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sarah\OneDrive - Florida State University\Hughes Lab\"/>
    </mc:Choice>
  </mc:AlternateContent>
  <xr:revisionPtr revIDLastSave="0" documentId="13_ncr:1_{D28D6382-3BE2-40E4-BF6F-3B8A41E02325}" xr6:coauthVersionLast="47" xr6:coauthVersionMax="47" xr10:uidLastSave="{00000000-0000-0000-0000-000000000000}"/>
  <bookViews>
    <workbookView xWindow="-98" yWindow="-98" windowWidth="21795" windowHeight="12975" activeTab="2" xr2:uid="{AC0453BD-C358-4DDB-82C2-8350D23187A8}"/>
  </bookViews>
  <sheets>
    <sheet name="original 8-28-24 search" sheetId="1" r:id="rId1"/>
    <sheet name="check papers" sheetId="2" r:id="rId2"/>
    <sheet name="final list"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T1163" i="4" l="1"/>
  <c r="BF1163" i="4"/>
  <c r="BT1162" i="4"/>
  <c r="BF1162" i="4"/>
  <c r="BT1161" i="4"/>
  <c r="BF1161" i="4"/>
  <c r="BT1160" i="4"/>
  <c r="BF1160" i="4"/>
  <c r="BT1159" i="4"/>
  <c r="BT1158" i="4"/>
  <c r="BF1158" i="4"/>
  <c r="BT1157" i="4"/>
  <c r="BF1157" i="4"/>
  <c r="BT1156" i="4"/>
  <c r="BF1156" i="4"/>
  <c r="BT1155" i="4"/>
  <c r="BF1155" i="4"/>
  <c r="BT1154" i="4"/>
  <c r="BF1154" i="4"/>
  <c r="BT1153" i="4"/>
  <c r="BF1153" i="4"/>
  <c r="BT1152" i="4"/>
  <c r="BF1152" i="4"/>
  <c r="BT1151" i="4"/>
  <c r="BF1151" i="4"/>
  <c r="BT1150" i="4"/>
  <c r="BF1150" i="4"/>
  <c r="BT1149" i="4"/>
  <c r="BF1149" i="4"/>
  <c r="BT1148" i="4"/>
  <c r="BF1148" i="4"/>
  <c r="BT1147" i="4"/>
  <c r="BF1147" i="4"/>
  <c r="BT1146" i="4"/>
  <c r="BF1146" i="4"/>
  <c r="BT1145" i="4"/>
  <c r="BF1145" i="4"/>
  <c r="BT1144" i="4"/>
  <c r="BF1144" i="4"/>
  <c r="BT1143" i="4"/>
  <c r="BF1143" i="4"/>
  <c r="BT1142" i="4"/>
  <c r="BF1142" i="4"/>
  <c r="BT1141" i="4"/>
  <c r="BF1141" i="4"/>
  <c r="BT1140" i="4"/>
  <c r="BF1140" i="4"/>
  <c r="BT1139" i="4"/>
  <c r="BF1139" i="4"/>
  <c r="BT1138" i="4"/>
  <c r="BT1137" i="4"/>
  <c r="BT1136" i="4"/>
  <c r="BF1136" i="4"/>
  <c r="BT1135" i="4"/>
  <c r="BF1135" i="4"/>
  <c r="BT1134" i="4"/>
  <c r="BF1134" i="4"/>
  <c r="BT1133" i="4"/>
  <c r="BF1133" i="4"/>
  <c r="BT1132" i="4"/>
  <c r="BF1132" i="4"/>
  <c r="BT1131" i="4"/>
  <c r="BF1131" i="4"/>
  <c r="BT1130" i="4"/>
  <c r="BF1130" i="4"/>
  <c r="BT1129" i="4"/>
  <c r="BF1129" i="4"/>
  <c r="BT1128" i="4"/>
  <c r="BT1127" i="4"/>
  <c r="BF1127" i="4"/>
  <c r="BT1126" i="4"/>
  <c r="BF1126" i="4"/>
  <c r="BT1125" i="4"/>
  <c r="BF1125" i="4"/>
  <c r="BT1124" i="4"/>
  <c r="BF1124" i="4"/>
  <c r="BT1123" i="4"/>
  <c r="BF1123" i="4"/>
  <c r="BT1122" i="4"/>
  <c r="BF1122" i="4"/>
  <c r="BT1121" i="4"/>
  <c r="BF1121" i="4"/>
  <c r="BT1120" i="4"/>
  <c r="BF1120" i="4"/>
  <c r="BT1119" i="4"/>
  <c r="BF1119" i="4"/>
  <c r="BT1118" i="4"/>
  <c r="BF1118" i="4"/>
  <c r="BT1117" i="4"/>
  <c r="BF1117" i="4"/>
  <c r="BT1116" i="4"/>
  <c r="BF1116" i="4"/>
  <c r="BT1115" i="4"/>
  <c r="BF1115" i="4"/>
  <c r="BT1114" i="4"/>
  <c r="BF1114" i="4"/>
  <c r="BT1113" i="4"/>
  <c r="BF1113" i="4"/>
  <c r="BT1112" i="4"/>
  <c r="BF1112" i="4"/>
  <c r="BT1111" i="4"/>
  <c r="BF1111" i="4"/>
  <c r="BT1110" i="4"/>
  <c r="BF1110" i="4"/>
  <c r="BT1109" i="4"/>
  <c r="BF1109" i="4"/>
  <c r="BT1108" i="4"/>
  <c r="BF1108" i="4"/>
  <c r="BT1107" i="4"/>
  <c r="BF1107" i="4"/>
  <c r="BT1106" i="4"/>
  <c r="BF1106" i="4"/>
  <c r="BT1105" i="4"/>
  <c r="BF1105" i="4"/>
  <c r="BT1104" i="4"/>
  <c r="BF1104" i="4"/>
  <c r="BT1103" i="4"/>
  <c r="BF1103" i="4"/>
  <c r="BT1102" i="4"/>
  <c r="BF1102" i="4"/>
  <c r="BT1101" i="4"/>
  <c r="BF1101" i="4"/>
  <c r="BT1100" i="4"/>
  <c r="BF1100" i="4"/>
  <c r="BT1099" i="4"/>
  <c r="BF1099" i="4"/>
  <c r="BT1098" i="4"/>
  <c r="BF1098" i="4"/>
  <c r="BT1097" i="4"/>
  <c r="BF1097" i="4"/>
  <c r="BT1096" i="4"/>
  <c r="BF1096" i="4"/>
  <c r="BT1095" i="4"/>
  <c r="BF1095" i="4"/>
  <c r="BT1094" i="4"/>
  <c r="BF1094" i="4"/>
  <c r="BT1093" i="4"/>
  <c r="BF1093" i="4"/>
  <c r="BT1092" i="4"/>
  <c r="BF1092" i="4"/>
  <c r="BT1091" i="4"/>
  <c r="BF1091" i="4"/>
  <c r="BT1090" i="4"/>
  <c r="BF1090" i="4"/>
  <c r="BT1089" i="4"/>
  <c r="BF1089" i="4"/>
  <c r="BT1088" i="4"/>
  <c r="BT1087" i="4"/>
  <c r="BF1087" i="4"/>
  <c r="BT1086" i="4"/>
  <c r="BF1086" i="4"/>
  <c r="BT1085" i="4"/>
  <c r="BF1085" i="4"/>
  <c r="BT1084" i="4"/>
  <c r="BF1084" i="4"/>
  <c r="BT1083" i="4"/>
  <c r="BF1083" i="4"/>
  <c r="BT1082" i="4"/>
  <c r="BT1081" i="4"/>
  <c r="BF1081" i="4"/>
  <c r="BT1080" i="4"/>
  <c r="BF1080" i="4"/>
  <c r="BT1079" i="4"/>
  <c r="BF1079" i="4"/>
  <c r="BT1078" i="4"/>
  <c r="BF1078" i="4"/>
  <c r="BT1077" i="4"/>
  <c r="BF1077" i="4"/>
  <c r="BT1076" i="4"/>
  <c r="BF1076" i="4"/>
  <c r="BT1075" i="4"/>
  <c r="BF1075" i="4"/>
  <c r="BT1074" i="4"/>
  <c r="BF1074" i="4"/>
  <c r="BT1073" i="4"/>
  <c r="BF1073" i="4"/>
  <c r="BT1072" i="4"/>
  <c r="BF1072" i="4"/>
  <c r="BT1071" i="4"/>
  <c r="BF1071" i="4"/>
  <c r="BT1070" i="4"/>
  <c r="BF1070" i="4"/>
  <c r="BT1069" i="4"/>
  <c r="BF1069" i="4"/>
  <c r="BT1068" i="4"/>
  <c r="BF1068" i="4"/>
  <c r="BT1067" i="4"/>
  <c r="BT1066" i="4"/>
  <c r="BF1066" i="4"/>
  <c r="BT1065" i="4"/>
  <c r="BF1065" i="4"/>
  <c r="BT1064" i="4"/>
  <c r="BF1064" i="4"/>
  <c r="BT1063" i="4"/>
  <c r="BF1063" i="4"/>
  <c r="BT1062" i="4"/>
  <c r="BF1062" i="4"/>
  <c r="BT1061" i="4"/>
  <c r="BF1061" i="4"/>
  <c r="BT1060" i="4"/>
  <c r="BF1060" i="4"/>
  <c r="BT1059" i="4"/>
  <c r="BT1058" i="4"/>
  <c r="BF1058" i="4"/>
  <c r="BT1057" i="4"/>
  <c r="BF1057" i="4"/>
  <c r="BT1056" i="4"/>
  <c r="BF1056" i="4"/>
  <c r="BT1055" i="4"/>
  <c r="BF1055" i="4"/>
  <c r="BT1054" i="4"/>
  <c r="BT1053" i="4"/>
  <c r="BF1053" i="4"/>
  <c r="BT1052" i="4"/>
  <c r="BF1052" i="4"/>
  <c r="BT1051" i="4"/>
  <c r="BF1051" i="4"/>
  <c r="BT1050" i="4"/>
  <c r="BF1050" i="4"/>
  <c r="BT1049" i="4"/>
  <c r="BF1049" i="4"/>
  <c r="BT1048" i="4"/>
  <c r="BF1048" i="4"/>
  <c r="BT1047" i="4"/>
  <c r="BF1047" i="4"/>
  <c r="BT1046" i="4"/>
  <c r="BF1046" i="4"/>
  <c r="BT1045" i="4"/>
  <c r="BF1045" i="4"/>
  <c r="BT1044" i="4"/>
  <c r="BF1044" i="4"/>
  <c r="BT1043" i="4"/>
  <c r="BF1043" i="4"/>
  <c r="BT1042" i="4"/>
  <c r="BF1042" i="4"/>
  <c r="BT1041" i="4"/>
  <c r="BT1040" i="4"/>
  <c r="BF1040" i="4"/>
  <c r="BT1039" i="4"/>
  <c r="BF1039" i="4"/>
  <c r="BT1038" i="4"/>
  <c r="BT1037" i="4"/>
  <c r="BF1037" i="4"/>
  <c r="BT1036" i="4"/>
  <c r="BT1035" i="4"/>
  <c r="BF1035" i="4"/>
  <c r="BT1034" i="4"/>
  <c r="BT1033" i="4"/>
  <c r="BF1033" i="4"/>
  <c r="BT1032" i="4"/>
  <c r="BF1032" i="4"/>
  <c r="BT1031" i="4"/>
  <c r="BF1031" i="4"/>
  <c r="BT1030" i="4"/>
  <c r="BF1030" i="4"/>
  <c r="BT1029" i="4"/>
  <c r="BT1028" i="4"/>
  <c r="BF1028" i="4"/>
  <c r="BT1027" i="4"/>
  <c r="BF1027" i="4"/>
  <c r="BT1026" i="4"/>
  <c r="BF1026" i="4"/>
  <c r="BT1025" i="4"/>
  <c r="BF1025" i="4"/>
  <c r="BT1024" i="4"/>
  <c r="BF1024" i="4"/>
  <c r="BT1023" i="4"/>
  <c r="BF1023" i="4"/>
  <c r="BT1022" i="4"/>
  <c r="BF1022" i="4"/>
  <c r="BT1021" i="4"/>
  <c r="BF1021" i="4"/>
  <c r="BT1020" i="4"/>
  <c r="BF1020" i="4"/>
  <c r="BT1019" i="4"/>
  <c r="BF1019" i="4"/>
  <c r="BT1018" i="4"/>
  <c r="BF1018" i="4"/>
  <c r="BT1017" i="4"/>
  <c r="BF1017" i="4"/>
  <c r="BT1016" i="4"/>
  <c r="BF1016" i="4"/>
  <c r="BT1015" i="4"/>
  <c r="BF1015" i="4"/>
  <c r="BT1014" i="4"/>
  <c r="BF1014" i="4"/>
  <c r="BT1013" i="4"/>
  <c r="BF1013" i="4"/>
  <c r="BT1012" i="4"/>
  <c r="BF1012" i="4"/>
  <c r="BT1011" i="4"/>
  <c r="BF1011" i="4"/>
  <c r="BT1010" i="4"/>
  <c r="BF1010" i="4"/>
  <c r="BT1009" i="4"/>
  <c r="BF1009" i="4"/>
  <c r="BT1008" i="4"/>
  <c r="BF1008" i="4"/>
  <c r="BT1007" i="4"/>
  <c r="BF1007" i="4"/>
  <c r="BT1006" i="4"/>
  <c r="BF1006" i="4"/>
  <c r="BT1005" i="4"/>
  <c r="BT1004" i="4"/>
  <c r="BF1004" i="4"/>
  <c r="BT1003" i="4"/>
  <c r="BF1003" i="4"/>
  <c r="BT1002" i="4"/>
  <c r="BT1001" i="4"/>
  <c r="BF1001" i="4"/>
  <c r="BT1000" i="4"/>
  <c r="BF1000" i="4"/>
  <c r="BT999" i="4"/>
  <c r="BF999" i="4"/>
  <c r="BT998" i="4"/>
  <c r="BF998" i="4"/>
  <c r="BT997" i="4"/>
  <c r="BF997" i="4"/>
  <c r="BT996" i="4"/>
  <c r="BF996" i="4"/>
  <c r="BT995" i="4"/>
  <c r="BF995" i="4"/>
  <c r="BT994" i="4"/>
  <c r="BT993" i="4"/>
  <c r="BF993" i="4"/>
  <c r="BT992" i="4"/>
  <c r="BT991" i="4"/>
  <c r="BF991" i="4"/>
  <c r="BT990" i="4"/>
  <c r="BF990" i="4"/>
  <c r="BT989" i="4"/>
  <c r="BF989" i="4"/>
  <c r="BT988" i="4"/>
  <c r="BF988" i="4"/>
  <c r="BT987" i="4"/>
  <c r="BF987" i="4"/>
  <c r="BT986" i="4"/>
  <c r="BF986" i="4"/>
  <c r="BT985" i="4"/>
  <c r="BF985" i="4"/>
  <c r="BT984" i="4"/>
  <c r="BF984" i="4"/>
  <c r="BT983" i="4"/>
  <c r="BT982" i="4"/>
  <c r="BF982" i="4"/>
  <c r="BT981" i="4"/>
  <c r="BF981" i="4"/>
  <c r="BT980" i="4"/>
  <c r="BF980" i="4"/>
  <c r="BT979" i="4"/>
  <c r="BF979" i="4"/>
  <c r="BT978" i="4"/>
  <c r="BF978" i="4"/>
  <c r="BT977" i="4"/>
  <c r="BT976" i="4"/>
  <c r="BF976" i="4"/>
  <c r="BT975" i="4"/>
  <c r="BF975" i="4"/>
  <c r="BT974" i="4"/>
  <c r="BF974" i="4"/>
  <c r="BT973" i="4"/>
  <c r="BT972" i="4"/>
  <c r="BF972" i="4"/>
  <c r="BT971" i="4"/>
  <c r="BF971" i="4"/>
  <c r="BT970" i="4"/>
  <c r="BF970" i="4"/>
  <c r="BT969" i="4"/>
  <c r="BF969" i="4"/>
  <c r="BT968" i="4"/>
  <c r="BT967" i="4"/>
  <c r="BF967" i="4"/>
  <c r="BT966" i="4"/>
  <c r="BF966" i="4"/>
  <c r="BT965" i="4"/>
  <c r="BT964" i="4"/>
  <c r="BF964" i="4"/>
  <c r="BT963" i="4"/>
  <c r="BF963" i="4"/>
  <c r="BT962" i="4"/>
  <c r="BF962" i="4"/>
  <c r="BT961" i="4"/>
  <c r="BT960" i="4"/>
  <c r="BF960" i="4"/>
  <c r="BT959" i="4"/>
  <c r="BF959" i="4"/>
  <c r="BT958" i="4"/>
  <c r="BF958" i="4"/>
  <c r="BT957" i="4"/>
  <c r="BF957" i="4"/>
  <c r="BT956" i="4"/>
  <c r="BF956" i="4"/>
  <c r="BT955" i="4"/>
  <c r="BF955" i="4"/>
  <c r="BT954" i="4"/>
  <c r="BT953" i="4"/>
  <c r="BF953" i="4"/>
  <c r="BT952" i="4"/>
  <c r="BF952" i="4"/>
  <c r="BT951" i="4"/>
  <c r="BF951" i="4"/>
  <c r="BT950" i="4"/>
  <c r="BF950" i="4"/>
  <c r="BT949" i="4"/>
  <c r="BF949" i="4"/>
  <c r="BT948" i="4"/>
  <c r="BF948" i="4"/>
  <c r="BT947" i="4"/>
  <c r="BT946" i="4"/>
  <c r="BF946" i="4"/>
  <c r="BT945" i="4"/>
  <c r="BF945" i="4"/>
  <c r="BT944" i="4"/>
  <c r="BF944" i="4"/>
  <c r="BT943" i="4"/>
  <c r="BT942" i="4"/>
  <c r="BF942" i="4"/>
  <c r="BT941" i="4"/>
  <c r="BF941" i="4"/>
  <c r="BT940" i="4"/>
  <c r="BF940" i="4"/>
  <c r="BT939" i="4"/>
  <c r="BF939" i="4"/>
  <c r="BT938" i="4"/>
  <c r="BF938" i="4"/>
  <c r="BT937" i="4"/>
  <c r="BF937" i="4"/>
  <c r="BT936" i="4"/>
  <c r="BF936" i="4"/>
  <c r="BT935" i="4"/>
  <c r="BF935" i="4"/>
  <c r="BT934" i="4"/>
  <c r="BF934" i="4"/>
  <c r="BT933" i="4"/>
  <c r="BF933" i="4"/>
  <c r="BT932" i="4"/>
  <c r="BF932" i="4"/>
  <c r="BT931" i="4"/>
  <c r="BF931" i="4"/>
  <c r="BT930" i="4"/>
  <c r="BF930" i="4"/>
  <c r="BT929" i="4"/>
  <c r="BF929" i="4"/>
  <c r="BT928" i="4"/>
  <c r="BF928" i="4"/>
  <c r="BT927" i="4"/>
  <c r="BF927" i="4"/>
  <c r="BT926" i="4"/>
  <c r="BF926" i="4"/>
  <c r="BT925" i="4"/>
  <c r="BF925" i="4"/>
  <c r="BT924" i="4"/>
  <c r="BF924" i="4"/>
  <c r="BT923" i="4"/>
  <c r="BF923" i="4"/>
  <c r="BT922" i="4"/>
  <c r="BF922" i="4"/>
  <c r="BT921" i="4"/>
  <c r="BF921" i="4"/>
  <c r="BT920" i="4"/>
  <c r="BF920" i="4"/>
  <c r="BT919" i="4"/>
  <c r="BF919" i="4"/>
  <c r="BT918" i="4"/>
  <c r="BF918" i="4"/>
  <c r="BT917" i="4"/>
  <c r="BF917" i="4"/>
  <c r="BT916" i="4"/>
  <c r="BF916" i="4"/>
  <c r="BT915" i="4"/>
  <c r="BF915" i="4"/>
  <c r="BT914" i="4"/>
  <c r="BF914" i="4"/>
  <c r="BT913" i="4"/>
  <c r="BF913" i="4"/>
  <c r="BT912" i="4"/>
  <c r="BF912" i="4"/>
  <c r="BT911" i="4"/>
  <c r="BF911" i="4"/>
  <c r="BT910" i="4"/>
  <c r="BF910" i="4"/>
  <c r="BT909" i="4"/>
  <c r="BF909" i="4"/>
  <c r="BT908" i="4"/>
  <c r="BF908" i="4"/>
  <c r="BT907" i="4"/>
  <c r="BF907" i="4"/>
  <c r="BT906" i="4"/>
  <c r="BF906" i="4"/>
  <c r="BT905" i="4"/>
  <c r="BF905" i="4"/>
  <c r="BT904" i="4"/>
  <c r="BF904" i="4"/>
  <c r="BT903" i="4"/>
  <c r="BF903" i="4"/>
  <c r="BT902" i="4"/>
  <c r="BT901" i="4"/>
  <c r="BF901" i="4"/>
  <c r="BT900" i="4"/>
  <c r="BF900" i="4"/>
  <c r="BT899" i="4"/>
  <c r="BF899" i="4"/>
  <c r="BT898" i="4"/>
  <c r="BF898" i="4"/>
  <c r="BT897" i="4"/>
  <c r="BF897" i="4"/>
  <c r="BT896" i="4"/>
  <c r="BF896" i="4"/>
  <c r="BT895" i="4"/>
  <c r="BF895" i="4"/>
  <c r="BT894" i="4"/>
  <c r="BF894" i="4"/>
  <c r="BT893" i="4"/>
  <c r="BF893" i="4"/>
  <c r="BT892" i="4"/>
  <c r="BT891" i="4"/>
  <c r="BF891" i="4"/>
  <c r="BT890" i="4"/>
  <c r="BF890" i="4"/>
  <c r="BT889" i="4"/>
  <c r="BF889" i="4"/>
  <c r="BT888" i="4"/>
  <c r="BF888" i="4"/>
  <c r="BT887" i="4"/>
  <c r="BF887" i="4"/>
  <c r="BT886" i="4"/>
  <c r="BF886" i="4"/>
  <c r="BT885" i="4"/>
  <c r="BF885" i="4"/>
  <c r="BT884" i="4"/>
  <c r="BF884" i="4"/>
  <c r="BT883" i="4"/>
  <c r="BF883" i="4"/>
  <c r="BT882" i="4"/>
  <c r="BF882" i="4"/>
  <c r="BT881" i="4"/>
  <c r="BF881" i="4"/>
  <c r="BT880" i="4"/>
  <c r="BF880" i="4"/>
  <c r="BT879" i="4"/>
  <c r="BF879" i="4"/>
  <c r="BT878" i="4"/>
  <c r="BF878" i="4"/>
  <c r="BT877" i="4"/>
  <c r="BF877" i="4"/>
  <c r="BT876" i="4"/>
  <c r="BF876" i="4"/>
  <c r="BT875" i="4"/>
  <c r="BF875" i="4"/>
  <c r="BT874" i="4"/>
  <c r="BF874" i="4"/>
  <c r="BT873" i="4"/>
  <c r="BF873" i="4"/>
  <c r="BT872" i="4"/>
  <c r="BF872" i="4"/>
  <c r="BT871" i="4"/>
  <c r="BF871" i="4"/>
  <c r="BT870" i="4"/>
  <c r="BF870" i="4"/>
  <c r="BT869" i="4"/>
  <c r="BF869" i="4"/>
  <c r="BT868" i="4"/>
  <c r="BF868" i="4"/>
  <c r="BT867" i="4"/>
  <c r="BF867" i="4"/>
  <c r="BT866" i="4"/>
  <c r="BF866" i="4"/>
  <c r="BT865" i="4"/>
  <c r="BF865" i="4"/>
  <c r="BT864" i="4"/>
  <c r="BF864" i="4"/>
  <c r="BT863" i="4"/>
  <c r="BF863" i="4"/>
  <c r="BT862" i="4"/>
  <c r="BF862" i="4"/>
  <c r="BT861" i="4"/>
  <c r="BF861" i="4"/>
  <c r="BT860" i="4"/>
  <c r="BF860" i="4"/>
  <c r="BT859" i="4"/>
  <c r="BF859" i="4"/>
  <c r="BT858" i="4"/>
  <c r="BF858" i="4"/>
  <c r="BT857" i="4"/>
  <c r="BT856" i="4"/>
  <c r="BF856" i="4"/>
  <c r="BT855" i="4"/>
  <c r="BT854" i="4"/>
  <c r="BF854" i="4"/>
  <c r="BT853" i="4"/>
  <c r="BF853" i="4"/>
  <c r="BT852" i="4"/>
  <c r="BF852" i="4"/>
  <c r="BT851" i="4"/>
  <c r="BF851" i="4"/>
  <c r="BT850" i="4"/>
  <c r="BF850" i="4"/>
  <c r="BT849" i="4"/>
  <c r="BF849" i="4"/>
  <c r="BT848" i="4"/>
  <c r="BF848" i="4"/>
  <c r="BT847" i="4"/>
  <c r="BF847" i="4"/>
  <c r="BT846" i="4"/>
  <c r="BF846" i="4"/>
  <c r="BT845" i="4"/>
  <c r="BF845" i="4"/>
  <c r="BT844" i="4"/>
  <c r="BF844" i="4"/>
  <c r="BT843" i="4"/>
  <c r="BF843" i="4"/>
  <c r="BT842" i="4"/>
  <c r="BF842" i="4"/>
  <c r="BT841" i="4"/>
  <c r="BF841" i="4"/>
  <c r="BT840" i="4"/>
  <c r="BF840" i="4"/>
  <c r="BT839" i="4"/>
  <c r="BF839" i="4"/>
  <c r="BT838" i="4"/>
  <c r="BF838" i="4"/>
  <c r="BT837" i="4"/>
  <c r="BF837" i="4"/>
  <c r="BT836" i="4"/>
  <c r="BF836" i="4"/>
  <c r="BT835" i="4"/>
  <c r="BF835" i="4"/>
  <c r="BT834" i="4"/>
  <c r="BF834" i="4"/>
  <c r="BT833" i="4"/>
  <c r="BF833" i="4"/>
  <c r="BT832" i="4"/>
  <c r="BT831" i="4"/>
  <c r="BF831" i="4"/>
  <c r="BT830" i="4"/>
  <c r="BF830" i="4"/>
  <c r="BT829" i="4"/>
  <c r="BF829" i="4"/>
  <c r="BT828" i="4"/>
  <c r="BF828" i="4"/>
  <c r="BT827" i="4"/>
  <c r="BF827" i="4"/>
  <c r="BT826" i="4"/>
  <c r="BF826" i="4"/>
  <c r="BT825" i="4"/>
  <c r="BF825" i="4"/>
  <c r="BT824" i="4"/>
  <c r="BF824" i="4"/>
  <c r="BT823" i="4"/>
  <c r="BF823" i="4"/>
  <c r="BT822" i="4"/>
  <c r="BF822" i="4"/>
  <c r="BT821" i="4"/>
  <c r="BF821" i="4"/>
  <c r="BT820" i="4"/>
  <c r="BF820" i="4"/>
  <c r="BT819" i="4"/>
  <c r="BF819" i="4"/>
  <c r="BT818" i="4"/>
  <c r="BF818" i="4"/>
  <c r="BT817" i="4"/>
  <c r="BF817" i="4"/>
  <c r="BT816" i="4"/>
  <c r="BF816" i="4"/>
  <c r="BT815" i="4"/>
  <c r="BF815" i="4"/>
  <c r="BT814" i="4"/>
  <c r="BF814" i="4"/>
  <c r="BT813" i="4"/>
  <c r="BF813" i="4"/>
  <c r="BT812" i="4"/>
  <c r="BF812" i="4"/>
  <c r="BT811" i="4"/>
  <c r="BF811" i="4"/>
  <c r="BT810" i="4"/>
  <c r="BF810" i="4"/>
  <c r="BT809" i="4"/>
  <c r="BF809" i="4"/>
  <c r="BT808" i="4"/>
  <c r="BF808" i="4"/>
  <c r="BT807" i="4"/>
  <c r="BF807" i="4"/>
  <c r="BT806" i="4"/>
  <c r="BF806" i="4"/>
  <c r="BT805" i="4"/>
  <c r="BF805" i="4"/>
  <c r="BT804" i="4"/>
  <c r="BF804" i="4"/>
  <c r="BT803" i="4"/>
  <c r="BT802" i="4"/>
  <c r="BT801" i="4"/>
  <c r="BT800" i="4"/>
  <c r="BF800" i="4"/>
  <c r="BT799" i="4"/>
  <c r="BF799" i="4"/>
  <c r="BT798" i="4"/>
  <c r="BF798" i="4"/>
  <c r="BT797" i="4"/>
  <c r="BF797" i="4"/>
  <c r="BT796" i="4"/>
  <c r="BF796" i="4"/>
  <c r="BT795" i="4"/>
  <c r="BF795" i="4"/>
  <c r="BT794" i="4"/>
  <c r="BF794" i="4"/>
  <c r="BT793" i="4"/>
  <c r="BF793" i="4"/>
  <c r="BT792" i="4"/>
  <c r="BF792" i="4"/>
  <c r="BT791" i="4"/>
  <c r="BF791" i="4"/>
  <c r="BT790" i="4"/>
  <c r="BF790" i="4"/>
  <c r="BT789" i="4"/>
  <c r="BF789" i="4"/>
  <c r="BT788" i="4"/>
  <c r="BF788" i="4"/>
  <c r="BT787" i="4"/>
  <c r="BF787" i="4"/>
  <c r="BT786" i="4"/>
  <c r="BF786" i="4"/>
  <c r="BT785" i="4"/>
  <c r="BF785" i="4"/>
  <c r="BT784" i="4"/>
  <c r="BF784" i="4"/>
  <c r="BT783" i="4"/>
  <c r="BF783" i="4"/>
  <c r="BT782" i="4"/>
  <c r="BF782" i="4"/>
  <c r="BT781" i="4"/>
  <c r="BF781" i="4"/>
  <c r="BT780" i="4"/>
  <c r="BF780" i="4"/>
  <c r="BT779" i="4"/>
  <c r="BF779" i="4"/>
  <c r="BT778" i="4"/>
  <c r="BF778" i="4"/>
  <c r="BT777" i="4"/>
  <c r="BF777" i="4"/>
  <c r="BT776" i="4"/>
  <c r="BF776" i="4"/>
  <c r="BT775" i="4"/>
  <c r="BF775" i="4"/>
  <c r="BT774" i="4"/>
  <c r="BT773" i="4"/>
  <c r="BF773" i="4"/>
  <c r="BT772" i="4"/>
  <c r="BT771" i="4"/>
  <c r="BF771" i="4"/>
  <c r="BT770" i="4"/>
  <c r="BF770" i="4"/>
  <c r="BT769" i="4"/>
  <c r="BF769" i="4"/>
  <c r="BT768" i="4"/>
  <c r="BF768" i="4"/>
  <c r="BT767" i="4"/>
  <c r="BF767" i="4"/>
  <c r="BT766" i="4"/>
  <c r="BF766" i="4"/>
  <c r="BT765" i="4"/>
  <c r="BF765" i="4"/>
  <c r="BT764" i="4"/>
  <c r="BT763" i="4"/>
  <c r="BF763" i="4"/>
  <c r="BT762" i="4"/>
  <c r="BF762" i="4"/>
  <c r="BT761" i="4"/>
  <c r="BF761" i="4"/>
  <c r="BT760" i="4"/>
  <c r="BF760" i="4"/>
  <c r="BT759" i="4"/>
  <c r="BF759" i="4"/>
  <c r="BT758" i="4"/>
  <c r="BF758" i="4"/>
  <c r="BT757" i="4"/>
  <c r="BF757" i="4"/>
  <c r="BT756" i="4"/>
  <c r="BF756" i="4"/>
  <c r="BT755" i="4"/>
  <c r="BF755" i="4"/>
  <c r="BT754" i="4"/>
  <c r="BF754" i="4"/>
  <c r="BT753" i="4"/>
  <c r="BF753" i="4"/>
  <c r="BT752" i="4"/>
  <c r="BF752" i="4"/>
  <c r="BT751" i="4"/>
  <c r="BF751" i="4"/>
  <c r="BT750" i="4"/>
  <c r="BF750" i="4"/>
  <c r="BT749" i="4"/>
  <c r="BF749" i="4"/>
  <c r="BT748" i="4"/>
  <c r="BT747" i="4"/>
  <c r="BF747" i="4"/>
  <c r="BT746" i="4"/>
  <c r="BF746" i="4"/>
  <c r="BT745" i="4"/>
  <c r="BF745" i="4"/>
  <c r="BT744" i="4"/>
  <c r="BF744" i="4"/>
  <c r="BT743" i="4"/>
  <c r="BF743" i="4"/>
  <c r="BT742" i="4"/>
  <c r="BF742" i="4"/>
  <c r="BT741" i="4"/>
  <c r="BF741" i="4"/>
  <c r="BT740" i="4"/>
  <c r="BF740" i="4"/>
  <c r="BT739" i="4"/>
  <c r="BF739" i="4"/>
  <c r="BT738" i="4"/>
  <c r="BF738" i="4"/>
  <c r="BT737" i="4"/>
  <c r="BT736" i="4"/>
  <c r="BF736" i="4"/>
  <c r="BT735" i="4"/>
  <c r="BT734" i="4"/>
  <c r="BT733" i="4"/>
  <c r="BF733" i="4"/>
  <c r="BT732" i="4"/>
  <c r="BF732" i="4"/>
  <c r="BT731" i="4"/>
  <c r="BF731" i="4"/>
  <c r="BT730" i="4"/>
  <c r="BF730" i="4"/>
  <c r="BT729" i="4"/>
  <c r="BT728" i="4"/>
  <c r="BF728" i="4"/>
  <c r="BT727" i="4"/>
  <c r="BF727" i="4"/>
  <c r="BT726" i="4"/>
  <c r="BF726" i="4"/>
  <c r="BT725" i="4"/>
  <c r="BF725" i="4"/>
  <c r="BT724" i="4"/>
  <c r="BF724" i="4"/>
  <c r="BT723" i="4"/>
  <c r="BF723" i="4"/>
  <c r="BT722" i="4"/>
  <c r="BF722" i="4"/>
  <c r="BT721" i="4"/>
  <c r="BF721" i="4"/>
  <c r="BT720" i="4"/>
  <c r="BF720" i="4"/>
  <c r="BT719" i="4"/>
  <c r="BF719" i="4"/>
  <c r="BT718" i="4"/>
  <c r="BF718" i="4"/>
  <c r="BT717" i="4"/>
  <c r="BF717" i="4"/>
  <c r="BT716" i="4"/>
  <c r="BF716" i="4"/>
  <c r="BT715" i="4"/>
  <c r="BF715" i="4"/>
  <c r="BT714" i="4"/>
  <c r="BF714" i="4"/>
  <c r="BT713" i="4"/>
  <c r="BF713" i="4"/>
  <c r="BT712" i="4"/>
  <c r="BF712" i="4"/>
  <c r="BT711" i="4"/>
  <c r="BF711" i="4"/>
  <c r="BT710" i="4"/>
  <c r="BF710" i="4"/>
  <c r="BT709" i="4"/>
  <c r="BF709" i="4"/>
  <c r="BT708" i="4"/>
  <c r="BF708" i="4"/>
  <c r="BT707" i="4"/>
  <c r="BF707" i="4"/>
  <c r="BT706" i="4"/>
  <c r="BF706" i="4"/>
  <c r="BT705" i="4"/>
  <c r="BF705" i="4"/>
  <c r="BT704" i="4"/>
  <c r="BF704" i="4"/>
  <c r="BT703" i="4"/>
  <c r="BF703" i="4"/>
  <c r="BT702" i="4"/>
  <c r="BF702" i="4"/>
  <c r="BT701" i="4"/>
  <c r="BF701" i="4"/>
  <c r="BT700" i="4"/>
  <c r="BT699" i="4"/>
  <c r="BF699" i="4"/>
  <c r="BT698" i="4"/>
  <c r="BF698" i="4"/>
  <c r="BT697" i="4"/>
  <c r="BF697" i="4"/>
  <c r="BT696" i="4"/>
  <c r="BF696" i="4"/>
  <c r="BT695" i="4"/>
  <c r="BF695" i="4"/>
  <c r="BT694" i="4"/>
  <c r="BF694" i="4"/>
  <c r="BT693" i="4"/>
  <c r="BF693" i="4"/>
  <c r="BT692" i="4"/>
  <c r="BF692" i="4"/>
  <c r="BT691" i="4"/>
  <c r="BF691" i="4"/>
  <c r="BT690" i="4"/>
  <c r="BF690" i="4"/>
  <c r="BT689" i="4"/>
  <c r="BF689" i="4"/>
  <c r="BT688" i="4"/>
  <c r="BF688" i="4"/>
  <c r="BT687" i="4"/>
  <c r="BF687" i="4"/>
  <c r="BT686" i="4"/>
  <c r="BF686" i="4"/>
  <c r="BT685" i="4"/>
  <c r="BF685" i="4"/>
  <c r="BT684" i="4"/>
  <c r="BF684" i="4"/>
  <c r="BT683" i="4"/>
  <c r="BF683" i="4"/>
  <c r="BT682" i="4"/>
  <c r="BF682" i="4"/>
  <c r="BT681" i="4"/>
  <c r="BF681" i="4"/>
  <c r="BT680" i="4"/>
  <c r="BF680" i="4"/>
  <c r="BT679" i="4"/>
  <c r="BF679" i="4"/>
  <c r="BT678" i="4"/>
  <c r="BF678" i="4"/>
  <c r="BT677" i="4"/>
  <c r="BF677" i="4"/>
  <c r="BT676" i="4"/>
  <c r="BF676" i="4"/>
  <c r="BT675" i="4"/>
  <c r="BF675" i="4"/>
  <c r="BT674" i="4"/>
  <c r="BF674" i="4"/>
  <c r="BT673" i="4"/>
  <c r="BF673" i="4"/>
  <c r="BT672" i="4"/>
  <c r="BF672" i="4"/>
  <c r="BT671" i="4"/>
  <c r="BF671" i="4"/>
  <c r="BT670" i="4"/>
  <c r="BF670" i="4"/>
  <c r="BT669" i="4"/>
  <c r="BF669" i="4"/>
  <c r="BT668" i="4"/>
  <c r="BF668" i="4"/>
  <c r="BT667" i="4"/>
  <c r="BF667" i="4"/>
  <c r="BT666" i="4"/>
  <c r="BF666" i="4"/>
  <c r="BT665" i="4"/>
  <c r="BF665" i="4"/>
  <c r="BT664" i="4"/>
  <c r="BF664" i="4"/>
  <c r="BT663" i="4"/>
  <c r="BF663" i="4"/>
  <c r="BT662" i="4"/>
  <c r="BF662" i="4"/>
  <c r="BT661" i="4"/>
  <c r="BF661" i="4"/>
  <c r="BT660" i="4"/>
  <c r="BF660" i="4"/>
  <c r="BT659" i="4"/>
  <c r="BF659" i="4"/>
  <c r="BT658" i="4"/>
  <c r="BF658" i="4"/>
  <c r="BT657" i="4"/>
  <c r="BF657" i="4"/>
  <c r="BT656" i="4"/>
  <c r="BF656" i="4"/>
  <c r="BT655" i="4"/>
  <c r="BF655" i="4"/>
  <c r="BT654" i="4"/>
  <c r="BF654" i="4"/>
  <c r="BT653" i="4"/>
  <c r="BF653" i="4"/>
  <c r="BT652" i="4"/>
  <c r="BF652" i="4"/>
  <c r="BT651" i="4"/>
  <c r="BF651" i="4"/>
  <c r="BT650" i="4"/>
  <c r="BF650" i="4"/>
  <c r="BT649" i="4"/>
  <c r="BF649" i="4"/>
  <c r="BT648" i="4"/>
  <c r="BF648" i="4"/>
  <c r="BT647" i="4"/>
  <c r="BT646" i="4"/>
  <c r="BF646" i="4"/>
  <c r="BT645" i="4"/>
  <c r="BF645" i="4"/>
  <c r="BT644" i="4"/>
  <c r="BF644" i="4"/>
  <c r="BT643" i="4"/>
  <c r="BT642" i="4"/>
  <c r="BF642" i="4"/>
  <c r="BT641" i="4"/>
  <c r="BF641" i="4"/>
  <c r="BT640" i="4"/>
  <c r="BF640" i="4"/>
  <c r="BT639" i="4"/>
  <c r="BF639" i="4"/>
  <c r="BT638" i="4"/>
  <c r="BF638" i="4"/>
  <c r="BT637" i="4"/>
  <c r="BT636" i="4"/>
  <c r="BF636" i="4"/>
  <c r="BT635" i="4"/>
  <c r="BF635" i="4"/>
  <c r="BT634" i="4"/>
  <c r="BT633" i="4"/>
  <c r="BF633" i="4"/>
  <c r="BT632" i="4"/>
  <c r="BF632" i="4"/>
  <c r="BT631" i="4"/>
  <c r="BF631" i="4"/>
  <c r="BT630" i="4"/>
  <c r="BF630" i="4"/>
  <c r="BT629" i="4"/>
  <c r="BF629" i="4"/>
  <c r="BT628" i="4"/>
  <c r="BF628" i="4"/>
  <c r="BT627" i="4"/>
  <c r="BF627" i="4"/>
  <c r="BT626" i="4"/>
  <c r="BF626" i="4"/>
  <c r="BT625" i="4"/>
  <c r="BF625" i="4"/>
  <c r="BT624" i="4"/>
  <c r="BF624" i="4"/>
  <c r="BT623" i="4"/>
  <c r="BF623" i="4"/>
  <c r="BT622" i="4"/>
  <c r="BF622" i="4"/>
  <c r="BT621" i="4"/>
  <c r="BF621" i="4"/>
  <c r="BT620" i="4"/>
  <c r="BF620" i="4"/>
  <c r="BT619" i="4"/>
  <c r="BF619" i="4"/>
  <c r="BT618" i="4"/>
  <c r="BF618" i="4"/>
  <c r="BT617" i="4"/>
  <c r="BF617" i="4"/>
  <c r="BT616" i="4"/>
  <c r="BF616" i="4"/>
  <c r="BT615" i="4"/>
  <c r="BF615" i="4"/>
  <c r="BT614" i="4"/>
  <c r="BF614" i="4"/>
  <c r="BT613" i="4"/>
  <c r="BF613" i="4"/>
  <c r="BT612" i="4"/>
  <c r="BF612" i="4"/>
  <c r="BT611" i="4"/>
  <c r="BF611" i="4"/>
  <c r="BT610" i="4"/>
  <c r="BF610" i="4"/>
  <c r="BT609" i="4"/>
  <c r="BF609" i="4"/>
  <c r="BT608" i="4"/>
  <c r="BF608" i="4"/>
  <c r="BT607" i="4"/>
  <c r="BF607" i="4"/>
  <c r="BT606" i="4"/>
  <c r="BT605" i="4"/>
  <c r="BF605" i="4"/>
  <c r="BT604" i="4"/>
  <c r="BF604" i="4"/>
  <c r="BT603" i="4"/>
  <c r="BF603" i="4"/>
  <c r="BT602" i="4"/>
  <c r="BF602" i="4"/>
  <c r="BT601" i="4"/>
  <c r="BF601" i="4"/>
  <c r="BT600" i="4"/>
  <c r="BF600" i="4"/>
  <c r="BT599" i="4"/>
  <c r="BF599" i="4"/>
  <c r="BT598" i="4"/>
  <c r="BF598" i="4"/>
  <c r="BT597" i="4"/>
  <c r="BF597" i="4"/>
  <c r="BT596" i="4"/>
  <c r="BF596" i="4"/>
  <c r="BT595" i="4"/>
  <c r="BF595" i="4"/>
  <c r="BT594" i="4"/>
  <c r="BF594" i="4"/>
  <c r="BT593" i="4"/>
  <c r="BF593" i="4"/>
  <c r="BT592" i="4"/>
  <c r="BF592" i="4"/>
  <c r="BT591" i="4"/>
  <c r="BT590" i="4"/>
  <c r="BF590" i="4"/>
  <c r="BT589" i="4"/>
  <c r="BF589" i="4"/>
  <c r="BT588" i="4"/>
  <c r="BF588" i="4"/>
  <c r="BT587" i="4"/>
  <c r="BF587" i="4"/>
  <c r="BT586" i="4"/>
  <c r="BF586" i="4"/>
  <c r="BT585" i="4"/>
  <c r="BT584" i="4"/>
  <c r="BF584" i="4"/>
  <c r="BT583" i="4"/>
  <c r="BF583" i="4"/>
  <c r="BT582" i="4"/>
  <c r="BF582" i="4"/>
  <c r="BT581" i="4"/>
  <c r="BF581" i="4"/>
  <c r="BT580" i="4"/>
  <c r="BF580" i="4"/>
  <c r="BT579" i="4"/>
  <c r="BF579" i="4"/>
  <c r="BT578" i="4"/>
  <c r="BF578" i="4"/>
  <c r="BT577" i="4"/>
  <c r="BF577" i="4"/>
  <c r="BT576" i="4"/>
  <c r="BF576" i="4"/>
  <c r="BT575" i="4"/>
  <c r="BF575" i="4"/>
  <c r="BT574" i="4"/>
  <c r="BF574" i="4"/>
  <c r="BT573" i="4"/>
  <c r="BF573" i="4"/>
  <c r="BT572" i="4"/>
  <c r="BF572" i="4"/>
  <c r="BT571" i="4"/>
  <c r="BF571" i="4"/>
  <c r="BT570" i="4"/>
  <c r="BF570" i="4"/>
  <c r="BT569" i="4"/>
  <c r="BF569" i="4"/>
  <c r="BT568" i="4"/>
  <c r="BF568" i="4"/>
  <c r="BT567" i="4"/>
  <c r="BF567" i="4"/>
  <c r="BT566" i="4"/>
  <c r="BF566" i="4"/>
  <c r="BT565" i="4"/>
  <c r="BF565" i="4"/>
  <c r="BT564" i="4"/>
  <c r="BF564" i="4"/>
  <c r="BT563" i="4"/>
  <c r="BF563" i="4"/>
  <c r="BT562" i="4"/>
  <c r="BT561" i="4"/>
  <c r="BF561" i="4"/>
  <c r="BT560" i="4"/>
  <c r="BF560" i="4"/>
  <c r="BT559" i="4"/>
  <c r="BT558" i="4"/>
  <c r="BF558" i="4"/>
  <c r="BT557" i="4"/>
  <c r="BF557" i="4"/>
  <c r="BT556" i="4"/>
  <c r="BF556" i="4"/>
  <c r="BT555" i="4"/>
  <c r="BF555" i="4"/>
  <c r="BT554" i="4"/>
  <c r="BF554" i="4"/>
  <c r="BT553" i="4"/>
  <c r="BF553" i="4"/>
  <c r="BT552" i="4"/>
  <c r="BF552" i="4"/>
  <c r="BT551" i="4"/>
  <c r="BF551" i="4"/>
  <c r="BT550" i="4"/>
  <c r="BF550" i="4"/>
  <c r="BT549" i="4"/>
  <c r="BF549" i="4"/>
  <c r="BT548" i="4"/>
  <c r="BF548" i="4"/>
  <c r="BT547" i="4"/>
  <c r="BF547" i="4"/>
  <c r="BT546" i="4"/>
  <c r="BF546" i="4"/>
  <c r="BT545" i="4"/>
  <c r="BF545" i="4"/>
  <c r="BT544" i="4"/>
  <c r="BF544" i="4"/>
  <c r="BT543" i="4"/>
  <c r="BF543" i="4"/>
  <c r="BT542" i="4"/>
  <c r="BF542" i="4"/>
  <c r="BT541" i="4"/>
  <c r="BF541" i="4"/>
  <c r="BT540" i="4"/>
  <c r="BF540" i="4"/>
  <c r="BT539" i="4"/>
  <c r="BT538" i="4"/>
  <c r="BT537" i="4"/>
  <c r="BF537" i="4"/>
  <c r="BT536" i="4"/>
  <c r="BF536" i="4"/>
  <c r="BT535" i="4"/>
  <c r="BF535" i="4"/>
  <c r="BT534" i="4"/>
  <c r="BF534" i="4"/>
  <c r="BT533" i="4"/>
  <c r="BF533" i="4"/>
  <c r="BT532" i="4"/>
  <c r="BF532" i="4"/>
  <c r="BT531" i="4"/>
  <c r="BF531" i="4"/>
  <c r="BT530" i="4"/>
  <c r="BT529" i="4"/>
  <c r="BF529" i="4"/>
  <c r="BT528" i="4"/>
  <c r="BT527" i="4"/>
  <c r="BF527" i="4"/>
  <c r="BT526" i="4"/>
  <c r="BF526" i="4"/>
  <c r="BT525" i="4"/>
  <c r="BF525" i="4"/>
  <c r="BT524" i="4"/>
  <c r="BF524" i="4"/>
  <c r="BT523" i="4"/>
  <c r="BF523" i="4"/>
  <c r="BT522" i="4"/>
  <c r="BF522" i="4"/>
  <c r="BT521" i="4"/>
  <c r="BF521" i="4"/>
  <c r="BT520" i="4"/>
  <c r="BF520" i="4"/>
  <c r="BT519" i="4"/>
  <c r="BF519" i="4"/>
  <c r="BT518" i="4"/>
  <c r="BF518" i="4"/>
  <c r="BT517" i="4"/>
  <c r="BF517" i="4"/>
  <c r="BT516" i="4"/>
  <c r="BF516" i="4"/>
  <c r="BT515" i="4"/>
  <c r="BF515" i="4"/>
  <c r="BT514" i="4"/>
  <c r="BF514" i="4"/>
  <c r="BT513" i="4"/>
  <c r="BF513" i="4"/>
  <c r="BT512" i="4"/>
  <c r="BF512" i="4"/>
  <c r="BT511" i="4"/>
  <c r="BF511" i="4"/>
  <c r="BT510" i="4"/>
  <c r="BF510" i="4"/>
  <c r="BT509" i="4"/>
  <c r="BF509" i="4"/>
  <c r="BT508" i="4"/>
  <c r="BT507" i="4"/>
  <c r="BF507" i="4"/>
  <c r="BT506" i="4"/>
  <c r="BF506" i="4"/>
  <c r="BT505" i="4"/>
  <c r="BF505" i="4"/>
  <c r="BT504" i="4"/>
  <c r="BF504" i="4"/>
  <c r="BT503" i="4"/>
  <c r="BF503" i="4"/>
  <c r="BT502" i="4"/>
  <c r="BF502" i="4"/>
  <c r="BT501" i="4"/>
  <c r="BF501" i="4"/>
  <c r="BT500" i="4"/>
  <c r="BF500" i="4"/>
  <c r="BT499" i="4"/>
  <c r="BF499" i="4"/>
  <c r="BT498" i="4"/>
  <c r="BF498" i="4"/>
  <c r="BT497" i="4"/>
  <c r="BF497" i="4"/>
  <c r="BT496" i="4"/>
  <c r="BF496" i="4"/>
  <c r="BT495" i="4"/>
  <c r="BF495" i="4"/>
  <c r="BT494" i="4"/>
  <c r="BF494" i="4"/>
  <c r="BT493" i="4"/>
  <c r="BF493" i="4"/>
  <c r="BT492" i="4"/>
  <c r="BF492" i="4"/>
  <c r="BT491" i="4"/>
  <c r="BF491" i="4"/>
  <c r="BT490" i="4"/>
  <c r="BF490" i="4"/>
  <c r="BT489" i="4"/>
  <c r="BF489" i="4"/>
  <c r="BT488" i="4"/>
  <c r="BF488" i="4"/>
  <c r="BT487" i="4"/>
  <c r="BF487" i="4"/>
  <c r="BT486" i="4"/>
  <c r="BF486" i="4"/>
  <c r="BT485" i="4"/>
  <c r="BF485" i="4"/>
  <c r="BT484" i="4"/>
  <c r="BF484" i="4"/>
  <c r="BT483" i="4"/>
  <c r="BF483" i="4"/>
  <c r="BT482" i="4"/>
  <c r="BF482" i="4"/>
  <c r="BT481" i="4"/>
  <c r="BF481" i="4"/>
  <c r="BT480" i="4"/>
  <c r="BF480" i="4"/>
  <c r="BT479" i="4"/>
  <c r="BF479" i="4"/>
  <c r="BT478" i="4"/>
  <c r="BF478" i="4"/>
  <c r="BT477" i="4"/>
  <c r="BT476" i="4"/>
  <c r="BF476" i="4"/>
  <c r="BT475" i="4"/>
  <c r="BF475" i="4"/>
  <c r="BT474" i="4"/>
  <c r="BF474" i="4"/>
  <c r="BT473" i="4"/>
  <c r="BF473" i="4"/>
  <c r="BT472" i="4"/>
  <c r="BF472" i="4"/>
  <c r="BT471" i="4"/>
  <c r="BF471" i="4"/>
  <c r="BT470" i="4"/>
  <c r="BF470" i="4"/>
  <c r="BT469" i="4"/>
  <c r="BT468" i="4"/>
  <c r="BF468" i="4"/>
  <c r="BT467" i="4"/>
  <c r="BF467" i="4"/>
  <c r="BT466" i="4"/>
  <c r="BT465" i="4"/>
  <c r="BF465" i="4"/>
  <c r="BT464" i="4"/>
  <c r="BF464" i="4"/>
  <c r="BT463" i="4"/>
  <c r="BF463" i="4"/>
  <c r="BT462" i="4"/>
  <c r="BF462" i="4"/>
  <c r="BT461" i="4"/>
  <c r="BF461" i="4"/>
  <c r="BT460" i="4"/>
  <c r="BF460" i="4"/>
  <c r="BT459" i="4"/>
  <c r="BF459" i="4"/>
  <c r="BT458" i="4"/>
  <c r="BT457" i="4"/>
  <c r="BF457" i="4"/>
  <c r="BT456" i="4"/>
  <c r="BF456" i="4"/>
  <c r="BT455" i="4"/>
  <c r="BF455" i="4"/>
  <c r="BT454" i="4"/>
  <c r="BF454" i="4"/>
  <c r="BT453" i="4"/>
  <c r="BF453" i="4"/>
  <c r="BT452" i="4"/>
  <c r="BT451" i="4"/>
  <c r="BF451" i="4"/>
  <c r="BT450" i="4"/>
  <c r="BF450" i="4"/>
  <c r="BT449" i="4"/>
  <c r="BF449" i="4"/>
  <c r="BT448" i="4"/>
  <c r="BT447" i="4"/>
  <c r="BF447" i="4"/>
  <c r="BT446" i="4"/>
  <c r="BF446" i="4"/>
  <c r="BT445" i="4"/>
  <c r="BF445" i="4"/>
  <c r="BT444" i="4"/>
  <c r="BF444" i="4"/>
  <c r="BT443" i="4"/>
  <c r="BT442" i="4"/>
  <c r="BF442" i="4"/>
  <c r="BT441" i="4"/>
  <c r="BF441" i="4"/>
  <c r="BT440" i="4"/>
  <c r="BF440" i="4"/>
  <c r="BT439" i="4"/>
  <c r="BF439" i="4"/>
  <c r="BT438" i="4"/>
  <c r="BF438" i="4"/>
  <c r="BT437" i="4"/>
  <c r="BF437" i="4"/>
  <c r="BT436" i="4"/>
  <c r="BF436" i="4"/>
  <c r="BT435" i="4"/>
  <c r="BF435" i="4"/>
  <c r="BT434" i="4"/>
  <c r="BF434" i="4"/>
  <c r="BT433" i="4"/>
  <c r="BF433" i="4"/>
  <c r="BT432" i="4"/>
  <c r="BF432" i="4"/>
  <c r="BT431" i="4"/>
  <c r="BF431" i="4"/>
  <c r="BT430" i="4"/>
  <c r="BF430" i="4"/>
  <c r="BT429" i="4"/>
  <c r="BF429" i="4"/>
  <c r="BT428" i="4"/>
  <c r="BF428" i="4"/>
  <c r="BT427" i="4"/>
  <c r="BF427" i="4"/>
  <c r="BT426" i="4"/>
  <c r="BF426" i="4"/>
  <c r="BT425" i="4"/>
  <c r="BF425" i="4"/>
  <c r="BT424" i="4"/>
  <c r="BF424" i="4"/>
  <c r="BT423" i="4"/>
  <c r="BF423" i="4"/>
  <c r="BT422" i="4"/>
  <c r="BF422" i="4"/>
  <c r="BT421" i="4"/>
  <c r="BF421" i="4"/>
  <c r="BT420" i="4"/>
  <c r="BF420" i="4"/>
  <c r="BT419" i="4"/>
  <c r="BF419" i="4"/>
  <c r="BT418" i="4"/>
  <c r="BF418" i="4"/>
  <c r="BT417" i="4"/>
  <c r="BF417" i="4"/>
  <c r="BT416" i="4"/>
  <c r="BF416" i="4"/>
  <c r="BT415" i="4"/>
  <c r="BF415" i="4"/>
  <c r="BT414" i="4"/>
  <c r="BF414" i="4"/>
  <c r="BT413" i="4"/>
  <c r="BF413" i="4"/>
  <c r="BT412" i="4"/>
  <c r="BF412" i="4"/>
  <c r="BT411" i="4"/>
  <c r="BF411" i="4"/>
  <c r="BT410" i="4"/>
  <c r="BF410" i="4"/>
  <c r="BT409" i="4"/>
  <c r="BF409" i="4"/>
  <c r="BT408" i="4"/>
  <c r="BF408" i="4"/>
  <c r="BT407" i="4"/>
  <c r="BF407" i="4"/>
  <c r="BT406" i="4"/>
  <c r="BF406" i="4"/>
  <c r="BT405" i="4"/>
  <c r="BF405" i="4"/>
  <c r="BT404" i="4"/>
  <c r="BF404" i="4"/>
  <c r="BT403" i="4"/>
  <c r="BF403" i="4"/>
  <c r="BT402" i="4"/>
  <c r="BF402" i="4"/>
  <c r="BT401" i="4"/>
  <c r="BF401" i="4"/>
  <c r="BT400" i="4"/>
  <c r="BF400" i="4"/>
  <c r="BT399" i="4"/>
  <c r="BF399" i="4"/>
  <c r="BT398" i="4"/>
  <c r="BF398" i="4"/>
  <c r="BT397" i="4"/>
  <c r="BF397" i="4"/>
  <c r="BT396" i="4"/>
  <c r="BF396" i="4"/>
  <c r="BT395" i="4"/>
  <c r="BF395" i="4"/>
  <c r="BT394" i="4"/>
  <c r="BF394" i="4"/>
  <c r="BT393" i="4"/>
  <c r="BF393" i="4"/>
  <c r="BT392" i="4"/>
  <c r="BF392" i="4"/>
  <c r="BT391" i="4"/>
  <c r="BF391" i="4"/>
  <c r="BT390" i="4"/>
  <c r="BT389" i="4"/>
  <c r="BF389" i="4"/>
  <c r="BT388" i="4"/>
  <c r="BF388" i="4"/>
  <c r="BT387" i="4"/>
  <c r="BF387" i="4"/>
  <c r="BT386" i="4"/>
  <c r="BF386" i="4"/>
  <c r="BT385" i="4"/>
  <c r="BF385" i="4"/>
  <c r="BT384" i="4"/>
  <c r="BF384" i="4"/>
  <c r="BT383" i="4"/>
  <c r="BF383" i="4"/>
  <c r="BT382" i="4"/>
  <c r="BF382" i="4"/>
  <c r="BT381" i="4"/>
  <c r="BF381" i="4"/>
  <c r="BT380" i="4"/>
  <c r="BF380" i="4"/>
  <c r="BT379" i="4"/>
  <c r="BF379" i="4"/>
  <c r="BT378" i="4"/>
  <c r="BF378" i="4"/>
  <c r="BT377" i="4"/>
  <c r="BF377" i="4"/>
  <c r="BT376" i="4"/>
  <c r="BF376" i="4"/>
  <c r="BT375" i="4"/>
  <c r="BT374" i="4"/>
  <c r="BF374" i="4"/>
  <c r="BT373" i="4"/>
  <c r="BF373" i="4"/>
  <c r="BT372" i="4"/>
  <c r="BF372" i="4"/>
  <c r="BT371" i="4"/>
  <c r="BF371" i="4"/>
  <c r="BT370" i="4"/>
  <c r="BF370" i="4"/>
  <c r="BT369" i="4"/>
  <c r="BF369" i="4"/>
  <c r="BT368" i="4"/>
  <c r="BF368" i="4"/>
  <c r="BT367" i="4"/>
  <c r="BF367" i="4"/>
  <c r="BT366" i="4"/>
  <c r="BT365" i="4"/>
  <c r="BF365" i="4"/>
  <c r="BT364" i="4"/>
  <c r="BF364" i="4"/>
  <c r="BT363" i="4"/>
  <c r="BF363" i="4"/>
  <c r="BT362" i="4"/>
  <c r="BF362" i="4"/>
  <c r="BT361" i="4"/>
  <c r="BF361" i="4"/>
  <c r="BT360" i="4"/>
  <c r="BF360" i="4"/>
  <c r="BT359" i="4"/>
  <c r="BF359" i="4"/>
  <c r="BT358" i="4"/>
  <c r="BF358" i="4"/>
  <c r="BT357" i="4"/>
  <c r="BF357" i="4"/>
  <c r="BT356" i="4"/>
  <c r="BF356" i="4"/>
  <c r="BT355" i="4"/>
  <c r="BF355" i="4"/>
  <c r="BT354" i="4"/>
  <c r="BF354" i="4"/>
  <c r="BT353" i="4"/>
  <c r="BF353" i="4"/>
  <c r="BT352" i="4"/>
  <c r="BF352" i="4"/>
  <c r="BT351" i="4"/>
  <c r="BF351" i="4"/>
  <c r="BT350" i="4"/>
  <c r="BF350" i="4"/>
  <c r="BT349" i="4"/>
  <c r="BF349" i="4"/>
  <c r="BT348" i="4"/>
  <c r="BF348" i="4"/>
  <c r="BT347" i="4"/>
  <c r="BF347" i="4"/>
  <c r="BT346" i="4"/>
  <c r="BT345" i="4"/>
  <c r="BT344" i="4"/>
  <c r="BF344" i="4"/>
  <c r="BT343" i="4"/>
  <c r="BF343" i="4"/>
  <c r="BT342" i="4"/>
  <c r="BT341" i="4"/>
  <c r="BT340" i="4"/>
  <c r="BF340" i="4"/>
  <c r="BT339" i="4"/>
  <c r="BF339" i="4"/>
  <c r="BT338" i="4"/>
  <c r="BT337" i="4"/>
  <c r="BF337" i="4"/>
  <c r="BT336" i="4"/>
  <c r="BF336" i="4"/>
  <c r="BT335" i="4"/>
  <c r="BF335" i="4"/>
  <c r="BT334" i="4"/>
  <c r="BF334" i="4"/>
  <c r="BT333" i="4"/>
  <c r="BF333" i="4"/>
  <c r="BT332" i="4"/>
  <c r="BF332" i="4"/>
  <c r="BT331" i="4"/>
  <c r="BF331" i="4"/>
  <c r="BT330" i="4"/>
  <c r="BF330" i="4"/>
  <c r="BT329" i="4"/>
  <c r="BF329" i="4"/>
  <c r="BT328" i="4"/>
  <c r="BF328" i="4"/>
  <c r="BT327" i="4"/>
  <c r="BF327" i="4"/>
  <c r="BT326" i="4"/>
  <c r="BF326" i="4"/>
  <c r="BT325" i="4"/>
  <c r="BT324" i="4"/>
  <c r="BF324" i="4"/>
  <c r="BT323" i="4"/>
  <c r="BF323" i="4"/>
  <c r="BT322" i="4"/>
  <c r="BF322" i="4"/>
  <c r="BT321" i="4"/>
  <c r="BF321" i="4"/>
  <c r="BT320" i="4"/>
  <c r="BF320" i="4"/>
  <c r="BT319" i="4"/>
  <c r="BT318" i="4"/>
  <c r="BF318" i="4"/>
  <c r="BT317" i="4"/>
  <c r="BF317" i="4"/>
  <c r="BT316" i="4"/>
  <c r="BT315" i="4"/>
  <c r="BF315" i="4"/>
  <c r="BT314" i="4"/>
  <c r="BF314" i="4"/>
  <c r="BT313" i="4"/>
  <c r="BF313" i="4"/>
  <c r="BT312" i="4"/>
  <c r="BF312" i="4"/>
  <c r="BT311" i="4"/>
  <c r="BF311" i="4"/>
  <c r="BT310" i="4"/>
  <c r="BF310" i="4"/>
  <c r="BT309" i="4"/>
  <c r="BF309" i="4"/>
  <c r="BT308" i="4"/>
  <c r="BF308" i="4"/>
  <c r="BT307" i="4"/>
  <c r="BF307" i="4"/>
  <c r="BT306" i="4"/>
  <c r="BF306" i="4"/>
  <c r="BT305" i="4"/>
  <c r="BF305" i="4"/>
  <c r="BT304" i="4"/>
  <c r="BF304" i="4"/>
  <c r="BT303" i="4"/>
  <c r="BF303" i="4"/>
  <c r="BT302" i="4"/>
  <c r="BF302" i="4"/>
  <c r="BT301" i="4"/>
  <c r="BF301" i="4"/>
  <c r="BT300" i="4"/>
  <c r="BT299" i="4"/>
  <c r="BF299" i="4"/>
  <c r="BT298" i="4"/>
  <c r="BF298" i="4"/>
  <c r="BT297" i="4"/>
  <c r="BF297" i="4"/>
  <c r="BT296" i="4"/>
  <c r="BF296" i="4"/>
  <c r="BT295" i="4"/>
  <c r="BF295" i="4"/>
  <c r="BT294" i="4"/>
  <c r="BF294" i="4"/>
  <c r="BT293" i="4"/>
  <c r="BT292" i="4"/>
  <c r="BF292" i="4"/>
  <c r="BT291" i="4"/>
  <c r="BF291" i="4"/>
  <c r="BT290" i="4"/>
  <c r="BF290" i="4"/>
  <c r="BT289" i="4"/>
  <c r="BF289" i="4"/>
  <c r="BT288" i="4"/>
  <c r="BF288" i="4"/>
  <c r="BT287" i="4"/>
  <c r="BF287" i="4"/>
  <c r="BT286" i="4"/>
  <c r="BF286" i="4"/>
  <c r="BT285" i="4"/>
  <c r="BF285" i="4"/>
  <c r="BT284" i="4"/>
  <c r="BF284" i="4"/>
  <c r="BT283" i="4"/>
  <c r="BT282" i="4"/>
  <c r="BF282" i="4"/>
  <c r="BT281" i="4"/>
  <c r="BF281" i="4"/>
  <c r="BT280" i="4"/>
  <c r="BF280" i="4"/>
  <c r="BT279" i="4"/>
  <c r="BF279" i="4"/>
  <c r="BT278" i="4"/>
  <c r="BF278" i="4"/>
  <c r="BT277" i="4"/>
  <c r="BF277" i="4"/>
  <c r="BT276" i="4"/>
  <c r="BT275" i="4"/>
  <c r="BF275" i="4"/>
  <c r="BT274" i="4"/>
  <c r="BF274" i="4"/>
  <c r="BT273" i="4"/>
  <c r="BT272" i="4"/>
  <c r="BF272" i="4"/>
  <c r="BT271" i="4"/>
  <c r="BF271" i="4"/>
  <c r="BT270" i="4"/>
  <c r="BF270" i="4"/>
  <c r="BT269" i="4"/>
  <c r="BF269" i="4"/>
  <c r="BT268" i="4"/>
  <c r="BF268" i="4"/>
  <c r="BT267" i="4"/>
  <c r="BF267" i="4"/>
  <c r="BT266" i="4"/>
  <c r="BT265" i="4"/>
  <c r="BF265" i="4"/>
  <c r="BT264" i="4"/>
  <c r="BF264" i="4"/>
  <c r="BT263" i="4"/>
  <c r="BF263" i="4"/>
  <c r="BT262" i="4"/>
  <c r="BF262" i="4"/>
  <c r="BT261" i="4"/>
  <c r="BF261" i="4"/>
  <c r="BT260" i="4"/>
  <c r="BF260" i="4"/>
  <c r="BT259" i="4"/>
  <c r="BF259" i="4"/>
  <c r="BT258" i="4"/>
  <c r="BF258" i="4"/>
  <c r="BT257" i="4"/>
  <c r="BF257" i="4"/>
  <c r="BT256" i="4"/>
  <c r="BF256" i="4"/>
  <c r="BT255" i="4"/>
  <c r="BF255" i="4"/>
  <c r="BT254" i="4"/>
  <c r="BF254" i="4"/>
  <c r="BT253" i="4"/>
  <c r="BF253" i="4"/>
  <c r="BT252" i="4"/>
  <c r="BF252" i="4"/>
  <c r="BT251" i="4"/>
  <c r="BF251" i="4"/>
  <c r="BT250" i="4"/>
  <c r="BF250" i="4"/>
  <c r="BT249" i="4"/>
  <c r="BF249" i="4"/>
  <c r="BT248" i="4"/>
  <c r="BT247" i="4"/>
  <c r="BF247" i="4"/>
  <c r="BT246" i="4"/>
  <c r="BF246" i="4"/>
  <c r="BT245" i="4"/>
  <c r="BF245" i="4"/>
  <c r="BT244" i="4"/>
  <c r="BF244" i="4"/>
  <c r="BT243" i="4"/>
  <c r="BF243" i="4"/>
  <c r="BT242" i="4"/>
  <c r="BF242" i="4"/>
  <c r="BT241" i="4"/>
  <c r="BF241" i="4"/>
  <c r="BT240" i="4"/>
  <c r="BF240" i="4"/>
  <c r="BT239" i="4"/>
  <c r="BF239" i="4"/>
  <c r="BT238" i="4"/>
  <c r="BF238" i="4"/>
  <c r="BT237" i="4"/>
  <c r="BF237" i="4"/>
  <c r="BT236" i="4"/>
  <c r="BF236" i="4"/>
  <c r="BT235" i="4"/>
  <c r="BF235" i="4"/>
  <c r="BT234" i="4"/>
  <c r="BF234" i="4"/>
  <c r="BT233" i="4"/>
  <c r="BF233" i="4"/>
  <c r="BT232" i="4"/>
  <c r="BF232" i="4"/>
  <c r="BT231" i="4"/>
  <c r="BF231" i="4"/>
  <c r="BT230" i="4"/>
  <c r="BF230" i="4"/>
  <c r="BT229" i="4"/>
  <c r="BF229" i="4"/>
  <c r="BT228" i="4"/>
  <c r="BF228" i="4"/>
  <c r="BT227" i="4"/>
  <c r="BF227" i="4"/>
  <c r="BT226" i="4"/>
  <c r="BF226" i="4"/>
  <c r="BT225" i="4"/>
  <c r="BF225" i="4"/>
  <c r="BT224" i="4"/>
  <c r="BF224" i="4"/>
  <c r="BT223" i="4"/>
  <c r="BT222" i="4"/>
  <c r="BT221" i="4"/>
  <c r="BF221" i="4"/>
  <c r="BT220" i="4"/>
  <c r="BF220" i="4"/>
  <c r="BT219" i="4"/>
  <c r="BF219" i="4"/>
  <c r="BT218" i="4"/>
  <c r="BF218" i="4"/>
  <c r="BT217" i="4"/>
  <c r="BF217" i="4"/>
  <c r="BT216" i="4"/>
  <c r="BF216" i="4"/>
  <c r="BT215" i="4"/>
  <c r="BF215" i="4"/>
  <c r="BT214" i="4"/>
  <c r="BF214" i="4"/>
  <c r="BT213" i="4"/>
  <c r="BF213" i="4"/>
  <c r="BT212" i="4"/>
  <c r="BF212" i="4"/>
  <c r="BT211" i="4"/>
  <c r="BF211" i="4"/>
  <c r="BT210" i="4"/>
  <c r="BF210" i="4"/>
  <c r="BT209" i="4"/>
  <c r="BF209" i="4"/>
  <c r="BT208" i="4"/>
  <c r="BF208" i="4"/>
  <c r="BT207" i="4"/>
  <c r="BF207" i="4"/>
  <c r="BT206" i="4"/>
  <c r="BF206" i="4"/>
  <c r="BT205" i="4"/>
  <c r="BF205" i="4"/>
  <c r="BT204" i="4"/>
  <c r="BF204" i="4"/>
  <c r="BT203" i="4"/>
  <c r="BF203" i="4"/>
  <c r="BT202" i="4"/>
  <c r="BF202" i="4"/>
  <c r="BT201" i="4"/>
  <c r="BF201" i="4"/>
  <c r="BT200" i="4"/>
  <c r="BF200" i="4"/>
  <c r="BT199" i="4"/>
  <c r="BF199" i="4"/>
  <c r="BT198" i="4"/>
  <c r="BF198" i="4"/>
  <c r="BT197" i="4"/>
  <c r="BT196" i="4"/>
  <c r="BF196" i="4"/>
  <c r="BT195" i="4"/>
  <c r="BF195" i="4"/>
  <c r="BT194" i="4"/>
  <c r="BF194" i="4"/>
  <c r="BT193" i="4"/>
  <c r="BT192" i="4"/>
  <c r="BF192" i="4"/>
  <c r="BT191" i="4"/>
  <c r="BF191" i="4"/>
  <c r="BT190" i="4"/>
  <c r="BF190" i="4"/>
  <c r="BT189" i="4"/>
  <c r="BF189" i="4"/>
  <c r="BT188" i="4"/>
  <c r="BF188" i="4"/>
  <c r="BT187" i="4"/>
  <c r="BF187" i="4"/>
  <c r="BT186" i="4"/>
  <c r="BF186" i="4"/>
  <c r="BT185" i="4"/>
  <c r="BF185" i="4"/>
  <c r="BT184" i="4"/>
  <c r="BF184" i="4"/>
  <c r="BT183" i="4"/>
  <c r="BF183" i="4"/>
  <c r="BT182" i="4"/>
  <c r="BF182" i="4"/>
  <c r="BT181" i="4"/>
  <c r="BT180" i="4"/>
  <c r="BF180" i="4"/>
  <c r="BT179" i="4"/>
  <c r="BF179" i="4"/>
  <c r="BT178" i="4"/>
  <c r="BF178" i="4"/>
  <c r="BT177" i="4"/>
  <c r="BF177" i="4"/>
  <c r="BT176" i="4"/>
  <c r="BF176" i="4"/>
  <c r="BT175" i="4"/>
  <c r="BT174" i="4"/>
  <c r="BF174" i="4"/>
  <c r="BT173" i="4"/>
  <c r="BF173" i="4"/>
  <c r="BT172" i="4"/>
  <c r="BF172" i="4"/>
  <c r="BT171" i="4"/>
  <c r="BF171" i="4"/>
  <c r="BT170" i="4"/>
  <c r="BF170" i="4"/>
  <c r="BT169" i="4"/>
  <c r="BF169" i="4"/>
  <c r="BT168" i="4"/>
  <c r="BF168" i="4"/>
  <c r="BT167" i="4"/>
  <c r="BF167" i="4"/>
  <c r="BT166" i="4"/>
  <c r="BF166" i="4"/>
  <c r="BT165" i="4"/>
  <c r="BF165" i="4"/>
  <c r="BT164" i="4"/>
  <c r="BF164" i="4"/>
  <c r="BT163" i="4"/>
  <c r="BT162" i="4"/>
  <c r="BF162" i="4"/>
  <c r="BT161" i="4"/>
  <c r="BF161" i="4"/>
  <c r="BT160" i="4"/>
  <c r="BF160" i="4"/>
  <c r="BT159" i="4"/>
  <c r="BT158" i="4"/>
  <c r="BF158" i="4"/>
  <c r="BT157" i="4"/>
  <c r="BF157" i="4"/>
  <c r="BT156" i="4"/>
  <c r="BF156" i="4"/>
  <c r="BT155" i="4"/>
  <c r="BF155" i="4"/>
  <c r="BT154" i="4"/>
  <c r="BF154" i="4"/>
  <c r="BT153" i="4"/>
  <c r="BF153" i="4"/>
  <c r="BT152" i="4"/>
  <c r="BF152" i="4"/>
  <c r="BT151" i="4"/>
  <c r="BT150" i="4"/>
  <c r="BF150" i="4"/>
  <c r="BT149" i="4"/>
  <c r="BF149" i="4"/>
  <c r="BT148" i="4"/>
  <c r="BF148" i="4"/>
  <c r="BT147" i="4"/>
  <c r="BF147" i="4"/>
  <c r="BT146" i="4"/>
  <c r="BF146" i="4"/>
  <c r="BT145" i="4"/>
  <c r="BF145" i="4"/>
  <c r="BT144" i="4"/>
  <c r="BF144" i="4"/>
  <c r="BT143" i="4"/>
  <c r="BT142" i="4"/>
  <c r="BF142" i="4"/>
  <c r="BT141" i="4"/>
  <c r="BF141" i="4"/>
  <c r="BT140" i="4"/>
  <c r="BF140" i="4"/>
  <c r="BT139" i="4"/>
  <c r="BF139" i="4"/>
  <c r="BT138" i="4"/>
  <c r="BF138" i="4"/>
  <c r="BT137" i="4"/>
  <c r="BF137" i="4"/>
  <c r="BT136" i="4"/>
  <c r="BF136" i="4"/>
  <c r="BT135" i="4"/>
  <c r="BF135" i="4"/>
  <c r="BT134" i="4"/>
  <c r="BF134" i="4"/>
  <c r="BT133" i="4"/>
  <c r="BF133" i="4"/>
  <c r="BT132" i="4"/>
  <c r="BF132" i="4"/>
  <c r="BT131" i="4"/>
  <c r="BF131" i="4"/>
  <c r="BT130" i="4"/>
  <c r="BF130" i="4"/>
  <c r="BT129" i="4"/>
  <c r="BF129" i="4"/>
  <c r="BT128" i="4"/>
  <c r="BT127" i="4"/>
  <c r="BF127" i="4"/>
  <c r="BT126" i="4"/>
  <c r="BF126" i="4"/>
  <c r="BT125" i="4"/>
  <c r="BF125" i="4"/>
  <c r="BT124" i="4"/>
  <c r="BF124" i="4"/>
  <c r="BT123" i="4"/>
  <c r="BF123" i="4"/>
  <c r="BT122" i="4"/>
  <c r="BF122" i="4"/>
  <c r="BT121" i="4"/>
  <c r="BF121" i="4"/>
  <c r="BT120" i="4"/>
  <c r="BF120" i="4"/>
  <c r="BT119" i="4"/>
  <c r="BF119" i="4"/>
  <c r="BT118" i="4"/>
  <c r="BF118" i="4"/>
  <c r="BT117" i="4"/>
  <c r="BF117" i="4"/>
  <c r="BT116" i="4"/>
  <c r="BF116" i="4"/>
  <c r="BT115" i="4"/>
  <c r="BF115" i="4"/>
  <c r="BT114" i="4"/>
  <c r="BF114" i="4"/>
  <c r="BT113" i="4"/>
  <c r="BF113" i="4"/>
  <c r="BT112" i="4"/>
  <c r="BT111" i="4"/>
  <c r="BF111" i="4"/>
  <c r="BT110" i="4"/>
  <c r="BF110" i="4"/>
  <c r="BT109" i="4"/>
  <c r="BF109" i="4"/>
  <c r="BT108" i="4"/>
  <c r="BF108" i="4"/>
  <c r="BT107" i="4"/>
  <c r="BF107" i="4"/>
  <c r="BT106" i="4"/>
  <c r="BF106" i="4"/>
  <c r="BT105" i="4"/>
  <c r="BF105" i="4"/>
  <c r="BT104" i="4"/>
  <c r="BF104" i="4"/>
  <c r="BT103" i="4"/>
  <c r="BF103" i="4"/>
  <c r="BT102" i="4"/>
  <c r="BF102" i="4"/>
  <c r="BT101" i="4"/>
  <c r="BF101" i="4"/>
  <c r="BT100" i="4"/>
  <c r="BF100" i="4"/>
  <c r="BT99" i="4"/>
  <c r="BF99" i="4"/>
  <c r="BT98" i="4"/>
  <c r="BF98" i="4"/>
  <c r="BT97" i="4"/>
  <c r="BF97" i="4"/>
  <c r="BT96" i="4"/>
  <c r="BF96" i="4"/>
  <c r="BT95" i="4"/>
  <c r="BF95" i="4"/>
  <c r="BT94" i="4"/>
  <c r="BF94" i="4"/>
  <c r="BT93" i="4"/>
  <c r="BF93" i="4"/>
  <c r="BT92" i="4"/>
  <c r="BF92" i="4"/>
  <c r="BT91" i="4"/>
  <c r="BF91" i="4"/>
  <c r="BT90" i="4"/>
  <c r="BF90" i="4"/>
  <c r="BT89" i="4"/>
  <c r="BF89" i="4"/>
  <c r="BT88" i="4"/>
  <c r="BF88" i="4"/>
  <c r="BT87" i="4"/>
  <c r="BF87" i="4"/>
  <c r="BT86" i="4"/>
  <c r="BF86" i="4"/>
  <c r="BT85" i="4"/>
  <c r="BF85" i="4"/>
  <c r="BT84" i="4"/>
  <c r="BF84" i="4"/>
  <c r="BT83" i="4"/>
  <c r="BF83" i="4"/>
  <c r="BT82" i="4"/>
  <c r="BF82" i="4"/>
  <c r="BT81" i="4"/>
  <c r="BT80" i="4"/>
  <c r="BF80" i="4"/>
  <c r="BT79" i="4"/>
  <c r="BF79" i="4"/>
  <c r="BT78" i="4"/>
  <c r="BF78" i="4"/>
  <c r="BT77" i="4"/>
  <c r="BF77" i="4"/>
  <c r="BT76" i="4"/>
  <c r="BF76" i="4"/>
  <c r="BT75" i="4"/>
  <c r="BF75" i="4"/>
  <c r="BT74" i="4"/>
  <c r="BF74" i="4"/>
  <c r="BT73" i="4"/>
  <c r="BF73" i="4"/>
  <c r="BT72" i="4"/>
  <c r="BF72" i="4"/>
  <c r="BT71" i="4"/>
  <c r="BT70" i="4"/>
  <c r="BF70" i="4"/>
  <c r="BT69" i="4"/>
  <c r="BF69" i="4"/>
  <c r="BT68" i="4"/>
  <c r="BF68" i="4"/>
  <c r="BT67" i="4"/>
  <c r="BF67" i="4"/>
  <c r="BT66" i="4"/>
  <c r="BF66" i="4"/>
  <c r="BT65" i="4"/>
  <c r="BF65" i="4"/>
  <c r="BT64" i="4"/>
  <c r="BF64" i="4"/>
  <c r="BT63" i="4"/>
  <c r="BF63" i="4"/>
  <c r="BT62" i="4"/>
  <c r="BF62" i="4"/>
  <c r="BT61" i="4"/>
  <c r="BF61" i="4"/>
  <c r="BT60" i="4"/>
  <c r="BF60" i="4"/>
  <c r="BT59" i="4"/>
  <c r="BF59" i="4"/>
  <c r="BT58" i="4"/>
  <c r="BF58" i="4"/>
  <c r="BT57" i="4"/>
  <c r="BF57" i="4"/>
  <c r="BT56" i="4"/>
  <c r="BF56" i="4"/>
  <c r="BT55" i="4"/>
  <c r="BF55" i="4"/>
  <c r="BT54" i="4"/>
  <c r="BF54" i="4"/>
  <c r="BT53" i="4"/>
  <c r="BF53" i="4"/>
  <c r="BT52" i="4"/>
  <c r="BF52" i="4"/>
  <c r="BT51" i="4"/>
  <c r="BF51" i="4"/>
  <c r="BT50" i="4"/>
  <c r="BF50" i="4"/>
  <c r="BT49" i="4"/>
  <c r="BF49" i="4"/>
  <c r="BT48" i="4"/>
  <c r="BF48" i="4"/>
  <c r="BT47" i="4"/>
  <c r="BF47" i="4"/>
  <c r="BT46" i="4"/>
  <c r="BF46" i="4"/>
  <c r="BT45" i="4"/>
  <c r="BF45" i="4"/>
  <c r="BT44" i="4"/>
  <c r="BF44" i="4"/>
  <c r="BT43" i="4"/>
  <c r="BF43" i="4"/>
  <c r="BT42" i="4"/>
  <c r="BF42" i="4"/>
  <c r="BT41" i="4"/>
  <c r="BF41" i="4"/>
  <c r="BT40" i="4"/>
  <c r="BF40" i="4"/>
  <c r="BT39" i="4"/>
  <c r="BF39" i="4"/>
  <c r="BT38" i="4"/>
  <c r="BF38" i="4"/>
  <c r="BT37" i="4"/>
  <c r="BF37" i="4"/>
  <c r="BT36" i="4"/>
  <c r="BT35" i="4"/>
  <c r="BF35" i="4"/>
  <c r="BT34" i="4"/>
  <c r="BF34" i="4"/>
  <c r="BT33" i="4"/>
  <c r="BF33" i="4"/>
  <c r="BT32" i="4"/>
  <c r="BF32" i="4"/>
  <c r="BT31" i="4"/>
  <c r="BF31" i="4"/>
  <c r="BT30" i="4"/>
  <c r="BF30" i="4"/>
  <c r="BT29" i="4"/>
  <c r="BF29" i="4"/>
  <c r="BT28" i="4"/>
  <c r="BF28" i="4"/>
  <c r="BT27" i="4"/>
  <c r="BF27" i="4"/>
  <c r="BT26" i="4"/>
  <c r="BF26" i="4"/>
  <c r="BT25" i="4"/>
  <c r="BF25" i="4"/>
  <c r="BT24" i="4"/>
  <c r="BT23" i="4"/>
  <c r="BF23" i="4"/>
  <c r="BT22" i="4"/>
  <c r="BF22" i="4"/>
  <c r="BT21" i="4"/>
  <c r="BF21" i="4"/>
  <c r="BT20" i="4"/>
  <c r="BF20" i="4"/>
  <c r="BT19" i="4"/>
  <c r="BF19" i="4"/>
  <c r="BT18" i="4"/>
  <c r="BF18" i="4"/>
  <c r="BT17" i="4"/>
  <c r="BF17" i="4"/>
  <c r="BT16" i="4"/>
  <c r="BF16" i="4"/>
  <c r="BT15" i="4"/>
  <c r="BF15" i="4"/>
  <c r="BT14" i="4"/>
  <c r="BF14" i="4"/>
  <c r="BT13" i="4"/>
  <c r="BF13" i="4"/>
  <c r="BT12" i="4"/>
  <c r="BF12" i="4"/>
  <c r="BT11" i="4"/>
  <c r="BF11" i="4"/>
  <c r="BT10" i="4"/>
  <c r="BF10" i="4"/>
  <c r="BT9" i="4"/>
  <c r="BF9" i="4"/>
  <c r="BT8" i="4"/>
  <c r="BF8" i="4"/>
  <c r="BT7" i="4"/>
  <c r="BF7" i="4"/>
  <c r="BT6" i="4"/>
  <c r="BF6" i="4"/>
  <c r="BT5" i="4"/>
  <c r="BF5" i="4"/>
  <c r="BT4" i="4"/>
  <c r="BF4" i="4"/>
  <c r="BT3" i="4"/>
  <c r="BF3" i="4"/>
  <c r="BT2" i="4"/>
  <c r="BF2" i="4"/>
  <c r="BT68" i="2"/>
  <c r="BF68" i="2"/>
  <c r="BT1163" i="2"/>
  <c r="BF1163" i="2"/>
  <c r="BT1162" i="2"/>
  <c r="BF1162" i="2"/>
  <c r="BT1161" i="2"/>
  <c r="BF1161" i="2"/>
  <c r="BT1160" i="2"/>
  <c r="BF1160" i="2"/>
  <c r="BT1159" i="2"/>
  <c r="BT1158" i="2"/>
  <c r="BF1158" i="2"/>
  <c r="BT1157" i="2"/>
  <c r="BF1157" i="2"/>
  <c r="BT1156" i="2"/>
  <c r="BF1156" i="2"/>
  <c r="BT1155" i="2"/>
  <c r="BF1155" i="2"/>
  <c r="BT1154" i="2"/>
  <c r="BF1154" i="2"/>
  <c r="BT67" i="2"/>
  <c r="BF67" i="2"/>
  <c r="BT66" i="2"/>
  <c r="BF66" i="2"/>
  <c r="BT65" i="2"/>
  <c r="BF65" i="2"/>
  <c r="BT1153" i="2"/>
  <c r="BF1153" i="2"/>
  <c r="BT1152" i="2"/>
  <c r="BF1152" i="2"/>
  <c r="BT1151" i="2"/>
  <c r="BF1151" i="2"/>
  <c r="BT1150" i="2"/>
  <c r="BF1150" i="2"/>
  <c r="BT1149" i="2"/>
  <c r="BF1149" i="2"/>
  <c r="BT1148" i="2"/>
  <c r="BF1148" i="2"/>
  <c r="BT1147" i="2"/>
  <c r="BF1147" i="2"/>
  <c r="BT102" i="2"/>
  <c r="BF102" i="2"/>
  <c r="BT64" i="2"/>
  <c r="BF64" i="2"/>
  <c r="BT1146" i="2"/>
  <c r="BF1146" i="2"/>
  <c r="BT1145" i="2"/>
  <c r="BF1145" i="2"/>
  <c r="BT1144" i="2"/>
  <c r="BF1144" i="2"/>
  <c r="BT1143" i="2"/>
  <c r="BF1143" i="2"/>
  <c r="BT1142" i="2"/>
  <c r="BF1142" i="2"/>
  <c r="BT1141" i="2"/>
  <c r="BF1141" i="2"/>
  <c r="BT1140" i="2"/>
  <c r="BF1140" i="2"/>
  <c r="BT1139" i="2"/>
  <c r="BF1139" i="2"/>
  <c r="BT1138" i="2"/>
  <c r="BT1137" i="2"/>
  <c r="BT1136" i="2"/>
  <c r="BF1136" i="2"/>
  <c r="BT1135" i="2"/>
  <c r="BF1135" i="2"/>
  <c r="BT1134" i="2"/>
  <c r="BF1134" i="2"/>
  <c r="BT1133" i="2"/>
  <c r="BF1133" i="2"/>
  <c r="BT1132" i="2"/>
  <c r="BF1132" i="2"/>
  <c r="BT1131" i="2"/>
  <c r="BF1131" i="2"/>
  <c r="BT1130" i="2"/>
  <c r="BF1130" i="2"/>
  <c r="BT1129" i="2"/>
  <c r="BF1129" i="2"/>
  <c r="BT1128" i="2"/>
  <c r="BT1127" i="2"/>
  <c r="BF1127" i="2"/>
  <c r="BT1126" i="2"/>
  <c r="BF1126" i="2"/>
  <c r="BT1125" i="2"/>
  <c r="BF1125" i="2"/>
  <c r="BT1124" i="2"/>
  <c r="BF1124" i="2"/>
  <c r="BT1123" i="2"/>
  <c r="BF1123" i="2"/>
  <c r="BT1122" i="2"/>
  <c r="BF1122" i="2"/>
  <c r="BT1121" i="2"/>
  <c r="BF1121" i="2"/>
  <c r="BT1120" i="2"/>
  <c r="BF1120" i="2"/>
  <c r="BT1119" i="2"/>
  <c r="BF1119" i="2"/>
  <c r="BT1118" i="2"/>
  <c r="BF1118" i="2"/>
  <c r="BT63" i="2"/>
  <c r="BF63" i="2"/>
  <c r="BT1117" i="2"/>
  <c r="BF1117" i="2"/>
  <c r="BT1116" i="2"/>
  <c r="BF1116" i="2"/>
  <c r="BT1115" i="2"/>
  <c r="BF1115" i="2"/>
  <c r="BT1114" i="2"/>
  <c r="BF1114" i="2"/>
  <c r="BT1113" i="2"/>
  <c r="BF1113" i="2"/>
  <c r="BT1112" i="2"/>
  <c r="BF1112" i="2"/>
  <c r="BT1111" i="2"/>
  <c r="BF1111" i="2"/>
  <c r="BT1110" i="2"/>
  <c r="BF1110" i="2"/>
  <c r="BT1109" i="2"/>
  <c r="BF1109" i="2"/>
  <c r="BT1108" i="2"/>
  <c r="BF1108" i="2"/>
  <c r="BT1107" i="2"/>
  <c r="BF1107" i="2"/>
  <c r="BT1106" i="2"/>
  <c r="BF1106" i="2"/>
  <c r="BT1105" i="2"/>
  <c r="BF1105" i="2"/>
  <c r="BT1104" i="2"/>
  <c r="BF1104" i="2"/>
  <c r="BT1103" i="2"/>
  <c r="BF1103" i="2"/>
  <c r="BT1102" i="2"/>
  <c r="BF1102" i="2"/>
  <c r="BT1101" i="2"/>
  <c r="BF1101" i="2"/>
  <c r="BT1100" i="2"/>
  <c r="BF1100" i="2"/>
  <c r="BT1099" i="2"/>
  <c r="BF1099" i="2"/>
  <c r="BT1098" i="2"/>
  <c r="BF1098" i="2"/>
  <c r="BT1097" i="2"/>
  <c r="BF1097" i="2"/>
  <c r="BT1096" i="2"/>
  <c r="BF1096" i="2"/>
  <c r="BT1095" i="2"/>
  <c r="BF1095" i="2"/>
  <c r="BT1094" i="2"/>
  <c r="BF1094" i="2"/>
  <c r="BT1093" i="2"/>
  <c r="BF1093" i="2"/>
  <c r="BT1092" i="2"/>
  <c r="BF1092" i="2"/>
  <c r="BT1091" i="2"/>
  <c r="BF1091" i="2"/>
  <c r="BT1090" i="2"/>
  <c r="BF1090" i="2"/>
  <c r="BT1089" i="2"/>
  <c r="BF1089" i="2"/>
  <c r="BT1088" i="2"/>
  <c r="BT1087" i="2"/>
  <c r="BF1087" i="2"/>
  <c r="BT1086" i="2"/>
  <c r="BF1086" i="2"/>
  <c r="BT1085" i="2"/>
  <c r="BF1085" i="2"/>
  <c r="BT1084" i="2"/>
  <c r="BF1084" i="2"/>
  <c r="BT1083" i="2"/>
  <c r="BF1083" i="2"/>
  <c r="BT1082" i="2"/>
  <c r="BT101" i="2"/>
  <c r="BF101" i="2"/>
  <c r="BT1081" i="2"/>
  <c r="BF1081" i="2"/>
  <c r="BT1080" i="2"/>
  <c r="BF1080" i="2"/>
  <c r="BT1079" i="2"/>
  <c r="BF1079" i="2"/>
  <c r="BT62" i="2"/>
  <c r="BF62" i="2"/>
  <c r="BT1078" i="2"/>
  <c r="BF1078" i="2"/>
  <c r="BT1077" i="2"/>
  <c r="BF1077" i="2"/>
  <c r="BT1076" i="2"/>
  <c r="BF1076" i="2"/>
  <c r="BT1075" i="2"/>
  <c r="BF1075" i="2"/>
  <c r="BT1074" i="2"/>
  <c r="BF1074" i="2"/>
  <c r="BT1073" i="2"/>
  <c r="BF1073" i="2"/>
  <c r="BT1072" i="2"/>
  <c r="BF1072" i="2"/>
  <c r="BT1071" i="2"/>
  <c r="BF1071" i="2"/>
  <c r="BT1070" i="2"/>
  <c r="BF1070" i="2"/>
  <c r="BT1069" i="2"/>
  <c r="BF1069" i="2"/>
  <c r="BT1068" i="2"/>
  <c r="BF1068" i="2"/>
  <c r="BT1067" i="2"/>
  <c r="BT1066" i="2"/>
  <c r="BF1066" i="2"/>
  <c r="BT1065" i="2"/>
  <c r="BF1065" i="2"/>
  <c r="BT1064" i="2"/>
  <c r="BF1064" i="2"/>
  <c r="BT1063" i="2"/>
  <c r="BF1063" i="2"/>
  <c r="BT1062" i="2"/>
  <c r="BF1062" i="2"/>
  <c r="BT1061" i="2"/>
  <c r="BF1061" i="2"/>
  <c r="BT1060" i="2"/>
  <c r="BF1060" i="2"/>
  <c r="BT1059" i="2"/>
  <c r="BT1058" i="2"/>
  <c r="BF1058" i="2"/>
  <c r="BT1057" i="2"/>
  <c r="BF1057" i="2"/>
  <c r="BT1056" i="2"/>
  <c r="BF1056" i="2"/>
  <c r="BT1055" i="2"/>
  <c r="BF1055" i="2"/>
  <c r="BT1054" i="2"/>
  <c r="BT1053" i="2"/>
  <c r="BF1053" i="2"/>
  <c r="BT1052" i="2"/>
  <c r="BF1052" i="2"/>
  <c r="BT1051" i="2"/>
  <c r="BF1051" i="2"/>
  <c r="BT1050" i="2"/>
  <c r="BF1050" i="2"/>
  <c r="BT1049" i="2"/>
  <c r="BF1049" i="2"/>
  <c r="BT1048" i="2"/>
  <c r="BF1048" i="2"/>
  <c r="BT1047" i="2"/>
  <c r="BF1047" i="2"/>
  <c r="BT1046" i="2"/>
  <c r="BF1046" i="2"/>
  <c r="BT1045" i="2"/>
  <c r="BF1045" i="2"/>
  <c r="BT1044" i="2"/>
  <c r="BF1044" i="2"/>
  <c r="BT1043" i="2"/>
  <c r="BF1043" i="2"/>
  <c r="BT1042" i="2"/>
  <c r="BF1042" i="2"/>
  <c r="BT61" i="2"/>
  <c r="BF61" i="2"/>
  <c r="BT1041" i="2"/>
  <c r="BT1040" i="2"/>
  <c r="BF1040" i="2"/>
  <c r="BT60" i="2"/>
  <c r="BF60" i="2"/>
  <c r="BT59" i="2"/>
  <c r="BF59" i="2"/>
  <c r="BT1039" i="2"/>
  <c r="BF1039" i="2"/>
  <c r="BT1038" i="2"/>
  <c r="BT1037" i="2"/>
  <c r="BF1037" i="2"/>
  <c r="BT1036" i="2"/>
  <c r="BT1035" i="2"/>
  <c r="BF1035" i="2"/>
  <c r="BT1034" i="2"/>
  <c r="BT1033" i="2"/>
  <c r="BF1033" i="2"/>
  <c r="BT1032" i="2"/>
  <c r="BF1032" i="2"/>
  <c r="BT1031" i="2"/>
  <c r="BF1031" i="2"/>
  <c r="BT1030" i="2"/>
  <c r="BF1030" i="2"/>
  <c r="BT58" i="2"/>
  <c r="BF58" i="2"/>
  <c r="BT1029" i="2"/>
  <c r="BT1028" i="2"/>
  <c r="BF1028" i="2"/>
  <c r="BT1027" i="2"/>
  <c r="BF1027" i="2"/>
  <c r="BT1026" i="2"/>
  <c r="BF1026" i="2"/>
  <c r="BT1025" i="2"/>
  <c r="BF1025" i="2"/>
  <c r="BT1024" i="2"/>
  <c r="BF1024" i="2"/>
  <c r="BT1023" i="2"/>
  <c r="BF1023" i="2"/>
  <c r="BT1022" i="2"/>
  <c r="BF1022" i="2"/>
  <c r="BT1021" i="2"/>
  <c r="BF1021" i="2"/>
  <c r="BT1020" i="2"/>
  <c r="BF1020" i="2"/>
  <c r="BT1019" i="2"/>
  <c r="BF1019" i="2"/>
  <c r="BT100" i="2"/>
  <c r="BF100" i="2"/>
  <c r="BT1018" i="2"/>
  <c r="BF1018" i="2"/>
  <c r="BT1017" i="2"/>
  <c r="BF1017" i="2"/>
  <c r="BT57" i="2"/>
  <c r="BF57" i="2"/>
  <c r="BT1016" i="2"/>
  <c r="BF1016" i="2"/>
  <c r="BT1015" i="2"/>
  <c r="BF1015" i="2"/>
  <c r="BT1014" i="2"/>
  <c r="BF1014" i="2"/>
  <c r="BT1013" i="2"/>
  <c r="BF1013" i="2"/>
  <c r="BT99" i="2"/>
  <c r="BF99" i="2"/>
  <c r="BT1012" i="2"/>
  <c r="BF1012" i="2"/>
  <c r="BT1011" i="2"/>
  <c r="BF1011" i="2"/>
  <c r="BT1010" i="2"/>
  <c r="BF1010" i="2"/>
  <c r="BT1009" i="2"/>
  <c r="BF1009" i="2"/>
  <c r="BT1008" i="2"/>
  <c r="BF1008" i="2"/>
  <c r="BT1007" i="2"/>
  <c r="BF1007" i="2"/>
  <c r="BT1006" i="2"/>
  <c r="BF1006" i="2"/>
  <c r="BT1005" i="2"/>
  <c r="BT1004" i="2"/>
  <c r="BF1004" i="2"/>
  <c r="BT1003" i="2"/>
  <c r="BF1003" i="2"/>
  <c r="BT1002" i="2"/>
  <c r="BT1001" i="2"/>
  <c r="BF1001" i="2"/>
  <c r="BT1000" i="2"/>
  <c r="BF1000" i="2"/>
  <c r="BT999" i="2"/>
  <c r="BF999" i="2"/>
  <c r="BT998" i="2"/>
  <c r="BF998" i="2"/>
  <c r="BT56" i="2"/>
  <c r="BF56" i="2"/>
  <c r="BT997" i="2"/>
  <c r="BF997" i="2"/>
  <c r="BT98" i="2"/>
  <c r="BF98" i="2"/>
  <c r="BT996" i="2"/>
  <c r="BF996" i="2"/>
  <c r="BT995" i="2"/>
  <c r="BF995" i="2"/>
  <c r="BT994" i="2"/>
  <c r="BT993" i="2"/>
  <c r="BF993" i="2"/>
  <c r="BT992" i="2"/>
  <c r="BT991" i="2"/>
  <c r="BF991" i="2"/>
  <c r="BT990" i="2"/>
  <c r="BF990" i="2"/>
  <c r="BT989" i="2"/>
  <c r="BF989" i="2"/>
  <c r="BT988" i="2"/>
  <c r="BF988" i="2"/>
  <c r="BT987" i="2"/>
  <c r="BF987" i="2"/>
  <c r="BT986" i="2"/>
  <c r="BF986" i="2"/>
  <c r="BT985" i="2"/>
  <c r="BF985" i="2"/>
  <c r="BT984" i="2"/>
  <c r="BF984" i="2"/>
  <c r="BT983" i="2"/>
  <c r="BT982" i="2"/>
  <c r="BF982" i="2"/>
  <c r="BT981" i="2"/>
  <c r="BF981" i="2"/>
  <c r="BT980" i="2"/>
  <c r="BF980" i="2"/>
  <c r="BT979" i="2"/>
  <c r="BF979" i="2"/>
  <c r="BT978" i="2"/>
  <c r="BF978" i="2"/>
  <c r="BT977" i="2"/>
  <c r="BT976" i="2"/>
  <c r="BF976" i="2"/>
  <c r="BT97" i="2"/>
  <c r="BF97" i="2"/>
  <c r="BT975" i="2"/>
  <c r="BF975" i="2"/>
  <c r="BT974" i="2"/>
  <c r="BF974" i="2"/>
  <c r="BT973" i="2"/>
  <c r="BT972" i="2"/>
  <c r="BF972" i="2"/>
  <c r="BT971" i="2"/>
  <c r="BF971" i="2"/>
  <c r="BT970" i="2"/>
  <c r="BF970" i="2"/>
  <c r="BT969" i="2"/>
  <c r="BF969" i="2"/>
  <c r="BT968" i="2"/>
  <c r="BT967" i="2"/>
  <c r="BF967" i="2"/>
  <c r="BT966" i="2"/>
  <c r="BF966" i="2"/>
  <c r="BT55" i="2"/>
  <c r="BF55" i="2"/>
  <c r="BT54" i="2"/>
  <c r="BF54" i="2"/>
  <c r="BT965" i="2"/>
  <c r="BT964" i="2"/>
  <c r="BF964" i="2"/>
  <c r="BT53" i="2"/>
  <c r="BF53" i="2"/>
  <c r="BT96" i="2"/>
  <c r="BF96" i="2"/>
  <c r="BT963" i="2"/>
  <c r="BF963" i="2"/>
  <c r="BT962" i="2"/>
  <c r="BF962" i="2"/>
  <c r="BT961" i="2"/>
  <c r="BT960" i="2"/>
  <c r="BF960" i="2"/>
  <c r="BT959" i="2"/>
  <c r="BF959" i="2"/>
  <c r="BT958" i="2"/>
  <c r="BF958" i="2"/>
  <c r="BT957" i="2"/>
  <c r="BF957" i="2"/>
  <c r="BT956" i="2"/>
  <c r="BF956" i="2"/>
  <c r="BT955" i="2"/>
  <c r="BF955" i="2"/>
  <c r="BT954" i="2"/>
  <c r="BT953" i="2"/>
  <c r="BF953" i="2"/>
  <c r="BT952" i="2"/>
  <c r="BF952" i="2"/>
  <c r="BT951" i="2"/>
  <c r="BF951" i="2"/>
  <c r="BT950" i="2"/>
  <c r="BF950" i="2"/>
  <c r="BT949" i="2"/>
  <c r="BF949" i="2"/>
  <c r="BT948" i="2"/>
  <c r="BF948" i="2"/>
  <c r="BT95" i="2"/>
  <c r="BF95" i="2"/>
  <c r="BT947" i="2"/>
  <c r="BT946" i="2"/>
  <c r="BF946" i="2"/>
  <c r="BT945" i="2"/>
  <c r="BF945" i="2"/>
  <c r="BT944" i="2"/>
  <c r="BF944" i="2"/>
  <c r="BT943" i="2"/>
  <c r="BT942" i="2"/>
  <c r="BF942" i="2"/>
  <c r="BT941" i="2"/>
  <c r="BF941" i="2"/>
  <c r="BT940" i="2"/>
  <c r="BF940" i="2"/>
  <c r="BT939" i="2"/>
  <c r="BF939" i="2"/>
  <c r="BT938" i="2"/>
  <c r="BF938" i="2"/>
  <c r="BT937" i="2"/>
  <c r="BF937" i="2"/>
  <c r="BT94" i="2"/>
  <c r="BF94" i="2"/>
  <c r="BT936" i="2"/>
  <c r="BF936" i="2"/>
  <c r="BT935" i="2"/>
  <c r="BF935" i="2"/>
  <c r="BT934" i="2"/>
  <c r="BF934" i="2"/>
  <c r="BT933" i="2"/>
  <c r="BF933" i="2"/>
  <c r="BT932" i="2"/>
  <c r="BF932" i="2"/>
  <c r="BT931" i="2"/>
  <c r="BF931" i="2"/>
  <c r="BT930" i="2"/>
  <c r="BF930" i="2"/>
  <c r="BT929" i="2"/>
  <c r="BF929" i="2"/>
  <c r="BT52" i="2"/>
  <c r="BF52" i="2"/>
  <c r="BT928" i="2"/>
  <c r="BF928" i="2"/>
  <c r="BT927" i="2"/>
  <c r="BF927" i="2"/>
  <c r="BT926" i="2"/>
  <c r="BF926" i="2"/>
  <c r="BT93" i="2"/>
  <c r="BF93" i="2"/>
  <c r="BT925" i="2"/>
  <c r="BF925" i="2"/>
  <c r="BT924" i="2"/>
  <c r="BF924" i="2"/>
  <c r="BT92" i="2"/>
  <c r="BF92" i="2"/>
  <c r="BT51" i="2"/>
  <c r="BF51" i="2"/>
  <c r="BT923" i="2"/>
  <c r="BF923" i="2"/>
  <c r="BT922" i="2"/>
  <c r="BF922" i="2"/>
  <c r="BT921" i="2"/>
  <c r="BF921" i="2"/>
  <c r="BT920" i="2"/>
  <c r="BF920" i="2"/>
  <c r="BT919" i="2"/>
  <c r="BF919" i="2"/>
  <c r="BT918" i="2"/>
  <c r="BF918" i="2"/>
  <c r="BT917" i="2"/>
  <c r="BF917" i="2"/>
  <c r="BT916" i="2"/>
  <c r="BF916" i="2"/>
  <c r="BT915" i="2"/>
  <c r="BF915" i="2"/>
  <c r="BT914" i="2"/>
  <c r="BF914" i="2"/>
  <c r="BT50" i="2"/>
  <c r="BF50" i="2"/>
  <c r="BT913" i="2"/>
  <c r="BF913" i="2"/>
  <c r="BT49" i="2"/>
  <c r="BF49" i="2"/>
  <c r="BT912" i="2"/>
  <c r="BF912" i="2"/>
  <c r="BT911" i="2"/>
  <c r="BF911" i="2"/>
  <c r="BT910" i="2"/>
  <c r="BF910" i="2"/>
  <c r="BT909" i="2"/>
  <c r="BF909" i="2"/>
  <c r="BT908" i="2"/>
  <c r="BF908" i="2"/>
  <c r="BT48" i="2"/>
  <c r="BF48" i="2"/>
  <c r="BT907" i="2"/>
  <c r="BF907" i="2"/>
  <c r="BT47" i="2"/>
  <c r="BF47" i="2"/>
  <c r="BT906" i="2"/>
  <c r="BF906" i="2"/>
  <c r="BT905" i="2"/>
  <c r="BF905" i="2"/>
  <c r="BT904" i="2"/>
  <c r="BF904" i="2"/>
  <c r="BT903" i="2"/>
  <c r="BF903" i="2"/>
  <c r="BT902" i="2"/>
  <c r="BT901" i="2"/>
  <c r="BF901" i="2"/>
  <c r="BT900" i="2"/>
  <c r="BF900" i="2"/>
  <c r="BT899" i="2"/>
  <c r="BF899" i="2"/>
  <c r="BT898" i="2"/>
  <c r="BF898" i="2"/>
  <c r="BT897" i="2"/>
  <c r="BF897" i="2"/>
  <c r="BT896" i="2"/>
  <c r="BF896" i="2"/>
  <c r="BT895" i="2"/>
  <c r="BF895" i="2"/>
  <c r="BT894" i="2"/>
  <c r="BF894" i="2"/>
  <c r="BT893" i="2"/>
  <c r="BF893" i="2"/>
  <c r="BT892" i="2"/>
  <c r="BT891" i="2"/>
  <c r="BF891" i="2"/>
  <c r="BT890" i="2"/>
  <c r="BF890" i="2"/>
  <c r="BT889" i="2"/>
  <c r="BF889" i="2"/>
  <c r="BT888" i="2"/>
  <c r="BF888" i="2"/>
  <c r="BT887" i="2"/>
  <c r="BF887" i="2"/>
  <c r="BT886" i="2"/>
  <c r="BF886" i="2"/>
  <c r="BT46" i="2"/>
  <c r="BF46" i="2"/>
  <c r="BT45" i="2"/>
  <c r="BF45" i="2"/>
  <c r="BT885" i="2"/>
  <c r="BF885" i="2"/>
  <c r="BT884" i="2"/>
  <c r="BF884" i="2"/>
  <c r="BT883" i="2"/>
  <c r="BF883" i="2"/>
  <c r="BT882" i="2"/>
  <c r="BF882" i="2"/>
  <c r="BT881" i="2"/>
  <c r="BF881" i="2"/>
  <c r="BT880" i="2"/>
  <c r="BF880" i="2"/>
  <c r="BT879" i="2"/>
  <c r="BF879" i="2"/>
  <c r="BT878" i="2"/>
  <c r="BF878" i="2"/>
  <c r="BT877" i="2"/>
  <c r="BF877" i="2"/>
  <c r="BT876" i="2"/>
  <c r="BF876" i="2"/>
  <c r="BT875" i="2"/>
  <c r="BF875" i="2"/>
  <c r="BT874" i="2"/>
  <c r="BF874" i="2"/>
  <c r="BT873" i="2"/>
  <c r="BF873" i="2"/>
  <c r="BT872" i="2"/>
  <c r="BF872" i="2"/>
  <c r="BT871" i="2"/>
  <c r="BF871" i="2"/>
  <c r="BT870" i="2"/>
  <c r="BF870" i="2"/>
  <c r="BT869" i="2"/>
  <c r="BF869" i="2"/>
  <c r="BT868" i="2"/>
  <c r="BF868" i="2"/>
  <c r="BT867" i="2"/>
  <c r="BF867" i="2"/>
  <c r="BT44" i="2"/>
  <c r="BF44" i="2"/>
  <c r="BT866" i="2"/>
  <c r="BF866" i="2"/>
  <c r="BT865" i="2"/>
  <c r="BF865" i="2"/>
  <c r="BT864" i="2"/>
  <c r="BF864" i="2"/>
  <c r="BT863" i="2"/>
  <c r="BF863" i="2"/>
  <c r="BT862" i="2"/>
  <c r="BF862" i="2"/>
  <c r="BT861" i="2"/>
  <c r="BF861" i="2"/>
  <c r="BT860" i="2"/>
  <c r="BF860" i="2"/>
  <c r="BT43" i="2"/>
  <c r="BF43" i="2"/>
  <c r="BT859" i="2"/>
  <c r="BF859" i="2"/>
  <c r="BT858" i="2"/>
  <c r="BF858" i="2"/>
  <c r="BT857" i="2"/>
  <c r="BT856" i="2"/>
  <c r="BF856" i="2"/>
  <c r="BT855" i="2"/>
  <c r="BT854" i="2"/>
  <c r="BF854" i="2"/>
  <c r="BT853" i="2"/>
  <c r="BF853" i="2"/>
  <c r="BT852" i="2"/>
  <c r="BF852" i="2"/>
  <c r="BT851" i="2"/>
  <c r="BF851" i="2"/>
  <c r="BT850" i="2"/>
  <c r="BF850" i="2"/>
  <c r="BT849" i="2"/>
  <c r="BF849" i="2"/>
  <c r="BT848" i="2"/>
  <c r="BF848" i="2"/>
  <c r="BT847" i="2"/>
  <c r="BF847" i="2"/>
  <c r="BT846" i="2"/>
  <c r="BF846" i="2"/>
  <c r="BT845" i="2"/>
  <c r="BF845" i="2"/>
  <c r="BT844" i="2"/>
  <c r="BF844" i="2"/>
  <c r="BT843" i="2"/>
  <c r="BF843" i="2"/>
  <c r="BT842" i="2"/>
  <c r="BF842" i="2"/>
  <c r="BT841" i="2"/>
  <c r="BF841" i="2"/>
  <c r="BT840" i="2"/>
  <c r="BF840" i="2"/>
  <c r="BT839" i="2"/>
  <c r="BF839" i="2"/>
  <c r="BT838" i="2"/>
  <c r="BF838" i="2"/>
  <c r="BT837" i="2"/>
  <c r="BF837" i="2"/>
  <c r="BT836" i="2"/>
  <c r="BF836" i="2"/>
  <c r="BT835" i="2"/>
  <c r="BF835" i="2"/>
  <c r="BT834" i="2"/>
  <c r="BF834" i="2"/>
  <c r="BT833" i="2"/>
  <c r="BF833" i="2"/>
  <c r="BT832" i="2"/>
  <c r="BT831" i="2"/>
  <c r="BF831" i="2"/>
  <c r="BT830" i="2"/>
  <c r="BF830" i="2"/>
  <c r="BT829" i="2"/>
  <c r="BF829" i="2"/>
  <c r="BT91" i="2"/>
  <c r="BF91" i="2"/>
  <c r="BT828" i="2"/>
  <c r="BF828" i="2"/>
  <c r="BT827" i="2"/>
  <c r="BF827" i="2"/>
  <c r="BT826" i="2"/>
  <c r="BF826" i="2"/>
  <c r="BT825" i="2"/>
  <c r="BF825" i="2"/>
  <c r="BT824" i="2"/>
  <c r="BF824" i="2"/>
  <c r="BT823" i="2"/>
  <c r="BF823" i="2"/>
  <c r="BT822" i="2"/>
  <c r="BF822" i="2"/>
  <c r="BT821" i="2"/>
  <c r="BF821" i="2"/>
  <c r="BT820" i="2"/>
  <c r="BF820" i="2"/>
  <c r="BT819" i="2"/>
  <c r="BF819" i="2"/>
  <c r="BT818" i="2"/>
  <c r="BF818" i="2"/>
  <c r="BT42" i="2"/>
  <c r="BF42" i="2"/>
  <c r="BT41" i="2"/>
  <c r="BF41" i="2"/>
  <c r="BT817" i="2"/>
  <c r="BF817" i="2"/>
  <c r="BT816" i="2"/>
  <c r="BF816" i="2"/>
  <c r="BT815" i="2"/>
  <c r="BF815" i="2"/>
  <c r="BT814" i="2"/>
  <c r="BF814" i="2"/>
  <c r="BT813" i="2"/>
  <c r="BF813" i="2"/>
  <c r="BT812" i="2"/>
  <c r="BF812" i="2"/>
  <c r="BT811" i="2"/>
  <c r="BF811" i="2"/>
  <c r="BT810" i="2"/>
  <c r="BF810" i="2"/>
  <c r="BT90" i="2"/>
  <c r="BF90" i="2"/>
  <c r="BT809" i="2"/>
  <c r="BF809" i="2"/>
  <c r="BT808" i="2"/>
  <c r="BF808" i="2"/>
  <c r="BT807" i="2"/>
  <c r="BF807" i="2"/>
  <c r="BT806" i="2"/>
  <c r="BF806" i="2"/>
  <c r="BT805" i="2"/>
  <c r="BF805" i="2"/>
  <c r="BT804" i="2"/>
  <c r="BF804" i="2"/>
  <c r="BT803" i="2"/>
  <c r="BT802" i="2"/>
  <c r="BT801" i="2"/>
  <c r="BT800" i="2"/>
  <c r="BF800" i="2"/>
  <c r="BT89" i="2"/>
  <c r="BF89" i="2"/>
  <c r="BT799" i="2"/>
  <c r="BF799" i="2"/>
  <c r="BT798" i="2"/>
  <c r="BF798" i="2"/>
  <c r="BT797" i="2"/>
  <c r="BF797" i="2"/>
  <c r="BT796" i="2"/>
  <c r="BF796" i="2"/>
  <c r="BT795" i="2"/>
  <c r="BF795" i="2"/>
  <c r="BT794" i="2"/>
  <c r="BF794" i="2"/>
  <c r="BT793" i="2"/>
  <c r="BF793" i="2"/>
  <c r="BT792" i="2"/>
  <c r="BF792" i="2"/>
  <c r="BT791" i="2"/>
  <c r="BF791" i="2"/>
  <c r="BT88" i="2"/>
  <c r="BF88" i="2"/>
  <c r="BT790" i="2"/>
  <c r="BF790" i="2"/>
  <c r="BT789" i="2"/>
  <c r="BF789" i="2"/>
  <c r="BT788" i="2"/>
  <c r="BF788" i="2"/>
  <c r="BT787" i="2"/>
  <c r="BF787" i="2"/>
  <c r="BT786" i="2"/>
  <c r="BF786" i="2"/>
  <c r="BT785" i="2"/>
  <c r="BF785" i="2"/>
  <c r="BT784" i="2"/>
  <c r="BF784" i="2"/>
  <c r="BT783" i="2"/>
  <c r="BF783" i="2"/>
  <c r="BT782" i="2"/>
  <c r="BF782" i="2"/>
  <c r="BT781" i="2"/>
  <c r="BF781" i="2"/>
  <c r="BT40" i="2"/>
  <c r="BF40" i="2"/>
  <c r="BT780" i="2"/>
  <c r="BF780" i="2"/>
  <c r="BT779" i="2"/>
  <c r="BF779" i="2"/>
  <c r="BT778" i="2"/>
  <c r="BF778" i="2"/>
  <c r="BT777" i="2"/>
  <c r="BF777" i="2"/>
  <c r="BT776" i="2"/>
  <c r="BF776" i="2"/>
  <c r="BT775" i="2"/>
  <c r="BF775" i="2"/>
  <c r="BT774" i="2"/>
  <c r="BT87" i="2"/>
  <c r="BF87" i="2"/>
  <c r="BT773" i="2"/>
  <c r="BF773" i="2"/>
  <c r="BT772" i="2"/>
  <c r="BT771" i="2"/>
  <c r="BF771" i="2"/>
  <c r="BT770" i="2"/>
  <c r="BF770" i="2"/>
  <c r="BT769" i="2"/>
  <c r="BF769" i="2"/>
  <c r="BT768" i="2"/>
  <c r="BF768" i="2"/>
  <c r="BT767" i="2"/>
  <c r="BF767" i="2"/>
  <c r="BT766" i="2"/>
  <c r="BF766" i="2"/>
  <c r="BT765" i="2"/>
  <c r="BF765" i="2"/>
  <c r="BT764" i="2"/>
  <c r="BT763" i="2"/>
  <c r="BF763" i="2"/>
  <c r="BT762" i="2"/>
  <c r="BF762" i="2"/>
  <c r="BT761" i="2"/>
  <c r="BF761" i="2"/>
  <c r="BT760" i="2"/>
  <c r="BF760" i="2"/>
  <c r="BT759" i="2"/>
  <c r="BF759" i="2"/>
  <c r="BT758" i="2"/>
  <c r="BF758" i="2"/>
  <c r="BT757" i="2"/>
  <c r="BF757" i="2"/>
  <c r="BT756" i="2"/>
  <c r="BF756" i="2"/>
  <c r="BT755" i="2"/>
  <c r="BF755" i="2"/>
  <c r="BT754" i="2"/>
  <c r="BF754" i="2"/>
  <c r="BT753" i="2"/>
  <c r="BF753" i="2"/>
  <c r="BT752" i="2"/>
  <c r="BF752" i="2"/>
  <c r="BT751" i="2"/>
  <c r="BF751" i="2"/>
  <c r="BT750" i="2"/>
  <c r="BF750" i="2"/>
  <c r="BT749" i="2"/>
  <c r="BF749" i="2"/>
  <c r="BT748" i="2"/>
  <c r="BT747" i="2"/>
  <c r="BF747" i="2"/>
  <c r="BT746" i="2"/>
  <c r="BF746" i="2"/>
  <c r="BT745" i="2"/>
  <c r="BF745" i="2"/>
  <c r="BT744" i="2"/>
  <c r="BF744" i="2"/>
  <c r="BT743" i="2"/>
  <c r="BF743" i="2"/>
  <c r="BT742" i="2"/>
  <c r="BF742" i="2"/>
  <c r="BT741" i="2"/>
  <c r="BF741" i="2"/>
  <c r="BT740" i="2"/>
  <c r="BF740" i="2"/>
  <c r="BT39" i="2"/>
  <c r="BF39" i="2"/>
  <c r="BT739" i="2"/>
  <c r="BF739" i="2"/>
  <c r="BT38" i="2"/>
  <c r="BF38" i="2"/>
  <c r="BT738" i="2"/>
  <c r="BF738" i="2"/>
  <c r="BT37" i="2"/>
  <c r="BF37" i="2"/>
  <c r="BT36" i="2"/>
  <c r="BT737" i="2"/>
  <c r="BT736" i="2"/>
  <c r="BF736" i="2"/>
  <c r="BT735" i="2"/>
  <c r="BT734" i="2"/>
  <c r="BT733" i="2"/>
  <c r="BF733" i="2"/>
  <c r="BT732" i="2"/>
  <c r="BF732" i="2"/>
  <c r="BT731" i="2"/>
  <c r="BF731" i="2"/>
  <c r="BT730" i="2"/>
  <c r="BF730" i="2"/>
  <c r="BT729" i="2"/>
  <c r="BT728" i="2"/>
  <c r="BF728" i="2"/>
  <c r="BT727" i="2"/>
  <c r="BF727" i="2"/>
  <c r="BT726" i="2"/>
  <c r="BF726" i="2"/>
  <c r="BT725" i="2"/>
  <c r="BF725" i="2"/>
  <c r="BT724" i="2"/>
  <c r="BF724" i="2"/>
  <c r="BT723" i="2"/>
  <c r="BF723" i="2"/>
  <c r="BT722" i="2"/>
  <c r="BF722" i="2"/>
  <c r="BT721" i="2"/>
  <c r="BF721" i="2"/>
  <c r="BT35" i="2"/>
  <c r="BF35" i="2"/>
  <c r="BT720" i="2"/>
  <c r="BF720" i="2"/>
  <c r="BT719" i="2"/>
  <c r="BF719" i="2"/>
  <c r="BT718" i="2"/>
  <c r="BF718" i="2"/>
  <c r="BT717" i="2"/>
  <c r="BF717" i="2"/>
  <c r="BT716" i="2"/>
  <c r="BF716" i="2"/>
  <c r="BT715" i="2"/>
  <c r="BF715" i="2"/>
  <c r="BT714" i="2"/>
  <c r="BF714" i="2"/>
  <c r="BT713" i="2"/>
  <c r="BF713" i="2"/>
  <c r="BT712" i="2"/>
  <c r="BF712" i="2"/>
  <c r="BT711" i="2"/>
  <c r="BF711" i="2"/>
  <c r="BT710" i="2"/>
  <c r="BF710" i="2"/>
  <c r="BT709" i="2"/>
  <c r="BF709" i="2"/>
  <c r="BT708" i="2"/>
  <c r="BF708" i="2"/>
  <c r="BT707" i="2"/>
  <c r="BF707" i="2"/>
  <c r="BT706" i="2"/>
  <c r="BF706" i="2"/>
  <c r="BT705" i="2"/>
  <c r="BF705" i="2"/>
  <c r="BT704" i="2"/>
  <c r="BF704" i="2"/>
  <c r="BT703" i="2"/>
  <c r="BF703" i="2"/>
  <c r="BT702" i="2"/>
  <c r="BF702" i="2"/>
  <c r="BT701" i="2"/>
  <c r="BF701" i="2"/>
  <c r="BT700" i="2"/>
  <c r="BT699" i="2"/>
  <c r="BF699" i="2"/>
  <c r="BT698" i="2"/>
  <c r="BF698" i="2"/>
  <c r="BT697" i="2"/>
  <c r="BF697" i="2"/>
  <c r="BT696" i="2"/>
  <c r="BF696" i="2"/>
  <c r="BT695" i="2"/>
  <c r="BF695" i="2"/>
  <c r="BT694" i="2"/>
  <c r="BF694" i="2"/>
  <c r="BT693" i="2"/>
  <c r="BF693" i="2"/>
  <c r="BT692" i="2"/>
  <c r="BF692" i="2"/>
  <c r="BT691" i="2"/>
  <c r="BF691" i="2"/>
  <c r="BT690" i="2"/>
  <c r="BF690" i="2"/>
  <c r="BT689" i="2"/>
  <c r="BF689" i="2"/>
  <c r="BT688" i="2"/>
  <c r="BF688" i="2"/>
  <c r="BT687" i="2"/>
  <c r="BF687" i="2"/>
  <c r="BT686" i="2"/>
  <c r="BF686" i="2"/>
  <c r="BT685" i="2"/>
  <c r="BF685" i="2"/>
  <c r="BT684" i="2"/>
  <c r="BF684" i="2"/>
  <c r="BT683" i="2"/>
  <c r="BF683" i="2"/>
  <c r="BT682" i="2"/>
  <c r="BF682" i="2"/>
  <c r="BT681" i="2"/>
  <c r="BF681" i="2"/>
  <c r="BT680" i="2"/>
  <c r="BF680" i="2"/>
  <c r="BT679" i="2"/>
  <c r="BF679" i="2"/>
  <c r="BT678" i="2"/>
  <c r="BF678" i="2"/>
  <c r="BT677" i="2"/>
  <c r="BF677" i="2"/>
  <c r="BT676" i="2"/>
  <c r="BF676" i="2"/>
  <c r="BT675" i="2"/>
  <c r="BF675" i="2"/>
  <c r="BT674" i="2"/>
  <c r="BF674" i="2"/>
  <c r="BT673" i="2"/>
  <c r="BF673" i="2"/>
  <c r="BT672" i="2"/>
  <c r="BF672" i="2"/>
  <c r="BT671" i="2"/>
  <c r="BF671" i="2"/>
  <c r="BT670" i="2"/>
  <c r="BF670" i="2"/>
  <c r="BT669" i="2"/>
  <c r="BF669" i="2"/>
  <c r="BT668" i="2"/>
  <c r="BF668" i="2"/>
  <c r="BT667" i="2"/>
  <c r="BF667" i="2"/>
  <c r="BT666" i="2"/>
  <c r="BF666" i="2"/>
  <c r="BT665" i="2"/>
  <c r="BF665" i="2"/>
  <c r="BT664" i="2"/>
  <c r="BF664" i="2"/>
  <c r="BT663" i="2"/>
  <c r="BF663" i="2"/>
  <c r="BT662" i="2"/>
  <c r="BF662" i="2"/>
  <c r="BT661" i="2"/>
  <c r="BF661" i="2"/>
  <c r="BT660" i="2"/>
  <c r="BF660" i="2"/>
  <c r="BT659" i="2"/>
  <c r="BF659" i="2"/>
  <c r="BT658" i="2"/>
  <c r="BF658" i="2"/>
  <c r="BT657" i="2"/>
  <c r="BF657" i="2"/>
  <c r="BT656" i="2"/>
  <c r="BF656" i="2"/>
  <c r="BT655" i="2"/>
  <c r="BF655" i="2"/>
  <c r="BT654" i="2"/>
  <c r="BF654" i="2"/>
  <c r="BT34" i="2"/>
  <c r="BF34" i="2"/>
  <c r="BT33" i="2"/>
  <c r="BF33" i="2"/>
  <c r="BT653" i="2"/>
  <c r="BF653" i="2"/>
  <c r="BT652" i="2"/>
  <c r="BF652" i="2"/>
  <c r="BT651" i="2"/>
  <c r="BF651" i="2"/>
  <c r="BT86" i="2"/>
  <c r="BF86" i="2"/>
  <c r="BT650" i="2"/>
  <c r="BF650" i="2"/>
  <c r="BT649" i="2"/>
  <c r="BF649" i="2"/>
  <c r="BT648" i="2"/>
  <c r="BF648" i="2"/>
  <c r="BT647" i="2"/>
  <c r="BT646" i="2"/>
  <c r="BF646" i="2"/>
  <c r="BT645" i="2"/>
  <c r="BF645" i="2"/>
  <c r="BT644" i="2"/>
  <c r="BF644" i="2"/>
  <c r="BT643" i="2"/>
  <c r="BT642" i="2"/>
  <c r="BF642" i="2"/>
  <c r="BT641" i="2"/>
  <c r="BF641" i="2"/>
  <c r="BT640" i="2"/>
  <c r="BF640" i="2"/>
  <c r="BT639" i="2"/>
  <c r="BF639" i="2"/>
  <c r="BT638" i="2"/>
  <c r="BF638" i="2"/>
  <c r="BT637" i="2"/>
  <c r="BT636" i="2"/>
  <c r="BF636" i="2"/>
  <c r="BT635" i="2"/>
  <c r="BF635" i="2"/>
  <c r="BT634" i="2"/>
  <c r="BT633" i="2"/>
  <c r="BF633" i="2"/>
  <c r="BT632" i="2"/>
  <c r="BF632" i="2"/>
  <c r="BT631" i="2"/>
  <c r="BF631" i="2"/>
  <c r="BT630" i="2"/>
  <c r="BF630" i="2"/>
  <c r="BT629" i="2"/>
  <c r="BF629" i="2"/>
  <c r="BT628" i="2"/>
  <c r="BF628" i="2"/>
  <c r="BT627" i="2"/>
  <c r="BF627" i="2"/>
  <c r="BT626" i="2"/>
  <c r="BF626" i="2"/>
  <c r="BT625" i="2"/>
  <c r="BF625" i="2"/>
  <c r="BT624" i="2"/>
  <c r="BF624" i="2"/>
  <c r="BT623" i="2"/>
  <c r="BF623" i="2"/>
  <c r="BT622" i="2"/>
  <c r="BF622" i="2"/>
  <c r="BT621" i="2"/>
  <c r="BF621" i="2"/>
  <c r="BT620" i="2"/>
  <c r="BF620" i="2"/>
  <c r="BT619" i="2"/>
  <c r="BF619" i="2"/>
  <c r="BT618" i="2"/>
  <c r="BF618" i="2"/>
  <c r="BT617" i="2"/>
  <c r="BF617" i="2"/>
  <c r="BT616" i="2"/>
  <c r="BF616" i="2"/>
  <c r="BT615" i="2"/>
  <c r="BF615" i="2"/>
  <c r="BT32" i="2"/>
  <c r="BF32" i="2"/>
  <c r="BT614" i="2"/>
  <c r="BF614" i="2"/>
  <c r="BT613" i="2"/>
  <c r="BF613" i="2"/>
  <c r="BT31" i="2"/>
  <c r="BF31" i="2"/>
  <c r="BT612" i="2"/>
  <c r="BF612" i="2"/>
  <c r="BT611" i="2"/>
  <c r="BF611" i="2"/>
  <c r="BT610" i="2"/>
  <c r="BF610" i="2"/>
  <c r="BT609" i="2"/>
  <c r="BF609" i="2"/>
  <c r="BT608" i="2"/>
  <c r="BF608" i="2"/>
  <c r="BT607" i="2"/>
  <c r="BF607" i="2"/>
  <c r="BT606" i="2"/>
  <c r="BT605" i="2"/>
  <c r="BF605" i="2"/>
  <c r="BT604" i="2"/>
  <c r="BF604" i="2"/>
  <c r="BT603" i="2"/>
  <c r="BF603" i="2"/>
  <c r="BT602" i="2"/>
  <c r="BF602" i="2"/>
  <c r="BT601" i="2"/>
  <c r="BF601" i="2"/>
  <c r="BT600" i="2"/>
  <c r="BF600" i="2"/>
  <c r="BT599" i="2"/>
  <c r="BF599" i="2"/>
  <c r="BT85" i="2"/>
  <c r="BF85" i="2"/>
  <c r="BT30" i="2"/>
  <c r="BF30" i="2"/>
  <c r="BT598" i="2"/>
  <c r="BF598" i="2"/>
  <c r="BT597" i="2"/>
  <c r="BF597" i="2"/>
  <c r="BT596" i="2"/>
  <c r="BF596" i="2"/>
  <c r="BT595" i="2"/>
  <c r="BF595" i="2"/>
  <c r="BT594" i="2"/>
  <c r="BF594" i="2"/>
  <c r="BT593" i="2"/>
  <c r="BF593" i="2"/>
  <c r="BT592" i="2"/>
  <c r="BF592" i="2"/>
  <c r="BT591" i="2"/>
  <c r="BT590" i="2"/>
  <c r="BF590" i="2"/>
  <c r="BT589" i="2"/>
  <c r="BF589" i="2"/>
  <c r="BT588" i="2"/>
  <c r="BF588" i="2"/>
  <c r="BT587" i="2"/>
  <c r="BF587" i="2"/>
  <c r="BT586" i="2"/>
  <c r="BF586" i="2"/>
  <c r="BT585" i="2"/>
  <c r="BT584" i="2"/>
  <c r="BF584" i="2"/>
  <c r="BT583" i="2"/>
  <c r="BF583" i="2"/>
  <c r="BT582" i="2"/>
  <c r="BF582" i="2"/>
  <c r="BT581" i="2"/>
  <c r="BF581" i="2"/>
  <c r="BT580" i="2"/>
  <c r="BF580" i="2"/>
  <c r="BT29" i="2"/>
  <c r="BF29" i="2"/>
  <c r="BT579" i="2"/>
  <c r="BF579" i="2"/>
  <c r="BT578" i="2"/>
  <c r="BF578" i="2"/>
  <c r="BT577" i="2"/>
  <c r="BF577" i="2"/>
  <c r="BT576" i="2"/>
  <c r="BF576" i="2"/>
  <c r="BT575" i="2"/>
  <c r="BF575" i="2"/>
  <c r="BT574" i="2"/>
  <c r="BF574" i="2"/>
  <c r="BT573" i="2"/>
  <c r="BF573" i="2"/>
  <c r="BT572" i="2"/>
  <c r="BF572" i="2"/>
  <c r="BT571" i="2"/>
  <c r="BF571" i="2"/>
  <c r="BT570" i="2"/>
  <c r="BF570" i="2"/>
  <c r="BT569" i="2"/>
  <c r="BF569" i="2"/>
  <c r="BT568" i="2"/>
  <c r="BF568" i="2"/>
  <c r="BT567" i="2"/>
  <c r="BF567" i="2"/>
  <c r="BT566" i="2"/>
  <c r="BF566" i="2"/>
  <c r="BT565" i="2"/>
  <c r="BF565" i="2"/>
  <c r="BT564" i="2"/>
  <c r="BF564" i="2"/>
  <c r="BT563" i="2"/>
  <c r="BF563" i="2"/>
  <c r="BT562" i="2"/>
  <c r="BT561" i="2"/>
  <c r="BF561" i="2"/>
  <c r="BT560" i="2"/>
  <c r="BF560" i="2"/>
  <c r="BT559" i="2"/>
  <c r="BT558" i="2"/>
  <c r="BF558" i="2"/>
  <c r="BT557" i="2"/>
  <c r="BF557" i="2"/>
  <c r="BT84" i="2"/>
  <c r="BF84" i="2"/>
  <c r="BT556" i="2"/>
  <c r="BF556" i="2"/>
  <c r="BT555" i="2"/>
  <c r="BF555" i="2"/>
  <c r="BT554" i="2"/>
  <c r="BF554" i="2"/>
  <c r="BT553" i="2"/>
  <c r="BF553" i="2"/>
  <c r="BT28" i="2"/>
  <c r="BF28" i="2"/>
  <c r="BT552" i="2"/>
  <c r="BF552" i="2"/>
  <c r="BT551" i="2"/>
  <c r="BF551" i="2"/>
  <c r="BT550" i="2"/>
  <c r="BF550" i="2"/>
  <c r="BT549" i="2"/>
  <c r="BF549" i="2"/>
  <c r="BT548" i="2"/>
  <c r="BF548" i="2"/>
  <c r="BT547" i="2"/>
  <c r="BF547" i="2"/>
  <c r="BT546" i="2"/>
  <c r="BF546" i="2"/>
  <c r="BT545" i="2"/>
  <c r="BF545" i="2"/>
  <c r="BT27" i="2"/>
  <c r="BF27" i="2"/>
  <c r="BT544" i="2"/>
  <c r="BF544" i="2"/>
  <c r="BT543" i="2"/>
  <c r="BF543" i="2"/>
  <c r="BT542" i="2"/>
  <c r="BF542" i="2"/>
  <c r="BT541" i="2"/>
  <c r="BF541" i="2"/>
  <c r="BT540" i="2"/>
  <c r="BF540" i="2"/>
  <c r="BT539" i="2"/>
  <c r="BT538" i="2"/>
  <c r="BT537" i="2"/>
  <c r="BF537" i="2"/>
  <c r="BT26" i="2"/>
  <c r="BF26" i="2"/>
  <c r="BT536" i="2"/>
  <c r="BF536" i="2"/>
  <c r="BT535" i="2"/>
  <c r="BF535" i="2"/>
  <c r="BT25" i="2"/>
  <c r="BF25" i="2"/>
  <c r="BT534" i="2"/>
  <c r="BF534" i="2"/>
  <c r="BT24" i="2"/>
  <c r="BT533" i="2"/>
  <c r="BF533" i="2"/>
  <c r="BT532" i="2"/>
  <c r="BF532" i="2"/>
  <c r="BT531" i="2"/>
  <c r="BF531" i="2"/>
  <c r="BT530" i="2"/>
  <c r="BT529" i="2"/>
  <c r="BF529" i="2"/>
  <c r="BT528" i="2"/>
  <c r="BT527" i="2"/>
  <c r="BF527" i="2"/>
  <c r="BT526" i="2"/>
  <c r="BF526" i="2"/>
  <c r="BT525" i="2"/>
  <c r="BF525" i="2"/>
  <c r="BT524" i="2"/>
  <c r="BF524" i="2"/>
  <c r="BT523" i="2"/>
  <c r="BF523" i="2"/>
  <c r="BT522" i="2"/>
  <c r="BF522" i="2"/>
  <c r="BT521" i="2"/>
  <c r="BF521" i="2"/>
  <c r="BT520" i="2"/>
  <c r="BF520" i="2"/>
  <c r="BT519" i="2"/>
  <c r="BF519" i="2"/>
  <c r="BT518" i="2"/>
  <c r="BF518" i="2"/>
  <c r="BT517" i="2"/>
  <c r="BF517" i="2"/>
  <c r="BT516" i="2"/>
  <c r="BF516" i="2"/>
  <c r="BT515" i="2"/>
  <c r="BF515" i="2"/>
  <c r="BT514" i="2"/>
  <c r="BF514" i="2"/>
  <c r="BT513" i="2"/>
  <c r="BF513" i="2"/>
  <c r="BT512" i="2"/>
  <c r="BF512" i="2"/>
  <c r="BT511" i="2"/>
  <c r="BF511" i="2"/>
  <c r="BT510" i="2"/>
  <c r="BF510" i="2"/>
  <c r="BT509" i="2"/>
  <c r="BF509" i="2"/>
  <c r="BT508" i="2"/>
  <c r="BT507" i="2"/>
  <c r="BF507" i="2"/>
  <c r="BT506" i="2"/>
  <c r="BF506" i="2"/>
  <c r="BT505" i="2"/>
  <c r="BF505" i="2"/>
  <c r="BT504" i="2"/>
  <c r="BF504" i="2"/>
  <c r="BT503" i="2"/>
  <c r="BF503" i="2"/>
  <c r="BT502" i="2"/>
  <c r="BF502" i="2"/>
  <c r="BT501" i="2"/>
  <c r="BF501" i="2"/>
  <c r="BT500" i="2"/>
  <c r="BF500" i="2"/>
  <c r="BT499" i="2"/>
  <c r="BF499" i="2"/>
  <c r="BT498" i="2"/>
  <c r="BF498" i="2"/>
  <c r="BT497" i="2"/>
  <c r="BF497" i="2"/>
  <c r="BT496" i="2"/>
  <c r="BF496" i="2"/>
  <c r="BT495" i="2"/>
  <c r="BF495" i="2"/>
  <c r="BT494" i="2"/>
  <c r="BF494" i="2"/>
  <c r="BT493" i="2"/>
  <c r="BF493" i="2"/>
  <c r="BT492" i="2"/>
  <c r="BF492" i="2"/>
  <c r="BT491" i="2"/>
  <c r="BF491" i="2"/>
  <c r="BT490" i="2"/>
  <c r="BF490" i="2"/>
  <c r="BT489" i="2"/>
  <c r="BF489" i="2"/>
  <c r="BT488" i="2"/>
  <c r="BF488" i="2"/>
  <c r="BT487" i="2"/>
  <c r="BF487" i="2"/>
  <c r="BT486" i="2"/>
  <c r="BF486" i="2"/>
  <c r="BT485" i="2"/>
  <c r="BF485" i="2"/>
  <c r="BT484" i="2"/>
  <c r="BF484" i="2"/>
  <c r="BT483" i="2"/>
  <c r="BF483" i="2"/>
  <c r="BT482" i="2"/>
  <c r="BF482" i="2"/>
  <c r="BT481" i="2"/>
  <c r="BF481" i="2"/>
  <c r="BT480" i="2"/>
  <c r="BF480" i="2"/>
  <c r="BT479" i="2"/>
  <c r="BF479" i="2"/>
  <c r="BT478" i="2"/>
  <c r="BF478" i="2"/>
  <c r="BT477" i="2"/>
  <c r="BT476" i="2"/>
  <c r="BF476" i="2"/>
  <c r="BT475" i="2"/>
  <c r="BF475" i="2"/>
  <c r="BT474" i="2"/>
  <c r="BF474" i="2"/>
  <c r="BT473" i="2"/>
  <c r="BF473" i="2"/>
  <c r="BT472" i="2"/>
  <c r="BF472" i="2"/>
  <c r="BT471" i="2"/>
  <c r="BF471" i="2"/>
  <c r="BT470" i="2"/>
  <c r="BF470" i="2"/>
  <c r="BT469" i="2"/>
  <c r="BT468" i="2"/>
  <c r="BF468" i="2"/>
  <c r="BT83" i="2"/>
  <c r="BF83" i="2"/>
  <c r="BT467" i="2"/>
  <c r="BF467" i="2"/>
  <c r="BT466" i="2"/>
  <c r="BT465" i="2"/>
  <c r="BF465" i="2"/>
  <c r="BT464" i="2"/>
  <c r="BF464" i="2"/>
  <c r="BT463" i="2"/>
  <c r="BF463" i="2"/>
  <c r="BT462" i="2"/>
  <c r="BF462" i="2"/>
  <c r="BT461" i="2"/>
  <c r="BF461" i="2"/>
  <c r="BT460" i="2"/>
  <c r="BF460" i="2"/>
  <c r="BT459" i="2"/>
  <c r="BF459" i="2"/>
  <c r="BT458" i="2"/>
  <c r="BT457" i="2"/>
  <c r="BF457" i="2"/>
  <c r="BT456" i="2"/>
  <c r="BF456" i="2"/>
  <c r="BT455" i="2"/>
  <c r="BF455" i="2"/>
  <c r="BT454" i="2"/>
  <c r="BF454" i="2"/>
  <c r="BT453" i="2"/>
  <c r="BF453" i="2"/>
  <c r="BT452" i="2"/>
  <c r="BT451" i="2"/>
  <c r="BF451" i="2"/>
  <c r="BT450" i="2"/>
  <c r="BF450" i="2"/>
  <c r="BT449" i="2"/>
  <c r="BF449" i="2"/>
  <c r="BT448" i="2"/>
  <c r="BT447" i="2"/>
  <c r="BF447" i="2"/>
  <c r="BT446" i="2"/>
  <c r="BF446" i="2"/>
  <c r="BT445" i="2"/>
  <c r="BF445" i="2"/>
  <c r="BT444" i="2"/>
  <c r="BF444" i="2"/>
  <c r="BT443" i="2"/>
  <c r="BT442" i="2"/>
  <c r="BF442" i="2"/>
  <c r="BT441" i="2"/>
  <c r="BF441" i="2"/>
  <c r="BT440" i="2"/>
  <c r="BF440" i="2"/>
  <c r="BT439" i="2"/>
  <c r="BF439" i="2"/>
  <c r="BT438" i="2"/>
  <c r="BF438" i="2"/>
  <c r="BT437" i="2"/>
  <c r="BF437" i="2"/>
  <c r="BT82" i="2"/>
  <c r="BF82" i="2"/>
  <c r="BT436" i="2"/>
  <c r="BF436" i="2"/>
  <c r="BT435" i="2"/>
  <c r="BF435" i="2"/>
  <c r="BT434" i="2"/>
  <c r="BF434" i="2"/>
  <c r="BT433" i="2"/>
  <c r="BF433" i="2"/>
  <c r="BT432" i="2"/>
  <c r="BF432" i="2"/>
  <c r="BT431" i="2"/>
  <c r="BF431" i="2"/>
  <c r="BT430" i="2"/>
  <c r="BF430" i="2"/>
  <c r="BT429" i="2"/>
  <c r="BF429" i="2"/>
  <c r="BT428" i="2"/>
  <c r="BF428" i="2"/>
  <c r="BT427" i="2"/>
  <c r="BF427" i="2"/>
  <c r="BT426" i="2"/>
  <c r="BF426" i="2"/>
  <c r="BT425" i="2"/>
  <c r="BF425" i="2"/>
  <c r="BT424" i="2"/>
  <c r="BF424" i="2"/>
  <c r="BT423" i="2"/>
  <c r="BF423" i="2"/>
  <c r="BT422" i="2"/>
  <c r="BF422" i="2"/>
  <c r="BT421" i="2"/>
  <c r="BF421" i="2"/>
  <c r="BT420" i="2"/>
  <c r="BF420" i="2"/>
  <c r="BT23" i="2"/>
  <c r="BF23" i="2"/>
  <c r="BT419" i="2"/>
  <c r="BF419" i="2"/>
  <c r="BT418" i="2"/>
  <c r="BF418" i="2"/>
  <c r="BT417" i="2"/>
  <c r="BF417" i="2"/>
  <c r="BT416" i="2"/>
  <c r="BF416" i="2"/>
  <c r="BT415" i="2"/>
  <c r="BF415" i="2"/>
  <c r="BT414" i="2"/>
  <c r="BF414" i="2"/>
  <c r="BT413" i="2"/>
  <c r="BF413" i="2"/>
  <c r="BT412" i="2"/>
  <c r="BF412" i="2"/>
  <c r="BT411" i="2"/>
  <c r="BF411" i="2"/>
  <c r="BT410" i="2"/>
  <c r="BF410" i="2"/>
  <c r="BT409" i="2"/>
  <c r="BF409" i="2"/>
  <c r="BT408" i="2"/>
  <c r="BF408" i="2"/>
  <c r="BT407" i="2"/>
  <c r="BF407" i="2"/>
  <c r="BT406" i="2"/>
  <c r="BF406" i="2"/>
  <c r="BT405" i="2"/>
  <c r="BF405" i="2"/>
  <c r="BT404" i="2"/>
  <c r="BF404" i="2"/>
  <c r="BT403" i="2"/>
  <c r="BF403" i="2"/>
  <c r="BT402" i="2"/>
  <c r="BF402" i="2"/>
  <c r="BT401" i="2"/>
  <c r="BF401" i="2"/>
  <c r="BT400" i="2"/>
  <c r="BF400" i="2"/>
  <c r="BT399" i="2"/>
  <c r="BF399" i="2"/>
  <c r="BT398" i="2"/>
  <c r="BF398" i="2"/>
  <c r="BT397" i="2"/>
  <c r="BF397" i="2"/>
  <c r="BT81" i="2"/>
  <c r="BT396" i="2"/>
  <c r="BF396" i="2"/>
  <c r="BT80" i="2"/>
  <c r="BF80" i="2"/>
  <c r="BT395" i="2"/>
  <c r="BF395" i="2"/>
  <c r="BT394" i="2"/>
  <c r="BF394" i="2"/>
  <c r="BT393" i="2"/>
  <c r="BF393" i="2"/>
  <c r="BT392" i="2"/>
  <c r="BF392" i="2"/>
  <c r="BT391" i="2"/>
  <c r="BF391" i="2"/>
  <c r="BT390" i="2"/>
  <c r="BT389" i="2"/>
  <c r="BF389" i="2"/>
  <c r="BT388" i="2"/>
  <c r="BF388" i="2"/>
  <c r="BT387" i="2"/>
  <c r="BF387" i="2"/>
  <c r="BT386" i="2"/>
  <c r="BF386" i="2"/>
  <c r="BT385" i="2"/>
  <c r="BF385" i="2"/>
  <c r="BT384" i="2"/>
  <c r="BF384" i="2"/>
  <c r="BT383" i="2"/>
  <c r="BF383" i="2"/>
  <c r="BT382" i="2"/>
  <c r="BF382" i="2"/>
  <c r="BT381" i="2"/>
  <c r="BF381" i="2"/>
  <c r="BT380" i="2"/>
  <c r="BF380" i="2"/>
  <c r="BT379" i="2"/>
  <c r="BF379" i="2"/>
  <c r="BT378" i="2"/>
  <c r="BF378" i="2"/>
  <c r="BT377" i="2"/>
  <c r="BF377" i="2"/>
  <c r="BT376" i="2"/>
  <c r="BF376" i="2"/>
  <c r="BT375" i="2"/>
  <c r="BT374" i="2"/>
  <c r="BF374" i="2"/>
  <c r="BT373" i="2"/>
  <c r="BF373" i="2"/>
  <c r="BT372" i="2"/>
  <c r="BF372" i="2"/>
  <c r="BT371" i="2"/>
  <c r="BF371" i="2"/>
  <c r="BT370" i="2"/>
  <c r="BF370" i="2"/>
  <c r="BT369" i="2"/>
  <c r="BF369" i="2"/>
  <c r="BT368" i="2"/>
  <c r="BF368" i="2"/>
  <c r="BT367" i="2"/>
  <c r="BF367" i="2"/>
  <c r="BT366" i="2"/>
  <c r="BT365" i="2"/>
  <c r="BF365" i="2"/>
  <c r="BT364" i="2"/>
  <c r="BF364" i="2"/>
  <c r="BT363" i="2"/>
  <c r="BF363" i="2"/>
  <c r="BT362" i="2"/>
  <c r="BF362" i="2"/>
  <c r="BT22" i="2"/>
  <c r="BF22" i="2"/>
  <c r="BT361" i="2"/>
  <c r="BF361" i="2"/>
  <c r="BT360" i="2"/>
  <c r="BF360" i="2"/>
  <c r="BT359" i="2"/>
  <c r="BF359" i="2"/>
  <c r="BT358" i="2"/>
  <c r="BF358" i="2"/>
  <c r="BT357" i="2"/>
  <c r="BF357" i="2"/>
  <c r="BT21" i="2"/>
  <c r="BF21" i="2"/>
  <c r="BT356" i="2"/>
  <c r="BF356" i="2"/>
  <c r="BT355" i="2"/>
  <c r="BF355" i="2"/>
  <c r="BT354" i="2"/>
  <c r="BF354" i="2"/>
  <c r="BT79" i="2"/>
  <c r="BF79" i="2"/>
  <c r="BT353" i="2"/>
  <c r="BF353" i="2"/>
  <c r="BT78" i="2"/>
  <c r="BF78" i="2"/>
  <c r="BT352" i="2"/>
  <c r="BF352" i="2"/>
  <c r="BT351" i="2"/>
  <c r="BF351" i="2"/>
  <c r="BT350" i="2"/>
  <c r="BF350" i="2"/>
  <c r="BT349" i="2"/>
  <c r="BF349" i="2"/>
  <c r="BT348" i="2"/>
  <c r="BF348" i="2"/>
  <c r="BT347" i="2"/>
  <c r="BF347" i="2"/>
  <c r="BT346" i="2"/>
  <c r="BT345" i="2"/>
  <c r="BT344" i="2"/>
  <c r="BF344" i="2"/>
  <c r="BT343" i="2"/>
  <c r="BF343" i="2"/>
  <c r="BT342" i="2"/>
  <c r="BT341" i="2"/>
  <c r="BT20" i="2"/>
  <c r="BF20" i="2"/>
  <c r="BT340" i="2"/>
  <c r="BF340" i="2"/>
  <c r="BT339" i="2"/>
  <c r="BF339" i="2"/>
  <c r="BT338" i="2"/>
  <c r="BT337" i="2"/>
  <c r="BF337" i="2"/>
  <c r="BT336" i="2"/>
  <c r="BF336" i="2"/>
  <c r="BT335" i="2"/>
  <c r="BF335" i="2"/>
  <c r="BT334" i="2"/>
  <c r="BF334" i="2"/>
  <c r="BT333" i="2"/>
  <c r="BF333" i="2"/>
  <c r="BT332" i="2"/>
  <c r="BF332" i="2"/>
  <c r="BT331" i="2"/>
  <c r="BF331" i="2"/>
  <c r="BT330" i="2"/>
  <c r="BF330" i="2"/>
  <c r="BT329" i="2"/>
  <c r="BF329" i="2"/>
  <c r="BT328" i="2"/>
  <c r="BF328" i="2"/>
  <c r="BT327" i="2"/>
  <c r="BF327" i="2"/>
  <c r="BT326" i="2"/>
  <c r="BF326" i="2"/>
  <c r="BT325" i="2"/>
  <c r="BT324" i="2"/>
  <c r="BF324" i="2"/>
  <c r="BT323" i="2"/>
  <c r="BF323" i="2"/>
  <c r="BT322" i="2"/>
  <c r="BF322" i="2"/>
  <c r="BT19" i="2"/>
  <c r="BF19" i="2"/>
  <c r="BT321" i="2"/>
  <c r="BF321" i="2"/>
  <c r="BT320" i="2"/>
  <c r="BF320" i="2"/>
  <c r="BT319" i="2"/>
  <c r="BT318" i="2"/>
  <c r="BF318" i="2"/>
  <c r="BT317" i="2"/>
  <c r="BF317" i="2"/>
  <c r="BT316" i="2"/>
  <c r="BT315" i="2"/>
  <c r="BF315" i="2"/>
  <c r="BT314" i="2"/>
  <c r="BF314" i="2"/>
  <c r="BT313" i="2"/>
  <c r="BF313" i="2"/>
  <c r="BT312" i="2"/>
  <c r="BF312" i="2"/>
  <c r="BT77" i="2"/>
  <c r="BF77" i="2"/>
  <c r="BT311" i="2"/>
  <c r="BF311" i="2"/>
  <c r="BT310" i="2"/>
  <c r="BF310" i="2"/>
  <c r="BT309" i="2"/>
  <c r="BF309" i="2"/>
  <c r="BT18" i="2"/>
  <c r="BF18" i="2"/>
  <c r="BT17" i="2"/>
  <c r="BF17" i="2"/>
  <c r="BT308" i="2"/>
  <c r="BF308" i="2"/>
  <c r="BT307" i="2"/>
  <c r="BF307" i="2"/>
  <c r="BT306" i="2"/>
  <c r="BF306" i="2"/>
  <c r="BT305" i="2"/>
  <c r="BF305" i="2"/>
  <c r="BT304" i="2"/>
  <c r="BF304" i="2"/>
  <c r="BT303" i="2"/>
  <c r="BF303" i="2"/>
  <c r="BT302" i="2"/>
  <c r="BF302" i="2"/>
  <c r="BT301" i="2"/>
  <c r="BF301" i="2"/>
  <c r="BT300" i="2"/>
  <c r="BT299" i="2"/>
  <c r="BF299" i="2"/>
  <c r="BT298" i="2"/>
  <c r="BF298" i="2"/>
  <c r="BT297" i="2"/>
  <c r="BF297" i="2"/>
  <c r="BT296" i="2"/>
  <c r="BF296" i="2"/>
  <c r="BT295" i="2"/>
  <c r="BF295" i="2"/>
  <c r="BT294" i="2"/>
  <c r="BF294" i="2"/>
  <c r="BT293" i="2"/>
  <c r="BT292" i="2"/>
  <c r="BF292" i="2"/>
  <c r="BT291" i="2"/>
  <c r="BF291" i="2"/>
  <c r="BT290" i="2"/>
  <c r="BF290" i="2"/>
  <c r="BT289" i="2"/>
  <c r="BF289" i="2"/>
  <c r="BT288" i="2"/>
  <c r="BF288" i="2"/>
  <c r="BT287" i="2"/>
  <c r="BF287" i="2"/>
  <c r="BT286" i="2"/>
  <c r="BF286" i="2"/>
  <c r="BT285" i="2"/>
  <c r="BF285" i="2"/>
  <c r="BT284" i="2"/>
  <c r="BF284" i="2"/>
  <c r="BT16" i="2"/>
  <c r="BF16" i="2"/>
  <c r="BT283" i="2"/>
  <c r="BT282" i="2"/>
  <c r="BF282" i="2"/>
  <c r="BT281" i="2"/>
  <c r="BF281" i="2"/>
  <c r="BT280" i="2"/>
  <c r="BF280" i="2"/>
  <c r="BT279" i="2"/>
  <c r="BF279" i="2"/>
  <c r="BT278" i="2"/>
  <c r="BF278" i="2"/>
  <c r="BT277" i="2"/>
  <c r="BF277" i="2"/>
  <c r="BT15" i="2"/>
  <c r="BF15" i="2"/>
  <c r="BT276" i="2"/>
  <c r="BT275" i="2"/>
  <c r="BF275" i="2"/>
  <c r="BT274" i="2"/>
  <c r="BF274" i="2"/>
  <c r="BT273" i="2"/>
  <c r="BT272" i="2"/>
  <c r="BF272" i="2"/>
  <c r="BT271" i="2"/>
  <c r="BF271" i="2"/>
  <c r="BT270" i="2"/>
  <c r="BF270" i="2"/>
  <c r="BT269" i="2"/>
  <c r="BF269" i="2"/>
  <c r="BT268" i="2"/>
  <c r="BF268" i="2"/>
  <c r="BT267" i="2"/>
  <c r="BF267" i="2"/>
  <c r="BT266" i="2"/>
  <c r="BT265" i="2"/>
  <c r="BF265" i="2"/>
  <c r="BT264" i="2"/>
  <c r="BF264" i="2"/>
  <c r="BT263" i="2"/>
  <c r="BF263" i="2"/>
  <c r="BT14" i="2"/>
  <c r="BF14" i="2"/>
  <c r="BT262" i="2"/>
  <c r="BF262" i="2"/>
  <c r="BT261" i="2"/>
  <c r="BF261" i="2"/>
  <c r="BT260" i="2"/>
  <c r="BF260" i="2"/>
  <c r="BT259" i="2"/>
  <c r="BF259" i="2"/>
  <c r="BT258" i="2"/>
  <c r="BF258" i="2"/>
  <c r="BT257" i="2"/>
  <c r="BF257" i="2"/>
  <c r="BT256" i="2"/>
  <c r="BF256" i="2"/>
  <c r="BT255" i="2"/>
  <c r="BF255" i="2"/>
  <c r="BT254" i="2"/>
  <c r="BF254" i="2"/>
  <c r="BT253" i="2"/>
  <c r="BF253" i="2"/>
  <c r="BT252" i="2"/>
  <c r="BF252" i="2"/>
  <c r="BT251" i="2"/>
  <c r="BF251" i="2"/>
  <c r="BT13" i="2"/>
  <c r="BF13" i="2"/>
  <c r="BT250" i="2"/>
  <c r="BF250" i="2"/>
  <c r="BT249" i="2"/>
  <c r="BF249" i="2"/>
  <c r="BT248" i="2"/>
  <c r="BT247" i="2"/>
  <c r="BF247" i="2"/>
  <c r="BT246" i="2"/>
  <c r="BF246" i="2"/>
  <c r="BT245" i="2"/>
  <c r="BF245" i="2"/>
  <c r="BT244" i="2"/>
  <c r="BF244" i="2"/>
  <c r="BT243" i="2"/>
  <c r="BF243" i="2"/>
  <c r="BT242" i="2"/>
  <c r="BF242" i="2"/>
  <c r="BT241" i="2"/>
  <c r="BF241" i="2"/>
  <c r="BT240" i="2"/>
  <c r="BF240" i="2"/>
  <c r="BT239" i="2"/>
  <c r="BF239" i="2"/>
  <c r="BT238" i="2"/>
  <c r="BF238" i="2"/>
  <c r="BT237" i="2"/>
  <c r="BF237" i="2"/>
  <c r="BT236" i="2"/>
  <c r="BF236" i="2"/>
  <c r="BT235" i="2"/>
  <c r="BF235" i="2"/>
  <c r="BT234" i="2"/>
  <c r="BF234" i="2"/>
  <c r="BT233" i="2"/>
  <c r="BF233" i="2"/>
  <c r="BT232" i="2"/>
  <c r="BF232" i="2"/>
  <c r="BT231" i="2"/>
  <c r="BF231" i="2"/>
  <c r="BT230" i="2"/>
  <c r="BF230" i="2"/>
  <c r="BT229" i="2"/>
  <c r="BF229" i="2"/>
  <c r="BT228" i="2"/>
  <c r="BF228" i="2"/>
  <c r="BT227" i="2"/>
  <c r="BF227" i="2"/>
  <c r="BT226" i="2"/>
  <c r="BF226" i="2"/>
  <c r="BT225" i="2"/>
  <c r="BF225" i="2"/>
  <c r="BT12" i="2"/>
  <c r="BF12" i="2"/>
  <c r="BT224" i="2"/>
  <c r="BF224" i="2"/>
  <c r="BT223" i="2"/>
  <c r="BT11" i="2"/>
  <c r="BF11" i="2"/>
  <c r="BT222" i="2"/>
  <c r="BT221" i="2"/>
  <c r="BF221" i="2"/>
  <c r="BT220" i="2"/>
  <c r="BF220" i="2"/>
  <c r="BT219" i="2"/>
  <c r="BF219" i="2"/>
  <c r="BT218" i="2"/>
  <c r="BF218" i="2"/>
  <c r="BT217" i="2"/>
  <c r="BF217" i="2"/>
  <c r="BT216" i="2"/>
  <c r="BF216" i="2"/>
  <c r="BT215" i="2"/>
  <c r="BF215" i="2"/>
  <c r="BT214" i="2"/>
  <c r="BF214" i="2"/>
  <c r="BT213" i="2"/>
  <c r="BF213" i="2"/>
  <c r="BT212" i="2"/>
  <c r="BF212" i="2"/>
  <c r="BT211" i="2"/>
  <c r="BF211" i="2"/>
  <c r="BT210" i="2"/>
  <c r="BF210" i="2"/>
  <c r="BT209" i="2"/>
  <c r="BF209" i="2"/>
  <c r="BT10" i="2"/>
  <c r="BF10" i="2"/>
  <c r="BT208" i="2"/>
  <c r="BF208" i="2"/>
  <c r="BT207" i="2"/>
  <c r="BF207" i="2"/>
  <c r="BT206" i="2"/>
  <c r="BF206" i="2"/>
  <c r="BT205" i="2"/>
  <c r="BF205" i="2"/>
  <c r="BT204" i="2"/>
  <c r="BF204" i="2"/>
  <c r="BT203" i="2"/>
  <c r="BF203" i="2"/>
  <c r="BT202" i="2"/>
  <c r="BF202" i="2"/>
  <c r="BT9" i="2"/>
  <c r="BF9" i="2"/>
  <c r="BT201" i="2"/>
  <c r="BF201" i="2"/>
  <c r="BT200" i="2"/>
  <c r="BF200" i="2"/>
  <c r="BT199" i="2"/>
  <c r="BF199" i="2"/>
  <c r="BT198" i="2"/>
  <c r="BF198" i="2"/>
  <c r="BT197" i="2"/>
  <c r="BT196" i="2"/>
  <c r="BF196" i="2"/>
  <c r="BT195" i="2"/>
  <c r="BF195" i="2"/>
  <c r="BT76" i="2"/>
  <c r="BF76" i="2"/>
  <c r="BT194" i="2"/>
  <c r="BF194" i="2"/>
  <c r="BT193" i="2"/>
  <c r="BT192" i="2"/>
  <c r="BF192" i="2"/>
  <c r="BT191" i="2"/>
  <c r="BF191" i="2"/>
  <c r="BT190" i="2"/>
  <c r="BF190" i="2"/>
  <c r="BT189" i="2"/>
  <c r="BF189" i="2"/>
  <c r="BT188" i="2"/>
  <c r="BF188" i="2"/>
  <c r="BT187" i="2"/>
  <c r="BF187" i="2"/>
  <c r="BT75" i="2"/>
  <c r="BF75" i="2"/>
  <c r="BT186" i="2"/>
  <c r="BF186" i="2"/>
  <c r="BT185" i="2"/>
  <c r="BF185" i="2"/>
  <c r="BT184" i="2"/>
  <c r="BF184" i="2"/>
  <c r="BT8" i="2"/>
  <c r="BF8" i="2"/>
  <c r="BT183" i="2"/>
  <c r="BF183" i="2"/>
  <c r="BT7" i="2"/>
  <c r="BF7" i="2"/>
  <c r="BT182" i="2"/>
  <c r="BF182" i="2"/>
  <c r="BT181" i="2"/>
  <c r="BT180" i="2"/>
  <c r="BF180" i="2"/>
  <c r="BT6" i="2"/>
  <c r="BF6" i="2"/>
  <c r="BT179" i="2"/>
  <c r="BF179" i="2"/>
  <c r="BT178" i="2"/>
  <c r="BF178" i="2"/>
  <c r="BT177" i="2"/>
  <c r="BF177" i="2"/>
  <c r="BT176" i="2"/>
  <c r="BF176" i="2"/>
  <c r="BT175" i="2"/>
  <c r="BT174" i="2"/>
  <c r="BF174" i="2"/>
  <c r="BT173" i="2"/>
  <c r="BF173" i="2"/>
  <c r="BT172" i="2"/>
  <c r="BF172" i="2"/>
  <c r="BT171" i="2"/>
  <c r="BF171" i="2"/>
  <c r="BT170" i="2"/>
  <c r="BF170" i="2"/>
  <c r="BT169" i="2"/>
  <c r="BF169" i="2"/>
  <c r="BT5" i="2"/>
  <c r="BF5" i="2"/>
  <c r="BT168" i="2"/>
  <c r="BF168" i="2"/>
  <c r="BT167" i="2"/>
  <c r="BF167" i="2"/>
  <c r="BT166" i="2"/>
  <c r="BF166" i="2"/>
  <c r="BT165" i="2"/>
  <c r="BF165" i="2"/>
  <c r="BT164" i="2"/>
  <c r="BF164" i="2"/>
  <c r="BT4" i="2"/>
  <c r="BF4" i="2"/>
  <c r="BT74" i="2"/>
  <c r="BF74" i="2"/>
  <c r="BT163" i="2"/>
  <c r="BT162" i="2"/>
  <c r="BF162" i="2"/>
  <c r="BT161" i="2"/>
  <c r="BF161" i="2"/>
  <c r="BT160" i="2"/>
  <c r="BF160" i="2"/>
  <c r="BT159" i="2"/>
  <c r="BT158" i="2"/>
  <c r="BF158" i="2"/>
  <c r="BT157" i="2"/>
  <c r="BF157" i="2"/>
  <c r="BT156" i="2"/>
  <c r="BF156" i="2"/>
  <c r="BT73" i="2"/>
  <c r="BF73" i="2"/>
  <c r="BT155" i="2"/>
  <c r="BF155" i="2"/>
  <c r="BT72" i="2"/>
  <c r="BF72" i="2"/>
  <c r="BT3" i="2"/>
  <c r="BF3" i="2"/>
  <c r="BT154" i="2"/>
  <c r="BF154" i="2"/>
  <c r="BT153" i="2"/>
  <c r="BF153" i="2"/>
  <c r="BT152" i="2"/>
  <c r="BF152" i="2"/>
  <c r="BT151" i="2"/>
  <c r="BT150" i="2"/>
  <c r="BF150" i="2"/>
  <c r="BT149" i="2"/>
  <c r="BF149" i="2"/>
  <c r="BT148" i="2"/>
  <c r="BF148" i="2"/>
  <c r="BT147" i="2"/>
  <c r="BF147" i="2"/>
  <c r="BT146" i="2"/>
  <c r="BF146" i="2"/>
  <c r="BT71" i="2"/>
  <c r="BT145" i="2"/>
  <c r="BF145" i="2"/>
  <c r="BT144" i="2"/>
  <c r="BF144" i="2"/>
  <c r="BT143" i="2"/>
  <c r="BT142" i="2"/>
  <c r="BF142" i="2"/>
  <c r="BT141" i="2"/>
  <c r="BF141" i="2"/>
  <c r="BT140" i="2"/>
  <c r="BF140" i="2"/>
  <c r="BT139" i="2"/>
  <c r="BF139" i="2"/>
  <c r="BT138" i="2"/>
  <c r="BF138" i="2"/>
  <c r="BT137" i="2"/>
  <c r="BF137" i="2"/>
  <c r="BT136" i="2"/>
  <c r="BF136" i="2"/>
  <c r="BT135" i="2"/>
  <c r="BF135" i="2"/>
  <c r="BT134" i="2"/>
  <c r="BF134" i="2"/>
  <c r="BT133" i="2"/>
  <c r="BF133" i="2"/>
  <c r="BT132" i="2"/>
  <c r="BF132" i="2"/>
  <c r="BT70" i="2"/>
  <c r="BF70" i="2"/>
  <c r="BT131" i="2"/>
  <c r="BF131" i="2"/>
  <c r="BT130" i="2"/>
  <c r="BF130" i="2"/>
  <c r="BT129" i="2"/>
  <c r="BF129" i="2"/>
  <c r="BT128" i="2"/>
  <c r="BT2" i="2"/>
  <c r="BF2" i="2"/>
  <c r="BT127" i="2"/>
  <c r="BF127" i="2"/>
  <c r="BT126" i="2"/>
  <c r="BF126" i="2"/>
  <c r="BT125" i="2"/>
  <c r="BF125" i="2"/>
  <c r="BT124" i="2"/>
  <c r="BF124" i="2"/>
  <c r="BT123" i="2"/>
  <c r="BF123" i="2"/>
  <c r="BT122" i="2"/>
  <c r="BF122" i="2"/>
  <c r="BT121" i="2"/>
  <c r="BF121" i="2"/>
  <c r="BT120" i="2"/>
  <c r="BF120" i="2"/>
  <c r="BT119" i="2"/>
  <c r="BF119" i="2"/>
  <c r="BT118" i="2"/>
  <c r="BF118" i="2"/>
  <c r="BT117" i="2"/>
  <c r="BF117" i="2"/>
  <c r="BT116" i="2"/>
  <c r="BF116" i="2"/>
  <c r="BT115" i="2"/>
  <c r="BF115" i="2"/>
  <c r="BT114" i="2"/>
  <c r="BF114" i="2"/>
  <c r="BT113" i="2"/>
  <c r="BF113" i="2"/>
  <c r="BT112" i="2"/>
  <c r="BT111" i="2"/>
  <c r="BF111" i="2"/>
  <c r="BT110" i="2"/>
  <c r="BF110" i="2"/>
  <c r="BT109" i="2"/>
  <c r="BF109" i="2"/>
  <c r="BT108" i="2"/>
  <c r="BF108" i="2"/>
  <c r="BT107" i="2"/>
  <c r="BF107" i="2"/>
  <c r="BT106" i="2"/>
  <c r="BF106" i="2"/>
  <c r="BT105" i="2"/>
  <c r="BF105" i="2"/>
  <c r="BT104" i="2"/>
  <c r="BF104" i="2"/>
  <c r="BT103" i="2"/>
  <c r="BF103" i="2"/>
  <c r="BT69" i="2"/>
  <c r="BF69" i="2"/>
  <c r="BT871" i="1"/>
  <c r="BF871" i="1"/>
  <c r="BT540" i="1"/>
  <c r="BF540" i="1"/>
  <c r="BT169" i="1"/>
  <c r="BF169" i="1"/>
  <c r="BT1055" i="1"/>
  <c r="BF1055" i="1"/>
  <c r="BT402" i="1"/>
  <c r="BF402" i="1"/>
  <c r="BT736" i="1"/>
  <c r="BF736" i="1"/>
  <c r="BT613" i="1"/>
  <c r="BF613" i="1"/>
  <c r="BT327" i="1"/>
  <c r="BF327" i="1"/>
  <c r="BT446" i="1"/>
  <c r="BF446" i="1"/>
  <c r="BT707" i="1"/>
  <c r="BF707" i="1"/>
  <c r="BT815" i="1"/>
  <c r="BF815" i="1"/>
  <c r="BT522" i="1"/>
  <c r="BF522" i="1"/>
  <c r="BT216" i="1"/>
  <c r="BF216" i="1"/>
  <c r="BT167" i="1"/>
  <c r="BF167" i="1"/>
  <c r="BT564" i="1"/>
  <c r="BF564" i="1"/>
  <c r="BT606" i="1"/>
  <c r="BF606" i="1"/>
  <c r="BT62" i="1"/>
  <c r="BF62" i="1"/>
  <c r="BT43" i="1"/>
  <c r="BF43" i="1"/>
  <c r="BT524" i="1"/>
  <c r="BF524" i="1"/>
  <c r="BT511" i="1"/>
  <c r="BF511" i="1"/>
  <c r="BT299" i="1"/>
  <c r="BF299" i="1"/>
  <c r="BT781" i="1"/>
  <c r="BF781" i="1"/>
  <c r="BT1030" i="1"/>
  <c r="BF1030" i="1"/>
  <c r="BT723" i="1"/>
  <c r="BF723" i="1"/>
  <c r="BT88" i="1"/>
  <c r="BF88" i="1"/>
  <c r="BT1069" i="1"/>
  <c r="BF1069" i="1"/>
  <c r="BT316" i="1"/>
  <c r="BF316" i="1"/>
  <c r="BT222" i="1"/>
  <c r="BT984" i="1"/>
  <c r="BF984" i="1"/>
  <c r="BT1066" i="1"/>
  <c r="BF1066" i="1"/>
  <c r="BT875" i="1"/>
  <c r="BF875" i="1"/>
  <c r="BT763" i="1"/>
  <c r="BF763" i="1"/>
  <c r="BT806" i="1"/>
  <c r="BF806" i="1"/>
  <c r="BT448" i="1"/>
  <c r="BF448" i="1"/>
  <c r="BT140" i="1"/>
  <c r="BT646" i="1"/>
  <c r="BF646" i="1"/>
  <c r="BT294" i="1"/>
  <c r="BF294" i="1"/>
  <c r="BT935" i="1"/>
  <c r="BF935" i="1"/>
  <c r="BT192" i="1"/>
  <c r="BF192" i="1"/>
  <c r="BT949" i="1"/>
  <c r="BT795" i="1"/>
  <c r="BT752" i="1"/>
  <c r="BF752" i="1"/>
  <c r="BT940" i="1"/>
  <c r="BF940" i="1"/>
  <c r="BT212" i="1"/>
  <c r="BF212" i="1"/>
  <c r="BT582" i="1"/>
  <c r="BF582" i="1"/>
  <c r="BT1065" i="1"/>
  <c r="BF1065" i="1"/>
  <c r="BT37" i="1"/>
  <c r="BF37" i="1"/>
  <c r="BT735" i="1"/>
  <c r="BF735" i="1"/>
  <c r="BT629" i="1"/>
  <c r="BF629" i="1"/>
  <c r="BT208" i="1"/>
  <c r="BF208" i="1"/>
  <c r="BT64" i="1"/>
  <c r="BF64" i="1"/>
  <c r="BT347" i="1"/>
  <c r="BF347" i="1"/>
  <c r="BT917" i="1"/>
  <c r="BF917" i="1"/>
  <c r="BT496" i="1"/>
  <c r="BF496" i="1"/>
  <c r="BT745" i="1"/>
  <c r="BF745" i="1"/>
  <c r="BT1158" i="1"/>
  <c r="BT916" i="1"/>
  <c r="BF916" i="1"/>
  <c r="BT117" i="1"/>
  <c r="BF117" i="1"/>
  <c r="BT821" i="1"/>
  <c r="BF821" i="1"/>
  <c r="BT376" i="1"/>
  <c r="BF376" i="1"/>
  <c r="BT878" i="1"/>
  <c r="BF878" i="1"/>
  <c r="BT932" i="1"/>
  <c r="BF932" i="1"/>
  <c r="BT137" i="1"/>
  <c r="BF137" i="1"/>
  <c r="BT805" i="1"/>
  <c r="BF805" i="1"/>
  <c r="BT1125" i="1"/>
  <c r="BF1125" i="1"/>
  <c r="BT817" i="1"/>
  <c r="BF817" i="1"/>
  <c r="BT326" i="1"/>
  <c r="BF326" i="1"/>
  <c r="BT1023" i="1"/>
  <c r="BF1023" i="1"/>
  <c r="BT398" i="1"/>
  <c r="BF398" i="1"/>
  <c r="BT443" i="1"/>
  <c r="BF443" i="1"/>
  <c r="BT691" i="1"/>
  <c r="BF691" i="1"/>
  <c r="BT820" i="1"/>
  <c r="BT616" i="1"/>
  <c r="BF616" i="1"/>
  <c r="BT1086" i="1"/>
  <c r="BF1086" i="1"/>
  <c r="BT163" i="1"/>
  <c r="BF163" i="1"/>
  <c r="BT842" i="1"/>
  <c r="BF842" i="1"/>
  <c r="BT1071" i="1"/>
  <c r="BF1071" i="1"/>
  <c r="BT1135" i="1"/>
  <c r="BF1135" i="1"/>
  <c r="BT569" i="1"/>
  <c r="BF569" i="1"/>
  <c r="BT333" i="1"/>
  <c r="BF333" i="1"/>
  <c r="BT161" i="1"/>
  <c r="BF161" i="1"/>
  <c r="BT1123" i="1"/>
  <c r="BF1123" i="1"/>
  <c r="BT911" i="1"/>
  <c r="BF911" i="1"/>
  <c r="BT364" i="1"/>
  <c r="BF364" i="1"/>
  <c r="BT907" i="1"/>
  <c r="BF907" i="1"/>
  <c r="BT281" i="1"/>
  <c r="BF281" i="1"/>
  <c r="BT250" i="1"/>
  <c r="BF250" i="1"/>
  <c r="BT1120" i="1"/>
  <c r="BF1120" i="1"/>
  <c r="BT317" i="1"/>
  <c r="BF317" i="1"/>
  <c r="BT872" i="1"/>
  <c r="BF872" i="1"/>
  <c r="BT405" i="1"/>
  <c r="BT1006" i="1"/>
  <c r="BF1006" i="1"/>
  <c r="BT762" i="1"/>
  <c r="BT788" i="1"/>
  <c r="BF788" i="1"/>
  <c r="BT228" i="1"/>
  <c r="BF228" i="1"/>
  <c r="BT353" i="1"/>
  <c r="BF353" i="1"/>
  <c r="BT976" i="1"/>
  <c r="BT754" i="1"/>
  <c r="BF754" i="1"/>
  <c r="BT604" i="1"/>
  <c r="BF604" i="1"/>
  <c r="BT309" i="1"/>
  <c r="BF309" i="1"/>
  <c r="BT609" i="1"/>
  <c r="BF609" i="1"/>
  <c r="BT1112" i="1"/>
  <c r="BF1112" i="1"/>
  <c r="BT105" i="1"/>
  <c r="BF105" i="1"/>
  <c r="BT245" i="1"/>
  <c r="BF245" i="1"/>
  <c r="BT892" i="1"/>
  <c r="BF892" i="1"/>
  <c r="BT177" i="1"/>
  <c r="BF177" i="1"/>
  <c r="BT859" i="1"/>
  <c r="BT926" i="1"/>
  <c r="BF926" i="1"/>
  <c r="BT84" i="1"/>
  <c r="BT109" i="1"/>
  <c r="BF109" i="1"/>
  <c r="BT956" i="1"/>
  <c r="BF956" i="1"/>
  <c r="BT504" i="1"/>
  <c r="BT661" i="1"/>
  <c r="BF661" i="1"/>
  <c r="BT1068" i="1"/>
  <c r="BF1068" i="1"/>
  <c r="BT42" i="1"/>
  <c r="BF42" i="1"/>
  <c r="BT544" i="1"/>
  <c r="BF544" i="1"/>
  <c r="BT885" i="1"/>
  <c r="BF885" i="1"/>
  <c r="BT171" i="1"/>
  <c r="BF171" i="1"/>
  <c r="BT147" i="1"/>
  <c r="BF147" i="1"/>
  <c r="BT36" i="1"/>
  <c r="BF36" i="1"/>
  <c r="BT1127" i="1"/>
  <c r="BF1127" i="1"/>
  <c r="BT1088" i="1"/>
  <c r="BF1088" i="1"/>
  <c r="BT334" i="1"/>
  <c r="BF334" i="1"/>
  <c r="BT131" i="1"/>
  <c r="BF131" i="1"/>
  <c r="BT1051" i="1"/>
  <c r="BF1051" i="1"/>
  <c r="BT436" i="1"/>
  <c r="BF436" i="1"/>
  <c r="BT394" i="1"/>
  <c r="BF394" i="1"/>
  <c r="BT904" i="1"/>
  <c r="BF904" i="1"/>
  <c r="BT645" i="1"/>
  <c r="BF645" i="1"/>
  <c r="BT1057" i="1"/>
  <c r="BF1057" i="1"/>
  <c r="BT677" i="1"/>
  <c r="BF677" i="1"/>
  <c r="BT412" i="1"/>
  <c r="BF412" i="1"/>
  <c r="BT860" i="1"/>
  <c r="BF860" i="1"/>
  <c r="BT782" i="1"/>
  <c r="BF782" i="1"/>
  <c r="BT377" i="1"/>
  <c r="BF377" i="1"/>
  <c r="BT397" i="1"/>
  <c r="BF397" i="1"/>
  <c r="BT39" i="1"/>
  <c r="BF39" i="1"/>
  <c r="BT415" i="1"/>
  <c r="BF415" i="1"/>
  <c r="BT1054" i="1"/>
  <c r="BF1054" i="1"/>
  <c r="BT57" i="1"/>
  <c r="BF57" i="1"/>
  <c r="BT388" i="1"/>
  <c r="BF388" i="1"/>
  <c r="BT483" i="1"/>
  <c r="BF483" i="1"/>
  <c r="BT113" i="1"/>
  <c r="BF113" i="1"/>
  <c r="BT458" i="1"/>
  <c r="BF458" i="1"/>
  <c r="BT803" i="1"/>
  <c r="BF803" i="1"/>
  <c r="BT495" i="1"/>
  <c r="BF495" i="1"/>
  <c r="BT930" i="1"/>
  <c r="BF930" i="1"/>
  <c r="BT864" i="1"/>
  <c r="BF864" i="1"/>
  <c r="BT656" i="1"/>
  <c r="BF656" i="1"/>
  <c r="BT1161" i="1"/>
  <c r="BF1161" i="1"/>
  <c r="BT262" i="1"/>
  <c r="BF262" i="1"/>
  <c r="BT89" i="1"/>
  <c r="BF89" i="1"/>
  <c r="BT615" i="1"/>
  <c r="BF615" i="1"/>
  <c r="BT253" i="1"/>
  <c r="BF253" i="1"/>
  <c r="BT771" i="1"/>
  <c r="BF771" i="1"/>
  <c r="BT386" i="1"/>
  <c r="BF386" i="1"/>
  <c r="BT382" i="1"/>
  <c r="BF382" i="1"/>
  <c r="BT252" i="1"/>
  <c r="BF252" i="1"/>
  <c r="BT633" i="1"/>
  <c r="BF633" i="1"/>
  <c r="BT268" i="1"/>
  <c r="BT708" i="1"/>
  <c r="BF708" i="1"/>
  <c r="BT40" i="1"/>
  <c r="BF40" i="1"/>
  <c r="BF777" i="1"/>
  <c r="BT777" i="1"/>
  <c r="BF810" i="1"/>
  <c r="BT810" i="1"/>
  <c r="BF201" i="1"/>
  <c r="BT201" i="1"/>
  <c r="BF738" i="1"/>
  <c r="BT738" i="1"/>
  <c r="BF175" i="1"/>
  <c r="BT175" i="1"/>
  <c r="BF22" i="1"/>
  <c r="BT22" i="1"/>
  <c r="BF1162" i="1"/>
  <c r="BT1162" i="1"/>
  <c r="BF133" i="1"/>
  <c r="BT133" i="1"/>
  <c r="BF600" i="1"/>
  <c r="BT600" i="1"/>
  <c r="BF739" i="1"/>
  <c r="BT739" i="1"/>
  <c r="BF573" i="1"/>
  <c r="BT573" i="1"/>
  <c r="BF978" i="1"/>
  <c r="BT978" i="1"/>
  <c r="BF94" i="1"/>
  <c r="BT94" i="1"/>
  <c r="BT383" i="1"/>
  <c r="BF535" i="1"/>
  <c r="BT535" i="1"/>
  <c r="BF924" i="1"/>
  <c r="BT924" i="1"/>
  <c r="BF595" i="1"/>
  <c r="BT595" i="1"/>
  <c r="BF637" i="1"/>
  <c r="BT637" i="1"/>
  <c r="BF1150" i="1"/>
  <c r="BT1150" i="1"/>
  <c r="BF210" i="1"/>
  <c r="BT210" i="1"/>
  <c r="BF856" i="1"/>
  <c r="BT856" i="1"/>
  <c r="BF521" i="1"/>
  <c r="BT521" i="1"/>
  <c r="BF49" i="1"/>
  <c r="BT49" i="1"/>
  <c r="BF733" i="1"/>
  <c r="BT733" i="1"/>
  <c r="BF844" i="1"/>
  <c r="BT844" i="1"/>
  <c r="BF838" i="1"/>
  <c r="BT838" i="1"/>
  <c r="BF72" i="1"/>
  <c r="BT72" i="1"/>
  <c r="BF81" i="1"/>
  <c r="BT81" i="1"/>
  <c r="BF430" i="1"/>
  <c r="BT430" i="1"/>
  <c r="BF1002" i="1"/>
  <c r="BT1002" i="1"/>
  <c r="BF1105" i="1"/>
  <c r="BT1105" i="1"/>
  <c r="BF157" i="1"/>
  <c r="BT157" i="1"/>
  <c r="BF1116" i="1"/>
  <c r="BT1116" i="1"/>
  <c r="BF849" i="1"/>
  <c r="BT849" i="1"/>
  <c r="BF1046" i="1"/>
  <c r="BT1046" i="1"/>
  <c r="BF571" i="1"/>
  <c r="BT571" i="1"/>
  <c r="BF598" i="1"/>
  <c r="BT598" i="1"/>
  <c r="BF597" i="1"/>
  <c r="BT597" i="1"/>
  <c r="BF811" i="1"/>
  <c r="BT811" i="1"/>
  <c r="BF970" i="1"/>
  <c r="BT970" i="1"/>
  <c r="BF891" i="1"/>
  <c r="BT891" i="1"/>
  <c r="BF583" i="1"/>
  <c r="BT583" i="1"/>
  <c r="BF648" i="1"/>
  <c r="BT648" i="1"/>
  <c r="BF453" i="1"/>
  <c r="BT453" i="1"/>
  <c r="BF283" i="1"/>
  <c r="BT283" i="1"/>
  <c r="BF355" i="1"/>
  <c r="BT355" i="1"/>
  <c r="BT1131" i="1"/>
  <c r="BF34" i="1"/>
  <c r="BT34" i="1"/>
  <c r="BF1074" i="1"/>
  <c r="BT1074" i="1"/>
  <c r="BF124" i="1"/>
  <c r="BT124" i="1"/>
  <c r="BT818" i="1"/>
  <c r="BT989" i="1"/>
  <c r="BF1011" i="1"/>
  <c r="BT1011" i="1"/>
  <c r="BF741" i="1"/>
  <c r="BT741" i="1"/>
  <c r="BF537" i="1"/>
  <c r="BT537" i="1"/>
  <c r="BF108" i="1"/>
  <c r="BT108" i="1"/>
  <c r="BF1141" i="1"/>
  <c r="BT1141" i="1"/>
  <c r="BT1058" i="1"/>
  <c r="BT1026" i="1"/>
  <c r="BF895" i="1"/>
  <c r="BT895" i="1"/>
  <c r="BF176" i="1"/>
  <c r="BT176" i="1"/>
  <c r="BF603" i="1"/>
  <c r="BT603" i="1"/>
  <c r="BF910" i="1"/>
  <c r="BT910" i="1"/>
  <c r="BF142" i="1"/>
  <c r="BT142" i="1"/>
  <c r="BF1104" i="1"/>
  <c r="BT1104" i="1"/>
  <c r="BF148" i="1"/>
  <c r="BT148" i="1"/>
  <c r="BF1047" i="1"/>
  <c r="BT1047" i="1"/>
  <c r="BF1014" i="1"/>
  <c r="BT1014" i="1"/>
  <c r="BF110" i="1"/>
  <c r="BT110" i="1"/>
  <c r="BF676" i="1"/>
  <c r="BT676" i="1"/>
  <c r="BF948" i="1"/>
  <c r="BT948" i="1"/>
  <c r="BF319" i="1"/>
  <c r="BT319" i="1"/>
  <c r="BF1032" i="1"/>
  <c r="BT1032" i="1"/>
  <c r="BF125" i="1"/>
  <c r="BT125" i="1"/>
  <c r="BF266" i="1"/>
  <c r="BT266" i="1"/>
  <c r="BF555" i="1"/>
  <c r="BT555" i="1"/>
  <c r="BT974" i="1"/>
  <c r="BF764" i="1"/>
  <c r="BT764" i="1"/>
  <c r="BF179" i="1"/>
  <c r="BT179" i="1"/>
  <c r="BF1151" i="1"/>
  <c r="BT1151" i="1"/>
  <c r="BF798" i="1"/>
  <c r="BT798" i="1"/>
  <c r="BF82" i="1"/>
  <c r="BT82" i="1"/>
  <c r="BF1109" i="1"/>
  <c r="BT1109" i="1"/>
  <c r="BF731" i="1"/>
  <c r="BT731" i="1"/>
  <c r="BF1021" i="1"/>
  <c r="BT1021" i="1"/>
  <c r="BF1154" i="1"/>
  <c r="BT1154" i="1"/>
  <c r="BF517" i="1"/>
  <c r="BT517" i="1"/>
  <c r="BF561" i="1"/>
  <c r="BT561" i="1"/>
  <c r="BF791" i="1"/>
  <c r="BT791" i="1"/>
  <c r="BF1149" i="1"/>
  <c r="BT1149" i="1"/>
  <c r="BF354" i="1"/>
  <c r="BT354" i="1"/>
  <c r="BF557" i="1"/>
  <c r="BT557" i="1"/>
  <c r="BF536" i="1"/>
  <c r="BT536" i="1"/>
  <c r="BF827" i="1"/>
  <c r="BT827" i="1"/>
  <c r="BF358" i="1"/>
  <c r="BT358" i="1"/>
  <c r="BF274" i="1"/>
  <c r="BT274" i="1"/>
  <c r="BF338" i="1"/>
  <c r="BT338" i="1"/>
  <c r="BF24" i="1"/>
  <c r="BT24" i="1"/>
  <c r="BF893" i="1"/>
  <c r="BT893" i="1"/>
  <c r="BF127" i="1"/>
  <c r="BT127" i="1"/>
  <c r="BF804" i="1"/>
  <c r="BT804" i="1"/>
  <c r="BF611" i="1"/>
  <c r="BT611" i="1"/>
  <c r="BF1015" i="1"/>
  <c r="BT1015" i="1"/>
  <c r="BF229" i="1"/>
  <c r="BT229" i="1"/>
  <c r="BF1028" i="1"/>
  <c r="BT1028" i="1"/>
  <c r="BF259" i="1"/>
  <c r="BT259" i="1"/>
  <c r="BF624" i="1"/>
  <c r="BT624" i="1"/>
  <c r="BF93" i="1"/>
  <c r="BT93" i="1"/>
  <c r="BF385" i="1"/>
  <c r="BT385" i="1"/>
  <c r="BF559" i="1"/>
  <c r="BT559" i="1"/>
  <c r="BF767" i="1"/>
  <c r="BT767" i="1"/>
  <c r="BF497" i="1"/>
  <c r="BT497" i="1"/>
  <c r="BF365" i="1"/>
  <c r="BT365" i="1"/>
  <c r="BF144" i="1"/>
  <c r="BT144" i="1"/>
  <c r="BF285" i="1"/>
  <c r="BT285" i="1"/>
  <c r="BF373" i="1"/>
  <c r="BT373" i="1"/>
  <c r="BF809" i="1"/>
  <c r="BT809" i="1"/>
  <c r="BF658" i="1"/>
  <c r="BT658" i="1"/>
  <c r="BF482" i="1"/>
  <c r="BT482" i="1"/>
  <c r="BF671" i="1"/>
  <c r="BT671" i="1"/>
  <c r="BF431" i="1"/>
  <c r="BT431" i="1"/>
  <c r="BF566" i="1"/>
  <c r="BT566" i="1"/>
  <c r="BF119" i="1"/>
  <c r="BT119" i="1"/>
  <c r="BF596" i="1"/>
  <c r="BT596" i="1"/>
  <c r="BF851" i="1"/>
  <c r="BT851" i="1"/>
  <c r="BF1062" i="1"/>
  <c r="BT1062" i="1"/>
  <c r="BF542" i="1"/>
  <c r="BT542" i="1"/>
  <c r="BF83" i="1"/>
  <c r="BT83" i="1"/>
  <c r="BF254" i="1"/>
  <c r="BT254" i="1"/>
  <c r="BF1139" i="1"/>
  <c r="BT1139" i="1"/>
  <c r="BF1082" i="1"/>
  <c r="BT1082" i="1"/>
  <c r="BT193" i="1"/>
  <c r="BF829" i="1"/>
  <c r="BT829" i="1"/>
  <c r="BF506" i="1"/>
  <c r="BT506" i="1"/>
  <c r="BF599" i="1"/>
  <c r="BT599" i="1"/>
  <c r="BF451" i="1"/>
  <c r="BT451" i="1"/>
  <c r="BF696" i="1"/>
  <c r="BT696" i="1"/>
  <c r="BT106" i="1"/>
  <c r="BF983" i="1"/>
  <c r="BT983" i="1"/>
  <c r="BF368" i="1"/>
  <c r="BT368" i="1"/>
  <c r="BF174" i="1"/>
  <c r="BT174" i="1"/>
  <c r="BT650" i="1"/>
  <c r="BF967" i="1"/>
  <c r="BT967" i="1"/>
  <c r="BF1038" i="1"/>
  <c r="BT1038" i="1"/>
  <c r="BF725" i="1"/>
  <c r="BT725" i="1"/>
  <c r="BF883" i="1"/>
  <c r="BT883" i="1"/>
  <c r="BF963" i="1"/>
  <c r="BT963" i="1"/>
  <c r="BF68" i="1"/>
  <c r="BT68" i="1"/>
  <c r="BF529" i="1"/>
  <c r="BT529" i="1"/>
  <c r="BF305" i="1"/>
  <c r="BT305" i="1"/>
  <c r="BF1012" i="1"/>
  <c r="BT1012" i="1"/>
  <c r="BF664" i="1"/>
  <c r="BT664" i="1"/>
  <c r="BF610" i="1"/>
  <c r="BT610" i="1"/>
  <c r="BF292" i="1"/>
  <c r="BT292" i="1"/>
  <c r="BF847" i="1"/>
  <c r="BT847" i="1"/>
  <c r="BF150" i="1"/>
  <c r="BT150" i="1"/>
  <c r="BF641" i="1"/>
  <c r="BT641" i="1"/>
  <c r="BF622" i="1"/>
  <c r="BT622" i="1"/>
  <c r="BF63" i="1"/>
  <c r="BT63" i="1"/>
  <c r="BF675" i="1"/>
  <c r="BT675" i="1"/>
  <c r="BF516" i="1"/>
  <c r="BT516" i="1"/>
  <c r="BF526" i="1"/>
  <c r="BT526" i="1"/>
  <c r="BF27" i="1"/>
  <c r="BT27" i="1"/>
  <c r="BF498" i="1"/>
  <c r="BT498" i="1"/>
  <c r="BF868" i="1"/>
  <c r="BT868" i="1"/>
  <c r="BF1111" i="1"/>
  <c r="BT1111" i="1"/>
  <c r="BF286" i="1"/>
  <c r="BT286" i="1"/>
  <c r="BF840" i="1"/>
  <c r="BT840" i="1"/>
  <c r="BF116" i="1"/>
  <c r="BT116" i="1"/>
  <c r="BF270" i="1"/>
  <c r="BT270" i="1"/>
  <c r="BF942" i="1"/>
  <c r="BT942" i="1"/>
  <c r="BF936" i="1"/>
  <c r="BT936" i="1"/>
  <c r="BF789" i="1"/>
  <c r="BT789" i="1"/>
  <c r="BF205" i="1"/>
  <c r="BT205" i="1"/>
  <c r="BF344" i="1"/>
  <c r="BT344" i="1"/>
  <c r="BF25" i="1"/>
  <c r="BT25" i="1"/>
  <c r="BF1148" i="1"/>
  <c r="BT1148" i="1"/>
  <c r="BF1037" i="1"/>
  <c r="BT1037" i="1"/>
  <c r="BF19" i="1"/>
  <c r="BT19" i="1"/>
  <c r="BF188" i="1"/>
  <c r="BT188" i="1"/>
  <c r="BF532" i="1"/>
  <c r="BT532" i="1"/>
  <c r="BF58" i="1"/>
  <c r="BT58" i="1"/>
  <c r="BF994" i="1"/>
  <c r="BT994" i="1"/>
  <c r="BF462" i="1"/>
  <c r="BT462" i="1"/>
  <c r="BF734" i="1"/>
  <c r="BT734" i="1"/>
  <c r="BF2" i="1"/>
  <c r="BT2" i="1"/>
  <c r="BF311" i="1"/>
  <c r="BT311" i="1"/>
  <c r="BF101" i="1"/>
  <c r="BT101" i="1"/>
  <c r="BF449" i="1"/>
  <c r="BT449" i="1"/>
  <c r="BF797" i="1"/>
  <c r="BT797" i="1"/>
  <c r="BF913" i="1"/>
  <c r="BT913" i="1"/>
  <c r="BF899" i="1"/>
  <c r="BT899" i="1"/>
  <c r="BF261" i="1"/>
  <c r="BT261" i="1"/>
  <c r="BF507" i="1"/>
  <c r="BT507" i="1"/>
  <c r="BF20" i="1"/>
  <c r="BT20" i="1"/>
  <c r="BF290" i="1"/>
  <c r="BT290" i="1"/>
  <c r="BF977" i="1"/>
  <c r="BT977" i="1"/>
  <c r="BF712" i="1"/>
  <c r="BT712" i="1"/>
  <c r="BF705" i="1"/>
  <c r="BT705" i="1"/>
  <c r="BF620" i="1"/>
  <c r="BT620" i="1"/>
  <c r="BF1142" i="1"/>
  <c r="BT1142" i="1"/>
  <c r="BF774" i="1"/>
  <c r="BT774" i="1"/>
  <c r="BF623" i="1"/>
  <c r="BT623" i="1"/>
  <c r="BF1085" i="1"/>
  <c r="BT1085" i="1"/>
  <c r="BF457" i="1"/>
  <c r="BT457" i="1"/>
  <c r="BF999" i="1"/>
  <c r="BT999" i="1"/>
  <c r="BF933" i="1"/>
  <c r="BT933" i="1"/>
  <c r="BF1152" i="1"/>
  <c r="BT1152" i="1"/>
  <c r="BF947" i="1"/>
  <c r="BT947" i="1"/>
  <c r="BF78" i="1"/>
  <c r="BT78" i="1"/>
  <c r="BF857" i="1"/>
  <c r="BT857" i="1"/>
  <c r="BF906" i="1"/>
  <c r="BT906" i="1"/>
  <c r="BF692" i="1"/>
  <c r="BT692" i="1"/>
  <c r="BF881" i="1"/>
  <c r="BT881" i="1"/>
  <c r="BF852" i="1"/>
  <c r="BT852" i="1"/>
  <c r="BF178" i="1"/>
  <c r="BT178" i="1"/>
  <c r="BF921" i="1"/>
  <c r="BT921" i="1"/>
  <c r="BF139" i="1"/>
  <c r="BT139" i="1"/>
  <c r="BF922" i="1"/>
  <c r="BT922" i="1"/>
  <c r="BF345" i="1"/>
  <c r="BT345" i="1"/>
  <c r="BF588" i="1"/>
  <c r="BT588" i="1"/>
  <c r="BF173" i="1"/>
  <c r="BT173" i="1"/>
  <c r="BF1137" i="1"/>
  <c r="BT1137" i="1"/>
  <c r="BF293" i="1"/>
  <c r="BT293" i="1"/>
  <c r="BF287" i="1"/>
  <c r="BT287" i="1"/>
  <c r="BF342" i="1"/>
  <c r="BT342" i="1"/>
  <c r="BF634" i="1"/>
  <c r="BT634" i="1"/>
  <c r="BF459" i="1"/>
  <c r="BT459" i="1"/>
  <c r="BF975" i="1"/>
  <c r="BT975" i="1"/>
  <c r="BF291" i="1"/>
  <c r="BT291" i="1"/>
  <c r="BF18" i="1"/>
  <c r="BT18" i="1"/>
  <c r="BF469" i="1"/>
  <c r="BT469" i="1"/>
  <c r="BT306" i="1"/>
  <c r="BF988" i="1"/>
  <c r="BT988" i="1"/>
  <c r="BF1063" i="1"/>
  <c r="BT1063" i="1"/>
  <c r="BF808" i="1"/>
  <c r="BT808" i="1"/>
  <c r="BF220" i="1"/>
  <c r="BT220" i="1"/>
  <c r="BF1035" i="1"/>
  <c r="BT1035" i="1"/>
  <c r="BF640" i="1"/>
  <c r="BT640" i="1"/>
  <c r="BF552" i="1"/>
  <c r="BT552" i="1"/>
  <c r="BF96" i="1"/>
  <c r="BT96" i="1"/>
  <c r="BF1147" i="1"/>
  <c r="BT1147" i="1"/>
  <c r="BF1084" i="1"/>
  <c r="BT1084" i="1"/>
  <c r="BF887" i="1"/>
  <c r="BT887" i="1"/>
  <c r="BF151" i="1"/>
  <c r="BT151" i="1"/>
  <c r="BF44" i="1"/>
  <c r="BT44" i="1"/>
  <c r="BF1070" i="1"/>
  <c r="BT1070" i="1"/>
  <c r="BF972" i="1"/>
  <c r="BT972" i="1"/>
  <c r="BF1042" i="1"/>
  <c r="BT1042" i="1"/>
  <c r="BT329" i="1"/>
  <c r="BT1081" i="1"/>
  <c r="BF660" i="1"/>
  <c r="BT660" i="1"/>
  <c r="BF17" i="1"/>
  <c r="BT17" i="1"/>
  <c r="BF238" i="1"/>
  <c r="BT238" i="1"/>
  <c r="BF330" i="1"/>
  <c r="BT330" i="1"/>
  <c r="BT444" i="1"/>
  <c r="BF123" i="1"/>
  <c r="BT123" i="1"/>
  <c r="BF649" i="1"/>
  <c r="BT649" i="1"/>
  <c r="BF486" i="1"/>
  <c r="BT486" i="1"/>
  <c r="BF653" i="1"/>
  <c r="BT653" i="1"/>
  <c r="BF87" i="1"/>
  <c r="BT87" i="1"/>
  <c r="BF903" i="1"/>
  <c r="BT903" i="1"/>
  <c r="BF271" i="1"/>
  <c r="BT271" i="1"/>
  <c r="BF888" i="1"/>
  <c r="BT888" i="1"/>
  <c r="BF626" i="1"/>
  <c r="BT626" i="1"/>
  <c r="BF467" i="1"/>
  <c r="BT467" i="1"/>
  <c r="BF141" i="1"/>
  <c r="BT141" i="1"/>
  <c r="BF784" i="1"/>
  <c r="BT784" i="1"/>
  <c r="BT869" i="1"/>
  <c r="BT45" i="1"/>
  <c r="BF476" i="1"/>
  <c r="BT476" i="1"/>
  <c r="BF625" i="1"/>
  <c r="BT625" i="1"/>
  <c r="BF704" i="1"/>
  <c r="BT704" i="1"/>
  <c r="BF1143" i="1"/>
  <c r="BT1143" i="1"/>
  <c r="BF701" i="1"/>
  <c r="BT701" i="1"/>
  <c r="BF1073" i="1"/>
  <c r="BT1073" i="1"/>
  <c r="BF277" i="1"/>
  <c r="BT277" i="1"/>
  <c r="BT923" i="1"/>
  <c r="BF481" i="1"/>
  <c r="BT481" i="1"/>
  <c r="BF472" i="1"/>
  <c r="BT472" i="1"/>
  <c r="BF187" i="1"/>
  <c r="BT187" i="1"/>
  <c r="BF313" i="1"/>
  <c r="BT313" i="1"/>
  <c r="BF1048" i="1"/>
  <c r="BT1048" i="1"/>
  <c r="BF1117" i="1"/>
  <c r="BT1117" i="1"/>
  <c r="BF362" i="1"/>
  <c r="BT362" i="1"/>
  <c r="BF770" i="1"/>
  <c r="BT770" i="1"/>
  <c r="BF6" i="1"/>
  <c r="BT6" i="1"/>
  <c r="BF1099" i="1"/>
  <c r="BT1099" i="1"/>
  <c r="BF60" i="1"/>
  <c r="BT60" i="1"/>
  <c r="BF189" i="1"/>
  <c r="BT189" i="1"/>
  <c r="BF981" i="1"/>
  <c r="BT981" i="1"/>
  <c r="BF830" i="1"/>
  <c r="BT830" i="1"/>
  <c r="BF1140" i="1"/>
  <c r="BT1140" i="1"/>
  <c r="BF737" i="1"/>
  <c r="BT737" i="1"/>
  <c r="BF824" i="1"/>
  <c r="BT824" i="1"/>
  <c r="BT1024" i="1"/>
  <c r="BF122" i="1"/>
  <c r="BT122" i="1"/>
  <c r="BF237" i="1"/>
  <c r="BT237" i="1"/>
  <c r="BF328" i="1"/>
  <c r="BT328" i="1"/>
  <c r="BF92" i="1"/>
  <c r="BT92" i="1"/>
  <c r="BF426" i="1"/>
  <c r="BT426" i="1"/>
  <c r="BF380" i="1"/>
  <c r="BT380" i="1"/>
  <c r="BF465" i="1"/>
  <c r="BT465" i="1"/>
  <c r="BF1060" i="1"/>
  <c r="BT1060" i="1"/>
  <c r="BF971" i="1"/>
  <c r="BT971" i="1"/>
  <c r="BF318" i="1"/>
  <c r="BT318" i="1"/>
  <c r="BF1056" i="1"/>
  <c r="BT1056" i="1"/>
  <c r="BF716" i="1"/>
  <c r="BT716" i="1"/>
  <c r="BF538" i="1"/>
  <c r="BT538" i="1"/>
  <c r="BF1094" i="1"/>
  <c r="BT1094" i="1"/>
  <c r="BF226" i="1"/>
  <c r="BT226" i="1"/>
  <c r="BF230" i="1"/>
  <c r="BT230" i="1"/>
  <c r="BF591" i="1"/>
  <c r="BT591" i="1"/>
  <c r="BF508" i="1"/>
  <c r="BT508" i="1"/>
  <c r="BF145" i="1"/>
  <c r="BT145" i="1"/>
  <c r="BF473" i="1"/>
  <c r="BT473" i="1"/>
  <c r="BF170" i="1"/>
  <c r="BT170" i="1"/>
  <c r="BF758" i="1"/>
  <c r="BT758" i="1"/>
  <c r="BF726" i="1"/>
  <c r="BT726" i="1"/>
  <c r="BF855" i="1"/>
  <c r="BT855" i="1"/>
  <c r="BF480" i="1"/>
  <c r="BT480" i="1"/>
  <c r="BF492" i="1"/>
  <c r="BT492" i="1"/>
  <c r="BF310" i="1"/>
  <c r="BT310" i="1"/>
  <c r="BF714" i="1"/>
  <c r="BT714" i="1"/>
  <c r="BF424" i="1"/>
  <c r="BT424" i="1"/>
  <c r="BF698" i="1"/>
  <c r="BT698" i="1"/>
  <c r="BF242" i="1"/>
  <c r="BT242" i="1"/>
  <c r="BF560" i="1"/>
  <c r="BT560" i="1"/>
  <c r="BF654" i="1"/>
  <c r="BT654" i="1"/>
  <c r="BF366" i="1"/>
  <c r="BT366" i="1"/>
  <c r="BF545" i="1"/>
  <c r="BT545" i="1"/>
  <c r="BF203" i="1"/>
  <c r="BT203" i="1"/>
  <c r="BF578" i="1"/>
  <c r="BT578" i="1"/>
  <c r="BF10" i="1"/>
  <c r="BT10" i="1"/>
  <c r="BF850" i="1"/>
  <c r="BT850" i="1"/>
  <c r="BF442" i="1"/>
  <c r="BT442" i="1"/>
  <c r="BF548" i="1"/>
  <c r="BT548" i="1"/>
  <c r="BF953" i="1"/>
  <c r="BT953" i="1"/>
  <c r="BF530" i="1"/>
  <c r="BT530" i="1"/>
  <c r="BF1040" i="1"/>
  <c r="BT1040" i="1"/>
  <c r="BF256" i="1"/>
  <c r="BT256" i="1"/>
  <c r="BF392" i="1"/>
  <c r="BT392" i="1"/>
  <c r="BT534" i="1"/>
  <c r="BF67" i="1"/>
  <c r="BT67" i="1"/>
  <c r="BF717" i="1"/>
  <c r="BT717" i="1"/>
  <c r="BT111" i="1"/>
  <c r="BF769" i="1"/>
  <c r="BT769" i="1"/>
  <c r="BF1102" i="1"/>
  <c r="BT1102" i="1"/>
  <c r="BF206" i="1"/>
  <c r="BT206" i="1"/>
  <c r="BF359" i="1"/>
  <c r="BT359" i="1"/>
  <c r="BF243" i="1"/>
  <c r="BT243" i="1"/>
  <c r="BF337" i="1"/>
  <c r="BT337" i="1"/>
  <c r="BF143" i="1"/>
  <c r="BT143" i="1"/>
  <c r="BF897" i="1"/>
  <c r="BT897" i="1"/>
  <c r="BF880" i="1"/>
  <c r="BT880" i="1"/>
  <c r="BF155" i="1"/>
  <c r="BT155" i="1"/>
  <c r="BF235" i="1"/>
  <c r="BT235" i="1"/>
  <c r="BT986" i="1"/>
  <c r="BF1052" i="1"/>
  <c r="BT1052" i="1"/>
  <c r="BF802" i="1"/>
  <c r="BT802" i="1"/>
  <c r="BF666" i="1"/>
  <c r="BT666" i="1"/>
  <c r="BF957" i="1"/>
  <c r="BT957" i="1"/>
  <c r="BF1096" i="1"/>
  <c r="BT1096" i="1"/>
  <c r="BF681" i="1"/>
  <c r="BT681" i="1"/>
  <c r="BF748" i="1"/>
  <c r="BT748" i="1"/>
  <c r="BF79" i="1"/>
  <c r="BT79" i="1"/>
  <c r="BF331" i="1"/>
  <c r="BT331" i="1"/>
  <c r="BT29" i="1"/>
  <c r="BT761" i="1"/>
  <c r="BF823" i="1"/>
  <c r="BT823" i="1"/>
  <c r="BF589" i="1"/>
  <c r="BT589" i="1"/>
  <c r="BF434" i="1"/>
  <c r="BT434" i="1"/>
  <c r="BF120" i="1"/>
  <c r="BT120" i="1"/>
  <c r="BF776" i="1"/>
  <c r="BT776" i="1"/>
  <c r="BF796" i="1"/>
  <c r="BT796" i="1"/>
  <c r="BF523" i="1"/>
  <c r="BT523" i="1"/>
  <c r="BF491" i="1"/>
  <c r="BT491" i="1"/>
  <c r="BT264" i="1"/>
  <c r="BF709" i="1"/>
  <c r="BT709" i="1"/>
  <c r="BF912" i="1"/>
  <c r="BT912" i="1"/>
  <c r="BF97" i="1"/>
  <c r="BT97" i="1"/>
  <c r="BF263" i="1"/>
  <c r="BT263" i="1"/>
  <c r="BF882" i="1"/>
  <c r="BT882" i="1"/>
  <c r="BF995" i="1"/>
  <c r="BT995" i="1"/>
  <c r="BF336" i="1"/>
  <c r="BT336" i="1"/>
  <c r="BF422" i="1"/>
  <c r="BT422" i="1"/>
  <c r="BF471" i="1"/>
  <c r="BT471" i="1"/>
  <c r="BF961" i="1"/>
  <c r="BT961" i="1"/>
  <c r="BF1083" i="1"/>
  <c r="BT1083" i="1"/>
  <c r="BF71" i="1"/>
  <c r="BT71" i="1"/>
  <c r="BF1059" i="1"/>
  <c r="BT1059" i="1"/>
  <c r="BF490" i="1"/>
  <c r="BT490" i="1"/>
  <c r="BF909" i="1"/>
  <c r="BT909" i="1"/>
  <c r="BF197" i="1"/>
  <c r="BT197" i="1"/>
  <c r="BF118" i="1"/>
  <c r="BT118" i="1"/>
  <c r="BF558" i="1"/>
  <c r="BT558" i="1"/>
  <c r="BF428" i="1"/>
  <c r="BT428" i="1"/>
  <c r="BT1016" i="1"/>
  <c r="BF570" i="1"/>
  <c r="BT570" i="1"/>
  <c r="BF928" i="1"/>
  <c r="BT928" i="1"/>
  <c r="BF1134" i="1"/>
  <c r="BT1134" i="1"/>
  <c r="BF135" i="1"/>
  <c r="BT135" i="1"/>
  <c r="BF877" i="1"/>
  <c r="BT877" i="1"/>
  <c r="BF1017" i="1"/>
  <c r="BT1017" i="1"/>
  <c r="BF1144" i="1"/>
  <c r="BT1144" i="1"/>
  <c r="BF1043" i="1"/>
  <c r="BT1043" i="1"/>
  <c r="BT470" i="1"/>
  <c r="BF304" i="1"/>
  <c r="BT304" i="1"/>
  <c r="BF966" i="1"/>
  <c r="BT966" i="1"/>
  <c r="BF384" i="1"/>
  <c r="BT384" i="1"/>
  <c r="BF643" i="1"/>
  <c r="BT643" i="1"/>
  <c r="BF993" i="1"/>
  <c r="BT993" i="1"/>
  <c r="BF1007" i="1"/>
  <c r="BT1007" i="1"/>
  <c r="BF439" i="1"/>
  <c r="BT439" i="1"/>
  <c r="BT703" i="1"/>
  <c r="BT719" i="1"/>
  <c r="BF866" i="1"/>
  <c r="BT866" i="1"/>
  <c r="BF374" i="1"/>
  <c r="BT374" i="1"/>
  <c r="BF417" i="1"/>
  <c r="BT417" i="1"/>
  <c r="BF288" i="1"/>
  <c r="BT288" i="1"/>
  <c r="BF312" i="1"/>
  <c r="BT312" i="1"/>
  <c r="BF369" i="1"/>
  <c r="BT369" i="1"/>
  <c r="BF902" i="1"/>
  <c r="BT902" i="1"/>
  <c r="BF371" i="1"/>
  <c r="BT371" i="1"/>
  <c r="BF298" i="1"/>
  <c r="BT298" i="1"/>
  <c r="BF659" i="1"/>
  <c r="BT659" i="1"/>
  <c r="BF1078" i="1"/>
  <c r="BT1078" i="1"/>
  <c r="BF1087" i="1"/>
  <c r="BT1087" i="1"/>
  <c r="BF156" i="1"/>
  <c r="BT156" i="1"/>
  <c r="BF28" i="1"/>
  <c r="BT28" i="1"/>
  <c r="BF729" i="1"/>
  <c r="BT729" i="1"/>
  <c r="BF901" i="1"/>
  <c r="BT901" i="1"/>
  <c r="BF278" i="1"/>
  <c r="BT278" i="1"/>
  <c r="BF1115" i="1"/>
  <c r="BT1115" i="1"/>
  <c r="BF361" i="1"/>
  <c r="BT361" i="1"/>
  <c r="BF30" i="1"/>
  <c r="BT30" i="1"/>
  <c r="BT54" i="1"/>
  <c r="BF202" i="1"/>
  <c r="BT202" i="1"/>
  <c r="BF1008" i="1"/>
  <c r="BT1008" i="1"/>
  <c r="BF47" i="1"/>
  <c r="BT47" i="1"/>
  <c r="BF1133" i="1"/>
  <c r="BT1133" i="1"/>
  <c r="BF3" i="1"/>
  <c r="BT3" i="1"/>
  <c r="BF99" i="1"/>
  <c r="BT99" i="1"/>
  <c r="BF772" i="1"/>
  <c r="BT772" i="1"/>
  <c r="BF720" i="1"/>
  <c r="BT720" i="1"/>
  <c r="BF80" i="1"/>
  <c r="BT80" i="1"/>
  <c r="BF126" i="1"/>
  <c r="BT126" i="1"/>
  <c r="BF209" i="1"/>
  <c r="BT209" i="1"/>
  <c r="BF35" i="1"/>
  <c r="BT35" i="1"/>
  <c r="BF425" i="1"/>
  <c r="BT425" i="1"/>
  <c r="BF699" i="1"/>
  <c r="BT699" i="1"/>
  <c r="BF234" i="1"/>
  <c r="BT234" i="1"/>
  <c r="BF9" i="1"/>
  <c r="BT9" i="1"/>
  <c r="BF115" i="1"/>
  <c r="BT115" i="1"/>
  <c r="BF409" i="1"/>
  <c r="BT409" i="1"/>
  <c r="BF546" i="1"/>
  <c r="BT546" i="1"/>
  <c r="BF587" i="1"/>
  <c r="BT587" i="1"/>
  <c r="BF607" i="1"/>
  <c r="BT607" i="1"/>
  <c r="BF475" i="1"/>
  <c r="BT475" i="1"/>
  <c r="BF1018" i="1"/>
  <c r="BT1018" i="1"/>
  <c r="BT464" i="1"/>
  <c r="BF463" i="1"/>
  <c r="BT463" i="1"/>
  <c r="BF768" i="1"/>
  <c r="BT768" i="1"/>
  <c r="BF621" i="1"/>
  <c r="BT621" i="1"/>
  <c r="BF832" i="1"/>
  <c r="BT832" i="1"/>
  <c r="BF1103" i="1"/>
  <c r="BT1103" i="1"/>
  <c r="BF743" i="1"/>
  <c r="BT743" i="1"/>
  <c r="BF884" i="1"/>
  <c r="BT884" i="1"/>
  <c r="BF898" i="1"/>
  <c r="BT898" i="1"/>
  <c r="BF831" i="1"/>
  <c r="BT831" i="1"/>
  <c r="BF46" i="1"/>
  <c r="BT46" i="1"/>
  <c r="BF751" i="1"/>
  <c r="BT751" i="1"/>
  <c r="BF416" i="1"/>
  <c r="BT416" i="1"/>
  <c r="BF474" i="1"/>
  <c r="BT474" i="1"/>
  <c r="BF674" i="1"/>
  <c r="BT674" i="1"/>
  <c r="BF240" i="1"/>
  <c r="BT240" i="1"/>
  <c r="BT241" i="1"/>
  <c r="BF1036" i="1"/>
  <c r="BT1036" i="1"/>
  <c r="BF925" i="1"/>
  <c r="BT925" i="1"/>
  <c r="BF1089" i="1"/>
  <c r="BT1089" i="1"/>
  <c r="BF651" i="1"/>
  <c r="BT651" i="1"/>
  <c r="BF7" i="1"/>
  <c r="BT7" i="1"/>
  <c r="BF95" i="1"/>
  <c r="BT95" i="1"/>
  <c r="BF130" i="1"/>
  <c r="BT130" i="1"/>
  <c r="BF325" i="1"/>
  <c r="BT325" i="1"/>
  <c r="BF282" i="1"/>
  <c r="BT282" i="1"/>
  <c r="BF801" i="1"/>
  <c r="BT801" i="1"/>
  <c r="BF452" i="1"/>
  <c r="BT452" i="1"/>
  <c r="BF164" i="1"/>
  <c r="BT164" i="1"/>
  <c r="BF554" i="1"/>
  <c r="BT554" i="1"/>
  <c r="BF303" i="1"/>
  <c r="BT303" i="1"/>
  <c r="BF854" i="1"/>
  <c r="BT854" i="1"/>
  <c r="BF435" i="1"/>
  <c r="BT435" i="1"/>
  <c r="BF672" i="1"/>
  <c r="BT672" i="1"/>
  <c r="BF289" i="1"/>
  <c r="BT289" i="1"/>
  <c r="BT477" i="1"/>
  <c r="BF487" i="1"/>
  <c r="BT487" i="1"/>
  <c r="BF742" i="1"/>
  <c r="BT742" i="1"/>
  <c r="BF231" i="1"/>
  <c r="BT231" i="1"/>
  <c r="BF655" i="1"/>
  <c r="BT655" i="1"/>
  <c r="BF1004" i="1"/>
  <c r="BT1004" i="1"/>
  <c r="BF601" i="1"/>
  <c r="BT601" i="1"/>
  <c r="BF793" i="1"/>
  <c r="BT793" i="1"/>
  <c r="BF214" i="1"/>
  <c r="BT214" i="1"/>
  <c r="BF182" i="1"/>
  <c r="BT182" i="1"/>
  <c r="BF886" i="1"/>
  <c r="BT886" i="1"/>
  <c r="BF1049" i="1"/>
  <c r="BT1049" i="1"/>
  <c r="BF335" i="1"/>
  <c r="BT335" i="1"/>
  <c r="BF807" i="1"/>
  <c r="BT807" i="1"/>
  <c r="BF1003" i="1"/>
  <c r="BT1003" i="1"/>
  <c r="BF494" i="1"/>
  <c r="BT494" i="1"/>
  <c r="BF1095" i="1"/>
  <c r="BT1095" i="1"/>
  <c r="BF348" i="1"/>
  <c r="BT348" i="1"/>
  <c r="BF937" i="1"/>
  <c r="BT937" i="1"/>
  <c r="BF572" i="1"/>
  <c r="BT572" i="1"/>
  <c r="BF90" i="1"/>
  <c r="BT90" i="1"/>
  <c r="BF15" i="1"/>
  <c r="BT15" i="1"/>
  <c r="BF790" i="1"/>
  <c r="BT790" i="1"/>
  <c r="BF429" i="1"/>
  <c r="BT429" i="1"/>
  <c r="BT65" i="1"/>
  <c r="BF396" i="1"/>
  <c r="BT396" i="1"/>
  <c r="BF833" i="1"/>
  <c r="BT833" i="1"/>
  <c r="BF31" i="1"/>
  <c r="BT31" i="1"/>
  <c r="BF1121" i="1"/>
  <c r="BT1121" i="1"/>
  <c r="BF690" i="1"/>
  <c r="BT690" i="1"/>
  <c r="BT273" i="1"/>
  <c r="BF669" i="1"/>
  <c r="BT669" i="1"/>
  <c r="BF556" i="1"/>
  <c r="BT556" i="1"/>
  <c r="BF1080" i="1"/>
  <c r="BT1080" i="1"/>
  <c r="BF505" i="1"/>
  <c r="BT505" i="1"/>
  <c r="BF627" i="1"/>
  <c r="BT627" i="1"/>
  <c r="BF134" i="1"/>
  <c r="BT134" i="1"/>
  <c r="BF979" i="1"/>
  <c r="BT979" i="1"/>
  <c r="BF835" i="1"/>
  <c r="BT835" i="1"/>
  <c r="BF217" i="1"/>
  <c r="BT217" i="1"/>
  <c r="BF533" i="1"/>
  <c r="BT533" i="1"/>
  <c r="BF391" i="1"/>
  <c r="BT391" i="1"/>
  <c r="BF918" i="1"/>
  <c r="BT918" i="1"/>
  <c r="BF129" i="1"/>
  <c r="BT129" i="1"/>
  <c r="BF848" i="1"/>
  <c r="BT848" i="1"/>
  <c r="BF76" i="1"/>
  <c r="BT76" i="1"/>
  <c r="BF665" i="1"/>
  <c r="BT665" i="1"/>
  <c r="BF455" i="1"/>
  <c r="BT455" i="1"/>
  <c r="BF191" i="1"/>
  <c r="BT191" i="1"/>
  <c r="BF461" i="1"/>
  <c r="BT461" i="1"/>
  <c r="BF896" i="1"/>
  <c r="BT896" i="1"/>
  <c r="BF1033" i="1"/>
  <c r="BT1033" i="1"/>
  <c r="BT69" i="1"/>
  <c r="BF1034" i="1"/>
  <c r="BT1034" i="1"/>
  <c r="BF702" i="1"/>
  <c r="BT702" i="1"/>
  <c r="BT760" i="1"/>
  <c r="BT215" i="1"/>
  <c r="BF367" i="1"/>
  <c r="BT367" i="1"/>
  <c r="BF183" i="1"/>
  <c r="BT183" i="1"/>
  <c r="BF255" i="1"/>
  <c r="BT255" i="1"/>
  <c r="BF51" i="1"/>
  <c r="BT51" i="1"/>
  <c r="BF632" i="1"/>
  <c r="BT632" i="1"/>
  <c r="BF905" i="1"/>
  <c r="BT905" i="1"/>
  <c r="BT244" i="1"/>
  <c r="BF684" i="1"/>
  <c r="BT684" i="1"/>
  <c r="BF1010" i="1"/>
  <c r="BT1010" i="1"/>
  <c r="BF724" i="1"/>
  <c r="BT724" i="1"/>
  <c r="BF260" i="1"/>
  <c r="BT260" i="1"/>
  <c r="BF1076" i="1"/>
  <c r="BT1076" i="1"/>
  <c r="BF794" i="1"/>
  <c r="BT794" i="1"/>
  <c r="BT251" i="1"/>
  <c r="BF302" i="1"/>
  <c r="BT302" i="1"/>
  <c r="BT938" i="1"/>
  <c r="BF700" i="1"/>
  <c r="BT700" i="1"/>
  <c r="BF759" i="1"/>
  <c r="BT759" i="1"/>
  <c r="BF841" i="1"/>
  <c r="BT841" i="1"/>
  <c r="BF586" i="1"/>
  <c r="BT586" i="1"/>
  <c r="BF154" i="1"/>
  <c r="BT154" i="1"/>
  <c r="BF1128" i="1"/>
  <c r="BT1128" i="1"/>
  <c r="BF614" i="1"/>
  <c r="BT614" i="1"/>
  <c r="BF1114" i="1"/>
  <c r="BT1114" i="1"/>
  <c r="BF213" i="1"/>
  <c r="BT213" i="1"/>
  <c r="BF985" i="1"/>
  <c r="BT985" i="1"/>
  <c r="BF663" i="1"/>
  <c r="BT663" i="1"/>
  <c r="BF26" i="1"/>
  <c r="BT26" i="1"/>
  <c r="BF454" i="1"/>
  <c r="BT454" i="1"/>
  <c r="BF547" i="1"/>
  <c r="BT547" i="1"/>
  <c r="BF1029" i="1"/>
  <c r="BT1029" i="1"/>
  <c r="BF550" i="1"/>
  <c r="BT550" i="1"/>
  <c r="BF59" i="1"/>
  <c r="BT59" i="1"/>
  <c r="BT1132" i="1"/>
  <c r="BF711" i="1"/>
  <c r="BT711" i="1"/>
  <c r="BF515" i="1"/>
  <c r="BT515" i="1"/>
  <c r="BF85" i="1"/>
  <c r="BT85" i="1"/>
  <c r="BT689" i="1"/>
  <c r="BF162" i="1"/>
  <c r="BT162" i="1"/>
  <c r="BF98" i="1"/>
  <c r="BT98" i="1"/>
  <c r="BT12" i="1"/>
  <c r="BT387" i="1"/>
  <c r="BF1163" i="1"/>
  <c r="BT1163" i="1"/>
  <c r="BF721" i="1"/>
  <c r="BT721" i="1"/>
  <c r="BF284" i="1"/>
  <c r="BT284" i="1"/>
  <c r="BF786" i="1"/>
  <c r="BT786" i="1"/>
  <c r="BF541" i="1"/>
  <c r="BT541" i="1"/>
  <c r="BF579" i="1"/>
  <c r="BT579" i="1"/>
  <c r="BF778" i="1"/>
  <c r="BT778" i="1"/>
  <c r="BF951" i="1"/>
  <c r="BT951" i="1"/>
  <c r="BF715" i="1"/>
  <c r="BT715" i="1"/>
  <c r="BF1107" i="1"/>
  <c r="BT1107" i="1"/>
  <c r="BF945" i="1"/>
  <c r="BT945" i="1"/>
  <c r="BF990" i="1"/>
  <c r="BT990" i="1"/>
  <c r="BF562" i="1"/>
  <c r="BT562" i="1"/>
  <c r="BF765" i="1"/>
  <c r="BT765" i="1"/>
  <c r="BF165" i="1"/>
  <c r="BT165" i="1"/>
  <c r="BF706" i="1"/>
  <c r="BT706" i="1"/>
  <c r="BF927" i="1"/>
  <c r="BT927" i="1"/>
  <c r="BF267" i="1"/>
  <c r="BT267" i="1"/>
  <c r="BF420" i="1"/>
  <c r="BT420" i="1"/>
  <c r="BF934" i="1"/>
  <c r="BT934" i="1"/>
  <c r="BF713" i="1"/>
  <c r="BT713" i="1"/>
  <c r="BF1119" i="1"/>
  <c r="BT1119" i="1"/>
  <c r="BF510" i="1"/>
  <c r="BT510" i="1"/>
  <c r="BF757" i="1"/>
  <c r="BT757" i="1"/>
  <c r="BF484" i="1"/>
  <c r="BT484" i="1"/>
  <c r="BF153" i="1"/>
  <c r="BT153" i="1"/>
  <c r="BF800" i="1"/>
  <c r="BT800" i="1"/>
  <c r="BF159" i="1"/>
  <c r="BT159" i="1"/>
  <c r="BF1020" i="1"/>
  <c r="BT1020" i="1"/>
  <c r="BF1146" i="1"/>
  <c r="BT1146" i="1"/>
  <c r="BF549" i="1"/>
  <c r="BT549" i="1"/>
  <c r="BF1145" i="1"/>
  <c r="BT1145" i="1"/>
  <c r="BF1092" i="1"/>
  <c r="BT1092" i="1"/>
  <c r="BT730" i="1"/>
  <c r="BF1113" i="1"/>
  <c r="BT1113" i="1"/>
  <c r="BF1093" i="1"/>
  <c r="BT1093" i="1"/>
  <c r="BF962" i="1"/>
  <c r="BT962" i="1"/>
  <c r="BT931" i="1"/>
  <c r="BF1126" i="1"/>
  <c r="BT1126" i="1"/>
  <c r="BF1027" i="1"/>
  <c r="BT1027" i="1"/>
  <c r="BF876" i="1"/>
  <c r="BT876" i="1"/>
  <c r="BF722" i="1"/>
  <c r="BT722" i="1"/>
  <c r="BF839" i="1"/>
  <c r="BT839" i="1"/>
  <c r="BF460" i="1"/>
  <c r="BT460" i="1"/>
  <c r="BF74" i="1"/>
  <c r="BT74" i="1"/>
  <c r="BF575" i="1"/>
  <c r="BT575" i="1"/>
  <c r="BF114" i="1"/>
  <c r="BT114" i="1"/>
  <c r="BF52" i="1"/>
  <c r="BT52" i="1"/>
  <c r="BF370" i="1"/>
  <c r="BT370" i="1"/>
  <c r="BF520" i="1"/>
  <c r="BT520" i="1"/>
  <c r="BF356" i="1"/>
  <c r="BT356" i="1"/>
  <c r="BT413" i="1"/>
  <c r="BF180" i="1"/>
  <c r="BT180" i="1"/>
  <c r="BF670" i="1"/>
  <c r="BT670" i="1"/>
  <c r="BF75" i="1"/>
  <c r="BT75" i="1"/>
  <c r="BF1025" i="1"/>
  <c r="BT1025" i="1"/>
  <c r="BF952" i="1"/>
  <c r="BT952" i="1"/>
  <c r="BF1079" i="1"/>
  <c r="BT1079" i="1"/>
  <c r="BF168" i="1"/>
  <c r="BT168" i="1"/>
  <c r="BF381" i="1"/>
  <c r="BT381" i="1"/>
  <c r="BF1091" i="1"/>
  <c r="BT1091" i="1"/>
  <c r="BF845" i="1"/>
  <c r="BT845" i="1"/>
  <c r="BF914" i="1"/>
  <c r="BT914" i="1"/>
  <c r="BT965" i="1"/>
  <c r="BF879" i="1"/>
  <c r="BT879" i="1"/>
  <c r="BF513" i="1"/>
  <c r="BT513" i="1"/>
  <c r="BF421" i="1"/>
  <c r="BT421" i="1"/>
  <c r="BF867" i="1"/>
  <c r="BT867" i="1"/>
  <c r="BF408" i="1"/>
  <c r="BT408" i="1"/>
  <c r="BF1067" i="1"/>
  <c r="BT1067" i="1"/>
  <c r="BF783" i="1"/>
  <c r="BT783" i="1"/>
  <c r="BT680" i="1"/>
  <c r="BF445" i="1"/>
  <c r="BT445" i="1"/>
  <c r="BF400" i="1"/>
  <c r="BT400" i="1"/>
  <c r="BF339" i="1"/>
  <c r="BT339" i="1"/>
  <c r="BF406" i="1"/>
  <c r="BT406" i="1"/>
  <c r="BF102" i="1"/>
  <c r="BT102" i="1"/>
  <c r="BF915" i="1"/>
  <c r="BT915" i="1"/>
  <c r="BF184" i="1"/>
  <c r="BT184" i="1"/>
  <c r="BF766" i="1"/>
  <c r="BT766" i="1"/>
  <c r="BF1053" i="1"/>
  <c r="BT1053" i="1"/>
  <c r="BF668" i="1"/>
  <c r="BT668" i="1"/>
  <c r="BT1050" i="1"/>
  <c r="BF638" i="1"/>
  <c r="BT638" i="1"/>
  <c r="BF955" i="1"/>
  <c r="BT955" i="1"/>
  <c r="BF219" i="1"/>
  <c r="BT219" i="1"/>
  <c r="BF890" i="1"/>
  <c r="BT890" i="1"/>
  <c r="BF1001" i="1"/>
  <c r="BT1001" i="1"/>
  <c r="BF199" i="1"/>
  <c r="BT199" i="1"/>
  <c r="BF8" i="1"/>
  <c r="BT8" i="1"/>
  <c r="BF414" i="1"/>
  <c r="BT414" i="1"/>
  <c r="BT297" i="1"/>
  <c r="BF340" i="1"/>
  <c r="BT340" i="1"/>
  <c r="BF225" i="1"/>
  <c r="BT225" i="1"/>
  <c r="BF958" i="1"/>
  <c r="BT958" i="1"/>
  <c r="BT727" i="1"/>
  <c r="BF746" i="1"/>
  <c r="BT746" i="1"/>
  <c r="BF100" i="1"/>
  <c r="BT100" i="1"/>
  <c r="BF211" i="1"/>
  <c r="BT211" i="1"/>
  <c r="BT321" i="1"/>
  <c r="BF514" i="1"/>
  <c r="BT514" i="1"/>
  <c r="BF679" i="1"/>
  <c r="BT679" i="1"/>
  <c r="BF1155" i="1"/>
  <c r="BT1155" i="1"/>
  <c r="BF500" i="1"/>
  <c r="BT500" i="1"/>
  <c r="BF608" i="1"/>
  <c r="BT608" i="1"/>
  <c r="BF982" i="1"/>
  <c r="BT982" i="1"/>
  <c r="BF320" i="1"/>
  <c r="BT320" i="1"/>
  <c r="BF1044" i="1"/>
  <c r="BT1044" i="1"/>
  <c r="BT528" i="1"/>
  <c r="BF38" i="1"/>
  <c r="BT38" i="1"/>
  <c r="BF502" i="1"/>
  <c r="BT502" i="1"/>
  <c r="BF158" i="1"/>
  <c r="BT158" i="1"/>
  <c r="BF992" i="1"/>
  <c r="BT992" i="1"/>
  <c r="BF172" i="1"/>
  <c r="BT172" i="1"/>
  <c r="BF787" i="1"/>
  <c r="BT787" i="1"/>
  <c r="BF639" i="1"/>
  <c r="BT639" i="1"/>
  <c r="BF399" i="1"/>
  <c r="BT399" i="1"/>
  <c r="BF1072" i="1"/>
  <c r="BT1072" i="1"/>
  <c r="BF16" i="1"/>
  <c r="BT16" i="1"/>
  <c r="BF987" i="1"/>
  <c r="BT987" i="1"/>
  <c r="BF233" i="1"/>
  <c r="BT233" i="1"/>
  <c r="BF493" i="1"/>
  <c r="BT493" i="1"/>
  <c r="BF874" i="1"/>
  <c r="BT874" i="1"/>
  <c r="BF980" i="1"/>
  <c r="BT980" i="1"/>
  <c r="BT1122" i="1"/>
  <c r="BF843" i="1"/>
  <c r="BT843" i="1"/>
  <c r="BT378" i="1"/>
  <c r="BF826" i="1"/>
  <c r="BT826" i="1"/>
  <c r="BF718" i="1"/>
  <c r="BT718" i="1"/>
  <c r="BF920" i="1"/>
  <c r="BT920" i="1"/>
  <c r="BF635" i="1"/>
  <c r="BT635" i="1"/>
  <c r="BF13" i="1"/>
  <c r="BT13" i="1"/>
  <c r="BF749" i="1"/>
  <c r="BT749" i="1"/>
  <c r="BF683" i="1"/>
  <c r="BT683" i="1"/>
  <c r="BF1041" i="1"/>
  <c r="BT1041" i="1"/>
  <c r="BF657" i="1"/>
  <c r="BT657" i="1"/>
  <c r="BF673" i="1"/>
  <c r="BT673" i="1"/>
  <c r="BF512" i="1"/>
  <c r="BT512" i="1"/>
  <c r="BF61" i="1"/>
  <c r="BT61" i="1"/>
  <c r="BT590" i="1"/>
  <c r="BF747" i="1"/>
  <c r="BT747" i="1"/>
  <c r="BF678" i="1"/>
  <c r="BT678" i="1"/>
  <c r="BF518" i="1"/>
  <c r="BT518" i="1"/>
  <c r="BF863" i="1"/>
  <c r="BT863" i="1"/>
  <c r="BF539" i="1"/>
  <c r="BT539" i="1"/>
  <c r="BF107" i="1"/>
  <c r="BT107" i="1"/>
  <c r="BT1031" i="1"/>
  <c r="BF440" i="1"/>
  <c r="BT440" i="1"/>
  <c r="BF190" i="1"/>
  <c r="BT190" i="1"/>
  <c r="BF104" i="1"/>
  <c r="BT104" i="1"/>
  <c r="BF1098" i="1"/>
  <c r="BT1098" i="1"/>
  <c r="BF785" i="1"/>
  <c r="BT785" i="1"/>
  <c r="BT959" i="1"/>
  <c r="BF1097" i="1"/>
  <c r="BT1097" i="1"/>
  <c r="BT196" i="1"/>
  <c r="BT501" i="1"/>
  <c r="BF247" i="1"/>
  <c r="BT247" i="1"/>
  <c r="BF631" i="1"/>
  <c r="BT631" i="1"/>
  <c r="BF4" i="1"/>
  <c r="BT4" i="1"/>
  <c r="BF314" i="1"/>
  <c r="BT314" i="1"/>
  <c r="BF1039" i="1"/>
  <c r="BT1039" i="1"/>
  <c r="BF265" i="1"/>
  <c r="BT265" i="1"/>
  <c r="BT138" i="1"/>
  <c r="BF218" i="1"/>
  <c r="BT218" i="1"/>
  <c r="BF479" i="1"/>
  <c r="BT479" i="1"/>
  <c r="BF194" i="1"/>
  <c r="BT194" i="1"/>
  <c r="BF964" i="1"/>
  <c r="BT964" i="1"/>
  <c r="BF185" i="1"/>
  <c r="BT185" i="1"/>
  <c r="BF418" i="1"/>
  <c r="BT418" i="1"/>
  <c r="BF732" i="1"/>
  <c r="BT732" i="1"/>
  <c r="BF301" i="1"/>
  <c r="BT301" i="1"/>
  <c r="BT1022" i="1"/>
  <c r="BF236" i="1"/>
  <c r="BT236" i="1"/>
  <c r="BF488" i="1"/>
  <c r="BT488" i="1"/>
  <c r="BF1136" i="1"/>
  <c r="BT1136" i="1"/>
  <c r="BF1090" i="1"/>
  <c r="BT1090" i="1"/>
  <c r="BF834" i="1"/>
  <c r="BT834" i="1"/>
  <c r="BF1118" i="1"/>
  <c r="BT1118" i="1"/>
  <c r="BF865" i="1"/>
  <c r="BT865" i="1"/>
  <c r="BF592" i="1"/>
  <c r="BT592" i="1"/>
  <c r="BF728" i="1"/>
  <c r="BT728" i="1"/>
  <c r="BF950" i="1"/>
  <c r="BT950" i="1"/>
  <c r="BT584" i="1"/>
  <c r="BF50" i="1"/>
  <c r="BT50" i="1"/>
  <c r="BF628" i="1"/>
  <c r="BT628" i="1"/>
  <c r="BF682" i="1"/>
  <c r="BT682" i="1"/>
  <c r="BT944" i="1"/>
  <c r="BF619" i="1"/>
  <c r="BT619" i="1"/>
  <c r="BF432" i="1"/>
  <c r="BT432" i="1"/>
  <c r="BF799" i="1"/>
  <c r="BT799" i="1"/>
  <c r="BF223" i="1"/>
  <c r="BT223" i="1"/>
  <c r="BF1106" i="1"/>
  <c r="BT1106" i="1"/>
  <c r="BF499" i="1"/>
  <c r="BT499" i="1"/>
  <c r="BF943" i="1"/>
  <c r="BT943" i="1"/>
  <c r="BF563" i="1"/>
  <c r="BT563" i="1"/>
  <c r="BF870" i="1"/>
  <c r="BT870" i="1"/>
  <c r="BF1124" i="1"/>
  <c r="BT1124" i="1"/>
  <c r="BF308" i="1"/>
  <c r="BT308" i="1"/>
  <c r="BF433" i="1"/>
  <c r="BT433" i="1"/>
  <c r="BF695" i="1"/>
  <c r="BT695" i="1"/>
  <c r="BF149" i="1"/>
  <c r="BT149" i="1"/>
  <c r="BF997" i="1"/>
  <c r="BT997" i="1"/>
  <c r="BT688" i="1"/>
  <c r="BF70" i="1"/>
  <c r="BT70" i="1"/>
  <c r="BT594" i="1"/>
  <c r="BF509" i="1"/>
  <c r="BT509" i="1"/>
  <c r="BF618" i="1"/>
  <c r="BT618" i="1"/>
  <c r="BF929" i="1"/>
  <c r="BT929" i="1"/>
  <c r="BF450" i="1"/>
  <c r="BT450" i="1"/>
  <c r="BF775" i="1"/>
  <c r="BT775" i="1"/>
  <c r="BF1000" i="1"/>
  <c r="BT1000" i="1"/>
  <c r="BF1110" i="1"/>
  <c r="BT1110" i="1"/>
  <c r="BT401" i="1"/>
  <c r="BF441" i="1"/>
  <c r="BT441" i="1"/>
  <c r="BF1009" i="1"/>
  <c r="BT1009" i="1"/>
  <c r="BF246" i="1"/>
  <c r="BT246" i="1"/>
  <c r="BT478" i="1"/>
  <c r="BF750" i="1"/>
  <c r="BT750" i="1"/>
  <c r="BT551" i="1"/>
  <c r="BF697" i="1"/>
  <c r="BT697" i="1"/>
  <c r="BF861" i="1"/>
  <c r="BT861" i="1"/>
  <c r="BF248" i="1"/>
  <c r="BT248" i="1"/>
  <c r="BF568" i="1"/>
  <c r="BT568" i="1"/>
  <c r="BF1005" i="1"/>
  <c r="BT1005" i="1"/>
  <c r="BT919" i="1"/>
  <c r="BT186" i="1"/>
  <c r="BF1156" i="1"/>
  <c r="BT1156" i="1"/>
  <c r="BF825" i="1"/>
  <c r="BT825" i="1"/>
  <c r="BF565" i="1"/>
  <c r="BT565" i="1"/>
  <c r="BF14" i="1"/>
  <c r="BT14" i="1"/>
  <c r="BF468" i="1"/>
  <c r="BT468" i="1"/>
  <c r="BF351" i="1"/>
  <c r="BT351" i="1"/>
  <c r="BF1077" i="1"/>
  <c r="BT1077" i="1"/>
  <c r="BF602" i="1"/>
  <c r="BT602" i="1"/>
  <c r="BF112" i="1"/>
  <c r="BT112" i="1"/>
  <c r="BF612" i="1"/>
  <c r="BT612" i="1"/>
  <c r="BF423" i="1"/>
  <c r="BT423" i="1"/>
  <c r="BT466" i="1"/>
  <c r="BF858" i="1"/>
  <c r="BT858" i="1"/>
  <c r="BF647" i="1"/>
  <c r="BT647" i="1"/>
  <c r="BF343" i="1"/>
  <c r="BT343" i="1"/>
  <c r="BF86" i="1"/>
  <c r="BT86" i="1"/>
  <c r="BF121" i="1"/>
  <c r="BT121" i="1"/>
  <c r="BF198" i="1"/>
  <c r="BT198" i="1"/>
  <c r="BT393" i="1"/>
  <c r="BF593" i="1"/>
  <c r="BT593" i="1"/>
  <c r="BF527" i="1"/>
  <c r="BT527" i="1"/>
  <c r="BF605" i="1"/>
  <c r="BT605" i="1"/>
  <c r="BF258" i="1"/>
  <c r="BT258" i="1"/>
  <c r="BF324" i="1"/>
  <c r="BT324" i="1"/>
  <c r="BF41" i="1"/>
  <c r="BT41" i="1"/>
  <c r="BF77" i="1"/>
  <c r="BT77" i="1"/>
  <c r="BF427" i="1"/>
  <c r="BT427" i="1"/>
  <c r="BF889" i="1"/>
  <c r="BT889" i="1"/>
  <c r="BF894" i="1"/>
  <c r="BT894" i="1"/>
  <c r="BF617" i="1"/>
  <c r="BT617" i="1"/>
  <c r="BF403" i="1"/>
  <c r="BT403" i="1"/>
  <c r="BF300" i="1"/>
  <c r="BT300" i="1"/>
  <c r="BF996" i="1"/>
  <c r="BT996" i="1"/>
  <c r="BF146" i="1"/>
  <c r="BT146" i="1"/>
  <c r="BF32" i="1"/>
  <c r="BT32" i="1"/>
  <c r="BF773" i="1"/>
  <c r="BT773" i="1"/>
  <c r="BF900" i="1"/>
  <c r="BT900" i="1"/>
  <c r="BF257" i="1"/>
  <c r="BT257" i="1"/>
  <c r="BF939" i="1"/>
  <c r="BT939" i="1"/>
  <c r="BF946" i="1"/>
  <c r="BT946" i="1"/>
  <c r="BF574" i="1"/>
  <c r="BT574" i="1"/>
  <c r="BF485" i="1"/>
  <c r="BT485" i="1"/>
  <c r="BF407" i="1"/>
  <c r="BT407" i="1"/>
  <c r="BF1153" i="1"/>
  <c r="BT1153" i="1"/>
  <c r="BF991" i="1"/>
  <c r="BT991" i="1"/>
  <c r="BF200" i="1"/>
  <c r="BT200" i="1"/>
  <c r="BF411" i="1"/>
  <c r="BT411" i="1"/>
  <c r="BF296" i="1"/>
  <c r="BT296" i="1"/>
  <c r="BF323" i="1"/>
  <c r="BT323" i="1"/>
  <c r="BF1100" i="1"/>
  <c r="BT1100" i="1"/>
  <c r="BF152" i="1"/>
  <c r="BT152" i="1"/>
  <c r="BF941" i="1"/>
  <c r="BT941" i="1"/>
  <c r="BF128" i="1"/>
  <c r="BT128" i="1"/>
  <c r="BF822" i="1"/>
  <c r="BT822" i="1"/>
  <c r="BF33" i="1"/>
  <c r="BT33" i="1"/>
  <c r="BF346" i="1"/>
  <c r="BT346" i="1"/>
  <c r="BF585" i="1"/>
  <c r="BT585" i="1"/>
  <c r="BF5" i="1"/>
  <c r="BT5" i="1"/>
  <c r="BF404" i="1"/>
  <c r="BT404" i="1"/>
  <c r="BF195" i="1"/>
  <c r="BT195" i="1"/>
  <c r="BF160" i="1"/>
  <c r="BT160" i="1"/>
  <c r="BF694" i="1"/>
  <c r="BT694" i="1"/>
  <c r="BF553" i="1"/>
  <c r="BT553" i="1"/>
  <c r="BF249" i="1"/>
  <c r="BT249" i="1"/>
  <c r="BF349" i="1"/>
  <c r="BT349" i="1"/>
  <c r="BF1061" i="1"/>
  <c r="BT1061" i="1"/>
  <c r="BT166" i="1"/>
  <c r="BF873" i="1"/>
  <c r="BT873" i="1"/>
  <c r="BF389" i="1"/>
  <c r="BT389" i="1"/>
  <c r="BF350" i="1"/>
  <c r="BT350" i="1"/>
  <c r="BF687" i="1"/>
  <c r="BT687" i="1"/>
  <c r="BF740" i="1"/>
  <c r="BT740" i="1"/>
  <c r="BF1160" i="1"/>
  <c r="BT1160" i="1"/>
  <c r="BF279" i="1"/>
  <c r="BT279" i="1"/>
  <c r="BF846" i="1"/>
  <c r="BT846" i="1"/>
  <c r="BF1108" i="1"/>
  <c r="BT1108" i="1"/>
  <c r="BF1138" i="1"/>
  <c r="BT1138" i="1"/>
  <c r="BF419" i="1"/>
  <c r="BT419" i="1"/>
  <c r="BF543" i="1"/>
  <c r="BT543" i="1"/>
  <c r="BF908" i="1"/>
  <c r="BT908" i="1"/>
  <c r="BF489" i="1"/>
  <c r="BT489" i="1"/>
  <c r="BF410" i="1"/>
  <c r="BT410" i="1"/>
  <c r="BF779" i="1"/>
  <c r="BT779" i="1"/>
  <c r="BF853" i="1"/>
  <c r="BT853" i="1"/>
  <c r="BF379" i="1"/>
  <c r="BT379" i="1"/>
  <c r="BF753" i="1"/>
  <c r="BT753" i="1"/>
  <c r="BF207" i="1"/>
  <c r="BT207" i="1"/>
  <c r="BF56" i="1"/>
  <c r="BT56" i="1"/>
  <c r="BT48" i="1"/>
  <c r="BF525" i="1"/>
  <c r="BT525" i="1"/>
  <c r="BF836" i="1"/>
  <c r="BT836" i="1"/>
  <c r="BF239" i="1"/>
  <c r="BT239" i="1"/>
  <c r="BF53" i="1"/>
  <c r="BT53" i="1"/>
  <c r="BF221" i="1"/>
  <c r="BT221" i="1"/>
  <c r="BF395" i="1"/>
  <c r="BT395" i="1"/>
  <c r="BF295" i="1"/>
  <c r="BT295" i="1"/>
  <c r="BT685" i="1"/>
  <c r="BF438" i="1"/>
  <c r="BT438" i="1"/>
  <c r="BF357" i="1"/>
  <c r="BT357" i="1"/>
  <c r="BF567" i="1"/>
  <c r="BT567" i="1"/>
  <c r="BF756" i="1"/>
  <c r="BT756" i="1"/>
  <c r="BF580" i="1"/>
  <c r="BT580" i="1"/>
  <c r="BF828" i="1"/>
  <c r="BT828" i="1"/>
  <c r="BF667" i="1"/>
  <c r="BT667" i="1"/>
  <c r="BF652" i="1"/>
  <c r="BT652" i="1"/>
  <c r="BT954" i="1"/>
  <c r="BF232" i="1"/>
  <c r="BT232" i="1"/>
  <c r="BT91" i="1"/>
  <c r="BF812" i="1"/>
  <c r="BT812" i="1"/>
  <c r="BF275" i="1"/>
  <c r="BT275" i="1"/>
  <c r="BT686" i="1"/>
  <c r="BF519" i="1"/>
  <c r="BT519" i="1"/>
  <c r="BF280" i="1"/>
  <c r="BT280" i="1"/>
  <c r="BF576" i="1"/>
  <c r="BT576" i="1"/>
  <c r="BF322" i="1"/>
  <c r="BT322" i="1"/>
  <c r="BF341" i="1"/>
  <c r="BT341" i="1"/>
  <c r="BF181" i="1"/>
  <c r="BT181" i="1"/>
  <c r="BF744" i="1"/>
  <c r="BT744" i="1"/>
  <c r="BF819" i="1"/>
  <c r="BT819" i="1"/>
  <c r="BF447" i="1"/>
  <c r="BT447" i="1"/>
  <c r="BF755" i="1"/>
  <c r="BT755" i="1"/>
  <c r="BF1013" i="1"/>
  <c r="BT1013" i="1"/>
  <c r="BF73" i="1"/>
  <c r="BT73" i="1"/>
  <c r="BF1157" i="1"/>
  <c r="BT1157" i="1"/>
  <c r="BF390" i="1"/>
  <c r="BT390" i="1"/>
  <c r="BF998" i="1"/>
  <c r="BT998" i="1"/>
  <c r="BF662" i="1"/>
  <c r="BT662" i="1"/>
  <c r="BF352" i="1"/>
  <c r="BT352" i="1"/>
  <c r="BF644" i="1"/>
  <c r="BT644" i="1"/>
  <c r="BF862" i="1"/>
  <c r="BT862" i="1"/>
  <c r="BT581" i="1"/>
  <c r="BF224" i="1"/>
  <c r="BT224" i="1"/>
  <c r="BT1045" i="1"/>
  <c r="BF1101" i="1"/>
  <c r="BT1101" i="1"/>
  <c r="BF780" i="1"/>
  <c r="BT780" i="1"/>
  <c r="BT204" i="1"/>
  <c r="BF636" i="1"/>
  <c r="BT636" i="1"/>
  <c r="BF360" i="1"/>
  <c r="BT360" i="1"/>
  <c r="BT272" i="1"/>
  <c r="BF332" i="1"/>
  <c r="BT332" i="1"/>
  <c r="BF1129" i="1"/>
  <c r="BT1129" i="1"/>
  <c r="BF960" i="1"/>
  <c r="BT960" i="1"/>
  <c r="BF973" i="1"/>
  <c r="BT973" i="1"/>
  <c r="BF968" i="1"/>
  <c r="BT968" i="1"/>
  <c r="BF23" i="1"/>
  <c r="BT23" i="1"/>
  <c r="BF315" i="1"/>
  <c r="BT315" i="1"/>
  <c r="BF1130" i="1"/>
  <c r="BT1130" i="1"/>
  <c r="BF630" i="1"/>
  <c r="BT630" i="1"/>
  <c r="BF813" i="1"/>
  <c r="BT813" i="1"/>
  <c r="BF132" i="1"/>
  <c r="BT132" i="1"/>
  <c r="BF814" i="1"/>
  <c r="BT814" i="1"/>
  <c r="BF642" i="1"/>
  <c r="BT642" i="1"/>
  <c r="BF1064" i="1"/>
  <c r="BT1064" i="1"/>
  <c r="BF11" i="1"/>
  <c r="BT11" i="1"/>
  <c r="BF503" i="1"/>
  <c r="BT503" i="1"/>
  <c r="BF66" i="1"/>
  <c r="BT66" i="1"/>
  <c r="BF792" i="1"/>
  <c r="BT792" i="1"/>
  <c r="BF816" i="1"/>
  <c r="BT816" i="1"/>
  <c r="BF375" i="1"/>
  <c r="BT375" i="1"/>
  <c r="BF693" i="1"/>
  <c r="BT693" i="1"/>
  <c r="BF363" i="1"/>
  <c r="BT363" i="1"/>
  <c r="BF531" i="1"/>
  <c r="BT531" i="1"/>
  <c r="BT1075" i="1"/>
  <c r="BF276" i="1"/>
  <c r="BT276" i="1"/>
  <c r="BF577" i="1"/>
  <c r="BT577" i="1"/>
  <c r="BF307" i="1"/>
  <c r="BT307" i="1"/>
  <c r="BT269" i="1"/>
  <c r="BF1019" i="1"/>
  <c r="BT1019" i="1"/>
  <c r="BF21" i="1"/>
  <c r="BT21" i="1"/>
  <c r="BF55" i="1"/>
  <c r="BT55" i="1"/>
  <c r="BF372" i="1"/>
  <c r="BT372" i="1"/>
  <c r="BF969" i="1"/>
  <c r="BT969" i="1"/>
  <c r="BF710" i="1"/>
  <c r="BT710" i="1"/>
  <c r="BF437" i="1"/>
  <c r="BT437" i="1"/>
  <c r="BF837" i="1"/>
  <c r="BT837" i="1"/>
  <c r="BF103" i="1"/>
  <c r="BT103" i="1"/>
  <c r="BF227" i="1"/>
  <c r="BT227" i="1"/>
  <c r="BF456" i="1"/>
  <c r="BT456" i="1"/>
  <c r="BF1159" i="1"/>
  <c r="BT1159" i="1"/>
  <c r="BF136" i="1"/>
  <c r="BT136" i="1"/>
</calcChain>
</file>

<file path=xl/sharedStrings.xml><?xml version="1.0" encoding="utf-8"?>
<sst xmlns="http://schemas.openxmlformats.org/spreadsheetml/2006/main" count="227082" uniqueCount="8777">
  <si>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</si>
  <si>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</si>
  <si>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</si>
  <si>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</si>
  <si>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</si>
  <si>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</si>
  <si>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</si>
  <si>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</si>
  <si>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</si>
  <si>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</si>
  <si>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</si>
  <si>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</si>
  <si>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</si>
  <si>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</si>
  <si>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</si>
  <si>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</si>
  <si>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</si>
  <si>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</si>
  <si>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</si>
  <si>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</si>
  <si>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</si>
  <si>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</si>
  <si>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</si>
  <si>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</si>
  <si>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</si>
  <si>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</si>
  <si>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</si>
  <si>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</si>
  <si>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</si>
  <si>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</si>
  <si>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</si>
  <si>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</si>
  <si>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</si>
  <si>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</si>
  <si>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</si>
  <si>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</si>
  <si>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</si>
  <si>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</si>
  <si>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</si>
  <si>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</si>
  <si>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</si>
  <si>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</si>
  <si>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</si>
  <si>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</si>
  <si>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</si>
  <si>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</si>
  <si>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</si>
  <si>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</si>
  <si>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</si>
  <si>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</si>
  <si>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</si>
  <si>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</si>
  <si>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</si>
  <si>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</si>
  <si>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</si>
  <si>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</si>
  <si>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</si>
  <si>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</si>
  <si>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</si>
  <si>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</si>
  <si>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</si>
  <si>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</si>
  <si>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</si>
  <si>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</si>
  <si>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</si>
  <si>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</si>
  <si>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</si>
  <si>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</si>
  <si>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</si>
  <si>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</si>
  <si>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</si>
  <si>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</si>
  <si>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J</t>
  </si>
  <si>
    <t>Ochi, H; Awata, S</t>
  </si>
  <si>
    <t/>
  </si>
  <si>
    <t>Ochi, Haruki; Awata, Satoshi</t>
  </si>
  <si>
    <t>Resembling the juvenile colour of host cichlid facilitates access of the guest cichlid to host territory</t>
  </si>
  <si>
    <t>BEHAVIOUR</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</si>
  <si>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</si>
  <si>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 Awata, Satoshi/GQR-0411-2022</t>
  </si>
  <si>
    <t>Awata, Satoshi/0000-0003-3254-7943</t>
  </si>
  <si>
    <t>0005-7959</t>
  </si>
  <si>
    <t>1568-539X</t>
  </si>
  <si>
    <t>10.1163/156853909X446181</t>
  </si>
  <si>
    <t>WOS:000267018400002</t>
  </si>
  <si>
    <t>Pauers, MJ; Kapfer, JM; FendoS, CE; Berg, CS</t>
  </si>
  <si>
    <t>Pauers, Michael J.; Kapfer, Joshua M.; Fendos, Christopher E.; Berg, Craig S.</t>
  </si>
  <si>
    <t>Aggressive biases towards similarly coloured males in Lake Malawi cichlid fishes</t>
  </si>
  <si>
    <t>BIOLOGY LETTERS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</si>
  <si>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</si>
  <si>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Pauers, Michael/0000-0003-0748-1241</t>
  </si>
  <si>
    <t>1744-9561</t>
  </si>
  <si>
    <t>1744-957X</t>
  </si>
  <si>
    <t>APR 23</t>
  </si>
  <si>
    <t>10.1098/rsbl.2007.0581</t>
  </si>
  <si>
    <t>WOS:000254353200005</t>
  </si>
  <si>
    <t>Coady, CD; Dawson, RD</t>
  </si>
  <si>
    <t>Coady, Chelsea D.; Dawson, Russell D.</t>
  </si>
  <si>
    <t>SUBADULT PLUMAGE COLOR OF FEMALE TREE SWALLOWS (TACHYCINETA BICOLOR) REDUCES CONSPECIFIC AGGRESSION DURING THE BREEDING SEASON</t>
  </si>
  <si>
    <t>WILSON JOURNAL OF ORNITHOLOGY</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</si>
  <si>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</si>
  <si>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1559-4491</t>
  </si>
  <si>
    <t>JUN</t>
  </si>
  <si>
    <t>10.1676/12-155.1</t>
  </si>
  <si>
    <t>WOS:000320893300015</t>
  </si>
  <si>
    <t>Moran, RL; Fuller, RC</t>
  </si>
  <si>
    <t>Moran, Rachel L.; Fuller, Rebecca C.</t>
  </si>
  <si>
    <t>Agonistic character displacement of genetically based male colour patterns across darters</t>
  </si>
  <si>
    <t>PROCEEDINGS OF THE ROYAL SOCIETY B-BIOLOGICAL SCIENCES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</si>
  <si>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</si>
  <si>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</si>
  <si>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0962-8452</t>
  </si>
  <si>
    <t>1471-2954</t>
  </si>
  <si>
    <t>AUG 15</t>
  </si>
  <si>
    <t>10.1098/rspb.2018.1248</t>
  </si>
  <si>
    <t>WOS:000441725900027</t>
  </si>
  <si>
    <t>Cassidy, KA; Mech, LD; MacNulty, DR; Stahler, DR; Smith, DW</t>
  </si>
  <si>
    <t>Cassidy, Kira A.; Mech, L. David; MacNulty, Daniel R.; Stahler, Daniel R.; Smith, Douglas W.</t>
  </si>
  <si>
    <t>Sexually dimorphic aggression indicates male gray wolves specialize in pack defense against conspecific groups</t>
  </si>
  <si>
    <t>BEHAVIOURAL PROCESSES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</si>
  <si>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</si>
  <si>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0376-6357</t>
  </si>
  <si>
    <t>1872-8308</t>
  </si>
  <si>
    <t>MAR</t>
  </si>
  <si>
    <t>10.1016/j.beproc.2017.01.011</t>
  </si>
  <si>
    <t>WOS:000395844600010</t>
  </si>
  <si>
    <t>Anderson, C; Jones, R; Moscicki, M; Clotfelter, E; Earley, RL</t>
  </si>
  <si>
    <t>Anderson, Caleb; Jones, Ryan; Moscicki, Michele; Clotfelter, Ethan; Earley, Ryan L.</t>
  </si>
  <si>
    <t>Seeing orange: breeding convict cichlids exhibit heightened aggression against more colorful intruders</t>
  </si>
  <si>
    <t>BEHAVIORAL ECOLOGY AND SOCIOBIOLOGY</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</si>
  <si>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</si>
  <si>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</si>
  <si>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0340-5443</t>
  </si>
  <si>
    <t>1432-0762</t>
  </si>
  <si>
    <t>MAY</t>
  </si>
  <si>
    <t>10.1007/s00265-016-2085-3</t>
  </si>
  <si>
    <t>WOS:000374563600001</t>
  </si>
  <si>
    <t>Zhou, MC; Loew, ER; Fuller, RC</t>
  </si>
  <si>
    <t>Zhou, Muchu; Loew, Ellis R.; Fuller, Rebecca C.</t>
  </si>
  <si>
    <t>Sexually asymmetric colour-based species discrimination in orangethroat darters</t>
  </si>
  <si>
    <t>ANIMAL BEHAVIOUR</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</si>
  <si>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</si>
  <si>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</si>
  <si>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0003-3472</t>
  </si>
  <si>
    <t>1095-8282</t>
  </si>
  <si>
    <t>AUG</t>
  </si>
  <si>
    <t>10.1016/j.anbehav.2015.05.016</t>
  </si>
  <si>
    <t>WOS:000358315700022</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</si>
  <si>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</si>
  <si>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</si>
  <si>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</si>
  <si>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</si>
  <si>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</si>
  <si>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Michiels, Nico K/A-2045-2009; Braun, Christoph/AFO-4446-2022; Siebeck, Ulrike E/J-6190-2014; Sprenger, Dennis/A-3515-2012</t>
  </si>
  <si>
    <t>Michiels, Nico K/0000-0001-9873-3111; Siebeck, Ulrike E/0000-0003-2024-1568;</t>
  </si>
  <si>
    <t>0171-8630</t>
  </si>
  <si>
    <t>1616-1599</t>
  </si>
  <si>
    <t>10.3354/meps10760</t>
  </si>
  <si>
    <t>WOS:000335963100021</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</si>
  <si>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</si>
  <si>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</si>
  <si>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</si>
  <si>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</si>
  <si>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Sowersby, Will/AAG-5106-2019; Lehtonen, Topi/A-6679-2010</t>
  </si>
  <si>
    <t>Sowersby, Will/0000-0002-9774-5935; Lehtonen, Topi/0000-0002-1372-9509; Wong, Bob/0000-0001-9352-6500</t>
  </si>
  <si>
    <t>SEP 22</t>
  </si>
  <si>
    <t>10.1098/rspb.2015.1551</t>
  </si>
  <si>
    <t>WOS:000363357100008</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</si>
  <si>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</si>
  <si>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</si>
  <si>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</si>
  <si>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</si>
  <si>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</si>
  <si>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</si>
  <si>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</si>
  <si>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OCT</t>
  </si>
  <si>
    <t>10.1111/evo.13321</t>
  </si>
  <si>
    <t>WOS:000412834700011</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</si>
  <si>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</si>
  <si>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</si>
  <si>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</si>
  <si>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</si>
  <si>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</si>
  <si>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</si>
  <si>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 R/0000-0002-9219-7001</t>
  </si>
  <si>
    <t>1741-7007</t>
  </si>
  <si>
    <t>OCT 5</t>
  </si>
  <si>
    <t>10.1186/s12915-015-0192-7</t>
  </si>
  <si>
    <t>WOS:000362280500001</t>
  </si>
  <si>
    <t>Sowersby, W; Lehtonen, TK; Wong, BBM</t>
  </si>
  <si>
    <t>Sowersby, Will; Lehtonen, Topi K.; Wong, Bob B. M.</t>
  </si>
  <si>
    <t>Temporal and sex-specific patterns of breeding territory defense in a color-polymorphic cichlid fish</t>
  </si>
  <si>
    <t>HYDROBIOLOGIA</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</si>
  <si>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</si>
  <si>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Will/0000-0002-9774-5935; Wong, Bob/0000-0001-9352-6500; Lehtonen, Topi/0000-0002-1372-9509</t>
  </si>
  <si>
    <t>0018-8158</t>
  </si>
  <si>
    <t>1573-5117</t>
  </si>
  <si>
    <t>10.1007/s10750-016-2889-1</t>
  </si>
  <si>
    <t>WOS:000396043800017</t>
  </si>
  <si>
    <t>BEECHING, SC</t>
  </si>
  <si>
    <t>COLOR PATTERN AND INHIBITION OF AGGRESSION IN THE CICHLID FISH ASTRONOTUS-OCELLATUS</t>
  </si>
  <si>
    <t>JOURNAL OF FISH BIOLOGY</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</si>
  <si>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</si>
  <si>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0022-1112</t>
  </si>
  <si>
    <t>JUL</t>
  </si>
  <si>
    <t>10.1111/j.1095-8649.1995.tb01872.x</t>
  </si>
  <si>
    <t>WOS:A1995RK16500006</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</si>
  <si>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</si>
  <si>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</si>
  <si>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</si>
  <si>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</si>
  <si>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</si>
  <si>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</si>
  <si>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NOV</t>
  </si>
  <si>
    <t>WOS:000241770100007</t>
  </si>
  <si>
    <t>Kenyon, HL; Martin, PR</t>
  </si>
  <si>
    <t>Kenyon, Haley L.; Martin, Paul R.</t>
  </si>
  <si>
    <t>Experimental tests of selection against heterospecific aggression as a driver of avian colour pattern divergence</t>
  </si>
  <si>
    <t>JOURNAL OF EVOLUTIONARY BIOLOGY</t>
  </si>
  <si>
    <t>Signal divergence is thought to reduce the costs of co-occurrence for closely related species and may thereby be important in the generation and maintenance of new biodiversity. In birds, closely related, sympatric species are more divergent in their colour patterns than those that live apart, but the selective pressures driving sympatric divergence in colour pattern are not well-understood. Here, we conducted field experiments on naive birds using spectrometer-matched, painted, 3D-printed models to test whether selection against heterospecific aggression might drive colour pattern divergence in the genus Poecile. We found that territorial male black-capped chickadees (P. atricapillus) are equally likely to attack sympatric and allopatric congeners, and wintering flocks are equally likely to visit feeders occupied by sympatric and allopatric congeners, despite sympatric congeners being more divergent in colour pattern. These results suggest that either the concerted evolution of additional traits (e.g. discrimination), or interactions in sympatry that promote learning, is required if colour pattern divergence among sympatric species is to reduce heterospecific aggression. Alternatively, colour pattern divergence among sympatric species may be caused by other selective pressures, such as selection against hybridization or habitat partitioning and secondary signal adaptation.</t>
  </si>
  <si>
    <t>Kenyon, Haley/0000-0001-5497-4052; Martin, Paul/0000-0003-2611-1211</t>
  </si>
  <si>
    <t>1010-061X</t>
  </si>
  <si>
    <t>1420-9101</t>
  </si>
  <si>
    <t>10.1111/jeb.13798</t>
  </si>
  <si>
    <t>JUN 2021</t>
  </si>
  <si>
    <t>WOS:000668020400001</t>
  </si>
  <si>
    <t>Scali, S; Mangiacotti, M; Sacchi, R; Coladonato, AJ; Falaschi, M; Saviano, L; Rampoldi, MG; Crozi, M; Perotti, C; Zucca, F; Gozzo, E; Zuffi, MAL</t>
  </si>
  <si>
    <t>Scali, Stefano; Mangiacotti, Marco; Sacchi, Roberto; Coladonato, Alan Jioele; Falaschi, Mattia; Saviano, Luca; Rampoldi, Marina Giulia; Crozi, Matteo; Perotti, Cesare; Zucca, Francesco; Gozzo, Elisabetta; Zuffi, Marco Alberto Luca</t>
  </si>
  <si>
    <t>Close encounters of the three morphs: Does color affect aggression in a polymorphic lizard?</t>
  </si>
  <si>
    <t>AGGRESSIVE BEHAVIOR</t>
  </si>
  <si>
    <t>Color polymorphism is genetically controlled, and the process generating and maintaining morphs can affect speciation/extinction rates. Color badges are useful signals in intraspecific communication because they convey information about alternative strategies and can potentially decrease unnecessary conflicts among different color morphs. Competition and aggressive interactions among color morphs can contribute to polymorphism maintenance. This could lead to an uneven spatial distribution of morphs in a population because the local frequency of each morph establishes the intensity of the competition and the fitness of each male. We used a polymorphic lizard, Podarcis muralis, to assess if aggression varies among morphs under two contrasting hypotheses: a heteromorphic versus homomorphic aggression. We used laboratory mirror tests after lizard color manipulation, and we verified the consistency of results with an analysis of the spatial distribution of morphs in a wild population. Both the experiments confirmed that aggression is more common during homomorphic than heteromorphic contests. The adoption of alternative behavioral strategies that minimize risks and costs could facilitate the stable coexistence of the phenotypes and reduce competition. A bias in aggression would advantage rarer morph, which would suffer less harassment by common morphs obtaining a fitness advantage. This process would be negatively-frequency-dependent and would stabilize polymorphism, possibly contributing to sympatric speciation.</t>
  </si>
  <si>
    <t>Falaschi, Mattia/AAD-7364-2022; Mangiacotti, Marco/AAZ-9550-2021; Zuffi, Marco A.L./J-6974-2013; SACCHI, ROBERTO/E-2141-2011</t>
  </si>
  <si>
    <t>Falaschi, Mattia/0000-0002-4511-4816; Mangiacotti, Marco/0000-0001-7144-3851; SACCHI, ROBERTO/0000-0002-6199-0074; PEROTTI, CESARE/0000-0002-0595-399X; Scali, Stefano/0000-0002-4318-751X</t>
  </si>
  <si>
    <t>0096-140X</t>
  </si>
  <si>
    <t>1098-2337</t>
  </si>
  <si>
    <t>10.1002/ab.21961</t>
  </si>
  <si>
    <t>MAR 2021</t>
  </si>
  <si>
    <t>WOS:000625980800001</t>
  </si>
  <si>
    <t>Lehtonen, TK</t>
  </si>
  <si>
    <t>Lehtonen, Topi K.</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</si>
  <si>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</si>
  <si>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</si>
  <si>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</si>
  <si>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Lehtonen, Topi/A-6679-2010</t>
  </si>
  <si>
    <t>Lehtonen, Topi/0000-0002-1372-9509</t>
  </si>
  <si>
    <t>0029-8549</t>
  </si>
  <si>
    <t>1432-1939</t>
  </si>
  <si>
    <t>10.1007/s00442-013-2879-1</t>
  </si>
  <si>
    <t>WOS:000334691600008</t>
  </si>
  <si>
    <t>López-de-Hierro, MDG; Moreno-Rueda, G</t>
  </si>
  <si>
    <t>Lopez-de-Hierro, M. Dolores G.; Moreno-Rueda, Gregorio</t>
  </si>
  <si>
    <t>Egg-spot pattern rather than egg colour affects conspecific egg rejection in the house sparrow (Passer domesticus)</t>
  </si>
  <si>
    <t>Brood parasitism could be a selective pressure on each female to have a type of egg that permits recognition. House sparrows (Passer domesticus) undergo conspecific brood parasitism and can recognise parasitic eggs. In this study, we analyse the effect of relative size in experimental parasitic eggs compared to the host eggs. We modified egg colour and the spot pattern to determine the influence of these characteristics on egg rejection. Furthermore, we examine whether egg rejection increases with stimulus summation. Our results show that egg rejection is not affected by relative egg size. However, changes in the spot pattern proved to exert the highest influence on egg rejection (32.4% of trials), significantly higher than when only egg colour is changed (3.8%). Therefore, our results suggest that parasitism may be a pressure favouring the maintenance of spotted eggs in house sparrow.</t>
  </si>
  <si>
    <t>Moreno-Rueda, Gregorio/K-7068-2014</t>
  </si>
  <si>
    <t>Moreno-Rueda, Gregorio/0000-0002-6726-7215</t>
  </si>
  <si>
    <t>JAN</t>
  </si>
  <si>
    <t>10.1007/s00265-009-0811-9</t>
  </si>
  <si>
    <t>WOS:000274433500002</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</si>
  <si>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</si>
  <si>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</si>
  <si>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</si>
  <si>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</si>
  <si>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</si>
  <si>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</si>
  <si>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</si>
  <si>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</si>
  <si>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</si>
  <si>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</si>
  <si>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</si>
  <si>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</si>
  <si>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</si>
  <si>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</si>
  <si>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</si>
  <si>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</si>
  <si>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Hews, Diana/0000-0002-2252-6711</t>
  </si>
  <si>
    <t>APR 22</t>
  </si>
  <si>
    <t>10.1098/rspb.2000.1067</t>
  </si>
  <si>
    <t>WOS:000086850600003</t>
  </si>
  <si>
    <t>Karenina, KA; Giljov, AN; Malashichev, YB</t>
  </si>
  <si>
    <t>Karenina, Karina A.; Giljov, Andrey N.; Malashichev, Yegor B.</t>
  </si>
  <si>
    <t>Eye as a key element of conspecific image eliciting lateralized response in fish</t>
  </si>
  <si>
    <t>ANIMAL COGNITION</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</si>
  <si>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</si>
  <si>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Malashichev, Yegor/D-3511-2013; Giljov, Andrey/O-4755-2014; Karenina, Karina/B-9781-2012</t>
  </si>
  <si>
    <t>Malashichev, Yegor/0000-0003-3813-5712; Giljov, Andrey/0000-0002-7533-1600; Karenina, Karina/0000-0001-8200-6876</t>
  </si>
  <si>
    <t>1435-9448</t>
  </si>
  <si>
    <t>1435-9456</t>
  </si>
  <si>
    <t>10.1007/s10071-012-0572-0</t>
  </si>
  <si>
    <t>WOS:000315035100012</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</si>
  <si>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</si>
  <si>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</si>
  <si>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</si>
  <si>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</si>
  <si>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</si>
  <si>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</si>
  <si>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</si>
  <si>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Mohadzir, S; Rahmah, S; Rasdi, NW; Jalilah, M; Abd Ghaffar, M; Chang, YM; Tuzan, AD; Lim, LS; Liew, HJ</t>
  </si>
  <si>
    <t>Mohadzir, Sallehuddin; Rahmah, Sharifah; Rasdi, Nadiah Wan; Jalilah, Mohammad; Abd Ghaffar, Mazlan; Chang, Yumei; Tuzan, Audrey Daning; Lim, Leong-Seng; Liew, Hon Jung</t>
  </si>
  <si>
    <t>Intraspecific aggression in the jewel cichlid Hemichromis bimaculatus reared under different background colours</t>
  </si>
  <si>
    <t>AQUACULTURE RESEARCH</t>
  </si>
  <si>
    <t>The jewel cichlid Hemichromis bimaculatus is a popular freshwater ornamental fish with high market demand. However, it is aggressive and difficult to be maintained in captivity. Background colours are known to influence fish aggression, but there is still no such information available on H. bimaculatus. This study was conducted to examine the influence of 6 background colours (black, white, blue, yellow, green or red) on the aggression (chasing frequency), survival, weight gain and feed intake of the H. bimaculatus, through a 60-day culture trial. At the end of this trial, since the total feed intake and fish weight gain (except black) were similar among all treatments, the green was the most recommended background colour for the H. bimaculatus culture as it has the highest fish survival, followed by the white and yellow. Low fish survival was found under the black, red and blue; hence, these background colours were not recommended. In this study, we suspected that different background colours may induce different aggressiveness degree in the H. bimaculatus, and biting may have occurred to cause low fish survival. Also, the blue was speculated to be a stressful background colour to the H. bimaculatus. Nevertheless, further study is necessary to elucidate these hypotheses.</t>
  </si>
  <si>
    <t>Chang, Yumei/M-6298-2014; Rasdi, Nadiah W./H-8910-2018; Lim, Leong Seng/I-5324-2016</t>
  </si>
  <si>
    <t>Rasdi, Nadiah W./0000-0002-7331-4866; Lim, Leong Seng/0000-0002-0404-1083</t>
  </si>
  <si>
    <t>1355-557X</t>
  </si>
  <si>
    <t>1365-2109</t>
  </si>
  <si>
    <t>DEC</t>
  </si>
  <si>
    <t>10.1111/are.16083</t>
  </si>
  <si>
    <t>AUG 2022</t>
  </si>
  <si>
    <t>WOS:000847232100001</t>
  </si>
  <si>
    <t>Price, TD</t>
  </si>
  <si>
    <t>Price, Trevor D.</t>
  </si>
  <si>
    <t>Sensory Drive, Color, and Color Vision</t>
  </si>
  <si>
    <t>AMERICAN NATURALIST</t>
  </si>
  <si>
    <t>Colors often appear to differ in arbitrary ways among related species. However, a fraction of color diversity may be explained because some signals are more easily perceived in one environment rather than another. Models show that not only signals but also the perception of signals should regularly evolve in response to different environments, whether these primarily involve detection of conspecifics or detection of predators and prey. Thus, a deeper understanding of how perception of color correlates with environmental attributes should help generate more predictive models of color divergence. Here, I briefly review our understanding of color vision in vertebrates. Then I focus on opsin spectral tuning and opsin expression, two traits involved in color perception that have become amenable to study. I ask how opsin tuning is correlated with ecological differences, notably the light environment, and how this potentially affects perception of conspecific colors. Although opsin tuning appears to evolve slowly, opsin expression levels are more evolutionarily labile but have been difficult to connect to color perception. The challenge going forward will be to identify how physiological differences involved in color vision, such as opsin expression levels, translate into perceptual differences, the selection pressures that have driven those differences, and ultimately how this may drive evolution of conspecific colors.</t>
  </si>
  <si>
    <t>0003-0147</t>
  </si>
  <si>
    <t>1537-5323</t>
  </si>
  <si>
    <t>10.1086/692535</t>
  </si>
  <si>
    <t>WOS:000406102400003</t>
  </si>
  <si>
    <t>Powell, EA; Uy, JAC</t>
  </si>
  <si>
    <t>Powell, Emily A.; Uy, J. Albert C.</t>
  </si>
  <si>
    <t>Male color polymorphism in populations of reef geckos (Sphaerodactylus notatus) reduces the utility of visual signals in sex recognition</t>
  </si>
  <si>
    <t>Sexually dichromatic signals can identify the sex of conspecific, facilitating decisions to initiate agonistic or courtship displays at the onset of social interactions. The utility of sex-specific signals, however, may be reduced when polymorphism evolves and these signals become variable. To explore the impact of polymorphism in the utility of sex-specific signals, we studied Floridian and Bahamian populations of the reef gecko, Sphaerodactylus notatus, which vary in the presence of polymorphic males (i.e., populations with monomorphic males that are sexually dichromatic from females; polymorphic with dichromatic and female-like males; polymorphic with dichromatic and intermediate males). We staged encounters between same-sex and different-sex pairs on opposite sides of transparent barriers to measure response to visual signals, quantifying agonistic and courtship behavior. For geckos from the monomorphic population, opposite-sex pairs consistently initiated courtship displays, and same-sex pairs initiated agonistic displays. In contrast, both polymorphic populations lacked consistent sex-specific response to visual signal, and the population with dichromatic and female-like males showed similar responses in both same-sex and opposite-sex pairings, failing to distinguish sex even when interacting with dichromatic males. When individuals from this polymorphic population were tested with the transparent barrier removed to allow olfactory signaling, we found clear courtship and agonistic responses between opposite-sex and same-sex pairs, respectively. Our study suggests that loss of signal reliability when a trait becomes polymorphic can lead to reduction of signal utility, even when the signal remains present in some individuals and still conveys the sex of conspecifics. SignificanceOur study examines partial loss of sex-specific signal in a divergent mainland population of the reef gecko (Sphaerodactylus notatus). By staging encounters between same-sex and opposite-sex individuals from three populations that varied in the presence of male polymorphism, we found that clear sex-specific visual signals were associated with visual discrimination between sexes, while unreliable sex-specific visual signal was associated with greater reliance on olfactory sex discrimination. Because the evolution of additional male color morphs (i.e., female-like males) is likely derived in this clade, our results suggest a switch from visual to olfactory signals in sex recognition in the polymorphic population. This presents an example of color polymorphism leading to a reduction in signal utility, and divergence of these traits in an isolated population suggests a possible mechanism for development of reproductive barriers and a potential contributing factor to diversity of the Sphaerodactylus clade.</t>
  </si>
  <si>
    <t>Uy, J. Albert C./0000-0002-8437-5525</t>
  </si>
  <si>
    <t>10.1007/s00265-022-03272-9</t>
  </si>
  <si>
    <t>WOS:000914603000002</t>
  </si>
  <si>
    <t>BARLOW, GW; WALLACH, SJ</t>
  </si>
  <si>
    <t>COLOR AND LEVELS OF AGGRESSION IN MIDAS CICHLID</t>
  </si>
  <si>
    <t>Previous work established that gold morphs of the Midas cichlid (Cichlasoma citrinellum) dominate normal ones of about the same size. Left unresolved was whether the gold morphs dominate because they are inherently more aggressive or because the gold color inhibits aggression. The issue was clarified by comparing levels of aggression within groups of golds only, normals only and golds plus normals. At first the groups of golds were the least aggressive. But 2 days later the levels of aggression in the other groups fell to about that of the golds. It is concluded that the gold color inhibits attack, but that this effect is only discernible in groups when they are establishing inter-individual relationships disappearing when the groups stabilize. Gold coloration inhibits attacking by stimulating fear responses.</t>
  </si>
  <si>
    <t>10.1016/S0003-3472(76)80011-5</t>
  </si>
  <si>
    <t>WOS:A1976CN83700010</t>
  </si>
  <si>
    <t>Bastiaans, E; Morinaga, G; Gaytán, JGC; Marshall, JC; Sinervo, B</t>
  </si>
  <si>
    <t>Bastiaans, Elizabeth; Morinaga, Gen; Castaneda Gaytan, Jose Gamaliel; Marshall, Jonathon C.; Sinervo, Barry</t>
  </si>
  <si>
    <t>Male aggression varies with throat color in 2 distinct populations of the mesquite lizard</t>
  </si>
  <si>
    <t>BEHAVIORAL ECOLOGY</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</si>
  <si>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</si>
  <si>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 Marshall, Jonathon C./AGG-8101-2022</t>
  </si>
  <si>
    <t>DURANGO, UNIVERSIDAD J/0000-0002-1896-0937; Bastiaans, Elizabeth/0000-0002-7322-1088</t>
  </si>
  <si>
    <t>1045-2249</t>
  </si>
  <si>
    <t>1465-7279</t>
  </si>
  <si>
    <t>JUL-AUG</t>
  </si>
  <si>
    <t>10.1093/beheco/art010</t>
  </si>
  <si>
    <t>WOS:000320409900028</t>
  </si>
  <si>
    <t>HARRINGTON, ME</t>
  </si>
  <si>
    <t>AGGRESSION IN DAMSELFISH - HABITUATION BY ADULTS OF POMACENTRUS-PARTITUS TO JUVENILE INTRUDERS</t>
  </si>
  <si>
    <t>ENVIRONMENTAL BIOLOGY OF FISHES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</si>
  <si>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</si>
  <si>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0378-1909</t>
  </si>
  <si>
    <t>10.1007/BF00002348</t>
  </si>
  <si>
    <t>WOS:A1995QG52700004</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</si>
  <si>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</si>
  <si>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</si>
  <si>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</si>
  <si>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SEP</t>
  </si>
  <si>
    <t>10.1006/jfbi.2002.2084</t>
  </si>
  <si>
    <t>WOS:000179168400007</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</si>
  <si>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</si>
  <si>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</si>
  <si>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</si>
  <si>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</si>
  <si>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Hill, Russell/D-9113-2013; Burt, Michael/D-6684-2013</t>
  </si>
  <si>
    <t>Hill, Russell/0000-0002-7601-5802; Burt, Michael/0000-0001-5627-6012; Barton, Robert/0000-0002-2150-9637</t>
  </si>
  <si>
    <t>MAY 1</t>
  </si>
  <si>
    <t>10.1098/rsbl.2015.0166</t>
  </si>
  <si>
    <t>WOS:000357684200014</t>
  </si>
  <si>
    <t>Campbell, DLM; Hauber, ME</t>
  </si>
  <si>
    <t>Campbell, Dana L. M.; Hauber, Mark E.</t>
  </si>
  <si>
    <t>The Disassociation of Visual and Acoustic Conspecific Cues Decreases Discrimination by Female Zebra Finches (Taeniopygia guttata)</t>
  </si>
  <si>
    <t>JOURNAL OF COMPARATIVE PSYCHOLOGY</t>
  </si>
  <si>
    <t>Female zebra finches (Taeniopygia guttata) use visual and acoustic traits for accurate recognition of male conspecifics. Evidence from video playbacks confirms that both sensory modalities are important for conspecific and species discrimination, but experimental evidence of the individual roles of these cue types affecting live conspecific recognition is limited. In a spatial paradigm to test discrimination, the authors used live male zebra finch stimuli of 2 color morphs, wild-type (conspecific) and white with a painted black beak (foreign), producing I of 2 vocalization types: songs and calls learned from zebra finch parents (conspecific) or cross-fostered songs and calls learned from Bengalese finch (Lonchura striata vars. domestica) foster parents (foreign). The authors found that female zebra finches consistently preferred males with conspecific visual and acoustic cues over males with foreign cues, but did not discriminate when the conspecific and foreign visual and acoustic cues were mismatched. These results indicate the importance of both visual and acoustic features for female zebra finches when discriminating between live conspecific males.</t>
  </si>
  <si>
    <t>Campbell, Dana/S-6777-2017</t>
  </si>
  <si>
    <t>Campbell, Dana/0000-0003-4028-8347</t>
  </si>
  <si>
    <t>0735-7036</t>
  </si>
  <si>
    <t>1939-2087</t>
  </si>
  <si>
    <t>10.1037/a0015837</t>
  </si>
  <si>
    <t>WOS:000268963900010</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</si>
  <si>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</si>
  <si>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</si>
  <si>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</si>
  <si>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</si>
  <si>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Mendelson, Tamra/GSN-8151-2022</t>
  </si>
  <si>
    <t>10.1016/j.anbehav.2013.03.012</t>
  </si>
  <si>
    <t>WOS:000320651200015</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</si>
  <si>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</si>
  <si>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</si>
  <si>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</si>
  <si>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</si>
  <si>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</si>
  <si>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</si>
  <si>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</si>
  <si>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Turner, VLG; Lynch, SM; Paterson, L; Lóen-Cortés, JL; Thorpe, JP</t>
  </si>
  <si>
    <t>Aggression as a function of genetic relatedness in the sea anemone Actinia equina (Anthozoa: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</si>
  <si>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</si>
  <si>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</si>
  <si>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</si>
  <si>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</si>
  <si>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</si>
  <si>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</si>
  <si>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GENES BRAIN AND BEHAVIOR</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</si>
  <si>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</si>
  <si>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Popova, Nina K/HKO-4302-2023; Mormede, Pierre/N-3918-2019; Kulikova, Elizabeth/AAD-4843-2020; Kulikov, Aleksandr Vladimirovich/V-7083-2017; Fursenko, Dariya/ABF-4273-2021; Mormede, Pierre/K-5537-2015</t>
  </si>
  <si>
    <t>Fursenko, Dariya/0000-0003-0386-7315; Mormede, Pierre/0000-0003-0345-1432; Terenina, Elena/0009-0005-1398-4525</t>
  </si>
  <si>
    <t>1601-1848</t>
  </si>
  <si>
    <t>1601-183X</t>
  </si>
  <si>
    <t>10.1111/gbb.12313</t>
  </si>
  <si>
    <t>WOS:000393079000005</t>
  </si>
  <si>
    <t>Lehtonen, TK; Nagarajan-Radha, V; Dowling, DK; Wong, BBM</t>
  </si>
  <si>
    <t>Lehtonen, Topi K.; Nagarajan-Radha, Venkatesh; Dowling, Damian K.; Wong, Bob B. M.</t>
  </si>
  <si>
    <t>Size, more than colour, drives dyadic interactions in sub-adults of a colour polymorphic cichlid</t>
  </si>
  <si>
    <t>BIOLOGICAL JOURNAL OF THE LINNEAN SOCIETY</t>
  </si>
  <si>
    <t>Social and aggressive behaviours often affect the fitness of multiple interacting individuals simultaneously. Here, we assessed dyadic interactions in a colour-polymorphic cichlid fish, the red devil, Amphilophus labiatus. We found that sub-adult red devil pairs of smaller body size interacted more, and were more aggressive towards each other, than pairs comprising larger individuals. Interactions did not significantly differ between colour morphs, i.e. between dark, gold and heterotypic pairs. Interestingly, within a broad range of parameters, an automated measure of time that the two fish spent in close proximity was an accurate proxy for their level of aggression, as measured by an observer from video recordings. These results show that, between sub-adult red devils, (aggressive) interactions significantly depend on body size, but not colour morph, of the interacting individuals. In addition, the results support the use of automated data-gathering approaches as an appropriate tool for studies of aggression.</t>
  </si>
  <si>
    <t>Lehtonen, Topi/A-6679-2010; Nagarajan Radha, Venkatesh/GON-6995-2022; Dowling, Damian/C-9016-2009; Nagarajan-Radha, Venkatesh/I-3232-2014</t>
  </si>
  <si>
    <t>Dowling, Damian/0000-0003-2209-3458; Wong, Bob/0000-0001-9352-6500; Lehtonen, Topi/0000-0002-1372-9509; Nagarajan-Radha, Venkatesh/0000-0002-2386-4093</t>
  </si>
  <si>
    <t>0024-4066</t>
  </si>
  <si>
    <t>1095-8312</t>
  </si>
  <si>
    <t>10.1093/biolinnean/blac014</t>
  </si>
  <si>
    <t>MAR 2022</t>
  </si>
  <si>
    <t>WOS:000768465800001</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</si>
  <si>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</si>
  <si>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</si>
  <si>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</si>
  <si>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</si>
  <si>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</si>
  <si>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Lehtonen, Topi/A-6679-2010; Sowersby, Will/AAG-5106-2019</t>
  </si>
  <si>
    <t>Gagnon, Karine/0000-0002-0971-7740; Sowersby, Will/0000-0002-9774-5935; Wong, Bob/0000-0001-9352-6500; Lehtonen, Topi/0000-0002-1372-9509</t>
  </si>
  <si>
    <t>1471-2148</t>
  </si>
  <si>
    <t>JAN 4</t>
  </si>
  <si>
    <t>10.1186/s12862-015-0569-9</t>
  </si>
  <si>
    <t>WOS:000367430900003</t>
  </si>
  <si>
    <t>Pearce, D; Pryke, SR; Griffith, SC</t>
  </si>
  <si>
    <t>Pearce, Dhanya; Pryke, Sarah R.; Griffith, Simon C.</t>
  </si>
  <si>
    <t>INTERSPECIFIC AGGRESSION FOR NEST SITES: MODEL EXPERIMENTS WITH LONG-TAILED FINCHES (POEPHILA ACUTICAUDA) AND ENDANGERED GOULDIAN FINCHES (ERYTHRURA GOULDIAE)</t>
  </si>
  <si>
    <t>AUK</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</si>
  <si>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</si>
  <si>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Griffith, Simon/AAH-3706-2021; Pryke, Sarah/G-7484-2011</t>
  </si>
  <si>
    <t>Griffith, Simon/0000-0001-7612-4999;</t>
  </si>
  <si>
    <t>1938-4254</t>
  </si>
  <si>
    <t>10.1525/auk.2011.11085</t>
  </si>
  <si>
    <t>WOS:000293307300007</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</si>
  <si>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</si>
  <si>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</si>
  <si>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</si>
  <si>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Waterman, Mitch/0000-0003-0168-0426</t>
  </si>
  <si>
    <t>10.1002/ab.20071</t>
  </si>
  <si>
    <t>WOS:000227894100006</t>
  </si>
  <si>
    <t>Romero-Diaz, C; Pruett, JA; Campos, SM; Ossip-Drahos, AG; Zúñiga-Vega, JJ; Vital-García, C; Hews, DK; Martins, EP</t>
  </si>
  <si>
    <t>Romero-Diaz, Cristina; Pruett, Jake A.; Campos, Stephanie M.; Ossip-Drahos, Alison G.; Zuniga-Vega, J. Jaime; Vital-Garcia, Cuauhcihuatl; Hews, Diana K.; Martins, Emilia P.</t>
  </si>
  <si>
    <t>Evolutionary loss of a signalling colour is linked to increased response to conspecific chemicals</t>
  </si>
  <si>
    <t>Behavioural responses to communicative signals combine input from multiple sensory modalities and signal compensation theory predicts that evolutionary shifts in one sensory modality could impact the response to signals in other sensory modalities. Here, we conducted two types of field experiments with 11 species spread across the lizard genus Sceloporus to test the hypothesis that the loss of visual signal elements affects behavioural responses to a chemical signal (conspecific scents) or to a predominantly visual signal (a conspecific lizard), both of which are used in intraspecific communication. We found that three species that have independently lost a visual signal trait, a colourful belly patch, responded to conspecific scents with increased chemosensory behaviour compared to a chemical control, while species with the belly patch did not. However, most species, with and without the belly patch, responded to live conspecifics with increased visual displays of similar magnitude. While aggressive responses to visual stimuli are taxonomically widespread in Sceloporus, our results suggest that increased chemosensory response behaviour is linked to colour patch loss. Thus, interactions across sensory modalities could constrain the evolution of complex signalling phenotypes, thereby influencing signal diversity.</t>
  </si>
  <si>
    <t>Zúñiga-Vega, J. Jaime/B-9423-2013; Romero-Diaz, Cristina/AAA-5613-2021</t>
  </si>
  <si>
    <t>Zúñiga-Vega, J. Jaime/0000-0002-9661-1521; Romero-Diaz, Cristina/0000-0002-0718-4055; Pruett, Jake/0000-0002-6421-0715; Martins, Emilia/0000-0002-8952-3240; Vital Garcia, Cuauhcihuatl/0000-0002-3634-2964; Hews, Diana/0000-0002-2252-6711</t>
  </si>
  <si>
    <t>MAR 31</t>
  </si>
  <si>
    <t>10.1098/rspb.2021.0256</t>
  </si>
  <si>
    <t>WOS:000636370000005</t>
  </si>
  <si>
    <t>Lailvaux, SP; Huyghe, K; Van Damme, R</t>
  </si>
  <si>
    <t>Lailvaux, S. P.; Huyghe, K.; Van Damme, R.</t>
  </si>
  <si>
    <t>Why can't we all just get along? Interspecific aggression in resident and non-resident Podarcis melisellensis lizards</t>
  </si>
  <si>
    <t>JOURNAL OF ZOOLOGY</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</si>
  <si>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</si>
  <si>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 Van Damme, Raoul/AFQ-1065-2022</t>
  </si>
  <si>
    <t>Lailvaux, Simon/0000-0002-2737-8682; Van Damme, Raoul/0000-0002-4585-6940</t>
  </si>
  <si>
    <t>0952-8369</t>
  </si>
  <si>
    <t>1469-7998</t>
  </si>
  <si>
    <t>10.1111/j.1469-7998.2012.00943.x</t>
  </si>
  <si>
    <t>WOS:000310330900007</t>
  </si>
  <si>
    <t>Lyon, BE; Shizuka, D; Eadie, JM</t>
  </si>
  <si>
    <t>Lyon, Bruce E.; Shizuka, Daizaburo; Eadie, John M.</t>
  </si>
  <si>
    <t>Interspecific egg rejection as ecological collateral damage from selection driven by conspecific brood parasitism</t>
  </si>
  <si>
    <t>Distinguishing between interspecific and intraspecific coevolution as the selective driver of traits can be difficult in some taxa. A previous study of an avian obligate brood parasite, the black-headed duck, Heteronetta atricapilla, suggested that egg rejection by its two main hosts (two species of coot) is an incidental by-product of selection from conspecific brood parasitism within the hosts, not selection imposed by the interspecific parasite. However, although both species of coot can recognize and reject eggs of conspecific brood parasites, which closely resemble their own, they paradoxically also accept a moderate fraction of duck eggs (40-60%), which differ strikingly in shape and colour from their own eggs. Here we test the key assumption of the incidental by-product hypothesis that natural selection for egg recognition solely from conspecific brood parasitism can result in intermediate levels of rejection of nonmimetic eggs. We repeated the same egg rejection experiments conducted previously with the two Argentine hosts in a third closely related species that experiences only conspecific brood parasitism, the American coot, Fulica americana. These experiments yielded the same intermediate rejection rates for nonmimetic duck eggs. Our results confirm that selection from conspecific brood parasitism can lead to counterintuitive intermediate rejection rates of nonmimetic interspecific eggs and further support the suggestion that selection from antagonism within species can incidentally affect interactions between species. (C) 2015 The Association for the Study of Animal Behaviour. Published by Elsevier Ltd. All rights reserved.</t>
  </si>
  <si>
    <t>Lyon, Bruce E/E-8491-2011</t>
  </si>
  <si>
    <t>Eadie, John/0000-0001-9573-2703</t>
  </si>
  <si>
    <t>10.1016/j.anbehav.2015.02.010</t>
  </si>
  <si>
    <t>WOS:000353378200015</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</si>
  <si>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</si>
  <si>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</si>
  <si>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</si>
  <si>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</si>
  <si>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</si>
  <si>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</si>
  <si>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</si>
  <si>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</si>
  <si>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</si>
  <si>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</si>
  <si>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</si>
  <si>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</si>
  <si>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t>
  </si>
  <si>
    <t>Seehausen, Ole/0000-0001-6598-1434; Pierotti, Michele E R/0000-0003-2837-6192; Dijkstra, Peter/0000-0001-5382-225X</t>
  </si>
  <si>
    <t>10.1111/j.1420-9101.2006.01266.x</t>
  </si>
  <si>
    <t>WOS:000244244300008</t>
  </si>
  <si>
    <t>Frederiksen, M; Bregnballe, T</t>
  </si>
  <si>
    <t>Conspecific reproductive success affects age of recruitment in a great cormorant, Phalacrocorax carbo sinensis, colony</t>
  </si>
  <si>
    <t>Few studies have addressed the proximate factors affecting the age at which individuals of long-lived bird species are recruited into the breeding population. We use capture-recapture analysis of resightings of 16 birth cohorts of colour-ringed great cormorants. Phalacrocorax carbo sinenis, in a Danish colony to assess the evidence for two hypotheses: conspecific attraction (earlier recruitment when the colon) is large) and conspecific reproductive success (earlier recruitment following years of high breeding success). For both males and females, conspecific reproductive success was the most important covariate explaining the interannual variation in age of recruitment: colony size was also important for females. These covariates explained nearly 60% of the year-to-year variation for both sexes. The age of recruitment increased for cohorts horn after 1990, and this increase was correlated with a decline in breeding success in the colon); we interpret this as an indirect and delayed density-dependent effect. Females were recruited earlier than males (mean age of recruitment for cohorts born before 1990: 2.98 years versus 3.53 years); the most plausible reason for this is a skewed sex ratio in favour of males in the adult population. Recruitment of males may thus, to some extent, be constrained by the availability of females. This study provides the first evidence that conspecific reproductive success carl affect the age at which individual birds start to breed.</t>
  </si>
  <si>
    <t>Frederiksen, Morten/A-7542-2008; Bregnballe, Thomas/L-1890-2013</t>
  </si>
  <si>
    <t>Frederiksen, Morten/0000-0001-5550-0537; Bregnballe, Thomas/0000-0003-2867-478X</t>
  </si>
  <si>
    <t>JUL 22</t>
  </si>
  <si>
    <t>10.1098/rspb.2001.1701</t>
  </si>
  <si>
    <t>WOS:000170003600013</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</si>
  <si>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</si>
  <si>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</si>
  <si>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</si>
  <si>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</si>
  <si>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</si>
  <si>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Wright, Shane/AAE-7523-2020; Pierotti, Michele E R/E-7563-2011</t>
  </si>
  <si>
    <t>Wright, Shane/0000-0002-4066-6718; Pierotti, Michele E R/0000-0003-2837-6192; Yong, Lengxob/0000-0002-7459-4863</t>
  </si>
  <si>
    <t>1522-0613</t>
  </si>
  <si>
    <t>1937-3791</t>
  </si>
  <si>
    <t>WOS:000378168300007</t>
  </si>
  <si>
    <t>Ardia, DR; Broughton, DR; Gleicher, MJ</t>
  </si>
  <si>
    <t>Ardia, Daniel R.; Broughton, Deanna R.; Gleicher, Michael J.</t>
  </si>
  <si>
    <t>Short-term exposure to testosterone propionate leads to rapid bill color and dominance changes in zebra finches</t>
  </si>
  <si>
    <t>HORMONES AND BEHAVIOR</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</si>
  <si>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</si>
  <si>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0018-506X</t>
  </si>
  <si>
    <t>1095-6867</t>
  </si>
  <si>
    <t>10.1016/j.yhbeh.2010.04.004</t>
  </si>
  <si>
    <t>WOS:000280933600025</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</si>
  <si>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</si>
  <si>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</si>
  <si>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</si>
  <si>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</si>
  <si>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</si>
  <si>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</si>
  <si>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</si>
  <si>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</si>
  <si>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Barreto, Rodrigo E/A-3440-2013; Duarte, Cristiane Regina do Amaral/G-4826-2012; Luchiari, Ana C/O-3206-2013; MA, Visconti/H-7123-2013; Volpato, Gilson L/B-2304-2008</t>
  </si>
  <si>
    <t>MA, Visconti/0000-0001-8703-5238; Duarte, Cristiane Regina do Amaral/0000-0003-3209-3814</t>
  </si>
  <si>
    <t>0100-879X</t>
  </si>
  <si>
    <t>10.1590/S0100-879X2003001200007</t>
  </si>
  <si>
    <t>WOS:000187175000007</t>
  </si>
  <si>
    <t>BRACE, RC</t>
  </si>
  <si>
    <t>INTRASPECIFIC AGGRESSION IN THE COLOR MORPHS OF THE ANEMONE PHYMACTIS-CLEMATIS FROM CHILE</t>
  </si>
  <si>
    <t>MARINE BIOLOGY</t>
  </si>
  <si>
    <t>The anemone P. clematis exhibits intraspecific aggression. An investigation into dominance relationships among the 3 color morphs collected from Vina del Mar, Chile, during June 1980 revealed them to be equally aggressive. The outcomes of experimental contests appeared to reside solely with size-dependent differences in the threshold for the release of aggression.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A lack of assessment of opponent size during initial contact was observed. This is discussed in relation to the evolution of aggression in anemones and to the concept of evolutionarily stable strategies in contest behavior. Future work on the apparent size-dependent threshold will most instructively be conducted at the neurophysiological level.</t>
  </si>
  <si>
    <t>0025-3162</t>
  </si>
  <si>
    <t>1432-1793</t>
  </si>
  <si>
    <t>10.1007/BF00394084</t>
  </si>
  <si>
    <t>WOS:A1981MG93600010</t>
  </si>
  <si>
    <t>Pérez-Guisado, J; Muñoz-Serrano,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</si>
  <si>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</si>
  <si>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</si>
  <si>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</si>
  <si>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</si>
  <si>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</si>
  <si>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</si>
  <si>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Sternberg, K</t>
  </si>
  <si>
    <t>Colours, colour change, colour patterns and (Cuticular windows' as light traps - Their thermoregulatoric and ecological significance in some Aeshna species (Odonata: Aeshnidae)</t>
  </si>
  <si>
    <t>ZOOLOGISCHER ANZEIGER</t>
  </si>
  <si>
    <t>Male and female Aeshna caerulea, A. cyanea, A. juncea and A. mixta were illuminated with a halogen and a infrared lamp, and intraabdominal temperatures (T-abd), threshold temperatures of certain behaviours during warm-up (beginning eye-cleaning, wing-whirring and take off) and warm-up times were taken. Especially the two colour phases in male A. caerulea, which are able to perform physiological colour change, have been taken into account. Depending on colours and colour patterns T-abd varied in species and conspecific sexes. T-abd was only Little, if at all, affected by body mass. Abdominal heat gain was high in dull coloured abdominal segments (in females and male A. caerulea in dark colour phase) due to high light absorption, and low under Tyndall-blue spots (e. g. male A. caerulea in blue colour phase) due to high light reflection. The Tyndall-blue seems to effect as 'overheating-protector'. It is supposed that different diurnal activity patterns in females and conspecific males are mainly caused by body colours and colour patterns. In aeshnids pigments are situated in the epidermis and are visible only through translucent cuticular areas. Together with epidermal pigments, these 'cuticular windows' are conceived as light-traps maximizing the efficiency of incident light and limiting abdominal heat gain (heat protection) to certain spots only, e.g. to support the work of abdominal organs.</t>
  </si>
  <si>
    <t>0044-5231</t>
  </si>
  <si>
    <t>1-2</t>
  </si>
  <si>
    <t>WOS:A1996WG04900005</t>
  </si>
  <si>
    <t>Tamura, N; Fujii, Y; Boonkhaw, P; Prayoonc, U; Kanchanasaka, B</t>
  </si>
  <si>
    <t>Tamura, Noriko; Fujii, Yukiko; Boonkhaw, Phadet; Prayoonc, Umphornpimon; Kanchanasaka, Budsabong</t>
  </si>
  <si>
    <t>Colour vision in Finlayson's squirrel (Callosciurus finlaysonii): is conspicuous pelage colour useful for species recognition?</t>
  </si>
  <si>
    <t>TROPICAL ZOOLOGY</t>
  </si>
  <si>
    <t>Finlayson's squirrel, Callosciurus finlaysonii, is distributed in lowland forests throughout South-East Asia. Its pelage colour is conspicuous and polymorphic (red, black, white and a mixture of these colours), which is characteristic of the species, with 16 subspecies described based on pelage colour patterns. Two closely related species, the brown C. erythraeus and the orange C. caniceps, are also distributed throughout the region. To examine whether the conspicuous pelage colour is a visual clue for species/subspecies discrimination, we experimentally assessed the colour vision of C. finlaysonii. Optically measured pelage colours of the dorsal body differed greatly among seven subspecies of C. finlaysonii and also differed among the three species of the region. Colour vision tests revealed that C. finlaysonii can discriminate the colour of conspecific white, black, and red pelages from the orange pelages of C. caniceps. They can also discriminate the brown pelages of C. erythraeus and conspecific white and black pelages, but they cannot discriminate between the brown and red pelages because they have dichromatic colour vision. White, black and orange pelage colours could be useful clues for species/subspecies recognition in Callosciurus.</t>
  </si>
  <si>
    <t>0394-6975</t>
  </si>
  <si>
    <t>1970-9528</t>
  </si>
  <si>
    <t>10.1080/03946975.2017.1345471</t>
  </si>
  <si>
    <t>WOS:000407553100002</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</si>
  <si>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</si>
  <si>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</si>
  <si>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</si>
  <si>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</si>
  <si>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</si>
  <si>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Khan, MK; Herberstein, ME</t>
  </si>
  <si>
    <t>Khan, Md Kawsar; Herberstein, Marie E.</t>
  </si>
  <si>
    <t>Male-male interactions select for conspicuous male coloration in damselflies</t>
  </si>
  <si>
    <t>Male ornamentation, such as conspicuous male coloration, can evolve through female mate choice. Alternatively, in species without overt female mate preference, conspicuous male coloration can evolve as a badge of status via intrasexual selection to avoid costly fights or prevent mating attempts with other males. Here, we investigated the drivers of conspicuous male coloration in an ontogenetic colourchanging damselfly, Xanthagrion erythroneurum, where the juvenile males are yellow and change colour to red upon sexual maturity. We first showed that red males were chromatically and achromatically more conspicuous than the yellow males. We then quantified the condition of the males: red males were larger and in better condition than yellow males. We tested female preference in a choice experiment where we artificially manipulated male colour and found that females did not choose mates based on male coloration. We further tested whether the male coloration affected male-male interactions. We presented red and yellow males at the breeding site and measured behavioural responses from conspecific males and heterospecific (Ischnura heterosticta) males. Red males received less aggression from conspecifics and heterospecifics than yellow males. Our study experimentally showed that male conspicuousness is not a target of female mate choice in damselflies. Instead, intra- and interspecific male-male interactions appear to be the driver of its evolution. (c) 2021 The Association for the Study of Animal Behaviour. Published by Elsevier Ltd. All rights reserved.</t>
  </si>
  <si>
    <t>; Herberstein, Marie/D-2042-2011</t>
  </si>
  <si>
    <t>Khan, Md Kawsar/0000-0003-1795-1315; Herberstein, Marie/0000-0001-5071-2952</t>
  </si>
  <si>
    <t>10.1016/j.anbehav.2021.04.006</t>
  </si>
  <si>
    <t>MAY 2021</t>
  </si>
  <si>
    <t>WOS:000655320000013</t>
  </si>
  <si>
    <t>Bieri, E; Rubio, AO; Summers, K</t>
  </si>
  <si>
    <t>Bieri, Eli; Rubio, Andrew O.; Summers, Kyle</t>
  </si>
  <si>
    <t>Beyond color and pattern: elucidating the factors associated with intraspecific aggression in the mimic poison frog (Ranitomeya imitator)</t>
  </si>
  <si>
    <t>EVOLUTIONARY ECOLOGY</t>
  </si>
  <si>
    <t>Assortative or disassortative aggression - when individuals display more aggression towards conspecifics with similar or different phenotypic characteristics - can either maintain polymorphisms or facilitate gene flow between populations depending on which direction the aggression is aimed. Deciphering which factors elicit or prevent aggression is crucial to improving our knowledge of the origin and maintenance of reproductive barriers and subsequent speciation. The Peruvian mimic poison frog, Ranitomeya imitator, is a monogamous and territorial species that has evolved into four distinct color-pattern morphs in a mimetic radiation. Here we use historical landscape genetic data and competition trials between male individuals sourced from different populations and color-pattern morphs to show that the level of aggression between individuals is not associated with color morph or body size but rather with source population. Individuals spent more time in combat with individuals from their own deme (genetically homogeneous population), irrespective of color morph or size. These findings indicate that genotypic similarity is correlated with increased aggression in R. imitator, though the mechanism by which R. imitator males identify conspecifics as territorial threats remains unclear. As body size and color morph were not significantly associated with aggression levels, this study emphasizes the necessity of further research to identify whether other phenotypic traits are influencing territorial behavior between male frogs, and if these factors play a role in increasing gene flow, or conversely, the formation of reproductive barriers between populations.</t>
  </si>
  <si>
    <t>Rubio, Andrew/0000-0001-9273-4199; Bieri, Eli/0009-0002-5576-1045</t>
  </si>
  <si>
    <t>0269-7653</t>
  </si>
  <si>
    <t>1573-8477</t>
  </si>
  <si>
    <t>2024 JAN 25</t>
  </si>
  <si>
    <t>10.1007/s10682-023-10285-x</t>
  </si>
  <si>
    <t>JAN 2024</t>
  </si>
  <si>
    <t>WOS:001150340400001</t>
  </si>
  <si>
    <t>Yang, Y; Dugas, MB; Sudekum, HJ; Murphy, SN; Richards-Zawacki, CL</t>
  </si>
  <si>
    <t>Yang, Y.; Dugas, M. B.; Sudekum, H. J.; Murphy, S. N.; Richards-Zawacki, C. L.</t>
  </si>
  <si>
    <t>Male-male aggression is unlikely to stabilize a poison frog polymorphism</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</si>
  <si>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</si>
  <si>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 Richards-Zawacki, Corinne/F-2731-2011</t>
  </si>
  <si>
    <t>Yang, Yusan/0000-0003-2765-4197; Richards-Zawacki, Corinne/0000-0002-4212-041X</t>
  </si>
  <si>
    <t>10.1111/jeb.13243</t>
  </si>
  <si>
    <t>WOS:000426731400012</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</si>
  <si>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</si>
  <si>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</si>
  <si>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</si>
  <si>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De Bruyn, Luc/C-7030-2008; Stoks, Robby/AAK-1227-2020</t>
  </si>
  <si>
    <t>De Bruyn, Luc/0000-0002-8968-8862; Stoks, Robby/0000-0003-4130-0459</t>
  </si>
  <si>
    <t>WOS:000173034800009</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</si>
  <si>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</si>
  <si>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</si>
  <si>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</si>
  <si>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</si>
  <si>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</si>
  <si>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</si>
  <si>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0792-156X</t>
  </si>
  <si>
    <t>WOS:000296494000001</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</si>
  <si>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</si>
  <si>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</si>
  <si>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</si>
  <si>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</si>
  <si>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</si>
  <si>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Rose, Paul/AAY-2506-2020</t>
  </si>
  <si>
    <t>Rose, Paul/0000-0002-5375-8267</t>
  </si>
  <si>
    <t>0179-1613</t>
  </si>
  <si>
    <t>1439-0310</t>
  </si>
  <si>
    <t>10.1111/eth.13067</t>
  </si>
  <si>
    <t>JUN 2020</t>
  </si>
  <si>
    <t>WOS:000538660200001</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</si>
  <si>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</si>
  <si>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</si>
  <si>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</si>
  <si>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</si>
  <si>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</si>
  <si>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Grether, Gregory F./0000-0003-3441-0537</t>
  </si>
  <si>
    <t>10.1111/eth.12771</t>
  </si>
  <si>
    <t>WOS:000440649700006</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</si>
  <si>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</si>
  <si>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</si>
  <si>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</si>
  <si>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</si>
  <si>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Delhey, Kaspar/AAZ-5362-2020; Leitao, Ana/I-5863-2014</t>
  </si>
  <si>
    <t>Delhey, Kaspar/0000-0001-5190-5406; Leitao, Ana/0000-0001-5367-9158</t>
  </si>
  <si>
    <t>APR</t>
  </si>
  <si>
    <t>10.1016/j.anbehav.2019.01.025</t>
  </si>
  <si>
    <t>WOS:000463590000025</t>
  </si>
  <si>
    <t>Ruxton, GD; Broom, M; Colegrave, N</t>
  </si>
  <si>
    <t>Are unusually colored eggs a signal to potential conspecific brood parasites?</t>
  </si>
  <si>
    <t>It has previously been suggested that some species of birds make the last egg in their clutch pale as a signal to potential conspecific brood parasites that incubation has commenced. Here, we use game theory to show that the signaling function of pale eggs can be evolutionarily stable and resistant to cheating and to demonstrate that such a signal can only be maintained under strict conditions. The key conditions are, first, that there is a cost associated with the production of pale eggs (in particular, the cost of a pale egg produced early in the clutch must be more expensive than the cost of one produced later in the clutch) and, second, that the cost of making the last egg pale is not too great (relative to the costs of parasitism). We discuss the likelihood of these conditions being met in real systems and suggest empirical tests that would differentiate this theory from alternative nonadaptive explanations for pale eggs.</t>
  </si>
  <si>
    <t>Colegrave, Nick/F-3916-2010</t>
  </si>
  <si>
    <t>Broom, Mark/0000-0002-1698-5495</t>
  </si>
  <si>
    <t>10.1086/319319</t>
  </si>
  <si>
    <t>WOS:000167830600007</t>
  </si>
  <si>
    <t>Bruinjé,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</si>
  <si>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</si>
  <si>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</si>
  <si>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</si>
  <si>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Bruinjé, Andre/F-4011-2014; Costa, Gabriel C/A-4147-2008</t>
  </si>
  <si>
    <t>Bruinjé, Andre/0000-0003-1997-8247; Costa, Gabriel C/0000-0002-6777-6706</t>
  </si>
  <si>
    <t>10.1007/s00265-019-2673-0</t>
  </si>
  <si>
    <t>WOS:000467390400001</t>
  </si>
  <si>
    <t>Widmann, ME; van Elden, S; Meeuwig, JJ</t>
  </si>
  <si>
    <t>Widmann, Myriam E.; van Elden, Sean; Meeuwig, Jessica J.</t>
  </si>
  <si>
    <t>Colour change and colour phases in Lethrinidae with insights into ecology</t>
  </si>
  <si>
    <t>ECOLOGY AND EVOLUTION</t>
  </si>
  <si>
    <t>Colour change is used by a wide range of animals. It is used for intra- and interspecific communication and crypsis, and can occur on morphological and physiological levels. Bony fish employ rapid physiological colour change and display various types of patterns and colouration (colour phases) useful for aposematic and cryptic purposes. Using an existing database of benthic stereo-baited remote underwater video systems from two locations in Western Australia, we tested whether the frequency of colour phases of emperors, Lethrinidae, varied by species. We described colour phases and rapid physiological colour change in 16 species of lethrinids, and related occurrences of colour change to feeding activity and life stages. Dark and light colour phases were observed in nine of the 16 evaluated species of which seven also displayed physiological colour change. Frequency of colour phases varied between species, suggesting that the display of different dark patterns may be especially important for certain species. Both juveniles and adults showed the ability to change between different colour patterns. The change into a mottled pattern mainly occurred while feeding or when approaching to feed, suggesting that it may be triggered by feeding and the associated decrease in environmental awareness. Colour change is a commonly observed strategy in lethrinids and may have evolved as an adaptation for increased foraging success or to reduce aggression from conspecifics. Physiological colour change allows lethrinids to quickly adapt to various cues from the environment and can therefore be considered a versatile physiological mechanism in this family. We described colour phases and rapid physiological colour change in 16 species of lethrinids, and related occurrences of colour change to feeding activity. Our results showed that frequency of dark phases varied between species, that both juvenile and adult lethrinids showed the ability to change between different colour patterns and that the most common pattern (the mottled pattern) was often observed while feeding. Physiological colour change is a commonly observed strategy in lethrinids and is most likely driven by different mechanisms, including increased foraging success and reduced aggression from conspecifics.image</t>
  </si>
  <si>
    <t>van Elden, Sean/JDX-1504-2023</t>
  </si>
  <si>
    <t>van Elden, Sean/0000-0002-9089-5762</t>
  </si>
  <si>
    <t>2045-7758</t>
  </si>
  <si>
    <t>e10735</t>
  </si>
  <si>
    <t>10.1002/ece3.10735</t>
  </si>
  <si>
    <t>WOS:001114381400001</t>
  </si>
  <si>
    <t>BURLEY, N; KRANTZBERG, G; RADMAN, P</t>
  </si>
  <si>
    <t>INFLUENCE OF COLOR-BANDING ON THE CONSPECIFIC PREFERENCES OF ZEBRA FINCHES</t>
  </si>
  <si>
    <t>Male and female zebra finches are affected by the color of plastic leg bands worn by opposite-sex conspecifics. They find certain colors more attractive, and others less attractive, than the natural unbanded condition. Females prefer red-banded males over unbanded ones, and avoid light-blue and light-green banded males. Males prefer black and pink banded females and avoid those wearing light-blue or light-green bands.These findings may be useful in the study of mate choice in monogamous species; they also raise important questions about a widely used experimental technique.</t>
  </si>
  <si>
    <t>krantzberg, gail/A-5404-2008</t>
  </si>
  <si>
    <t>krantzberg, gail/0000-0002-2660-7770</t>
  </si>
  <si>
    <t>10.1016/S0003-3472(82)80055-9</t>
  </si>
  <si>
    <t>WOS:A1982NQ92800014</t>
  </si>
  <si>
    <t>Tyers, AM; Cooke, GM; Turner, GF</t>
  </si>
  <si>
    <t>Tyers, Alexandra M.; Cooke, Gavan M.; Turner, George F.</t>
  </si>
  <si>
    <t>Rare morph Lake Malawi mbuna cichlids benefit from reduced aggression from con- and hetero-specifics</t>
  </si>
  <si>
    <t>Balancing selection is important for the maintenance of polymorphism as it can prevent either fixation of one morph through directional selection or genetic drift, or speciation by disruptive selection. Polychromatism, the presence of multiple genetically determined colour phenotypes, can be maintained if the fitness of alternative morphs depends on the relative frequency in a population. In aggressive species, negative frequency-dependent antagonism can prevent an increase in the frequency of rare morphs as they would only benefit from increased fitness while they are rare. Heterospecific aggression is common in nature and has the potential to contribute to rare morph advantage. Here we carry out field observations and laboratory aggression experiments with mbuna cichlids from Lake Malawi, to investigate the role of con- and heterospecific aggression in the maintenance of polychromatism and identify benefits to rare morphs which are likely to result from reduced aggression. We hypothesize that rare morph individuals receive less aggression than common morph individuals and therefore have an ecological advantage. Within species we found that males and females bias aggression towards their own morph, adding to the evidence that inherent own-morph aggression biases can contribute to balancing selection. Over-representation of rare morph territory owners may be influenced by two factors; higher tolerance of different morph individuals as neighbours, and the ability of rare morphs to spend more time feeding. Reduced aggression to rare morph individuals by heterospecifics may also contribute to rare morph advantage.</t>
  </si>
  <si>
    <t>Tyers, Alexandra Morton/0000-0002-1153-1347</t>
  </si>
  <si>
    <t>10.1111/jeb.13929</t>
  </si>
  <si>
    <t>SEP 2021</t>
  </si>
  <si>
    <t>WOS:000698957000001</t>
  </si>
  <si>
    <t>TAYLOR, GT; BARTKO, G; FARR, S</t>
  </si>
  <si>
    <t>GONADAL-HORMONES AND CONSPECIFIC MARKING IN MALE-RATS</t>
  </si>
  <si>
    <t>Urine deposited by a rat on a conspecific was quantified with injections of sodium fluorescein, a substance that changes the color of urine. The hypothesis examined in experiment 1 was that marking the environment and a conspecific would be similarly androgen-sensitive behaviors during each of three stages.sbd.before castration, after castration, and with restorative therapy with testosterone propionate. Findings were that castration reduced both forms of marking, and testosterone therapy to castrated males restored environmental marking in a dose-response fashion. However, the findings for social marking were more complex; for example, a physiological 200-.mu.g testosterone dosage to castrated males was unable to elevate conspecific marking over the rates of marking by castrates without testosterone replacement. In experiment 2 the ontogeny conspecific marking in juvenile males was examined in relation to the pubertal surge of androgens. Results suggested that juvenile male marking of an adult male decreased despite a pubertal increase of androgens. Conclusions were that testicular hormones influenced both forms of marking but were less important in the social setting. Moreover, conspecific marking is not simply an extension of marking the environment.</t>
  </si>
  <si>
    <t>10.1016/0018-506X(87)90048-1</t>
  </si>
  <si>
    <t>WOS:A1987H984200009</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</si>
  <si>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</si>
  <si>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</si>
  <si>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</si>
  <si>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</si>
  <si>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</si>
  <si>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</si>
  <si>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</si>
  <si>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MARTINEZ, M; GUILLENSALAZAR, F; SALVADOR, A; SIMON, VM</t>
  </si>
  <si>
    <t>SUCCESSFUL INTERMALE AGGRESSION AND CONDITIONED PLACE PREFERENCE IN MICE</t>
  </si>
  <si>
    <t>PHYSIOLOGY &amp; BEHAVIOR</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</si>
  <si>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</si>
  <si>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</si>
  <si>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Martinez, Manuela/0000-0003-1343-7394; Salvador, Alicia/0000-0002-8686-8083; Guillen-Salazar, Federico/0000-0002-7447-9697</t>
  </si>
  <si>
    <t>0031-9384</t>
  </si>
  <si>
    <t>10.1016/0031-9384(95)00061-M</t>
  </si>
  <si>
    <t>WOS:A1995RH18300016</t>
  </si>
  <si>
    <t>Segev, O</t>
  </si>
  <si>
    <t>Segev, Ori</t>
  </si>
  <si>
    <t>EFFECTS OF BACKGROUND COLOR AND PREDATION RISK ON COLOR CHANGE IN FIRE SALAMANDER LARVAE</t>
  </si>
  <si>
    <t>ISRAEL JOURNAL OF ECOLOGY &amp; EVOLUTION</t>
  </si>
  <si>
    <t>The threat-sensitivity hypothesis assumes individuals should demonstrate flexibility in response to perceived predation risk and vary the intensity of anti-predator responses in concert with perceived risk of predation. Substrate color matching is adaptive as it enables organisms to become less conspicuous to both their prey and predators. I hypothesized that newborn fire salamander (Salamandra infraimmaculata) larvae will respond fast through physiological color change to contrasting backgrounds, becoming lighter against a white background and darker against a black background. Additionally, in accordance with the threat-sensitivity hypothesis, I expected a background color x predator interaction-i.e., that predator presence will further enhance the focal larvae color-matching response. To explicitly test these hypotheses I conducted a replicated outdoor mesocosm experiment. I used a two-by-two factorial design: pools of black or white background color crossed with the presence or absence of a larger cannibalistic conspecific. Digital photos of the focal larvae's dorsal view revealed that larval brightness and chroma changed accordingly against the contrasting black and white backgrounds to increase background matching. Although not statistically significant, larvae tended to show a stronger color-change response towards enhanced background matching in the presence of the free predator. Larval survival was strongly reduced in the presence of the larger conspecific, with no apparent effect of background color. This study demonstrates that Salamandra larvae are capable of environmentally induced physiological color change and highlights the need for further investigation into the interplay between threat intensity, mechanisms of risk assessment, and physiological antipredator responses.</t>
  </si>
  <si>
    <t>1565-9801</t>
  </si>
  <si>
    <t>2224-4662</t>
  </si>
  <si>
    <t>10.1560/IJEE.55.4.359</t>
  </si>
  <si>
    <t>WOS:000281916500005</t>
  </si>
  <si>
    <t>ENDLER, JA</t>
  </si>
  <si>
    <t>ON THE MEASUREMENT AND CLASSIFICATION OF COLOR IN STUDIES OF ANIMAL COLOR PATTERNS</t>
  </si>
  <si>
    <t>In studies of animal colouration it is no longer necessary to rely on subjective assessments of colour and conspicuousness, nor on methods which rely upon human vision. This is important because animals vary greatly in colour vision and colour is context-dependent. New methods make it practical to measure the colour spectrum of pattern elements (patches) of animals and their visual backgrounds for the conditions under which patch spectra reach the conspecific''s, predator''s or prey''s eyes. These methods can be used in both terrestrial and aquatic habitats. A patch''s colour is dependent not only upon its reflectance spectrum, but also upon the ambient light spectrum, the transmission properties of air or water, and the veiling light spectrum. These factors changes with time of day, weather, season and microhabitat, so colours must be measured under the conditions prevalent when colour patterns are normally used. Methods of measuring, classifying and comparing colours are presented, as well as techniques for assessing the conspicuousness of colour patterns as a whole. Some implications of the effect of environmental light and vision are also discussed.</t>
  </si>
  <si>
    <t>Endler, John A/B-6659-2009</t>
  </si>
  <si>
    <t>Endler, John A/0000-0002-7557-7627</t>
  </si>
  <si>
    <t>10.1111/j.1095-8312.1990.tb00839.x</t>
  </si>
  <si>
    <t>WOS:A1990EQ25300002</t>
  </si>
  <si>
    <t>Titone, V; Marsiglia, F; Mangiacotti, M; Sacchi, R; Scali, S; Zuffi, MAL</t>
  </si>
  <si>
    <t>Titone, V.; Marsiglia, F.; Mangiacotti, M.; Sacchi, R.; Scali, S.; Zuffi, M. A. L.</t>
  </si>
  <si>
    <t>Better to be resident, larger or coloured? Experimental analysis on intraspecific aggression in the ruin lizard</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</si>
  <si>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</si>
  <si>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Mangiacotti, Marco/AAZ-9550-2021; Zuffi, Marco A.L./J-6974-2013; SACCHI, ROBERTO/E-2141-2011; Zuffi, Marco Alberto Luca/O-8945-2014</t>
  </si>
  <si>
    <t>Mangiacotti, Marco/0000-0001-7144-3851; SACCHI, ROBERTO/0000-0002-6199-0074; Zuffi, Marco Alberto Luca/0000-0003-1710-9929</t>
  </si>
  <si>
    <t>10.1111/jzo.12524</t>
  </si>
  <si>
    <t>WOS:000429420900005</t>
  </si>
  <si>
    <t>BRACE, RC; PAVEY, J; QUICKE, DLJ</t>
  </si>
  <si>
    <t>INTRASPECIFIC AGGRESSION IN THE COLOR MORPHS OF THE ANEMONE ACTINIA-EQUINA - CONVENTION GOVERNING DOMINANCE RANKING</t>
  </si>
  <si>
    <t>The aggressive behavior of red-brown and green Actinia individuals during intra- and inter-color morph encounters staged in the laboratory is described. By considering the colors and relative sizes of the opponents, the outcomes of contests are predictable to the observer. Red-brown anemones were highly aggressive. Larger individuals attacked before smaller components and subsequently won encounters. A variable threshold for aggression appears to underlie this difference; an attempt to correlate threshold with absolute size was only partially successful. Using the results of many encounters, it is possible to establish a branching and overlapping dominance hierarchy among red-brown anemones. Green individuals were less aggressive and predominantly lost contests with red-brown anemones.</t>
  </si>
  <si>
    <t>Quicke, Donald LJ/I-5948-2012</t>
  </si>
  <si>
    <t>+</t>
  </si>
  <si>
    <t>10.1016/0003-3472(79)90190-8</t>
  </si>
  <si>
    <t>WOS:A1979HE66900025</t>
  </si>
  <si>
    <t>Deckel, AW; Fuqua, L</t>
  </si>
  <si>
    <t>Effects of serotonergic drugs on lateralized aggression and aggressive displays in Anolis carolinensis</t>
  </si>
  <si>
    <t>BEHAVIOURAL BRAIN RESEARCH</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</si>
  <si>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</si>
  <si>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0166-4328</t>
  </si>
  <si>
    <t>1872-7549</t>
  </si>
  <si>
    <t>10.1016/S0166-4328(98)00048-5</t>
  </si>
  <si>
    <t>WOS:000076619000008</t>
  </si>
  <si>
    <t>Kolluru, GR; Akky, YJ; Weissman, A; Poore, H; Weiner, D; Earley, RL</t>
  </si>
  <si>
    <t>Kolluru, Gita R.; Akky, Yasmine J.; Weissman, Alana; Poore, Hilary; Weiner, Dana; Earley, Ryan L.</t>
  </si>
  <si>
    <t>Cross-context behavioural correlations and signals of aggression in females of a livebearing fish</t>
  </si>
  <si>
    <t>Behaviours can be adaptively correlated with each other and with other aspects of phenotype. We investigated behaviour across foraging, mating, and risk contexts in females of the poeciliid fish, Girardinus metallicus. We quantified relationships between these behaviours and aggression signals, body size, and reproductive output. Behaviours describing aggression and boldness, some of which were repeatable, were correlated in females. Aggression was signalled by the darkening of a black spot on the extended dorsal fin or by fin flaring. Spot darkening occurred during intra- and intersexual interactions and was positively correlated with interfemale aggression and negatively correlated with the time females spent following males, suggesting that it is an honest indicator of motivational state. In contrast, fin flaring was directed only at females and occurred more frequently in the foraging context. Larger females had fewer offspring and received fewer courtship displays, possibly because they were more aggressive to males. In contrast to studies of males, we found a negative relationship between rank order of boldness and aggression, consistent with either a trade-off or with selection favouring the negative relationship. Our results highlight the importance of studying females in model systems to uncover novel patterns and potentially meaningful departures from what is typically seen in males.</t>
  </si>
  <si>
    <t>2024 MAR 4</t>
  </si>
  <si>
    <t>10.1093/biolinnean/blae006</t>
  </si>
  <si>
    <t>MAR 2024</t>
  </si>
  <si>
    <t>WOS:001178186000001</t>
  </si>
  <si>
    <t>Son, SJ; Kim, JS; Lee, JW; Nam, KB; Yoo, JC</t>
  </si>
  <si>
    <t>Son, Seok-Jun; Kim, Ji-Sub; Lee, Jin-Won; Nam, Ki-Baek; Yoo, Jeong-Chil</t>
  </si>
  <si>
    <t>Rejection of conspecific eggs associated with the appearance of eggs, in the Azure-winged Magpie Cyanopica cyanus in Korea</t>
  </si>
  <si>
    <t>ORNITHOLOGICAL SCIENCE</t>
  </si>
  <si>
    <t>Avian brood parasitism is a reproductive strategy in which a parasitic species lays its eggs in the nests of a host. In response to parasitism, hosts have evolved various defence strategies. One of the host defences against intraspecific and interspecific brood parasitism is to distinguish parasitic eggs based on intraclutch variation in egg appearance. Hosts can improve their ability to discriminate parasitic eggs by lowering the degree of their intraclutch variation in egg appearance. Therefore, intraclutch variation may affect the egg rejection behaviour of hosts. In this study, we conducted experiments to study egg recognition and rejection behavior for mimetic eggs in Azure-winged Magpies Cyanopica cyanus in Korea. We also investigated the level of variation in egg appearance (egg color, spottiness and volume) in order to explore whether the degree of this variation is associated with the rejection decision. We found that there were no differences in egg coloration or spottiness between the rejecter and accepter. However, we found that intraclutch egg volume variation in rejecters was significantly lower than that in accepters, indicating that the Azure-winged Magpie is likely to recognize its own eggs by lowering its intraclutch variation in egg volume as a defensive strategy against brood parasitism. This study suggests that the Azure-winged Magpie use not the differences in egg coloration but egg volume to discriminate and reject closely mimetic conspecific eggs.</t>
  </si>
  <si>
    <t>1347-0558</t>
  </si>
  <si>
    <t>WOS:000752459100006</t>
  </si>
  <si>
    <t>Nettle, D; Cronin, KA; Bateson, M</t>
  </si>
  <si>
    <t>Nettle, Daniel; Cronin, Katherine A.; Bateson, Melissa</t>
  </si>
  <si>
    <t>Responses of chimpanzees to cues of conspecific observation</t>
  </si>
  <si>
    <t>Recent evidence has shown that humans are remarkably sensitive to artificial cues of conspecific observation when making decisions with potential social consequences. Whether similar effects are found in other great apes has not yet been investigated. We carried out two experiments in which individual chimpanzees, Pan troglodytes, took items of food from an array in the presence of either an image of a large conspecific face or a scrambled control image. In experiment 1 we compared three versions of the face image varying in size and the amount of the face displayed. In experiment 2 we compared a fourth variant of the image with more prominent coloured eyes displayed closer to the focal chimpanzee. The chimpanzees did not look at the face images significantly more than at the control images in either experiment. Although there were trends for some individuals in each experiment to be slower to take high-value food items in the face conditions, these were not consistent or robust. We suggest that the extreme human sensitivity to cues of potential conspecific observation may not be shared with chimpanzees. (C) 2013 The Authors. Published on behalf of The Association for the Study of Animal Behaviour by Elsevier Ltd. All rights reserved.</t>
  </si>
  <si>
    <t>Bateson, Melissa/AAE-7075-2022; Nettle, Daniel/B-2259-2008; Bateson, Melissa/B-1874-2008</t>
  </si>
  <si>
    <t>Bateson, Melissa/0000-0002-0861-0191; Bateson, Melissa/0000-0002-0861-0191; Nettle, Daniel/0000-0001-9089-2599</t>
  </si>
  <si>
    <t>10.1016/j.anbehav.2013.06.015</t>
  </si>
  <si>
    <t>WOS:000323944200016</t>
  </si>
  <si>
    <t>Caves, EM; Frank, TM; Johnsen, S</t>
  </si>
  <si>
    <t>Caves, Eleanor M.; Frank, Tamara M.; Johnsen, Soenke</t>
  </si>
  <si>
    <t>Spectral sensitivity, spatial resolution and temporal resolution and their implications for conspecific signalling in cleaner shrimp</t>
  </si>
  <si>
    <t>JOURNAL OF EXPERIMENTAL BIOLOGY</t>
  </si>
  <si>
    <t>Cleaner shrimp (Decapoda) regularly interact with conspecifics and client reef fish, both of which appear colourful and finely patterned to human observers. However, whether cleaner shrimp can perceive the colour patterns of conspecifics and clients is unknown, because cleaner shrimp visual capabilities are unstudied. We quantified spectral sensitivity and temporal resolution using electroretinography (ERG), and spatial resolution using both morphological (inter-ommatidial angle) and behavioural (optomotor) methods in three cleaner shrimp species: Lysmata amboinensis, Ancylomenes pedersoni and Urocaridella antonbruunii. In all three species, we found strong evidence for only a single spectral sensitivity peak of (mean +/- s.e.m.) 518 +/- 5, 518 +/- 2 and 533 +/- 3 nm, respectively. Temporal resolution in dark-adapted eyes was 39 +/- 1.3, 36 +/- 0.6 and 34 +/- 1.3 Hz. Spatial resolution was 9.9 +/- 0.3, 8.3 +/- 0.1 and 11 +/- 0.5 deg, respectively, which is low compared with other compound eyes of similar size. Assuming monochromacy, we present approximations of cleaner shrimp perception of both conspecifics and clients, and show that cleaner shrimp visual capabilities are sufficient to detect the outlines of large stimuli, but not to detect the colour patterns of conspecifics or clients, even over short distances. Thus, conspecific viewers have probably not played a role in the evolution of cleaner shrimp appearance; rather, further studies should investigate whether cleaner shrimp colour patterns have evolved to be viewed by client reef fish, many of which possess triand tetra-chromatic colour vision and relatively high spatial acuity.</t>
  </si>
  <si>
    <t>Frank, Tamara/W-8662-2019; Caves, Eleanor/G-9958-2015</t>
  </si>
  <si>
    <t>Caves, Eleanor/0000-0003-3497-5925</t>
  </si>
  <si>
    <t>0022-0949</t>
  </si>
  <si>
    <t>1477-9145</t>
  </si>
  <si>
    <t>FEB 1</t>
  </si>
  <si>
    <t>10.1242/jeb.122275</t>
  </si>
  <si>
    <t>WOS:000370238000021</t>
  </si>
  <si>
    <t>Yong, LX; Lee, B; Mckinnon, JS</t>
  </si>
  <si>
    <t>Yong, Lengxob; Lee, Brittney; Mckinnon, Jeffrey S.</t>
  </si>
  <si>
    <t>Variation in female aggression in 2 three-spined stickleback populations with female throat and spine coloration</t>
  </si>
  <si>
    <t>CURRENT ZOOLOGY</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</si>
  <si>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</si>
  <si>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Yong, Lengxob/0000-0002-7459-4863</t>
  </si>
  <si>
    <t>1674-5507</t>
  </si>
  <si>
    <t>2396-9814</t>
  </si>
  <si>
    <t>10.1093/cz/zoy020</t>
  </si>
  <si>
    <t>WOS:000436421000011</t>
  </si>
  <si>
    <t>Owen, RE; Whidden, TL; Plowright, RC</t>
  </si>
  <si>
    <t>Owen, Robin E.; Whidden, Troy L.; Plowright, R. C.</t>
  </si>
  <si>
    <t>Genetic and morphometric evidence for the conspecific status of the bumble bees, Bombus melanopygus and Bombus edwardsii</t>
  </si>
  <si>
    <t>JOURNAL OF INSECT SCIENCE</t>
  </si>
  <si>
    <t>The taxonomic status of closely related bumble bee species is often unclear. The relationship between the two nominate taxa, Bombus melanopygus Nylander (Hymenoptera: Apidae) and Bombus edwardsii Cresson (Hymenoptera: Apidae), was investigated using genetic (enzyme electrophoretic) and morphometric analyses. The taxa differ in the color of the abdominal terga two and three, being ferruginous in B. melanopygus and black in B. edwardsii. B. edwardsii occurs throughout California, while B. melanopygus extends north through Oregon, to Alaska and Canada. They are sympatric only in southern Oregon and northern California. The taxonomic status of these taxa was questioned when Owen and Plowright (1980) reared colonies from queens collected in the area of sympatry, and discovered that pile coloration was due to a single, biallelic Mendelian gene, with the red (R) allele dominant to the black (r). Here it is shown that all the taxa, whether from California, Oregon, or Alberta, have the same electrophoretic profile and cannot be reliably distinguished by wing morphometrics. This strongly supports the conclusion that B. melanopygus and B. edwardsii are conspecific and should be synonymized under the name B. melanopygus. Hence, there is a gene frequency cline running from north to south, where the red allele is completely replaced by the black allele over a distance of about 600 km.</t>
  </si>
  <si>
    <t>1536-2442</t>
  </si>
  <si>
    <t>JUL 13</t>
  </si>
  <si>
    <t>10.1673/031.010.10901</t>
  </si>
  <si>
    <t>WOS:000280095500007</t>
  </si>
  <si>
    <t>Batabyal, A; Thaker, M</t>
  </si>
  <si>
    <t>Batabyal, Anuradha; Thaker, Maria</t>
  </si>
  <si>
    <t>Lizards assess complex social signals by lateralizing colour but not motion detection</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</si>
  <si>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</si>
  <si>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</si>
  <si>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 Thaker, Maria/0000-0001-6019-2639</t>
  </si>
  <si>
    <t>jeb173252</t>
  </si>
  <si>
    <t>10.1242/jeb.173252</t>
  </si>
  <si>
    <t>WOS:000427353100021</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</si>
  <si>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</si>
  <si>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</si>
  <si>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</si>
  <si>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</si>
  <si>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</si>
  <si>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Serpell, Jonathan/K-7389-2019</t>
  </si>
  <si>
    <t>1558-7878</t>
  </si>
  <si>
    <t>1878-7517</t>
  </si>
  <si>
    <t>MAY-JUN</t>
  </si>
  <si>
    <t>10.1016/j.jveb.2016.03.009</t>
  </si>
  <si>
    <t>WOS:000378094700013</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</si>
  <si>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</si>
  <si>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</si>
  <si>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</si>
  <si>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ZOOLOGY</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</si>
  <si>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</si>
  <si>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Volpato, Gilson L/B-2304-2008; Sanches, Fabio H C/K-3526-2013; Barreto, Rodrigo E/A-3440-2013; Costa, Tania M/C-8066-2012; Costa, Tânia Marcia/AAC-6750-2019; Colpo, Karine Delevati/D-7224-2012; Miyai, Caio/J-7498-2013</t>
  </si>
  <si>
    <t>Sanches, Fabio H C/0000-0002-1105-4894; Costa, Tania M/0000-0003-0230-8431; Costa, Tânia Marcia/0000-0003-0230-8431; Colpo, Karine/0000-0003-4513-8620; Miyai, Caio/0000-0002-6116-3159</t>
  </si>
  <si>
    <t>0944-2006</t>
  </si>
  <si>
    <t>10.1016/j.zool.2011.07.001</t>
  </si>
  <si>
    <t>WOS:000297909600003</t>
  </si>
  <si>
    <t>Tenan, S; Fasola, M; Volponi, S; Tavecchia, G</t>
  </si>
  <si>
    <t>Tenan, Simone; Fasola, Mauro; Volponi, Stefano; Tavecchia, Giacomo</t>
  </si>
  <si>
    <t>Conspecific and not performance-based attraction on immigrants drives colony growth in a waterbird</t>
  </si>
  <si>
    <t>JOURNAL OF ANIMAL ECOLOGY</t>
  </si>
  <si>
    <t>1. Local recruitment and immigration play an important part in the dynamics and growth of animal populations. However, their estimation and incorporation into open population models is, in most cases, problematic. We studied factors affecting the growth of a recently established colony of Eurasian spoonbill (Platalea leucorodia) and assessed the contribution of local recruits, i.e. birds born in the colony, and immigrants, i.e. birds of unknown origin, to colony growth. 2. We applied an integrated population model that accounts for uncertainty in breeding state assignment and merges population surveys, local fecundity and individual longitudinal data of breeding and non-breeding birds, to estimate demographic rates and the relative role of recruitment and immigration in driving the local dynamics. We also used this analytical framework to assess the degree of support for the 'performance-based' and 'conspecific attraction' hypotheses as possible mechanisms of colony growth. 3. Among the demographic rates, only immigration was positively and significantly correlated with population growth rate. In addition, the number of immigrants settling in the colony was positively correlated with colony size in the previous and current year, but was not correlated with fecundity of the previous year. 4. Our results suggest that the variation in immigration affected colony dynamics and that conspecific attraction likely triggered the relevant role of immigration in the growth of a recently formed waterbird colony, supporting the need of including immigration in population analysis.</t>
  </si>
  <si>
    <t>Volponi, Stefano/ABA-1869-2020; Tavecchia, Giacomo/N-3961-2014; Tenan, Simone/N-5246-2014</t>
  </si>
  <si>
    <t>Volponi, Stefano/0000-0002-7471-2268; Tavecchia, Giacomo/0000-0001-5435-2691; Tenan, Simone/0000-0001-5055-9193</t>
  </si>
  <si>
    <t>0021-8790</t>
  </si>
  <si>
    <t>1365-2656</t>
  </si>
  <si>
    <t>10.1111/1365-2656.12690</t>
  </si>
  <si>
    <t>WOS:000407320500010</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</si>
  <si>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</si>
  <si>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</si>
  <si>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</si>
  <si>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</si>
  <si>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 RY/C-8883-2009</t>
  </si>
  <si>
    <t>10.1016/j.beproc.2017.01.017</t>
  </si>
  <si>
    <t>WOS:000400878800007</t>
  </si>
  <si>
    <t>Kamilar, JM; Heesy, CP; Bradley, BJ</t>
  </si>
  <si>
    <t>Kamilar, Jason M.; Heesy, Christopher P.; Bradley, Brenda J.</t>
  </si>
  <si>
    <t>Did Trichromatic Color Vision and Red Hair Color Coevolve in Primates?</t>
  </si>
  <si>
    <t>AMERICAN JOURNAL OF PRIMATOLOGY</t>
  </si>
  <si>
    <t>Reddish pelage and red hair ornaments have evolved many times, independently, during primate evolution. It is generally assumed that these red-coat phenotypes, like red skin phenotypes, play a role in sociosexual signaling and, thus evolved in tandem with conspecific color vision. This study examines the phylogenetic distribution of color vision and pelage coloration across the primate order to ask: (1) did red pelage and trichromacy coevolve; or (2) did trichromacy evolve first, and then subsequently red pelage evolved as an exaptation? We collected quantitative, color-corrected photographic color data for 142 museum research skins from 92 species representing 41 genera spanning all major primate lineages. For each species, we quantified the ratio of Red/Green values (from a RGB color model) at 20 anatomical landmarks. For these same species, we compiled data on color vision type (routine trichromatic, polymorphic, routine dichromatic, monochromatic) and data on variables that potentially covary with visual system (VS) and coloration, including activity pattern and body mass dimorphism (proxy for sexual selection). We also considered whether the long-term storage of research skins might influence coloration. Therefore, we included the time since the specimen was collected as an additional predictor. Analyzing the data with phylogenetic generalized least squares models, we found that the amount of red hair present in primates is associated with differences in VSs, but not in the direction expected. Surprisingly, trichromatic primate species generally exhibited less red hair compared to red-green colorblind species. Thus, our results do not support the general assumption that color vision and red pelage coloration are a coevolutionary product of sociosexual signaling in primates. In addition, we did not find an effect of activity pattern, body mass dimorphism, or time since collection on the redness of primate hair. Our results have important implications for the evolution of primate coloration and visual systems. Am. J. Primatol. 75:740-751, 2013. (c) 2012 Wiley Periodicals, Inc.</t>
  </si>
  <si>
    <t>Heesy, Christopher P./AAP-8737-2021; Kamilar, Jason M/E-1990-2011</t>
  </si>
  <si>
    <t>Heesy, Christopher P./0000-0003-1258-2506; Kamilar, Jason/0000-0001-6082-9396</t>
  </si>
  <si>
    <t>0275-2565</t>
  </si>
  <si>
    <t>1098-2345</t>
  </si>
  <si>
    <t>SI</t>
  </si>
  <si>
    <t>10.1002/ajp.22099</t>
  </si>
  <si>
    <t>WOS:000319001000009</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</si>
  <si>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</si>
  <si>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</si>
  <si>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</si>
  <si>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</si>
  <si>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Zhao, Sheng/K-4190-2012; Robison, Rex/B-4174-2008</t>
  </si>
  <si>
    <t>Robison, Rex/0000-0002-6885-5051</t>
  </si>
  <si>
    <t>10.1016/j.yhbeh.2008.05.006</t>
  </si>
  <si>
    <t>WOS:000258812900017</t>
  </si>
  <si>
    <t>Omar, DC</t>
  </si>
  <si>
    <t>Omar, Dominguez-Castanedo</t>
  </si>
  <si>
    <t>Intra-sexual selection in a North American annual killifish: does the color-polymorphism matter?</t>
  </si>
  <si>
    <t>ACTA ETHOLOGICA</t>
  </si>
  <si>
    <t>The decision to escalate aggression in a contest is based on the assessment of oneself and the opponent's capabilities, previous experiences and the asymmetries between contenders. Interestingly, there is increasing evidence that color polymorphism may also influence the result in a contest during agonistic encounters. Therefore, this research aimed to analyze, for the first time, the intra-sexual competition of adult males of the Mexican Rivulus Millerichthys robustus, testing the influence of color polymorphic variations during agonistic contests. The results of this study suggest that the aggressiveness between morphotypes is of orange and red over yellow. The orange morph was related to winning the greatest number of encounters, whereas yellow lost the most. The red morpho registered the greatest number of ties. Interestingly, in contests between more aggressive morphs (orange and red), fish tended to modulate and lower aggressiveness levels, possibly to avoid injuries. In contrast, the least aggressive morphotype (yellow) tended to raise its aggressiveness against the most successful morphotype and lower it in matches against its own color, changing to a scheme between contenders with symmetrical aggression levels. These results suggest that differential aggression between morphotypes can influence the evolution of color polymorphism in M. robustus, differentially influencing the fitness of the individuals.</t>
  </si>
  <si>
    <t>Dominguez-Castanedo, Omar/0000-0002-3017-5114</t>
  </si>
  <si>
    <t>0873-9749</t>
  </si>
  <si>
    <t>1437-9546</t>
  </si>
  <si>
    <t>2024 JUL 23</t>
  </si>
  <si>
    <t>10.1007/s10211-024-00444-w</t>
  </si>
  <si>
    <t>JUL 2024</t>
  </si>
  <si>
    <t>WOS:001274807200001</t>
  </si>
  <si>
    <t>Yewers, MS; Jessop, TS; Stuart-Fox, D</t>
  </si>
  <si>
    <t>Yewers, Madeleine St Clair; Jessop, Tim S.; Stuart-Fox, Devi</t>
  </si>
  <si>
    <t>Endocrine differences among colour morphs in a lizard with alternative behavioural strategies</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</si>
  <si>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</si>
  <si>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</si>
  <si>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Stuart-Fox, Devi/0000-0003-3362-1412; Jessop, Tim S./0000-0002-7712-4373</t>
  </si>
  <si>
    <t>10.1016/j.yhbeh.2017.05.001</t>
  </si>
  <si>
    <t>WOS:000407528300014</t>
  </si>
  <si>
    <t>Frédérich, B; Mills, SC; Denoël, M; Parmentier, E; Brié, C; Santos, R; Waqalevu, VP; Lecchini, D</t>
  </si>
  <si>
    <t>Frederich, Bruno; Mills, Suzanne C.; Denoel, Mathieu; Parmentier, Eric; Brie, Christophe; Santos, Raphael; Waqalevu, Viliame Pita; Lecchini, David</t>
  </si>
  <si>
    <t>Colour differentiation in a coral reef fish throughout ontogeny: habitat background and flexibility</t>
  </si>
  <si>
    <t>AQUATIC BIOLOGY</t>
  </si>
  <si>
    <t>Colour polymorphism is widespread in animals but, in contrast to other types of polymorphism, has been little explored during ontogeny. Among coral reef fish, the surge damselfish Chrysiptera leucopoma settles in the larval stage as a yellow morph, whereas 2 colour morphs (yellow and brown) are apparent in adults at Rangiroa Atoll, French Polynesia. To understand this dimorphism, we tested, under controlled conditions, the hypotheses that: (1) environmental cues (habitat background and conspecific density) play important roles in morph differentiation during ontogeny and (2) morph colouration is reversible. Our first experiment showed that a dark habitat background induced the formation of the brown morph, while C. leucopoma larvae kept their yellow morph when placed in aquaria with a bright habitat background. Colour change from yellow to brown also occurred within the bright habitat, but only at high conspecific densities. Our second experiment showed that colour change was reversible within 15 d post-settlement, but not at the adult stage. Overall, our results highlighted that the studied polymorphism may be environmentally induced and reversible during the first post-settlement days of this coral reef fish.</t>
  </si>
  <si>
    <t>Mills, Suzanne/K-5538-2012; Parmentier, Eric/P-9733-2018</t>
  </si>
  <si>
    <t>Mills, Suzanne/0000-0001-8948-3384; Parmentier, Eric/0000-0002-0391-7530; Santos, Raphael/0000-0002-4800-5180; Denoel, Mathieu/0000-0002-3586-8323; Frederich, Bruno/0000-0003-3438-0243</t>
  </si>
  <si>
    <t>1864-7790</t>
  </si>
  <si>
    <t>1864-7782</t>
  </si>
  <si>
    <t>10.3354/ab00257</t>
  </si>
  <si>
    <t>WOS:000278977700007</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</si>
  <si>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</si>
  <si>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</si>
  <si>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</si>
  <si>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</si>
  <si>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</si>
  <si>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</si>
  <si>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</si>
  <si>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</si>
  <si>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Color as an Interspecific Badge of Status: A Comparative Test</t>
  </si>
  <si>
    <t>Animals as diverse as cephalopods, insects, fish, and mammals signal social dominance to conspecifics to avoid costly fights. Even though between-species fights may be equally costly, the extent to which dominance signals are used between species is unknown. Here, we test the hypothesis that differences in color are associated with dominance between closely related species that aggressively interact over resources, examining between-species variation in colors that are used in within-species badges of status (black, white, and carotenoid coloration) in a comparative analysis of diverse species of birds. We found that dominant species have more black, on average, than subordinate species, particularly in regions important for aggressive signaling (face, throat, and bill). Furthermore, dominant species were more likely to have more black in comparisons in which the dominant species was similar in size or smaller than the subordinate, suggesting that black may be a more important signal when other signals of dominance (size) are missing. Carotenoid colors (i.e., red, pink, orange, and yellow) were not generally associated with dominance but may signal dominance in some taxonomic groups. White may have opposing functions: white was associated with dominance in species in which black was also associated with dominance but was associated with subordinance in species in which carotenoid-based dominance signals may be used. Overall, these results provide new evidence that colors may function broadly as signals of dominance among competing species. Such signals could help to mediate aggressive interactions among species, thereby reducing some costs of co-occurrence and facilitating coexistence in nature.</t>
  </si>
  <si>
    <t>2023 OCT 1</t>
  </si>
  <si>
    <t>10.1086/725916</t>
  </si>
  <si>
    <t>OCT 2023</t>
  </si>
  <si>
    <t>WOS:001168568800001</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</si>
  <si>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</si>
  <si>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</si>
  <si>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</si>
  <si>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</si>
  <si>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Volpato, Gilson L/B-2304-2008; Sanches, Fabio H C/K-3526-2013; Barreto, Rodrigo E/A-3440-2013; Miyai, Caio/J-7498-2013; Giaquinto, Percilia/A-8395-2018</t>
  </si>
  <si>
    <t>Sanches, Fabio H C/0000-0002-1105-4894; Miyai, Caio/0000-0002-6116-3159; Barcellos, Leonardo/0000-0002-4637-3377; Giaquinto, Percilia/0000-0003-4591-4415</t>
  </si>
  <si>
    <t>10.1016/j.beproc.2014.02.003</t>
  </si>
  <si>
    <t>WOS:000336827500003</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</si>
  <si>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</si>
  <si>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</si>
  <si>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</si>
  <si>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</si>
  <si>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José Javier/K-1646-2014; Belliure, Josabel/R-8513-2018</t>
  </si>
  <si>
    <t>Cuervo, José Javier/0000-0001-7943-7835; Belliure, Josabel/0000-0001-7697-3616</t>
  </si>
  <si>
    <t>10.1016/j.anbehav.2015.01.004</t>
  </si>
  <si>
    <t>WOS:000351058700007</t>
  </si>
  <si>
    <t>Detto, T</t>
  </si>
  <si>
    <t>Detto, Tanya</t>
  </si>
  <si>
    <t>The fiddler crab Uca mjoebergi uses colour vision in mate choice</t>
  </si>
  <si>
    <t>Although the role of colour in mate choice is well known, few tests of colour vision have been based on mating behaviour. Females of the fiddler crab Uca mjoebergi have recently been shown to use claw coloration to recognize conspecific males. In this study I demonstrate that the females use colour vision for this task; preferentially approaching yellow claws over grey claws regardless of their intensity while failing to discriminate between yellow claws differing in intensity. This is one of only a handful of studies confirming the involvement of colour vision in mate choice and the first conclusive evidence in fiddler crabs.</t>
  </si>
  <si>
    <t>NOV 22</t>
  </si>
  <si>
    <t>10.1098/rspb.2007.1059</t>
  </si>
  <si>
    <t>WOS:000250555000002</t>
  </si>
  <si>
    <t>Fleishman, LJ; Yeo, AI; Perez, CW</t>
  </si>
  <si>
    <t>Fleishman, Leo J.; Yeo, Anna I.; Perez, Carley W.</t>
  </si>
  <si>
    <t>Visual acuity and signal color pattern in an Anolis lizard</t>
  </si>
  <si>
    <t>Anolis lizards communicate with colorful dewlaps that often include detailed patterns. We measured the visual acuity of Anolis sagrei. Lizards viewed a checkerboard pattern of red and yellow-green squares that were too small to resolve, and thus appeared uniform in color. We quickly replaced the center portion of the display with a pattern of larger squares. If the new pattern could be resolved, the lizards perceived a change in color and reflexively shifted their gaze toward the target. The acuity threshold was 1.21 cycles deg(-1). We also calculated acuity based on published anatomical data for Anolis carolinensis. It was similar to that of A. sagrei for the visual periphery. Foveal acuity was 10 times greater. We approximated the effects of viewing conditions on the visibility of fine details of a conspecific's dewlap. For peripheral vision, no detailed patterns were visible at &gt;= 0.5 m. For foveal vision, color-pattern details were visible at 1.0 m.</t>
  </si>
  <si>
    <t>Fleishman, Leo/0000-0002-2309-7496</t>
  </si>
  <si>
    <t>JUN 15</t>
  </si>
  <si>
    <t>10.1242/jeb.150458</t>
  </si>
  <si>
    <t>WOS:000403337600009</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</si>
  <si>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</si>
  <si>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</si>
  <si>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</si>
  <si>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</si>
  <si>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DEC 7</t>
  </si>
  <si>
    <t>10.1098/rspb.2010.0935</t>
  </si>
  <si>
    <t>WOS:000283450100017</t>
  </si>
  <si>
    <t>Romero-Gonzalez, JE; Solvi, C; Chittka, L</t>
  </si>
  <si>
    <t>Romero-Gonzalez, Jose E.; Solvi, Cwyn; Chittka, Lars</t>
  </si>
  <si>
    <t>Honey bees adjust colour preferences in response to concurrent social information from conspecifics and heterospecifics</t>
  </si>
  <si>
    <t>y Bees efficiently learn asocial and social cues to optimize foraging from fluctuating floral resources. However, it remains unclear how bees respond to divergent sources of social information, and whether such social cues might modify bees' natural preferences for nonsocial cues (e.g. flower colour), hence affecting foraging decisions. Here, we investigated honey bees', Apis mellifera, inspection and choices of unfamiliar flowers based on both natural colour preferences and simultaneous foraging information from conspecifics and heterospecifics. Individual honey bees' preferences for flowers were recorded when the reward levels of a learned flower type had declined and novel-coloured flowers were available where they would find either no social information or one conspecific and one heterospecific bumble bee, Bombus terrestris, each foraging from a different coloured flower (magenta or yellow). Honey bees showed a natural preference for magenta flowers. They modified their inspection of both types of flowers in response to conspecific and heterospecific social information. The presence of a conspecific demonstrator on the less-preferred yellow flower increased honey bees' inspection of yellow flowers and the likelihood of foraging on them, thus outweighing the original preference for magenta flowers. The presence of a heterospecific on a magenta flower increased honey bees' inspection of magenta flowers, but this effect was not observed when bumble bees fed on yellow flowers. Our results indicate that flower colour preferences of honey bees are rapidly adjusted in response to both conspecific and heterospecific presence, in different ways, with a preference for conspecific information possibly favouring the transmission of adaptive foraging information within species. (C) 2020 The Association for the Study of Animal Behaviour. Published by Elsevier Ltd. All rights reserved.</t>
  </si>
  <si>
    <t>Chittka, Lars/C-3110-2012</t>
  </si>
  <si>
    <t>Chittka, Lars/0000-0001-8153-1732; Solvi, Cwyn/0000-0003-2517-6179</t>
  </si>
  <si>
    <t>10.1016/j.anbehav.2020.10.008</t>
  </si>
  <si>
    <t>WOS:000598905300020</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</si>
  <si>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</si>
  <si>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</si>
  <si>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</si>
  <si>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</si>
  <si>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</si>
  <si>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</si>
  <si>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</si>
  <si>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</si>
  <si>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</si>
  <si>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</si>
  <si>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</si>
  <si>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</si>
  <si>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</si>
  <si>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</si>
  <si>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FEB</t>
  </si>
  <si>
    <t>10.1111/j.1558-5646.2009.00827.x</t>
  </si>
  <si>
    <t>WOS:000273821700003</t>
  </si>
  <si>
    <t>Lezalová-Piálková, R; Honza, M</t>
  </si>
  <si>
    <t>Lezalova-Pialkova, Radka; Honza, Marcel</t>
  </si>
  <si>
    <t>Responses of Black-headed Gulls Larus ridibundus to conspecific brood parasitism</t>
  </si>
  <si>
    <t>JOURNAL OF ORNITHOLOGY</t>
  </si>
  <si>
    <t>Conspecific brood parasitism in birds occurs when a female inserts her egg into the clutch of her own species. If successful, i.e. the parasitic egg is accepted by the host, then the host female or pair rears the offspring of the parasite. In the present study, we studied natural conspecific brood parasitism in Black-headed Gulls (Larus ridibundus), and conducted series of the experiments with mimetic (conspecific) and non-mimetic (conspecific painted light blue) eggs to explore responses of the tested pairs towards these alien eggs. The natural parasitism rate was 10% and the probability of being parasitized significantly increased with nest density. Experimentally parasitized pairs rejected both types of experimental eggs at a similar rate: 14.3 % for mimetic and 25.5% for non-mimetic within 2 days. Non-mimetic eggs were more selectively rejected than mimetic eggs. The relationships between the probability of egg rejection (dependent variable) and predictor (independent) variables were examined by fitting generalized linear models. Contrast and intraclutch variation in ground color and spotting pattern and the volume of the egg had no significant effect on rejection behavior in either non-mimetic or mimetic eggs. However, nest density significantly positively affected rejection behavior of the Black-headed Gulls in both non-mimetic and mimetic treatments.</t>
  </si>
  <si>
    <t>Honza, Marcel/A-1123-2011; Piálková, Radka/E-3411-2016</t>
  </si>
  <si>
    <t>Pialkova, Radka/0000-0002-5134-4474</t>
  </si>
  <si>
    <t>2193-7192</t>
  </si>
  <si>
    <t>2193-7206</t>
  </si>
  <si>
    <t>10.1007/s10336-008-0283-0</t>
  </si>
  <si>
    <t>WOS:000256660000013</t>
  </si>
  <si>
    <t>TAYLOR, GT; HALLER, J; BARTKO, G; WEISS, J</t>
  </si>
  <si>
    <t>CONSPECIFIC URINE MARKING IN MALE-FEMALE PAIRS OF LABORATORY RATS</t>
  </si>
  <si>
    <t>Male-female pairs of rats were observed during social interactions for conspecific markings where an animal deposits urine on the body of a 2nd animal. Injections of sodium fluorescein were used to change urinary color and provide a visible mark on the back of a conspecific. The general hypothesis tested in the 3 experiments was that a female would mark males differently dependent upon her hormonal status and upon the relative hormonal integrity of the males. Males marked females more frequently than vice versa and female marking decreased during her estrus. A diestrous female marked an aggressive male more than she marked a non-aggressive male, and a diestrous female marked a castrated male receiving 800 .mu.g testosterone propionate (TP) injections more copiously than she marked a castrated male receiving 200 .mu.g TP injections. Aggressive and non-aggressive males marked females similarly, though the 800 .mu.g TP males marked females more than the 200 .mu.g TP males. These data were compared with findings from research on environmental marking in rodents, and an hypothesis was suggested that female rats use conspecific marking to identify and select males with preferred behavioral and endocrine characteristics.</t>
  </si>
  <si>
    <t>1873-507X</t>
  </si>
  <si>
    <t>10.1016/0031-9384(84)90307-X</t>
  </si>
  <si>
    <t>WOS:A1984SV55800004</t>
  </si>
  <si>
    <t>Cronk, L; Palombit, R</t>
  </si>
  <si>
    <t>Cronk, Lee; Palombit, Ryne</t>
  </si>
  <si>
    <t>Eastern gray squirrel (Sciurus carolinensis) color morphs do not differ in aggressiveness</t>
  </si>
  <si>
    <t>Eastern gray squirrels (Sciurus carolinensis) exhibit a variety of color morphs, including black. In the USA and UK, a common folk belief is that black squirrels are more aggressive than squirrels of other colors. We tested the biological basis of that belief using data from the 2018 Central Park squirrel census. Contrary to the belief, black squirrels do not chase other squirrels more often than do conspecifics of other colors. Black and non-black squirrels were equally likely to approach people for food and to display indifference to human presence, but black squirrels were more likely than non-black squirrels to flee from people. Although other research has found that aggression among squirrels increases when they live in higher population densities, black squirrels were no more aggressive than non-black squirrels despite the fact that they were sighted in parts of Central Park with higher squirrel population densities than other locations.</t>
  </si>
  <si>
    <t>Cronk, Lee/0000-0002-7583-7417</t>
  </si>
  <si>
    <t>10.1007/s10211-021-00372-z</t>
  </si>
  <si>
    <t>WOS:000660333200001</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</si>
  <si>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</si>
  <si>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</si>
  <si>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</si>
  <si>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</si>
  <si>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 Lehto, Whitley/Q-2135-2017</t>
  </si>
  <si>
    <t>Tinghitella, Robin/0000-0002-0049-5539; Lehto, Whitley/0000-0003-4210-6578</t>
  </si>
  <si>
    <t>10.1093/cz/zox070</t>
  </si>
  <si>
    <t>WOS:000425719000012</t>
  </si>
  <si>
    <t>de Luna, AG; Hödl, W; Amézquita,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</si>
  <si>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</si>
  <si>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</si>
  <si>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</si>
  <si>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Gabriela/JNR-1145-2023</t>
  </si>
  <si>
    <t>de Luna, Ana Gabriela/0000-0002-3006-7041</t>
  </si>
  <si>
    <t>10.1016/j.anbehav.2009.12.031</t>
  </si>
  <si>
    <t>WOS:000274587400029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</si>
  <si>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</si>
  <si>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</si>
  <si>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</si>
  <si>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</si>
  <si>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</si>
  <si>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</si>
  <si>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SEP-OCT</t>
  </si>
  <si>
    <t>10.1093/beheco/ary076</t>
  </si>
  <si>
    <t>WOS:000444301900027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</si>
  <si>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</si>
  <si>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</si>
  <si>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</si>
  <si>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</si>
  <si>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Sewall, Kendra/0000-0002-9347-5878</t>
  </si>
  <si>
    <t>10.1016/j.anbehav.2018.06.012</t>
  </si>
  <si>
    <t>WOS:000441515500014</t>
  </si>
  <si>
    <t>Gerald, MS; Waitt, C; Little, AC; Kraiselburd, E</t>
  </si>
  <si>
    <t>Gerald, Melissa S.; Waitt, Corri; Little, Anthony C.; Kraiselburd, Edmundo</t>
  </si>
  <si>
    <t>Females pay attention to female secondary sexual color:: An experimental study in Macaca mulatta</t>
  </si>
  <si>
    <t>INTERNATIONAL JOURNAL OF PRIMATOLOGY</t>
  </si>
  <si>
    <t>Researchers have long considered the color of female sexual skin to play a role in. attracting or inciting competition among males, or both; however, females may also use color in intrasexual communication. To assess this possibility, we examined whether variation in same-sex sexual skin color is salient to female rhesus macaques (Macaca mulatta). We exposed adult females to computerized images of conspecific female faces and hindquarters manipulated for color (red vs. non-red), within the natural range of color variation. Females visually attended more to both reddened faces and hindquarters over the non-red counterparts. We conclude that female color might be biologically meaningful to other females.</t>
  </si>
  <si>
    <t>Little, Anthony/W-2732-2019</t>
  </si>
  <si>
    <t>Little, Anthony/0000-0001-9100-1903</t>
  </si>
  <si>
    <t>0164-0291</t>
  </si>
  <si>
    <t>1573-8604</t>
  </si>
  <si>
    <t>10.1007/s10764-006-9110-8</t>
  </si>
  <si>
    <t>WOS:000246843800001</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</si>
  <si>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</si>
  <si>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</si>
  <si>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</si>
  <si>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</si>
  <si>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MAR-APR</t>
  </si>
  <si>
    <t>10.1093/beheco/arl093</t>
  </si>
  <si>
    <t>WOS:000244658100007</t>
  </si>
  <si>
    <t>Nicolaï, MPJ; D'Alba, L; Goldenberg, J; Gansemans, Y; Van Nieuwerburgh, F; Clusella-Trullas, S; Shawkey, MD</t>
  </si>
  <si>
    <t>Nicolai, Michael P. J.; D'Alba, Liliana; Goldenberg, Jonathan; Gansemans, Yannick; Van Nieuwerburgh, Filip; Clusella-Trullas, Susana; Shawkey, Matthew D.</t>
  </si>
  <si>
    <t>Untangling the structural and molecular mechanisms underlying colour and rapid colour change in a lizard, Agama atra</t>
  </si>
  <si>
    <t>MOLECULAR ECOLOGY</t>
  </si>
  <si>
    <t>With functions as diverse as communication, protection and thermoregulation, coloration is one of the most important traits in lizards. The ability to change colour as a function of varying social and environmental conditions is thus an important innovation. While colour change is present in animals ranging from squids, to fish and reptiles, not much is known about the mechanisms behind it. Traditionally, colour change was attributed to migration of pigments, in particular melanin. More recent work has shown that the changes in nanostructural configuration inside iridophores are able to produce a wide palette of colours. However, the genetic mechanisms underlying colour, and colour change in particular, remain unstudied. Here we use a combination of transcriptomic and microscopic data to show that melanin, iridophores and pteridines are the main colour-producing mechanisms in Agama atra, and provide molecular and structural data suggesting that rapid colour change is achieved via melanin dispersal in combination with iridophore organization. This work demonstrates the power of combining genotypic (gene expression) and phenotypic (microscopy) information for addressing physiological questions, providing a basis for future studies of colour change.</t>
  </si>
  <si>
    <t>Goldenberg, Jonathan/AAF-5595-2021; D'Alba, Liliana/AAC-4969-2022; Nicolaï, Michaël/AAZ-1652-2021; Van Nieuwerburgh, Filip/H-9697-2015; Nicolaï, Michaël/IZD-7689-2023</t>
  </si>
  <si>
    <t>D'Alba, Liliana/0000-0002-2478-3455; Nicolaï, Michaël/0000-0002-9570-0311; Van Nieuwerburgh, Filip/0000-0001-8815-5485; Nicolaï, Michaël/0000-0002-9570-0311; Shawkey, Matthew/0000-0002-5131-8209; Goldenberg, Jonathan/0000-0002-8832-6544; Gansemans, Yannick/0000-0001-5018-044X</t>
  </si>
  <si>
    <t>0962-1083</t>
  </si>
  <si>
    <t>1365-294X</t>
  </si>
  <si>
    <t>10.1111/mec.15901</t>
  </si>
  <si>
    <t>APR 2021</t>
  </si>
  <si>
    <t>WOS:000639399300001</t>
  </si>
  <si>
    <t>Joffard, N; Le Roncé, I; Langlois, A; Renoult, J; Buatois, B; Dormont, L; Schatz, B</t>
  </si>
  <si>
    <t>Joffard, Nina; Le Ronce, Iris; Langlois, Alban; Renoult, Julien; Buatois, Bruno; Dormont, Laurent; Schatz, Bertrand</t>
  </si>
  <si>
    <t>Floral trait differentiation inAnacamptis coriophora: Phenotypic selection on scents, but not on colour</t>
  </si>
  <si>
    <t>Current divergent selection may promote floral trait differentiation among conspecific populations in flowering plants. However, whether this applies to complex traits such as colour or scents has been little studied, even though these traits often vary within species. In this study, we compared floral colour and odour as well as selective pressures imposed upon these traits among seven populations belonging to three subspecies of the widespread, generalist orchidAnacamptis coriophora. Colour was characterized using calibrated photographs, and scents were sampled using dynamic headspace extraction and analysed using gas chromatography-mass spectrometry. We then quantified phenotypic selection exerted on these traits by regressing fruit set values on floral trait values. We showed that the three studied subspecies were characterized by different floral colour and odour, with one of the two predominant floral volatiles emitted by each subspecies being taxon-specific. Plant size was positively correlated with fruit set in most populations, whereas we found no apparent link between floral colour and female reproductive success. We detected positive selection on several taxon-specific compounds inA. coriophorasubsp. fragrans, whereas no selection was found on floral volatiles ofA. coriophorasubsp. coriophoraandA. coriophorasubsp.martrinii. This study is one of the first to document variation in phenotypic selection exerted on floral scents among conspecific populations. Our results suggest that selection could contribute to ongoing chemical divergence amongA. coriophorasubspecies.</t>
  </si>
  <si>
    <t>10.1111/jeb.13657</t>
  </si>
  <si>
    <t>JUL 2020</t>
  </si>
  <si>
    <t>WOS:000545247500001</t>
  </si>
  <si>
    <t>Gaither, MR; Coker, DJ; Greaves, S; Sarigol, F; Payet, SD; Chaidez, V; Sinclair-Taylor, TH; DiBattista, JD; Berumen, ML</t>
  </si>
  <si>
    <t>Gaither, Michelle R.; Coker, Darren J.; Greaves, Samuel; Sarigol, Fatih; Payet, Samuel D.; Chaidez, Veronica; Sinclair-Taylor, Tane H.; DiBattista, Joseph D.; Berumen, Michael L.</t>
  </si>
  <si>
    <t>Does color matter? Molecular and ecological divergence in four sympatric color morphs of a coral reef fish</t>
  </si>
  <si>
    <t>Non-sex-linked color polymorphism is common in animals and can be maintained in populations via balancing selection or, when under diversifying selection, can promote divergence. Despite their potential importance in ecological interactions and the evolution of biodiversity, their function and the mechanisms by which these polymorphisms are maintained are still poorly understood. Here, we combine field observations with life history and molecular data to compare four sympatric color morphs of the coral reef fishParacirrhites forsteri(family Cirrhitidae) in the central Red Sea. Our findings verify that the color morphs are not sex-limited, inhabit the same reefs, and do not show clear signs of avoidance or aggression among them. A barcoding approach based on 1,276 bp of mitochondrial DNA could not differentiate the color morphs. However, when 36,769 SNPs were considered, we found low but significant population structure. Focusing on 1,121F(ST)outliers, we recovered distinct population clusters that corresponded to shifts in allele frequencies with each color morph harboring unique alleles. Genetic divergence at these outlier loci is accompanied by differences in growth and marginal variation in microhabitat preference. Together, life history and molecular analysis suggest subtle divergence between the color morphs in this population, the causes for which remain elusive.</t>
  </si>
  <si>
    <t>Greaves, Samuel/ABE-2235-2020; Berumen, Michael/F-7745-2011; Gaither, Michelle/J-3137-2015; DiBattista, Joseph/O-2074-2014</t>
  </si>
  <si>
    <t>Greaves, Samuel/0000-0001-7299-2991; Berumen, Michael/0000-0003-2463-2742; Gaither, Michelle/0000-0002-0371-5621; Sinclair-Taylor, Tane/0000-0003-4240-0435; Coker, Darren/0000-0002-5099-0984; DiBattista, Joseph/0000-0002-5696-7574; Chaidez, Veronica/0000-0003-1340-5835; Sarigol, Fatih/0000-0002-5842-6114</t>
  </si>
  <si>
    <t>10.1002/ece3.6566</t>
  </si>
  <si>
    <t>SEP 2020</t>
  </si>
  <si>
    <t>WOS:000565433500001</t>
  </si>
  <si>
    <t>Buades-Rotger, M; Krämer, UM</t>
  </si>
  <si>
    <t>Buades-Rotger, Macia; Kraemer, Ulrike M.</t>
  </si>
  <si>
    <t>From words to action: Implicit attention to antisocial semantic cues predicts aggression and amygdala reactivity to angry faces in healthy young women</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</si>
  <si>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</si>
  <si>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Buades-Rotger, Macia/J-5905-2019; Buades-Rotger, Macià/IAR-6543-2023; Krämer, Ulrike/AAF-2966-2020; Krämer, Ulrike M./A-8871-2019</t>
  </si>
  <si>
    <t>Buades-Rotger, Macia/0000-0003-1219-9216; Krämer, Ulrike M./0000-0002-3841-1812</t>
  </si>
  <si>
    <t>NOV-DEC</t>
  </si>
  <si>
    <t>10.1002/ab.21787</t>
  </si>
  <si>
    <t>WOS:000446552400008</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</si>
  <si>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</si>
  <si>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</si>
  <si>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</si>
  <si>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Maan, Martine/B-5444-2008; Seehausen, Ole/C-8272-2011</t>
  </si>
  <si>
    <t>Maan, Martine/0000-0003-1113-8067; Seehausen, Ole/0000-0001-6598-1434; Dijkstra, Peter/0000-0001-5382-225X</t>
  </si>
  <si>
    <t>10.1007/s00265-005-0100-1</t>
  </si>
  <si>
    <t>WOS:000235219700015</t>
  </si>
  <si>
    <t>Gardner, KM; Mennill, DJ; Newman, AEM; Doucet, SM</t>
  </si>
  <si>
    <t>Gardner, Katrina M.; Mennill, Daniel J.; Newman, Amy E. M.; Doucet, Stephanie M.</t>
  </si>
  <si>
    <t>Social and physiological drivers of rapid colour change in a tropical toad</t>
  </si>
  <si>
    <t>Dynamic sexual dichromatism occurs when males and females differ in colouration for a limited time. Although this trait has been primarily studied in cephalopods, chameleons, and fishes, recent analyses suggest that dynamic dichromatism is prevalent among anurans and may be mediated through sexual selection and sex recognition. Yellow toads, Incilius luetkenii, exhibit dynamic dichromatism during explosive breeding events at the onset of the rainy season: males change from a cryptic brown to a bright yellow and back again during the brief mating event. We tested the hypothesis that dynamic dichromatism in yellow toads is influenced by conspecific interactions and mediated through sex hormones and stress hormones. We placed male toads into one of four social treatments (with three other males, one male, one female, or no other toads). Immediately before and after each one-hour treatment, we quantified male colour with a reflectance spectrometer and we collected a blood sample to assess plasma concentrations of both testosterone and corticosterone. We found that males held with conspecific animals showed the brightest yellow colour and showed little or no change in their corticosterone levels. Across treatments, toads with duller yellow colour had higher levels of corticosterone. Male colour showed no association with testosterone. Interestingly, males showed substantial temporal variation in colour and corticosterone: toads were duller yellow and exhibited greater levels of corticosterone post-treatment across subsequent days at the onset of the rainy season. Our findings reveal that both conspecific interactions and corticosterone are involved in the dynamic colour change of yellow toads.</t>
  </si>
  <si>
    <t>1095-6840</t>
  </si>
  <si>
    <t>JAN 1</t>
  </si>
  <si>
    <t>10.1016/j.ygcen.2019.113292</t>
  </si>
  <si>
    <t>WOS:000504341800024</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</si>
  <si>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</si>
  <si>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</si>
  <si>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</si>
  <si>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</si>
  <si>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</si>
  <si>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0906-6691</t>
  </si>
  <si>
    <t>1600-0633</t>
  </si>
  <si>
    <t>10.1111/j.1600-0633.2011.00520.x</t>
  </si>
  <si>
    <t>WOS:000297634700004</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</si>
  <si>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</si>
  <si>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</si>
  <si>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</si>
  <si>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</si>
  <si>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Ole/C-8272-2011</t>
  </si>
  <si>
    <t>Seehausen, Ole/0000-0001-6598-1434</t>
  </si>
  <si>
    <t>10.1111/j.1365-294X.2010.04751.x</t>
  </si>
  <si>
    <t>WOS:000208393200001</t>
  </si>
  <si>
    <t>Huber-Eicher, B</t>
  </si>
  <si>
    <t>The effect of early colour preference and of a colour exposing procedure on the choice of nest colours in laying hens</t>
  </si>
  <si>
    <t>APPLIED ANIMAL BEHAVIOUR SCIENCE</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</si>
  <si>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</si>
  <si>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0168-1591</t>
  </si>
  <si>
    <t>1872-9045</t>
  </si>
  <si>
    <t>MAY 20</t>
  </si>
  <si>
    <t>10.1016/j.applanim.2003.12.003</t>
  </si>
  <si>
    <t>WOS:000220316400006</t>
  </si>
  <si>
    <t>MARTIN, FD; HENGSTEBECK, MF</t>
  </si>
  <si>
    <t>EYE COLOR AND AGGRESSION IN JUVENILE GUPPIES, POECILIA-RETICULATA PETERS (PISCES, POECILIIDAE)</t>
  </si>
  <si>
    <t>A series of 4 related experiments on guppy, P. reticulata, juveniles indicates that eye color is related to motivational state. In juveniles of this species 2 distinct eye color states are easily discernible, with a transient intermediate state infrequently seen. These states are dark, light and intermediate. In aggressive interactions involving both dark- and light-eyed fish, dark-eyed fish won 98.6% of the encounters (n = 222 encounters). Eye colors are significantly correlated with bout lengths of certain behaviors (aggressive encounters, swimming, substrate biting); total time spent in certain behaviors (swimming, aggressive encounters); and type and intensity of aggressive encounters. Eye color may be related to motivational state and may serve a signal function.</t>
  </si>
  <si>
    <t>Martin, F. Douglas/0000-0002-3421-4408</t>
  </si>
  <si>
    <t>10.1016/S0003-3472(81)80092-9</t>
  </si>
  <si>
    <t>WOS:A1981LQ60200001</t>
  </si>
  <si>
    <t>AGGRESSION IN DAMSELFISH - ADULT JUVENILE INTERACTIONS</t>
  </si>
  <si>
    <t>COPEIA</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</si>
  <si>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</si>
  <si>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0045-8511</t>
  </si>
  <si>
    <t>1938-5110</t>
  </si>
  <si>
    <t>FEB 11</t>
  </si>
  <si>
    <t>10.2307/1446296</t>
  </si>
  <si>
    <t>WOS:A1993KN22000006</t>
  </si>
  <si>
    <t>KRAL, M; JARVI, T; BICIK, V</t>
  </si>
  <si>
    <t>INTER-SPECIFIC AGGRESSION BETWEEN THE COLLARED FLYCATCHER AND THE PIED FLYCATCHER - THE SELECTIVE AGENT FOR THE EVOLUTION OF LIGHT-COLORED MALE PIED FLYCATCHER POPULATIONS</t>
  </si>
  <si>
    <t>ORNIS SCANDINAVICA</t>
  </si>
  <si>
    <t>The average plumage colour of the head and back of male Pied Flycatchers varies geographically. Light-coloured males live in sympatry, dark-coloured males in allopatry with the Collared Flycatcher. Because the two species of flycatcher compete for nesting holes, inter-specific aggression may have been a selective agent behind the evolution of light-coloured male Pied Flycatchers. Experiments with studded dummies of male Pied Flycatchers showed that male Collared Flycatchers were more aggressive towards a black dummy than towards a light-coloured one. Light-coloured male Pied Flycatchers may avoid attacks by male Collared Flycatchers either because they appear less threatening to the Collared Flycatcher in the competition for nest-holes (i.e. inter-specific status signalling) or because they closely resemble female Collared Flycatchers (i.e. inter-specific female mimicry).</t>
  </si>
  <si>
    <t>0030-5693</t>
  </si>
  <si>
    <t>10.2307/3676723</t>
  </si>
  <si>
    <t>WOS:A1988R388700006</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</si>
  <si>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</si>
  <si>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</si>
  <si>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</si>
  <si>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</si>
  <si>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</si>
  <si>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</si>
  <si>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</si>
  <si>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</si>
  <si>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</si>
  <si>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</si>
  <si>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</si>
  <si>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10.1093/beheco/arx052</t>
  </si>
  <si>
    <t>WOS:000401942800043</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</si>
  <si>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</si>
  <si>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</si>
  <si>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</si>
  <si>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</si>
  <si>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10.1086/605376</t>
  </si>
  <si>
    <t>WOS:000269824800004</t>
  </si>
  <si>
    <t>Van Gossum, H; Bots, J; Van Heusden, J; Hammers, M; Huyghe, K; Morehouse, NI</t>
  </si>
  <si>
    <t>Van Gossum, Hans; Bots, Jessica; Van Heusden, Jasper; Hammers, Martijn; Huyghe, Katleen; Morehouse, Nathan I.</t>
  </si>
  <si>
    <t>Reflectance spectra and mating patterns support intraspecific mimicry in the colour polymorphic damselfly Ischnura elegans</t>
  </si>
  <si>
    <t>Coexistence of female colour morphs in animal populations is often considered the result of sexual conflict, where polymorphic females benefit from reduced male sexual harassment. Mate-searching males easily detect suitable partners when only one type of female is present, but become challenged when multiple female morphs coexist, which may result in frequency-dependent mate preferences. Intriguingly, in damselflies, one female morph often closely resembles the conspecific male in body coloration, which has lead to hypotheses regarding intra-specific male-mimicry. However, few studies have quantitatively evaluated the correspondence between colour reflectance spectra from males and male-like females, relying instead on qualitative visual assessments of coloration. Using colour analyses of reflectance spectra, we compared characteristics of the body coloration of ontogenetic male and female colour morphs of the damselfly Ischnura elegans. In addition, we evaluated whether males appear to (1) discriminate between immature and mature female colour morphs, and (2) whether male-like females experience reduced male mating attention and low mating frequencies as predicted from male-mimicry. Spectral reflectance data show that immature female morphs differ substantially in coloration from mature individuals. Mating frequencies were much lower for immature than mature female morphs. For the male-like female morph, measures of colour were statistically indistinguishable from that of both immature and mature conspecific males. Mating frequencies of male-like females were lower than those of other mature female morphs under field and experimental conditions. Together, our results indicate that males may use the observed spectral differences in mate choice decisions. Furthermore, male-like females may be regarded as functional mimics that have reduced attractiveness and lowered rates of sexual harassment by mate-searching males.</t>
  </si>
  <si>
    <t>Morehouse, Nathan/0000-0001-6449-7106</t>
  </si>
  <si>
    <t>10.1007/s10682-010-9388-z</t>
  </si>
  <si>
    <t>WOS:000287600500010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</si>
  <si>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</si>
  <si>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</si>
  <si>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</si>
  <si>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</si>
  <si>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</si>
  <si>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</si>
  <si>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</si>
  <si>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</si>
  <si>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</si>
  <si>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</si>
  <si>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</si>
  <si>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</si>
  <si>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</si>
  <si>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</si>
  <si>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</si>
  <si>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</si>
  <si>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</si>
  <si>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</si>
  <si>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</si>
  <si>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Bushman, Brad/ABG-3412-2021</t>
  </si>
  <si>
    <t>10.1002/ab.21551</t>
  </si>
  <si>
    <t>WOS:000344002600005</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</si>
  <si>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</si>
  <si>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</si>
  <si>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</si>
  <si>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</si>
  <si>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1095-8649</t>
  </si>
  <si>
    <t>10.1111/j.1095-8649.2009.02256.x</t>
  </si>
  <si>
    <t>WOS:000266243100006</t>
  </si>
  <si>
    <t>Clark, DL; Macedonia, JM; Neyer, EE; Mish, AME; Rowe, JW; Valle, CA</t>
  </si>
  <si>
    <t>Clark, David L.; Macedonia, Joseph M.; Neyer, Emma E.; Mish, Angela M. E.; Rowe, John W.; Valle, Carlos A.</t>
  </si>
  <si>
    <t>Display Responses of Gala′ pagos Lava Lizards (Microlophus bivittatus) to Manipulation of Male Shoulder Epaulets on Conspecific-Mimicking Robots</t>
  </si>
  <si>
    <t>HERPETOLOGICA</t>
  </si>
  <si>
    <t>Many animal taxa perform stereotyped displays during ritualized contests over territory and mates. Such displays facilitate assessment of an opponent's prowess and reduce the probability of physical injury. Color patterns likewise can serve as indicators of an individual's body condition. Male San Crist ' obal Lava Lizards (Microlophus bivittatus) of the Gala ' pagos Islands possess a black epaulet on each shoulder that contrasts with their surrounding body coloration. We created robots with the appearance of conspecific males to explore the potential function(s) of the epaulets in a series of four experiments. Our experiments focused on epaulet presence/absence, body location, and location relative to the axis of body motion (pectoral versus pelvic girdle) during pushups. Paired trials were conducted with adult males and females using a robot that performed M. bivittatus signature displays and that differed on its two sides in epaulet attributes. We quantified two kinds of bobbing displays in subjects: signature displays and two-bob displays. We also computed a composite response (CR) score, in which point values were assigned to types of nonbobbing displays and display combinations according to the apparent level of subject aggression. Results of Experiment 1 showed that males (but not females) performed more signature displays to the side of the robot with the epaulet present than to the side with the epaulet absent, suggesting that epaulets serve a signaling function. Composite response scores did not differ between treatments for either sex. In Experiment 2 neither males nor females performed more bobbing displays to an enlarged epaulet than to an epaulet reduced in size. However, males exhibited greater CR scores to the enlarged epaulet, suggesting that epaulet size or conspicuousness is important to its function. In Experiment 3 neither sex produced more bobbing displays to an epaulet on the robot's shoulder than to one on its hip. Yet, males accumulated significantly larger CR scores in response to the shoulder epaulet than to the hip epaulet, indicating that males were aware of normal epaulet location. Finally, in Experiment 4, where our robot performed hindlimb rather than forelimb pushups, subjects failed to exhibit more bobbing displays in response to a shoulder epaulet than to a hip epaulet. CR scores also did not differ between treatments for either sex, perhaps due to the striking abnormality of hindlimb-driven bobbing displays. Although the function of M. bivittatus epaulets remains elusive, these markings clearly are salient to male conspecifics.</t>
  </si>
  <si>
    <t>Valle, Carlos A./AAK-8702-2021</t>
  </si>
  <si>
    <t>Valle, Carlos A./0000-0002-5523-634X</t>
  </si>
  <si>
    <t>0018-0831</t>
  </si>
  <si>
    <t>1938-5099</t>
  </si>
  <si>
    <t>WOS:000948166800005</t>
  </si>
  <si>
    <t>Plenderleith, M; van Oosterhout, C; Robinson, RL; Turner, GF</t>
  </si>
  <si>
    <t>Female preference for conspecific males based on olfactory cues in a Lake Malawi cichlid fish</t>
  </si>
  <si>
    <t>Research on reproductive isolation in African cichlid fishes has largely focused on the role of nuptial colours, but other sensory modes may play an important role in mate choice. Here, we compare the relative importance of visual and olfactory cues in mate recognition by females of a Lake Malawi cichlid species. Female Pseudotropheus emmiltos were given a choice of spawning next to a conspecific male or a male of the closely-related sympatric Pseudotropheus fainzilberi. Significant preference for conspecific males only occurred when olfactory cues were present. This suggests that divergence of olfactory signals may have been an important influence on the explosive radiation of the East African species flock.</t>
  </si>
  <si>
    <t>van Oosterhout, Cock/A-6672-2008</t>
  </si>
  <si>
    <t>van Oosterhout, Cock/0000-0002-5653-738X; Turner, George/0000-0003-0099-7261</t>
  </si>
  <si>
    <t>DEC 22</t>
  </si>
  <si>
    <t>10.1098/rsbl.2005.0355</t>
  </si>
  <si>
    <t>WOS:000233911600009</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</si>
  <si>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</si>
  <si>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</si>
  <si>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</si>
  <si>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</si>
  <si>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 Anthony/0000-0003-2615-1248; Siefferman, Lynn/0000-0002-9600-2902</t>
  </si>
  <si>
    <t>1938-5447</t>
  </si>
  <si>
    <t>10.1676/14-028.1</t>
  </si>
  <si>
    <t>WOS:000346425400008</t>
  </si>
  <si>
    <t>Lehtonen, TK; Sowersby, W; Gagnon, K; Wong, BBM</t>
  </si>
  <si>
    <t>Lehtonen, Topi K.; Sowersby, Will; Gagnon, Karine; Wong, Bob B. M.</t>
  </si>
  <si>
    <t>Cichlid Fish Use Coloration as a Cue to Assess the Threat Status of Heterospecific Intruders</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</si>
  <si>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</si>
  <si>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Lehtonen, Topi/A-6679-2010; Gagnon, Karine/O-1514-2013; Sowersby, Will/AAG-5106-2019</t>
  </si>
  <si>
    <t>Gagnon, Karine/0000-0002-0971-7740; Sowersby, Will/0000-0002-9774-5935; Lehtonen, Topi/0000-0002-1372-9509; Wong, Bob/0000-0001-9352-6500</t>
  </si>
  <si>
    <t>10.1086/682711</t>
  </si>
  <si>
    <t>WOS:000362840100013</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</si>
  <si>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</si>
  <si>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</si>
  <si>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</si>
  <si>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Nijman, Vincent/AHD-8685-2022</t>
  </si>
  <si>
    <t>10.1016/S0376-6357(98)00006-0</t>
  </si>
  <si>
    <t>WOS:000075498300002</t>
  </si>
  <si>
    <t>McKinnon, JS; McPhail, JD</t>
  </si>
  <si>
    <t>Male aggression and colour in divergent populations of the threespine stickleback: Experiments with animations</t>
  </si>
  <si>
    <t>CANADIAN JOURNAL OF ZOOLOGY-REVUE CANADIENNE DE ZOOLOGIE</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</si>
  <si>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</si>
  <si>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0008-4301</t>
  </si>
  <si>
    <t>10.1139/z96-191</t>
  </si>
  <si>
    <t>WOS:A1996VG77300016</t>
  </si>
  <si>
    <t>Beukema, JJ</t>
  </si>
  <si>
    <t>Recognition of conspecific females by males of Calopteryx haemorrhoidalis (Vander linden) (Zygoptera: Calopterygidae)</t>
  </si>
  <si>
    <t>ODONATOLOGICA</t>
  </si>
  <si>
    <t>males of calopterygid damselflies appear to court females of other (related, sympatric) spp. only rarely. Apparently, females of this group bear species-specific characteristics that release sexual behaviour in conspecific males only. Sympatric Calopteryx spp. usually differ conspicuously in pigmentation (colour, transparency, darkness) of their wings. females C. haemorrhoidalis differ from all other European spp. by the presence of a dark distal zone in the hindwings. - The relative value of various (manipulated) sets of female wings for elicitation of male courtship was assessed using choice experiments. C haemorrhoidalis males did not court wingless females of their own sp. nor did they court conspecific females with wings of the sympatric C. xanthostoma. However, the presence of a single wing of a conspecific female was sufficient to elicit courtship behaviour. Choices between 2 female models (presented simultaneously to territorial male individuals) revealed that the presence of a contrasting dark zone was an important distinguishing characteristic, whereas too high a transparency (a single wing as opposed to a set of 2 or 4 wings pressed against each other) greatly diminished the value of a model. The need for the presence of a dark zone will be effective in precluding courtship of females of other sympatric spp. The need for sufficiently low transparency will put a check on courtship attempts of immature females.</t>
  </si>
  <si>
    <t>0375-0183</t>
  </si>
  <si>
    <t>JUN 1</t>
  </si>
  <si>
    <t>WOS:000221702600002</t>
  </si>
  <si>
    <t>Stavenga, DG; Stowe, S; Siebke, K; Zeil, J; Arikawa, K</t>
  </si>
  <si>
    <t>Butterfly wing colours: scale beads make white pierid wings brighter</t>
  </si>
  <si>
    <t>The wing-scale morphologies of the pierid butterflies Pieris rapae (small white) and Delias nigrina (common jezabel), and the heliconine Heliconius melpomene are compared and related to the wing-reflectance spectra. Light scattering at the wing scales determines the wing reflectance, but when the scales contain an absorbing pigment, reflectance is suppressed in the absorption wavelength range of the pigment. The reflectance of the white wing areas of P. rapae, where the scales are studded with beads, is considerably higher than that of the white wing areas of H. melpomene, which has scales lacking beads. The beads presumably cause the distinct matt-white colour of the wings of pierids and function to increase the reflectance amplitude. This will improve the visual discrimination between conspecific males and females.</t>
  </si>
  <si>
    <t>Zeil, Jochen/C-9223-2009; Stowe, Sally/A-7328-2009</t>
  </si>
  <si>
    <t>AUG 7</t>
  </si>
  <si>
    <t>10.1098/rspb.2004.2781</t>
  </si>
  <si>
    <t>WOS:000222995100005</t>
  </si>
  <si>
    <t>Garcia, JE; Shrestha, M; Dyer, AG</t>
  </si>
  <si>
    <t>Garcia, Jair E.; Shrestha, Mani; Dyer, Adrian G.</t>
  </si>
  <si>
    <t>Flower signal variability overwhelms receptor-noise and requires plastic color learning in bees</t>
  </si>
  <si>
    <t>Color discrimination thresholds proposed by receptor-noise type models are frequently used in animal vision studies to predict a precise limit on the capacity of an animal to discriminate between stimuli. Honeybees and bumblebees are 2 closely related hymenopteran species for which precise data on photoreceptor sensitivities and receptor noise exist, enabling accurate testing on how their vision conforms to model predictions. Color vision has been proved in these species, and they are known to predominantly visit flowers using visual signals to collect nutrition. Surprisingly, however, the natural variability of flower signals has been rarely considered, and recent work also suggests bees may tune color vision through experience. We initially measured the spectral variability of flowers from 2 species: Goodenia ovata and Rosemarinus officinalis where free-flying honeybees were observed constantly foraging from conspecific flowers. We empirically determined honeybee color discrimination thresholds for color stimuli considering either absolute- or differential-conditioning discrimination functions. Secondly, we analyzed greenhouse grown wild-type Antirrhinum majus flower petal spectra as well as spectra from mixta and nivea strains of this species, and empirically determined bumblebee color discrimination considering conditioning experience. In all measured cases, within-flower type spectral variability exceeded a 1.0 Receptor Noise threshold, often by several units. Observed behavioral color discrimination functions considering the respective conditioning procedures closely matched the range of signal variability for both honeybees and bumblebees, showing that color vision in bees cannot be described by a single fixed value, and plasticity is a key component of bee foraging behavior in natural environments.</t>
  </si>
  <si>
    <t>; Shrestha, Mani/P-7045-2015</t>
  </si>
  <si>
    <t>Garcia, Jair/0000-0001-8456-4759; Shrestha, Mani/0000-0002-6165-8418</t>
  </si>
  <si>
    <t>10.1093/beheco/ary127</t>
  </si>
  <si>
    <t>WOS:000453209600018</t>
  </si>
  <si>
    <t>Cassey, P; Honza, M; Grim, T; Hauber, ME</t>
  </si>
  <si>
    <t>Cassey, Phillip; Honza, Marcel; Grim, Tomas; Hauber, Mark E.</t>
  </si>
  <si>
    <t>The modelling of avian visual perception predicts behavioural rejection responses to foreign egg colours</t>
  </si>
  <si>
    <t>How do birds tell the colours of their own and foreign eggs apart? We demonstrate that perceptual modelling of avian visual discrimination can predict behavioural rejection responses to foreign eggs in the nest of wild birds. We use a photoreceptor noise-limited colour opponent model of visual perception to evaluate its accuracy as a predictor of behavioural rates of experimental egg discrimination in the song thrush Turdus philomelos. The visual modelling of experimental and natural eggshell colours suggests that photon capture from the ultraviolet and short wavelength-sensitive cones elicits egg rejection decisions in song thrushes, while inter-clutch variation of egg coloration provides sufficient contrasts for detecting conspecific parasitism in this species. Biologically realistic sensory models provide an important tool for relating variability of behavioural responses to perceived phenotypic variation.</t>
  </si>
  <si>
    <t>Honza, Marcel/A-1123-2011; Grim, Tomas/A-2852-2008</t>
  </si>
  <si>
    <t>Grim, Tomas/0000-0002-5775-6269; Cassey, Phillip/0000-0002-2626-0172</t>
  </si>
  <si>
    <t>10.1098/rsbl.2008.0279</t>
  </si>
  <si>
    <t>WOS:000259085900022</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</si>
  <si>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</si>
  <si>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</si>
  <si>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</si>
  <si>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</si>
  <si>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3-4</t>
  </si>
  <si>
    <t>WOS:A1994QA66800006</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</si>
  <si>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</si>
  <si>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</si>
  <si>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</si>
  <si>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</si>
  <si>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</si>
  <si>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Tosetto, L; Hart, NS; Williamson, JE</t>
  </si>
  <si>
    <t>Tosetto, Louise; Hart, Nathan S.; Williamson, Jane E.</t>
  </si>
  <si>
    <t>Dynamic colour change as a signalling tool in bluelined goatfish (Upeneicthtys lineatus)</t>
  </si>
  <si>
    <t>Many animal species can rapidly change their body colouration and patterning, but often the ecological drivers of such changes are unknown. Here, we explored dynamic colour change in the bluelined goatfish, Upeneichthys lineatus, a temperate marine tel- eost species. Upeneichthus lineatus can change in a matter of seconds, from a uniform white colour to display prominent, vertical, dark red stripes. Initial observations sug- gested that rapid colour change in U. lineatus was associated with feeding and may act as a signal to both conspecifics and heterospecifics that are frequently observed to follow feeding goatfish. Field observations of the colour and behaviour of individual U. lineatus were collected to (1) document the repertoire of behaviours that U. lineatus displays and categorise associated colour patterns; (2) quantify the speed of dynamic colour change; (3) establish the context in which U. lineatus changes colour and pat- tern; and (4) test whether the behaviour of follower fishes is influenced by colour pat- terning or specific behaviours of the focal goatfish. We found that U. lineatus changed colouration from white to the red banded pattern in less than 10 s. The key driver of rapid colour change in U. lineatus was feeding, particularly when the fish fed with its head buried in sediment. Conspecific followers were most likely to be white in colour and adopt searching behaviour, regardless of the focal fish colour or behaviour. Other species of follower fish spent significantly more time following U. lineatus that were displaying dark red stripes when searching or eating, implying the red stripes may be an interspecific signalling mechanism. Our findings indicate that rapid colour change in teleost fish may be used for social communication and may provide U. lineatus with increased protection from predation when feeding via a safety-in-numbers approach.</t>
  </si>
  <si>
    <t>Hart, Nathan/B-8564-2011</t>
  </si>
  <si>
    <t>Hart, Nathan/0000-0002-7289-9399; Williamson, Jane/0000-0003-3627-4508</t>
  </si>
  <si>
    <t>10.1002/ece3.10328</t>
  </si>
  <si>
    <t>WOS:001054792900001</t>
  </si>
  <si>
    <t>Millidine, KJ; Metcalfe, NB; Armstrong, JD</t>
  </si>
  <si>
    <t>Millidine, K. J.; Metcalfe, N. B.; Armstrong, J. D.</t>
  </si>
  <si>
    <t>Presence of a conspecific causes divergent changes in resting metabolism, depending on its relative size</t>
  </si>
  <si>
    <t>It is well established that the average metabolism of many species of fish varies with group size. However, it is not clear whether all individuals respond in the same way. Here, we use a newly calibrated method of measuring the metabolic rate of fish from opercular (ventilatory) movements that allows for the first-time estimation of changes in resting metabolic rate (RMR) of each individual within different social groups and when alone. The presence of a conspecific had divergent effects on the RMR of juvenile Atlantic salmon Salmo salar, depending on its relative body size: the presence of a smaller fish caused a 40 per cent reduction, whereas the presence of a slightly larger fish approximately doubled RMR. These effects occurred in the absence of activity and were sustained at lower magnitude in the case of the relatively smaller conspecific even if a transparent barrier prevented any physical interactions between fish. Changes in RMR were mirrored by changes in eye colour that indicate they were linked to stress levels. These contrasting and strong responses show that even the nearby presence of a conspecific can have profound and variable effects on an individual's energy budget; they also highlight the complex trade-offs involved in social interactions.</t>
  </si>
  <si>
    <t>Metcalfe, Neil B./C-5997-2009</t>
  </si>
  <si>
    <t>Metcalfe, Neil B./0000-0002-1970-9349; Armstrong, John/0000-0003-2015-0500</t>
  </si>
  <si>
    <t>10.1098/rspb.2009.1219</t>
  </si>
  <si>
    <t>WOS:000270665100010</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</si>
  <si>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</si>
  <si>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</si>
  <si>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</si>
  <si>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</si>
  <si>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</si>
  <si>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Lucélia/D-5986-2013; Raoni R, Rodrigues/O-9810-2015; Zuanon, Jansen A. S./E-5791-2013; Del-Claro, Kleber/N-3700-2019; Del-Claro, K/C-5570-2013</t>
  </si>
  <si>
    <t>Nobre Carvalho, Lucélia/0000-0002-0673-0165; Zuanon, Jansen A. S./0000-0001-8354-2750; Del-Claro, K/0000-0001-8886-9568</t>
  </si>
  <si>
    <t>1679-6225</t>
  </si>
  <si>
    <t>DEC 18</t>
  </si>
  <si>
    <t>10.1590/S1679-62252009000400013</t>
  </si>
  <si>
    <t>WOS:000273613900013</t>
  </si>
  <si>
    <t>Skelhorn, J</t>
  </si>
  <si>
    <t>Skelhorn, John</t>
  </si>
  <si>
    <t>Colour biases are a question of conspecifics' taste</t>
  </si>
  <si>
    <t>Toxic prey often advertise their defences to predators using conspicuous colours, such as red and yellow; and predators exhibit unlearned biases against warningly coloured food. These biases are particularly evident when other components of warning displays, such as sounds and odours, are present. Predators are thought to use additional signal components to reduce their attack rates on warningly coloured prey when the risk of them being defended is perceived to be high. If this is the case, any cue that allows predators to predict the presence of defended prey reliably should incite biases against warningly coloured food. Using domestic chicks, Gallus gallus domesticus, as predators and coloured crumbs for prey, I tested whether observing a conspecific's distaste response caused predators to bias their foraging decisions away from warningly coloured prey. Chicks observed a conspecific that had been given either a drop of water or a drop of Bitrex (a bitter-tasting solution). They were then offered a choice of either red and green, or yellow and green crumbs. Chicks that observed a conspecific's reaction to Bitrex attacked fewer red and yellow crumbs, and more green crumbs, than chicks that observed a conspecific's reaction to water. Observing conspecifics' disgust responses therefore caused birds to bias their foraging preference away from warningly coloured food and towards food of a more neutral colour. This suggests that predators' social systems may play a more important role than previously thought in the evolution of prey defences. (C) 2011 The Association for the Study of Animal Behaviour. Published by Elsevier Ltd. All rights reserved.</t>
  </si>
  <si>
    <t>10.1016/j.anbehav.2011.01.017</t>
  </si>
  <si>
    <t>WOS:000288651200019</t>
  </si>
  <si>
    <t>BARLOW, GW; MCKAYE, KR</t>
  </si>
  <si>
    <t>A COMPARISON OF FEEDING, SPACING, AND AGGRESSION IN COLOR MORPHS OF THE MIDAS CICHLID .2. AFTER 24 HOURS WITHOUT FOOD</t>
  </si>
  <si>
    <t>Three hypotheses were tested: the Gold Effect (the coloration of the gold morph confers an advantage in hostile interactions because that color inhibits aggression); the Habituation Effect (fish habituate to gold fish if they are encountered frequently); and the Dominance-Generalization Effect (the color of the dominant fish is learned, and small fish who share that color receive some protection from attacks). The basic experiment consisted of 1 large juvenile dominating a feeder which was approached by small fish, 3 golds and 3 normals. In the treatment, the feeder was removed for 24 h and then replaced 20 min before recording; this was done to see if the Gold Effect would prevail over the Habituation Effect under conditions of forced competition. Contrary to expectations, the large fish attacked the small golds more than the small normals. Their attacks could have been evoked by the attacks or feeding behavior of the small fish. The small fish themselves showed both the Gold and Dominance-Generalization Effects. As predicted, the Gold Effect prevailed over the Habituation Effect after being deprived of food; but the same thing happened in the control situation, apparently due to the stimulation of revealing concealed worms when their feeder was simply lifted and immediately replaced. The small golds appeared to feed more often than the small normals, but the difference was not significant. The small golds gained significantly more weight than did the small normals. Thus, the small golds benefited more from their aggressive advantage over the small normals than they lost by being attacked more by the large dominant fish.</t>
  </si>
  <si>
    <t>10.1163/156853982X00328</t>
  </si>
  <si>
    <t>WOS:A1982PH83900001</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</si>
  <si>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</si>
  <si>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</si>
  <si>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</si>
  <si>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</si>
  <si>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</si>
  <si>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 Kian, Yong Annita Seok/E-6971-2010</t>
  </si>
  <si>
    <t>Lim, Leong Seng/0000-0002-0404-1083; Kian, Yong Annita Seok/0000-0003-3766-4372; Teoh, Chui Fen/0000-0002-4902-1895</t>
  </si>
  <si>
    <t>0919-9268</t>
  </si>
  <si>
    <t>1444-2906</t>
  </si>
  <si>
    <t>10.1007/s12562-017-1062-8</t>
  </si>
  <si>
    <t>WOS:000399657400013</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</si>
  <si>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</si>
  <si>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</si>
  <si>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</si>
  <si>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</si>
  <si>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Grether, Gregory F./0000-0003-3441-0537; Drury, Jonathan/0000-0002-0262-8761</t>
  </si>
  <si>
    <t>10.1098/rspb.2014.1737</t>
  </si>
  <si>
    <t>WOS:000343674500017</t>
  </si>
  <si>
    <t>Tanaka, S</t>
  </si>
  <si>
    <t>A cricket (Gryllus bimaculatus) neuropeptide induces dark colour in the locust, Locusta migratoria</t>
  </si>
  <si>
    <t>JOURNAL OF INSECT PHYSIOLOGY</t>
  </si>
  <si>
    <t>The dark-colour inducing effect of various parts of the nervous system and the corpora cardiaca of crickets (Gryllus bimaculatus) was examined by implanting these organs into albino nymphs of the locust, Locusta migratoria, The corpora cardiaca were most effective, When implanted at the beginning of the 4th instar, albino locusts developed a uniformly blackish body colour after ecdysis to the 5th instar, Black patterns with an orange background colour, resembling normal gregarious locust nymphs, were induced after implantation at the middle of the 4th instar, Implantation late in the 4th instar induced a reddish body colour without black patterns, Methanol extracts of the cricket corpora cardiaca induced a dark colour in albino locusts when the extracts were dried, mixed with soybean oil and injected. Water extracts were much less effective, and the hexane extracts had no activity, Activity of the methanol extracts was destroyed with a proteinase. Ore the other hand, boiling or exposure to a preheated proteinase did not destroy the activity, These results indicate that the dark-colour inducing factor in the cricket corpora cardiaca is a heat-stable neuropeptide(s), The dried methanol extracts of cricket corpora cardiaca did not influence the body colour of conspecific individuals.</t>
  </si>
  <si>
    <t>0022-1910</t>
  </si>
  <si>
    <t>10.1016/0022-1910(95)00115-8</t>
  </si>
  <si>
    <t>WOS:A1996TZ11300012</t>
  </si>
  <si>
    <t>Manchenko, GP; Kulikova, VI</t>
  </si>
  <si>
    <t>Enzyme and colour variation in the hoplonemertean Tetrastemma nigrifrons from the Sea of Japan</t>
  </si>
  <si>
    <t>Five sympatric colour varieties of the hoplonemertean Tetrastemma nigrifrons (var. pallidum, var. bicolor, var. purpureum, var. punctata, var. albino) were found in Vostok Bay (the Sea of Japan). The taxonomic status of the varieties, some of which have been known for almost a century, was uncertain. Starch gel electrophoresis was used to compare allele frequencies of these varieties at 19 isozyme loci. Neither fixed allelic differences nor statistically significant differences in allele frequencies between different colour varieties was revealed. It was concluded therefore that all the colour varieties studied are conspecific. As estimated from the electrophoretic screening of 24 isozyme loci, the species is highly variable at the molecular level. It has high mean values of observed and expected heterozygosity estimates, H-o = 0.313 +/- 0.049 and H-e = 0.323 +/- 0.050, and is one of the most variable species among invertebrates.</t>
  </si>
  <si>
    <t>NOV 1</t>
  </si>
  <si>
    <t>1-3</t>
  </si>
  <si>
    <t>10.1007/BF00028507</t>
  </si>
  <si>
    <t>WOS:A1996WB14600006</t>
  </si>
  <si>
    <t>Lewandowski, E; Boughman, JW</t>
  </si>
  <si>
    <t>Lewandowski, Eva; Boughman, Janette W.</t>
  </si>
  <si>
    <t>Effects of genetics and light environment on colour expression in threespine sticklebacks</t>
  </si>
  <si>
    <t>The genetic basis of traits that are under sexual selection and that are involved in recognizing conspecific mates is poorly known, even in systems in which the phenotypic basis of these traits has been well studied. In the present study, we investigate genetic and environmental influences on nuptial colour, which plays important roles in sexual selection and sexual isolation in species pairs of limnetic and benthic threespine sticklebacks (Gasterosteus aculeatus species complex). Previous work demonstrated that colour differences among species correlate to differences in the ambient light prevalent in their mating habitat. Red fish are found in clear water and black fish in red-shifted habitats. We used a paternal half-sib split-clutch design to investigate the genetic and environmental basis of nuptial colour. We found genetic differences between a red and a black stickleback population in the expression of both red and black nuptial colour. In addition, the light environment influenced colour expression, and genotype by environment interactions were also present. We found evidence for both phenotypic and genetic correlations between our colour traits; some of these correlations are in opposite directions for our red and black populations. These results suggest that both genetic change and phenotypic plasticity underlie the correlation of male colour with light environment. (c) 2008 The Linnean Society of London.</t>
  </si>
  <si>
    <t>Boughman, Janette/0000-0002-5731-7389</t>
  </si>
  <si>
    <t>10.1111/j.1095-8312.2008.01021.x</t>
  </si>
  <si>
    <t>WOS:000258458500002</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</si>
  <si>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</si>
  <si>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</si>
  <si>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</si>
  <si>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</si>
  <si>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10.1093/beheco/arp036</t>
  </si>
  <si>
    <t>WOS:000265950200018</t>
  </si>
  <si>
    <t>Pröhl, H; Ostrowski, T</t>
  </si>
  <si>
    <t>Proehl, Heike; Ostrowski, Thomas</t>
  </si>
  <si>
    <t>Behavioural elements reflect phenotypic colour divergence in a poison frog</t>
  </si>
  <si>
    <t>The coexistence of both aposematic and cryptic morphs as different anti-predator strategies within a species seems to be an unusual phenomenon in nature. The strawberry poison frog, Oophaga pumilio, shows an astonishing colour diversity among populations in western Panama. In this study we selected a red and a green colour morph from two Panamanian islands (Isla Solarte and Isla Colon) for behavioural observations and measurements of conspicuousness. We found that red frogs were more visible to both conspecific frogs and potential predators than green frogs. Interestingly the difference in conspicuousness was most pronounced at the substrate that males used as principal calling places. Red males were more active and spent more time foraging than green males, which spent more time hidden. The association between conspicuousness of colouration and behaviour results in a more aposematic and a more cryptic anti-predator strategy. This is the first study which links differences in conspicuousness between animals on their natural backgrounds to differences in foraging as well as anti-predator behaviour and discusses the results in light of previous findings of toxicity analyses and potential costs and benefits of aposematism. To this end, our study adds a novel perspective for explaining extreme colour diversity between populations within an initially aposematic species.</t>
  </si>
  <si>
    <t>10.1007/s10682-010-9455-5</t>
  </si>
  <si>
    <t>WOS:000294499800003</t>
  </si>
  <si>
    <t>Cai, Y; Chen, XY; Wu, N; Yang, CC</t>
  </si>
  <si>
    <t>Cai, Yan; Chen, Xiangyang; Wu, Neng; Yang, Canchao</t>
  </si>
  <si>
    <t>Chromatic and achromatic differences of melanin- and carotenoid-based plumage coloration in five minivet species (Pericrocotus spp.) under conspecific and predator visual systems</t>
  </si>
  <si>
    <t>AVIAN RESEARCH</t>
  </si>
  <si>
    <t>Adaptive mate choice has been accepted as the leading theory to explain the colorful plumage of birds. This theory hypothesizes that conspicuous colors act as signals to advertise the qualities of the owners. However, a dilemma arises in that conspicuous colors may not only attract mates, but also alert predators. The private channels of communication hypothesis proposes that some intraspecific signals may not be visible to heterospecific animals because of different visual systems. To better understand the evolution of plumage colors and sexual selection in birds, here we studied the chromatic difference and achromatic differences of melanin-and carotenoid-based plumage coloration in five minivet species (Pericrocotus spp.) under conspecific and predator visual systems. We found that either the chromatic or achromatic difference among male or female minivets' plumage was consistently higher under conspecific vision than under predator vision for all five studied species of minivets. This result indicated that individual differences in plumage colors of minivets were visible to the conspecific receivers and hidden from potential predators as a result of evolution under predation risk and conspecific communication. However, males were under a higher risk of predation because they were more conspicuous than females to the vision of a nocturnal predator.</t>
  </si>
  <si>
    <t>Yang, Canchao/0000-0001-9405-2749</t>
  </si>
  <si>
    <t>2053-7166</t>
  </si>
  <si>
    <t>10.1016/j.avrs.2023.100077</t>
  </si>
  <si>
    <t>WOS:000933848900001</t>
  </si>
  <si>
    <t>Lou, YQ; Chen, LJ; Zhao, QS; Moller, AP; Fang, Y; Sun, YH</t>
  </si>
  <si>
    <t>Lou, Yingqiang; Chen, Lijun; Zhao, Qingshan; Moller, Anders Pape; Fang, Yun; Sun, Yuehua</t>
  </si>
  <si>
    <t>The signalling function of plumage colour traits in the Chestnut Thrush (Turdus rubrocanus)</t>
  </si>
  <si>
    <t>IBIS</t>
  </si>
  <si>
    <t>Melanin is a common pigment in birds, and several studies have shown that melanin-based plumage coloration could signal individual body condition, social status and personality traits. However, most of these studies have focused on males, and little is known about the role of plumage coloration in females. Here, we investigated whether body condition and personality traits (activity and exploratory behaviour) were associated with plumage coloration in wild populations of the Chestnut Thrush Turdus rubrocanus, an apparently monochromatic species. We also tested whether the signals of plumage colour traits differed between sexes. In this study, we found that females had better body condition compared with males. Females with lower chroma and brightness of their black wings had better body condition, but no plumage colour measures reflected male body condition. Males with a lower red chroma of their brown back plumage were less active, and females with lower red chroma of the back plumage were more active. However, plumage coloration did not explain variation in exploratory behaviour. Our findings suggest that plumage colour traits may act as sex-specific signals in Chestnut Thrushes and these traits may play important roles in sexual or conspecific communication in the wild.</t>
  </si>
  <si>
    <t>Zhao, Qingshan/O-2694-2018; lijun, chen/C-2660-2008</t>
  </si>
  <si>
    <t>Zhao, Qingshan/0000-0002-3767-1102;</t>
  </si>
  <si>
    <t>0019-1019</t>
  </si>
  <si>
    <t>1474-919X</t>
  </si>
  <si>
    <t>10.1111/ibi.13219</t>
  </si>
  <si>
    <t>MAY 2023</t>
  </si>
  <si>
    <t>WOS:000985415400001</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</si>
  <si>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</si>
  <si>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</si>
  <si>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</si>
  <si>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</si>
  <si>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</si>
  <si>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Hill, Geoffrey Edward/R-7354-2019; Ligon, Russell/M-1233-2013</t>
  </si>
  <si>
    <t>Hill, Geoffrey Edward/0000-0001-8864-6495; Ligon, Russell/0000-0002-0195-8275</t>
  </si>
  <si>
    <t>0947-5745</t>
  </si>
  <si>
    <t>10.1111/j.1439-0469.2012.00668.x</t>
  </si>
  <si>
    <t>WOS:000313753400008</t>
  </si>
  <si>
    <t>Baran, NM; Streelman, JT</t>
  </si>
  <si>
    <t>Baran, Nicole M.; Streelman, J. Todd</t>
  </si>
  <si>
    <t>Ecotype differences in aggression, neural activity and behaviorally relevant gene expression in cichlid fish</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</si>
  <si>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</si>
  <si>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</si>
  <si>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e12657</t>
  </si>
  <si>
    <t>10.1111/gbb.12657</t>
  </si>
  <si>
    <t>MAY 2020</t>
  </si>
  <si>
    <t>WOS:000530887300001</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</si>
  <si>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</si>
  <si>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</si>
  <si>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</si>
  <si>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</si>
  <si>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Montgomerie, Robert D/C-6516-2008</t>
  </si>
  <si>
    <t>10.1086/680206</t>
  </si>
  <si>
    <t>WOS:000351859700005</t>
  </si>
  <si>
    <t>Kamijo, M; Kawamura, M; Fukamachi, S</t>
  </si>
  <si>
    <t>Kamijo, Makiko; Kawamura, Mayuko; Fukamachi, Shoji</t>
  </si>
  <si>
    <t>Loss of red opsin genes relaxes sexual isolation between skin-colour variants of medaka</t>
  </si>
  <si>
    <t>Colour vision is often essential for animals. Fine discrimination of colours enhances the ability of animals to find food, predators, or mating partners. Using two colour variants of medaka (Oryzias latipes), which mate assortatively depending on visual cues (pale grey versus dark orange), we recently established red colour-blind strains by knocking out the red opsin (long-wavelength-sensitive) genes and elucidated that the fish were indeed insensitive to red light. In the present study, we investigated the mate choice of these red-blind fish. The colour variants with normal colour vision strongly preferred to mate with their own strain. The red-blind ones also preferred their own strain; i.e. they still mated assortatively. However, their preference was significantly weaker than that of fish with normal colour vision. In other words, the red-blind fish showed increased sexual interest in the other colour variant. These results indicated that reduced sensitivity to red light also reduced their ability to discriminate colours. This empirical evidence directly demonstrates that a change in cone-opsin repertoire changes mating decision behaviours, which would affect gene flow and speciation processes between conspecific colour variants in nature, as suggested in other studies.</t>
  </si>
  <si>
    <t>Fukamachi, Shoji/KIL-1595-2024</t>
  </si>
  <si>
    <t>Fukamachi, Shoji/0000-0001-7967-1883</t>
  </si>
  <si>
    <t>10.1016/j.beproc.2018.02.006</t>
  </si>
  <si>
    <t>WOS:000430765900004</t>
  </si>
  <si>
    <t>Kaspersson, R; Höjesjö,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</si>
  <si>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</si>
  <si>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</si>
  <si>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</si>
  <si>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Pedersen, Stig/AAY-9708-2021</t>
  </si>
  <si>
    <t>Pedersen, Stig/0000-0002-8759-175X</t>
  </si>
  <si>
    <t>10.1016/j.anbehav.2009.12.025</t>
  </si>
  <si>
    <t>WOS:000274587400025</t>
  </si>
  <si>
    <t>Andrés, JA; Cordero, A</t>
  </si>
  <si>
    <t>The inheritance of female colour morphs in the damselfly Ceriagrion tenellum (Odonata, Coenagrionidae)</t>
  </si>
  <si>
    <t>HEREDITY</t>
  </si>
  <si>
    <t>Female-limited polychromatism is found in many species of Odonata. In Ceriagrion tenellum (Coenagrionidae) one of the morphs is red-coloured, like the conspecific male (androchrome, erythrogastrum morph), whereas most females are red and black (typica morph) or black (melanogastrum morph). Virgin females of this species were mated in the laboratory and their progeny reared (13 crosses). Results of these crosses indicate that colour morphs are controlled by one autosomal locus with female-limited expression. A second laboratory generation (two crosses) confirmed this inheritance system. This locus has three alleles (one per phenotype) and a hierarchy of dominance: typica &gt; melanogastrum &gt; erythrogastrum. The dominance relationships of andro/gynochrome alleles in polymorphic damselflies so far studied are discussed. The frequencies of female morphs in natural populations are highly variable, but in all cases typica females are the commonest.</t>
  </si>
  <si>
    <t>Cordero-Rivera, Adolfo/K-4182-2014</t>
  </si>
  <si>
    <t>0018-067X</t>
  </si>
  <si>
    <t>10.1038/sj.hdy.6884930</t>
  </si>
  <si>
    <t>WOS:000080078300013</t>
  </si>
  <si>
    <t>John, L; Rick, IP; Vitt, S; Thünken, T</t>
  </si>
  <si>
    <t>John, Leonie; Rick, Ingolf P.; Vitt, Simon; Thuenken, Timo</t>
  </si>
  <si>
    <t>Body coloration as a dynamic signal during intrasexual communication in a cichlid fish</t>
  </si>
  <si>
    <t>BMC ZOOLOGY</t>
  </si>
  <si>
    <t>Background Intrasexual competition over access to resources can lead to aggression between individuals. Because overt aggression, i.e. fights, can be costly for contestants, the communication of aggressive motivation prior to engagement in a physical fight is often mediated by conventional signals. Animals of various taxa, including fishes, display visual signals such as body coloration that can dynamically be adjusted depending on the individual's motivation. Male individuals of the West African cichlid Pelvicachromis taeniatus express a yellow body coloration displayed during courtship but also in an intrasexual competition context. Results Within-individual variation in male yellow body coloration, as quantified with standardized digital photography and representation in a CIELab color space, was examined in a mating context by exposing males to a female and in a competitive intrasexual context, i.e. in a dyadic contest. Additionally, spectrometric reflectance measurements were taken to obtain color representations in a physiological color space based on spectral sensitivities of our model species. Exposure to females did not significantly affect male color expression. However, analysis of body coloration revealed a change in within-individual color intensity and colored area after interaction with a male competitor. In dominant males, extension of coloration was positively correlated with restrained aggression, i.e. displays, which in turn explained dominance established between the two contestants. Conclusion Body coloration in male P. taeniatus is a dynamic signal that is used in concert with display behavior in communication during intrasexual competition.</t>
  </si>
  <si>
    <t>Vitt, Simon/0000-0002-5403-8827; John, Leonie/0000-0002-8167-4132</t>
  </si>
  <si>
    <t>2056-3132</t>
  </si>
  <si>
    <t>10.1186/s40850-021-00075-9</t>
  </si>
  <si>
    <t>WOS:000646554600001</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</si>
  <si>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</si>
  <si>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</si>
  <si>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</si>
  <si>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</si>
  <si>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 andrea.grunst@indstate.edu/S-5992-2019; Grunst, Melissa/ABA-7121-2020; Tuttle, Elaina/A-1485-2016</t>
  </si>
  <si>
    <t>, andrea.grunst@indstate.edu/0000-0001-5705-9845; Tuttle, Elaina/0000-0002-2465-918X; Grunst, Melissa/0000-0002-3425-4020</t>
  </si>
  <si>
    <t>0004-8038</t>
  </si>
  <si>
    <t>10.1642/AUK-14-103.1</t>
  </si>
  <si>
    <t>WOS:000347799300010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</si>
  <si>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</si>
  <si>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</si>
  <si>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</si>
  <si>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</si>
  <si>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King, Andrew J/B-5912-2011</t>
  </si>
  <si>
    <t>Williams, Leah/0000-0001-8004-2187</t>
  </si>
  <si>
    <t>10.1016/j.anbehav.2012.04.025</t>
  </si>
  <si>
    <t>WOS:000305748000020</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</si>
  <si>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</si>
  <si>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</si>
  <si>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</si>
  <si>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</si>
  <si>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Ole/C-8272-2011; Hemelrijk, Charlotte/E-4828-2013</t>
  </si>
  <si>
    <t>Seehausen, Ole/0000-0001-6598-1434; Dijkstra, Peter/0000-0001-5382-225X; Hemelrijk, Charlotte/0000-0001-6160-077X</t>
  </si>
  <si>
    <t>JAN-FEB</t>
  </si>
  <si>
    <t>10.1093/beheco/arn125</t>
  </si>
  <si>
    <t>WOS:000262152300018</t>
  </si>
  <si>
    <t>Prayitno, DS; Phillips, CJC; Omed, H</t>
  </si>
  <si>
    <t>The effects of color of lighting on the behavior and production of meat chickens</t>
  </si>
  <si>
    <t>POULTRY SCIENCE</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</si>
  <si>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</si>
  <si>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0032-5791</t>
  </si>
  <si>
    <t>10.1093/ps/76.3.452</t>
  </si>
  <si>
    <t>WOS:A1997WM41000005</t>
  </si>
  <si>
    <t>Boerner, M; Krüger,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</si>
  <si>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</si>
  <si>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</si>
  <si>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</si>
  <si>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</si>
  <si>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</si>
  <si>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Deepak, CK; Payra, A; Tripathy, B; Chandra, K</t>
  </si>
  <si>
    <t>Deepak, C. K.; Payra, Arajush; Tripathy, Basudev; Chandra, Kailash</t>
  </si>
  <si>
    <t>Observation on rapid physiological color change in Giant tree frog Rhacophorus smaragdinus (Blyth, 1852) from Namdapha Tiger Reserve, Arunachal Pradesh, India</t>
  </si>
  <si>
    <t>HERPETOZOA</t>
  </si>
  <si>
    <t>Many poikilotherms have the ability to change body color for homeostatic regulation, conspecific communication or predator deterrence. Physiological color change is a rapid, reversible mode of color change regulated by neuromuscular or neuroendocrine system and has been observed in several anuran species. Here we report the occurrence of physiological color change in the tree frog Rhacophorus smaragdinus (Blyth, 1852) (Amphibia, Anura, Rhacophoridae) for the first time from Namdapha Tiger Reserve, Arunachal Pradesh, India. Probable proximate causes of the behavior are discussed along with an overview of physiological color change in species of the family Rhacophoridae and nature of color change observed.</t>
  </si>
  <si>
    <t>Payra, Arajush/AAW-5702-2020; CHANDRA, KAILASH/AAU-5395-2020</t>
  </si>
  <si>
    <t>Payra, Arajush/0000-0003-0858-7339; CHANDRA, KAILASH/0000-0001-9076-5442; C K, Deepak/0000-0002-3827-9452</t>
  </si>
  <si>
    <t>1013-4425</t>
  </si>
  <si>
    <t>10.3897/herpetozoa.32.e36023</t>
  </si>
  <si>
    <t>WOS:000471808100016</t>
  </si>
  <si>
    <t>Seaver, CMS; Hurd, PL</t>
  </si>
  <si>
    <t>Seaver, Cheryl M. Sedlak; Hurd, Peter L.</t>
  </si>
  <si>
    <t>Are there consistent behavioral differences between sexes and male color morphs in Pelvicachromis pulcher?</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</si>
  <si>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</si>
  <si>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1873-2720</t>
  </si>
  <si>
    <t>10.1016/j.zool.2017.05.002</t>
  </si>
  <si>
    <t>WOS:000404310700015</t>
  </si>
  <si>
    <t>Schultz, TD; Anderson, CN; Symes, LB</t>
  </si>
  <si>
    <t>Schultz, Tom D.; Anderson, Christopher N.; Symes, Laurel B.</t>
  </si>
  <si>
    <t>The conspicuousness of colour cues in male pond damselflies depends on ambient light and visual system</t>
  </si>
  <si>
    <t>The colours of male coenagrionid damselflies have been interpreted by some as intraspecific signals that reduce intrasexual harassment by advertising the unprofitability of pursuing conspecific males as potential mates. As visual cues, male colours should be conspicuous to other males under the specific light environments where males search for females. We tested this prediction by using spectroradiometry and two models of damselfly colour vision to determine the chromatic and achromatic contrast of males from six species of Enallagma damselflies with pond backgrounds under the ambient light conditions when each species was most active. The males of five species were active at the time when their colour was most conspicuous against aquatic vegetation. Three blue species were most active and attained their highest levels of contrast during midday, while species that became active in late afternoon or evening reflected longer wavelengths and increased in brightness contrast under low sun angles. A sixth species, Enallagma pictum, departed from this pattern. We propose that colour may serve as a signal of both sexual and species identity among males. (C) 2008 The Association for the Study of Animal Behaviour. Published by Elsevier Ltd. All rights reserved.</t>
  </si>
  <si>
    <t>Symes, Laurel/I-4329-2019</t>
  </si>
  <si>
    <t>Symes, Laurel/0000-0001-6650-3813</t>
  </si>
  <si>
    <t>10.1016/j.anbehav.2008.04.024</t>
  </si>
  <si>
    <t>WOS:000260118000026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</si>
  <si>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</si>
  <si>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</si>
  <si>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</si>
  <si>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</si>
  <si>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Olsson, Mats/AAK-5565-2021; Wilson, Mark/B-3254-2018; Tobler, Michael/B-2754-2013</t>
  </si>
  <si>
    <t>Olsson, Mats/0000-0002-4130-1323; Wilson, Mark/0000-0002-9551-7445; Tobler, Michael/0000-0001-5895-6302</t>
  </si>
  <si>
    <t>10.1242/jeb.059352</t>
  </si>
  <si>
    <t>WOS:000300185900006</t>
  </si>
  <si>
    <t>Collins, CE; Houtman, AM</t>
  </si>
  <si>
    <t>Tan and white color morphs of White-throated Sparrows differ in their non-song vocal responses to territorial intrusion</t>
  </si>
  <si>
    <t>CONDOR</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</si>
  <si>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</si>
  <si>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0010-5422</t>
  </si>
  <si>
    <t>10.2307/1370072</t>
  </si>
  <si>
    <t>WOS:000083884100014</t>
  </si>
  <si>
    <t>FLORY, RK; SMITH, ELP; ELLIS, BB</t>
  </si>
  <si>
    <t>EFFECTS OF 2 RESPONSE-ELIMINATION PROCEDURES ON REINFORCED AND INDUCED AGGRESSION</t>
  </si>
  <si>
    <t>JOURNAL OF THE EXPERIMENTAL ANALYSIS OF BEHAVIOR</t>
  </si>
  <si>
    <t>Pecks against a stuffed pigeon were reinforced according to a fixed-interval schedule for 1 group of pigeons and a variable-interval schedule for a 2nd group. Red and green stimulus lights were alternately illuminated. Subsequently, food deliveries no longer occurred during 1 color (extinction). In the presence of the other color, food was presented only when no attack occurred for 30 s. When the attack produced food, all pigeons generally exhibited characteristic fixed-interval or variable-interval response patterns. Two birds in each group frequently exhibited postreinforcement schedule-induced aggression. Attack was reduced to low levels at approximately the same rate by extinction and differential reinforcement of other behavior. For birds that had previously exhibited schedule-induced aggression, the initial reduction of attack during the 2nd experimental phase was followed by induced attack immediately after food delivery in the differential-reinforcement-of-other-behavior component and upon onset of the extinction component. Either extinction or differential reinforcement of other behavior may eliminate reinforced aggression but may be relatively ineffective for reducing induced attack.</t>
  </si>
  <si>
    <t>0022-5002</t>
  </si>
  <si>
    <t>1938-3711</t>
  </si>
  <si>
    <t>10.1901/jeab.1977.27-5</t>
  </si>
  <si>
    <t>WOS:A1977CV62300001</t>
  </si>
  <si>
    <t>Andersson, M; Åhlund, M</t>
  </si>
  <si>
    <t>Protein fingerprinting:: A new technique reveals extensive conspecific brood parasitism</t>
  </si>
  <si>
    <t>ECOLOGY</t>
  </si>
  <si>
    <t>Conspecific brood parasitism occurs in many birds and some insects, fishes, and amphibians. Here, we develop and test a novel molecular technique for ecological analysis, protein fingerprinting (PF), based on isoelectric focusing electrophoresis (IEF) in immobilized pH gradients. It is applied here to albumen from birds' eggs and permits accurate identification of eggs laid by different females. This technique greatly clarifies female alternative reproductive tactics and laying patterns in brood-parasitic Common Goldeneye ducks Bucephala clangula. A small, nondestructive sample of albumen is taken through a hole drilled through the eggshell, which is then sealed with superglue, preserving egg hatchability. IEF yields a rich pattern of albumen bands with extensive variation among females. Observation and video recording of egg-laying by 21 color-marked females showed that they had unique band patterns, which were fully repeatable within and between years. Brood parasitism occurred in two-thirds (13 of 19) of the video-recorded nests of color-ringed females, with up to five parasitic females per nest. Of 234 eggs, 36% were laid by females other than the incubating host. These results suggest that intraspecific brood parasitism is more common and important than suggested by earlier studies using traditional methods. Protein fingerprinting yields individual resolution similar to that of a DNA multilocus fingerprinting probe, and has several advantages. The albumen band pattern represents only the laying female, not her mate(s), making it easy to determine the maternity of eggs, and to identify a parasite that spreads her eggs among a number of nests. Albumen can be sampled as soon as the egg is laid, before predation or other losses occur, maximizing sample size and minimizing bias. Protein fingerprinting is relatively inexpensive and easy. It is also useful for several purposes other than maternity determination, such as relatedness estimation for categories of individuals.</t>
  </si>
  <si>
    <t>0012-9658</t>
  </si>
  <si>
    <t>1939-9170</t>
  </si>
  <si>
    <t>10.1890/0012-9658(2001)082[1433:PFANTR]2.0.CO;2</t>
  </si>
  <si>
    <t>WOS:000168844200018</t>
  </si>
  <si>
    <t>Yerushalmi, Y; Pener, MP</t>
  </si>
  <si>
    <t>Age-dependent response of adults of a homochrome grasshopper, Oedipoda miniata, to the dark-colour-inducing neurohormone (DCIN) of locusts</t>
  </si>
  <si>
    <t>PHYSIOLOGICAL ENTOMOLOGY</t>
  </si>
  <si>
    <t>The effect of the dark-colour-inducing neurohormone (DCIN = [His(7) ]-corazonin) of locusts was investigated in field-collected young and old adults of the grasshopper, Oedipoda miniata (Pallas) (Orthoptera: Acrididae). This species shows homochromy, but neither green-brown, nor phase-dependent colour polymorphism. By injecting graded doses of synthetic DCIN in 2 muL of olive oil, young adults were tested within a week of their last moult, and old adults 3.5 months later, a few weeks before natural termination of their reproductive summer diapause. Colour changes were followed for 28 days after injection. Darkening of the young adults was considerable, but their response to DCIN is more moderate than that of conspecific nymphs, by exhibiting a higher threshold, slower response and weaker maximal response. Old adults also show a clear effect, but their response is even slower and less marked than the response of the young adults. It is concluded that the response to DCIN decreases from nymphs to young adults and it is further decreasing with ageing of the adults.</t>
  </si>
  <si>
    <t>0307-6962</t>
  </si>
  <si>
    <t>10.1046/j.1365-3032.2002.00283.x</t>
  </si>
  <si>
    <t>WOS:000175861800011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</si>
  <si>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</si>
  <si>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</si>
  <si>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</si>
  <si>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</si>
  <si>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</si>
  <si>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Sanches, Fabio H C/K-3526-2013; Barreto, Rodrigo E/A-3440-2013; Miyai, Caio/J-7498-2013</t>
  </si>
  <si>
    <t>Sanches, Fabio H C/0000-0002-1105-4894; Miyai, Caio/0000-0002-6116-3159</t>
  </si>
  <si>
    <t>1023-6244</t>
  </si>
  <si>
    <t>1029-0362</t>
  </si>
  <si>
    <t>10.1080/10236244.2013.805053</t>
  </si>
  <si>
    <t>WOS:000320570200004</t>
  </si>
  <si>
    <t>Amdekar, MS; Thaker, M</t>
  </si>
  <si>
    <t>Amdekar, Madhura S.; Thaker, Maria</t>
  </si>
  <si>
    <t>Risk of social colours in an agamid lizard: implications for the evolution of dynamic signals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</si>
  <si>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</si>
  <si>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Thaker, Maria/0000-0001-6019-2639; Amdekar, Madhura S/0000-0003-1741-6646</t>
  </si>
  <si>
    <t>10.1098/rsbl.2019.0207</t>
  </si>
  <si>
    <t>WOS:000470116400022</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</si>
  <si>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</si>
  <si>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</si>
  <si>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</si>
  <si>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</si>
  <si>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</si>
  <si>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</si>
  <si>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</si>
  <si>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</si>
  <si>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KELTIKANGASJARVINEN, L; KEINONEN, M</t>
  </si>
  <si>
    <t>AGGRESSION, SELF-CONFIDENCE, AND CARDIOVASCULAR REACTIONS IN COMPETITIVE PERFORMANCE IN ADOLESCENT BOYS</t>
  </si>
  <si>
    <t>Interactions between suggested risk factors for the development of coronary heart disease (namely aggression, competitive performance, and cardiovascular reactions) were studied in 36 adolescent boys. Different manifestations of aggression were measured using a structured interview, the aggression-impatience factor of the MYTH test, and observation. Self-confidence was assessed by means of an interview. The performance tests used were the Stroop Color Word test and the P-factor test. Cardiovascular reactions were measured using an automatic noninvasive sphygmomanometer with a continuous recording system. Results showed that the significance of aggression in performance or competition cannot be evaluated separately; aggression in itself had an injurious effect on performance, but when combined with high self-confidence it resulted in a high level of performance. High cardiovascular reactivity was related to competitiveness rather than aggression. The results emphasize that before intervention programs for behavioral risk factors of coronary heart disease are planned, there are many questions to answer.</t>
  </si>
  <si>
    <t>10.1002/1098-2337(1988)14:4&lt;245::AID-AB2480140403&gt;3.0.CO;2-I</t>
  </si>
  <si>
    <t>WOS:A1988P800800002</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</si>
  <si>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</si>
  <si>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</si>
  <si>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</si>
  <si>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</si>
  <si>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Taborsky, Michael/F-8420-2013; Frommen, Joachim/D-6802-2013</t>
  </si>
  <si>
    <t>Frommen, Joachim/0000-0002-1752-6944; Balzarini, Valentina/0000-0003-1764-9028</t>
  </si>
  <si>
    <t>10.1093/cz/zow086</t>
  </si>
  <si>
    <t>WOS:000396213400006</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</si>
  <si>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</si>
  <si>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</si>
  <si>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</si>
  <si>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 R/F-9917-2010; Johnston, Gregory/G-6770-2013</t>
  </si>
  <si>
    <t>10.1163/1568539053778265</t>
  </si>
  <si>
    <t>WOS:000230357500004</t>
  </si>
  <si>
    <t>Hoess, R; Scholl, A</t>
  </si>
  <si>
    <t>Glomeris undulata Koch and G-conspersa Koch are conspecific. -: Enzyme electrophoretic evidence and taxonomical consequences (Diplopoda: Glomeridae)</t>
  </si>
  <si>
    <t>REVUE SUISSE DE ZOOLOGIE</t>
  </si>
  <si>
    <t>Syntopic and allotopic populations of Glomeris undulata and G. conspersa have been investigated with enzyme electrophoresis. There was no evidence for separate gene pools of these taxa. However, G. romana, a species supposed to be closely related to G. undulata and G. conspersa, prooved to be well differentiated based on allozyme data. We therefore conclude that the taxa undulata and conspersa are conspecific. Consequently, G. conspersa C. L. Koch, 1847, is a junior subjective synonym of G. undulata C. L. Koch, 1844 (nov. syn,). An analysis of the colour pattern provides arguments for the discussion why no intermediate forms exist.</t>
  </si>
  <si>
    <t>0035-418X</t>
  </si>
  <si>
    <t>10.5962/bhl.part.80100</t>
  </si>
  <si>
    <t>WOS:000082969900010</t>
  </si>
  <si>
    <t>MOKSNES, A; ROSKAFT, E</t>
  </si>
  <si>
    <t>RESPONSES OF SOME RARE CUCKOO HOSTS TO MIMETIC MODEL CUCKOO EGGS AND TO FOREIGN CONSPECIFIC EGGS</t>
  </si>
  <si>
    <t>Reactions of Willow Warblers Phylloscopus trochilus, Reed Buntings Emberiza schoeniclus, Blackcaps Sylvia atricapilla and Bluethroats Luscinia svecica, towards mimetic model Cuckoo Cuculus canorus eggs were tested by exchanging one of their eggs for a model plastic egg. Reactions of Willow Warblers, Reed Buntings and Bluethroats towards a foreign conspecific egg were also tested. Some Willow Warblers were also tested with Great Tit Parus major eggs. The Willow Warblers, Reed Buntings and Blackcaps rejected mimetic model eggs at a high rate (90-100%), while the Bluethroats showed a lower (but not statistically significant) rejection rate (63%). The Willow Warblers and the Bluethroats accepted conspecific eggs, but the Reed Buntings rejected some of these eggs (3 of 8 trials). Great Tit eggs, which resemble Willow Warbler eggs in colour and pattern but are bigger (although considerably smaller than Cuckoo eggs), were rejected in 5 of 6 trials. The responses of the above species towards mimetic model eggs were similar to those previously reported for non-mimetic eggs. This behaviour pattern is important in providing an explanation for their present status as only rare hosts of the Cuckoo.</t>
  </si>
  <si>
    <t>Røskaft, Eivin/N-7476-2019</t>
  </si>
  <si>
    <t>Røskaft, Eivin/0000-0003-0262-8443</t>
  </si>
  <si>
    <t>JAN-MAR</t>
  </si>
  <si>
    <t>10.2307/3676422</t>
  </si>
  <si>
    <t>WOS:A1992HN98800004</t>
  </si>
  <si>
    <t>Abalos, J; de Lanuza, G; Bartolomé, A; Liehrmann, O; Aubret, F; Font, E</t>
  </si>
  <si>
    <t>Abalos, Javier; de Lanuza, Guillem; Bartolome, Alicia; Liehrmann, Oceane; Aubret, Fabien; Font, Enrique</t>
  </si>
  <si>
    <t>Behavioral threat and appeasement signals take precedence over static colors in lizard contests</t>
  </si>
  <si>
    <t>The interplay between morphological (structures) and behavioral (acts) signals in contest assessment is still poorly understood. During contests, males of the common wall lizard (Podarcis muralis) display both morphological (i.e. static color patches) and behavioral (i.e. raised-body display, foot shakes) traits. We set out to evaluate the role of these putative signals in determining the outcome and intensity of contests by recording agonistic behavior in ten mesocosm enclosures. We find that contests are typically won by males with relatively more black coloration, which are also more aggressive. However, black coloration does not seem to play a role in rival assessment, and behavioral traits are stronger predictors of contest outcome and winner aggression than prior experience, morphology, and coloration. Contest intensity is mainly driven by resource- and self-assessment, with males probably using behavioral threat (raised-body displays) and de-escalation signals (foot shakes) to communicate their willingness to engage/persist in a fight. Our results agree with the view that agonistic signals used during contests are not associated with mutual evaluation of developmentally-fixed attributes, and instead animals monitor each other to ensure that their motivation is matched by their rival. We emphasize the importance of testing the effect of signals on receiver behavior and discuss that social recognition in territorial species may select receivers to neglect potential morphological signals conveying static information on sex, age, or intrinsic quality. Behavioral signals outweigh static color patches in determining the winner of territorial disputes. To understand what limits aggression in wall lizards, we recorded social behavior in 10 experimental enclosures. We found that raised-body displays and foot shakes are better predictors of contest outcome than color patches, possibly because lizards use dynamic threat and de-escalation signals to communicate their motivation to engage/persist in a fight, while coloration conveys more general information about sex, age, and quality.</t>
  </si>
  <si>
    <t>Abalos, Javier/AAQ-8844-2020</t>
  </si>
  <si>
    <t>Abalos, Javier/0000-0001-9357-7420</t>
  </si>
  <si>
    <t>JUL 1</t>
  </si>
  <si>
    <t>arae045</t>
  </si>
  <si>
    <t>10.1093/beheco/arae045</t>
  </si>
  <si>
    <t>WOS:001258741000002</t>
  </si>
  <si>
    <t>Dyson, ML; Perez, DM; Curran, T; McCullough, EL; Backwell, PRY</t>
  </si>
  <si>
    <t>Dyson, M. L.; Perez, D. M.; Curran, T.; McCullough, E. L.; Backwell, P. R. Y.</t>
  </si>
  <si>
    <t>The role of claw color in species recognition and mate choice in a fiddler crab</t>
  </si>
  <si>
    <t>Many animal signals are brightly colored and convey information about species identity as well as information about individual conspecifics. Colorful bird and lizard signals have received much attention, and many studies have related specific spectral properties of these signals to variation in mating success and territory defense. Far less attention has been given to invertebrates even though there are spectacularly colorful species. The enlarged claw of the male banana fiddler crabAustruca mjoebergi, for example, is bright yellow and contrasts vividly against the mudflat substrate. It is used in waving displays to attract females and in male territory defense and combat. Claw color varies among males in the degree of yellowness, ranging very pale yellow to orange. In this study, we examined female responses to claw color variation in two-choice tests using robotic crabs. We found that although females strongly discriminate against colors that fall outside the natural range of intensity, hue, and chroma, they show no consistent preferences for different claw colors within the natural range, and no single component of claw color (hue, chroma, or intensity) independently affected female choices. Using three-choice tests, we also showed that female preferences induce stabilizing selection on male claw color. We conclude that, although claw color is sufficient to facilitate species recognition, it is unlikely to be used in intraspecific mate choice to provide information about male quality. Significance statement Fiddler crabs are often brightly colored, are visually orientated animals, and have a highly complex social system. Despite this, there are few studies that have looked at the role of color in species recognition and mate choice in these animals. In this study, we use robotic crabs with painted claws to determine the role of claw color in species recognition and mate choice in the banana fiddler crab,Austruca mjoebergi. We found that color is important in conspecific mate recognition but the variation among males in claw yellowness is unlikely to be used by females in intraspecific mate choice decisions.</t>
  </si>
  <si>
    <t>M. Perez, Daniela/0000-0002-8560-0368; Curran, Tony/0000-0002-7720-2079; dyson, miranda/0000-0002-9963-354X</t>
  </si>
  <si>
    <t>SEP 4</t>
  </si>
  <si>
    <t>10.1007/s00265-020-02899-w</t>
  </si>
  <si>
    <t>WOS:000565883300001</t>
  </si>
  <si>
    <t>Benítez-Burraco, A; Progovac, L</t>
  </si>
  <si>
    <t>Benitez-Burraco, Antonio; Progovac, Ljiljana</t>
  </si>
  <si>
    <t>Language evolution: examining the link between cross-modality and aggression through the lens of disorders</t>
  </si>
  <si>
    <t>PHILOSOPHICAL TRANSACTIONS OF THE ROYAL SOCIETY B-BIOLOGICAL SCIENCES</t>
  </si>
  <si>
    <t>We demonstrate how two linguistic phenomena, figurative language (implicating cross-modality) and derogatory language (implicating aggression), both demand a precise degree of (dis)inhibition in the same cortico-subcortical brain circuits, in particular cortico-striatal networks, whose connectivity has been significantly enhanced in recent evolution. We examine four cognitive disorders/conditions that exhibit abnormal patterns of (dis)inhibition in these networks: schizophrenia (SZ), autism spectrum disorder (ASD), synaesthesia and Tourette's syndrome (TS), with the goal of understanding why the two phenomena altered reactive aggression and altered cross-modality cluster together in these disorders. Our proposal is that enhanced cross-modality (necessary to support language, in particular metaphoricity) was a result, partly a side-effect, of self-domestication (SD). SD targeted the taming of reactive aggression, but reactive impulses are controlled by the same cortico-subcortical networks that are implicated in cross-modality. We further add that this biological process of SD did not act alone, but was engaged in an intense feedback loop with the cultural emergence of early forms of language/grammar, whose high degree of raw metaphoricity and verbal aggression also contributed to increased brain connectivity and cortical control. Consequently, in conjunction with linguistic expressions serving as approximations/'fossils' of the earliest stages of language, these cognitive disorders/conditions serve as confident proxies of brain changes in language evolution, helping us reconstruct certain crucial aspects of early prehistoric languages and cognition, as well as shed new light on the nature of the disorders. This article is part of the theme issue 'Reconstructing prehistoric languages'.</t>
  </si>
  <si>
    <t>Benítez-Burraco, Antonio/N-3339-2014; Progovac, Ljiljana/ABD-7366-2020</t>
  </si>
  <si>
    <t>Benítez-Burraco, Antonio/0000-0003-4574-5666;</t>
  </si>
  <si>
    <t>0962-8436</t>
  </si>
  <si>
    <t>1471-2970</t>
  </si>
  <si>
    <t>MAY 10</t>
  </si>
  <si>
    <t>10.1098/rstb.2020.0188</t>
  </si>
  <si>
    <t>WOS:000631504800001</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</si>
  <si>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</si>
  <si>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</si>
  <si>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</si>
  <si>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</si>
  <si>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</si>
  <si>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</si>
  <si>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</si>
  <si>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</si>
  <si>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</si>
  <si>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Owen, RE; Whidden, TL</t>
  </si>
  <si>
    <t>Owen, Robin E.; Whidden, Troy L.</t>
  </si>
  <si>
    <t>Discrimination of the bumble bee species Bombus occidentalis Greene and B. terricola Kirby by morphometric, colour and RAPD variation</t>
  </si>
  <si>
    <t>ZOOTAXA</t>
  </si>
  <si>
    <t>The taxonomic status of B. terricola Kirby and B. occidentalis Greene has long been questioned. However recent COI gene sequence data suggests that B. occidentalis and B. terricola do represent good biological species. In this paper we test the hypothesis that B. terricola and B. occidentalis are conspecific by using independent morphometric and genetic (RAPD) data. For comparison we also analyzed one consubgeneric species, B. moderatus (now B. crytptarum), and one non-consubgeneric species B. (Pyrobombus) perplexus. Discriminant function analysis of wing morphometric data correctly classified over 85% of the specimens of B. occidentalis and B. terricola. Analysis of molecular variance of the RAPD data showed a significant difference (P &lt; 0.0001) between B. occidentalis and B. terricola. Colour variation from laboratory reared colonies of B. occidentalis suggests that probably two gene locus inheritance is likely but that hybridization as the sole basis for the colour variation seen in the nominate taxon B. occidentalis can be excluded. We conclude that B. terricola and B. occidentalis should be regarded as distinct species which have recently diverged, and that they can be distinguished by wing morphometrics and RAPD genotypes. Where they are sympatric (e.g. in Alberta) colour pattern variation is confined to B. occidentalis.</t>
  </si>
  <si>
    <t>1175-5326</t>
  </si>
  <si>
    <t>1175-5334</t>
  </si>
  <si>
    <t>JAN 22</t>
  </si>
  <si>
    <t>10.11646/zootaxa.3608.5.2</t>
  </si>
  <si>
    <t>WOS:000313804500002</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</si>
  <si>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</si>
  <si>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</si>
  <si>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</si>
  <si>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</si>
  <si>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Rubolini, Diego/F-2851-2011; SACCHI, ROBERTO/E-2141-2011</t>
  </si>
  <si>
    <t>Rubolini, Diego/0000-0003-2703-5783; FASOLA, MAURO/0000-0002-7366-5893; SACCHI, ROBERTO/0000-0002-6199-0074</t>
  </si>
  <si>
    <t>10.1002/ab.20305</t>
  </si>
  <si>
    <t>WOS:000265331000006</t>
  </si>
  <si>
    <t>ROWLAND, WJ</t>
  </si>
  <si>
    <t>THE RELATIONSHIPS AMONG NUPTIAL COLORATION, AGGRESSION, AND COURTSHIP OF MALE 3-SPINED STICKLEBACKS, GASTEROSTEUS-ACULEATUS</t>
  </si>
  <si>
    <t>CANADIAN JOURNAL OF ZOOLOGY</t>
  </si>
  <si>
    <t>A method was devised, using several independent judges, to estimate the degree of nuptial coloration of male 3-spined sticklebacks, G. aculeatus. Using the color-state scores that resulted from this technique, territorial males were compared with respect to their coloration level and with respect to their responsiveness to live and dummy stimulus fish. These comparisons show a positive association between color state and responsiveness; brightly colored males tend to court (zigzag) and attack (bite) stimulus fish more vigorously than duller colored males do. The degree to which a male 3-spined stickleback''s nuptial coloration is developed can be used to some extent to predict its responsiveness, with the particular category of response (courtship or aggression) dependent on the stimulus presented. A close association between zigzag and bite frequencies was found, responsive males showing higher levels of both courtship and aggression than less responsive ones. These results are consistent with evidence pertaining to the hormonal control of nuptial coloration, courtship and aggression and to the signal value of nuptial coloration in G. aculeatus.</t>
  </si>
  <si>
    <t>1480-3283</t>
  </si>
  <si>
    <t>10.1139/z84-141</t>
  </si>
  <si>
    <t>WOS:A1984TE15700001</t>
  </si>
  <si>
    <t>de Oliveira, JJ; Silva, PF; Lopes, FD; Luchiari, AC</t>
  </si>
  <si>
    <t>de Oliveira, Jessica Janine; Silva, Priscila Fernandes; Lopes, Fivia de Araujo; Luchiari, Ana Carolina</t>
  </si>
  <si>
    <t>Individual Differences Guide Mate Choice in the Fighting Fish (Betta splendens)</t>
  </si>
  <si>
    <t>Individual differences in behavior are observed in the variety of ways animals respond to environmental challenges, interact in a social group, take risks to access a resource, and so forth. In the present study, we investigated the behavioral reactions of male and female Siamese fighting fish (Betta splendens) in different contexts and how they affect female mate choice. A total of 100 females and 50 males were classified according to boldness, sociability, and aggression, and then female mate choice was observed based on male profile and body color. Our results showed sex-related differences in Siamese fighting fish behavioral profiles: Males exhibited a higher correlation with aggression and females with boldness. Both male and female behavioral profile affected female mate choice. Females preferred bold red and nonaggressive red males. Sex-related differences in behavioral profiles may reflect ecological differences between male and female Siamese fighting fish. Female mate choice could be related to behavioral profiles that indicate better parental care, as male features may influence parental care decisions and the development of offspring behavioral profiles.</t>
  </si>
  <si>
    <t>Lopes, Fívia/KCX-6209-2024; Luchiari, Ana C/O-3206-2013</t>
  </si>
  <si>
    <t>de Araujo Lopes, Fivia/0000-0002-8388-9786; Fernandes Silva, Priscila/0000-0002-6320-2465; Oliveira, Jessica/0000-0003-1294-3893</t>
  </si>
  <si>
    <t>10.1037/com0000267</t>
  </si>
  <si>
    <t>WOS:000699927200011</t>
  </si>
  <si>
    <t>Jones, JA; Boersma, J; Liu, JW; Nason, D; Ketaloya, S; Karubian, J</t>
  </si>
  <si>
    <t>Jones, John Anthony; Boersma, Jordan; Liu, Jiawen; Nason, Doka; Ketaloya, Serena; Karubian, Jordan</t>
  </si>
  <si>
    <t>Female ornamentation does not predict aggression in a tropical songbird</t>
  </si>
  <si>
    <t>Although conflict is often adaptive and necessary to secure limited resources, it is also frequently a costly endeavor. Signals that reliably communicate competitive ability are commonly employed by animals to reduce conflict costs. Both male and female signals have the capacity to serve as honest indicators of competitive ability, but the extent to which this occurs in females has received relatively limited attention. We studied how natural feather coloration and experimentally manipulated plumage ornamentation in female white-shouldered fairywrens (Malurus alboscapulatus moretoni) relates to their aggressive behavior. These fairywrens are a useful study system in that female, but not male coloration varies throughout New Guinea. We tested behavioral responses to simulated rivals both prior to and after plumage manipulation via two distinct behavioral assays: simulated territorial intrusions (where both sexes jointly respond to rival intruders) and mirror image simulation (where females are isolated from their mate). Plumage manipulation treatments had no measurable impact on female aggression during mirror image simulation tests, though aggression did decrease over the course of multiple assays. Similarly, using simulated territorial intrusion assays, we found no difference in female aggression with respect to both natural coloration and manipulation treatment. Finally, our correlative analysis of natural feather color also revealed no detectable relationship. These findings suggest that female white scapular coloration is unlikely to function as a signal of competitive ability in this tropical species with derived female ornamentation and we discuss possible alternative explanations. Significance statement Like their showy male counterparts, female animals may use plumage-based signals to mediate aggressive encounters. Determining if and how signals used in female-female competition may mitigate the costs of agonistic encounters is particularly important, as it is thought to be a key driver of female signal evolution. We used a repeated-measures design and two distinct behavioral assays to explore how both manipulated and natural feather coloration relate to aggression in female white-shouldered fairywrens of Papua New Guinea - a species with female, but not male, plumage polymorphisms. We were unable to detect any differences in aggression with respect to female plumage coloration despite two distinct behavioral assays that mimic distinct social contexts, suggesting that female plumage coloration may function in other contexts or lack a modern signaling function altogether in this system.</t>
  </si>
  <si>
    <t>Karubian, Jordan/A-4364-2015; Liu, Jiawen/AAQ-4168-2020</t>
  </si>
  <si>
    <t>Liu, Jiawen/0000-0002-1733-3501; Jones, John Anthony/0000-0003-2615-1248</t>
  </si>
  <si>
    <t>10.1007/s00265-022-03165-x</t>
  </si>
  <si>
    <t>WOS:000779357300001</t>
  </si>
  <si>
    <t>Colours of stress in male Indian rock agamas predict testosterone levels but not performance</t>
  </si>
  <si>
    <t>Rapid physiological colour change offers dynamic signalling opportunities that can reveal distinct information to receivers in different contexts. Information content in dynamic colours, however, is largely unexplored. In males of the Indian rock agama (Psammophilus dorsalis), stressful events, including male-male agonistic interactions, induce a colour change, wherein the dorsal band turns yellow and the lateral bands turn orange. We aimed to determine whether these pigment-based dynamic colours convey information about individual quality. Using an agamid-specific visual model, we first quantified the chromatic and achromatic contrasts of each colour component displayed by males during handling stress, which induces the maximal response of aggression-typical colours. We then measured baseline testosterone levels, morphology (body mass and size), and performance measures (bite force and sprint speed) of these lizards. Chromatic contrasts of the dorsal yellow and lateral orange bands, individually and relative to each other (internal pair), were negatively correlated with testosterone levels, while the chromatic contrast of the internal pair was positively correlated with body condition. The lack of an association between colour contrasts and both bite force and sprint speed indicate that the conspicuousness of colours expressed during stressful events, such as agonistic interactions, do not reveal male performance ability. Despite our expectations of a positive relationship with testosterone, morphology (body condition), and performance (bite force, sprint speed), we find that for P. dorsalis, the conspicuousness of stress-induced colours provide only some information about individual quality. We speculate that the dynamicity of physiological colours may influence their function as content-containing signals in social interactions.</t>
  </si>
  <si>
    <t>Amdekar, Madhura S/0000-0003-1741-6646; Thaker, Maria/0000-0001-6019-2639</t>
  </si>
  <si>
    <t>10.1016/j.yhbeh.2022.105214</t>
  </si>
  <si>
    <t>JUN 2022</t>
  </si>
  <si>
    <t>WOS:000815736500002</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</si>
  <si>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</si>
  <si>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</si>
  <si>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</si>
  <si>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</si>
  <si>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Seehausen, Ole/0000-0001-6598-1434; Dijkstra, Peter/0000-0001-5382-225X</t>
  </si>
  <si>
    <t>10.1016/j.anbehav.2008.03.013</t>
  </si>
  <si>
    <t>WOS:000258490800015</t>
  </si>
  <si>
    <t>Soudry, O; Kaira, H; Parsa, S; Mendelson, T</t>
  </si>
  <si>
    <t>Soudry, Olivia; Kaira, Hatib; Parsa, Shabnam; Mendelson, Tamra</t>
  </si>
  <si>
    <t>Male rainbow darters (Etheostoma caeruleum) prefer larger conspecific females</t>
  </si>
  <si>
    <t>Female mate choice is a well studied mechanism of sexual selection that can affect the evolution of male secondary sexual traits. However, males also exhibit selective mate choice in some animals, which can affect the evolution of female phenotypes. We tested for evidence of intraspecific male mate choice in the Rainbow Darter (Percidae: Etheostoma caeruleum). Males of numerous darter species have been shown to prefer conspecific over heterospecific females; however, intraspecific preferences in males have not yet been demonstrated in this genus. This study investigated male preference for indicators of female fecundity, specifically female size. We found that male Rainbow Darters prefer larger females, both in dichotomous choice tests, when access between individuals was prevented, and in unrestricted behavioral tests with full access to females. Notably, however, the dichotomous trials were not repeatable; males only displayed a significant preference for larger females in the first dichotomous trial and in the unrestricted trial. We discuss our results in light of experimental methods and the role of male mate choice in sexual selection.</t>
  </si>
  <si>
    <t>10.1016/j.beproc.2019.104013</t>
  </si>
  <si>
    <t>WOS:000519226600012</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</si>
  <si>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</si>
  <si>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</si>
  <si>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</si>
  <si>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</si>
  <si>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Palme, Rupert/A-3499-2008</t>
  </si>
  <si>
    <t>Palme, Rupert/0000-0001-9466-3662; Hiebl, Bernhard/0000-0002-6450-0675</t>
  </si>
  <si>
    <t>10.1016/j.applanim.2020.104939</t>
  </si>
  <si>
    <t>WOS:000524493000008</t>
  </si>
  <si>
    <t>Melèndez-Ackerman, E; Campbell, DR</t>
  </si>
  <si>
    <t>Adaptive significance of flower color and inter-trait correlations in an Ipomopsis hybrid zone</t>
  </si>
  <si>
    <t>Flower color is often viewed as a trait that signals rewards to pollinators, such that the relationship between flower color and plant fitness might result from its association with another trait. We used experimental manipulations of flower color and nectar reward to dissociate the natural character correlations present in a hybrid zone between Ipomopsis aggregata and Ipomopsis tenuituba. Isozyme markers were used to follow the male and female reproductive success of these engineered phenotypes. One field experiment compared fitnesses of I. aggregata plants that varied only in flower color. Plants with flowers painted red received more hummingbird visits and sired more seeds than did plants with flowers painted pink or white to match those of hybrids and I. tenuituba. Our second held experiment compared fitnesses of I. aggregata, I. tenuituba, and hybrid plants in an unmanipulated array and in a second array where all flowers were painted red. In the unmanipulated array, I. aggregata received more hummingbird visits, set more seeds per flower, and sired more seeds per flower. These fitness differences largely disappeared when the color differences were eliminated. The higher male fitness of I. aggregata was due to its very high success at siring seeds on conspecific recipients. On both I. tenuituba and hybrid recipients, hybrid plants sired the most seeds, despite showing lower pollen fertility than I. aggregata in mixed donor pollinations in the greenhouse. Ipomopsis tenuituba had a fitness of only 13% relative to I. aggregata when traits varied naturally, compared to a fitness of 36% for white relative to red flowers when other traits were held constant.</t>
  </si>
  <si>
    <t>Campbell, Diane/A-1653-2012</t>
  </si>
  <si>
    <t>Campbell, Diane/0000-0002-1147-846X</t>
  </si>
  <si>
    <t>10.2307/2411299</t>
  </si>
  <si>
    <t>WOS:000076931100006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</si>
  <si>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</si>
  <si>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</si>
  <si>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</si>
  <si>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</si>
  <si>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</si>
  <si>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</si>
  <si>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Yang, YS; Prémel, V; Richards-Zawacki, CL</t>
  </si>
  <si>
    <t>Yang, Yusan; Premel, Vincent; Richards-Zawacki, Corinne L.</t>
  </si>
  <si>
    <t>Prior residence effect determines success of male-male territorial competition in a color polymorphic poison frog</t>
  </si>
  <si>
    <t>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frogOophaga pumilio. Males of differentO. pumiliocolor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wildO. pumilio. Thus, contradicting our hypothesis, male-male territorial competition alone seems unlikely to exert selection on coloration in this contact zone.</t>
  </si>
  <si>
    <t>10.1111/eth.13093</t>
  </si>
  <si>
    <t>WOS:000572325900001</t>
  </si>
  <si>
    <t>Obara, Y; Ozawa, G; Fukano, Y; Watanabe, K; Satoh, T</t>
  </si>
  <si>
    <t>Obara, Yoshiaki; Ozawa, Gaku; Fukano, Yuya; Watanabe, Kenta; Satoh, Toshiyuki</t>
  </si>
  <si>
    <t>Mate preference in males of the cabbage butterfly, Pieris rapae crucivora, changes seasonally with the change in female UV color</t>
  </si>
  <si>
    <t>ZOOLOGICAL SCIENCE</t>
  </si>
  <si>
    <t>We initially investigated whether females of the cabbage butterfly, Pieris rapae crucivora, exhibit a seasonal change in ultraviolet wing color, which is a key stimulus for mate recognition by conspecific males, and whether and how a seasonal change affects the mating behavior of the males. We found that female UV wing color changes seasonally, the color being more pronounced in summer than in spring or autumn. We also demonstrated that male mate preference changes seasonally, concomitantly with the change in female UV color. Specifically, males appearing in summer exhibit a mating preference for summer-form females over spring- or autumn-form females, while those appearing in spring or autumn exhibit no seasonal preference, thereby facilitating more effective mate location. Our results suggest that this field of study will require more strictly controlled experimental investigation in which the seasonal change in UV color is considered when UV-influenced mating behaviors such as mate choice are investigated.</t>
  </si>
  <si>
    <t>Satoh, Toshiyuki/C-8374-2013</t>
  </si>
  <si>
    <t>0289-0003</t>
  </si>
  <si>
    <t>10.2108/zsj.25.1</t>
  </si>
  <si>
    <t>WOS:000256943500001</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</si>
  <si>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</si>
  <si>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</si>
  <si>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10.1016/j.anbehav.2009.01.031</t>
  </si>
  <si>
    <t>WOS:000265283900036</t>
  </si>
  <si>
    <t>Wang, Q</t>
  </si>
  <si>
    <t>Sexual selection of Zorion guttigerum Westwood (Coleoptera: Cerambycidae: Cerambycinae) in relation to body size and color</t>
  </si>
  <si>
    <t>JOURNAL OF INSECT BEHAVIOR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</si>
  <si>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</si>
  <si>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</si>
  <si>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</si>
  <si>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0892-7553</t>
  </si>
  <si>
    <t>1572-8889</t>
  </si>
  <si>
    <t>10.1023/A:1020747907490</t>
  </si>
  <si>
    <t>WOS:000178788900005</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</si>
  <si>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</si>
  <si>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</si>
  <si>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</si>
  <si>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</si>
  <si>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Rick, Ingolf P/AAP-2531-2020; Bakker, Theo/AAI-3587-2020; Rick, Ingolf P/C-1387-2010</t>
  </si>
  <si>
    <t>Rick, Ingolf P/0000-0001-8072-6933;</t>
  </si>
  <si>
    <t>10.1093/cz/zov009</t>
  </si>
  <si>
    <t>WOS:000374258900004</t>
  </si>
  <si>
    <t>SUMMERS, CH; GREENBERG, N</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</si>
  <si>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</si>
  <si>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</si>
  <si>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Summers, Cliff/0000-0002-9051-2696</t>
  </si>
  <si>
    <t>10.1006/hbeh.1994.1003</t>
  </si>
  <si>
    <t>WOS:A1994NG07100003</t>
  </si>
  <si>
    <t>Schröder, R; Linkem, CN; Rivera, JA; Butler, MA</t>
  </si>
  <si>
    <t>Schroeder, Roland; Linkem, Christina N.; Rivera, Julio A.; Butler, Marguerite A.</t>
  </si>
  <si>
    <t>Should I stay or should I go? Perching damselfly use simple colour and size cues to trigger flight</t>
  </si>
  <si>
    <t>How do flying insects correctly respond to visual stimuli in complex natural environments? The spectacular coloration of some orders suggests that colour cues are important. Size may contain useful information as well, but insects are limited in resolving fine spatial detail due to the structure of their compound eyes. Although there have been many studies of experimentally altered body colour and pattern, we know surprisingly little about simple, isolated cues that insects use to take off after objects. Specifically, whether it is colour, size or some combination that triggers pursuit. We presented artificial bead stimuli of varying colours and sizes to perching males of the Hawaiian orangeblack damselfly Megalagrion xanthomelas in their natural forested stream habitat. Damselflies were most vigorously responsive to conspecific colours - attacking red (males) and tracking brown (females). Other colours with lesser biological relevance inspired lower response rates. Interestingly, size strongly modulated responses, whereby attack responses towards the smallest bead sizes transitioned to tracking or avoidance at the larger bead sizes. Although small beads are inherently more difficult to see, they triggered responses from greatest distances, even beyond the calculated stereopsis range of 17.5 cm. Damselflies had an object detection threshold of 0.34 degrees within a high-resolution frontally directed acute zone with an interommatidial angle of 0.82 degrees. We found evidence that size and colour serve as discrimination filters to efficiently identify objects of interest while ignoring visual noise. Simple schemes for object discrimination may help to explain how insects can differentiate among prey and conspecifics, and why multiple species can exist in the same community despite being similar in colour. We discuss implications for visual capabilities, and how visual systems that can readily discriminate size and colour can contribute to extraordinary phenotypic diversity. (C) 2018 The Association for the Study of Animal Behaviour. Published by Elsevier Ltd. All rights reserved.</t>
  </si>
  <si>
    <t>Butler, Marguerite/B-6700-2011</t>
  </si>
  <si>
    <t>Butler, Marguerite/0000-0002-2039-5965</t>
  </si>
  <si>
    <t>10.1016/j.anbehav.2018.08.015</t>
  </si>
  <si>
    <t>WOS:000449696600003</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</si>
  <si>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</si>
  <si>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</si>
  <si>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</si>
  <si>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</si>
  <si>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t>
  </si>
  <si>
    <t>Pierotti, Michele E R/0000-0003-2837-6192; Yong, Lengxob/0000-0002-7459-4863</t>
  </si>
  <si>
    <t>10.1093/beheco/arv037</t>
  </si>
  <si>
    <t>WOS:000358171600013</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</si>
  <si>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</si>
  <si>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</si>
  <si>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</si>
  <si>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Seehausen, Ole/0000-0001-6598-1434; Schluter, Dolph/0000-0003-1683-7836</t>
  </si>
  <si>
    <t>JUL 7</t>
  </si>
  <si>
    <t>10.1098/rspb.2004.2737</t>
  </si>
  <si>
    <t>WOS:000222576500004</t>
  </si>
  <si>
    <t>Barry, KL; White, TE; Rathnayake, DN; Fabricant, SA; Herberstein, ME</t>
  </si>
  <si>
    <t>Barry, Katherine L.; White, Thomas E.; Rathnayake, Darshana N.; Fabricant, Scott A.; Herberstein, Marie E.</t>
  </si>
  <si>
    <t>Sexual signals for the colour-blind: cryptic female mantids signal quality through brightness</t>
  </si>
  <si>
    <t>FUNCTIONAL ECOLOGY</t>
  </si>
  <si>
    <t>Cryptic coloration may evolve in response to selective pressure imposed by predators, yet effective intraspecific communication may require some level of detectability. This creates a tension between the benefits of sexually selected visual traits and the predatory costs imposed by greater conspicuousness, and little is known about how this tension may be ameliorated in highly cryptic species. We explore these competing demands in the false garden mantid Pseudomantis albofimbriata, a colour-blind and seemingly cryptic insect. We use reflectance spectrometry and receptor-noise modelling to characterize the conspicuousness of mantid body regions in the visual systems of mates (mantids), as well as potential predators (birds) and prey (bees). We then use condition manipulation and conspecific choice tests to further explore the colour traits of interest. Based on visual modelling, we find that male mantids are inconspicuous to conspecifics, prey and predators - that is, they are chromatically and achromatically cryptic. In contrast, female mantids are chromatically cryptic to all potential receivers, but their abdomens are achromatically conspicuous. Our food manipulation experiment shows that females in good condition (and therefore with more eggs) have brighter abdomens than females in poor condition. Choice assays show male mantids are consistently attracted to females bearing brighter abdomens. Our results reveal brightness-mediated sexual signalling in a colour-blind and classically cryptic insect. By communicating in the only visual channel available to them, female mantids are conspicuously signalling their quality to mates, while potentially minimizing their conspicuousness to predators and prey. Furthermore, by signalling with only a single body region, female mantids are apparently using coincident disruptive coloration to further decrease detectability to potential eavesdroppers. Our data reveal a novel example of the way in which the trade-off between sexual selection for conspicuousness and natural selection for crypsis may be mediated in a visual signalling system. Such signals may be common in apparently cryptic species, and this study once again demonstrates the importance of analysing visual signals beyond the capacity of human vision.</t>
  </si>
  <si>
    <t>Barry, Katherine L/B-6743-2008; Herberstein, Marie/D-2042-2011; Fabricant, Scott/H-1005-2014</t>
  </si>
  <si>
    <t>Herberstein, Marie/0000-0001-5071-2952; Fabricant, Scott/0000-0003-3080-7895; White, Thomas/0000-0002-3976-1734; Rathnayake, Darshana/0000-0002-4238-6533</t>
  </si>
  <si>
    <t>0269-8463</t>
  </si>
  <si>
    <t>1365-2435</t>
  </si>
  <si>
    <t>10.1111/1365-2435.12363</t>
  </si>
  <si>
    <t>WOS:000353684800011</t>
  </si>
  <si>
    <t>Detection and response to conspecific chemical cues by ornate tree lizards (Urosaurus ornatus)</t>
  </si>
  <si>
    <t>JOURNAL OF HERPETOLOGY</t>
  </si>
  <si>
    <t>Although many lizard species detect and respond to conspecific chemical cues, variation in this ability among populations of the same species from different habitat types is less well understood. We compared chemoreceptive behaviors and head-bobs in response to conspecific chemical cues by Ornate Tree Lizards (Urosaurus ornatus) between populations from an upland forested habitat and a lowland desert habitat. Under this experimental design, U. ornatus from different habitats performed chemoreceptive behaviors and head-bobs at similar rates. Rate of chemoreceptive behaviors and head-bobs in response to chemical cues deposited by same- and opposite-sex conspecifics was higher than that of cues deposited by the subject in their home tank, demonstrating that U. ornatus has the ability to detect cues from conspecifics. Head-bob rate was also higher in same- and opposite-sex tanks compared to home tanks, demonstrating that chemical cues alter the rate of a social display behavior. Urosaurus ornatus exhibited chemosensory behavior at rates similar to rates reported for this species and lower than those reported for other phrynosomatid lizards, suggesting a lower reliance on chemical cues in social interactions.</t>
  </si>
  <si>
    <t>0022-1511</t>
  </si>
  <si>
    <t>1937-2418</t>
  </si>
  <si>
    <t>10.1670/207-04N.1</t>
  </si>
  <si>
    <t>WOS:000232114800022</t>
  </si>
  <si>
    <t>Russell, AL; Newman, CR; Papaj, DR</t>
  </si>
  <si>
    <t>Russell, Avery L.; Newman, China Rae; Papaj, Daniel R.</t>
  </si>
  <si>
    <t>White flowers finish last: pollen-foraging bumble bees show biased learning in a floral color polymorphism</t>
  </si>
  <si>
    <t>Pollinator-driven selection is thought to drive much of the extraordinary diversity of flowering plants. Plants that produce floral traits preferred by particular pollinators are more likely to receive conspecific pollen and to evolve further adaptations to those pollinators that enhance pollination and ultimately generate floral diversity. Two mechanisms in particular, sensory bias and learning, are thought to explain how pollinator preference can contribute to divergence and speciation in flowering plants. While the preferences of pollinators, such as bees, flies, and birds, are frequently implicated in patterns of floral trait evolution, the role of learning in generating reproductive isolation and trait divergence for different floral types within plant populations is not well understood. Floral color polymorphism in particular provides an excellent opportunity to examine how pollinator behavior and learning might maintain the different floral morphs. In this study we asked if bumble bees showed innate preferences for different color morphs of the pollen-only plant Solanum tridynamum, whether bees formed preferences for the morphs with which they had experience collecting pollen from, and the strength of those learned preferences. Using an absolute conditioning protocol, we gave bees experience collecting pollen from a color polymorphic plant species that offered only pollen rewards. Despite initially-na &lt; ve bees showing no apparent innate bias toward human-white versus human-purple flower morphs, we did find evidence of a bias in learning. Specifically, bees learned strong preferences for purple corollas, but learned only weak preferences for hypochromic (human-white) corollas. We discuss how our results might explain patterns of floral display evolution, particularly as they relate to color polymorphisms. Additionally, we propose that the ease with which floral visual traits are learned-i.e., biases in learning-can influence the evolution of floral color as a signal to pollinators.</t>
  </si>
  <si>
    <t>Russell, Avery/0000-0001-8036-2711</t>
  </si>
  <si>
    <t>10.1007/s10682-016-9848-1</t>
  </si>
  <si>
    <t>WOS:000397595600003</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</si>
  <si>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</si>
  <si>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</si>
  <si>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</si>
  <si>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</si>
  <si>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</si>
  <si>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</si>
  <si>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ROBERTSON, CM</t>
  </si>
  <si>
    <t>ASPECTS OF SEXUAL DISCRIMINATION BY FEMALE SIAMESE FIGHTING FISH (BETTA-SPLENDENS REGAN)</t>
  </si>
  <si>
    <t>The responses of female B. splendens to various stimuli presented behind a transparent partition were recorded. The stimuli comprised live male and female B. splendens, 8 motionless model B. splendens and an empty-tank control. The models consisted of 4 pairs, one member of which had long male-like fins and raised opercula, and the other, short female-like fins and lowered opercula. The 1st pair had lifelike coloring; the other 3 pairs had aggressive, submissive and reproductive colorings, respectively. The responses to live males and females differed primarily in the amounts of agonistic behavior shown to each, and in the color pattern adopted. A principal components analysis was used to analyze the data. Four main possible motivational systems were suggested influencing a female''s response to a conspecific. These were similar to systems suggested for males. They were: a close display response elicited by a female conspecific; a mate-or-flee response to a male conspecific (affecting primarily the color pattern adopted by the female); an overt-aggression response most often elicited by a female conspecific; and a curiosity response indicating interest in a stimulus. The females grouped the live female and live male separately from each other and from all other stimuli. The control was also separated from the model stimuli, which were treated as a single group except for the lifelike and reproductive female models, which were slightly separated from the rest. Females may distinguish 3 classes of conspecific behavior: displaying female, courting male and other. Females may discriminate the sex of conspecifics using only fin length and body pattern cues, but unlike the males, these cues are not the primary ones.</t>
  </si>
  <si>
    <t>10.1163/156853979X00115</t>
  </si>
  <si>
    <t>WOS:A1979HU60900006</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</si>
  <si>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</si>
  <si>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</si>
  <si>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</si>
  <si>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Andersson, Staffan/B-1534-2010; Pryke, Sarah/G-7484-2011; Lawes, Michael J/N-2132-2013</t>
  </si>
  <si>
    <t>Andersson, Staffan/0000-0003-1474-3596; Lawes, Michael J/0000-0002-2381-6147</t>
  </si>
  <si>
    <t>10.1006/anbe.2001.1804</t>
  </si>
  <si>
    <t>WOS:000172189400010</t>
  </si>
  <si>
    <t>Cavallero, L; Morales, CL; Montero-Castao, A; Gowda, JH; Aizen, MA</t>
  </si>
  <si>
    <t>Cavallero, L.; Morales, C. L.; Montero-Castao, A.; Gowda, J. H.; Aizen, M. A.</t>
  </si>
  <si>
    <t>Scale-dependent effects of conspecific flower availability on pollination quantity and quality in an invasive shrub</t>
  </si>
  <si>
    <t>Pollen limitation can strongly influence reproduction of pollinator-dependent plants. Flower abundance can affect pollination 'quantity' and 'quality' due to its influence on pollen availability and foraging patterns of pollinators, ultimately impacting on seed production. We complemented individual-based measurements with landscape-level metrics to assess the influence of conspecific flower availability at different spatial scales on the quantity and quality components of pollination, and their impact on seed production in the invasive shrub Cytisus scoparius. In 2013-2014, we sampled 40 C. scoparius populations in Nahuel Huapi National Park, Patagonia (Argentina). In each population, we estimated the proportion of tripped flowers, fruit- and seed-set in five randomly selected individuals. The proportion of tripped flowers and the proportion of them setting fruit were used as proxies of pollination quantity and quality, respectively. Conspecific flower availability at distinct spatial scales (5-1000 m) was estimated as the area covered by flowering C. scoparius from color aerial photographs. Flower availability influenced seed output due to contrasting scale-dependent effects on pollination quantity and quality. Increasing flower availability at the landscape-scale reduced pollination quantity, whereas at the neighborhood-scale it increased pollination quality. The overall positive effect of flower availability on seed output at the neighborhood scale was slightly higher than the overall negative effect at the landscape scale. Moreover, pollination quality had a higher positive effect on seed output than pollination quantity. Our results demonstrate that pollination quality may severely limit plant reproduction. Pollination quality limitation can act independently of pollination quantity limitation because these factors operate at different spatial scales.</t>
  </si>
  <si>
    <t>Gowda, Juan/ABE-6184-2020; Montero-Castano, Ana/M-8541-2015</t>
  </si>
  <si>
    <t>Gowda, Juan/0000-0001-5481-3793; Cavallero, Laura/0000-0002-7630-003X; Montero-Castano, Ana/0000-0003-2631-0085; Aizen, Marcelo/0000-0001-9079-9749</t>
  </si>
  <si>
    <t>10.1007/s00442-018-4239-7</t>
  </si>
  <si>
    <t>WOS:000445426400015</t>
  </si>
  <si>
    <t>Sanmartín-Villar, I; Cordero-Rivera, A</t>
  </si>
  <si>
    <t>Sanmartin-Villar, I.; Cordero-Rivera, A.</t>
  </si>
  <si>
    <t>Female Colour Polymorphism and Unique Reproductive Behaviour in Polythore Damselflies (Zygoptera: Polythoridae)</t>
  </si>
  <si>
    <t>NEOTROPICAL ENTOMOLOGY</t>
  </si>
  <si>
    <t>We studied Polythore damselflies by mark-recapture techniques in the Jatun Sacha Biological Reserve (Ecuador) for a period of 48 days in October-December 2014. Three species were found: Polythore mutata (MacLachlan) was the commonest species (111 individuals marked), Polythore derivata (MacLachlan) was rare (24 individuals) and Polythore concinna (MacLachlan) occasional (four individuals). In P. mutata, we found two phenotypes amongst females, one of them with a white band on the wings, very similar in colouration to the conspecific male (androchrome), and the other with an amber band (gynochrome). The recapture of marked females indicates that both phenotypes are maintained since emergence to maturation and are not age-related (i.e. polymorphism). Androchromes represent 40% of females observed. The colour of the wing band showed an age-dependent change in size with opposite trends between sexes, increasing in males and decreasing in females. Males and females were observed to return to the same forest locations in different days. Courtships and ovipositions involving androchrome females were not observed. No matings were observed in any morph. In contrast, we recorded two consecutive matings of one female P. derivata. We found that Polythore males grasp the mesothorax of females during mating instead of the prothorax as in other Zygoptera. We discuss the rarity of reproductive behaviour in this genus and how female morphs might be maintained.</t>
  </si>
  <si>
    <t>Cordero-Rivera, Adolfo/K-4182-2014; Sanmartín-Villar, Iago/L-3082-2019</t>
  </si>
  <si>
    <t>Sanmartín-Villar, Iago/0000-0002-5008-7613</t>
  </si>
  <si>
    <t>1519-566X</t>
  </si>
  <si>
    <t>1678-8052</t>
  </si>
  <si>
    <t>10.1007/s13744-016-0417-7</t>
  </si>
  <si>
    <t>WOS:000389000400006</t>
  </si>
  <si>
    <t>Brown, DM; Lattanzio, MS</t>
  </si>
  <si>
    <t>Brown, Dawson M.; Lattanzio, Matthew S.</t>
  </si>
  <si>
    <t>Resource variability and the collapse of a dominance hierarchy in a colour polymorphic species</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</si>
  <si>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</si>
  <si>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10.1163/1568539X-00003498</t>
  </si>
  <si>
    <t>WOS:000437348800001</t>
  </si>
  <si>
    <t>Saverino, C; Gerlai, R</t>
  </si>
  <si>
    <t>Saverino, Cristina; Gerlai, Robert</t>
  </si>
  <si>
    <t>The social zebrafish: Behavioral responses to conspecific, heterospecific, and computer animated fish</t>
  </si>
  <si>
    <t>Zebrafish has been in the forefront of developmental biology and genetics, but only recently has interest in their behavior increased. Zebrafish are small and prolific, which lends this species to high throughput screening applications. A typical feature of zebrafish is its propensity to aggregate in groups, a behavior known as shoaling. Thus, zebrafish has been proposed as a possible model organism appropriate for the analysis of the genetics of vertebrate social behavior. However, shoaling behavior is not well characterized in zebrafish. Here, using a recently developed software application, we first investigate how zebrafish respond to conspecific and heterospecific fish species that differ in coloration and/or shoaling tendencies. We found that zebrafish shoaled with their own species but not with two heterospecific species, one of which was a shoaling the other a non-shoaling species. In addition, we have started the analysis of visual stimuli that zebrafish may utilize to determine whether to shoal with a fish or not. We systematically modified the color, the location, the pattern, and the body shape of computer animated zebrafish images and presented them to experimental zebrafish. The subjects responded differentially to some of these stimuli showing preference for yellow and avoidance of elongated zebrafish images. Our results suggest that computerized stimulus presentation and automated behavioral quantification of zebrafish responses are feasible, which in turn implies that high throughput forward genetic mutation or drug screening will be possible in the analysis of social behavior with this model organism. (C) 2008 Elsevier B.V. All rights reserved.</t>
  </si>
  <si>
    <t>AUG 5</t>
  </si>
  <si>
    <t>10.1016/j.bbr.2008.03.013</t>
  </si>
  <si>
    <t>WOS:000256786700012</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</si>
  <si>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</si>
  <si>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</si>
  <si>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</si>
  <si>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</si>
  <si>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</si>
  <si>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Fontana, Barbara D./AAJ-4606-2021; Rosemberg, Denis B/E-5971-2016; Quadros, Vanessa Andreatta/AAD-1177-2022; Blaser, Rachel/A-3341-2012</t>
  </si>
  <si>
    <t>Fontana, Barbara D./0000-0003-2832-400X; Costa da Rosa, Luiz Vinicius/0000-0002-8357-2367; Mezzomo, Nathana/0000-0001-7855-4343; Quadros, Vanessa/0000-0002-2438-0963; Rosemberg, Denis/0000-0003-2538-8761; Blaser, Rachel/0000-0002-4342-532X</t>
  </si>
  <si>
    <t>0091-3057</t>
  </si>
  <si>
    <t>1873-5177</t>
  </si>
  <si>
    <t>10.1016/j.pbb.2015.11.011</t>
  </si>
  <si>
    <t>WOS:000369466100003</t>
  </si>
  <si>
    <t>Lanser, DM; Vredevoe, LK; Kolluru, GR</t>
  </si>
  <si>
    <t>Lanser, Dylan M.; Vredevoe, Larisa K.; Kolluru, Gita R.</t>
  </si>
  <si>
    <t>Tick parasitism impairs contest behavior in the western fence lizard (Sceloporus occidentalis)</t>
  </si>
  <si>
    <t>Parasites may impair host behavior in ways that reduce host fitness, especially when access to territories or mates becomes disrupted. Western fence lizards (Sceloporus occidentalis) are a key host to western blacklegged ticks (Ixodes pacificus). Males are highly aggressive during the mating season, competing with rivals through displays of color badges, pushups, and other behaviors. We hypothesized that experimental tick infestation diminishes the performance of male western fence lizards in intrasexual contests, via either blood loss, damage to sensory structures, or both. We infested adult males with larval ticks for 7 to 10 days, staged contests between infested and quality-matched control males, and measured their behavior in enclosure arenas. Infested lizards were less aggressive and exhibited decreased hematocrit, compared to non-infested animals. We found no relationships between aggression and either body size or blue ventral badge color traits, for either infested or uninfested males. There was also no effect of tick attachment location and hemoparasite infection on host contest behavior. This is the first demonstration of the impact of I. pacificus parasitism on intraspecific interactions of western fence lizards and suggests that tick infestation has substantial impacts on lizard fitness. Because I. pacificus rely heavily on these lizards for blood meals and dispersal, these impacts could also influence the abundance of ticks and the pathogens they vector. Significance statement Parasitism frequently impairs host behavior. We investigated the effect of blacklegged tick parasitism on western fence lizard contest behavior using a lab-based manipulation experiment. We demonstrated that tick infestation reduced lizard aggressiveness, which may lead to territory loss and reduced mating opportunities in the wild. We found no evidence that host body size or coloration are correlated with aggression. This study adds to a growing body of evidence that tick parasitism is costly for lizards, while demonstrating the usefulness of manipulation experiments to understand host-parasite interactions.</t>
  </si>
  <si>
    <t>10.1007/s00265-021-02980-y</t>
  </si>
  <si>
    <t>WOS:000613234900001</t>
  </si>
  <si>
    <t>Cassey, P; Ewen, JG; Marshall, NJ; Vorobyev, M; Blackburn, TM; Hauber, ME</t>
  </si>
  <si>
    <t>Cassey, Phillip; Ewen, John G.; Marshall, N. Justin; Vorobyev, Misha; Blackburn, Tim M.; Hauber, Mark E.</t>
  </si>
  <si>
    <t>Are avian eggshell colours effective intraspecific communication signals in the Muscicapoidea? A perceptual modelling approach</t>
  </si>
  <si>
    <t>Diversity in the colour and appearance of avian eggshells has been proposed to serve a variety of visual functions, including crypsis from predation, mimicry and discrimination in facultative and obligate brood parasitism, and sexually selected intraspecific signalling of the extent of maternal investment in the egg. Here, we apply a photoreceptor noise-limited colour opponent model of avian perception to assess a necessary corollary of any intraspecific signalling hypothesis, namely that individual birds are able to discriminate between colours of eggs in different conspecific clutches. Clutches from 46 species in the superfamily Muscicapoidea were measured at the Natural History Museum collection in Tring, UK. The results demonstrate that, for these particular species, most eggs are predicted not to be easily discriminable from those in other conspecific clutches in terms of the shells' background coloration. These findings are of fundamental concern to any signalling hypothesis that looks to explain the evolution of avian-visible egg colour polymorphism through selection at the intraspecific level. Importantly, future studies should combine both the proximate mechanisms and the ultimate functions of trait variability when testing hypotheses of the variability in eggshell appearance.</t>
  </si>
  <si>
    <t>Blackburn, Tim M/A-7685-2011; Blackburn, Tim/AAC-3144-2019</t>
  </si>
  <si>
    <t>Blackburn, Tim/0000-0003-0152-2663; Marshall, Justin/0000-0001-9006-6713; Cassey, Phillip/0000-0002-2626-0172</t>
  </si>
  <si>
    <t>10.1111/j.1474-919X.2009.00953.x</t>
  </si>
  <si>
    <t>WOS:000269977000006</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</si>
  <si>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</si>
  <si>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</si>
  <si>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</si>
  <si>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</si>
  <si>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</si>
  <si>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</si>
  <si>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</si>
  <si>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</si>
  <si>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</si>
  <si>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Verzijden, Machteld N/F-3754-2011; Hofmann, Hans/E-4538-2016</t>
  </si>
  <si>
    <t>Hofmann, Hans/0000-0002-3335-330X; Dijkstra, Peter/0000-0001-5382-225X; Verzijden, Machteld/0000-0001-8989-8897</t>
  </si>
  <si>
    <t>10.1016/j.yhbeh.2012.01.011</t>
  </si>
  <si>
    <t>WOS:000302763700008</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</si>
  <si>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</si>
  <si>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</si>
  <si>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</si>
  <si>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</si>
  <si>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</si>
  <si>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Harris, Rayna M/0000-0002-7943-5650; Dijkstra, Peter/0000-0001-5382-225X</t>
  </si>
  <si>
    <t>MAR 29</t>
  </si>
  <si>
    <t>10.1098/rspb.2016.2838</t>
  </si>
  <si>
    <t>WOS:000397884000018</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</si>
  <si>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</si>
  <si>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</si>
  <si>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</si>
  <si>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</si>
  <si>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 Scaia, Maria Florencia/L-2769-2015</t>
  </si>
  <si>
    <t>Somoza, Gustavo Manuel/0000-0002-3638-702X; Scaia, Maria Florencia/0000-0003-4069-5567</t>
  </si>
  <si>
    <t>10.1016/j.beproc.2017.12.015</t>
  </si>
  <si>
    <t>WOS:000423645400009</t>
  </si>
  <si>
    <t>López, P; Martín, J; Cuadrado, M</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</si>
  <si>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</si>
  <si>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</si>
  <si>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Lopez, Pilar/K-6221-2014; martin, jose/B-1073-2014</t>
  </si>
  <si>
    <t>Lopez, Pilar/0000-0001-6577-1509; martin, jose/0000-0001-6648-3998</t>
  </si>
  <si>
    <t>10.1002/ab.90017</t>
  </si>
  <si>
    <t>WOS:000174435600008</t>
  </si>
  <si>
    <t>Hinojosa, JC; Koubínová, D; Dinca, V; Hernández-Roldán, J; Munguira, ML; García-Barros, E; Vila, M; Alvarez, N; Mutanen, M; Vila, R</t>
  </si>
  <si>
    <t>Hinojosa, Joan C.; Koubinova, Darina; Dinca, Vlad; Hernandez-Roldan, Juan; Munguira, Miguel L.; Garcia-Barros, Enrique; Vila, Marta; Alvarez, Nadir; Mutanen, Marko; Vila, Roger</t>
  </si>
  <si>
    <t>Rapid colour shift by reproductive character displacement in Cupido butterflies</t>
  </si>
  <si>
    <t>Reproductive character displacement occurs when competition for successful breeding imposes a divergent selection on the interacting species, causing a divergence of reproductive traits. Here, we show that a disputed butterfly taxon is actually a case of male wing colour shift, apparently produced by reproductive character displacement. Using double digest restriction-site associated DNA sequencing and mitochondrial DNA sequencing we studied four butterfly taxa of the subgenus Cupido (Lepidoptera: Lycaenidae): Cupido minimus and the taxon carswelli, both characterized by brown males and females, plus C. lorquinii and C. osiris, both with blue males and brown females. Unexpectedly, taxa carswelli and C. lorquinii were close to indistinguishable based on our genomic and mitochondrial data, despite displaying strikingly different male coloration. In addition, we report and analysed a brown male within the C. lorquinii range, which demonstrates that the brown morph occurs at very low frequency in C. lorquinii. Such evidence strongly suggests that carswelli is conspecific with C. lorquinii and represents populations with a fixed male brown colour morph. Considering that these brown populations occur in sympatry with or very close to the blue C. osiris, and that the blue C. lorquinii populations never do, we propose that the taxon carswelli could have lost the blue colour due to reproductive character displacement with C. osiris. Since male colour is important for conspecific recognition during courtship, we hypothesize that the observed colour shift may eventually trigger incipient speciation between blue and brown populations. Male colour seems to be an evolutionarily labile character in the Polyommatinae, and the mechanism described here might be at work in the wide diversification of this subfamily of butterflies.</t>
  </si>
  <si>
    <t>Hernández-Roldán, Juan/G-1399-2016; Dinca, Vlad Eugen/O-3879-2014; Vila, Roger/A-1817-2012; Alvarez, Nadir/AAM-2228-2021; Mutanen, Marko/AFM-8748-2022; García-Barros, Enrique/L-2612-2013; Vila, Marta/F-6118-2016; Koubinova, Darina/M-6157-2013</t>
  </si>
  <si>
    <t>Hernández-Roldán, Juan/0000-0002-6262-1641; Dinca, Vlad Eugen/0000-0003-1791-2148; Vila, Roger/0000-0002-2447-4388; Alvarez, Nadir/0000-0002-0729-166X; García-Barros, Enrique/0000-0003-2804-9626; Vila, Marta/0000-0002-8803-9174; Hinojosa Galisteo, Joan Carles/0000-0002-6318-4252; Koubinova, Darina/0000-0002-1854-7675</t>
  </si>
  <si>
    <t>10.1111/mec.15682</t>
  </si>
  <si>
    <t>NOV 2020</t>
  </si>
  <si>
    <t>WOS:000586619500001</t>
  </si>
  <si>
    <t>Song, C; Wang, L; Lei, T; Qi, X</t>
  </si>
  <si>
    <t>Song, Chao; Wang, Le; Lei, Teng; Qi, Xin</t>
  </si>
  <si>
    <t>New Color-Patterned Species of Microtendipes Kieffer, 1913 (Diptera: Chironomidae) and a Deep Intraspecific Divergence of Species by DNA Barcodes</t>
  </si>
  <si>
    <t>INSECTS</t>
  </si>
  <si>
    <t>Simple Summary Non-biting midges are the most widely distributed, and frequently the most abundant, insect family in freshwater environments. Species delimitation concerning color patterns and the shape or distribution of thorax pigmentation, wing spots, abdomen pigmentation, and leg pigmentation are disputable and unstable in the family. This research focuses on a genus that shares the general appearance of the hypopygium, but with variations in coloration of the antennae, thorax, wings, and legs. In this study, we analyzed collected species along with public sequences, resulting in a preliminary DNA library including 21 morphospecies. DNA barcodes can successfully delimit Microtendipes species and showed deep intraspecific divergence in some species. We also confirmed that color patterns can be important diagnostic characters. As a result of this analysis, five species new to science are identified and described, and an updated key to male adults of known Microtendipes species from China is provided. The genus Microtendipes Kieffer (Diptera: Chironomidae) has a nearly worldwide distribution, comprising more than 60 species, which are further divided into two species groups based on larval stage. However, species delimitation and identification among the adults of this genus are controversial and uncertain. For instance, previous studies have provided many synonymies based on conspecific color pattern variations in Microtendipes species. Here, we used DNA barcode data to address Microtendipes species delimitation as well as to test whether color pattern variations can be diagnostic characters for interspecific identification. The 151 DNA barcodes used, 51 of which were contributed by our laboratory, represent 21 morphospecies. Species with specific color patterns could be accurately separated based on DNA barcodes. Consequently, the color patterns of adult males could be important diagnostic characters. The average intraspecific and interspecific sequence divergences were 2.8% and 12.5%, respectively, and several species exhibited deep intraspecific divergences higher than 5%. Molecular operational taxonomic units (OTUs) ranged from 21 to 73, based on methods including phylogenetic trees, the assemble species by automatic partitioning method, the Poisson tree process (PTP), and the general mixed Yule-coalescent (GMYC) method. As a result of these analyses, five new species were recognized (M. baishanzuensis sp. nov., M. bimaculatus sp. nov., M. nigrithorax sp. nov., M. robustus sp. nov., and M. wuyiensis sp. nov.).</t>
  </si>
  <si>
    <t>Lei, Teng/JEZ-8228-2023</t>
  </si>
  <si>
    <t>Lei, Teng/0000-0003-0201-8119; Song, Chao/0000-0002-8981-2296</t>
  </si>
  <si>
    <t>2075-4450</t>
  </si>
  <si>
    <t>10.3390/insects14030227</t>
  </si>
  <si>
    <t>WOS:000955456800001</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</si>
  <si>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</si>
  <si>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</si>
  <si>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</si>
  <si>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</si>
  <si>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</si>
  <si>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</si>
  <si>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</si>
  <si>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Amat, M; Manteca, X; Mariotti, VM; de la Torre, JLR; Fatjó,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</si>
  <si>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</si>
  <si>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</si>
  <si>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</si>
  <si>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 Manteca, Xavier/L-7343-2014; Amat, Marta/L-5902-2014</t>
  </si>
  <si>
    <t>Ruiz de la Torre, Jose Luis/0000-0003-2844-8352; Manteca, Xavier/0000-0002-2061-4179; Fatjo, Jaume/0000-0001-6806-2097; Amat, Marta/0000-0002-6017-1341</t>
  </si>
  <si>
    <t>10.1016/j.jveb.2008.08.010</t>
  </si>
  <si>
    <t>WOS:000266574100002</t>
  </si>
  <si>
    <t>Honza, M; Sicha, V; Procházka, P; Lezalová,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</si>
  <si>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</si>
  <si>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</si>
  <si>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</si>
  <si>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Procházka, Petr/A-9727-2008; Piálková, Radka/E-3411-2016; Honza, Marcel/A-1123-2011</t>
  </si>
  <si>
    <t>Procházka, Petr/0000-0001-9385-4547;</t>
  </si>
  <si>
    <t>10.1007/s10336-006-0088-y</t>
  </si>
  <si>
    <t>WOS:000241113000015</t>
  </si>
  <si>
    <t>DUBOST, G</t>
  </si>
  <si>
    <t>BODY COLORATION AND COLOR ALTERNATION AMONG TROPICAL FOREST MAMMALS</t>
  </si>
  <si>
    <t>ZEITSCHRIFT FUR ZOOLOGISCHE SYSTEMATIK UND EVOLUTIONSFORSCHUNG</t>
  </si>
  <si>
    <t>Despite different phylogenetic origins, the mammals of Gabon and Guiana show very similar colour patterns. The coloration is closely correlated with several biological parameters: body weight, diet, and activity rhythm. The less dangerous the living conditions, the more easily perceptible are body colours. Within the same community, the degree of colour convergence between species of similar body size is very low among diurnal carnivores or between they and their prey, that is when interspecific encounters can be dangerous. In contrast, it is higher among diurnal terrestrial frugivores of folivores of similar size, than among those of unequal size. Owing to the few colours available, and to the regular size spacing between species, all species are arranged into narrow unicoloured size strata (indistinct colour or red), regularly alternating along the whole size range. Since most species of similar size are well differentiated from each other by ecology, each solitary animal can be sure that another having both the same size and colour is conspecific. The colour alternation does not exist when it is not useful: nocturnal, arboreal, or flying mammals.</t>
  </si>
  <si>
    <t>0044-3808</t>
  </si>
  <si>
    <t>WOS:A1991FW08800006</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</si>
  <si>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</si>
  <si>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</si>
  <si>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</si>
  <si>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</si>
  <si>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Francois/Y-9569-2019; Mougeot, Francois/B-1894-2009</t>
  </si>
  <si>
    <t>Mougeot, Francois/0000-0002-5819-6275; Mougeot, Francois/0000-0002-5819-6275</t>
  </si>
  <si>
    <t>10.1098/rsbl.2011.0914</t>
  </si>
  <si>
    <t>WOS:000301304000003</t>
  </si>
  <si>
    <t>VanderWerf, EA; Freed, LA</t>
  </si>
  <si>
    <t>'Elepaio subadult plumages reduce aggression through graded status-signaling, not mimicry</t>
  </si>
  <si>
    <t>JOURNAL OF FIELD ORNITHOLOGY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</si>
  <si>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</si>
  <si>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0273-8570</t>
  </si>
  <si>
    <t>FAL</t>
  </si>
  <si>
    <t>10.1648/0273-8570-74.4.406</t>
  </si>
  <si>
    <t>WOS:000186208600011</t>
  </si>
  <si>
    <t>Pauers, MJ; Grudnowski, JA</t>
  </si>
  <si>
    <t>Pauers, Michael J.; Grudnowski, Jacob A.</t>
  </si>
  <si>
    <t>Female preferences for conspecific males indicate reproductive isolation between sympatric Labeotropheus Ahl from Lake Malawi</t>
  </si>
  <si>
    <t>In sexually reproducing taxa, reproductive isolation is key to speciation. Given the speed with which behavioral reproductive isolation evolves, this form of isolation is of particular importance to rapidly evolving species. Here we examine behavioral reproductive isolation in a sympatric, congeneric pair of rock-dwelling cichlids from Lake Malawi, testing the hypothesis that females should prefer conspecific males. We used a pair of Labeotropheus, L. fuelleborni Ahl and L. trewavasae Fryer, from the Chidunga Rocks in southwestern Lake Malawi, to test this hypothesis, with the prediction that females would approach conspecific males more frequently than they would heterospecific males. When given a choice between a male L. fuelleborni and L. trewavasae, we found that females did approach males of their own species more frequently than males of the opposite species, and that differences in length and the number of eggspots on the anal fin between the stimulus males had no effect on a female's choice. These results are consistent with behavioral reproductive isolation between these sympatric species, and add further support to the hypothesis that sexual selection played a key role in the speciation of cichlid fishes from Lake Malawi.</t>
  </si>
  <si>
    <t>10.1111/eth.13282</t>
  </si>
  <si>
    <t>APR 2022</t>
  </si>
  <si>
    <t>WOS:000781080500001</t>
  </si>
  <si>
    <t>Couldridge, VCK; Alexander, GJ</t>
  </si>
  <si>
    <t>Color patterns and species recognition in four closely related species of Lake Malawi cichlid</t>
  </si>
  <si>
    <t>We examined interspecific female mating preferences in four closely related species of cichlid belonging to the Pseudotropheus zebra species complex of Lake Malawi. These species differ in coloration but are similar in other respects, suggesting that male color patterns may be important to female mate choice in species recognition. To test this hypothesis, we presented females from each species with a choice of four males, one of her own species and three others that were each of a different species. We also gave each female a choice between the three heterospecific males only. In all four species, females showed a significant preference for conspecific males in the four-way choice and chose the male with the most similar color pattern to the conspecific male in the three-way choice. These results are discussed with reference to the theory of sexual selection on color patterns as a means of sympatric speciation in cichlids.</t>
  </si>
  <si>
    <t>Alexander, Graham/0000-0003-3991-4099; Couldridge, Vanessa/0000-0003-1948-6584</t>
  </si>
  <si>
    <t>10.1093/beheco/13.1.59</t>
  </si>
  <si>
    <t>WOS:000173390700008</t>
  </si>
  <si>
    <t>Torices, R; DeSoto, L; Narbona, E; Gómez, JM; Pannell, JR</t>
  </si>
  <si>
    <t>Torices, Ruben; DeSoto, Lucia; Narbona, Eduardo; Gomez, Jose Maria; Pannell, John Richard</t>
  </si>
  <si>
    <t>Effects of the Relatedness of Neighbours on Floral Colour</t>
  </si>
  <si>
    <t>FRONTIERS IN ECOLOGY AND EVOLUTION</t>
  </si>
  <si>
    <t>The reproductive success of plants depends both on their phenotype and the local neighbourhood in which they grow. Animal-pollinated plants may benefit from increased visitation when surrounded by attractive conspecific individuals, via a magnet effect. Group attractiveness is thus potentially a public good that can be exploited by individuals, with selfish exploitation predicted to depend on genetic relatedness within the group. Petal colour is a potentially costly trait involved in floral signalling and advertising to pollinators. Here, we assessed whether petal colour was plastically sensitive to the relatedness of neighbours in the annual herb Moricandia moricandioides, which produces purple petals through anthocyanin pigment accumulation. We also tested whether petal colour intensity was related to nectar volume and sugar content in a context-dependent manner. Although both petal colour and petal anthocyanin concentration did not significantly vary with the neighbourhood configuration, plants growing with kin made a significantly higher investment in petal anthocyanin pigments as a result of the greater number and larger size of their flowers. Moreover the genetic relatedness of neighbours significantly modified the relationship between floral signalling and reward quantity: while focal plants growing with non-kin showed a positive relationship between petal colour and nectar production, plants growing with kin showed a positive relationship between number of flowers and nectar volume, and sugar content. The observed plastic response to group relatedness might have important effects on pollinator behaviour and visitation, with direct and indirect effects on plant reproductive success and mating patterns, at least in those plant species with patchy and genetically structured populations.</t>
  </si>
  <si>
    <t>Torices, Rubén/GOP-2601-2022; Torices, Rubén/B-6346-2009; Narbona, Eduardo/G-5276-2015; Gómez, José M/K-8061-2017; DeSoto, Lucia/B-6196-2009</t>
  </si>
  <si>
    <t>Torices, Rubén/0000-0001-9604-1111; Narbona, Eduardo/0000-0003-1790-6821; Gómez, José M/0000-0002-2487-4664; Pannell, John/0000-0002-0098-7074; DeSoto, Lucia/0000-0002-5814-5865</t>
  </si>
  <si>
    <t>2296-701X</t>
  </si>
  <si>
    <t>APR 15</t>
  </si>
  <si>
    <t>10.3389/fevo.2021.589781</t>
  </si>
  <si>
    <t>WOS:000645123900001</t>
  </si>
  <si>
    <t>LOSOS, JB</t>
  </si>
  <si>
    <t>AN EXPERIMENTAL DEMONSTRATION OF THE SPECIES-RECOGNITION ROLE OF ANOLIS DEWLAP COLOR</t>
  </si>
  <si>
    <t>Inter- and intraspecific encounters were staged in the laboratory between adult males of the sympathetic sibling species Anolis marcanoi and A. cybotes which differ morphologically only in dewlap color. Levels of intraspecific aggression among A. marcanoi were high, but little interspecific aggressive behavior was observed. The importance of dewlap color for species-recognition was assessed by changing versa. A. marcanoi in interspecific encounters between altered individuals exhibited an intermediate level of aggressive behavior. Intraspecific encounters between pairs of A. marcanoi with altered dewlaps revealed no higher level of aggression than the normal interspecific encounters. A system of species-recognition signals is proposed in which lizards examine more obvious signals, such as dewlap color, at greater distances and more subtle signals, such as head-bobbing patterns, at closer distances.</t>
  </si>
  <si>
    <t>DEC 10</t>
  </si>
  <si>
    <t>10.2307/1445240</t>
  </si>
  <si>
    <t>WOS:A1985AXC0800010</t>
  </si>
  <si>
    <t>Koellsch, C; Poulin, R; Salloum, PM</t>
  </si>
  <si>
    <t>Koellsch, Celia; Poulin, Robert; Salloum, Priscila M.</t>
  </si>
  <si>
    <t>Microbial artists: the role of parasite microbiomes in explaining colour polymorphism among amphipods and potential link to host manipulation</t>
  </si>
  <si>
    <t>Parasite infections are increasingly reported to change the microbiome of the parasitized hosts, while parasites bring their own microbes to what can be a multi-dimensional interaction. For instance, a recent hypothesis suggests that the microbial communities harboured by parasites may play a role in the well-documented ability of many parasites to manipulate host phenotype, and explain why the degree to which host phenotype is altered varies among conspecific parasites. Here, we explored whether the microbiomes of both hosts and parasites are associated with variation in host manipulation by parasites. Using colour quantification methods applied to digital images, we investigated colour variation among uninfected Transorchestia serrulata amphipods, as well as amphipods infected with Plagiorhynchus allisonae acanthocephalans and with a dilepidid cestode. We then characterized the bacteriota of amphipod hosts and of their parasites, looking for correlations between host phenotype and the bacterial taxa associated with hosts and parasites. We found large variation in amphipod colours, and weak support for a direct impact of parasites on the colour of their hosts. Conversely, and most interestingly, the parasite's bacteriota was more strongly correlated with colour variation among their amphipod hosts, with potential impact of amphipod-associated bacteria as well. Some bacterial taxa found associated with amphipods and parasites may have the ability to synthesize pigments, and we propose they may interact with colour determination in the amphipods. This study provides correlational support for an association between the parasite's microbiome and the evolution of host manipulation by parasites and host-parasite interactions more generally.</t>
  </si>
  <si>
    <t>Koellsch, Celia/0009-0003-7227-2590; Salloum, Priscila/0000-0001-7725-2263</t>
  </si>
  <si>
    <t>2024 JUL 11</t>
  </si>
  <si>
    <t>10.1093/jeb/voae085</t>
  </si>
  <si>
    <t>WOS:001274409500001</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</si>
  <si>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</si>
  <si>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</si>
  <si>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</si>
  <si>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</si>
  <si>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</si>
  <si>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</si>
  <si>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</si>
  <si>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</si>
  <si>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</si>
  <si>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</si>
  <si>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Yerushalmi, Y; Livshits, L; Pener, MP</t>
  </si>
  <si>
    <t>The dark-colour-inducing neurohormone of locusts in relation to an albino mutant of Schistocerca gregaria</t>
  </si>
  <si>
    <t>In the albino mutant of an Okinawa strain of Locusta migratoria (L.) (Orthoptera: Acrididae), albinism is caused by the absence of the dark-colour-inducing neurohormone (DCIN), which is present in the corpora cardiaca (CC) of normally coloured phenotypes. This study tests whether the absence of DCIN is responsible for albinism in an albino mutant of another locust, Schistocerca gregaria (Forsk.) (Orthoptera: Acrididae). This seemed feasible because a single Mendelian unit controls albinism in both species. However, implantation of CC, or injection of an extract of CC, from albino donors of S. gregaria, induce dark coloration in crowded nymph recipients of the Okinawa albino mutant of L. migratoria, as effectively as do implanted CC, or injections of extract of CC, from normal phenotype donors of S. gregaria. Therefore, DCIN is present in the albino mutant of S. gregaria, and consequently, the albinism in this mutant is not caused by its absence. Implantation of CC, or injection of extracts of CC, from albino donors of S. gregaria to conspecific albino nymphs does not induce darkening. Only extremely high doses of synthetic DCIN injected into albino nymphs of S. gregaria are effective, inducing some darkening. The dose to induce such darkening in albino nymphs of S. gregaria is 50 nmol, approximate to 5 X 10(6) times higher than that (10 femtomol) needed to induce equivalent darkening in nymphs of the Okinawa albinos of L. migratoria. The results are discussed and some possible explanations of the observed effects outlined.</t>
  </si>
  <si>
    <t>10.1046/j.1365-3032.2000.00174.x</t>
  </si>
  <si>
    <t>WOS:000087985900004</t>
  </si>
  <si>
    <t>Wang, LW; Yang, CC; Hsu, YC; Antonov, A; Moksnes, A; Roskaft, E; Liang, W; Stokke, BG</t>
  </si>
  <si>
    <t>Wang, Longwu; Yang, Canchao; Hsu, Yu-Cheng; Antonov, Anton; Moksnes, Arne; Roskaft, Eivin; Liang, Wei; Stokke, Bard Gunnar</t>
  </si>
  <si>
    <t>Increase of clutch size triggers clutch destruction behaviour in common moorhens (Gallinula chloropus) during the incubation period</t>
  </si>
  <si>
    <t>Conspecific brood parasitism (CBP) is common in a variety of animal taxa, including birds. In coots (Fulica spp.), and the closely related moorhens (Gallinula spp.), such parasitism is especially common, and hosts experience considerable costs through increased chick competition soon after hatching. Hence, these birds have evolved egg recognition and rejection abilities, e.g., egg counting, burying the foreign eggs, assigning them suboptimal positions within the mixed clutch, or deserting parasitized clutches. For common moorhens (Gallinula chloropus) it has been shown that desertion of parasitized nests pays most at the early egg laying stage. Later on, the costs of desertion exceed the costs of brood parasitism and acceptance is favoured. Here we tested moorhen egg discrimination behaviour during the incubation stage when acceptance of foreign eggs is expected. Four treatments were applied: (1) single added non-mimetic pale blue egg, (2) single added non-mimetic white chicken egg, (3) four foreign conspecific eggs added to the clutch and (4) four foreign conspecific eggs exchanged for four host eggs. Moorhens responded by egg destruction (47%) only to the increased clutch size but not to foreign egg colour and size match. In three nests where egg destruction occurred, all the eggs in the mixed clutch were destroyed by pecking, in two other nests one of the foreign eggs were pecked, while two other nests were deserted. These results are puzzling since moorhens have been shown to possess refined egg recognition abilities. To our knowledge, such destruction of parasitized clutches by moorhens during incubation has not previously been reported. We suggest that after clutch completion, moorhens use increase in clutch size as a cue to determine if they have been parasitized, and some individuals choose to reject parasitic eggs by deserting or destroying the whole clutch.</t>
  </si>
  <si>
    <t>zhang, ling/JXW-6931-2024; Røskaft, Eivin/N-7476-2019</t>
  </si>
  <si>
    <t>10.1163/1568539X-00003046</t>
  </si>
  <si>
    <t>WOS:000318051100006</t>
  </si>
  <si>
    <t>Rojo, A; Swierk, L</t>
  </si>
  <si>
    <t>Rojo, Andres; Swierk, Lindsey</t>
  </si>
  <si>
    <t>How does rapid body color change affect the conspicuity of lizards to their predators and conspecifics?</t>
  </si>
  <si>
    <t>Predator-prey interactions drive the evolution of prey visual camouflage, but prey species also must remain conspicuous to their conspecifics for social signaling purposes. Whether rapid body color change can help to balance conspecific visibility and predator concealment, in the eyes of each group's respective visual systems, remains poorly understood. We tested this question using water anoles (Anolis aquaticus), a small lizard that uses rapid dark-to-light body color change to visually camouflage itself from its avian predators across diverse microhabitats. We used digital image analysis and visual modeling to assess the effectiveness of color-matching camouflage in dark- and light-phase A. aquaticus, as perceived by anoles and avian predators. Our findings reveal that A. aquaticus body coloration was perceived similarly by both groups. However, sex-specific differences in overall conspicuousness emerged, with males more consistently color matching their microhabitats compared to females. Females were less likely to color match their backgrounds in their lighter phase, suggesting a sex difference in preferred conspicuity in more exposed habitats. We highlight the context-dependence of color change, with sex-specific differences and microhabitat potentially affecting its function. Significance statement Predator and prey visual systems influence prey species' visual camouflage evolution, but whether rapid body color changes allow animals to dynamically balance conspecific visibility with predator concealment is not well known. We used visual modeling techniques to examine if water anoles (Anolis aquaticus), small lizards that employ rapid body color changes to evade their avian predators, appear differently to their predators and conspecifics depending on color phase. Our findings reveal that A. aquaticus body coloration is perceived similarly by both groups. However, we observed sex-specific differences: males and larger individuals displayed more consistent color matching across different microhabitats, whereas females showed reduced matching in their lighter phase. Our study underscores the context-dependence of the function of color change in relation to factors including sex and microhabitat.</t>
  </si>
  <si>
    <t>10.1007/s00265-024-03493-0</t>
  </si>
  <si>
    <t>WOS:001262286100002</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</si>
  <si>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</si>
  <si>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</si>
  <si>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</si>
  <si>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</si>
  <si>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</si>
  <si>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</si>
  <si>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</si>
  <si>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</si>
  <si>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</si>
  <si>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Azcárate-García, M; Díaz-Lora, S; Tomás, G; Soler, JJ</t>
  </si>
  <si>
    <t>Azcarate-Garcia, Manuel; Diaz-Lora, Silvia; Tomas, Gustavo; Soler, Juan Jose</t>
  </si>
  <si>
    <t>Spotless starlings prefer spotless eggs: conspecific brood parasites cue on eggshell spottiness to avoid ectoparasites</t>
  </si>
  <si>
    <t>Avian brood parasites are expected to select host nests according to characteristics that maximize offspring fitness, such as reduced probability of ectoparasitism. Spotless starlings, Sturnus unicolor, lay immaculate blue eggs that sometimes become brownish-spotted due to the activity of the ectoparasitic fly Carnus hemapterus on incubating birds. Therefore, conspecific parasitic females should adaptively avoid parasitizing nests with spotted eggshells. Here, we manipulated perceived risk of ectoparasitism by painting the eggs with either brown spots (similar to those due to ectoparasite activity) or blue spots. A third group of nests was maintained with immaculate eggshells. Nests with nonspotted eggshells showed the highest rate of brood parasitism, while nests with brownish or bluish spots on the eggshells were parasitized at a similar lower rate. These results suggest that brood-parasitic females use the presence of spots on the eggshells in their selection of host nests. This study adds to the scarce evidence showing that brood-parasitic birds select host nests with a low risk of ectoparasitism and demonstrates that colour patterns of the eggshell (i.e. spottiness) of their potential hosts represent a major cue employed to appraise the risk of ectoparasitism. (C) 2020 The Association for the Study of Animal Behaviour. Published by Elsevier Ltd. All rights reserved.</t>
  </si>
  <si>
    <t>Soler, J. J./H-2363-2011; Lora, Silvia Díaz/AAC-1173-2021</t>
  </si>
  <si>
    <t>Lora, Silvia Díaz/0000-0001-8008-2752; Azcarate-Garcia, Manuel/0000-0002-6421-4572</t>
  </si>
  <si>
    <t>10.1016/j.anbehav.2020.05.017</t>
  </si>
  <si>
    <t>WOS:000555887500004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</si>
  <si>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</si>
  <si>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</si>
  <si>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</si>
  <si>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</si>
  <si>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</si>
  <si>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</si>
  <si>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</si>
  <si>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</si>
  <si>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Sogawa, S; Fukushima, R; Sowersby, W; Awata, S; Kawasaka, K; Kohda, M</t>
  </si>
  <si>
    <t>Sogawa, Shumpei; Fukushima, Rio; Sowersby, Will; Awata, Satoshi; Kawasaka, Kento; Kohda, Masanori</t>
  </si>
  <si>
    <t>Male Guppies Recognize Familiar Conspecific Males by Their Face</t>
  </si>
  <si>
    <t>Individual recognition is a necessary cognitive ability for the maintenance of stable social relationships. Recent studies have shown that like primates, some fish species can distinguish familiar fish from unfamiliar strangers via face-recognition. However, the taxa of the studied fish species are restricted (within Perciformes) and the visual signal used for the recognition of fish remains unclear. Here, we investigated the visual signal for individual-recognition in males of a sexually dichromatic guppy (Poecilia reticulata, Cyprinodontiformes). Using guppy males, we examined the hypothesis that fish distinguish between familiar individuals and unknown strangers by their faces rather than by body coloration. We randomly presented focal fish with four types of composite photo-models: familiar (familiar-face and familiar-body = F/F), stranger (stranger-face and stranger-body = S/S), familiar face combined with stranger body (F/S) and stranger face combined with familiar body (S/F). Focal males infrequently attacked familiar-face models but frequently attacked stranger-face models, regardless of body types. These behavioral reactions indicate that guppy males discriminate between familiar and stranger males by their face, not body coloration with wide variation. Importantly, male faces contain clear individual-variation in white/metallic colored patches on the operculum visible for humans. Considering the photo-model, our results suggest that these patches might be an important visual stimulus for face-recognition in guppy males, like some cichlids. Comparative examination among males of different guppy variants, including wild type phenotype, suggests that the face color- patch is stable regardless of variation in body color, with a different genetic mechanism potentially underlying face and body colors.</t>
  </si>
  <si>
    <t>Awata, Satoshi/GQR-0411-2022; Sowersby, Will/AAG-5106-2019</t>
  </si>
  <si>
    <t>Awata, Satoshi/0000-0003-3254-7943; Sowersby, Will/0000-0002-9774-5935; KAWASAKA, Kento/0000-0001-5508-5652</t>
  </si>
  <si>
    <t>10.2108/zs220088</t>
  </si>
  <si>
    <t>WOS:000963816400010</t>
  </si>
  <si>
    <t>Trillo, PA; Benson, CS; Caldwell, MS; Lam, TL; Pickering, OH; Logue, DM</t>
  </si>
  <si>
    <t>Trillo, Paula A.; Benson, Christopher S.; Caldwell, Michael S.; Lam, Tiffany L.; Pickering, Oliver H.; Logue, David M.</t>
  </si>
  <si>
    <t>The Influence of Signaling Conspecific and Heterospecific Neighbors on Eavesdropper Pressure</t>
  </si>
  <si>
    <t>The study of tradeoffs between the attraction of mates and the attraction of eavesdropping predators and parasites has generally focused on a single species of prey, signaling in isolation. In nature, however, animals often signal from mixed-species aggregations, where interactions with heterospecific group members may be an important mechanism modulating tradeoffs between sexual and natural selection, and thus driving signal evolution. Although studies have shown that conspecific signalers can influence eavesdropper pressure on mating signals, the effects of signaling heterospecifics on eavesdropper pressure, and on the balance between natural and sexual selection, are likely to be different. Here, we review the role of neighboring signalers in mediating changes in eavesdropper pressure, and present a simple model that explores how selection imposed by eavesdropping enemies varies as a function of a signaling aggregation's species composition, the attractiveness of aggregation members to eavesdroppers, and the eavesdroppers' preferences for different member types. This approach can be used to model mixed-species signaling aggregations, as well as same-species aggregations, including those with non-signaling individuals, such as satellites or females. We discuss the implications of our model for the evolution of signal structure, signaling behavior, mixed-species aggregations, and community dynamics.</t>
  </si>
  <si>
    <t>Logue, David/AAM-6781-2021</t>
  </si>
  <si>
    <t>Trillo, Paula/0000-0001-5994-5189; Caldwell, Michael/0000-0001-9655-5657; Pickering, Oliver/0009-0002-0860-2797</t>
  </si>
  <si>
    <t>10.3389/fevo.2019.00292</t>
  </si>
  <si>
    <t>WOS:000479067400001</t>
  </si>
  <si>
    <t>FICKEN, RW; FICKEN, MS; HAILMAN, JP</t>
  </si>
  <si>
    <t>DIFFERENTIAL AGGRESSION IN GENETICALLY DIFFERENT MORPHS OF WHITE-THROATED SPARROW (ZONOTRICHIA-ALBICOLLIS)</t>
  </si>
  <si>
    <t>ZEITSCHRIFT FUR TIERPSYCHOLOGIE-JOURNAL OF COMPARATIVE ETHOLOGY</t>
  </si>
  <si>
    <t>To see if genetic differences correlate with differences in agonistic behavior, 225 encounters within and between color morphs of the white-throated sparrow (Z. albicollis) were observed in feeding groups of different sizes and morphic compositions. Tan morphs lack the M chromosome that replaces either of 2 chromosomes in the white morph. The data were analyzed using quantitative models accounting for the proportions of morphs present. Morphs are equally frequent recipients of aggression but the white morphs was the aggressor more frequently than by chance, regardless of the morphs of the recipients, size of the group or morphic composition of the group.</t>
  </si>
  <si>
    <t>0044-3573</t>
  </si>
  <si>
    <t>WOS:A1978ES06300004</t>
  </si>
  <si>
    <t>WAGO, H; UNNO, K</t>
  </si>
  <si>
    <t>STUDIES ON MATING-BEHAVIOR OF PALE GRASS BLUE, ZIZEERIA-MAHA ARGIA (LEPIDOPTERA-LYCAENIDAE) .1. RECOGNITION OF CONSPECIFIC INDIVIDUALS BY FLYING MALES</t>
  </si>
  <si>
    <t>APPLIED ENTOMOLOGY AND ZOOLOGY</t>
  </si>
  <si>
    <t>Preliminary observations and experimental analyses were made on the mating behavior of the pale grass blue, Z. argia. Adult emergence took place from about 18:00 to 11:00 and flight behavior of adult butterflies could be seen from 8:00-18:00. Males flying in search of females approached any male or female resting with wings closed. Field experiments with a variety of models revealed that males were generally attracted not only by wing-closed females but also by wing-closed males. Males were also attracted by an undersurface model of the same size as the pale grass blue. Attraction of the male to the wing undersurface was observed regardless of the model shape, although the model size was of primary importance. Spectroscopic examination showed that the reflectivity pattern of the wing undersurface in both sexes was approximately similar. Apparently sexual behavior of the flying males was first of all released by the color of the wing undersurface, and not of the uppersurface. Male adults discover conspecific individuals by recognizing the color of the wing undersurface.</t>
  </si>
  <si>
    <t>0003-6862</t>
  </si>
  <si>
    <t>1347-605X</t>
  </si>
  <si>
    <t>WOS:A1976CY45000005</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</si>
  <si>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</si>
  <si>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</si>
  <si>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</si>
  <si>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 E/D-7463-2013</t>
  </si>
  <si>
    <t>Magurran, Anne/0000-0002-0036-2795</t>
  </si>
  <si>
    <t>10.1163/156853991X00292</t>
  </si>
  <si>
    <t>WOS:A1991GT42800004</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</si>
  <si>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</si>
  <si>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</si>
  <si>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</si>
  <si>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1938-5129</t>
  </si>
  <si>
    <t>10.1650/0010-5422(2000)102[0708:RBTCPA]2.0.CO;2</t>
  </si>
  <si>
    <t>WOS:000088716300031</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</si>
  <si>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</si>
  <si>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</si>
  <si>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</si>
  <si>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</si>
  <si>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</si>
  <si>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</si>
  <si>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</si>
  <si>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</si>
  <si>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FIELD, LH</t>
  </si>
  <si>
    <t>OBSERVATIONS ON THE BIOLOGY OF DEINACRIDA-CONNECTENS (ORTHOPTERA, STENOPELMATIDAE), AN ALPINE WETA</t>
  </si>
  <si>
    <t>NEW ZEALAND JOURNAL OF ZOOLOGY</t>
  </si>
  <si>
    <t>Live D. connectens from New Zealand''s South Island were studied in captivity for up to 5 mo. Adult females were significantly (P &lt; 0.01) larger than adult males. Sample populations from 3 mountain ranges differed in head capsule coloration, the extent of red coloration on the pronotum, the ground color of the abdomen and the banding pattern on abdominal tergites; at least 4 color varieties must exist. The nightly activity period was characterized by feeding, perching behavior and agonistic behavior which resulted in the spacing out of individuals. Sexual behavior is described and compared to that of other species of Deinacrida spp. and of the tree wetas Hemideina spp. The roles of the males of these genera are compared. In contrast to male sexual behavior in Hemideina spp., that in D. connectens lacks an acoustic repertoire and aggression towards conspecific males.</t>
  </si>
  <si>
    <t>0301-4223</t>
  </si>
  <si>
    <t>1175-8821</t>
  </si>
  <si>
    <t>10.1080/03014223.1980.10423778</t>
  </si>
  <si>
    <t>WOS:A1980JX22800006</t>
  </si>
  <si>
    <t>HELLER, J</t>
  </si>
  <si>
    <t>AGGRESSION COLOR PATTERN OF ASTATOTILAPIA-FLAVIIJOSEPHI (TELEOSTEI, CICHLIDAE) IN THE AQUARIUM</t>
  </si>
  <si>
    <t>ISRAEL JOURNAL OF ZOOLOGY</t>
  </si>
  <si>
    <t>0021-2210</t>
  </si>
  <si>
    <t>WOS:A1981MW98300007</t>
  </si>
  <si>
    <t>Boyer, JFF; Swierk, L</t>
  </si>
  <si>
    <t>Boyer, Jane F. F.; Swierk, Lindsey</t>
  </si>
  <si>
    <t>Rapid body color brightening is associated with exposure to a stressor in an Anolis lizard</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</si>
  <si>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</si>
  <si>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Lindsey/JVO-0517-2024</t>
  </si>
  <si>
    <t>Swierk, Lindsey/0000-0001-7897-0275</t>
  </si>
  <si>
    <t>10.1139/cjz-2016-0200</t>
  </si>
  <si>
    <t>WOS:000398092400009</t>
  </si>
  <si>
    <t>Maan, ME; Cummings, ME</t>
  </si>
  <si>
    <t>Maan, Martine E.; Cummings, Molly E.</t>
  </si>
  <si>
    <t>Poison Frog Colors Are Honest Signals of Toxicity, Particularly for Bird Predators</t>
  </si>
  <si>
    <t>Antipredator defenses and warning signals typically evolve in concert. However, the extensive variation across taxa in both these components of predator deterrence and the relationship between them are poorly understood. Here we test whether there is a predictive relationship between visual conspicuousness and toxicity levels across 10 populations of the color-polymorphic strawberry poison frog, Dendrobates pumilio. Using a mouse-based toxicity assay, we find extreme variation in toxicity between frog populations. This variation is significantly positively correlated with frog coloration brightness, a viewer-independent measure of visual conspicuousness (i.e., total reflectance flux). We also examine conspicuousness from the view of three potential predator taxa, as well as conspecific frogs, using taxon-specific visual detection models and three natural background substrates. We find very strong positive relationships between frog toxicity and conspicuousness for bird-specific perceptual models. Weaker but still positive correlations are found for crab and D. pumilio conspecific visual perception, while frog coloration as viewed by snakes is not related to toxicity. These results suggest that poison frog colors can be honest signals of prey unpalatability to predators and that birds in particular may exert selection on aposematic signal design.</t>
  </si>
  <si>
    <t>Maan, Martine/B-5444-2008</t>
  </si>
  <si>
    <t>Maan, Martine/0000-0003-1113-8067</t>
  </si>
  <si>
    <t>E1</t>
  </si>
  <si>
    <t>E14</t>
  </si>
  <si>
    <t>10.1086/663197</t>
  </si>
  <si>
    <t>WOS:000298379200001</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</si>
  <si>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</si>
  <si>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</si>
  <si>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</si>
  <si>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</si>
  <si>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DEC 23</t>
  </si>
  <si>
    <t>10.1186/1471-2148-10-391</t>
  </si>
  <si>
    <t>WOS:000287579200001</t>
  </si>
  <si>
    <t>Macedonia, JM; Clark, DL; Riley, RG; Kemp, DJ</t>
  </si>
  <si>
    <t>Macedonia, Joseph M.; Clark, David L.; Riley, Raymond G.; Kemp, Darrell J.</t>
  </si>
  <si>
    <t>Species recognition of color and motion signals in Anolis grahami: evidence from responses to lizard robots</t>
  </si>
  <si>
    <t>Male Anolis lizards exhibit an impressive diversity of dewlap color patterns and motion displays. These traits are thought to mediate species recognition, but direct experimental support is limited. It is also unclear if and how color and display behavior each may contribute to the signaling of species identity. We used a programmable robotic lizard to manipulate these signal components independently in Anolis grahami. Four robot variants were used: a control treatment that displayed the conspecific (orange) dewlap color and headbobbing sequence, 2 treatments that differed from the control only in dewlap coloration (light or dark blue), and a fourth treatment that differed from the control only in headbob display pattern (reversed headbob display structure). Artificial dewlaps were calibrated in color and brightness to the A. grahami visual system using a computational model. We presented robots to 102 adult male subjects and quantified their responses for durations of dewlap pulsing and headbob displays. Subjects spent significantly more time pulsing their dewlaps in response to control (conspecific) robot displays than to treatments that deviated from the control either in dewlap color or in headbob display structure. Our findings implicate both morphology and behavior as functional components of social signaling in A. grahami, thus underscoring the complex, multicomponent nature of anoline displays.</t>
  </si>
  <si>
    <t>Kemp, Darrell/ABC-9638-2021</t>
  </si>
  <si>
    <t>Kemp, Darrell/0000-0002-5845-5513; Macedonia, Joseph/0009-0007-1320-8993</t>
  </si>
  <si>
    <t>10.1093/beheco/art027</t>
  </si>
  <si>
    <t>WOS:000320409900014</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</si>
  <si>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</si>
  <si>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</si>
  <si>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</si>
  <si>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</si>
  <si>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</si>
  <si>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</si>
  <si>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</si>
  <si>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</si>
  <si>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</si>
  <si>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Rudh, A; Breed, MF; Qvarnström,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</si>
  <si>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</si>
  <si>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</si>
  <si>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</si>
  <si>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 Breed, Martin/G-5482-2011</t>
  </si>
  <si>
    <t>Qvarnstrom, Anna/0000-0002-1178-4053; Breed, Martin/0000-0001-7810-9696</t>
  </si>
  <si>
    <t>10.1111/j.1095-8312.2012.02006.x</t>
  </si>
  <si>
    <t>WOS:000312543100011</t>
  </si>
  <si>
    <t>Delhey, K; Kempenaers, B</t>
  </si>
  <si>
    <t>Age differences in blue tit Parus caeruleus plumage colour:: within-individual changes or colour-biased survival?</t>
  </si>
  <si>
    <t>JOURNAL OF AVIAN BIOLOGY</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</si>
  <si>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</si>
  <si>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Kaspar/AAZ-5362-2020; Delhey, Kaspar/F-6515-2010</t>
  </si>
  <si>
    <t>Delhey, Kaspar/0000-0001-5190-5406;</t>
  </si>
  <si>
    <t>0908-8857</t>
  </si>
  <si>
    <t>10.1111/j.2006.0908-8857.03655.x</t>
  </si>
  <si>
    <t>WOS:000238486700008</t>
  </si>
  <si>
    <t>Romano, D; Benelli, G; Hwang, JS; Stefanini, C</t>
  </si>
  <si>
    <t>Romano, Donato; Benelli, Giovanni; Hwang, Jiang-Shiou; Stefanini, Cesare</t>
  </si>
  <si>
    <t>Fighting fish love robots: mate discrimination in males of a highly territorial fish by using female-mimicking robotic cues</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</si>
  <si>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</si>
  <si>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Benelli, Giovanni/A-9100-2013; Romano, Donato/ITV-7496-2023</t>
  </si>
  <si>
    <t>Benelli, Giovanni/0000-0001-8971-6010; Stefanini, Cesare/0000-0003-0989-041X; Romano, Donato/0000-0003-4975-3495</t>
  </si>
  <si>
    <t>10.1007/s10750-019-3899-6</t>
  </si>
  <si>
    <t>WOS:000460694400013</t>
  </si>
  <si>
    <t>Limeri, LB; Morehouse, NI</t>
  </si>
  <si>
    <t>Limeri, Lisa B.; Morehouse, Nathan I.</t>
  </si>
  <si>
    <t>Sensory limitations and the maintenance of colour polymorphisms: viewing the 'alba' female polymorphism through the visual system of male Colias butterflies</t>
  </si>
  <si>
    <t>1. Although colour polymorphisms are a widespread and conspicuous component of extant biodiversity, the selective pressures that act to maintain multiple morphs within populations remain poorly understood in most cases. In particular, the role that visual system limitations may play in maintaining multiple colour morphs is not well explored. 2. We used a female-limited colour polymorphism common to the butterfly genus Colias, called the alba' polymorphism, to investigate the hypotheses that mate-searching males may struggle to discriminate pale alba' females from co-occurring heterospecific white butterflies and/or heterospecific alba' females, or that alba' females may be more difficult to detect than nonalba' females in natural scenes. Such perceptual limitations may influence the relative mating rates of alba' versus nonalba' females, contributing to the evolutionary persistence of both morphs. 3. Based on receptor-noise-limited modelling of the male Colias visual system, we find that alba' females exhibit chromatic and luminance contrasts against background foliage that are most similar to the alba' females of other co-occurring Colias species and females of the co-occurring white butterfly Pieris rapae. When compared to other co-flying butterflies including nonalba' females, alba' females are consistently lower in chromatic contrast against background, but higher in luminance contrast. 4. When viewed side-by-side, we estimate that male Colias should be able to discriminate alba' females from other co-occurring heterospecific butterflies, including heterospecific albas'. However, under field conditions that involve larger distances in space or time, males are likely to face challenges discriminating between conspecific alba' females and co-occurring heterospecific white butterflies, particularly heterospecific alba' females. 5. Our results suggest that constraints arising from male visual function may be involved in the maintenance of this colour polymorphism, particularly in populations that co-occur with other alba'-polymorphic Colias species. We argue that such visual system constraints may play a larger role in the maintenance of colour polymorphism than has been empirically appreciated to date.</t>
  </si>
  <si>
    <t>Limeri, Lisa/AAA-6514-2020</t>
  </si>
  <si>
    <t>Limeri, Lisa/0000-0002-7054-7509; Morehouse, Nathan/0000-0001-6449-7106</t>
  </si>
  <si>
    <t>10.1111/1365-2435.12244</t>
  </si>
  <si>
    <t>WOS:000342615100015</t>
  </si>
  <si>
    <t>Holopainen, JK; Peltonen, P</t>
  </si>
  <si>
    <t>Bright autumn colours of deciduous trees attract aphids: nutrient retranslocation hypothesis</t>
  </si>
  <si>
    <t>OIKOS</t>
  </si>
  <si>
    <t>We propose an alternative hypothesis to the handicap-signalling hypothesis, to explain the high number of specialist aphids on tree species having bright autumn colour. Since birch aphids actively seek the first yellowing leaves for breeding in autumn, it is obvious that autumn colour of foliage does not repel migrating aphids. We suggest that aphids use bright colours as a cue to detect individual trees and leaves that are good sources of nitrogen in the form of amino acids in autumn. The active formation of bright-coloured pigments in leaves is nee e to protect them from photo inhibition during energy consuming nutrient retranslocation under cold autumn conditions. During nutrient export from leaves, nitrogen is in the form of amino acids in the sieve elements and easily available for aphids. Therefore, bright colours may act as a signal of easily available high-quality food for viviparous aphid migrants that are selecting suitable trees for their sexual offspring reproduction. The females of sexual generation grown on the better quality food probably can oviposit the over-wintering eggs to the twigs in higher numbers, which may have an adaptive advantage in competition with conspecific females.</t>
  </si>
  <si>
    <t>Holopainen, Jarmo K./B-1656-2008</t>
  </si>
  <si>
    <t>Holopainen, Jarmo K./0000-0001-5026-3245</t>
  </si>
  <si>
    <t>0030-1299</t>
  </si>
  <si>
    <t>1600-0706</t>
  </si>
  <si>
    <t>10.1034/j.1600-0706.2002.990119.x</t>
  </si>
  <si>
    <t>WOS:000178883100019</t>
  </si>
  <si>
    <t>BROWN, SD; DOOLING, RJ</t>
  </si>
  <si>
    <t>PERCEPTION OF CONSPECIFIC FACES BY BUDGERIGARS (MELOPSITTACUS-UNDULATUS) .1. NATURAL FACES</t>
  </si>
  <si>
    <t>Perception of faces by 4 budgerigars (Melopsittacus undulatus), a species of small parrot, was studied with a same-different discrimination task. Reaction times were taken as a measure of the similarity between pairs of faces and analyzed with multidimensional scaling to reveal patterns of similarity among the faces. The perception of natural faces was tested to determine which characteristics were perceptually salient. Color, patterns of markings, darkness of the iris, and size of the pupil corresponded to the observed patterns of similarity among the faces. Differences among budgerigar faces were more salient than differences among zebra finch faces, and budgerigar faces were perceptually distinct from the faces of other avian species. The results from these experiments provide a basis for understanding the ways in which these signals function in the coordination of social behaviors.</t>
  </si>
  <si>
    <t>10.1037/0735-7036.106.3.203</t>
  </si>
  <si>
    <t>WOS:A1992JK69600001</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</si>
  <si>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</si>
  <si>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</si>
  <si>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</si>
  <si>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</si>
  <si>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</si>
  <si>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Oldfield, Ronald/0000-0001-9187-3947</t>
  </si>
  <si>
    <t>1088-8705</t>
  </si>
  <si>
    <t>1532-7604</t>
  </si>
  <si>
    <t>10.1080/10888705.2011.600664</t>
  </si>
  <si>
    <t>WOS:000296232000005</t>
  </si>
  <si>
    <t>Rätti,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</si>
  <si>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</si>
  <si>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</si>
  <si>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</si>
  <si>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Rätti, Osmo/L-4439-2013</t>
  </si>
  <si>
    <t>Ratti, Osmo/0000-0003-1185-0281</t>
  </si>
  <si>
    <t>0030-5685</t>
  </si>
  <si>
    <t>WOS:000086364000002</t>
  </si>
  <si>
    <t>Bach, CE; Kelly, D</t>
  </si>
  <si>
    <t>Effects of forest edges, fruit display size, and fruit colour on bird seed dispersal in a New Zealand mistletoe, Alepis flavida</t>
  </si>
  <si>
    <t>NEW ZEALAND JOURNAL OF ECOLOGY</t>
  </si>
  <si>
    <t>This study examined how forest edges, fruit display size, and fruit colour influenced rates of seed dispersal in an endemic, bird-dispersed, New Zealand mistletoe species, Alepis flavida. To examine rates of seed dispersal, fruit removal rates were compared between plants growing on forest edges and in forest interior, and also between two morphs of plants with different coloured fruits. Two aspects of fruit display size were examined: plant size and the neighbourhood of conspecific plants. There was no overall difference in fruit removal rates on forest edges and in forest interior, but birds removed fruits from red-fruited plants at a faster rate than from orange-fruited plants. Proximity of plant neighbours interacted with edges to influence fruit removal rates. The smaller the distance to nearest neighbours, the greater the fruit removal rates for orange-fruited plants in both habitats, but this relationship was significant for red-fruited plants only in the interior. Plant size affected fruit removal rates for orange-fruited plants, but not for red-fruited plants, and these differences were consistent in both habitats. Thus, fruit colour had the strongest effects on rates of fruit removal in this system, but forest edges also affected fruit removal rates, via altering the effects of neighbouring plants. Although birds prefer red fruits, there appears to be little selection pressure against orange-fruited plants because fruit removal rates are very high for both morphs.</t>
  </si>
  <si>
    <t>Vazquez-Dominguez, Guillermo GVD/L-7818-2014; Kelly, Dave/A-6129-2013</t>
  </si>
  <si>
    <t>Kelly, Dave/0000-0002-9469-2161</t>
  </si>
  <si>
    <t>0110-6465</t>
  </si>
  <si>
    <t>1177-7788</t>
  </si>
  <si>
    <t>WOS:000223581700009</t>
  </si>
  <si>
    <t>Hosseini, F; Lotfalizadeh, H; Norouzi, M; Dadpour, M</t>
  </si>
  <si>
    <t>Hosseini, Farnaz; Lotfalizadeh, Hossein; Norouzi, Majid; Dadpour, Mohammadreza</t>
  </si>
  <si>
    <t>Wing interference colours in Eurytoma (Hymenoptera: Eurytomidae): variation in patterns among populations and sexes of five species</t>
  </si>
  <si>
    <t>SYSTEMATICS AND BIODIVERSITY</t>
  </si>
  <si>
    <t>Taxonomic studies on parasitic Hymenoptera were mainly based on comparative morphology of adult wasps and occasionally on molecular surveys. Nowadays, wing interference patterns (WIPs) are applied to separate cryptic species of microhymenoptera. In our current research, colour characters of WIPs are quantified as wing interference colours (WICs), for the first time. In this regard, we demonstrated that statistical analysis of WICs is able to perform as well as side-by-side comparison of WIPs. WICs is a new concept including three main wing colours and their qualitative attributes. WICs of five Eurytoma species (Hymenoptera: Chalcidoidea, Eurytomidae), E. acroptilae Zerova, E. amygdali (Enderlein), E. caninae Lotfalizadeh and Delvare, E. plotnikovi Nikols'kaya and E. rosae Nees were analysed, for the first time. For this purpose, six colour parameters including red, green and blue (RGB) as well as hue, saturation and value (HSV) were compared. WICs alone could differentiate Eurytoma species. Geographic variation and sex determination were also examined based on WICs. Since these characters were similar and unique in both sexes, they were very useful for linking conspecific males and females. The study of different populations of the same species confirmed the stability of WICs.</t>
  </si>
  <si>
    <t>Lotfalizadeh, Hossein/AAF-4583-2021; Lotfalizadeh, Hossein/C-6060-2008</t>
  </si>
  <si>
    <t>Lotfalizadeh, Hossein/0000-0002-7927-819X; Lotfalizadeh, Hossein/0000-0002-7927-819X; Norouzi, Majid/0000-0002-1558-7030</t>
  </si>
  <si>
    <t>1477-2000</t>
  </si>
  <si>
    <t>1478-0933</t>
  </si>
  <si>
    <t>2019 NOV 29</t>
  </si>
  <si>
    <t>10.1080/14772000.2019.1687603</t>
  </si>
  <si>
    <t>NOV 2019</t>
  </si>
  <si>
    <t>WOS:000499312800001</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</si>
  <si>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</si>
  <si>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</si>
  <si>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</si>
  <si>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</si>
  <si>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</si>
  <si>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Megía-Palma, R; Paranjpe, D; Cooper, RD; Blaimont, P; Sinervo, B</t>
  </si>
  <si>
    <t>Megia-Palma, Rodrigo; Paranjpe, Dhanashree; Cooper, Robert D.; Blaimont, Pauline; Sinervo, Barry</t>
  </si>
  <si>
    <t>Natural parasites in conjunction with behavioral and color traits explain male agonistic behaviors in a lizard</t>
  </si>
  <si>
    <t>Male competition conforms to a cost-benefit model, because while aggression may increase reproductive prospects, it can also increase the risk of injury. We hypothesize that an additional cost in aggressive males would be an increase in parasite load associated with a high energy investment into sexual competition. Some of these infections, in turn, may downmodulate the level of host aggression via energetic trade-offs. We staged dyadic male contests in the lab to investigate the relationships of multiple parasites with the agonistic behavior of lizard hosts, Sceloporus occidentalis. We also included both color and behavioral traits from opponents in the analyses because (1) color patches of lizards may serve as intraspecific signals used by conspecifics to assess the quality of opponents, and (2) contests between male lizards fit classical models of escalated aggression, where lizards increase aggression displays in response to an opponent's behavior. The results conform to our hypothesis because male lizards displayed more pushups when they had more ticks. Moreover, some parasites may modulate the levels of aggression because lizards infected by hematic coccidians performed fewer pushups. Interestingly, lizards also displayed fewer pushups when both the chroma and size of the opponent's blue patch were greater. The results thus also supported the role of the blue patch of S. occidentalis as a sexual armament, because it contributed to the deterrence of aggression from opponent lizards. We revealed that natural parasitic infections in lizard hosts can contribute to their agonistic behavior. We encourage future studies to account for parasites in behavioral tests with lizards.</t>
  </si>
  <si>
    <t>Megía-Palma, Rodrigo/O-5819-2017</t>
  </si>
  <si>
    <t>Megía-Palma, Rodrigo/0000-0003-1038-0468</t>
  </si>
  <si>
    <t>MAR 11</t>
  </si>
  <si>
    <t>10.1093/cz/zoac095</t>
  </si>
  <si>
    <t>NOV 2022</t>
  </si>
  <si>
    <t>WOS:000908307000001</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</si>
  <si>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</si>
  <si>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</si>
  <si>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</si>
  <si>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</si>
  <si>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Yasukawa, Ken/0000-0002-8785-3123</t>
  </si>
  <si>
    <t>10.1016/j.anbehav.2008.11.013</t>
  </si>
  <si>
    <t>WOS:000262709400033</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</si>
  <si>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</si>
  <si>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</si>
  <si>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</si>
  <si>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</si>
  <si>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</si>
  <si>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</si>
  <si>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</si>
  <si>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</si>
  <si>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</si>
  <si>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</si>
  <si>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</si>
  <si>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</si>
  <si>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</si>
  <si>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</si>
  <si>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Dey, CJ; Quinn, JS; King, A; Hiscox, J; Dale, J</t>
  </si>
  <si>
    <t>Dey, Cody J.; Quinn, James S.; King, Ash; Hiscox, Jessica; Dale, James</t>
  </si>
  <si>
    <t>A bare-part ornament is a stronger predictor of dominance than plumage ornamentation in the cooperatively breeding Australian Swamphen</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</si>
  <si>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</si>
  <si>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</si>
  <si>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10.1642/AUK-16-119.1</t>
  </si>
  <si>
    <t>WOS:000398573200004</t>
  </si>
  <si>
    <t>Sawada, K; Yamahira, K; Kuriwada, T</t>
  </si>
  <si>
    <t>Sawada, Kouji; Yamahira, Kazunori; Kuriwada, Takashi</t>
  </si>
  <si>
    <t>Interpopulation variation in female color-type frequency of Ischnura senegalensis in Okinawa Island, Japan (Odonata: Coenagrionidae)</t>
  </si>
  <si>
    <t>Ischnura senegalensis (Rambur, 1842) has two female color-types: gynochromes, which are brown, and androchromes, which are green and similar in appearance to conspecific males. Ischnura senegalensis females from Okinawa Island, a small island in the Ryukyu Archipelago, Japan, show color-type frequencies that vary greatly, even among adjacent local populations. For example, androchrome frequencies were very low (0-4.3 %) in northern populations of the island. However, in the southern populations androchrome frequencies were high and ranged widely (0-67.2%). Periodical surveys from 2011 to 2013 of two adjacent southern populations revealed that the frequency of color-type remained constant over time. To our knowledge, this is the first study of temporally stable and extremely high interpopulation variation in female color-type frequency in Odonata. We discuss possible reasons for the evolution of such high interpopulation variation in color-type frequency.</t>
  </si>
  <si>
    <t>DEC 1</t>
  </si>
  <si>
    <t>WOS:000345540300007</t>
  </si>
  <si>
    <t>Huber, BA; Perez-González, A; Astrin, JJ; Blume, C; Baptista, R</t>
  </si>
  <si>
    <t>Huber, Bernhard A.; Perez-Gonzalez, Abel; Astrin, Jonas J.; Blume, Christina; Baptista, Renner</t>
  </si>
  <si>
    <t>Litoporus iguassuensis Mello-Leitao, 1918 (Araneae, Pholcidae): Camouflaged retreat, sexual dimorphism, female color polymorphism, intra-specific genital variation, and description of the male</t>
  </si>
  <si>
    <t>We describe the previously unknown male of Litoporus iguassuensis Mello-Leitao, 1918 and document the exceptional biology of this species: (1) females and juveniles but not adult males construct camouflaged retreats; (2) there is a strong sexual dimorphism involving coloration, leg length, and behavior; (3) females at some localities are color polymorphic, i.e., discontinuously variable within the population. The species, previously only known from Rio de Janeiro, is widely distributed in the Brazilian Atlantic Forest. Among some of the localities studied it shows genital and male cheliceral variation that is here interpreted as being intraspecific. Preliminary molecular data (16S, H3) reveal low p-distances and no significant grouping information, leading us to hypothesize a single variable species rather than two or more species. Finally, we argue that Mello-Leitao's original assignment to Litoporus (instead of Tupigea) may be correct, and discuss the implications: (1) Litoporus may be nested within Mesabolivar and represent a case of evolutionary shift among microhabitats with the correlated morphological changes; (2) extreme sexual dimorphism may be common in Litoporus and may explain the fact that females continue to be unknown in several species (because they were not recognized as being conspecific with the males). (C) 2012 Elsevier GmbH. All rights reserved.</t>
  </si>
  <si>
    <t>Pérez-González, Abel/R-4999-2019; Astrin, Jonas/N-5207-2018</t>
  </si>
  <si>
    <t>Pérez-González, Abel/0000-0002-4245-3302; Astrin, Jonas/0000-0003-1961-1162</t>
  </si>
  <si>
    <t>10.1016/j.jcz.2012.12.001</t>
  </si>
  <si>
    <t>WOS:000322803400009</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</si>
  <si>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</si>
  <si>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</si>
  <si>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</si>
  <si>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MAY 22</t>
  </si>
  <si>
    <t>10.1098/rspb.2003.2348</t>
  </si>
  <si>
    <t>WOS:000182969100005</t>
  </si>
  <si>
    <t>Chaves-Acuña, W; Sandoval, L; Bitton, PP; Barrantes, G; García-Rodríguez, A</t>
  </si>
  <si>
    <t>Chaves-Acuna, Wagner; Sandoval, Luis; Bitton, Pierre-Paul; Barrantes, Gilbert; Garcia-Rodriguez, Adrian</t>
  </si>
  <si>
    <t>Conspecific and Predator Perception of the Red Oophaga pumilio Morph from the Central Caribbean of Costa Rica</t>
  </si>
  <si>
    <t>Strawberry Poison Frogs (Oophaga pumilio) are common members of leaf litter lowland communities in Central America and exhibit several color morphs throughout their distribution. Color plays a determinant role during intra- and intermorph interactions in many insular populations, but little is known about the variation and perception of visual signals in mainland populations. In this study, we investigated color variation of four body parts-head, back, belly, and throat-in a bright red O. pumilio population of northeastern Costa Rica. We incorporated frog- and bird-specific visual modeling to evaluate the differences in color and brightness between the sexes, from the perspective of conspecifics and avian predators. Furthermore, we measured the color and brightness contrast against natural backgrounds commonly used by these frogs to forage and patrol within territories. Our results revealed that, from the perspective of conspecifics, there is no dichromatism between males and females. However, females had a greater contrast against green and brown backgrounds than males. The bird visual models indicated that males and females are highly conspicuous against common background substrates but that females are easier to detect than males. This study detailing color variants between sexes within a mainland population of O. pumilio contributes to our understanding of color differences in populations of this species.</t>
  </si>
  <si>
    <t>García-Rodríguez, Adrián/I-8990-2016</t>
  </si>
  <si>
    <t>Chaves-Acuna, Wagner/0000-0002-6669-5701; Garcia-Rodriguez, Adrian/0000-0002-9831-2963</t>
  </si>
  <si>
    <t>10.1670/19-110</t>
  </si>
  <si>
    <t>WOS:000589893000013</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</si>
  <si>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</si>
  <si>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</si>
  <si>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</si>
  <si>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</si>
  <si>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Henry, Theodore/C-2634-2013</t>
  </si>
  <si>
    <t>Henry, Theodore/0000-0002-9675-9454; Eaton, Lewis/0000-0002-3463-3848</t>
  </si>
  <si>
    <t>10.1016/j.yhbeh.2015.03.005</t>
  </si>
  <si>
    <t>WOS:000355573500002</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</si>
  <si>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</si>
  <si>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</si>
  <si>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</si>
  <si>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</si>
  <si>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Tyers, Alexandra Morton/0000-0002-1153-1347; Turner, George/0000-0003-0099-7261</t>
  </si>
  <si>
    <t>10.1111/bij.12105</t>
  </si>
  <si>
    <t>WOS:000323040200013</t>
  </si>
  <si>
    <t>Female preference for male coloration may explain behavioural isolation in sympatric darters</t>
  </si>
  <si>
    <t>Animal colour patterns are among the most striking examples of biological diversity. Elaborate coloration is thought to play a role in mate choice within populations and to pose a barrier to interbreeding between species, with individuals preferring the coloration of conspecifics. Ideally, the importance of coloration as a reproductive barrier would be tested by holding all traits constant and manipulating only colour to test its effect. In butterflies, researchers use paper models to manipulate female colour patterns and show strong male preference for conspecific female coloration. In African cichlids and poison frogs, researchers manipulate the light environment to test the importance of male colour in female preference for conspecifics. Here we use motorized models to test whether females in a pair of sexually dimorphic fish species (genus: Etheostoma) prefer conspecific over heterospecific male coloration. By isolating and manipulating specific components of male coloration, we show that females of both species significantly prefer conspecific male colour (red versus green) and pattern (stripe versus bars). These results provide strong evidence that female preference for conspecific male nuptial coloration may play a critical role in behavioural isolation. (C) 2011 The Association for the Study of Animal Behaviour. Published by Elsevier Ltd. All rights reserved.</t>
  </si>
  <si>
    <t>10.1016/j.anbehav.2011.06.023</t>
  </si>
  <si>
    <t>WOS:000295262800012</t>
  </si>
  <si>
    <t>Fuss, T; Witte, K</t>
  </si>
  <si>
    <t>Fuss, Theodora; Witte, Klaudia</t>
  </si>
  <si>
    <t>Sex differences in color discrimination and serial reversal learning in mollies and guppies</t>
  </si>
  <si>
    <t>Behavioral flexibility provides an individual with the ability to adapt its behavior in response to environmental changes. Studies on mammals, birds, and teleosts indicate greater behavioral flexibility in females. Conversely, males appear to exhibit greater behavioral persistence. We, therefore, investigated sex differences in behavioral flexibility in 2 closely related molly species (Poecilia latipinna, P. mexicana) and their more distant relative, the guppy P. reticulata by comparing male and female individuals in a serial, visual reversal learning task. Fish were first trained in color discrimination, which was quickly learned by all females (guppies and mollies) and all molly males alike. Despite continued training over more than 72 sessions, male guppies did not learn the general test procedure and were, therefore, excluded from further testing. Once the reward contingency was reversed serially, molly males of both species performed considerably better by inhibiting their previous response and reached the learning criterion significantly faster than their respective conspecific females. Moreover, Atlantic molly males clearly outperformed all other individuals (males and females) and some of them even reached the level of 1-trial learning. Thus, the apparently universal pattern of higher female behavioral flexibility seems to be inverted in the 2 examined molly species, although the evolutionary account of this pattern remains highly speculative. These findings were complemented by the observed lower neophobia of female sailfin mollies compared with their male conspecifics. This sex difference was not observed in Atlantic mollies that were observed to be significantly less distressed in a novel situation than their consexuals. Hypothetically, sex differences in behavioral flexibility can possibly be explained in terms of the different roles that males and females play in mating competition, mate choice, and reproduction or, more generally, in complex social interactions. Each of these characteristics clearly differed between the closely related mollies and the more distantly related guppies.</t>
  </si>
  <si>
    <t>10.1093/cz/zoz029</t>
  </si>
  <si>
    <t>WOS:000475905500012</t>
  </si>
  <si>
    <t>NORMAN, DO</t>
  </si>
  <si>
    <t>ROLE FOR PLUMAGE COLOR IN MUTE SWAN (CYGNUS-OLOR) PARENT-OFFSPRING INTERACTIONS</t>
  </si>
  <si>
    <t>Mute swan (C. olor) cygnets usually hatch out covered with a brownish gray colored down. Less frequently the cygnets will hatch out white. According to reports in the literature, white mute swan cygnets receive disproportionately more paternal aggression than their brownish gray colored siblings. To test whether this agression is the result of plumage color, brown and white swan models were presented to 4 territorial pairs of adult mute swans. Each model was presented separately to the swans on their respective territories or both models were presented to the territory holders at the same time. The models were accorded significantly different treatments by the territorial adults. The white model received more threats and attacks than did the brown model. The experimental results together with anecdotal evidence suggest the use of whiteness as a major cue for identifying conspecifics in the mute swan.</t>
  </si>
  <si>
    <t>10.1163/156853977X00162</t>
  </si>
  <si>
    <t>WOS:A1977EA46300006</t>
  </si>
  <si>
    <t>Aikins, C; Altizer, S; Sasaki, T</t>
  </si>
  <si>
    <t>Aikins, Caroline; Altizer, Sonia; Sasaki, Takao</t>
  </si>
  <si>
    <t>Neither Copy nor Avoid: No Evidence for Social Cue Use in Monarch Butterfly Oviposition Site Selection</t>
  </si>
  <si>
    <t>Time spent assessing host plant quality during oviposition for phytophagous insects represents an energy-fitness tradeoff affecting future reproduction and offspring survival. In situations where resources are scarce or unattractive, organisms can utilize social information, including cues left behind by conspecific individuals, to inform decisions. In invertebrates, eggs deposited by previous females could signal a desirable resource, or alternatively females might avoid ovipositing near conspecific eggs to reduce offspring competition. Here, we show that monarch butterflies (Danaus plexippus) display the same pattern of oviposition across milkweed (Asclepias incarnata) stalks of differing quality, ignoring potential social cues and competition pressure imposed by conspecific eggs. Female monarchs preferentially laid eggs on healthy-looking, intact milkweed relative to water-stressed or herbivory-damaged stalks and exhibited differential post-alightment behavior on the three stalk types. Despite this apparent assessment of host plants for suitability, females failed to respond to social information in the form of conspecific eggs. Contrary to expectations that females would avoid healthy-looking, intact stalks with high egg numbers and prefer less desirable stalks with moderate egg numbers, the number of eggs laid by focal females did not depend on the number of prior conspecific eggs per stalk, regardless of stalk type. Our results suggest that monarchs neither avoid nor prefer stalks with conspecific eggs- perhaps due to low egg densities and larval survival in the wild, making discrimination based on conspecific eggs impractical when milkweed is abundant. Alternatively, egg clustering by females may be an adaptive oviposition strategy when host plant options are few, regardless of quality.</t>
  </si>
  <si>
    <t>Altizer, Sonia/0000-0001-9966-2773; Aikins, Caroline/0000-0001-6330-7569; Sasaki, Takao/0000-0001-7923-9855</t>
  </si>
  <si>
    <t>10.1007/s10905-023-09817-8</t>
  </si>
  <si>
    <t>FEB 2023</t>
  </si>
  <si>
    <t>WOS:000922274000001</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</si>
  <si>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</si>
  <si>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</si>
  <si>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</si>
  <si>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</si>
  <si>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Blomberg, Simone P/B-7613-2008; Whiting, Martin J./E-2999-2010; Firth, David/A-8207-2011; Bennett, Nigel/E-4238-2010</t>
  </si>
  <si>
    <t>Whiting, Martin J./0000-0002-4662-0227; Firth, David/0000-0003-0302-2312; Blomberg, Simone/0000-0003-1062-0839; Bennett, Nigel/0000-0001-9748-2947; Stuart-Fox, Devi/0000-0003-3362-1412</t>
  </si>
  <si>
    <t>10.1016/j.anbehav.2005.10.018</t>
  </si>
  <si>
    <t>WOS:000240217300011</t>
  </si>
  <si>
    <t>Bannister, CC; Thomson, AJC; Cuculescu-Santana, M</t>
  </si>
  <si>
    <t>Bannister, Callum C.; Thomson, Angus J. C.; Cuculescu-Santana, Mirela</t>
  </si>
  <si>
    <t>Can colored object enrichment reduce the escape behavior of captive freshwater turtles?</t>
  </si>
  <si>
    <t>ZOO BIOLOGY</t>
  </si>
  <si>
    <t>The effect of environmental enrichment on the behavior and welfare in captivity of reptiles and of freshwater turtles in particular, which are popular aquarium and pet species, is very little studied compared to other taxa. We carried out a small scale case-study on the effect of colored object enrichment, with and without fish scent, on the behavior of a group of 15 cooters (Pseudemys sp.) and sliders (Trachemys scripta ssp.) on display at a public aquarium. The new enrichment aimed to reduce the escape behavior (interaction with transparent boundaries) and increase exploration and random swimming. We used simultaneous recording of behavior at whole group level and for focal individually-marked turtles. The escape behavior decreased on days with new enrichment before feeding at whole group level and for the focal turtles overall, in spite of the relatively low interest in the colored objects. Fish-scented objects attracted significantly more interest. Random swimming, enrichment focus, aggression and submission increased significantly, and basking decreased significantly at whole group level before feeding, with smaller differences after feeding. There were large differences between individual turtles with respect to activity budgets and changes in behavior on days with new enrichment, with both increases and decreases seen in escape behavior, aggression, and levels of activity. Our outcomes suggested that introducing new colored objects with food scent may be beneficial for reducing escape behavior in captive freshwater turtles. However, careful monitoring of effects at individual level and much larger scale investigations, including postenrichment periods, are needed.</t>
  </si>
  <si>
    <t>Bannister, Callum/HRD-3767-2023; Thomson, Angus/GWC-6149-2022</t>
  </si>
  <si>
    <t>0733-3188</t>
  </si>
  <si>
    <t>1098-2361</t>
  </si>
  <si>
    <t>10.1002/zoo.21583</t>
  </si>
  <si>
    <t>FEB 2021</t>
  </si>
  <si>
    <t>WOS:000614925000001</t>
  </si>
  <si>
    <t>Cheroske, AG; Cronin, TW; Durham, MF; Caldwell, RL</t>
  </si>
  <si>
    <t>Cheroske, Alexander G.; Cronin, Thomas W.; Durham, Mary F.; Caldwell, Roy L.</t>
  </si>
  <si>
    <t>Adaptive signaling behavior in stomatopods under varying light conditions</t>
  </si>
  <si>
    <t>Stomatopod crustaceans (mantis shrimp) are aggressive benthic marine predators with extraordinary color vision. When communicating with conspecifics, many stomatopods display conspicuously colored body areas, often in combination with other types of signals such as motion and chemical cues. Some species occupy wide depth ranges (&gt;30 m), where changing light conditions can influence color perception. To test the potential effects of differing ambient lights on signaling behavior, stomatopods (Gonodactylus smithii) interacted with conspecifics in aquaria, under full-spectrum, high intensity light or light restricted in either spectrum or intensity. During intrasexual and intersexual trials in full-spectrum, high intensity light, animals performed more aggressive acts using colored body parts (meral spread, lunge, strike). Stomatopods used significantly more antennular flicking, and performed aggressive acts at reduced distances under restricted light conditions. To compare the use of antennules in visual and chemical communication, additional experiments showed more antennular flicking in response to chemical stimuli from food or conspecifics compared to seawater controls. This response ceased immediately after ablation of antennular chemoreceptors but returned to pre-treatment levels after 5 days of recovery. These findings suggest that stomatopods can vary their use of signals during conspecific interactions under different photic conditions. These inducible, plastic behavioral responses can potentially improve signal transfer in varying light environments.</t>
  </si>
  <si>
    <t>Durham, Mary/0000-0002-9378-1795</t>
  </si>
  <si>
    <t>10.1080/10236240903169222</t>
  </si>
  <si>
    <t>WOS:000271013700001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</si>
  <si>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</si>
  <si>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</si>
  <si>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</si>
  <si>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</si>
  <si>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</si>
  <si>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</si>
  <si>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</si>
  <si>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</si>
  <si>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</si>
  <si>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</si>
  <si>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</si>
  <si>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</si>
  <si>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</si>
  <si>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</si>
  <si>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</si>
  <si>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Yang, ML; Wang, YL; Liu, Q; Liu, ZK; Jiang, F; Wang, HM; Guo, XJ; Zhang, JZ; Kang, L</t>
  </si>
  <si>
    <t>Yang, Meiling; Wang, Yanli; Liu, Qing; Liu, Zhikang; Jiang, Feng; Wang, Huimin; Guo, Xiaojiao; Zhang, Jianzhen; Kang, Le</t>
  </si>
  <si>
    <t>A β-carotene-binding protein carrying a red pigment regulates body-color transition between green am black in locusts</t>
  </si>
  <si>
    <t>ELIFE</t>
  </si>
  <si>
    <t>Changes of body color have important effects for animals in adapting to variable environments. The migratory locust exhibits body color polyphenism between solitary and gregarious individuals, with the former displaying a uniform green coloration and the latter having a prominent pattern of black dorsal and brown ventral surface. However, the molecular mechanism underlying the density-dependent body color changes of conspecific locusts remain largely unknown. Here, we found that upregulation of beta-carotene-binding protein promotes the accumulation of red pigment, which added to the green color palette present in solitary locusts changes it from green to black, and that downregulation of this protein led to the reverse, changing the color of gregarious locusts from black to green. Our results provide insight that color changes of locusts are dependent on variation in the red beta-carotene pigment binding to beta CBP. This finding of animal coloration corresponds with trichromatic theory of color vision.</t>
  </si>
  <si>
    <t>wang, hui/HSG-6135-2023; wang, huimin/HDM-8421-2022; liu, xiang/JED-7878-2023; Kang, Le/ABD-1116-2022; Wang, Hui/HMU-9512-2023</t>
  </si>
  <si>
    <t>Kang, Le/0000-0003-4262-2329; Jiang, Feng/0000-0002-7407-7604; Liu, Qing/0000-0002-6163-2488</t>
  </si>
  <si>
    <t>2050-084X</t>
  </si>
  <si>
    <t>JAN 8</t>
  </si>
  <si>
    <t>e41362</t>
  </si>
  <si>
    <t>10.7554/eLife.41362</t>
  </si>
  <si>
    <t>WOS:000455079700001</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</si>
  <si>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</si>
  <si>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</si>
  <si>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</si>
  <si>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</si>
  <si>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 Moore, Michael/JJD-3293-2023</t>
  </si>
  <si>
    <t>Martin, Ryan/0000-0002-7448-5907; Moore, Michael/0000-0002-8255-4247</t>
  </si>
  <si>
    <t>10.1111/jeb.12953</t>
  </si>
  <si>
    <t>WOS:000388312300013</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</si>
  <si>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</si>
  <si>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</si>
  <si>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</si>
  <si>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</si>
  <si>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</si>
  <si>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</si>
  <si>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1600-048X</t>
  </si>
  <si>
    <t>10.1111/j.1600-048X.2013.00286.x</t>
  </si>
  <si>
    <t>WOS:000329866900004</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</si>
  <si>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</si>
  <si>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</si>
  <si>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</si>
  <si>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</si>
  <si>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</si>
  <si>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</si>
  <si>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</si>
  <si>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</si>
  <si>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</si>
  <si>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</si>
  <si>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</si>
  <si>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</si>
  <si>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</si>
  <si>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Piefke, Taylor/ISV-2446-2023</t>
  </si>
  <si>
    <t>Dijkstra, Peter/0000-0001-5382-225X</t>
  </si>
  <si>
    <t>10.1093/beheco/ary189</t>
  </si>
  <si>
    <t>WOS:000464932900025</t>
  </si>
  <si>
    <t>Culumber, ZW</t>
  </si>
  <si>
    <t>Culumber, Zachary W.</t>
  </si>
  <si>
    <t>Early recognition and response to predator, heterospecific, and conspecific visual cues by multiple species of poeciliid fry</t>
  </si>
  <si>
    <t>Recognition and response to cues from conspecific and heterospecific individuals is critical to survival and reproduction and therefore should be learned early in life. Young fry of two live-bearing fishes, Poecilia mexicana and Xiphophorus birchmanni, were exposed to visual cues of three different species in order to measure shoal tightening, an antipredator defence. Both species responded to a putative predator with shoal tightening, but response to a con-and hetero-specific poeciliid did not differ, though inter-fry distances became larger in the presence of both species compared to distances prior to exposure. There were also size-dependent effects on the pairwise distance between fry. These results suggest that fry are able to learn to distinguish among species based on visual cues alone at an early age, that A. mexicanus is perceived as a threat, but that adult poeciliids are likely not perceived as a predator by fry as some studies have posited.</t>
  </si>
  <si>
    <t>10.1163/1568539X-00003287</t>
  </si>
  <si>
    <t>WOS:000359994100002</t>
  </si>
  <si>
    <t>Ferreira, G; Keller, M; Saint-Dizier, H; Perrin, G; Lévy, F</t>
  </si>
  <si>
    <t>Transfer between views of conspecific faces at different ages or in different orientations by sheep</t>
  </si>
  <si>
    <t>Sheep are able to discriminate photographs of conspecific faces. The present study investigates adult ewe's recognition of faces of the same animal between different ages or between different orientations. Twelve adult sheep were first trained to discriminate between faces of two unfamiliar animals, one of which was associated with a food reward. Transfer of discrimination from this pair to the same pair but at a different age, or in a different orientation, was then evaluated (transfer test), and compared with a new pair of the same condition (control test). Learned discrimination of a frontal view of unfamiliar 3-month-old lambs' faces improved subsequent discrimination of the same pair when they were 1-month-old in comparison to discrimination of new 1-month-old faces. Moreover, sheep that were trained to discriminate frontal views of unfamiliar adult individuals discriminated profile views of the same animals more accurately than that of novels. However, learned discrimination of the profile view of unfamiliar adult faces had no effect on subsequent discrimination of the frontal view of that same pair. These results suggest that to some extent sheep recognise faces of unfamiliar animals at different ages and in different orientations. (C) 2004 Elsevier B.V. All rights reserved.</t>
  </si>
  <si>
    <t>Keller, Matthieu/Q-1431-2019</t>
  </si>
  <si>
    <t>Keller, Matthieu/0000-0002-5445-7431; Ferreira, Guillaume/0000-0001-5984-8143</t>
  </si>
  <si>
    <t>NOV 30</t>
  </si>
  <si>
    <t>10.1016/j.beproc.2004.08.005</t>
  </si>
  <si>
    <t>WOS:000225051100016</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</si>
  <si>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</si>
  <si>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</si>
  <si>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</si>
  <si>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</si>
  <si>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</si>
  <si>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</si>
  <si>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</si>
  <si>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</si>
  <si>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Hannon, Susan J/A-2648-2014</t>
  </si>
  <si>
    <t>Eason, Perri/0000-0001-9796-2510</t>
  </si>
  <si>
    <t>10.1016/0003-3472(95)80153-7</t>
  </si>
  <si>
    <t>WOS:A1995QC44700006</t>
  </si>
  <si>
    <t>George, EM; Rosvall, KA</t>
  </si>
  <si>
    <t>George, Elizabeth M.; Rosvall, Kimberly A.</t>
  </si>
  <si>
    <t>Testosterone production and social environment vary with breeding stage in a competitive female songbird</t>
  </si>
  <si>
    <t>In many vertebrates, males increase circulating testosterone (T) levels in response to seasonal and social changes in competition. Females are also capable of producing and responding to T, but the full extent to which they can elevate T across life history stages remains unclear. Here we investigated T production during various breeding stages in female tree swallows (Tachycineta bicolor), which face intense competition for nesting sites. We performed GnRH and saline injections and compared changes in T levels 30 min before and after injection. We found that GnRH-injected females showed the greatest increases in T during territory establishment and pre-laying stages, whereas saline controls dramatically decreased T production during this time. We also observed elevated rates of conspecific aggression during these early stages of breeding. During incubation and provisioning, however, T levels and T production capabilities declined. Given that high T can disrupt maternal care, an inability to elevate T levels in later breeding stages may be adaptive. Our results highlight the importance of saline controls for contextualizing T production capabilities, and they also suggest that social modulation of T is a potential mechanism by which females may respond to competition, but only during the period of time when competition is most intense. These findings have broad implications for understanding how females can respond to their social environment and how selection may have shaped these hormone-behavior interactions.</t>
  </si>
  <si>
    <t>George, Elizabeth/GQQ-7136-2022; Rosvall, Kimberly A/GQB-1395-2022</t>
  </si>
  <si>
    <t>Rosvall, Kimberly A/0000-0003-3766-9624; George, Elizabeth/0000-0002-1223-5857</t>
  </si>
  <si>
    <t>10.1016/j.yhbeh.2018.05.015</t>
  </si>
  <si>
    <t>WOS:000441368400004</t>
  </si>
  <si>
    <t>HOLDER, K; MONTGOMERIE, R</t>
  </si>
  <si>
    <t>RED COLOR BANDS DO NOT IMPROVE THE MATING SUCCESS OF MALE ROCK PTARMIGAN</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</si>
  <si>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</si>
  <si>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Robert/C-6516-2008</t>
  </si>
  <si>
    <t>Montgomerie, Robert/0000-0003-4701-4525</t>
  </si>
  <si>
    <t>10.2307/3676410</t>
  </si>
  <si>
    <t>WOS:A1993KP96900009</t>
  </si>
  <si>
    <t>Van Gossum, H; Stoks, R; Matthysen, E; Valck, F; De Bruyn, L</t>
  </si>
  <si>
    <t>Male choice for female colour morphs in Ischnura elegans (Odonata, Coenagrionidae):: testing the hypotheses</t>
  </si>
  <si>
    <t>The occurrence of different conspecific female colour morphs, with one of the morphs resembling the male, is supposed to have consequences for mate choice. There are two hypotheses linking mate choice and female colour polymorphism. First, males may mate predominantly with female morphs that differ from the male because they do not recognize androchrome females as females (male mimic hypothesis). Second, males may be more attracted to the most common morph in the population (habituation hypothesis). We tested these hypotheses in five populations of the same species, Ischnura elegans, with a range of androchrome frequencies. In each population we performed binary choice experiments in small cages. Males did not consistently prefer gynochrome females but mated predominantly with the most common morph in the population. Moreover, a reanalysis of the available damselfly data in the literature also supported the habituation hypothesis. (C) 1999 The Association for the Study of Animal Behaviour.</t>
  </si>
  <si>
    <t>Stoks, Robby/AAK-1227-2020; De Bruyn, Luc/C-7030-2008</t>
  </si>
  <si>
    <t>De Bruyn, Luc/0000-0002-8968-8862; Stoks, Robby/0000-0003-4130-0459; Matthysen, Erik/0000-0002-7521-9248</t>
  </si>
  <si>
    <t>10.1006/anbe.1999.1100</t>
  </si>
  <si>
    <t>WOS:000080973100007</t>
  </si>
  <si>
    <t>Smith, PF; Kornfield, I</t>
  </si>
  <si>
    <t>Phylogeography of Lake Malawi cichlids of the genus Pseudotropheus:: significance of allopatric colour variation</t>
  </si>
  <si>
    <t>One of the most compelling features of the cichlid fishes of the African Great Lakes is the seemingly endless diversity of male coloration. Colour diversification has been implicated as an important factor driving cichlid speciation. Colour has also been central to cichlid taxonomy and, thus, to our concept of species diversity. We undertook a phylogeographical examination of several allopatric populations of the Lake Malawi cichlid Pseudotropheus zebra in order to reconstruct the evolutionary history of the populations, which exhibit one of two dorsal fin colours. We present evidence that populations with red dorsal fins (RT) are not monophyletic. The RT population defining the northern limit of the distribution has evidently originated independently of the southern RT populations, which share a common ancestry. This evidence of species-level colour convergence is an important discovery in our understanding of cichlid evolution. It implies that divergence in coloration may accompany speciation, and that allopatric populations with similar coloration cannot be assumed to be conspecific. In addition to this finding, we have observed evidence for introgression, contributing to current evidence that this phenomenon may be extremely widespread. Thus, in species-level phylogenetic reconstructions, including our own, consideration must be given to the potential effects of introgression.</t>
  </si>
  <si>
    <t>10.1098/rspb.2002.2188</t>
  </si>
  <si>
    <t>WOS:000180221100001</t>
  </si>
  <si>
    <t>ELLIS, DH; GARAT, CP</t>
  </si>
  <si>
    <t>THE PALLID FALCON FALCO-KREYENBORGI IS A COLOR PHASE OF THE AUSTRAL PEREGRINE FALCON (FALCO-PEREGRINUS CASSINI)</t>
  </si>
  <si>
    <t>The pallid falcon (Falco kreyenborgi), a rare form from southern Patagonia and Tierra del Fuego, has gained acceptance as a full species. In 1981, 13 pallid falcons were observed on the Patagonian Steppe. Four adult pallid falcons were paired with normal peregrine falcon (F. peregrinus cassini) mates. Two normal-phased peregrine pairs produced mixed broods of normal and pallid young. One pair of pallid adults produced only pallid young. The pallid falcon is conspecific with and a color phase of the peregrine falcon.</t>
  </si>
  <si>
    <t>Ellis, David/0000-0002-1411-9550</t>
  </si>
  <si>
    <t>10.1093/auk/100.2.269</t>
  </si>
  <si>
    <t>WOS:A1983QX26300001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</si>
  <si>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</si>
  <si>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</si>
  <si>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</si>
  <si>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</si>
  <si>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Visser, Bertanne/J-9796-2012</t>
  </si>
  <si>
    <t>10.1093/czoolo/59.2.221</t>
  </si>
  <si>
    <t>WOS:000315813200009</t>
  </si>
  <si>
    <t>Meyer-Rochow, VB; Shimoyama, A</t>
  </si>
  <si>
    <t>Meyer-Rochow, Victor Benno; Shimoyama, Ayu</t>
  </si>
  <si>
    <t>UV-reflecting and absorbing body regions in gentoo and king penguin: Can they really be used by the penguins as signals for conspecific recognition?</t>
  </si>
  <si>
    <t>POLAR BIOLOGY</t>
  </si>
  <si>
    <t>Photographs of gentoo and king penguins were taken in the field on a bright and sunny day first in colour (here reproduced in black and white) and then, seconds later, through a filter that transmits only UV radiation and blocks all visible light. Because of the lower light intensity and different focal point of UV, it is unavoidable that the UV photographs turn out less sharp and less well focused than photographs taken with visible light. Comparisons of the two sets of photographs show that king penguins with white (but not yellow or orange) auricular patches reflect UV from these areas. Furthermore, the beaks of juvenile gentoo penguins, but not those of the adults, are UV reflectant. The findings are discussed in view of recent Suggestions that UV reflection in penguins could be part of a communication system. However, this paper argues that as long as UV perception in penguins has not been demonstrated, UV reflection in penguins ought to be seen as an associative phenomenon with no significance to penguin behaviour.</t>
  </si>
  <si>
    <t>MEYER-ROCHOW, Victor Benno/AAJ-7258-2020</t>
  </si>
  <si>
    <t>MEYER-ROCHOW, V. Benno/0000-0003-1531-9244</t>
  </si>
  <si>
    <t>0722-4060</t>
  </si>
  <si>
    <t>10.1007/s00300-007-0387-7</t>
  </si>
  <si>
    <t>WOS:000254486900004</t>
  </si>
  <si>
    <t>Ontogenetic habitat shifts reduce costly male-male interactions</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</si>
  <si>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</si>
  <si>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10.1007/s10682-020-10064-y</t>
  </si>
  <si>
    <t>AUG 2020</t>
  </si>
  <si>
    <t>WOS:000555728700001</t>
  </si>
  <si>
    <t>Weiss, SL</t>
  </si>
  <si>
    <t>Weiss, Stacey L.</t>
  </si>
  <si>
    <t>Female-specific color is a signal of quality in the striped plateau lizard (Sceloporus virgatus)</t>
  </si>
  <si>
    <t>Recent theoretical and empirical studies confirm that male mate choice and/or female-female mate competition can be expressed in the absence of sex-role reversal. Such reproductive patterns may select for the evolution of female traits that indicate female phenotypic or genotypic quality among non-role-reversed species. Although attention to the evolution and function of female ornaments is increasing, additional focus is needed on female-specific ornaments (those not expressed in conspecific males) and on nonavian systems in order to gain a broad understanding of how selection acts directly on ornamentation of female animals. In the striped plateau lizard, Sceloporus virgatus, only females develop orange throat patches during the reproductive season. The color peaks in expression near the time of ovulation and appears to stimulate male courtship. Here, I examine whether this female-specific ornament can be used by males to reliably assess female phenotypic quality. Using multivariate regression analyses, I show that the area of the orange color patch predicts body condition and mite load, the chroma (i.e., saturation) of the color patch predicts body size, and both patch area and chroma reliably predict average egg mass. Thus, female reproductive color may function as a condition-dependent signal, indicating phenotypic quality to potential mates.</t>
  </si>
  <si>
    <t>Weiss, Stacey/AEX-0170-2022</t>
  </si>
  <si>
    <t>Weiss, Stacey/0000-0003-3571-9667</t>
  </si>
  <si>
    <t>10.1093/beheco/arl001</t>
  </si>
  <si>
    <t>WOS:000239899500005</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</si>
  <si>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</si>
  <si>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</si>
  <si>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</si>
  <si>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</si>
  <si>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</si>
  <si>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</si>
  <si>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</si>
  <si>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</si>
  <si>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</si>
  <si>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</si>
  <si>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Jackson, Robert/IVV-6008-2023</t>
  </si>
  <si>
    <t>Cross, Fiona/0000-0001-8266-4270</t>
  </si>
  <si>
    <t>1543-4494</t>
  </si>
  <si>
    <t>1543-4508</t>
  </si>
  <si>
    <t>10.3758/s13420-020-00411-y</t>
  </si>
  <si>
    <t>WOS:000520711400013</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</si>
  <si>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</si>
  <si>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</si>
  <si>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</si>
  <si>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</si>
  <si>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Miles, Donald B./AFW-0480-2022</t>
  </si>
  <si>
    <t>Miles, Donald/0000-0001-5768-179X</t>
  </si>
  <si>
    <t>10.1111/1365-2656.12252</t>
  </si>
  <si>
    <t>WOS:000344339500025</t>
  </si>
  <si>
    <t>Jones, PL; Ryan, MJ; Chittka, L</t>
  </si>
  <si>
    <t>Jones, Patricia L.; Ryan, Michael J.; Chittka, Lars</t>
  </si>
  <si>
    <t>The influence of past experience with flower reward quality on social learning in bumblebees</t>
  </si>
  <si>
    <t>Foraging decisions can be influenced by innate biases, previous individual experience and social information acquired from conspecifics. We examined how these factors interact to affect flower colour preference in the large earth bumblebee, Bombus terrestris dalmatinus. Individual bees with no experience foraging on coloured flowers were first tested for innate colour biases on an unrewarded array of blue and yellow artificial flowers. Depending on treatment, bees then acquired individual experience foraging on a colour (either blue or yellow) associated with high-quality sucrose rewards, or a colour with low-quality sucrose rewards, or they did not acquire any individual experience. Bees were then exposed to the alternative colour associated with conspecific demonstrator bees (social information) or the alternative colour with no social information. Bees that had no individual experience visited flower colours that were associated with conspecific demonstrators (social information) but only significantly if the socially demonstrated colour was one for which bees had an innate bias. When bees had individual experience foraging on a colour with high-quality rewards they continued foraging on that colour, and generally did not visit the socially demonstrated alternative colour, regardless of innate colour bias. Alternatively, when bees had individual experience foraging on colours with low-quality rewards, they made more visits to the socially demonstrated alternative flower colour, but only when the alternative colour was the colour for which they had an innate bias. Bees that had no access to social information continued to forage on low-reward coloured flowers. Thus we show that reward quality of resources with which bees have individual experience affects the use of social information but with an important role of innate biases. (C) 2014 The Association for the Study of Animal Behaviour. Published by Elsevier Ltd. All rights reserved.</t>
  </si>
  <si>
    <t>Chittka, Lars/0000-0001-8153-1732</t>
  </si>
  <si>
    <t>10.1016/j.anbehav.2014.12.016</t>
  </si>
  <si>
    <t>WOS:000351020200004</t>
  </si>
  <si>
    <t>Bugnyar, T; Kotrschal, K</t>
  </si>
  <si>
    <t>Leading a conspecific away from food in ravens (Corvus corax)?</t>
  </si>
  <si>
    <t>Active misleading of conspecifics has been described as a social strategy mainly for primates. Here we report a raven leading a competitor away from food in a social foraging task. Four individuals had to search and compete for hidden food at color-marked clusters of artificial food caches. At the beginning of the experiment, a subordinate male found and exploited the majority of the food. As a result, the dominant male displaced him from the already opened boxes. The subordinate male then developed a pattern, when the loss of reward to the dominant got high, of moving to unrewarded clusters and opening boxes there. This diversion often led the dominant to approach those unrewarded clusters and the subordinate then had a head start for exploiting the rewarded boxes. Subsequently, however, the dominant male learned not to follow the subordinate to unrewarded clusters and eventually started searching for the reward himself. These interactions between the two males illustrate the ravens' potential for deceptively manipulating conspecifics. We discuss under which circumstances ravens might use this capacity.</t>
  </si>
  <si>
    <t>Kavcik, Nadja/B-4916-2013</t>
  </si>
  <si>
    <t>Bugnyar, Thomas/0000-0002-6072-9667</t>
  </si>
  <si>
    <t>10.1007/s10071-003-0189-4</t>
  </si>
  <si>
    <t>WOS:000221649900001</t>
  </si>
  <si>
    <t>Horth, L; Binckley, C; Wilk, R; Reddy, P; Reddy, A</t>
  </si>
  <si>
    <t>Horth, Lisa; Binckley, Christopher; Wilk, Rebecca; Reddy, Pranav; Reddy, Abhinav</t>
  </si>
  <si>
    <t>Color, Body Size, and Genitalia Size Are Correlated Traits in Eastern Mosquitofish (Gambusia holbrooki)</t>
  </si>
  <si>
    <t>The effect of natural selection acting upon correlated traits can alter mating success and relative fitness dramatically. Eastern Mosquitofish (Gambusia holbrooki) harbor a genetic body-pigmentation polymorphism where pigmentation color is associated with particular correlated traits. About ninety-nine percent of all males are silver and about one percent are melanic (or black spotted). Here we demonstrate that these pigmentation morphs also differ in correlated life-history traits that affect fitness. Melanic males are larger than silver males in nature, and larger than silver siblings in a controlled environment. Me lank males have relatively larger gonopodia (mating organ) than silver males and greater survival during conspecific competition. This is indicative of a genetic correlation between body color, body size, growth rate, and relative gonopodium size (after controlling for body size). Our past work demonstrates that melanic males also have much higher survival with predators. Thus, while a relatively larger gonopodium is said to result in a cost with respect to predation in two Gambusia species, in G. holbrooki the fitness effects of correlated traits appear to far outweigh this cost for melanic males.</t>
  </si>
  <si>
    <t>Reddy, Pranav/GRO-2799-2022</t>
  </si>
  <si>
    <t>10.1643/CG-09-044</t>
  </si>
  <si>
    <t>WOS:000278428900002</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</si>
  <si>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</si>
  <si>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</si>
  <si>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</si>
  <si>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</si>
  <si>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</si>
  <si>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Naretto, S; Chiaraviglio, M</t>
  </si>
  <si>
    <t>Naretto, Sergio; Chiaraviglio, Margarita</t>
  </si>
  <si>
    <t>Hoisting the white flag of surrender? Color change in agonistic encounters between Achala copper lizard males (Pristidactylus achalensis)</t>
  </si>
  <si>
    <t>Sexual selection pressures play a significant role in driving the evolution of color, morphological, and behavioral traits that serve as signals to communicate fighting ability between opponents. In lizards, body and head size often predict the outcome of male-male contests, but these morphological signals are static during and after the contest. However, coloration and behaviors may be dynamic traits that change during interactions being a potential mechanism of continuous evaluation of current or future opponents. In this study, we examine the function of color change as a signal in agonistic interactions between males of the Achala copper lizard. Also, we examine the relationship between fighting ability and multiple traits, including body size, head size, behaviors, and coloration. Furthermore, we explore the variability of agonistic encounters between reproductive and non-reproductive periods. We performed dyadic trials between males to evaluate behavior and measure dorsal color before and after the trials. Results show that Pristidactylus achalensis can modify the lightness of their skin during intrasexual interaction, with winners displaying lighter colors than losers. We observed dramatic changes from very light green to totally dark coloration. Notably, color difference between competitors was distinguishable only after the trial, not before. Winners also displayed more push-up behaviors, predicting the outcome of the agonistic interactions. Additionally, we did not find differences in the behavioral repertoire between periods (reproductive vs non-reproductive). We suggest that push-up behavior and color change are essential signals that allow contenders to assess their opponent's fighting ability from a distance without physical interaction and settle conflicts without escalating aggression.</t>
  </si>
  <si>
    <t>Naretto, Sergio/0000-0002-5428-9845</t>
  </si>
  <si>
    <t>10.1007/s00265-023-03389-5</t>
  </si>
  <si>
    <t>WOS:001100527400001</t>
  </si>
  <si>
    <t>MILTON, D</t>
  </si>
  <si>
    <t>GENETIC-EVIDENCE FOR SYMPATRIC DIFFERENTIATION BETWEEN 2 COLOR MORPHS OF THE SKINK EGERNIA-WHITII</t>
  </si>
  <si>
    <t>AUSTRALIAN JOURNAL OF ZOOLOGY</t>
  </si>
  <si>
    <t>The viviparous skink Egernia whitii is dimorphic for dorsal colour pattern. Both patterned and plain morphs coexist throughout the species'' range. Adults live in family groups beneath exfoliating granite rocks. The closely related E. modesta also coexists in similar habitats in the northern part of the range of E. whitii. The plain E. whitii morph is intermediate in colour pattern between patterned E. whitii and E. modesta. Three populations of E. whitii and two populations of E. modesta were examined electrophoretically to assess the status of the plain morph of E. whitii. There were no fixed differences between the two morphs of E. whitii at any of the 55 loci examined, and loci polymorphic in both morphs of E. whitii showed no evidence of linkage disequilibria. Although heterozygosity values (H = 0.017 .+-. 0.002) and the level of polymorphism (P0.95= 0.015) were low, there were highly significant allele frequency differences between sympatric samples of the two morphs of E. whitii. This indicated that the two morphs were conspecific, yet they were not interbreeding at random. The established frequency of gene exchange between the two colour morphs in the three populations samples varied from 3.6 to 6 individuals per generation. Reproductive data confirmed that both colour morphs of E. whitii produced young of the same dorsal colour pattern as their own in much greater frequency than random. However, females of both colours can and do breed with males of the other colour in very low frequency. Analysis of the lateral colour pattern of the two E. whitii morphs and E. modesta suggests that the colour patterns of the two E. whitii morphs are very similar, yet differ slightly from the colour pattern of E. modesta in the region of geographic overlap of these species. These results suggest that behavioural or microhabit differences between the two morphs may be involved in mate recognition.</t>
  </si>
  <si>
    <t>Milton, David A/A-9794-2011</t>
  </si>
  <si>
    <t>0004-959X</t>
  </si>
  <si>
    <t>1446-5698</t>
  </si>
  <si>
    <t>10.1071/ZO9900117</t>
  </si>
  <si>
    <t>WOS:A1990ED59400002</t>
  </si>
  <si>
    <t>Quinn, Vanessa S.; Hews, Diana K.</t>
  </si>
  <si>
    <t>The Evolutionary Decoupling of Behavioral and Color Cues in a Multicomponent Signal in Two Sceloporus Lizards</t>
  </si>
  <si>
    <t>The study of multicomponent signals in the context of social systems has generated interesting results demonstrating that complex signals are used in many communication systems. The multicomponent signal in the majority of Sceloporus lizards consists of a color signal (blue abdominal coloration) and the behavioral display of the color signal (fullshow behavior). In a small number of species, males have lost the color signal. We staged outdoor trials between conspecific males in two closely related Sceloporus lizards that differ in the presence of blue abdominal coloration. In the species with the evolutionary loss of blue abdominal coloration (Sceloporus virgatus), fullshow behavior is present but reduced compared with that of the species with male abdominal coloration (Sceloporus undulatus consobrinus). In comparison, the mean rates of other behaviors that do not display abdominal skin (push-up, head-bob) did not differ between these species. We also found that S. virgatus males were more likely to show a neutral response following the first fullshow during the 60-min trial. While, S. u. consobrinus males were more likely to respond to the first fullshow with an aggressive response. Thus, in this case, the color signal and the behavioral signal are evolutionarily decoupled because in S. virgatus the loss of the color signal is not coincident with the loss of the behavioral signal.</t>
  </si>
  <si>
    <t>10.1111/j.1439-0310.2010.01765.x</t>
  </si>
  <si>
    <t>WOS:000277405700004</t>
  </si>
  <si>
    <t>Huang, H; Todd, PA; Yeo, DCJ</t>
  </si>
  <si>
    <t>Huang, H.; Todd, P. A.; Yeo, D. C. J.</t>
  </si>
  <si>
    <t>Inter- and intra-specific variation in the facial colours of Perisesarma eumolpe and Perisesarma indiarum (Crustacea: Brachyura: Sesarmidae)</t>
  </si>
  <si>
    <t>The colour of the characteristic facial bands in the mangrove crabs Perisesarma eumolpe (De Man) and Perisesarma indiarum (Tweedie) were investigated in relation to species, sex and size. Quantitative red/blue/green (RBG) values extracted from close-up digital photographs of 27 P. indiarum and 48 P. eumolpe specimens revealed significant differences between species and sexes. Males of both species possessed facial bands characterized by a greater intensity of blue, whereas green was more pronounced in female facial bands. It is postulated that these colour differences play a role in intra-specific sexual recognition. There existed a significant positive relationship between size and the intensity of blue in the facial bands of females of both species, suggesting these traits function as an indicator of their maturity (and possibly body condition). In large males, facial band colours contrast strongly against the surrounding mudflat and may play an important role in conspecific signalling during territorial disputes or contests over access to females.</t>
  </si>
  <si>
    <t>Todd, Peter A/H-8410-2012; Yeo, Darren CJ/H-9790-2012</t>
  </si>
  <si>
    <t>10.1007/s10750-007-9169-z</t>
  </si>
  <si>
    <t>WOS:000251874300028</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</si>
  <si>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</si>
  <si>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</si>
  <si>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</si>
  <si>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</si>
  <si>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</si>
  <si>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Zagrean, Leon/D-6469-2011; Moldovan, Mihai/C-4215-2011</t>
  </si>
  <si>
    <t>Moldovan, Mihai/0000-0003-2512-3499</t>
  </si>
  <si>
    <t>1090-5138</t>
  </si>
  <si>
    <t>1879-0607</t>
  </si>
  <si>
    <t>10.1016/j.evolhumbehav.2007.03.001</t>
  </si>
  <si>
    <t>WOS:000247824100010</t>
  </si>
  <si>
    <t>Dwyer, JF</t>
  </si>
  <si>
    <t>Dwyer, James F.</t>
  </si>
  <si>
    <t>CORRELATION OF CERE COLOR WITH INTRA- AND INTERSPECIFIC AGONISTIC INTERACTIONS OF CRESTED CARACARAS</t>
  </si>
  <si>
    <t>JOURNAL OF RAPTOR RESEARCH</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</si>
  <si>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</si>
  <si>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0892-1016</t>
  </si>
  <si>
    <t>2162-4569</t>
  </si>
  <si>
    <t>10.3356/0892-1016-48.3.240</t>
  </si>
  <si>
    <t>WOS:000341096200005</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</si>
  <si>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</si>
  <si>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</si>
  <si>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</si>
  <si>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</si>
  <si>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</si>
  <si>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</si>
  <si>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Hanley, D; Stoddard, MC; Cassey, P; Brennan, PLR</t>
  </si>
  <si>
    <t>Hanley, Daniel; Stoddard, Mary Caswell; Cassey, Phillip; Brennan, Patricia L. R.</t>
  </si>
  <si>
    <t>Eggshell conspicuousness in ground nesting birds: do conspicuous eggshells signal nest location to conspecifics?</t>
  </si>
  <si>
    <t>AVIAN BIOLOGY RESEARCH</t>
  </si>
  <si>
    <t>Predators can adversely impact nesting success and therefore the presence of seemingly conspicuous eggshells would appear maladaptive. The ratites, especially the tinamous, exhibit a diverse array of eggshell colours that appear to differ strikingly from their nesting substrate, while most ground-nesting species that do not build a nest lay camouflaged eggs. Surprisingly, there is little research on how these nest contents appear to ecologically-relevant viewers, including conspecifics and predators. Here we use visual modelling to compare eggshell conspicuousness in two distinct avian lineages differing in eggshell colour and breeding biology: ratites and galliformes. Ratites generally lay vibrant, unspeckled eggs directly on the ground, while galliformes tend to lay subtler, speckled eggs on nests built on the ground. We test the hypothesis that eggshell colours in ratites are more conspicuous, from the perspective of an avian conspecific, than those of galliformes. We found that the uniform colour covering the surface of the eggshell colour (hereafter, eggshell background colour) differs noticeably from the nesting substrate in both ratites and galliformes. However, the speckling pattern of galliform eggs often masks their conspicuous eggshell background colour, which contributes to a less conspicuous appearance overall. We tested the hypothesis that eggshell conspicuousness in ratites serves an intraspecific signalling function to advertise nest location to females in communally nesting species. We found no support for this hypothesis, suggesting that selection pressure for communal laying did not result in the diversity of conspicuousness found in avian eggs. Overall, we argue that future investigations of egg coloration should consider egg appearance (eggshell background colour and speckling) in the context of the natural nest substrate, all from the perspective of the relevant visual receiver.</t>
  </si>
  <si>
    <t>Hanley, Daniel/C-9080-2016</t>
  </si>
  <si>
    <t>Hanley, Daniel/0000-0003-0523-4335; Brennan, Patricia/0000-0002-1905-3327; Stoddard, Mary/0000-0001-8264-3170; Cassey, Phillip/0000-0002-2626-0172</t>
  </si>
  <si>
    <t>1758-1559</t>
  </si>
  <si>
    <t>1758-1567</t>
  </si>
  <si>
    <t>10.3184/175815513X13617279883973</t>
  </si>
  <si>
    <t>WOS:000318967100007</t>
  </si>
  <si>
    <t>MCLENNAN, DA</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</si>
  <si>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</si>
  <si>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</si>
  <si>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</si>
  <si>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</si>
  <si>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Currie, D; Millett, J; Hill, M; Shah, NJ</t>
  </si>
  <si>
    <t>Factors affecting the response of Seychelles Scops-owl Otus insularis to playback of conspecific calls:: consequences for monitoring and management</t>
  </si>
  <si>
    <t>BIRD CONSERVATION INTERNATIONAL</t>
  </si>
  <si>
    <t>The endemic Seychelles Scops-owl Otus insularis is a Critically Endangered restricted range species currently only recorded in the upland forest of Mahe, the largest (152 km(2)) and highest (903 m) island in the granitic Seychelles. We studied the response of colour-ringed individuals to playback of conspecific calls, to determine factors affecting playback reaction, to monitor behaviour and to assess the reliability of current monitoring techniques. Playback of the territorial waugh call was conducted at fixed points (C. 200 M apart) every month along a total transect length of 8.4 km between April 1999 and May 2001. On the basis of responses and movements of marked individuals we identified 12 territories and noted their boundaries. Mean territory length was 2.92 points (approximately 400 m), equivalent to a conservative estimated territory size of c. 12-16 ha. Males were more frequently detected than females/pairs. The probability of detection (males vs. females/pairs) was 0.87 vs. 0.50 on territory; 0.65 VS. 0.26 at fixed points within territories; and 0.58 VS. 0.22 at fixed points along the transect. There was some significant seasonal variation in detection rates at fixed points within territories for both males and pairs, and in general there was a low probability of detecting individuals around June-August and a high probability of detection around April and, to a lesser degree, October. Response times and owl-recorder distances were not influenced by moon phase or time of playback. This study provides the first baseline data on individual responses to the systematic repeated use of playback in Seychelles Scops-owl. We discuss the implications for current monitoring and its application to other similar Otus species.</t>
  </si>
  <si>
    <t>0959-2709</t>
  </si>
  <si>
    <t>10.1017/S0959270902002228</t>
  </si>
  <si>
    <t>WOS:000180506600005</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</si>
  <si>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</si>
  <si>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</si>
  <si>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</si>
  <si>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</si>
  <si>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</si>
  <si>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</si>
  <si>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</si>
  <si>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</si>
  <si>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Macedonia, JM; Clark, DL; Tamasi, AL</t>
  </si>
  <si>
    <t>Macedonia, Joseph M.; Clark, David L.; Tamasi, Alison L.</t>
  </si>
  <si>
    <t>DOES SELECTION FAVOR DEWLAP COLORS THAT MAXIMIZE DETECTABILITY? A TEST WITH FIVE SPECIES OF JAMAICAN ANOLIS LIZARDS</t>
  </si>
  <si>
    <t>Animal color signals evolve in response to selection by visual systems that perceive them, ambient light spectra that illuminate them, and features of the background against which they are juxtaposed. In Anolis lizards, males use a colorful dewlap, together with head-bobbing displays, to deter conspecific rivals and to attract females. As most anoles are both arboreal and sympatric with one or more congeners, selection should favor dewlap colors that contrast sufficiently with the visual background of foliage to be detectable, and that differ reliably from dewlaps of sympatric congeners to be discriminable. We used spectroradiometry and computational visual modeling for five species of closely related Jamaican anoles to calculate the detection probability of each species' dewlap in each of the species' light habitats. Despite substantial interspecific differences in dewlap colors, as well as moderate differences in habitat light spectra, results of our analyses did not support the prediction that a given species' dewlap should be more detectable in its ``own'' light habitat than in those of sympatric congeners. Rather, dewlaps tended to perform similarly across most light environments. Our results resemble those reported for Puerto Rican anoles, and we discuss potential reasons why Anolis dewlap color design does not appear to be optimized for specific light habitats.</t>
  </si>
  <si>
    <t>Macedonia, Joseph/0009-0007-1320-8993</t>
  </si>
  <si>
    <t>10.1655/HERPETOLOGICA-D-13-00073</t>
  </si>
  <si>
    <t>WOS:000336047900004</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</si>
  <si>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</si>
  <si>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</si>
  <si>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</si>
  <si>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</si>
  <si>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Harms, Kyle Edward/AFU-6498-2022</t>
  </si>
  <si>
    <t>Harms, Kyle Edward/0000-0002-8842-382X</t>
  </si>
  <si>
    <t>10.1007/s00265-015-2027-5</t>
  </si>
  <si>
    <t>WOS:000367686200008</t>
  </si>
  <si>
    <t>Klein, AL; de Araújo, AM</t>
  </si>
  <si>
    <t>Klein, Andre Luis; de Araujo, Aldo Mellender</t>
  </si>
  <si>
    <t>Reproductive interference is stronger than expected in Heliconius butterflies</t>
  </si>
  <si>
    <t>In animals, reproductive interference associated with mimicry can result in the evolution of private communication channels, as suggested for Heliconius butterflies, where cryptic color wavelength would drive male preference for conspecific over intergeneric co-mimics. Here, we tested this hypothesis in two co-mimic pairs (intra and intergeneric) and measured the efficacy and symmetry of color pattern as a reproductive barrier in a non-co-mimic, possibly hybridizing pair of Heliconius species. We conducted pairwise experiments of preference where a group of males was presented to a conspecific and heterospecific female model made with real wings and free of chemical volatiles. We did not detect any indication of the expected use of cryptic recognition signals to mate choice in the intergeneric co-mimic pair. Additionally, we detected an unexpected male preference for heterospecific female models between intrageneric co-mimics towards the species with larger red patches, suggesting a supernormal stimulus based on a general preference for the red color. Finally, we found an asymmetry in the behavioral reproductive barrier between the non-co-mimic closely related species that also agrees with the hypothesis of a general preference for red and with an expected permeability of the reproductive barrier between them. Since the costs imposed by heterospecific courtships can limit the convergence of signaling phenotypes, our results contribute to explaining the maintenance of multiple aposematic color pattern between unpalatable and closely related sympatric Heliconius species.</t>
  </si>
  <si>
    <t>Klein, Andre/0009-0003-7511-2023</t>
  </si>
  <si>
    <t>10.1111/eth.13397</t>
  </si>
  <si>
    <t>JUL 2023</t>
  </si>
  <si>
    <t>WOS:001033519800001</t>
  </si>
  <si>
    <t>COLLIAS, EC</t>
  </si>
  <si>
    <t>INHERITANCE OF EGG-COLOR POLYMORPHISM IN THE VILLAGE WEAVER (PLOCEUS-CUCULLATUS)</t>
  </si>
  <si>
    <t>Eggs collected from an aviary colony of Village Weavers (Ploceus cucullatus cucullatus) over a 14-year period varied in color among different females from white to emerald or turquoise, and from many spots to few or none. Color and amount of spotting of the eggs of a given female were constant throughout her life (based on 815 eggs from 37 females). Color was judged from the Villalobos Color Atlas. Mendelian analysis of five different hypotheses showed that inheritance of background color of eggs in 20 different crosses was consistent only with a hypothesis of two independent pairs of autosomal alleles for hue.</t>
  </si>
  <si>
    <t>10.2307/4088624</t>
  </si>
  <si>
    <t>WOS:A1993NL01100001</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</si>
  <si>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</si>
  <si>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</si>
  <si>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</si>
  <si>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</si>
  <si>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</si>
  <si>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</si>
  <si>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</si>
  <si>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</si>
  <si>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</si>
  <si>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</si>
  <si>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</si>
  <si>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</si>
  <si>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 Schluter, Dolph/0000-0003-1683-7836</t>
  </si>
  <si>
    <t>10.1111/j.1095-8312.2007.00777.x</t>
  </si>
  <si>
    <t>WOS:000245938100004</t>
  </si>
  <si>
    <t>SEX CHROMOSOME LINKAGE OF MATE PREFERENCE AND COLOR SIGNAL MAINTAINS ASSORTATIVE MATING BETWEEN INTERBREEDING FINCH MORPHS</t>
  </si>
  <si>
    <t>Assortative mating is a key aspect in the speciation process because it is important for both initial divergence and maintenance of distinct species. However, it remains a challenge to explain how assortative mating evolves when diverging populations are undergoing gene flow (e g., during hybridization) Here I experimentally test how assortative mating is maintained with frequent gene flow between diverged head-color morphs of the Gouldian finch (Erythrura gouldiae). Contrary to the predominant view on the development of sexual preferences in birds, cross-fostered offspring did not imprint on the phenotype of their conspecific (red or black morphs) or heterospecific (Bengalese finch) foster parents. Instead, the mating preferences of F-1 and F-2 intermorph-hybrids are consistent with inheritance on the Z chromosomes, which are also the location for genes controlling color expression and the genes causing low fitness of intermorph-hybrids. Genetic associations between color signal and preference loci on the sex chromosomes may prevent recombination from breaking down these associations when the morphs interbreed, helping to maintain assortative mating in the face of gene flow. Although sex linkage of reproductively isolating traits is theoretically expected to promote speciation, social and ecological constraints may enforce frequent interbreeding between the morphs, thus preventing complete reproductive isolation.</t>
  </si>
  <si>
    <t>10.1111/j.1558-5646.2009.00897.x</t>
  </si>
  <si>
    <t>WOS:000277096400011</t>
  </si>
  <si>
    <t>Heindl, M; Winkler, H</t>
  </si>
  <si>
    <t>Vertical lek placement of forest-dwelling manakin species (Aves, Pipridae) is associated with vertical gradients of ambient light</t>
  </si>
  <si>
    <t>We studied the interaction of ambient light and plumage colour in four sympatric neotropical manakin species which differ in signal colours and vertical lek placement. We estimated bird conspicuousness by modelling chromatic and achromatic background contrast of signal colours in tetrachromatic colour space. Spectral composition of ambient light varies gradually from the understory to the canopy and may affect where manakins lek. Under the given spatial requirements for their horizontal display flights, manakins place their leks at that position along the vertical gradient where ambient light increases chromatic and/or achromatic contrast of their colour signals against the background and/or within their coloration patterns. This suggests that physical factors can be important for placement of display sites, since they may critically influence the effectiveness and efficiency of conspecific communication. (C) 2003 The Linnean Society of London.</t>
  </si>
  <si>
    <t>10.1111/j.1095-8312.2003.00264.x</t>
  </si>
  <si>
    <t>WOS:000187247200007</t>
  </si>
  <si>
    <t>Klomp, DA; Stuart-Fox, D; Cassidy, EJ; Ahmad, N; Orda, TJ</t>
  </si>
  <si>
    <t>Klomp, Danielle A.; Stuart-Fox, Devi; Cassidy, Elizabeth J.; Ahmad, Norhayati; Orda, Terry J.</t>
  </si>
  <si>
    <t>Color pattern facilitates species recognition but not signal detection: a field test using robots</t>
  </si>
  <si>
    <t>There are many factors that affect signal design, including the need for rapid signal detection and the ability to identify the signal as conspecific. Understanding these different sources of selection on signal design is essential to explain the evolution of both signal complexity and signal diversity. We assessed the relative importance of detection and recognition for signal design in the black-bearded gliding lizard, Draco melanopogon, which uses the extension and retraction of a large, black-and-white dewlap (or throat fan) in territorial communication. We presented free-living lizards with robots displaying dewlaps of different designs that varied in the proportion of the black and white components. We found no effect of dewlap brightness or design on the time it took for a lizard to detect the robot, consistent with the view that initial detection is likely to be primarily elicited by movement rather than specific color or pattern. However, males (but not females) responded with a greater intensity to the dewlap treatment that most resembled the natural dewlap color and design of the species. Furthermore, males were more likely to display to any dewlap color in the presence of a neighbor. These results suggest that dewlap pattern may play an important role in species recognition but has minimal influence on the initial detection of the signal. Importantly, our results also highlight that factors unrelated to discrimination, such as social cues and individual motivational state, may affect responses to species identity cues.</t>
  </si>
  <si>
    <t>Ahmad, Norhayati/Q-2806-2019</t>
  </si>
  <si>
    <t>Ahmad, Norhayati/0000-0003-3215-2968; Stuart-Fox, Devi/0000-0003-3362-1412</t>
  </si>
  <si>
    <t>10.1093/beheco/arw186</t>
  </si>
  <si>
    <t>WOS:000401769000036</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</si>
  <si>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</si>
  <si>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</si>
  <si>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</si>
  <si>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</si>
  <si>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</si>
  <si>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</si>
  <si>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Kelley, LA; Clayton, NS</t>
  </si>
  <si>
    <t>Kelley, Laura A.; Clayton, Nicola S.</t>
  </si>
  <si>
    <t>California scrub-jays reduce visual cues available to potential pilferers by matching food colour to caching substrate</t>
  </si>
  <si>
    <t>Some animals hide food to consume later; however, these caches are susceptible to theft by conspecifics and heterospecifics. Caching animals can use protective strategies to minimize sensory cues available to potential pilferers, such as caching in shaded areas and in quiet substrate. Background matching (where object patterning matches the visual background) is commonly seen in prey animals to reduce conspicuousness, and caching animals may also use this tactic to hide caches, for example, by hiding coloured food in a similar coloured substrate. We tested whether California scrub jays (Aphelocoma californica) camouflage their food in this way by offering them caching substrates that either matched or did not match the colour of food available for caching. We also determined whether this caching behaviour was sensitive to social context by allowing the birds to cache when a conspecific potential pilferer could be both heard and seen (acoustic and visual cues present), or unseen (acoustic cues only). When caching events could be both heard and seen by a potential pilferer, birds cached randomly in matching and non-matching substrates. However, they preferentially hid food in the substrate that matched the food colour when only acoustic cues were present. This is a novel cache protection strategy that also appears to be sensitive to social context. We conclude that studies of cache protection strategies should consider the perceptual capabilities of the cacher and potential pilferers.</t>
  </si>
  <si>
    <t>; Kelley, Laura/A-4268-2011</t>
  </si>
  <si>
    <t>Clayton, Nicola/0000-0003-1835-423X; Kelley, Laura/0000-0003-0700-1471</t>
  </si>
  <si>
    <t>10.1098/rsbl.2017.0242</t>
  </si>
  <si>
    <t>WOS:000409400700003</t>
  </si>
  <si>
    <t>Touchon, JC; Warkentin, KM</t>
  </si>
  <si>
    <t>Touchon, Justin Charles; Warkentin, Karen Michelle</t>
  </si>
  <si>
    <t>Thermally contingent plasticity: temperature alters expression of predator-induced colour and morphology in a Neotropical treefrog tadpole</t>
  </si>
  <si>
    <t>P&gt;1. Behavioural, morphological and coloration plasticity are common responses of prey to predation risk. Theory predicts that prey should respond to the relative magnitude of risk, rather than a single level of response to any risk level. In addition to conspecific and predator densities, prey growth and differentiation rates affect the duration of vulnerability to size- and stage-limited predators and therefore the relative value of defences. 2. We reared tadpoles of the Neotropical treefrog Dendropsophus ebraccatus with or without cues from a predator (Belostoma sp.) in ecologically relevant warm or cool temperatures. To track phenotypic changes, we measured morphology, tail coloration and developmental stage at three points during the larval period. 3. Cues from predators interacted with growth conditions causing tadpoles to alter their phenotype, changing only tail colour in response to predators in warm water, but both morphology and colour in cool growth conditions. Tadpoles with predators in warm water altered coloration early but converged on the morphology of predator-free controls. Water temperature alone had no effect on tadpole phenotype. 4. We demonstrate that seemingly small variation in abiotic environmental conditions can alter the expression of phenotypic plasticity, consistent with predictions about how growth rate affects risk. Predator-induced tadpole phenotypes depended on temperature, with strong expression only in temperatures that slow development. Thermal modulation of plastic responses to predators may be broadly relevant to poikilotherm development. It is important to include a range of realistic growth conditions in experiments to more fully understand the ecological and evolutionary significance of plasticity.</t>
  </si>
  <si>
    <t>Warkentin, Karen/0000-0002-7804-800X</t>
  </si>
  <si>
    <t>10.1111/j.1365-2656.2010.01765.x</t>
  </si>
  <si>
    <t>WOS:000285110600008</t>
  </si>
  <si>
    <t>De Araújo, MFP; Lima, EM; Pessoa, VF</t>
  </si>
  <si>
    <t>De Araujo, Maruna F. P.; Lima, Eldianne M.; Pessoa, Valdir F.</t>
  </si>
  <si>
    <t>Modeling dichromatic and trichromatic sensitivity to the color properties of fruits eaten by squirrel monkeys (Saimiri sciureus)</t>
  </si>
  <si>
    <t>Most platyrrhines have a visual polymorphism that is characterized by the presence of multiple alleles of the M/LWS gene on the X chromosome. This polymorphism is probably maintained by selection. There are two possible mechanisms by which this can be explained: First, heterozygous females may have perceptual advantages over dichromats, such that trichromacy would be favored via the existence of different visual pigments. This is known as selection by heterosis. Second, dichromacy may be advantageous in some situations, with polymorphism being maintained by frequency-dependent selection. In this study the reflectance spectra of fruits and flowers eaten by a troop of squirrel monkeys (Saimiri sciureus) in Eastern Amazon were measured using a spectrophotometer. S. sciureus have an SWS cone with a spectral tuning of approximately 430 nm, and three M/LWS alleles with spectral tunings of 535 nm, 550 nm, and 562 nm. Based on the spectral tunings of the different phenotypes and the spectral data obtained from the food items, the responses of the different visual systems to the measured objects were modeled and then compared. The model predicted that trichromatic phenotypes would have an advantage over dichromats in detecting fruits and flowers from background foliage, which suggests that heterosis is the mechanism for maintaining polymorphism in S. sclureus. On the other hand, a large proportion of fruits could not be detected by any of the phenotypes. Additional studies are necessary to determine whether other important aspects of the primates' visual world, such as prey, predator, and conspecific detection, favor tri- or dichromacy.</t>
  </si>
  <si>
    <t>Araújo, Mariana/L-5508-2014</t>
  </si>
  <si>
    <t>Araújo, Mariana/0000-0002-3016-8475</t>
  </si>
  <si>
    <t>10.1002/ajp.20312</t>
  </si>
  <si>
    <t>WOS:000242416400001</t>
  </si>
  <si>
    <t>Gil-Santana, HR; Davranoglou, LR; Neves, JA</t>
  </si>
  <si>
    <t>Gil-Santana, Helcio R.; Davranoglou, Leonidas-Romanos; Neves, Juliana A.</t>
  </si>
  <si>
    <t>A new synonymy of Graptocleptes bicolor (Burmeister), with taxonomical notes (Hemiptera: Heteroptera: Reduviidae: Harpactorinae: Harpactorini)</t>
  </si>
  <si>
    <t>Hiranetis coleopteroides (Walker, 1873) is here found to be conspecific with Graptocleptes bicolor (Burmeister, 1838). Graptocleptes bicolor is redescribed and the male genitalia characters are illustrated for the first time. Intraspecific morphological, color and male genitalia variability are discussed. Furthermore, the species is recorded from Paraguay for the first time.</t>
  </si>
  <si>
    <t>Gil-Santana, Hélcio Reinaldo/AAG-2534-2021</t>
  </si>
  <si>
    <t>Gil-Santana, Hélcio Reinaldo/0000-0002-0544-348X; Davranoglou, Leonidas-Romanos/0000-0002-3447-4242</t>
  </si>
  <si>
    <t>AUG 14</t>
  </si>
  <si>
    <t>10.11646/zootaxa.3700.3.2</t>
  </si>
  <si>
    <t>WOS:000323105800002</t>
  </si>
  <si>
    <t>Kemp, DJ; Rutowski, RL; Mendoza, M</t>
  </si>
  <si>
    <t>Colour pattern evolution in butterflies: a phylogenetic analysis of structural ultraviolet and melanic markings in North American sulphurs</t>
  </si>
  <si>
    <t>The males of many butterflies are more brightly coloured than conspecific females and this sexual dichromatism often extends into ultraviolet (UV) wavelengths. Sexual selection, acting either in the context of intra- or intersexual interactions. is thought responsible for the relative brightness of the male visage: however, this hypothesis has been difficult to test experimentally. In this study, we undertake an indirect evaluation of this idea by analysing the phylogenetic distribution of two elements of male colour pattern - UV reflectance and melanic markings - in North American sulphur butterflies. Only the UV element, which derives from nanometre-scale surface structures and is extremely bright and spectrally pure, is expected to be of sexually selected origin. We therefore predicted, based upon prior theoretical treatments. that UV colour pattern should exhibit a polyphyletic distribution typical of a sexually selected trait, whereas melanic patterns should not. We charted the distribution of each colour element across the dorsal hind- and fore-wing surfaces of 26 species (spanning four genera), and summarized the resulting intraspecific variation in colour pattern using principal components analysis. Analysis of among- versus within-sister species group variance confirmed, as predicted, a largely polyphyletic distribution for UV but not melanic patterns. We also found that variation in fore-wing UV patterning could be considered orthogonal of hind-wing variation. These findings shed interesting light on the evolution of structural coloration in this group and add strength to the idea that brilliant male coloration is principally of sexually selected origin.</t>
  </si>
  <si>
    <t>Kemp, Darrell/0000-0002-5845-5513</t>
  </si>
  <si>
    <t>WOS:000227450800009</t>
  </si>
  <si>
    <t>BARLOW, GW; BAUER, DH; MCKAYE, KR</t>
  </si>
  <si>
    <t>COMPARISON OF FEEDING, SPACING, AND AGGRESSION IN COLOR MORPHS OF MIDAS CICHLID .1. FOOD CONTINUOUSLY PRESENT</t>
  </si>
  <si>
    <t>10.1163/156853975X00344</t>
  </si>
  <si>
    <t>WOS:A1975AN77800005</t>
  </si>
  <si>
    <t>Miao, J; Wu, YQ; Li, KB; Jiang, YL; Gong, ZJ; Duan, Y; Li, T</t>
  </si>
  <si>
    <t>Miao, Jin; Wu, Yu-Qing; Li, Ke-Bin; Jiang, Yue-Li; Gong, Zhong-jun; Duan, Yun; Li, Tong</t>
  </si>
  <si>
    <t>Evidence for Visually Mediated Copulation Frequency in the Scarab Beetle Anomala corpulenta</t>
  </si>
  <si>
    <t>The scarab beetle, Anomala corpulenta Motschulsky, is a metallic iridescent species that selectively reflects left-circularly polarized light and possesses a brilliant metallic green appearance. We hypothesized that A. corpulenta use the green circularly polarized signal for conspecific communication, specifically sexual signaling and mate selection. To test this, we examined the influence of vision, body color and polarized light environment on the mating behavior of A. corpulenta. The results reported here demonstrate that A. corpulenta uses the green cuticle-reflected light for mate choice in its visual environment, although the role of color and circular polarization separately and independent of each other could not be revealed in this study.</t>
  </si>
  <si>
    <t>Gong, Zhongjun/AAZ-4442-2020</t>
  </si>
  <si>
    <t>Li, Tong/0000-0001-6269-5117</t>
  </si>
  <si>
    <t>10.1007/s10905-015-9487-3</t>
  </si>
  <si>
    <t>WOS:000351525100009</t>
  </si>
  <si>
    <t>Blackman, RL; Sorin, M; Miyazaki, M</t>
  </si>
  <si>
    <t>Blackman, Roger L.; Sorin, Masato; Miyazaki, Masahisa</t>
  </si>
  <si>
    <t>Sexual morphs and colour variants of Aphis (formerly Toxoptera) odinae (Hemiptera, Aphididae) in Japan</t>
  </si>
  <si>
    <t>Recent molecular studies have shown that the genus Toxoptera is polyphyletic, and in particular that the name of the aphid known since 1952 as Toxoptera odinae (van der Goot) should revert to Aphis odinae ( van der Goot), stat. rev. In this paper oviparae, alate males and fundatrices of A. odinae are described for the first time, from Japan. A. odinae is common as a grey-brown or rust-brown aphid on numerous plant species of shrubby habit throughout the Old World tropics and subtropics, but in temperate east Asia much darker forms occur, and Japanese populations of A. odinae include a dark green form not found elsewhere in the world. Multivariate morphometrics were used to confirm that both colour forms of the aphid in Japan were conspecific with samples from other parts of the world. Pergandeida kalopanacis Hori 1927 is a new synonym of A. odinae.</t>
  </si>
  <si>
    <t>NOV 25</t>
  </si>
  <si>
    <t>WOS:000297328000005</t>
  </si>
  <si>
    <t>Nomano, FY; Kutsukake, N</t>
  </si>
  <si>
    <t>Nomano, Fumiaki Y.; Kutsukake, Nobuyuki</t>
  </si>
  <si>
    <t>Aggression induced by ornament similarity is limited to females in a mutually ornamented fish, Betta brownorum</t>
  </si>
  <si>
    <t>Ornamentation found in both sexes, or mutual ornamentation, can be used as a threat signal towards rivals or to bias aggression towards those sharing preferences for mates or other resources. The wide-spread male bias in ornamentation suggests that sexual selection for these competitive functions is stronger in males, but these functions are rarely compared between the sexes. We investigated intra-sexual contests in a mutually ornamented fish, Betta brownorum, that uniquely has both male bias and high intrasexual variation in the presence and size of side blotches. Neither blotch size nor body size predicted the winner in either sex. The frequency of lateral display increased with opponent body size in females. Physical attacks increased when facing similarly blotched opponents only in females. These results suggest that nonsexual social selection contributes more to the maintenance of blotches than sexual selection, as the latter predicts the threat signal and/or aggression bias mainly in the sex with greater ornamentation. Our study highlights that smaller female ornaments can have social functions that are distinct from those of male ornaments and may be partially maintained by social selection in many other systems. (c) 2022 The Association for the Study of Animal Behaviour. Published by Elsevier Ltd. All rights reserved.</t>
  </si>
  <si>
    <t>Nomano, Fumiaki/0000-0003-1298-0782</t>
  </si>
  <si>
    <t>10.1016/j.anbehav.2022.05.018</t>
  </si>
  <si>
    <t>JUL 2022</t>
  </si>
  <si>
    <t>WOS:000863984000003</t>
  </si>
  <si>
    <t>Whittaker, BA; Balasubramanian, G; Camacho-Alpízar, A; Lambert, CT; Guillette, LM</t>
  </si>
  <si>
    <t>Whittaker, Benjamin A.; Balasubramanian, Gopika; Camacho-Alpizar, Andres; Lambert, Connor T.; Guillette, Lauren M.</t>
  </si>
  <si>
    <t>The Roles of Social Information, Asocial Information, and Initial Bias in Nest-Building Decisions</t>
  </si>
  <si>
    <t>Animals can use asocial (e.g., environmental cues) or social (e.g., conspecific behavior) information when making decisions. We investigated decisions made by zebra finches when asocial and social sources conveyed agreeing or conflicting information, and assessed the influence of initial bias on decision making. Finches completed an initial preference test ranking preference for three colors of nest-building material. Birds in the agree group (n = 14) then observed demonstrators build nests using nonpreferred color material (social information) that matched the environment color (asocial information). Birds in the conflict group (n = 15) observed demonstrators build nests with nonpreferred color material that did not match the cage environment (another nonpreferred color). A final preference test assessed any changes in color preference. The agree group reduced average preference for their initially preferred color, but did not significantly increase average preference for the asocial/social colors. The conflict group also reduced average preference for the initially preferred color and also increased preference for the socially demonstrated color. Observers with stronger initial bias were less likely to choose the socially demonstrated color than observers with weaker initial bias. This shows that social information informs nest-building decisions, even when in conflict with asocial information. However, bias influences social information use and adds nuance to how different individuals use information when making decisions.</t>
  </si>
  <si>
    <t>Guillette, Lauren M/AFZ-0823-2022</t>
  </si>
  <si>
    <t>Guillette, Lauren M/0000-0002-8777-6543</t>
  </si>
  <si>
    <t>2024 FEB 8</t>
  </si>
  <si>
    <t>10.1037/com0000374</t>
  </si>
  <si>
    <t>FEB 2024</t>
  </si>
  <si>
    <t>WOS:001158763200001</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</si>
  <si>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</si>
  <si>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</si>
  <si>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</si>
  <si>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</si>
  <si>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</si>
  <si>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</si>
  <si>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</si>
  <si>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</si>
  <si>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</si>
  <si>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</si>
  <si>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</si>
  <si>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</si>
  <si>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</si>
  <si>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</si>
  <si>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</si>
  <si>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</si>
  <si>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</si>
  <si>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</si>
  <si>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</si>
  <si>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</si>
  <si>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</si>
  <si>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da Silva, AR; Nogueira, CS</t>
  </si>
  <si>
    <t>da Silva, Alexandre R.; Nogueira, Caio S.</t>
  </si>
  <si>
    <t>From color to shape: ontogenetic shifts in traits of the freshwater crab Dilocarcinus pagei (Brachyura: Trichodactylidae)</t>
  </si>
  <si>
    <t>Crustaceans usually undergo a series of changes after the puberty molt. These changes are often associated with size increases in the body and in structures such as the abdomen and claws so that they can achieve higher reproductive fitness. These morphological changes allow the animal to fight, court, and signal for its conspecific with better performance. To compare ontogenetic changes, we used the freshwater crab Dilocarcinus pagei Stimpson, 1851 as a model. We analyzed differences in carapace and claw shape, force generation (via the apodeme area), morphological integration of claws, and color changes among demographic groups. Adult crabs had an increase in claw and carapace size followed by a shape change that makes the claws more robust. In addition, the animals changed from a dark brown coloration in juveniles to a dark red coloration in adult males, while adult females presented a dark red-brown coloration. Presumably, phenotypic changes may enhance crabs' ability to obtain different food sources, as well as fight for sexual partners, and manipulate females during courtship. Color changes can be a strategy by which adult males can signal to females, while the dark brown coloration of juveniles can help in camouflage in the substrate.</t>
  </si>
  <si>
    <t>da Silva, Alexandre/ABE-9168-2021; Nogueira, Caio Santos/AAV-4864-2021</t>
  </si>
  <si>
    <t>da Silva, Alexandre/0000-0001-8921-8767; Nogueira, Caio Santos/0000-0001-8539-0551</t>
  </si>
  <si>
    <t>10.1139/cjz-2023-0039</t>
  </si>
  <si>
    <t>WOS:000995450300001</t>
  </si>
  <si>
    <t>Fleishman, LJ; Perez-Martinez, CA; Leal, M</t>
  </si>
  <si>
    <t>Fleishman, Leo J.; Perez-Martinez, Christian A.; Leal, Manuel</t>
  </si>
  <si>
    <t>Can Sensory Drive Explain the Evolution of Visual Signal Diversity in Terrestrial Species? A Test with Anolis Lizards</t>
  </si>
  <si>
    <t>Animal signal colors evolve to efficiently stimulate conspecific visual systems. The sensory drive hypothesis proposes that species differences in habitat light conditions favor the evolution of color diversity. The strongest support comes from aquatic systems, while terrestrial systems offer fewer convincing examples. Anolis lizards occupy diverse habitats and signal with a colorful dewlap. Dewlap visibility depends on perceived chromatic contrast with the background. Visual system modeling has shown that red dewlaps are most visible in most habitat types. However, a majority of species possess white or yellow dewlaps. In a recent behavioral study, we showed that low light conditions can sometimes make yellow and white colors more visible by altering chromatic contrast perception with the background. Using 17 Caribbean Anolis species, we showed that cut-on wavelength, a measure of dewlap color in a white to red continuum, correlates with habitat light intensity. Pairwise comparisons revealed that red dewlaps are most visible in bright habitats, whereas yellow and white are more visible in darker habitats. We conclude that sensory drive has contributed to the evolution of dewlap color differences through the interactive effects of total habitat light intensity and chromatic contrast perception and may provide a mechanism for speciation among anoles.</t>
  </si>
  <si>
    <t>10.1086/720267</t>
  </si>
  <si>
    <t>WOS:000815766400001</t>
  </si>
  <si>
    <t>Brumfield, RT; Braun, MJ</t>
  </si>
  <si>
    <t>Phylogenetic relationships in bearded manakins (Pipridae: Manacus) indicate that male plumage color is a misleading taxonomic marker</t>
  </si>
  <si>
    <t>The piprid genus Manacus is composed of four allospecies that are readily distinguishable by differences in male plumage color. Electrophoretic data for two populations of each of the four forms plus seven outgroup piprid taxa were collected from 32 isozyme loci and used to infer phylogenetic relationships. Each Manacus form was monophyletic, with the exception of M. manacus, in which the trans-Andean (west of the Andes) population was sister to M. vitellinus, rather than to its conspecific cis-Andean (east of the Andes) population. This controversial relationship, supported by the synapomorphic allele PGM-2(b) as well as allele frequencies at ADA, GOT-1 and LGG, is consistent with general biogeographic patterns in the region, but indicates that male plumage color is an unreliable taxonomic marker. Reconstruction of male plumage color on the tree confirms that gold plumage is a derived state in M. vitellinus, a finding consistent with the possibility that gold plumage is an evolutionary novelty in vitellinus which has spread recently under positive selection. Among piprids, there was strong support for a group composed of Antilophia, Chiroxiphia, and Corapipo, and for a group composed of Pipra mentalis, P. fasciicauda, and Dixiphia pipra. Manacus is more closely related to the P. mentalis + P. fasciicauda + D. pipra group. The isozymes supported Lepidothrix as the basal taxon of those examined.</t>
  </si>
  <si>
    <t>Brumfield, Robb/K-6108-2015</t>
  </si>
  <si>
    <t>Brumfield, Robb/0000-0003-2307-0688</t>
  </si>
  <si>
    <t>10.1650/0010-5422(2001)103[0248:PRIBMP]2.0.CO;2</t>
  </si>
  <si>
    <t>WOS:000168569600005</t>
  </si>
  <si>
    <t>Roulin, A; Des Monstiers, B; Ifrid, E; Da Silva, A; Genzoni, E; Dreiss, AN</t>
  </si>
  <si>
    <t>Roulin, A.; Des Monstiers, B.; Ifrid, E.; Da Silva, A.; Genzoni, E.; Dreiss, A. N.</t>
  </si>
  <si>
    <t>Reciprocal preening and food sharing in colour-polymorphic nestling barn owls</t>
  </si>
  <si>
    <t>Barn owl (Tyto alba) siblings preen and offer food items to one another, behaviours that can be considered prosocial because they benefit a conspecific by relieving distress or need. In experimental broods, we analysed whether such behaviours were reciprocated, preferentially exchanged between specific phenotypes, performed to avoid harassment and food theft or signals of hierarchy status. Three of the results are consistent with the hypothesis of direct reciprocity. First, food sharing was reciprocated in three-chick broods but not in pairs of siblings, that is when nestlings could choose a partner with whom to develop a reciprocating interaction. Second, a nestling was more likely to give a prey item to its sibling if the latter individual had preened the former. Third, siblings matched their investment in preening each other. Manipulation of age hierarchy showed that food stealing was directed towards older siblings but was not performed to compensate for a low level of cooperation received. Social behaviours were related to melanin-based coloration, suggesting that animals may signal their propensity to interact socially. The most prosocial phenotype (darker reddish) was also the phenotype that stole more food, and the effect of coloration on prosocial behaviour depended upon rank and sex, suggesting that colour-related prosociality is state dependent.</t>
  </si>
  <si>
    <t>Dreiss, Amelie/0000-0001-7154-4783</t>
  </si>
  <si>
    <t>10.1111/jeb.12793</t>
  </si>
  <si>
    <t>WOS:000370070500014</t>
  </si>
  <si>
    <t>Roberts, NS; Gumm, JM; Mendelson, TC</t>
  </si>
  <si>
    <t>Roberts, Natalie S.; Gumm, Jennifer M.; Mendelson, Tamra C.</t>
  </si>
  <si>
    <t>Darter (Percidae: Etheostoma) species differ in their response to video stimuli</t>
  </si>
  <si>
    <t>Video playback experiments offer unique opportunities for behavioural tests due to the breadth and ease of possible manipulations available to stimuli. However, serious limitations to video playback experiments exist, primarily the need to configure a technology designed for human vision to replicate stimuli for a nonhuman viewer. Here, we test the effectiveness of video playback for two species of freshwater fish, Etheostoma barrenense and Etheostoma zonale. The focal species are closely related sympatric species that have distinct male nuptial coloration. Dichotomous choice assays using video stimuli showed that female E. zonale prefer video of conspecific males whereas female E. barrenense showed no preference for videos of conspecific or heterospecific males. Comparisons of video trials to live trials indicate that response to video playback is comparable to responses to live stimuli in female E. zonale but not in female E. barrenense. Differences in monitor replication of species-specific coloration may account for the asymmetry in response, and future work should further test colour-based recognition of video stimuli in E. zonale. (C) 2017 The Association for the Study of Animal Behaviour. Published by Elsevier Ltd. All rights reserved.</t>
  </si>
  <si>
    <t>10.1016/j.anbehav.2017.07.013</t>
  </si>
  <si>
    <t>WOS:000410035100014</t>
  </si>
  <si>
    <t>Campbell, D. L. M.; Hauber, M. E.</t>
  </si>
  <si>
    <t>Behavioural correlates of female zebra finch (Taeniopygia guttata) responses to multimodal species recognition cues</t>
  </si>
  <si>
    <t>ETHOLOGY ECOLOGY &amp; EVOLUTION</t>
  </si>
  <si>
    <t>Successful sexual reproduction requires accurate mate selection, including correct species recognition. When studying multimodal species recognition cues, uncorrelated presentations of visual and acoustic traits can be valuable tools for investigating the relative importance of various sensory modalities in the recognition process. Using a model system for species recognition research, the zebra finch (Taeniopygia guttata), we investigated captive-bred females' behavioural responses to video and acoustic playbacks of male conspecific or phylogeographically relevant heterospecific cues. Females consistently spatially preferred conspecific cues when acoustic and visual cues were presented together or acoustic-only cues were played back. In contrast, females showed no discrimination when visual cues only were available and when the visual and acoustic cues of stimulus species were experimentally mismatched. Subjects showed significant individual variation in their attentiveness to playback stimulus types. The relevance of this behavioural individuality to mate choice was confirmed by a correlation between a female's attentiveness and whether it became pair bonded with an unfamiliar male in a free-flight aviary paradigm. These results are consistent with acoustic cues being more salient than visual cues presented through video playbacks and suggest that consistency in behavioural variation in female zebra finches across testing contexts may be relevant for appropriate mate selection decisions.</t>
  </si>
  <si>
    <t>0394-9370</t>
  </si>
  <si>
    <t>1828-7131</t>
  </si>
  <si>
    <t>PII 922022306</t>
  </si>
  <si>
    <t>10.1080/03949371003707885</t>
  </si>
  <si>
    <t>WOS:000277606200006</t>
  </si>
  <si>
    <t>Csosz, S; Kiran, K; Karaman, C; Lapeva-Gjonova, A</t>
  </si>
  <si>
    <t>Csosz, Sandor; Kiran, Kadri; Karaman, Celal; Lapeva-Gjonova, Albena</t>
  </si>
  <si>
    <t>A striking color variation is detected in Ponera testacea Emery, 1895 (Hymenoptera, Formicidae) across its Western Palaearctic geographic range</t>
  </si>
  <si>
    <t>ZOOKEYS</t>
  </si>
  <si>
    <t>In this paper, we provide numeric morphology-based evidence that the dark-colored Ponera coarctata var. lucida Emery, 1898, formerly considered a synonym of P. coarctata (Latreille, 1802), is conspecific with the lighter-colored Ponera testacea Emery, 1895. Species hypotheses are developed via NC-PART clus-tering, combined with Partitioning Algorithm based on Recursive Thresholding (PART), and via PCA combined with gap statistics. We obtained our results from an extensive dataset from the 10 continuous morphometric traits measured on 165 workers belonging to 73 nest samples. Linear discriminant analysis (LDA) confirmed the grouping of hypotheses generated by exploratory analyses with 100% classification success when all ten morphometric traits were involved. The Anatolian Turkish black and the predomi-nantly European yellow samples, did not separate based on their morphometric characteristics. These two color variations broadly overlap in their geographic range in Anatolian Turkey. The investigated type series of Ponera coarctata var. lucida Emery, 1898 (collected from Kazakhstan) fell within the P. testacea cluster instead of P. coarctata and is also classified with high certainty as P. testacea by confirmatory LDA. There-fore, we propose the synonymy of Ponera coarctata var. lucida Emery, 1898 with Ponera testacea Emery, 1895. As no other morphological differences than color patterns were detected between the black and pale P. testacea samples, we hold that these populations constitute geographically occurring color vari-ations of the same species. Finally, our quantitative morphology-based results show that relying on color patterns is not a robust approach in identifying European Ponera samples, particularly in the east, but using multivariate analyses of morphometric traits is advised instead.</t>
  </si>
  <si>
    <t>Lapeva-Gjonova, Albena/AFD-8097-2022</t>
  </si>
  <si>
    <t>Lapeva-Gjonova, Albena/0000-0003-0811-0768</t>
  </si>
  <si>
    <t>1313-2989</t>
  </si>
  <si>
    <t>1313-2970</t>
  </si>
  <si>
    <t>10.3897/zookeys.1084.79415</t>
  </si>
  <si>
    <t>WOS:000750859100001</t>
  </si>
  <si>
    <t>Stephenson, BP; Ihász, N; Byrd, DC; Swierk, J; Swierk, L</t>
  </si>
  <si>
    <t>Stephenson, Barry P.; Ihasz, Nikolett; Byrd, David C.; Swierk, John; Swierk, Lindsey</t>
  </si>
  <si>
    <t>Temperature-dependent colour change is a function of sex and directionality of temperature shift in the eastern fence lizard (Sceloporus undulatus)</t>
  </si>
  <si>
    <t>Sexually dimorphic colour traits are widespread across taxa, but relatively little is known about how and why these features change with body temperature. To examine whether sex and directionality (warming vs. cooling) influence temperature-dependent colour change, we used spectrophotometry to characterize ventral and dorsal coloration in eastern fence lizards (Sceloporus undulatus), a species with temperature-dependent conspecific signals (ventral patches). In general, we found that skin colour (hue) in both sexes changed with temperature. Only ventral patch colour in males changed visibly to human observers; ventral patch hue decreased (green to blue shift) with an increase in body temperature. Male dorsal colour also changed with temperature, with cooler males exhibiting a longer-wavelength hue (red shift) than that exhibited by warmer males. Female dorsal hue changed in a manner paralleling that of males, and female ventral hue trended in the same direction: overall, warmer females tended to exhibit shorter-wavelength hues. However, the magnitude of male ventral patch colour change was highly dependent upon temperature sequence; the colourful badges of males that were progressively warmed changed from green to blue, whereas those of males that were cooled over the same time period did not change hue. Notably, only the coloration of male ventral patches was dependent on the directionality of temperature change; no other measured skin surfaces in either sex exhibited similar temperature-directionality dependence. These results are considered in the context of models for badge colour production in Sceloporus, as well as in hypotheses for the functional significance of ventral patch coloration. (C) 2016 The Linnean Society of London,</t>
  </si>
  <si>
    <t>Stephenson, Barry P./P-5076-2019; Swierk, John R/D-9936-2014; Swierk, Lindsey/JVO-0517-2024</t>
  </si>
  <si>
    <t>Stephenson, Barry P./0000-0001-5468-2439; Swierk, Lindsey/0000-0001-7897-0275</t>
  </si>
  <si>
    <t>WOS:000400944500010</t>
  </si>
  <si>
    <t>Utsumi, K; Staley, C; Eifler, MA; Núñez, H; Eifler, DA</t>
  </si>
  <si>
    <t>Utsumi, Kaera; Staley, Catherine; Eifler, Maria A.; Nunez, Herman; Eifler, Douglas A.</t>
  </si>
  <si>
    <t>Color variation and habitat use in Liolaemus silvai</t>
  </si>
  <si>
    <t>SOUTH AMERICAN JOURNAL OF HERPETOLOGY</t>
  </si>
  <si>
    <t>Liolaemus is a species-rich genus endemic to South America with relatively little known about the biology of most of the &gt; 200 included species. One species, L. silvai is common in the coastal Atacama Desert and is sexually dimorphic. We studied their phenotypic variation in color and body size, as well as habitat use by capturing lizards active on the surface. To assess phenotypic variation, we categorized the color morph of each lizard based on visible coloration in their ventral throat region and their ventral body from the shoulder girdle to the hips. We also sexed each lizard, measured snout-vent length and body mass, and recorded incidences of tail breakage. For habitat use we measured perch height, distance from the rock edge to nearest vegetation, and the height of the rocks on which lizards were initially sighted. We assessed habitat selection by comparing perch characteristics to features available in the habitat by pairing capture rocks with the nearest rock in a random direction from the initial perch site. Male L. silvai were significantly larger than females, but color morph and tail break frequency were independent of sex. Lizards used rocks that were significantly closer to vegetation than random rocks available in the environment independently of sex or color morph. We document the same pattern for perch height. Future studies are needed to examine the exact role of vegetation for L. silvai.</t>
  </si>
  <si>
    <t>Utsumi, Kaera/0000-0001-5935-7299; Eifler, Maria/0000-0002-7373-8423</t>
  </si>
  <si>
    <t>1808-9798</t>
  </si>
  <si>
    <t>10.2994/SAJH-D-20-00015.1</t>
  </si>
  <si>
    <t>WOS:000739788300008</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</si>
  <si>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</si>
  <si>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</si>
  <si>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</si>
  <si>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</si>
  <si>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</si>
  <si>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Marini, KLD; McKellar, AE; Ratcliffe, LM; Marra, PP; Reudink, MW</t>
  </si>
  <si>
    <t>Marini, Kristen L. D.; McKellar, Ann E.; Ratcliffe, Laurene M.; Marra, Peter P.; Reudink, Matthew W.</t>
  </si>
  <si>
    <t>Age-related change in carotenoid-based plumage of the American Redstart (Setophaga ruticilla)</t>
  </si>
  <si>
    <t>Plumage colouration serves a variety of functions for birds, including conspecific signalling, crypsis, and predator-prey interactions. Though much research has been conducted on colour changes in species with delayed plumage maturation, where birds do not exhibit definitive adult plumage until their second breeding season or later, relatively few studies have examined how plumage colour changes once definitive adult plumage has been attained. In this study on male and female American Redstarts (Setophaga ruticilla), which exhibit male delayed plumage maturation, we used reflectance spectrometry to evaluate carotenoid-based tail colour changes over 11 breeding seasons, examining both within-individual and population-level changes. At a population level, males in their first breeding season in definitive adult plumage had a feather hue that was more orange-shifted than birds in their second year in adult plumage, and marginally, but not significantly, more orange-shifted than birds in their third year in adult plumage. Within-individual analysis of males recaptured in subsequent seasons also revealed a shift away from orange towards a more yellow feather hue as individuals aged. Within individuals, red chroma was highest for males in their second year in adult plumage, but it showed no population-level effects. At the population level, female redstarts in their first breeding season displayed plumage with a higher red chroma and a lower brightness than birds in their second breeding season, potentially as a result of differences in the timing and conditions of moult (first-year bird tail feathers were grown in the nest). For adult males and females, there was no difference in plumage colouration between birds that returned to the study site compared to those that failed to return. Together, our results suggest that within-individual change rather than differential survival best explains our findings. We suggest that studies examining age-related colour changes are critical for understanding the evolution of complex signalling systems, such as that of American Redstarts.</t>
  </si>
  <si>
    <t>McKellar, Ann/JEF-2803-2023</t>
  </si>
  <si>
    <t>McKellar, Ann/0000-0002-7032-3759; Reudink, Matthew/0000-0001-8956-5849; Marra, Peter/0000-0002-0508-7577; Marini, Kristen/0000-0002-6301-355X</t>
  </si>
  <si>
    <t>10.1007/s10336-015-1168-7</t>
  </si>
  <si>
    <t>WOS:000356447100022</t>
  </si>
  <si>
    <t>Siebeck, UE</t>
  </si>
  <si>
    <t>Communication in coral reef fish: the role of ultraviolet colour patterns in damselfish territorial behaviour</t>
  </si>
  <si>
    <t>Many coral reef fish possess ultraviolet (UV) colour patterns. The behavioural significance of these patterns is poorly understood and experiments on this issue have not been reported for free-living reef fish in their natural environment. The damselfish Pomacentrus amboinensis has UV facial patterns, and spectroradiometric ocular media measurements show that it has the potential for UV vision. To test the potential behavioural significance of the UV patterns, I studied the response of males, in natural territories on the reef and in aquaria, to two conspecific intruders, one presented in a UV-transmitting (UV+) container and the other in a UV-absorbing (UV-) one. Territory owners attacked intruders viewed through UV+ filters significantly more often and for longer than intruders viewed through the UV- filter. In general, the results of the field experiment confirmed those of the laboratory experiment. The results support the hypothesis that P. amboinensis males are sensitive to UV light and that reflectance patterns, which appear in high contrast only in UV, modulate the level of aggressive behaviour. A recent survey showed that many predatory fish may not have UV vision and the use of UV colours in select species of reef fish may therefore serve as a 'private communication channel'. (C) 2004 The Association for the Study of Animal Behaviour. Published by Elsevier Ltd. All rights reserved.</t>
  </si>
  <si>
    <t>Siebeck, Ulrike E/J-6190-2014</t>
  </si>
  <si>
    <t>Siebeck, Ulrike E/0000-0003-2024-1568</t>
  </si>
  <si>
    <t>10.1016/j.anbehav.2003.11.010</t>
  </si>
  <si>
    <t>WOS:000223614300006</t>
  </si>
  <si>
    <t>Whitaker, KW; Alvarez, M; Preuss, T; Cummings, ME; Hofmann, HA</t>
  </si>
  <si>
    <t>Whitaker, Keith W.; Alvarez, Marcos; Preuss, Thomas; Cummings, Molly E.; Hofmann, Hans A.</t>
  </si>
  <si>
    <t>Courting danger: socially dominant fish adjust their escape behavior and compensate for increased conspicuousness to avian predators</t>
  </si>
  <si>
    <t>Males of many species display conspicuous colors to attract mates and deter rivals, although this benefit can incur an increased predation risk. In the African cichlid fish, Astatotilapia burtoni, males can change both their social status (dominant, DOM, or subordinate, SUB) and primary body color (yellow or blue). We hypothesized that these phenotypes vary in conspicuousness to predators and conspecifics, thus establishing a trade-off between intraspecific signaling and predation. We quantified the spectral reflectance of yellow and blue DOM and SUB males. We then constructed avian and conspecific visual receiver models to determine the relative conspicuousness of each phenotype. We show that there are significant differences in conspicuousness to predators and conspecifics, with the flanks of the yellow DOM males exhibiting more spectral contrast to both avian predators and conspecifics than the flanks of blue DOM males. Our measurements of escape behavior revealed that each morph exhibits distinct anti-predatory responses, with SUB males shoaling for protection, and the more conspicuous yellow DOM males executing more escape responses, potentially compensating for their increased conspicuousness. Our results suggest a novel mechanism for the maintenance of alternative male phenotypes in this species, where dynamically enhanced conspicuousness is offset by plastic changes in behavior.</t>
  </si>
  <si>
    <t>Preuss, Thomas G. G/A-7926-2009; Hofmann, Hans/E-4538-2016</t>
  </si>
  <si>
    <t>Whitaker, Keith/0000-0002-4301-3296; Hofmann, Hans/0000-0002-3335-330X</t>
  </si>
  <si>
    <t>10.1007/s10750-020-04475-9</t>
  </si>
  <si>
    <t>JAN 2021</t>
  </si>
  <si>
    <t>WOS:000604160900002</t>
  </si>
  <si>
    <t>MASUDA, Y; OZAWA, T; ENAMI, S</t>
  </si>
  <si>
    <t>GENETIC DIFFERENTIATION AMONG 8 COLOR TYPES OF THE FRESH-WATER GOBY, RHINOGOBIUS-BRUNNEUS, FROM WESTERN JAPAN</t>
  </si>
  <si>
    <t>JAPANESE JOURNAL OF ICHTHYOLOGY</t>
  </si>
  <si>
    <t>Genetic differentiation among eight color types of the freshwater goby, Rhinogobius brunneus, from the western part of Japan was investigated by using electrophoretic methods. Four sympatric types (Cross-band, Dark, Cobalt and Large-Dark (A) types) did not share alleles at between one and six loci out of 12 loci tested. No hybrid specimens were found among these types. The average genetic distances among these four types ranged from 0.13 to 0.72, which fall within the range of values among congeneric species of fishes. The average genetic distances among the other four types, Large-Dark (B), Orange, Shinji-Lake and Boso types, were only 0.01 to 0.03, and fall within the range of values among conspecific populations. These results suggest that the former four types are clearly discrete species and the latter four types may be considered as intraspecific variations of a fifth species.</t>
  </si>
  <si>
    <t>0021-5090</t>
  </si>
  <si>
    <t>1884-7374</t>
  </si>
  <si>
    <t>10.1007/BF02905670</t>
  </si>
  <si>
    <t>WOS:A1989AD70900004</t>
  </si>
  <si>
    <t>Moyaho, A; Salazar-Bautista, JL; Evelyn, BC; Amira, FU</t>
  </si>
  <si>
    <t>Moyaho, Alejandro; Salazar-Bautista, Jose Luis; Evelyn, Beristain-Castillo; Amira, Flores-Urbina</t>
  </si>
  <si>
    <t>Iridescent scales signal male fighting ability to access females in the jewelled splitfin Xenotoca variata</t>
  </si>
  <si>
    <t>Jewelled splitfin males (Xenotoca variata) possess multi-colour iridescent scales (speckles) on the flanks. This study tested the hypothesis that the number of speckles could be a good proxy for predicting fighting ability in contests for access to females. The experiments consisted in observing and recording males' agonistic behaviour, courtship displays and mating attempts in mixed-sex groups. The data were analysed and presented based on a Bayesian approach, which revealed that the density (cm(-2)) of speckles was positively correlated with the increase observed in the proportional frequency of attacks. Similarly, the density of speckles was positively associated with the increase observed in the frequency of courtship behaviour and with the frequency of mating attempts. Male-male aggressions drastically diminished (by eightfold) when females were removed from the observation tanks. These results indicate that the number of speckles is a consistent predictor of successful access to females and therefore, speckled males are likely to be able to gain more mating opportunities. This finding highlights the ubiquitous role iridescent colours play in visual signalling.</t>
  </si>
  <si>
    <t>Beristain-Castillo, Evelyn/0000-0003-4517-3362; Moyaho, Alejandro/0000-0002-2902-2938</t>
  </si>
  <si>
    <t>10.1111/jfb.15316</t>
  </si>
  <si>
    <t>WOS:000924339000001</t>
  </si>
  <si>
    <t>Barry, KL; Hawryshyn, CW</t>
  </si>
  <si>
    <t>Spectral sensitivity of the Hawaiian saddle wrasse, Thalassoma duperrey, and implications for visually mediated behaviour on coral reefs</t>
  </si>
  <si>
    <t>Although tropical coral reefs are one of the most spectrally complex habitats, there is relatively little known about colour vision of reef fish. In this study, we measured the spectral sensitivity of an endemic Hawaiian coral reef fish, Thalassoma duperrey (family Labridae), and assessed the possible role of visual sensitivity in mediating intraspecific communication. Electrophysiological recordings of compound action potentials from retinal ganglion cells were used to generate spectral sensitivity curves for specific wavelengths (380-620 nm). We found at least 2 sensitivity peaks for the on response (lambda(max)=460, 550 nm). The off response lacked a short wavelength mechanism but a medium wavelength mechanism (lambda(max)=545 nm) and a longwave mechanism (lambda(max)=570 nm) were found. To quantify the visual stimulus provided by a conspecific individual, spectral reflectance from the colour pattern of T. duperrey was measured with a spectroradiometer. Luminance and spectral contrast were computed between colour patches of the pattern and between the patches and natural backgrounds (i.e., water and coral). Reflectance from the blue head and contrast from the blue, green and red patches matched the sensitivity maxima of T. duperrey, although this depended on the type of background. Our results indicate that T. duperrey should be able to visually detect the colour pattern of a conspecific fish and that T. duperrey's visual system is designed to enhance target detection in the coral reef habitat with matched and offset cone mechanisms.</t>
  </si>
  <si>
    <t>Barry, Katherine L/B-6743-2008</t>
  </si>
  <si>
    <t>10.1023/A:1007556112449</t>
  </si>
  <si>
    <t>WOS:000084346500010</t>
  </si>
  <si>
    <t>Fincke, OM; Fargevieille, A; Schultz, TD</t>
  </si>
  <si>
    <t>Fincke, Ola M.; Fargevieille, Amelie; Schultz, Tom D.</t>
  </si>
  <si>
    <t>Lack of innate preference for morph and species identity in mate-searching Enallagma damselflies</t>
  </si>
  <si>
    <t>Insect mate recognition is often viewed as stereotypic, innate, and species-specific. However, male damselflies can learn to identify female-specific color morphs as potential mates. A suite of male mimicry hypotheses assume that heteromorphic females, which differ from males in color pattern, are more easily recognized as female and thus lack the inherent, anti-harassment advantage that the more male-like signal provides for andromorphs. Using two measures of male preference, we investigated whether naive males have a preexisting sensory bias for a given morph color in Enallagma civile, a species that appeared to exhibit extreme plasticity in morph expression across generations within a breeding season. E. civile males raised in the absence of females exhibited no preference for either morph, whereas males raised with one female type exhibited a learned sensory bias for that morph. Male Enallagma also lacked a bias toward conspecific females over a congeneric sister species. In a naturally naive population of Enallagma ebrium, males reacted sexually to both morphs of Enallagma hageni as often as they did to conspecific females, whose thoracic spectra were nearly identical with those of E. hageni. Moreover, despite the similar thoracic spectra of males and andromorphs, both of which reflected UV, males rarely reacted sexually to other males. Our results falsified implicit assumptions of male mimicry hypotheses, supported learned mate recognition, and suggested a scenario for speciation via sexual conflict.</t>
  </si>
  <si>
    <t>Fincke, Ola/W-2810-2019</t>
  </si>
  <si>
    <t>Fargevieille, Amelie/0000-0003-0934-3563; Fincke, Ola/0000-0002-4456-0136</t>
  </si>
  <si>
    <t>10.1007/s00265-006-0345-3</t>
  </si>
  <si>
    <t>WOS:000245519700015</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</si>
  <si>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</si>
  <si>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</si>
  <si>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</si>
  <si>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</si>
  <si>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</si>
  <si>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</si>
  <si>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</si>
  <si>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Nelson, MW</t>
  </si>
  <si>
    <t>Nelson, Michael W.</t>
  </si>
  <si>
    <t>BREEDING EVIDENCE FOR CONSPECIFIC STATUS OF GRAMMIA PHYLLIRA (DRURY, 1773) AND GRAMMIA OITHONA (STRECKER, 1878) (EREBIDAE: ARCTIINAE), WITH NOTES ON NATURAL HISTORY AND CONSERVATION STATUS</t>
  </si>
  <si>
    <t>JOURNAL OF THE LEPIDOPTERISTS SOCIETY</t>
  </si>
  <si>
    <t>It has long been suspected that Grammia oithona may be a form of G. phyllira, but concrete evidence has been lacking. The only obvious difference between G. oithona and G. phyllira is the presence of cream-colored scales outlining the veins of the brewing of G. oithona. A female C. oithona from Hampden County, Massachusetts, U.S.A., produced progeny consisting of 55 phyllira and 51 oithona. The following year a female G. phyllira from the same locality produced 33 phyllira and 40 oithona. Therefore the name oithona represents a wing pattern phenotype, not a species, at least in the population studied. Progeny of both wild females were bred in captivity, each cross consisting of a virgin female bred with a single male, with eight separate crosses producing offspring. The simplest, most parsimonious hypothesis consistent with the data from all eight crosses is that the wing pattern phenotype is inherited as a single autosomal gene with two alleles, a dominant phyllira allele and a recessive oithona allele; dominance may be incomplete in heterozygotes. Assuming G. phyllira and G. oithona to be conspecific across their composite range, the phyllira phenotype occurs with high frequency in most populations along the East Coast and in the Upper Midwest, and with low frequency in most populations to the west and south of this range. G. phyllira is of conservation concern in the northeastern U.S.A., where it has declined substantially during the past 50 to 100 years. The natural history of G. phyllira is typical of Grammia species, but its dependence on grassland and savanna habitat on dry, sandy soils is an important consideration in conservation and management efforts for this species.</t>
  </si>
  <si>
    <t>0024-0966</t>
  </si>
  <si>
    <t>JUL 27</t>
  </si>
  <si>
    <t>WOS:000280497600001</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</si>
  <si>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</si>
  <si>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</si>
  <si>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</si>
  <si>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</si>
  <si>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André Rodrigues/C-9069-2015</t>
  </si>
  <si>
    <t>TURILLAZZI, STEFANO/0000-0002-4460-7467; Ricciardi, Giulia/0000-0002-9398-9916</t>
  </si>
  <si>
    <t>10.1111/eth.12339</t>
  </si>
  <si>
    <t>WOS:000348908100009</t>
  </si>
  <si>
    <t>LaPlante, LH; Delaney, S</t>
  </si>
  <si>
    <t>LaPlante, Lori H.; Delaney, Samantha</t>
  </si>
  <si>
    <t>Male mate choice for a female ornament in a monogamous cichlid fish, Mikrogeophagus ramirezi</t>
  </si>
  <si>
    <t>Male ram cichlid, Mikrogeophagus ramirezi, spent significantly more time associating with animated female images compared to static images of the same female, indicating that males of the species reliably respond to computer-animated images of conspecific females. Female M. ramirezi temporarily display a pink-coloured belly, and this study showed that males spent significantly more time associating with animated female images displaying a pink-coloured belly compared to animated female images with pink belly colour removed. This is the first study to report male mate choice in M. ramirezi, a neotropical monogamous dwarf cichlid.</t>
  </si>
  <si>
    <t>10.1111/jfb.14257</t>
  </si>
  <si>
    <t>JAN 2020</t>
  </si>
  <si>
    <t>WOS:000509418500001</t>
  </si>
  <si>
    <t>Hastings, BT; Melnyk, A; Ghyabi, M; White, E; Barroso, FM; Carretero, MA; Lattanzi, D; Claude, J; Chiari, Y</t>
  </si>
  <si>
    <t>Hastings, Brandon T.; Melnyk, Anastasiya; Ghyabi, Mehrdad; White, Emma; Barroso, Frederico M.; Carretero, Miguel A.; Lattanzi, David; Claude, Julien; Chiari, Ylenia</t>
  </si>
  <si>
    <t>Melanistic coloration does not influence thermoregulation in the crepuscular gecko Eublepharis macularius</t>
  </si>
  <si>
    <t>BIOLOGY OPEN</t>
  </si>
  <si>
    <t>Body coloration in ectotherms serves multiple biological functions, including avoiding predators, communicating with conspecific individuals, and involvement in thermoregulation. As ectotherms rely on environmental sources of heat to regulate their internal body temperature, stable melanistic body coloration or color change can be used to increase or decrease heat absorption and heat exchange with the environment. While melanistic coloration for thermoregulation functions to increase solar radiation absorption and consequently heating in many diurnal ectotherms, research on crepuscular and nocturnal ectotherms is lacking. Since crepuscular and nocturnal ectotherms generally absorb heat from the substrate, in these organisms melanistic coloration may have other primary functions beside thermoregulation. As such, in this work we hypothesized that the proportion of dorsal melanistic body coloration would not influence heating and cooling rates in the crepuscular gecko, Eublepharis macularius, and that changes in environmental temperature would not trigger color changes in this species. Temperature measurements of the geckos and of the environment were taken using infrared thermography and temperature loggers. Color data were obtained using objective photography and a newly developed custom software package. We found that body temperature reflected substrate temperatures, and that the proportion of melanistic coloration has no influence on heating or cooling rates or on color changes. These findings support that melanistic coloration in E. macularius may not be used for thermoregulation and strengthen the hypothesis that in animals active in low light conditions, melanistic coloration may be used instead for camouflage or other functions.</t>
  </si>
  <si>
    <t>Chiari, Ylenia/AAW-3108-2020; Barroso, Frederico M./AAX-1029-2021; Claude, julien/G-7411-2016; Carretero, Miguel A./A-1472-2013</t>
  </si>
  <si>
    <t>Chiari, Ylenia/0000-0003-2338-8602; Barroso, Frederico M./0000-0002-4111-6793; Carretero, Miguel A./0000-0002-2335-7198</t>
  </si>
  <si>
    <t>2046-6390</t>
  </si>
  <si>
    <t>bio060114</t>
  </si>
  <si>
    <t>10.1242/bio.060114</t>
  </si>
  <si>
    <t>WOS:001108722600005</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</si>
  <si>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</si>
  <si>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</si>
  <si>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</si>
  <si>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</si>
  <si>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</si>
  <si>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Ocampo, D; Barrantes, G; Uy, JAC</t>
  </si>
  <si>
    <t>Ocampo, Diego; Barrantes, Gilbert; Uy, J. Albert C.</t>
  </si>
  <si>
    <t>Female and male plumage brightness is positively correlated among populations of the dichromatic Variable Seedeater</t>
  </si>
  <si>
    <t>ORNITHOLOGY</t>
  </si>
  <si>
    <t>Lay Summary center dot We evaluated color variation among females of the Variable Seedeater, an avian species in which females show an overall brown-yellowish and relatively uniform coloration among populations, contrary to the highly variable and contrasting black and white males. center dot Among adult females, color variation is unlikely to facilitate subspecies recognition and assortative mating. center dot The variation in plumage brightness of female ventral patches may result from more relaxed selection compared to dorsal patches and from a shared feather developmental pathway with sexually selected male patches. center dot Adult females did not differ from young individuals, which may allow young males accessing mates, roosting sites, and food, while avoiding aggression from older territorial males. Because studies of plumage coloration often focus on highly elaborate and conspicuous males, little is known about the factors driving theevolution of drab plumage in females of dichromatic species. We explored variation in the color properties of drab female plumage across subspecies of the Variable Seedeater (Sporophila corvina) and found a correlation between plumage brightness of male and female plumage patches. This correlation is consistent with the hypothesis that differences in plumage brightness among females result, at least partially, from a genetic correlation or shared developmental pathway with the more conspicuous male plumage traits that are shaped by sexual selection. Furthermore, we modeled the perception of female plumage using the avian visual system and found that most of the variation in color among females is undetectable by birds; therefore, it is unlikely for such variation to have evolved via direct sexual selection as a signal for recognition or assortative mating. Together, these results suggest that variation in S. corvina female color result from non-adaptive processes. However, we found a reduced variation on color of dorsal patches compared with that of ventral patches among females, which could be explained by natural selection on crypsis, reducing the variation on dorsal patches. Finally, we found little differences in plumage color between adult females and juveniles, which suggest selection for juveniles to resemble adult females possibly to reduce aggression from adult males. Additional within-population studies and behavioral experiments are needed to discern the evolutionary factors driving variation on S. corvina female color and its function.</t>
  </si>
  <si>
    <t>Ocampo Vargas, Diego/0000-0002-7411-2027; Uy, J. Albert C./0000-0002-8437-5525</t>
  </si>
  <si>
    <t>2732-4613</t>
  </si>
  <si>
    <t>MAY 8</t>
  </si>
  <si>
    <t>10.1093/ornithology/ukad002</t>
  </si>
  <si>
    <t>JAN 2023</t>
  </si>
  <si>
    <t>WOS:000959502700001</t>
  </si>
  <si>
    <t>Overs, E; Stump, S; Severino, I; Blumstein, DT</t>
  </si>
  <si>
    <t>Overs, Elle; Stump, Sydney; Severino, Isabel; Blumstein, Daniel T.</t>
  </si>
  <si>
    <t>A test of the species confidence hypothesis in dusky damselfish</t>
  </si>
  <si>
    <t>Visual cues are important in both interspecific and intraspecific communication. The species confidence hypothesis proposes that animals are more attracted to conspecific colors and repelled by colors, not on their bodies. Studies on terrestrial lizards and birds have tested the species confidence hypothesis and shown that conspecific colors elicit reduced antipredator behavior. To date, the species confidence hypothesis has not been tested in the marine environment, specifically on coral reefs where color communication is of vital importance. We addressed this knowledge gap by measuring flight initiation distance (the distance an individual moves away from an approaching threat) in dusky damselfish (Stegastes nigricans) in response to an approaching disc of 1 of 4 different color treatments: conspecific, blue, yellow, and black. If the species confidence hypothesis explained variation in damselfish flight initiation distance, then we expected individuals to tolerate closer approaches when approached by a conspecific color. In addition, we calculated the color difference between each stimulus and its corresponding background as a potential alternative explanation for flight responses. Damselfish tolerated the closest approach from the conspecific color stimulus; there were no significant differences between other colors and there was no support for the alternative color difference hypothesis. As with similar terrestrial studies, these results are relevant to ecotourists' choice of swimsuit and wetsuit colors because color choice may modify natural antipredator behavior.</t>
  </si>
  <si>
    <t>Blumstein, Daniel/0000-0001-5793-9244</t>
  </si>
  <si>
    <t>10.1093/cz/zoac099</t>
  </si>
  <si>
    <t>WOS:000941847900001</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</si>
  <si>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</si>
  <si>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</si>
  <si>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</si>
  <si>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</si>
  <si>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Karubian, Jordan/A-4364-2015; Sillett, Scott/N-2240-2017</t>
  </si>
  <si>
    <t>Webster, Michael/0000-0001-7585-4578; Karubian, Jordan/0000-0001-8201-9992; Sillett, Scott/0000-0002-7486-0076</t>
  </si>
  <si>
    <t>10.1093/beheco/arm159</t>
  </si>
  <si>
    <t>WOS:000255987600006</t>
  </si>
  <si>
    <t>Innis, T; Cunning, R; Ritson-Williams, R; Wall, CB; Gates, RD</t>
  </si>
  <si>
    <t>Innis, T.; Cunning, R.; Ritson-Williams, R.; Wall, C. B.; Gates, R. D.</t>
  </si>
  <si>
    <t>Coral color and depth drive symbiosis ecology of Montipora capitata in Kane'ohe Bay, O'ahu, Hawai'i</t>
  </si>
  <si>
    <t>CORAL REEFS</t>
  </si>
  <si>
    <t>Scleractinian corals form symbioses with diverse photosynthetic dinoflagellates (genus Symbiodinium) that confer varying levels of performance and stress tolerance to their hosts. Variation in thermal stress susceptibility (i.e., bleaching) among conspecific corals is linked to variability in symbiont community composition, yet factors driving heterogeneous symbiont associations within a population are poorly understood. To investigate potential drivers, we characterized Symbiodinium communities in Montipora capitata (N = 707 colonies) across the biophysical regions, reef types, and depth range of Kane'ohe Bay (Hawai'i, USA), where this dominant reef-builder associates with Symbiodinium spp. in clade C (C31) and/or D (S. glynnii), and occurs as brown and orange color morphs. The distribution of these traits was primarily influenced by depth: orange, D-dominated colonies were more prevalent in shallow, high light environments (&lt; 2 m), whereas brown, C-dominated colonies were more prevalent with increasing depth and light attenuation. Though either color morph could be dominated by either symbiont, brown colonies were almost exclusively C-dominated, while orange colonies were more likely to be D-dominated above 4.3 m, and C-dominated below, revealing a significant interaction between color morph and symbiosis ecology. The distribution of orange, D-dominated colonies extended deeper on patch reefs, where light penetrates deeper, compared to the more turbid, fringing reefs, further supporting light as the driver of these patterns. This work reveals that symbiont community variability may arise either from holobiont phenotypic plasticity or differential survival across light gradients, with implications for predicting coral bleaching responses and informing management applications such as selective breeding of robust corals.</t>
  </si>
  <si>
    <t>Wall, Christopher B./ACJ-0486-2022</t>
  </si>
  <si>
    <t>Wall, Christopher B./0000-0002-7164-3201; Cunning, Ross/0000-0001-7241-1181</t>
  </si>
  <si>
    <t>0722-4028</t>
  </si>
  <si>
    <t>1432-0975</t>
  </si>
  <si>
    <t>10.1007/s00338-018-1667-0</t>
  </si>
  <si>
    <t>WOS:000432285500010</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</si>
  <si>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</si>
  <si>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</si>
  <si>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</si>
  <si>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</si>
  <si>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Mercadante, A; Hill, GE</t>
  </si>
  <si>
    <t>Mercadante, Austin; Hill, Geoffrey E.</t>
  </si>
  <si>
    <t>An experimental test of the role of structural blue and melanin-based chestnut coloration in aggressive contests in male eastern bluebirds</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</si>
  <si>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</si>
  <si>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10.3389/fevo.2014.00024</t>
  </si>
  <si>
    <t>WOS:000517755700023</t>
  </si>
  <si>
    <t>Sacchi, R; Coladonato, AJ; Battaiola, M; Pasquariello, C; Buratti, S; Matellini, C; Mangiacotti, M; Scali, S; Zuffi, MAL</t>
  </si>
  <si>
    <t>Sacchi, Roberto; Coladonato, Alan J.; Battaiola, Mara; Pasquariello, Carlotta; Buratti, Simone; Matellini, Cristian; Mangiacotti, Marco; Scali, Stefano; Zuffi, Marco A. L.</t>
  </si>
  <si>
    <t>Subjective resource value affects aggressive behavior independently of resource-holding-potential and color morphs in male common wall lizard</t>
  </si>
  <si>
    <t>JOURNAL OF ETHOLOGY</t>
  </si>
  <si>
    <t>Game theory models predict the outcome of a dyadic contest to depend on opponents' asymmetries in three main traits: resource-holding potential (RHP), resource value (RV) and aggressiveness. Using male common wall lizards Podarcis muralis, a polymorphic species showing three discrete morphs (white, yellow, and red), we investigated how the aggressive behavior varies according to a change in subjective RV and color morphs, while controlling for the asymmetry in RHP (using mirrors). By comparing the aggression of the same individual towards its mirror image in two different arenas (familiar = high subjective RV; novel = low subjective RV), we showed that lizard aggressive behavior was more intense and prolonged in the familiar arena than in the new one, thus supporting the occurrence of a direct relationship between motivation and aggression in this species. We also found the overall aggressiveness to differ from individual to individual, supporting the general hypothesis that aggressiveness is a trait associated with personality. By contrast, no effect of morphs was detected, ruling out the occurrence of morph specific variation in the aggressiveness. Our results highlight that an individual's motivation and personality might be as important as RHP and RV in the resolution of animal contests.</t>
  </si>
  <si>
    <t>Mangiacotti, Marco/AAZ-9550-2021; Zuffi, Marco A.L./J-6974-2013; SACCHI, ROBERTO/E-2141-2011</t>
  </si>
  <si>
    <t>Mangiacotti, Marco/0000-0001-7144-3851; SACCHI, ROBERTO/0000-0002-6199-0074</t>
  </si>
  <si>
    <t>0289-0771</t>
  </si>
  <si>
    <t>1439-5444</t>
  </si>
  <si>
    <t>10.1007/s10164-021-00690-6</t>
  </si>
  <si>
    <t>WOS:000614674500001</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</si>
  <si>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</si>
  <si>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</si>
  <si>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</si>
  <si>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</si>
  <si>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</si>
  <si>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 Weiss, Alexander/KRQ-5193-2024</t>
  </si>
  <si>
    <t>Bellegarde, Lucille/0000-0002-5616-7817; Haskell, Marie/0000-0001-9373-0624</t>
  </si>
  <si>
    <t>2297-1769</t>
  </si>
  <si>
    <t>NOV 6</t>
  </si>
  <si>
    <t>10.3389/fvets.2017.00188</t>
  </si>
  <si>
    <t>WOS:000451800800002</t>
  </si>
  <si>
    <t>D'Eath, RB; Turner, SP; Kurt, E; Evans, G; Thölking, L; Looft, H; Wimmers, K; Murani, E; Klont, R; Foury, A; Ison, SH; Lawrence, AB; Mormède,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</si>
  <si>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</si>
  <si>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</si>
  <si>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</si>
  <si>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</si>
  <si>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Pierre/N-3918-2019; Lawrence, Alistair/AAQ-3875-2020; Wimmers, Klaus/AAF-9434-2020; Mormede, Pierre/K-5537-2015</t>
  </si>
  <si>
    <t>Turner, Simon/0000-0001-9198-9448; Ison, Sarah/0000-0002-5838-281X; Foury, Aline/0000-0002-4552-3222; D'Eath, Rick/0000-0002-1801-254X; Wimmers, Klaus/0000-0002-9523-6790; Lawrence, Alistair/0000-0002-2083-4243; Mormede, Pierre/0000-0003-0345-1432</t>
  </si>
  <si>
    <t>1751-7311</t>
  </si>
  <si>
    <t>1751-732X</t>
  </si>
  <si>
    <t>10.1017/S1751731109991406</t>
  </si>
  <si>
    <t>WOS:000276005600013</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</si>
  <si>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</si>
  <si>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</si>
  <si>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</si>
  <si>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</si>
  <si>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</si>
  <si>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</si>
  <si>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</si>
  <si>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</si>
  <si>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</si>
  <si>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</si>
  <si>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</si>
  <si>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</si>
  <si>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</si>
  <si>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</si>
  <si>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</si>
  <si>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Fleishman, LJ; Loew, ER; Whiting, MJ</t>
  </si>
  <si>
    <t>Fleishman, Leo J.; Loew, Ellis R.; Whiting, Martin J.</t>
  </si>
  <si>
    <t>High sensitivity to short wavelengths in a lizard and implications for understanding the evolution of visual systems in lizards</t>
  </si>
  <si>
    <t>Progress in developing animal communication theory is frequently constrained by a poor understanding of sensory systems. For example, while lizards have been the focus of numerous studies in visual signalling, we only have data on the spectral sensitivities of a few species clustered in two major clades (Iguania and Gekkota). Using electroretinography and microspectrophotometry, we studied the visual system of the cordylid lizard Platysaurus broadleyi because it represents an unstudied clade (Scinciformata) with respect to visual systems and because UV signals feature prominently in its social behaviour. The retina possessed four classes of single and one class of double cones. Sensitivity in the ultraviolet region (UV) was approximately three times higher than previously reported for other lizards. We found more colourless oil droplets (associated with UV-sensitive (UVS) and short wavelength-sensitive (SWS) photoreceptors), suggesting that the increased sensitivity was owing to the presence of more UVS photoreceptors. Using the Vorobyev-Osorio colour discrimination model, we demonstrated that an increase in the number of UVS photoreceptors significantly enhances a lizard's ability to discriminate conspecific male throat colours. Visual systems in diurnal lizards appear to be broadly conserved, but data from additional clades are needed to confirm this.</t>
  </si>
  <si>
    <t>Whiting, Martin J./E-2999-2010</t>
  </si>
  <si>
    <t>Whiting, Martin J./0000-0002-4662-0227; Fleishman, Leo/0000-0002-2309-7496</t>
  </si>
  <si>
    <t>OCT 7</t>
  </si>
  <si>
    <t>10.1098/rspb.2011.0118</t>
  </si>
  <si>
    <t>WOS:000294244900005</t>
  </si>
  <si>
    <t>Hamilton, K; Goulet, CT; Johnstone, CP; Chapple, DG</t>
  </si>
  <si>
    <t>Hamilton, Katelyn; Goulet, Celine T.; Johnstone, Christopher P.; Chapple, David G.</t>
  </si>
  <si>
    <t>Does geographical isolation influence group recognition and social preference in an invasive lizard?</t>
  </si>
  <si>
    <t>The formation of aggregations is fundamental to animal organization and has been shown to confer an evolutionary advantage. Conspecific attraction often prompts the formation of social groups yet not all individuals are equally attracted to others of their own species. The decision to aggregate with or avoid a particular individual is based upon class-specific signals that serve to differentiate among members and non-members. Given that signal divergence may be driven by local adaptation, disjunct populations could potentially have evolved distinct recognition systems adapted to their own ecological conditions. Several studies have shown that individuals of a species are capable of discriminating between such classes as sex, mate, kin, and familiar. Yet research exploring conspecific attraction between populations is lacking. Invasive species offer a unique opportunity to determine the consequences of geographic isolation on recognition systems and social preferences, as these genetically distinct native-range source populations have the potential to undergo secondary contact within the invaded region. To this end, we used an invasive lizard species, the delicate skink (Lampropholis delicata), to investigate conspecific recognition and attraction among individuals from two identified source populations that vary both genetically and morphologically. Our results of the dichotomous choice tests indicate that L. delicata did not differ in the level of social attraction expressed towards individuals from either population. It is unclear whether these findings are due to an inability to discriminate between local and foreign lizards using visual cues or instead that attraction is not based upon an individual's population origin but rather some other factor such as thermoregulatory requirements. Understanding the role that conspecific attraction plays in the invasion process will enable us to better predict the impacts of biological invasions. Future studies should consider using other sensory modalities and investigate the physiological benefit of grouping.</t>
  </si>
  <si>
    <t>Chapple, David/B-9073-2008</t>
  </si>
  <si>
    <t>Chapple, David/0000-0002-7720-6280</t>
  </si>
  <si>
    <t>10.1111/jzo.12738</t>
  </si>
  <si>
    <t>WOS:000517127100008</t>
  </si>
  <si>
    <t>Horppila, J; Estlander, S; Olin, M; Pihlajamäki, J; Vinni, M; Nurminen, L</t>
  </si>
  <si>
    <t>Horppila, Jukka; Estlander, Satu; Olin, Mikko; Pihlajamaki, Jenna; Vinni, Mika; Nurminen, Leena</t>
  </si>
  <si>
    <t>Gender-dependent effects of water quality and conspecific density on the feeding rate of fish - factors behind sexual growth dimorphism</t>
  </si>
  <si>
    <t>Sexual growth dimorphism is common among animals, growth rate differing between the genders. Growth dimorphism is common also in fish, but the regulatory mechanisms remain unclear. Variations in feeding rate may lead to sexual growth dimorphism in fish, the growth rate of females decreasing steeper than the growth rate of males when feeding rate decreases. Because water quality strongly affects the prey detection by fish, variations in water quality could affect sexual growth dimorphism. Additionally, variations in fish density could affect dimorphism through food competition. We studied experimentally with perch Perca fluvialitis, whether the effects of decreasing water transparency and increasing fish density on the feeding rate of planktivorous fish are gender-dependent. We expected that the feeding efficiency of females decrease steeper with increasing water colour and increasing fish density than the feeding rate of males. Additionally, we collected field data and studied the effects of water colour on the growth rate of male and female perch. The results showed that the effect of water colour on the feeding rate of perch was gender-dependent, while perch density had no effect on the feeding rate difference between males and females. In highly humic water, the feeding rate of male and female perch did not differ, but in clear water females showed a significantly higher feeding rate than males. The results suggested that due to their high energy demand, female perch were feeding at high rate in both water colours, while the feeding rate of males in the clear water experiments was much lower than their possible maximum rate. This was probably due to the decreased feeding activity of males to reduce predation risk. The results were supported by field data, which revealed a significant effect of water colour on the gender growth difference in planktivorous 3-year-old perch. The results suggested that variations in water quality may be a factor behind the population-dependency of dimorphism in fish.</t>
  </si>
  <si>
    <t>Olin, Mikko/I-9258-2012; Estlander, Satu/JUU-6679-2023</t>
  </si>
  <si>
    <t>Estlander, Satu/0000-0002-7197-3251</t>
  </si>
  <si>
    <t>10.1111/j.1600-0706.2010.19056.x</t>
  </si>
  <si>
    <t>WOS:000290871400007</t>
  </si>
  <si>
    <t>Silveira, MM; Oliveira, JJ; Luchiari, AC</t>
  </si>
  <si>
    <t>Silveira, M. M.; Oliveira, J. J.; Luchiari, A. C.</t>
  </si>
  <si>
    <t>Dusky damselfish Stegastes fuscus relational learning: evidences from associative and spatial tasks</t>
  </si>
  <si>
    <t>This study investigated the ability of the dusky damselfish Stegastes fuscus to associate conditioned and unconditioned stimuli (single CS-US) and to find a specific place in a clueless ambiece (spatial learning). After tested for colour preference and showing no specific colour attractively, the fish were trained to associate a colour cue with a stimulus fish (conspecific). Fish were then challenged to locate the exact place where the stimulus fish was presented. Stegastes fuscus spent most time close to the zone where stimulus was presented, even without obvious marks for orientation. The results confirm that S. fuscus show single CS-US learning and suggest the fish ability for spatial orientation. Stegastes fuscus appears to use multiple senses (sight and lateral line) for cues association and recall, and appear to perform relational learning similar to mammals. These data suggest the importance of cognitive skill for reef fishes that may have contributed to their establishment and evolutionary success in such complex environment. (C) 2015 The Fisheries Society of the British Isles</t>
  </si>
  <si>
    <t>Luchiari, Ana C/O-3206-2013</t>
  </si>
  <si>
    <t>Silveira, Mayara/0000-0001-7608-3074; Oliveira, Jessica/0000-0003-1294-3893; Luchiari, Ana/0000-0003-3294-7859</t>
  </si>
  <si>
    <t>10.1111/jfb.12618</t>
  </si>
  <si>
    <t>WOS:000351356700014</t>
  </si>
  <si>
    <t>Wang, L; Sun, F; Wan, ZY; Ye, BQ; Wen, YF; Liu, HM; Yang, ZT; Pang, HY; Meng, ZN; Fan, B; Alfiko, Y; Shen, YB; Bai, B; Lee, MSQ; Piferrer, F; Schartl, M; Meyer, A; Yue, GH</t>
  </si>
  <si>
    <t>Wang, Le; Sun, Fei; Wan, Zi Yi; Ye, Baoqing; Wen, Yanfei; Liu, Huiming; Yang, Zituo; Pang, Hongyan; Meng, Zining; Fan, Bin; Alfiko, Yuzer; Shen, Yubang; Bai, Bin; Lee, May Shu Qing; Piferrer, Francesc; Schartl, Manfred; Meyer, Axel; Yue, Gen Hua</t>
  </si>
  <si>
    <t>Genomic Basis of Striking Fin Shapes and Colors in the Fighting Fish</t>
  </si>
  <si>
    <t>MOLECULAR BIOLOGY AND EVOLUTION</t>
  </si>
  <si>
    <t>Resolving the genomic basis underlying phenotypic variations is a question of great importance in evolutionary biology. However, understanding how genotypes determine the phenotypes is still challenging. Centuries of artificial selective breeding for beauty and aggression resulted in a plethora of colors, long-fin varieties, and hyper-aggressive behavior in the air-breathing Siamese fighting fish (Betta splendens), supplying an excellent system for studying the genomic basis of phenotypic variations. Combining whole-genome sequencing, quantitative trait loci mapping, genome-wide association studies, and genome editing, we investigated the genomic basis of huge morphological variation in fins and striking differences in coloration in the fighting fish. Results revealed that the double tail, elephant ear, albino, and fin spot mutants each were determined by single major-effect loci. The elephant ear phenotype was likely related to differential expression of a potassium ion channel gene, kcnh8. The albinotic phenotype was likely linked to a cis-regulatory element acting on the mitfa gene and the double-tail mutant was suggested to be caused by a deletion in a zic1/zic4 coenhancer. Our data highlight that major loci and cis-regulatory elements play important roles in bringing about phenotypic innovations and establish Bettas as new powerful model to study the genomic basis of evolved changes.</t>
  </si>
  <si>
    <t>Yang, Zituo/KRQ-2645-2024; Bai, Bin/JFK-6375-2023; YUE, Gen Hua/F-4801-2015; Piferrer, Francesc/A-5634-2012</t>
  </si>
  <si>
    <t>Yang, Zituo/0000-0003-2206-0445; YUE, Gen Hua/0000-0002-3537-2248; Piferrer, Francesc/0000-0003-0903-4736; Wang, Le/0000-0002-3363-5753; Bai, Bin/0000-0001-9904-9987; , Bin Fan/0000-0003-4258-035X</t>
  </si>
  <si>
    <t>0737-4038</t>
  </si>
  <si>
    <t>1537-1719</t>
  </si>
  <si>
    <t>10.1093/molbev/msab110</t>
  </si>
  <si>
    <t>WOS:000693740300024</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</si>
  <si>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</si>
  <si>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</si>
  <si>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</si>
  <si>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</si>
  <si>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</si>
  <si>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Lifetime fitness components in female colour morphs of a damselfly: density- or frequency-dependent selection?</t>
  </si>
  <si>
    <t>In many damselfly species mature females exhibit colour polymorphism: one female morph resembles the conspecific male (androchrome) while the others do not (gynochromes). Hypotheses for the maintenance of such polymorphisms differ mainly as to whether they are based on density- and/or frequency-dependent selection and on the nature of the frequency dependence. We collected lifetime fitness data (individual lifespan, number of copulations and number of ovipositions) for female morphs of the damselfly Ischnura elegans from 15 insectaries differing in population parameters (density, sex ratio and ratio of andro- to gynochromes). Both density and frequency affected a specific set of the studied fitness components. While morph frequency influenced lifespan, sex ratio influenced the number of copulations, and density affected lifespan and the number of ovipositions. Clearly, discrepancies among studies may be generated if the studied fitness components differ. Our final fitness estimate, the number of ovipositions, was only influenced by density, thereby not supporting frequency-based hypotheses. Contrary to expectation under the current density-based hypothesis, androchromes compared to gynochromes had a lower number of ovipositions at high density. We discuss our findings in the light of mechanisms maintaining the female polymorphism. (c) 2005 The Linnean Society of London, Biological Journal of the Linnean Society, 2005, 86, 515-523.</t>
  </si>
  <si>
    <t>10.1111/j.1095-8312.2005.00551.x</t>
  </si>
  <si>
    <t>WOS:000233621200008</t>
  </si>
  <si>
    <t>Ingram, AL; Deparis, O; Boulenguez, J; Kennaway, G; Berthier, S; Parker, AR</t>
  </si>
  <si>
    <t>Ingram, A. L.; Deparis, O.; Boulenguez, J.; Kennaway, G.; Berthier, S.; Parker, A. R.</t>
  </si>
  <si>
    <t>Structural origin of the green iridescence on the chelicerae of the red-backed jumping spider, Phidippus johnsoni (Salticidae: Araneae)</t>
  </si>
  <si>
    <t>ARTHROPOD STRUCTURE &amp; DEVELOPMENT</t>
  </si>
  <si>
    <t>The structurally coloured chelicerae of jumping spiders (Salticidae) display some of the most striking of all colours in this family, in which they predominantly occur. Remarkably, however, the source of this iridescence has not been studied. For this reason, we chose to investigate the green iridescent chelicerae of the red-backed jumping spider, Phidippus johnsoni. The colour is restricted to the dorsal region of the basal chelicera segment - the paturon. This was confirmed by reflectance measurements taken at normal incidence and in backscatter, which gave a peak reflectance in the green (520 nm), arising from the first harmonic of a Bragg resonance in the near infrared. Transmission electron microscope analysis of the paturon cuticle revealed a stack of 86 layers of alternating low and high density materials, identified as air and chitin respectively. Simulations based on a periodic multilayer model of the ten outermost layers of this structure gave theoretical reflectance spectra, closely matching those observed, suggesting that the stack functions as a multilayer reflector for green. The colour is thought to function as a conspecific signal, since studies of vision in a closely related species, also displaying green chelicerae, have shown that the eyes have a peak spectral sensitivity, matching that of the chelicerae. (C) 2010 Elsevier Ltd. All rights reserved.</t>
  </si>
  <si>
    <t>Ingram, Abigail/AAT-8668-2020</t>
  </si>
  <si>
    <t>1467-8039</t>
  </si>
  <si>
    <t>1873-5495</t>
  </si>
  <si>
    <t>10.1016/j.asd.2010.07.006</t>
  </si>
  <si>
    <t>WOS:000286405700003</t>
  </si>
  <si>
    <t>Rutowski, RL; Kemp, DJ</t>
  </si>
  <si>
    <t>Rutowski, Ronald L.; Kemp, Darrell J.</t>
  </si>
  <si>
    <t>Female iridescent colour ornamentation in a butterfly that displays mutual ornamentation: is it a sexual signal?</t>
  </si>
  <si>
    <t>In species wherein males display elaborate sexually selected traits or ornaments, conspecific females may also express these traits in full or partial form. This is called mutual ornamentation, and the co-occurrence of such traits in males and females remains poorly understood. In many sulphur butterflies (subfamily Coliadinae), males have a brilliant ultraviolet (UV) iridescence on their dorsal wing surfaces that functions as a sexual signal in courtship. In some of these sulphurs, such as the large grass yellow, Eurema hecabe, females also display dorsal iridescent patches, albeit smaller, restricted to the forewings and less bright than the male's, but the reasons for its occurrence in females are unknown. Here we present a study testing two functional hypotheses for the female UV-reflecting patch: an antiharassment hypothesis and a male mate choice hypothesis. The daily activity pattern of this species suggests that males are most likely to harass or choose among females from midday on. Observations made at this time of day on the characteristics of females related to male courtship duration suggest that males may preferentially court females with a large UV patch. Experiments with colour-manipulated models also suggest that males court with equal intensity females with and without a basal UV patch. Taken altogether the results provide no support for the antiharassment hypothesis. Because support for the male mate choice hypothesis was relatively weak and because of the limited potential for selection on female coloration due to male choice in these butterflies, the nonfunctional sexual correlation hypothesis remains a viable explanation for the female ornament. (C) 2017 The Association for the Study of Animal Behaviour. Published by Elsevier Ltd. All rights reserved.</t>
  </si>
  <si>
    <t>10.1016/j.anbehav.2017.02.012</t>
  </si>
  <si>
    <t>WOS:000400402700031</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</si>
  <si>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</si>
  <si>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</si>
  <si>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</si>
  <si>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</si>
  <si>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</si>
  <si>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</si>
  <si>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</si>
  <si>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</si>
  <si>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</si>
  <si>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</si>
  <si>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</si>
  <si>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</si>
  <si>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10.1674/0003-0031-178.2.226</t>
  </si>
  <si>
    <t>WOS:000416392800005</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</si>
  <si>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</si>
  <si>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</si>
  <si>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</si>
  <si>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</si>
  <si>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t>
  </si>
  <si>
    <t>Korsten, Peter/0000-0003-0814-9099; Komdeur, Jan/0000-0002-9241-0124</t>
  </si>
  <si>
    <t>10.1163/156853907780756030</t>
  </si>
  <si>
    <t>WOS:000247125600005</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</si>
  <si>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</si>
  <si>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</si>
  <si>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</si>
  <si>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</si>
  <si>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</si>
  <si>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</si>
  <si>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</si>
  <si>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TAYLOR, HL; WALKER, JM</t>
  </si>
  <si>
    <t>MORPHOLOGICAL EVIDENCE FOR THE CONSPECIFIC RELATIONSHIP OF THE TEIID LIZARDS, CNEMIDOPHORUS-TIGRIS-AETHIOPS AND C-TIGRIS-GRACILIS</t>
  </si>
  <si>
    <t>Compared with reference populations of the teiid lizards, Cnemidophorus tigris aethiops and C. t. gracilis, in northwestern Sonora, Mexico, specimens from a geographically intermediate zone exhibited characteristics of both subspecies. Evidence from color patterns, univariate statistics, canonical variates analysis, inferred fertility, and ecological data indicated that free intergradation had occurred in an ecotone between Arizona Upland and Lower Colorado River subdivisions of the Sonoran Desertscrub Formation and substantiated the subspecific relationship of the two forms. Four contact zones involving differentiated populations of C. tigris were compared and provide examples of various outcomes predicted by the alloparapatric speciation model.</t>
  </si>
  <si>
    <t>WOS:A1991FZ81200023</t>
  </si>
  <si>
    <t>KRYSAN, JL; SMITH, RF; GUSS, PL</t>
  </si>
  <si>
    <t>DIABROTICA-BARBERI (COLEOPTERA, CHRYSOMELIDAE) ELEVATED TO SPECIES RANK BASED ON BEHAVIOR, HABITAT CHOICE, MORPHOMETRICS, AND GEOGRAPHICAL VARIATION OF COLOR</t>
  </si>
  <si>
    <t>ANNALS OF THE ENTOMOLOGICAL SOCIETY OF AMERICA</t>
  </si>
  <si>
    <t>Based upon laboratory and field studies, and examination of more than 3500 museum specimens, D. longicornis barberi Smith and Lawrence is elevated to species rank. D. barberi and D. longicornis (say) are distinct species with overlapping ranges in the central plains of the United States. Adults of D. longicornis are characterized by piceous antennae, tibiae, tarsi and clypeus and are collected from cucurbits. D. barberi is commonly collected in cornfields and, where it is sympatric with D. longicornis, has yellow to testaceous antennae, tibiae, tarsi and clypeus. The distinguishing colors prevailed in progeny of field-collected beetles fed from egg hatch to adulthood on a common diet. Sex pheromone extracts which attract D. barberi males did not attract D. longicornis males, and males of each species were attracted by conspecific virgin female beetles but not by females of the other species. In caged sexual compatibility experiments, mating success was asymmetrical. Discriminant analysis of 14 morphometric characters failed to discriminate completely between D. barberi and D. longicornis. Chromatic variation within D. barberi is geographically complex. The distribution of the 2 taxa is presented.</t>
  </si>
  <si>
    <t>0013-8746</t>
  </si>
  <si>
    <t>1938-2901</t>
  </si>
  <si>
    <t>10.1093/aesa/76.2.197</t>
  </si>
  <si>
    <t>WOS:A1983QE09100008</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</si>
  <si>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</si>
  <si>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</si>
  <si>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</si>
  <si>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</si>
  <si>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Ulrike/AAC-8286-2020</t>
  </si>
  <si>
    <t>Scherer, Ulrike/0000-0003-1086-8527; Schuett, Wiebke/0000-0002-4149-6095</t>
  </si>
  <si>
    <t>10.1111/eth.12630</t>
  </si>
  <si>
    <t>WOS:000404616400008</t>
  </si>
  <si>
    <t>Yamazaki, Y; Pagani-Núñez, E; Sota, T; Barnett, CRA</t>
  </si>
  <si>
    <t>Yamazaki, Yuki; Pagani-Nunez, Emilio; Sota, Teiji; Barnett, Craig R. A.</t>
  </si>
  <si>
    <t>The truth is in the detail: predators attack aposematic prey with less aggression than other prey types</t>
  </si>
  <si>
    <t>Aposematic organisms are often unprofitable to predators (e.g. because of defensive chemicals) which they advertise with a conspicuous signal (e.g. bright and conspicuous colour signals). Aposematism is thought to reduce predation of prey because the colour signal increases the ability of predators to learn, recognize and remember the prey's defensive properties. The efficacy of aposematism has been extensively documented in laboratory studies, although its benefits seem to be harder to demonstrate in the field. In this study, we compared the levels of partial and overall predation among four prey types (undefended and cryptic, undefended and warning coloured, defended and cryptic, and aposematic prey). Overall, predation of warning coloured and defended (aposematic) prey was lower than the predation for cryptic and undefended prey; however, it was the same as predation of cryptic and defended prey. Moreover, aposematic prey had higher levels of partial predation (where prey was not wholly consumed by the predator) and lower attack intensities. This suggests that prey were being taste sampled, but also might be better able to survive attacks. Therefore, the benefits of aposematism may lie not only in reducing outright predation, but also in altering a predator's post-attack behaviour, thus leading to greater escape opportunities and post-attack survival of prey. These results reinforce the importance of examining predation in more detail rather than simply examining attack rates.</t>
  </si>
  <si>
    <t>Nunez, Emilio Pagani/AAR-1744-2020</t>
  </si>
  <si>
    <t>Nunez, Emilio Pagani/0000-0001-8839-4005</t>
  </si>
  <si>
    <t>10.1093/biolinnean/blaa119</t>
  </si>
  <si>
    <t>WOS:000580984200006</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</si>
  <si>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</si>
  <si>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</si>
  <si>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</si>
  <si>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</si>
  <si>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Griffith, Simon/AAH-3706-2021; Brazill-Boast, James/R-6195-2019</t>
  </si>
  <si>
    <t>10.1007/s10682-013-9651-1</t>
  </si>
  <si>
    <t>WOS:000326897500010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</si>
  <si>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</si>
  <si>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</si>
  <si>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</si>
  <si>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</si>
  <si>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</si>
  <si>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</si>
  <si>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</si>
  <si>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</si>
  <si>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</si>
  <si>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</si>
  <si>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</si>
  <si>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</si>
  <si>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</si>
  <si>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</si>
  <si>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</si>
  <si>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</si>
  <si>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</si>
  <si>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</si>
  <si>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</si>
  <si>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</si>
  <si>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</si>
  <si>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</si>
  <si>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</si>
  <si>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</si>
  <si>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</si>
  <si>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</si>
  <si>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</si>
  <si>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</si>
  <si>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</si>
  <si>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10.1186/1742-9994-10-25</t>
  </si>
  <si>
    <t>WOS:000319151500001</t>
  </si>
  <si>
    <t>Hooper, RE; Plaistow, SJ; Tsubaki, Y</t>
  </si>
  <si>
    <t>Signal function of wing colour in a polymorphic damselfly, Mnais costalis Selys (Zygoptera: Calopterygidae)</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</si>
  <si>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</si>
  <si>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</si>
  <si>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MAR 1</t>
  </si>
  <si>
    <t>WOS:000235795700002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</si>
  <si>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</si>
  <si>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</si>
  <si>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</si>
  <si>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</si>
  <si>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</si>
  <si>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</si>
  <si>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</si>
  <si>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</si>
  <si>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</si>
  <si>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</si>
  <si>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</si>
  <si>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</si>
  <si>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</si>
  <si>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</si>
  <si>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</si>
  <si>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</si>
  <si>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10.1016/j.beproc.2008.08.001</t>
  </si>
  <si>
    <t>WOS:000262546900002</t>
  </si>
  <si>
    <t>Luchiari, AC</t>
  </si>
  <si>
    <t>Luchiari, Ana C.</t>
  </si>
  <si>
    <t>How Betta splendens finds its way</t>
  </si>
  <si>
    <t>This study investigated the Siamese fighting fish Betta splendens performance in associating a stimulus with a specific cue when distractors are present. After trained to associate a specific color cue to a stimulus (conspecific) in a tank containing three colored distractors, the fish was challenged to locate the exact place where the stimulus fish was presented. With only color cues as guides, the Siamese fighting fish spent most of its time close to the color where the stimulus fish was previously presented, regardless of the distractors. However, fish trained to associate an empty place (no cues) to a stimulus fish, and then tested to localize the specific zone where the stimulus was shown, succeeded to locate the place even without any obvious cues/distractors for orientation. This study confirms that Siamese fighting fish show good conditioned learning and cannot be distracted by other stimuli. In addition, an unexpected good performance in the absence of cues may suggest the Betta's ability to orientate by using another sensorial modalities, as magnetic orientation. Collectively, the results of this study confirm Betta as a valid and reliable model for learning and memory tests, and suggest more studies should be developed for the better understanding of the fish's spatial orientation mechanisms. (c) 2015 Elsevier B.V. All rights reserved.</t>
  </si>
  <si>
    <t>Luchiari, Ana/0000-0003-3294-7859</t>
  </si>
  <si>
    <t>10.1016/j.beproc.2015.11.021</t>
  </si>
  <si>
    <t>WOS:000371552600007</t>
  </si>
  <si>
    <t>Stokke, BG; Polaciková, L; Dyrcz, A; Hafstad, I; Moksnes, A; Roskaft, E</t>
  </si>
  <si>
    <t>Stokke, Bard G.; Polacikova, Lenka; Dyrcz, Andrzej; Hafstad, Inge; Moksnes, Arne; Roskaft, Eivin</t>
  </si>
  <si>
    <t>Responses of Reed Warblers Acrocephalus scirpaceus to non-mimetic eggs of different sizes in a nest parasitism experiment</t>
  </si>
  <si>
    <t>ACTA ORNITHOLOGICA</t>
  </si>
  <si>
    <t>Host rejection of parasitic eggs is the most important defence against avian brood parasitism Here, we examined the influence of egg size differences between host and parasite eggs on egg rejection behaviour in a population of Reed Warblers Acrocephalus scirpaceus parasitized by Common Cuckoos Cuculus canorus To this end, we experimentally parasitized host clutches using real Chinese Quail Column: chinensis and conspecific eggs Both egg types were painted immaculate blue The Chinese Quail eggs differed from host eggs in both size and colour, while the conspecific eggs differed only in colour There were no differences in the rate of rejection rate of the two types of experimental eggs However, Chinese Quail eggs were rejected primarily by nest desertion, whereas conspecific eggs were mostly ejected. Moreover, clutches with Chinese Quail eggs were deserted significantly sooner in comparison with the ejection of conspecific eggs Therefore, egg size differences apparently affect the mode and speed but not the rate of egg rejection in this host population.</t>
  </si>
  <si>
    <t>ASCR, IVB/A-9883-2011; Røskaft, Eivin/N-7476-2019; Polacikova, Lenka/G-1109-2014</t>
  </si>
  <si>
    <t>Røskaft, Eivin/0000-0003-0262-8443;</t>
  </si>
  <si>
    <t>0001-6454</t>
  </si>
  <si>
    <t>1734-8471</t>
  </si>
  <si>
    <t>SUM</t>
  </si>
  <si>
    <t>10.3161/000164510X516137</t>
  </si>
  <si>
    <t>WOS:000280387600011</t>
  </si>
  <si>
    <t>Takahashi, M; Takahashi, Y; Kawata, M</t>
  </si>
  <si>
    <t>Takahashi, Michihiko; Takahashi, Yuma; Kawata, Masakado</t>
  </si>
  <si>
    <t>Candidate genes associated with color morphs of female-limited polymorphisms of the damselfly Ischnura senegalensis</t>
  </si>
  <si>
    <t>Many Odonata species exhibit female-limited polymorphisms, where one morph is similar to the conspecific male in body color and other traits (andromorph), whereas one or more other morphs differ from the male (gynomorphs). Here we investigated the differentially expressed transcripts (DETs) among males and two female morph groups (gynomorphs and andromorphs) using RNA-seq to identify candidate transcripts encoding female-limited polymorphisms in the damselfly Ischnura senegalensis. Seven DETs that had significantly different expression levels between males and gynomorphs, but not between males and andromorphs, were identified. The expression levels of four of these candidate genes, doublesex (dsx), black, ebony, and chaoptin (chp), were selected for further analysis using qRT-PCR. Sequence analysis of the dsx amplicons revealed that this gene produced at least three transcripts. Two short transcripts were mainly expressed in males and andromorphs, whereas the long transcript was specifically expressed in both morph female groups; that is, the expression pattern of the dsx splice variants in andromorphs was an intermediate between that of males and gynomorphs. Because the dsx gene functions as a transcription factor that regulates the sex-specific expression of multiple genes, its splice variants in I. senegalensis may explain why the andromorph is female but exhibits some masculinized traits. Because we did not detect different coding sequences of the candidate genes among the different morphs, a diallelic genomic region controlling alternative splicing of dsx, thus determining female-limited polymorphism in I. senegalensis most likely lies in a non-coding region of the dsx gene or in a gene upstream of it.</t>
  </si>
  <si>
    <t>Kawata, Masakado/E-3962-2012; Takahashi, Yuma/AGE-7935-2022</t>
  </si>
  <si>
    <t>Takahashi, Yuma/0000-0003-1490-7837; Takahashi, Michihiko/0009-0000-9572-4463; Kawata, Masakado/0000-0001-8716-5438</t>
  </si>
  <si>
    <t>1365-2540</t>
  </si>
  <si>
    <t>10.1038/s41437-018-0076-z</t>
  </si>
  <si>
    <t>WOS:000452620900007</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</si>
  <si>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</si>
  <si>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</si>
  <si>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</si>
  <si>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</si>
  <si>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</si>
  <si>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Mats/AAK-5565-2021</t>
  </si>
  <si>
    <t>Olsson, Mats/0000-0002-4130-1323</t>
  </si>
  <si>
    <t>1442-9985</t>
  </si>
  <si>
    <t>1442-9993</t>
  </si>
  <si>
    <t>10.1111/j.1442-9993.2009.01968.x</t>
  </si>
  <si>
    <t>WOS:000269675600004</t>
  </si>
  <si>
    <t>MEBES, HD</t>
  </si>
  <si>
    <t>DO COLORS AFFECT NORMAL BEHAVIOR OF LABORATORY AND FARM-ANIMALS - INSTANTANEOUS CHANGE OF BEHAVIOR BY PRESENTATION OF RED IN THE PEACH-F</t>
  </si>
  <si>
    <t>JOURNAL OF THE SOUTH AFRICAN VETERINARY ASSOCIATION</t>
  </si>
  <si>
    <t>In spite of genetic and environmental standardization in farm and laboratory animal science, a considerable amount of variation in the results of comparable experiments remains. This presumably depends upon the individual variability within a species, and upon differences of various species in their specific demands to the environment in captivity. Due to a discovery in the Southwest-African lovebird species A. roseicollis, used as a conventional laboratory animal in bioacoustic research, the phenomenon of instantaneous fear expressed in a number of different displays in connection with the presence or presentation of red objects is described and compared to earlier observations of instantaneous phobias, aggressions and preferences towards colors, in other bird species. Investigation of the chromatophobe and chromatophile behavior of typical laboratory and farm animals should be undertaken to ensure the adequate design of lodging and experimental environments.</t>
  </si>
  <si>
    <t>1019-9128</t>
  </si>
  <si>
    <t>2224-9435</t>
  </si>
  <si>
    <t>WOS:A1979HS03900007</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</si>
  <si>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</si>
  <si>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</si>
  <si>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</si>
  <si>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</si>
  <si>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Rasmont, P; Terzo, M; Aytekin, AM; Hines, H; Urbanova, K; Cahlikova, L; Valterova, I</t>
  </si>
  <si>
    <t>Cephalic secretions of the bumblebee subgenus Sibiricobombus Vogt suggest Bombus niveatus Kriechbaumer and Bombus vorticosus Gerstaecker are conspecific (Hymenoptera, Apidae, Bombus)</t>
  </si>
  <si>
    <t>APIDOLOGIE</t>
  </si>
  <si>
    <t>Three taxa of the subgenus Sibiricobombus live in the Near-East mountain steppes: Bombus niveatus, B. sulfureus and B. vorticosus. The latter is also present in the Balkan. B. niveatus and B. vorticosus can only be distinguished based on color pattern. B. sulfureus differs in coat color and in genitalia. We identified 40 compounds in the secretions of the labial glands of these taxa, among which 7 were detected for the first time in labial cephalic gland secretions of bumblebee males. Whereas the secretions of the male cephalic labial glands of B. sulfureus are very different from those of B. niveatus and B. vorticosus, we found no significant difference between the latter. We conclude that B. sulfureus is a valid species, whereas B. vorticosus is a mere subspecies of B. niveatus: Bombus niveatus ssp. vorticosus Gerstaecker nov. status.</t>
  </si>
  <si>
    <t>Valterova, Irena/H-1823-2012; Urbanova, Klara/G-5604-2014; aytekin, ahmet murat/AAA-2523-2020; Aytekin, Ahmet Murat/G-9210-2013; Cahlikova, Lucie/T-5670-2017</t>
  </si>
  <si>
    <t>Urbanova, Klara/0000-0001-5976-8135; aytekin, ahmet murat/0000-0002-5204-8626; Aytekin, Ahmet Murat/0000-0002-5204-8626; Cahlikova, Lucie/0000-0002-1555-8870; Valterova, Irena/0000-0001-5723-6143</t>
  </si>
  <si>
    <t>0044-8435</t>
  </si>
  <si>
    <t>1297-9678</t>
  </si>
  <si>
    <t>OCT-DEC</t>
  </si>
  <si>
    <t>10.1051/apido:2005047</t>
  </si>
  <si>
    <t>WOS:000235837400004</t>
  </si>
  <si>
    <t>Gardner, KM; Mennill, DJ; Savi, LM; Shangi, NE; Doucet, SM</t>
  </si>
  <si>
    <t>Gardner, Katrina M.; Mennill, Daniel J.; Savi, Lincoln M.; Shangi, Nicole E.; Doucet, Stephanie M.</t>
  </si>
  <si>
    <t>Sexual selection in a tropical toad: Do female toads choose brighter males in a species with rapid colour change?</t>
  </si>
  <si>
    <t>Conspicuous visual signals play an important role in animal communication, both within and between species. Bright, colourful signals allow animals to discriminate between individuals and can inform behavioural decisions and social interactions. In many instances, conspicuous colouration appears to have evolved through sexual selection via female mate choice or male-male competition. Male Neotropical yellow toads, Incilius luetkenii, display bright-yellow colouration during their brief explosive mating events and then revert to a cryptic, female-like, brown colour following amplexus and fertilization. Recent research has revealed that the yellow colouration of males may serve as a sex identification signal and that males remain yellow in the presence of both males and females but darken without conspecific stimulus. However, there is considerable variation in the brightness of yellow colouration in courting males, ranging from dull olive-green to vibrant lemon-yellow. The function of this variation remains unknown. In this study, we conducted two-choice model presentation trials to test one mechanism of sexual selection that may drive this variation: intersexual selection. Specifically, we set out to determine whether females differentiate between males based on their colouration. We presented females with two hyper-realistic robotic model toads, with one model painted to match a bright-yellow male and the other a dull-yellow male. Using several metrics of choice, we found that females did not show a preference for bright or dull colouration. Our research suggests that variation in the intensity of male breeding colouration is not driven by female choice in this species. Our study is consistent with the idea that there may be limited opportunity for female choice to influence male-trait expression in explosive breeders. Future research will address whether intrasexual selection may influence colour variation in male yellow toads.</t>
  </si>
  <si>
    <t>Mennill, Daniel/0000-0001-9314-6700</t>
  </si>
  <si>
    <t>10.1111/eth.13156</t>
  </si>
  <si>
    <t>WOS:000640929900001</t>
  </si>
  <si>
    <t>Guillette, LM; Morgan, KV; Hall, ZJ; Bailey, IE; Healy, SD</t>
  </si>
  <si>
    <t>Guillette, Lauren M.; Morgan, Kate V.; Hall, Zachary J.; Bailey, Ida E.; Healy, Susan D.</t>
  </si>
  <si>
    <t>Food preference and copying behaviour in zebra finches, Taeniopygia guttata</t>
  </si>
  <si>
    <t>As a social species zebra finches might be expected to copy the food choices of more experienced conspecifics. This prediction has been tested previously by presenting observers with two demonstrator birds that differ in some way (e.g., sex, familiarity), each feeding on a different colour food source. However, if the observer subsequently exhibits a preference, it is unclear whether it has copied the choice of one demonstrator or avoided the choice of the other. Furthermore, this choice may actually be influenced by pre-existing preferences, a potential bias that is rarely tested. Here we examine whether apparent copying or avoidance can be explained by pre-existing preferences. In Experiment 1, observers had the opportunity to watch a conspecific forage from one of the two differently coloured food hoppers. In Experiment 2, the observers did not have this opportunity. In both experiments observers were subsequently tested for their food hopper preference and all but one preferred one colour over the other. In Experiment 1 some observers showed evidence for copying, while others seemed to avoid the colour preferred by the demonstrator. In Experiment 2 females generally preferred the white hopper. Pre-existing colour preferences could, therefore, explain the apparent copying/avoidance we observed. This article is part of a Special Issue entitled: Cognition in the wild. (C) 2014 Elsevier B.V. All rights reserved.</t>
  </si>
  <si>
    <t>Guillette, Lauren M/0000-0002-8777-6543; Healy, Susan/0000-0002-8059-4480; Morgan, Kate/0000-0002-7368-8454</t>
  </si>
  <si>
    <t>B</t>
  </si>
  <si>
    <t>10.1016/j.beproc.2014.04.013</t>
  </si>
  <si>
    <t>WOS:000347742900006</t>
  </si>
  <si>
    <t>Dijkstra, PD; Piefke, TJ; Bonnell, TR</t>
  </si>
  <si>
    <t>Dijkstra, Peter D.; Piefke, Taylor J.; Bonnell, Tyler R.</t>
  </si>
  <si>
    <t>Behavioral changes during social ascent and descent in replicate social networks of an African cichlid fish</t>
  </si>
  <si>
    <t>Within social dominance hierarchies, rank has a major impact on health and fitness. Dominance hierarchies are rarely stable as individuals may change rank due to changes in the social environment. Here we describe general group-level social network properties and changes in social ties and behavior during rank transitions in 16 communities of the cichlid Astatotilapia burtoni. Social networks based on chases were dense with dominant males frequently chasing subordinate males and females. This intense territoriality of dominant males was also reflected by a high degree of 'power' inequality. Compared to chase-based networks, display-based networks were characterized by a high degree of reciprocity due to display behaviors mostly occurring bidirectionally among a few highly ranked males. Territory ownership is tightly linked to social dominance and territory loss (i.e., social descent) was, as expected, associated with a sharp reduction in aggression level and an increase in chases received. However, although territory acquisition (i.e., social ascent) was an abrupt process, ascending males displayed elevated aggression prior to ascent, in sharp contrast to previous studies carried out in less complex settings. Together, our results provide novel insights into dynamic changes in behavior in cichlid dominance hierarchies.</t>
  </si>
  <si>
    <t>Bonnell, Tyler/HKW-7991-2023; Piefke, Taylor/ISV-2446-2023</t>
  </si>
  <si>
    <t>Bonnell, Tyler/0000-0001-6041-5177; Dijkstra, Peter/0000-0001-5382-225X</t>
  </si>
  <si>
    <t>10-11</t>
  </si>
  <si>
    <t>10.1007/s10750-022-04980-z</t>
  </si>
  <si>
    <t>SEP 2022</t>
  </si>
  <si>
    <t>WOS:000849168800001</t>
  </si>
  <si>
    <t>Eastwood, JR; Berg, ML; Ribot, RFH; Stokes, HS; Martens, JM; Buchanan, KL; Walder, K; Bennett, ATD</t>
  </si>
  <si>
    <t>Eastwood, Justin R.; Berg, Mathew L.; Ribot, Raoul F. H.; Stokes, Helena S.; Martens, Johanne M.; Buchanan, Katherine L.; Walder, Ken; Bennett, Andrew T. D.</t>
  </si>
  <si>
    <t>Pair fidelity in long-lived parrots: genetic and behavioural evidence from the Crimson Rosella (Platycercus elegans)</t>
  </si>
  <si>
    <t>EMU-AUSTRAL ORNITHOLOGY</t>
  </si>
  <si>
    <t>Genetic analyses have revolutionised our understanding of avian mating systems. However, the majority of such studies to date have focused on passerine species. Despite this taxonomic bias, extra-pair paternity (EPP) and conspecific brood parasitism (CBP) are usually concluded to be less common in taxa with pronounced longevity, socially monogamous mating systems, and bi-parental care. The order Psittaciformes, with around 350 species worldwide, has long-lived species that are relatively under-studied with respect to parentage and pair fidelity. Although studies have revealed a variety of mating systems in Psittaciformes, there is little work testing whether EPP or CBP occur in Psittaciformes. To test for genetic and social pair fidelity we studied an Australian parrot, the Crimson Rosella (Platycercus elegans), over 8 years at three sites in south-eastern Australia. Using nine microsatellite markers in 42 pairs and their offspring, we found no cases of EPP. However, we found one case of CBP, suggesting that P. elegans females do adopt alternative breeding strategies, albeit at low levels. We also show that over the 8 years of study 32% of recaptured individuals paired with more than one partner in different years. Our results are consistent with assumption of low EPP in parrots, but challenge the notion that this is associated with long-term pair bonds.</t>
  </si>
  <si>
    <t>Eastwood, Justin/AAD-5808-2020; Buchanan, Kate/A-8178-2012; Bennett, Andrew T.D./P-2670-2016</t>
  </si>
  <si>
    <t>Buchanan, Kate/0000-0002-6648-5819; Bennett, Andrew T.D./0000-0001-8512-2805; Walder, Ken/0000-0002-6758-4763; Martens, Johanne/0000-0003-1277-7602; Eastwood, Justin/0000-0002-5294-3321</t>
  </si>
  <si>
    <t>0158-4197</t>
  </si>
  <si>
    <t>1448-5540</t>
  </si>
  <si>
    <t>10.1080/01584197.2018.1453304</t>
  </si>
  <si>
    <t>WOS:000451715900007</t>
  </si>
  <si>
    <t>García,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</si>
  <si>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</si>
  <si>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</si>
  <si>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GARCIA, JESUS/M-1503-2014</t>
  </si>
  <si>
    <t>GARCIA, JESUS/0000-0003-4126-9658</t>
  </si>
  <si>
    <t>10.1111/j.0908-8857.2003.03064.x</t>
  </si>
  <si>
    <t>WOS:000187792000014</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</si>
  <si>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</si>
  <si>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</si>
  <si>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</si>
  <si>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</si>
  <si>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</si>
  <si>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García-Rosales, A; Stephenson, BP; Ramírez-Bautista, A; Manjarrez, J; Pavón, NP</t>
  </si>
  <si>
    <t>Garcia-Rosales, Aaron; Stephenson, Barry P.; Ramirez-Bautista, Aurelio; Manjarrez, Javier; Pavon, Numa P.</t>
  </si>
  <si>
    <t>Female choice and male aggression in the polymorphic lizard Sceloporus minor</t>
  </si>
  <si>
    <t>In comparison with some other vertebrate groups, female choice in lizards is relatively poorly understood. In contrast, aggressive behavior in lizards has been better studied; nevertheless, there are many genera and even whole families for which little or no information on aggressive behavior has been described. Therefore, the objective of this study was to experimentally evaluate the importance of morphometric traits, body coloration, and behavioral attributes of male Sceloporus minor from a population in central Mexico in order to (1) determine whether female choice exists in this species, and if so, identify which features of males females are using to do so, and (2) identify the phenotypic features of males that predict dominance status in contests between dominant and subordinate males. We found that females of S. minor indeed show a preference for males on the basis of ventral patch color; specifically, females chose males with ventral patches of Spectrum Blue or True Blue over males with ventral patches of other blue hues, but found no evidence of choice based on other morphological characters examined. Results also showed that winner (i.e., dominant) males exhibited more aggressive behaviors and were larger in body size than subordinate (i.e., loser) males. Notably, we found no support for a role of male polymorphic dorsal coloration on either female choice or male contest outcome. The results of this study showed evidence of female choice and male-male competition, suggesting that in this population, males exhibit intrasexual interactions to compete for resources such as territories and produce displays that serve in part to attract females.</t>
  </si>
  <si>
    <t>Manjarrez, Javier/S-3082-2019; Stephenson, Barry P./P-5076-2019</t>
  </si>
  <si>
    <t>Manjarrez, Javier/0000-0003-3053-3257; Stephenson, Barry P./0000-0001-5468-2439; Garcia Rosales, Aaron/0000-0001-5671-9186</t>
  </si>
  <si>
    <t>10.1111/eth.13228</t>
  </si>
  <si>
    <t>WOS:000692844500001</t>
  </si>
  <si>
    <t>Domingue, MJ; Lelito, JP; Myrick, AJ; Csóka, G; Szöcs, L; Imrei, Z; Baker, TC</t>
  </si>
  <si>
    <t>Domingue, Michael J.; Lelito, Jonathan P.; Myrick, Andrew J.; Csoka, Gyorgy; Szocs, Levente; Imrei, Zoltan; Baker, Thomas C.</t>
  </si>
  <si>
    <t>Differences in spectral selectivity between stages of visually guided mating approaches in a buprestid beetle</t>
  </si>
  <si>
    <t>Spectral mating preferences were examined in male Agrilus angustulus (Buprestidae: Coleoptera), a member of a taxon known for its high species diversity and striking metallic coloration. The spectral emission profile of a typical A. angustulus female displays low chroma, broadly overlapping that of the green oak leaves they feed and rest upon, while also including longer wavelengths. To pinpoint behaviorally significant spectral regions for A. angustulus males during mate selection, we observed their field approaches to females of five Agrilus planipennis color morphs that have greater chroma than the normal conspecific female targets. Agrilus angustulus males would initially fly equally frequently toward any of the three longest wavelength morphs (green, copper and red) whose spectral emission profiles all overlap that of typical A. angustulus females. However, they usually only completed approaches toward the two longest wavelength morphs, but not the green morphs. Thus, spectral preference influenced mate selection by A. angustulus males, and their discrimination of suitable targets became greater as these targets were approached. This increasing spectral discrimination when approaching targets may have evolved to allow female emissions to remain somewhat cryptic, while also being visible to conspecifics as distinct from the background vegetation and heterospecific competitors.</t>
  </si>
  <si>
    <t>Imrei, Zoltán/I-8327-2015</t>
  </si>
  <si>
    <t>Domingue, Michael/0000-0002-3055-3533</t>
  </si>
  <si>
    <t>SEP 15</t>
  </si>
  <si>
    <t>10.1242/jeb.137885</t>
  </si>
  <si>
    <t>WOS:000384250600015</t>
  </si>
  <si>
    <t>Magige, FJ; Stokke, BG; Roskaft, E</t>
  </si>
  <si>
    <t>Magige, Flora J.; Stokke, Bard G.; Roskaft, Eivin</t>
  </si>
  <si>
    <t>Do Ostriches Struthio camelus reject parasitic eggs by making use of colour as a cue?</t>
  </si>
  <si>
    <t>OSTRICH</t>
  </si>
  <si>
    <t>The Ostrich communal breeding system involves several females laying in a single nest. Only the 'major' female and the territorial male, however, provide parental care from incubation to fledging of chicks. Eggs are turned and displaced frequently upon the onset of incubation, and the major female evicts excess eggs out of the nest when the number of eggs is above a specific threshold level. A previous study indicated that the major female ostrich recognises her own eggs and selectively evicts eggs of minor females based on size, shape and shell texture. Our aim was to investigate if accepted and ejected eggs differ in colour characteristics. We quantified colour by measuring egg reflectance spectra, which were subsequently analysed using a visual model approach. Within clutches, there were no significant differences in colour between accepted and ejected eggs. These results suggest that female ostriches do not discriminate against foreign eggs based on deviations in colour.</t>
  </si>
  <si>
    <t>Magige, Flora/ABB-7595-2020; Røskaft, Eivin/N-7476-2019</t>
  </si>
  <si>
    <t>0030-6525</t>
  </si>
  <si>
    <t>PII 929645626</t>
  </si>
  <si>
    <t>10.2989/00306525.2010.519864</t>
  </si>
  <si>
    <t>WOS:000284229300012</t>
  </si>
  <si>
    <t>Vukusic, P; Sambles, JR; Lawrence, CR; Wootton, RJ</t>
  </si>
  <si>
    <t>Quantified interference and diffraction in single Morpho butterfly scales</t>
  </si>
  <si>
    <t>Brilliant iridescent colouring in male butterflies enables long-range conspecific communication and it has long been accepted that microstructures, rather than pigments, are responsible for this coloration. Few studies, however, explicitly relate the intra-scale microstructures to overall butterfly visibility both in terms of reflected and transmitted intensities and viewing angles. Using a focused-laser technique, we investigated the absolute reflectivity and transmissivity associated with the single-scale microstructures of two species of Morpho butterfly and the mechanisms behind their remarkable: wide-angle visibility Measurements indicate that certain Morpho microstructures reflect up to 75% of the incident blue light over an angle range of greater than 100 degrees in one plane and 15 degrees in the other. We show that incorporation of a second layer of more transparent scales, above a layer of highly iridescent scales, leads to very strong diffraction, and we suggest this effect acts to increase further the angle range over which incident light is reflected. Measurements using index-matching techniques yield the complex refractive index of the cuticle material comprising the single-scale microstructure to be n = (1.56 +/- 0.01) + (0.06 +/- 0.01)i. This figure is required for theoretical modelling of such microstructure systems.</t>
  </si>
  <si>
    <t>Sambles, John Roy/X-8675-2019</t>
  </si>
  <si>
    <t>SAMBLES, John/0000-0003-2721-0692</t>
  </si>
  <si>
    <t>1471-2945</t>
  </si>
  <si>
    <t>10.1098/rspb.1999.0794</t>
  </si>
  <si>
    <t>WOS:000081833200001</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</si>
  <si>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</si>
  <si>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</si>
  <si>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</si>
  <si>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</si>
  <si>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</si>
  <si>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Campbell, DR; Forster, M; Bischoff, M</t>
  </si>
  <si>
    <t>Campbell, D. R.; Forster, M.; Bischoff, M.</t>
  </si>
  <si>
    <t>Selection of trait combinations through bee and fly visitation to flowers of Polemonium follosissimum</t>
  </si>
  <si>
    <t>Pollinators are known to exert natural selection on floral traits, but the extent to which combinations of floral traits are subject to correlational selection (nonadditive effects of two traits on fitness) is not well understood. Over two years, we used phenotypic manipulations of plant traits to test for effects of flower colour, flower shape and their interaction on rates of pollinator visitation to Polemonium foliosissimum. We also tested for correlational selection based on weighting visitation by the amount of conspecific pollen delivered per visit by each category of insect visitor. Although bumblebees were the presumed pollinators, solitary bees and flies contributed substantially (42%) to pollination. In manipulations of one trait at a time, insects visited flowers presenting the natural colour and shape over flowers manipulated to present artificial mutants with either paler colour or a more open or more tubular flower. When both colour and shape were manipulated in combination, selection on both traits arose, with bumblebees responding mainly to colour and flies responding mainly to shape. Despite selection on both floral traits, in a year with many bumblebees, we saw no evidence for correlational selection of these traits. In a year when flies predominated, fly visitation showed a pattern of correlational selection, but not favouring the natural phenotype, and correlational selection was still not detected for expected pollen receipt. These results show that flower colour and shape are subject to pollinator-mediated selection and that correlational selection can be generated based on pollinator visitation alone, but provide no evidence for correlational selection specifically for the current phenotype.</t>
  </si>
  <si>
    <t>10.1111/jeb.12295</t>
  </si>
  <si>
    <t>WOS:000330016400008</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</si>
  <si>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</si>
  <si>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</si>
  <si>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</si>
  <si>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15-16</t>
  </si>
  <si>
    <t>10.1163/156853996X00396</t>
  </si>
  <si>
    <t>WOS:A1996WF81400008</t>
  </si>
  <si>
    <t>Mitchell, LJ; Cortesi, F; Marshall, NJ; Cheney, KL</t>
  </si>
  <si>
    <t>Mitchell, Laurie J.; Cortesi, Fabio; Marshall, N. Justin; Cheney, Karen L.</t>
  </si>
  <si>
    <t>Higher ultraviolet skin reflectance signals submissiveness in the anemonefish, Amphiprion akindynos</t>
  </si>
  <si>
    <t>When signaling submission, it is important to wave the white flag. In the Barrier Reef anemonefish, ultraviolet color patterns serve to signal submissiveness. In staged contests over dominance between size-matched anemonefish, low ultraviolet skin reflectance strongly predicted fish winning a contest, while high UV skin reflectance predicted losing. We demonstrate that juvenile subordinates benefit by signaling their submissiveness with a naturally higher ultraviolet skin reflectance which evokes less aggression from larger, more-dominant fish and likely aids with social group integration. Ultraviolet (UV) vision is widespread among teleost fishes, of which many exhibit UV skin colors for communication. However, aside from its role in mate selection, few studies have examined the information UV signaling conveys in other socio-behavioral contexts. Anemonefishes (subfamily, Amphiprioninae) live in a fascinating dominance hierarchy, in which a large female and male dominate over non-breeding subordinates, and body size is the primary cue for dominance. The iconic orange and white bars of anemonefishes are highly UV-reflective, and their color vision is well tuned to perceive the chromatic contrast of skin, which we show here decreases in the amount of UV reflectance with increasing social rank. To test the function of their UV-skin signals, we compared the outcomes of staged contests over dominance between size-matched Barrier Reef anemonefish (Amphiprion akindynos) in aquarium chambers viewed under different UV-absorbing filters. Fish under UV-blocking filters were more likely to win contests, where fish under no-filter or neutral-density filter were more likely to submit. For contests between fish in no-filter and neutral density filter treatments, light treatment had no effect on contest outcome (win/lose). We also show that sub-adults were more aggressive toward smaller juveniles placed under a UV filter than a neutral density filter. Taken together, our results show that UV reflectance or UV contrast in anemonefish can modulate aggression and encode dominant and submissive cues, when changes in overall intensity are controlled for.</t>
  </si>
  <si>
    <t>Cheney, Karen/L-3427-2018; Cortesi, Fabio/A-5688-2017</t>
  </si>
  <si>
    <t>Cheney, Karen/0000-0001-5622-9494; Cortesi, Fabio/0000-0002-7518-6159; Marshall, Justin/0000-0001-9006-6713; Mitchell, Laurie/0000-0003-4967-4113</t>
  </si>
  <si>
    <t>10.1093/beheco/arac089</t>
  </si>
  <si>
    <t>WOS:000876657000001</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</si>
  <si>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</si>
  <si>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</si>
  <si>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</si>
  <si>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</si>
  <si>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</si>
  <si>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Dhileepan, K</t>
  </si>
  <si>
    <t>Physical factors and chemical cues in the oviposition behavior of arboviral vectors Culex annulirostris and Culex molestus (Diptera: Culicidae)</t>
  </si>
  <si>
    <t>ENVIRONMENTAL ENTOMOLOGY</t>
  </si>
  <si>
    <t>The role of physical factors (water depth and container color) and chemical cues (substances of mosquito origin and microbial mediated products) in attracting ovipositing adults of Culex annulirostris Skuse and Culex molestus Forskal were evaluated under laboratory conditions. Oviposition preference of Cx. annulirostris increased with the increase in water depth. For Cx. molestus, there was no significant difference in ovipositional preference between different water depths. Black and red were the most preferred colors for oviposition of Cx. annulirostris and Cx. molestus, respectively, whereas yellow and green were the least preferred colors for both species. For both Cx. annulirostris and Cx. molestus, fresh conspecific egg rafts with apical droplets did not act as an oviposition attractant. Cx. annulirostris preferred water containing conspecific larvae 6 times more often for oviposition than the control water. However, larvae of other species of mosquitoes-Cx. molestus and Aedes camptorhynchus (Thomson)-did not act as oviposition attractants. The oviposition preference of Cx. annulirostris for water containing conspecific larvae increased with the increase in larval density. Failure of antennectomized Cx. annulirostris females to discriminate between water containing conspecific larvae and water alone suggest the possible involvement of volatile olfactory stimuli in oviposition site selection. Cx. molestus preferred conspecific rearing water (water in which the mosquitoes completed development) for oviposition 7.6 times more than the control water. Preference for rearing water by Cx. molestus was caused by both visual and microbial mediated attractants. The bacterium Pseudomonas vesicularis (Dole and Freytag) isolated from the rearing water as well as from fermented food attracted the ovipositing Cx. molestus, confirming the role of bacteria as an oviposition attractant.</t>
  </si>
  <si>
    <t>Dhileepan, kunjithapatham/0000-0001-7232-0861</t>
  </si>
  <si>
    <t>0046-225X</t>
  </si>
  <si>
    <t>1938-2936</t>
  </si>
  <si>
    <t>10.1093/ee/26.2.318</t>
  </si>
  <si>
    <t>WOS:A1997WZ11800024</t>
  </si>
  <si>
    <t>Williams, TH; Gumm, JM; Mendelson, TC</t>
  </si>
  <si>
    <t>Williams, Tory H.; Gumm, Jennifer M.; Mendelson, Tamra C.</t>
  </si>
  <si>
    <t>Sexual selection acting on a speciation trait in darters (Percidae: Etheostoma)</t>
  </si>
  <si>
    <t>Despite theoretical support linking sexual selection for elaborate coloration and behavioral isolation, few empirical examples clearly demonstrate that the sexually dichromatic signals responsible for behavioral isolation between species are, or have been, subject to sexual selection within species. The present study investigates sexual selection on male nuptial coloration in Etheostoma barrenense, a darter species for which male color has been shown in a previous study to contribute to behavioral isolation from a sympatric congener. Through the use of motorized model fish, we demonstrate that female E. barrenense discriminate between the orange and red body hues of conspecific males and exhibit an association preference for orange over red models. Combined with the results from a previous study, these data provide evidence for a link between sexual selection and behavioral isolation and by extension for a role of sexual selection in speciation. A post hoc analysis of the colors modeled in darter visual space suggests that quantifying signal values as they are perceived, rather than expressed, provide a promising way of linking sexual selection and behavioral isolation.</t>
  </si>
  <si>
    <t>10.1093/beheco/art080</t>
  </si>
  <si>
    <t>WOS:000325995900018</t>
  </si>
  <si>
    <t>Fuller, RC; Travis, J</t>
  </si>
  <si>
    <t>A test for male parental care in a fundulid, the bluefin killifish, Lucania goodei</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</si>
  <si>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</si>
  <si>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Fuller, Rebecca/0000-0002-5744-8012</t>
  </si>
  <si>
    <t>10.1023/A:1011658503017</t>
  </si>
  <si>
    <t>WOS:000170725900008</t>
  </si>
  <si>
    <t>Antonov, A; Avilés,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</si>
  <si>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</si>
  <si>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</si>
  <si>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</si>
  <si>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Røskaft, Eivin/N-7476-2019; Aviles, Jesus/K-3332-2014</t>
  </si>
  <si>
    <t>Røskaft, Eivin/0000-0003-0262-8443; Aviles, Jesus/0000-0002-1463-8393</t>
  </si>
  <si>
    <t>10.1111/j.1439-0310.2011.01969.x</t>
  </si>
  <si>
    <t>WOS:000297151600008</t>
  </si>
  <si>
    <t>Baird, TA; Baird, TD; Shine, R</t>
  </si>
  <si>
    <t>Baird, Troy A.; Baird, Teresa D.; Shine, Richard</t>
  </si>
  <si>
    <t>SHOWING RED: MALE COLORATION SIGNALS SAME-SEX RIVALS IN AN AUSTRALIAN WATER DRAGON</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</si>
  <si>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</si>
  <si>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WOS:000328539300005</t>
  </si>
  <si>
    <t>Colchen, T; Gisbert, E; Ledoré,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</si>
  <si>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</si>
  <si>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</si>
  <si>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</si>
  <si>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Gisbert, Enric/I-7224-2019</t>
  </si>
  <si>
    <t>Gisbert, Enric/0000-0002-7457-8468; Teletchea, Fabrice/0000-0003-0025-2120</t>
  </si>
  <si>
    <t>10.1016/j.applanim.2020.104947</t>
  </si>
  <si>
    <t>WOS:000524493000016</t>
  </si>
  <si>
    <t>Takahashi, T; Ngatunga, B; Snoeks, J</t>
  </si>
  <si>
    <t>Takahashi, Tetsumi; Ngatunga, Benjamin; Snoeks, Jos</t>
  </si>
  <si>
    <t>Taxonomic status of the six-band morph of Cyphotilapia frontosa (Perciformes: Cichlidae) from Lake Tanganyika, Africa</t>
  </si>
  <si>
    <t>Six- and seven-band morphs have been identified in a cichlid, Cyphotilapia frontosa, that is endemic to Lake Tanganyika. These color morphs have allopatric distributions; the six-band morph is widespread in the northern half of the lake while the seven-band morph is restricted to Kigoma on the east coast of the lake. Because no specimens of the seven-band morph have been available for taxonomic study except for the holotype of C. frontosa, the taxonomic status of these morphs has not been discussed. In a recent survey at the lake, 21 specimens of the seven-band morph were collected. A comparison of these with existing collection specimens of the six-band morph showed significant differences in morphometric and meristic characters; however, because all characters largely overlapped between these morphs, they are regarded as conspecific.</t>
  </si>
  <si>
    <t>10.1007/s10228-006-0374-y</t>
  </si>
  <si>
    <t>WOS:000244724300008</t>
  </si>
  <si>
    <t>Backström, T; Heynen, M; Brännäs, E; Nilsson, J; Winberg, S; Magnhagen, C</t>
  </si>
  <si>
    <t>Backstrom, Tobias; Heynen, Martina; Brannas, Eva; Nilsson, Jan; Winberg, Svante; Magnhagen, Carin</t>
  </si>
  <si>
    <t>Social stress effects on pigmentation and monoamines in Arctic charr</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</si>
  <si>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</si>
  <si>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Svante/ABB-6458-2021; Magnhagen, Carin/ABA-4968-2021</t>
  </si>
  <si>
    <t>Winberg, Svante/0000-0003-4252-3144; Backstrom, Tobias/0000-0003-1984-9533</t>
  </si>
  <si>
    <t>10.1016/j.bbr.2015.05.011</t>
  </si>
  <si>
    <t>WOS:000358454800012</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</si>
  <si>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</si>
  <si>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</si>
  <si>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</si>
  <si>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</si>
  <si>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</si>
  <si>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</si>
  <si>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</si>
  <si>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</si>
  <si>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</si>
  <si>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</si>
  <si>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Abreu, MS; Kulczykowska, E; Cardoso, SC; André,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</si>
  <si>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</si>
  <si>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</si>
  <si>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</si>
  <si>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Soares, Marta/GSM-7143-2022; Soares, Marta/HJH-3434-2023; Sander de Abreu, Murilo/J-9756-2015; Gozdowska, Magdalena/A-4169-2018; Kulczykowska, Ewa/X-2879-2019</t>
  </si>
  <si>
    <t>Soares, Marta/0000-0002-5213-2377; Sander de Abreu, Murilo/0000-0001-5562-0715; Gozdowska, Magdalena/0000-0002-7927-2230; Kulczykowska, Ewa/0000-0002-3979-9310; Andre, Goncalo/0000-0002-1513-4832; Cardoso, Sonia/0000-0002-5985-7792</t>
  </si>
  <si>
    <t>10.1007/s00265-018-2537-z</t>
  </si>
  <si>
    <t>WOS:000437169600001</t>
  </si>
  <si>
    <t>Beltrao, P; Marques, CI; Cardoso, GC; Gomes, ACR</t>
  </si>
  <si>
    <t>Beltrao, Patricia; Marques, Cristiana I.; Cardoso, Goncalo C.; Gomes, Ana Cristina R.</t>
  </si>
  <si>
    <t>Plumage colour saturation predicts long-term, cross-seasonal social dominance in a mutually ornamented bird</t>
  </si>
  <si>
    <t>Dominance hierarchies are known to reduce agonistic interactions between individuals and may be influenced by differences in phenotypes such as body size, personality or cognition. Colour ornamentation, especially with melanin-based colours, can also be a badge of status signalling social dominance, but status signalling with carotenoid-based colours is little understood. Here we studied whether different phenotypes, including individual differences in carotenoid-based colour ornamentation, body size, personality-, cognition- and stress-related traits, predict social dominance in the highly social and mutually ornamented common waxbill, Estrilda astrild. We monitored aggressive interactions of waxbills living in seminatural conditions, in a large mesocosm, using data from a radiofrequency identification system in the nonbreeding and breeding seasons over 2 consecutive years. We found the position of individual waxbills in the dominance hierarchy repeatable across seasons and years. Furthermore, the steepness of the dominance hierarchy was greater in the breeding seasons, perhaps because of increased competition over mates or breeding resources. Contrary to previous work with waxbills in birdcages, here body size did not predict social dominance, perhaps because in our more natural setting aggressive encounters were mostly airborne, where large body size may not confer a fighting advantage and may even reduce manoeuvrability. Sex, reactive-to-proactive personality differences and traits related to cognition or stress did not predict social dominance either. Finally, red colour saturation, but not the size of the red patch, strongly predicted social dominance and may thus act as a badge of status. This is one of the few studies testing whether size or saturation of carotenoid-based plumage coloration indicates social dominance and suggests that saturation may more often signal dominance. (c) 2021 The Association for the Study of Animal Behaviour. Published by Elsevier Ltd. All rights reserved.</t>
  </si>
  <si>
    <t>Gomes, Ana Cristina R./JCE-4464-2023; Beltrao, Patricia/KCJ-8126-2024; Cardoso, Goncalo/A-1290-2007</t>
  </si>
  <si>
    <t>Gomes, Ana Cristina R./0000-0003-2905-3248; Marques, Cristiana/0000-0002-3406-9597; Cardoso, Goncalo/0000-0001-6258-1881; Beltrao, Patricia/0000-0002-5987-4672</t>
  </si>
  <si>
    <t>10.1016/j.anbehav.2021.09.011</t>
  </si>
  <si>
    <t>WOS:000907004000003</t>
  </si>
  <si>
    <t>Nyalungu, NP; Couldridge, V</t>
  </si>
  <si>
    <t>Nyalungu, Nonhlanhla P.; Couldridge, Vanessa</t>
  </si>
  <si>
    <t>Female mate choice and species recognition between two closely related cichlid fish of Lake Malawi,Metriaclima estheraeandM. callainos</t>
  </si>
  <si>
    <t>Cichlids are one of the most diverse and colourful groups of freshwater fishes in the world. Despite much investigation, the factors that promote speciation in these fishes are still uncertain. However, previous studies suggest that sexual selection on male colour is one of the main drivers of speciation among these fishes.Metriaclima estheraeis a polymorphic cichlid species from Lake Malawi, and thus provides an ideal model for the investigation of the importance of colour as a species recognition cue.M. callainosis a closely related and morphologically similar species, with male colour pattern very similar to that ofM. estherae.We tested female choice by giving females of the two species a choice between conspecific and heterospecific males in the presence and absence of visual (colour) and chemical cues. The results show that females ofM. callainoswere able to reliably recognize conspecific males, even when colour was eliminated as a cue. However, females ofM. estheraedid not prefer conspecific males, although they were able to discriminate between red and blue conspecific colour morphs by using chemical cues. These results suggest that species recognition cues may differ even among closely related species of cichlid fish, and that female preferences for male coloration may be weak in certain species.</t>
  </si>
  <si>
    <t>Nyalungu, Nonhlanhla/0000-0003-3207-279X; Couldridge, Vanessa/0000-0003-1948-6584</t>
  </si>
  <si>
    <t>10.1111/jfb.14327</t>
  </si>
  <si>
    <t>APR 2020</t>
  </si>
  <si>
    <t>WOS:000550050100001</t>
  </si>
  <si>
    <t>Miller, JP</t>
  </si>
  <si>
    <t>Miller, Jonathan P.</t>
  </si>
  <si>
    <t>Integrative taxonomy reveals the conspecific status of Xerotricha madritensis (Rambur, 1868) and Helicella candoni Thach, 2018 (Gastropoda, Geomitridae)</t>
  </si>
  <si>
    <t>The Mediterranean region is a biodiversity hotspot. Mollusks represent the second most diverse phylum, with high species richness, endemism, and significant numbers of threatened species. The non-marine species are an especially vulnerable group. New taxa are frequently described although the descriptions often lack biological support. This is true for Helicella candoni Thach, 2018, originally described from Puerto de Santa Maria, C ' adiz, Spain. Thatch (2018) considered H. candoni to be similar to Xerotricha madritensis (Rambur, 1868) but the comparison was made on the basis of basic conchological characters. The present study analyzed topotypes of X. madritensis and H. candoni using integrative taxonomy to evaluate the relationship of the two taxa and their status within Helicella A. Fe ' russac, 1821 and Xerotricha Monterosato, 1892 respectively. A matrix of the mitochondrial cytochrome c oxidase subunit I (COI) yielded a total of 618 bp. Bayesian and Maximum Likelihood analyses showed that H. candoni and X. madritensis clustered closely together along with Helicella itala. Mean sequence divergence for COI between H. candoni and X. madritensis was 1.42 %. Both taxa are similar in shell shape and colour. Genitalia dimensions of H. condoni were very similar to those of X. madritensis. These data indicate that H. candoni is a junior synonym of X. madritensis. The phylogenetic analyses showed that, despite its morphological similarities, X. madritensis is a species of Helicella instead of Xerotricha.</t>
  </si>
  <si>
    <t>10.1016/j.zool.2023.126128</t>
  </si>
  <si>
    <t>WOS:001098666600001</t>
  </si>
  <si>
    <t>Barthold, J; Fichtel, C; Kappeler, P</t>
  </si>
  <si>
    <t>Barthold, Julia; Fichtel, Claudia; Kappeler, Peter</t>
  </si>
  <si>
    <t>What Is It Going to Be? Pattern and Potential Function of Natal Coat Change in Sexually Dichromatic Redfronted Lemurs (Eulemur fulvus rufus)</t>
  </si>
  <si>
    <t>AMERICAN JOURNAL OF PHYSICAL ANTHROPOLOGY</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</si>
  <si>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</si>
  <si>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 M/B-6825-2012</t>
  </si>
  <si>
    <t>Barthold Jones, Julia/0000-0001-9223-1778</t>
  </si>
  <si>
    <t>0002-9483</t>
  </si>
  <si>
    <t>1096-8644</t>
  </si>
  <si>
    <t>10.1002/ajpa.20868</t>
  </si>
  <si>
    <t>WOS:000261759100001</t>
  </si>
  <si>
    <t>BRACE, RC; REYNOLDS, HA</t>
  </si>
  <si>
    <t>RELATIVE INTRASPECIFIC AGGRESSIVENESS OF PEDAL DISK COLOR PHENOTYPES OF THE BEADLET ANEMONE, ACTINIA-EQUINA</t>
  </si>
  <si>
    <t>JOURNAL OF THE MARINE BIOLOGICAL ASSOCIATION OF THE UNITED KINGDOM</t>
  </si>
  <si>
    <t>Relative aggressiveness was determined for a number of pedal disc phenotypes of Actinia equina exhibiting red/red-brown column coloration, which are collectively representative of the three, ecologically distinct morphs present on the British coastline. Aggression was examined in both allo- and auto-phenotypic, laboratory-based experimental contests. In terms of attack frequencies scored in each type of contest, both those anemones having dark red and those with light red/pink pedal discs were found to be significantly more aggressive than the green/grey pedal phenotype; the former two phenotypes proved to be equally aggressive. It is argued that this behavioural dichotomy is explicable in terms of differing ecological preferences: the red/pink pedal phenotypes, which characterize collectively the two mid-shore morphs, predominate on vertical rock faces where densely packed aggregations are often found. In such situations, competition for space is likely to be particularly intense and thus intraspecific aggression of paramount importance. To the contrary, the green/grey pedal phenotype (low-shore morph) favours horizontal surfaces, where prevailing densities are usually relatively low and where, therefore, selection for aggressiveness should be less acute.</t>
  </si>
  <si>
    <t>0025-3154</t>
  </si>
  <si>
    <t>1469-7769</t>
  </si>
  <si>
    <t>10.1017/S0025315400029398</t>
  </si>
  <si>
    <t>WOS:A1989AD16200003</t>
  </si>
  <si>
    <t>Contreras-Garduño, J; Buzatto, BA; Abundis, L; Nájera-Cordero, K; Córdoba-Aguilar,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</si>
  <si>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</si>
  <si>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</si>
  <si>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</si>
  <si>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 Contreras Garduño, Jorge/AFM-4603-2022</t>
  </si>
  <si>
    <t>Buzatto, Bruno Alves/0000-0002-2711-0336; Contreras Garduño, Jorge/0000-0002-9231-0641</t>
  </si>
  <si>
    <t>10.1111/j.1439-0310.2007.01402.x</t>
  </si>
  <si>
    <t>WOS:000249661000004</t>
  </si>
  <si>
    <t>Caputi, AA; Aguilera, PA</t>
  </si>
  <si>
    <t>Ariel Caputi, Angel; Anibal Aguilera, Pedro</t>
  </si>
  <si>
    <t>Encoding phase spectrum for evaluating 'electric qualia'</t>
  </si>
  <si>
    <t>The most broadly expressed and studied aspect of sensory transduction is receptor tuning to the power spectral density of the incoming signals. Temporal cues expressed in the phase spectrum are relevant in African and American pulse-emitting electric fish showing electroreceptors sensing the signals carried by the self- and conspecific-generated electric organ discharges. This article concerns the role of electroreceptor phase sensitivity in American pulse Gymnotiformes. These fish show electroreceptors sharply tuned to narrow frequency bands. This led to the common thought that most electrosensory information is contained in the amplitude spectra of the signals. However, behavioral and modeling studies suggest that in their pulses, Gymnotiformes electroreceptors also encode cues embodied in the phase spectrum of natural stimuli. Here, we show that the two main types of tuberous primary afferents of Gymnotus omarorum differentially respond to cues embodied in the amplitude and phase spectra of self-generated electrosensory signals. One afferent type, pulse markers, is mainly driven by the amplitude spectrum, while the other, burst coders, is predominantly sensitive to the phase spectrum. This dual encoding strategy allows the fish to create a sensory manifold where patterns of 'electric color' generated by object impedance and other potential sources of 'colored' images (such as large nearby objects and other electric fish) can be represented.</t>
  </si>
  <si>
    <t>CAPUTI, ANGEL/0000-0002-7238-0538; Aguilera, Pedro/0000-0002-6610-4895</t>
  </si>
  <si>
    <t>jeb191544</t>
  </si>
  <si>
    <t>10.1242/jeb.191544</t>
  </si>
  <si>
    <t>WOS:000461414600010</t>
  </si>
  <si>
    <t>Hanna, CJ; Eason, PK</t>
  </si>
  <si>
    <t>Hanna, C. J.; Eason, P. K.</t>
  </si>
  <si>
    <t>Juvenile crab spiders (Mecaphesa asperata) use indirect cues to choose foraging sites</t>
  </si>
  <si>
    <t>Direct assessment of food resources may be unreliable if those resources fluctuate or are not easily detected. Foragers under such conditions may instead use indirect cues to assess the quality of potential foraging sites. Young individuals may be particularly likely to use indirect cues to compensate for their inexperience and to reduce assessment costs. We investigated the cues juvenile crab spiders (Mecaphesa asperata) use when selecting foraging sites. First, we examined whether spiderlings' site preference was influenced by prey abundance, a direct cue of site quality. We next investigated whether juvenile crab spiders assessed potential sites using indirect cues, including flower quality, cues left by conspecifics, or conspecifics themselves. We found spiderlings did not use prey abundance to assess foraging sites, but instead used indirect cues when choosing where to forage. Spiderlings preferred sites that would attract larger numbers of their arthropod prey, choosing blooming inflorescences over both senescing inflorescences and inflorescences with buds. Hungry spiderlings, unlike individuals that had recently fed, also used cues left by conspecifics, preferring sites on which a conspecific had previously foraged. Finally, spiderlings avoided sites with larger numbers of conspecifics, but were attracted to sites with relatively low abundances of conspecifics, indicating that spiderlings are able to weigh the possibility of improving their foraging success by joining conspecifics against the potential costs of being in larger groups. We show here that young, relatively inexperienced animals do not always directly assess prey abundance when choosing foraging sites, but that these individuals are capable of detecting and using a variety of indirect cues to evaluate foraging site quality.</t>
  </si>
  <si>
    <t>APR 1</t>
  </si>
  <si>
    <t>10.1080/03949370.2012.742464</t>
  </si>
  <si>
    <t>WOS:000317742200005</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</si>
  <si>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</si>
  <si>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</si>
  <si>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</si>
  <si>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</si>
  <si>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</si>
  <si>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</si>
  <si>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</si>
  <si>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</si>
  <si>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Vera Cruz, Emmanuel/0000-0001-9142-8982</t>
  </si>
  <si>
    <t>10.1016/j.yhbeh.2007.02.010</t>
  </si>
  <si>
    <t>WOS:000247275800006</t>
  </si>
  <si>
    <t>Albers, J; Reichert, MS</t>
  </si>
  <si>
    <t>Albers, Jonathan; Reichert, Michael S.</t>
  </si>
  <si>
    <t>Personality affects individual variation in olfactory learning and reversal learning in the house cricket, Acheta domesticus</t>
  </si>
  <si>
    <t>Growing evidence suggests that individual variation in learning is ubiquitous, but why this is the case and what the consequences are is still a subject of much debate and research. One key set of explanations for variation in learning behaviour is that it relates to variation in animal personality traits. If personality traits affect how an individual interacts with its environment or processes information, this could directly affect performance in learning tasks. While this idea is generally well supported, there are inconsistent results on the relationships between specific personality traits and performance on different learning tasks, highlighting the need to measure multiple personality traits and to quantify different aspects of learning in the same individuals. We examined the relationship between three putative personality traits -aggression, latency to emerge from a shelter and time to contact a novel object -and learning speed in both initial and reversal olfactory learning in the house cricket, Acheta domesticus. Crickets were assayed for each personality trait, then tested for their speed to associate an odour with a water reward. Both aggression and latency to emerge were significantly repeatable, but only latency to emerge was related to learning speed, with individuals that took longer to emerge from the shelter requiring fewer trials to reach the learning criterion for both the initial and reversal learning experi-ments. We also identified sex differences in learning speed in the different experiments. Thus, our results provide some support for a relationship between personality and learning in an invertebrate.(c) 2022 The Association for the Study of Animal Behaviour. Published by Elsevier Ltd. All rights reserved.</t>
  </si>
  <si>
    <t>Reichert, Michael/0000-0002-0159-4387</t>
  </si>
  <si>
    <t>10.1016/j.anbehav.2022.06.013</t>
  </si>
  <si>
    <t>WOS:000860712600001</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</si>
  <si>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</si>
  <si>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</si>
  <si>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</si>
  <si>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</si>
  <si>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Bluemke, Matthias/IVU-9937-2023; Zumbach, Joerg/AAF-6550-2020; Bluemke, Matthias/V-2057-2019</t>
  </si>
  <si>
    <t>Bluemke, Matthias/0000-0003-1493-7462; Bluemke, Matthias/0000-0003-1493-7462</t>
  </si>
  <si>
    <t>10.1002/ab.20329</t>
  </si>
  <si>
    <t>WOS:000272728400001</t>
  </si>
  <si>
    <t>GREENBERG, N; CREWS, D</t>
  </si>
  <si>
    <t>ENDOCRINE AND BEHAVIORAL-RESPONSES TO AGGRESSION AND SOCIAL-DOMINANCE IN THE GREEN ANOLE LIZARD, ANOLIS-CAROLINENSIS</t>
  </si>
  <si>
    <t>Adult males of the small arboreal iguanid lizard, A. carolinensis, wil fight and form social dominance hierarchies when placed in habitats with limited resources. The relationships between time since initial aggressive interaction, relative social dominance, reproductive activity, and corticosterone and androgen levels were determined for 34 pairs of lizards. A discriminant analysis established a dominance index which indicated that over 90% of the difference between individuals who had won or lost aggressive interactions (putative social dominants and subordinates) was attributable to a single discriminant function reflecting altered body color, perch site selection, and circulating androgen. Animals that had darker body color also selected lower perch sites and had depressed rates of courtship relative to winners of fights and were thus designated as social subordinates. These animals also had levels of circulating androgen significantly lower than that of dominants, but circulating corticosterone was not significantly affected. Winners of fights showed a dramatic surge in circulating androgen at 1 hr but returned to near control values by 1 week; losers, however, showed depressed circulating androgen levels at 1 week.</t>
  </si>
  <si>
    <t>10.1016/0016-6480(90)90309-A</t>
  </si>
  <si>
    <t>WOS:A1990CN99400009</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</si>
  <si>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</si>
  <si>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</si>
  <si>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</si>
  <si>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</si>
  <si>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</si>
  <si>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 Sokolowska, Ewa/0000-0001-6576-8238</t>
  </si>
  <si>
    <t>JAN 15</t>
  </si>
  <si>
    <t>10.1016/j.ygcen.2011.11.022</t>
  </si>
  <si>
    <t>WOS:000299137900009</t>
  </si>
  <si>
    <t>Langkilde, T; Boronow, KE</t>
  </si>
  <si>
    <t>Langkilde, T.; Boronow, K. E.</t>
  </si>
  <si>
    <t>Color as a Signal: The Relationship between Coloration and Morphology in Male Eastern Fence Lizards, Sceloporus undulatus</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</si>
  <si>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</si>
  <si>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</si>
  <si>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</si>
  <si>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10.1670/08-275.1</t>
  </si>
  <si>
    <t>WOS:000278297700010</t>
  </si>
  <si>
    <t>Lester, RL; Grach, C; Pener, MP; Simpson, SJ</t>
  </si>
  <si>
    <t>Stimuli inducing gregarious colouration and behaviour in nymphs of Schistocerea gregaria</t>
  </si>
  <si>
    <t>Solitarious nymphs of Schistocerca gregaria were reared under various conditions in both Jerusalem and Oxford to tease apart cues involved in behavioural and colour phase change. Treatments included rearing nymphs from the IInd or IIIrd until the final nymphal stadium in physical contact with similarly aged conspecific groups or with another locust species, Locusta migratoria migratorioides, as well as confining single nymphs in mesh cages, which were kept within crowds of S. gregaria or L. migratoria migratorioides, providing visual and olfactory but no physical contact with other locusts. In the Oxford experiments, an extra treatment was included which provided olfactory cues without visual or contact stimulation. Our results confirm that transformation from the solitarious to the gregarious phase of locusts is complex, and that different phase characteristics not only follow different time courses, but are also controlled by different suites of cues. As predicted from earlier studies, behavioural phase change was evoked by non-species-specific cues. Rearing in contact with either species was fully effective in inducing gregarious behaviour, as was the combination of the sight and smell of other locusts, but odour alone was ineffective. Colour phase change was shown to comprise two distinct elements that could be dissociated: black patterning and yellow background. The former of these could be induced as effectively by rearing S. gregaria nymphs in a crowd of L. migratoria migratorioides as by rearing with conspecifics. Sight and smell of other locusts also triggered black patterning and, unlike behavioural change, some black patterning was induced by odour cues alone. Hence, physical contact was not needed to induce gregarious black patterning. Yellow colouration, however, was only fully induced when locusts were reared in contact with conspecifics, implying the presence of a species-specific contact chemical cue. (c) 2005 Elsevier Ltd. All rights reserved.</t>
  </si>
  <si>
    <t>Simpson, Stephen J/C-8392-2009</t>
  </si>
  <si>
    <t>1879-1611</t>
  </si>
  <si>
    <t>10.1016/j.jinsphys.2005.03.015</t>
  </si>
  <si>
    <t>WOS:000231717400001</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</si>
  <si>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</si>
  <si>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</si>
  <si>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</si>
  <si>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</si>
  <si>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 L/G-3706-2011</t>
  </si>
  <si>
    <t>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</si>
  <si>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</si>
  <si>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</si>
  <si>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</si>
  <si>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</si>
  <si>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</si>
  <si>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</si>
  <si>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</si>
  <si>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</si>
  <si>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Höglund,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</si>
  <si>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</si>
  <si>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</si>
  <si>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Svante/ABB-6458-2021</t>
  </si>
  <si>
    <t>Winberg, Svante/0000-0003-4252-3144</t>
  </si>
  <si>
    <t>WOS:000177855700019</t>
  </si>
  <si>
    <t>Hofmann, S; Mebert, K; Schulz, KD; Helfenberger, N; Göçmen, B; Böhme, W</t>
  </si>
  <si>
    <t>Hofmann, Sylvia; Mebert, Konrad; Schulz, Klaus-Dieter; Helfenberger, Notker; Gocmen, Bayram; Boehme, Wolfgang</t>
  </si>
  <si>
    <t>A new subspecies of Zamenis hohenackeri (Strauch, 1873) (Serpentes: Colubridae) based on morphological and molecular data</t>
  </si>
  <si>
    <t>Based on morphological characteristics, two subspecies of the Transcaucasian rat snake (Zamenis hohenackeri) are currently recognized, namely Z. h. tauricus and Z. h. hohenackeri. Both subspecies are repeatedly considered to be conspecific colour morphs, or have even been confused with Z. situla. Although, few studies involved the Transcaucasian rat snake in a phylogenetic approach, none has so far led to any taxonomic changes. We assessed the intraspecific morphological variation and phylogeographic relationships among specimens from different locations across its updated distribution. Our molecular (1191 bp mtDNA, 565 bp nuDNA) and morphological data provide sufficient evidence to support three distinct lineages within the Z. hohenackeri complex with a different arrangement compared to a previous study. These represent the subspecies Z. h. hohenackeri, Z. h. tauricus, and a lineage from southwestern Turkey which is described as a new subspecies. Aspects of historical biogeography and conservation status are briefly discussed.</t>
  </si>
  <si>
    <t>Hofmann, Sylvia/AAO-4802-2021; Hofmann, Sylvia/JRR-9031-2023; GOCMEN, Bayram/A-4120-2008</t>
  </si>
  <si>
    <t>Hofmann, Sylvia/0000-0003-0621-9049;</t>
  </si>
  <si>
    <t>10.11646/zootaxa.4471.1.6</t>
  </si>
  <si>
    <t>WOS:000443458800006</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</si>
  <si>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</si>
  <si>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</si>
  <si>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</si>
  <si>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</si>
  <si>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Tella, José L/I-3707-2015; Andersson, Staffan/B-1534-2010; Edelaar, Pim/P-5650-2014; Ninnes, Calum/J-6448-2016</t>
  </si>
  <si>
    <t>Tella, José L/0000-0002-3038-7424; Andersson, Staffan/0000-0003-1474-3596; Edelaar, Pim/0000-0003-4649-6366; Ninnes, Calum/0000-0002-3733-9337</t>
  </si>
  <si>
    <t>10.1093/beheco/arv068</t>
  </si>
  <si>
    <t>WOS:000358171600034</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</si>
  <si>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</si>
  <si>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</si>
  <si>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</si>
  <si>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</si>
  <si>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</si>
  <si>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</si>
  <si>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</si>
  <si>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</si>
  <si>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Polaciková, L; Honza, M; Procházka, P; Topercer, J; Stokke, BG</t>
  </si>
  <si>
    <t>Polacikova, Lenka; Honza, Marcel; Prochazka, Petr; Topercer, Jan; Stokke, Bard G.</t>
  </si>
  <si>
    <t>Colour characteristics of the blunt egg pole:: cues for recognition of parasitic eggs as revealed by reflectance spectrophotometry</t>
  </si>
  <si>
    <t>Variation in appearance of parasitic and host eggs is an essential trait in the coevolutionary struggle between a brood parasite and its host. Here we examined the role of colour characteristics in the egg recognition in blackcaps, Sylvia atricapilla, assessed by ( 1) human vision and ( 2) spectrophotometry, including UV wavelengths. Since colour and spotting pattern within eggs are often highly variable, we also assessed three different parts of blackcap eggshell separately. We investigated the possibility that a lower intraclutch variation in the parasitized clutch would positively affect egg recognition. In addition, we predicted that egg rejection would depend on contrast between host and parasitic eggs. However, we found that neither intraclutch variation nor mimicry if assessed by humans had significant effect on host rejection. Multivariate analyses of spectrophotometric data revealed, however, that the likelihood of egg rejection significantly increased with decreasing intraclutch variation in blue chroma. Furthermore, probability of egg rejection significantly increased with decreasing contrast between parasitic and host eggs in UV wavelengths and with decreasing brightness of host eggs at the blunt egg pole. Accepted foreign eggs were significantly darker at the blunt pole than acceptors' own eggs. The paradox that rejected eggs had lower contrast could be explained by the fact that the contrast in UV spectra is associated with brightness of the blunt egg part. Our data suggest that colour characteristics of the blunt egg part may play a major role in the recognition of parasitic eggs in the blackcaps. (C) 2007 The Association for the Study of Animal Behaviour. Published by Elsevier Ltd. All rights reserved.</t>
  </si>
  <si>
    <t>Procházka, Petr/A-9727-2008; Polacikova, Lenka/G-1109-2014; Honza, Marcel/A-1123-2011</t>
  </si>
  <si>
    <t>10.1016/j.anbehav.2006.10.023</t>
  </si>
  <si>
    <t>WOS:000250180700008</t>
  </si>
  <si>
    <t>WICKLER, W; SONNENSCHEIN, E</t>
  </si>
  <si>
    <t>ONTOGENY OF SONG IN CAPTIVE DUET-SINGING SLATE-COLORED BOUBOUS (LANIARIUS-FUNEBRIS) - A STUDY IN BIRDSONG EPIGENESIS</t>
  </si>
  <si>
    <t>Ontogeny of song was studied in 11 L. funebris reared in captivity under different learning regimes. Song types usually were learned from conspecific tutors: Males learned from male, females from female tutors. In exceptional situations song types may be learnt from the other sex, proving an ability to produce song of both sexes. Birds reared without tutors nevertheless produced some species-typical song in generalized form, suggesting an innate predisposition for these vocalizations. Once established during the first 6-8 months of life, individual repertoires remained unchanged for years. Pair mates regularly dueted. Neither random pairings nor mate exchanges revealed repertoire alteration in mates. Neither misdeveloped nor reduced song repertoires hampered successful breeding in captivity.</t>
  </si>
  <si>
    <t>1-4</t>
  </si>
  <si>
    <t>10.1163/156853989X00673</t>
  </si>
  <si>
    <t>WOS:A1989CT62800014</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</si>
  <si>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</si>
  <si>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</si>
  <si>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</si>
  <si>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</si>
  <si>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Ueda, Keisuke/R-2649-2018</t>
  </si>
  <si>
    <t>10.1007/s10164-005-0187-x</t>
  </si>
  <si>
    <t>WOS:000239427700009</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</si>
  <si>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</si>
  <si>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</si>
  <si>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</si>
  <si>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</si>
  <si>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</si>
  <si>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Rey, olivier/R-5453-2016; Consuegra, Sofia/G-1788-2010</t>
  </si>
  <si>
    <t>Barreto, Deiene Rodriguez/0000-0003-2124-4488; Castaldo, Giovanni/0000-0002-4279-7316; Rey, olivier/0000-0003-3699-7204; Consuegra, Sofia/0000-0003-4403-2509; Uren Webster, Tamsyn/0000-0002-0072-9745; Garcia de Leaniz, Carlos/0000-0003-1650-2729</t>
  </si>
  <si>
    <t>1752-4571</t>
  </si>
  <si>
    <t>10.1111/eva.12830</t>
  </si>
  <si>
    <t>JUL 2019</t>
  </si>
  <si>
    <t>WOS:000476434800001</t>
  </si>
  <si>
    <t>Roulin, A; Müller, W; Sasvári, L; Dijkstra, C; Ducrest, AL; Riols, C; Wink, M; Lubjuhn, T</t>
  </si>
  <si>
    <t>Extra-pair paternity, testes size and testosterone level in relation to colour polymorphism in the barn owl Tyto alba</t>
  </si>
  <si>
    <t>In many bird populations, individuals display one of several genetically inherited colour morphs. Colour polymorphism can be maintained by several mechanisms one of which being frequency-dependent selection with colour morphs signalling alternative mating strategies. One morph may be dominant and territorial, and another one adopt a sneaky behaviour to gain access to fertile females. We tested this hypothesis in the barn owl Tyto alba in which coloration varies from reddish-brown to white. This trait is heritable and neither sensitive to the environment in which individuals live nor to body condition. In Switzerland, reddish-brown males were observed to feed their brood at a higher rate and to produce more offspring than white males. This observation lead us to hypothesize that white males may equalise fitness by investing more effort in extra-pair copulations. This hypothesis predicts that lighter Coloured males produce more extra-pair young, have larger testes and higher levels of circulating testosterone. However, our results are not consistent with these three predictions. First, paternity analyses of 54 broods with a total of 211 offspring revealed that only one young was not sired by the male that was feeding it. Second, testes size was not correlated with male plumage coloration suggesting that white males are not sexually more active. Finally, in nestlings at the time of feather growth testosterone level was not related to plumage coloration suggesting that this androgen is not required for the expression of this plumage trait. Our study therefore indicates that in the barn owl colour polymorphism plays no role in the probability of producing extra-pair young.</t>
  </si>
  <si>
    <t>Wink, Michael J./E-3803-2012; Dijkstra, Cor/D-5876-2011</t>
  </si>
  <si>
    <t>Wink, Michael J./0000-0002-7875-4510; Muller, Wendt/0000-0001-7273-4095; Dijkstra, Cor/0000-0002-7042-8083</t>
  </si>
  <si>
    <t>10.1111/j.0908-8857.2004.03294.x</t>
  </si>
  <si>
    <t>WOS:000225224600007</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</si>
  <si>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</si>
  <si>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</si>
  <si>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</si>
  <si>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</si>
  <si>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Backström, T; Heynen, M; Brännäs,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</si>
  <si>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</si>
  <si>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</si>
  <si>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</si>
  <si>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Magnhagen, Carin/ABA-4968-2021</t>
  </si>
  <si>
    <t>Backstrom, Tobias/0000-0003-1984-9533</t>
  </si>
  <si>
    <t>10.1016/j.physbeh.2014.10.003</t>
  </si>
  <si>
    <t>WOS:000348882900007</t>
  </si>
  <si>
    <t>Müller, JC; Schramm, S; Seitz, A</t>
  </si>
  <si>
    <t>Genetic and morphological differentiation of Dikerogammarus invaders and their invasion history in Central Europe</t>
  </si>
  <si>
    <t>FRESHWATER BIOLOGY</t>
  </si>
  <si>
    <t>1. Biological invasions often involve close taxonomic relatives either as native invader pairs or as invader invader pairs. Precise identification and differentiation of species is therefore of paramount importance to reconstruct the invasion history. Genetic studies are indispensable in the case of morphologically conservative taxonomic groups. 2. We analysed the Pontocaspian freshwater amphipods Dikerogammarus that have successfully invaded the benthos of large Central European rivers. Taxonomic uncertainties were clarified by phylogenetic analyses of mitochondrial 16S and COI genes. The three-way partitioning of allozyme genotypes in a syntopic population further corroborated the taxonomic status of the three species Dikerogammarus haemobaphes, D. villosus and D. bispinosus. Dikerogammarus bispinosus had been prior misidentified as a subspecies of D. villosus. The conspicuous colour types of D. villosus, however, appeared to be conspecific. 3. The genetic identification of the previously more abundant D. haemobaphes individuals in old samples supported the 'successive invasion wave' hypothesis with D. haemobaphes as the first invader displaced by the second invader D. villosus. Dikerogammarus bispinosus could be a potential future invader. 4. Haplotype differentiation was apparent between two invasion lines of D. haemobaphes, but the occurrence of a single widespread haplotype indicates genetic impoverishment during rapid colonisation.</t>
  </si>
  <si>
    <t>0046-5070</t>
  </si>
  <si>
    <t>1365-2427</t>
  </si>
  <si>
    <t>10.1046/j.1365-2427.2002.00944.x</t>
  </si>
  <si>
    <t>WOS:000178848300001</t>
  </si>
  <si>
    <t>Guillermo-Ferreira, R; Therézio, EM; Gehlen, MH; Bispo, PC; Marletta, A</t>
  </si>
  <si>
    <t>Guillermo-Ferreira, Rhainer; Therezio, Eralci M.; Gehlen, Marcelo H.; Bispo, Pitagoras C.; Marletta, Alexandre</t>
  </si>
  <si>
    <t>The Role of Wing Pigmentation, UV and Fluorescence as Signals in a Neotropical Damselfly</t>
  </si>
  <si>
    <t>Pigmentation patterns, ultraviolet reflection and fluorescent emission are often involved in mate recognition and mate quality functions in many animal taxa. We investigated the role of wing ultra-violet reflection, fluorescence emission, and pigmentation on age and sexual signals in the damselfly Mnesarete pudica. In this species, wings are sexually dimorphic in colour and exhibit age dependency: males and females show a smoky black colouration when young, turning red in mature males while it turns brown in females. First, we investigated wing UV patterns through reflectance and emission spectra. Second, behavioural experiments were undertaken to show male and female responses to manipulated wing pigmentation and experimentally reduced UV (UV-). Reflectance spectra of the wings of juvenile and mature males and females were used to show the differences between controls and individuals with manipulated colouration used in the behavioural experiment. UV-reduced, females with wings painted red, and control males and females were tethered and presented to conspecific males and females, and their behavioral responses were recorded. The male red wing pigmentation and females with red wings elicited an aggressive response in territorial males and a sexual response in females. Both males and females showed neutral responses towards individuals with reduced UV. Wing signals of juvenile individuals also provoked neutral responses. These results suggest that UV, together with pigmentation, plays a role during mate recognition in males and females. Other than butterflies and spiders, it seems that fluorescence signals and UV reflectance can also be part of communication in odonates.</t>
  </si>
  <si>
    <t>Bispo, Pitágoras C./F-3167-2012; Marletta, Alexandre/P-7655-2019; Ferreira, Rhainer Guillermo/ABH-2294-2021; Therézio, Eralci Moreira/G-1190-2012; Guillermo-Ferreira, Rhainer/A-7119-2013; Gehlen, Marcelo H/I-7311-2013; Ferreira, Rhainer Guillermo/HPH-1939-2023</t>
  </si>
  <si>
    <t>Marletta, Alexandre/0000-0003-1297-6839; Ferreira, Rhainer Guillermo/0000-0001-7774-5252; Therézio, Eralci Moreira/0000-0003-3974-849X; Gehlen, Marcelo H/0000-0001-9698-8284; Ferreira, Rhainer Guillermo/0000-0001-7774-5252; /0000-0002-7356-8882</t>
  </si>
  <si>
    <t>10.1007/s10905-013-9406-4</t>
  </si>
  <si>
    <t>WOS:000329237700006</t>
  </si>
  <si>
    <t>Horth, L; Campbell, L; Bray, R</t>
  </si>
  <si>
    <t>Horth, Lisa; Campbell, Laura; Bray, Rebecca</t>
  </si>
  <si>
    <t>Wild bees preferentially visit Rudbeckia flower heads with exaggerated ultraviolet absorbing floral guides</t>
  </si>
  <si>
    <t>Here, we report on the results of an experimental study that assessed the visitation frequency of wild bees to conspecific flowers with different sized floral guides. UV absorbent floral guides are ubiquitous in Angiosperms, yet surprisingly little is known about conspecific variation in these guides and very few studies have evaluated pollinator response to UV guide manipulation. This is true despite our rich understanding about learning and color preferences in bees. Historical dogma indicates that flower color serves as an important long-range visual signal allowing pollinators to detect the flowers, while floral guides function as close-range signals that direct pollinators to a reward. We initiated the work presented here by first assessing the population level variation in UV absorbent floral guides for conspecific flowers. We assessed two species, Rudbeckia hirta and R. fulgida. We then used several petal cut-andpaste experiments to test whether UV floral guides can also function to attract visitors. We manipulated floral guide size and evaluated visitation frequency. In all experiments, pollinator visitation rates were clearly associated with floral guide size. Diminished floral guides recruited relatively few insect visitors. Exaggerated floral guides recruited more visitors than smaller or average sized guides. Thus, UV floral guides play an important role in pollinator recruitment and in determining the relative attractiveness of conspecific flower heads. Consideration of floral guides is therefore important when evaluating the overall conspicuousness of flower heads relative to background coloration. This work raises the issue of whether floral guides serve as honest indicators of reward, since guide size varies in nature for conspecific flowers at the same developmental stage and since preferences for larger guides were found. To our knowledge, these are the first cut-andpaste experiments conducted to examine whether UV absorbent floral guides affect visitation rates and pollinator preference.</t>
  </si>
  <si>
    <t>MAR 15</t>
  </si>
  <si>
    <t>10.1242/bio.20146445</t>
  </si>
  <si>
    <t>WOS:000348066100005</t>
  </si>
  <si>
    <t>Martin, M; Meylan, S; Haussy, C; Decencière,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</si>
  <si>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</si>
  <si>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</si>
  <si>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</si>
  <si>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meylan, sandrine/JSL-2480-2023; Le Galliard, Jean-François/E-8702-2011</t>
  </si>
  <si>
    <t>sandrine, MEYLAN/0000-0002-0865-3335; Le Galliard, Jean-François/0000-0002-5965-9868; Decenciere, Beatriz/0000-0002-2847-7631</t>
  </si>
  <si>
    <t>10.1093/beheco/arv149</t>
  </si>
  <si>
    <t>WOS:000374768300038</t>
  </si>
  <si>
    <t>Cupello, M; Ribeiro-Costa, CS; Vaz-De-Mell, FZ</t>
  </si>
  <si>
    <t>Cupello, Mario; Ribeiro-Costa, Cibele S.; Vaz-De-Mell, Fernando Z.</t>
  </si>
  <si>
    <t>The evolution of Bolbites onitoides (Coleoptera: Scarabaeidae: Phanaeini): its phylogenetic significance, geographical polychromatism and the subspecies problem</t>
  </si>
  <si>
    <t>ZOOLOGICAL JOURNAL OF THE LINNEAN SOCIETY</t>
  </si>
  <si>
    <t>The distribution of the iridescent dung beetle Bolbites onitoides can be divided, based on dorsal colouration, into a blue western-half and a red eastern-half. This has raised the question, in 1959, of whether the two colour variants could represent distinct subspecies. Having examined similar to 1200 specimens and evaluated the proposal under both an ontological and an operational subspecies concept, we conclude that B. onitoides should continue to be treated as a single monotypic species because: (1) two kinds of colour intermediates were found living among populations of the two main variants; (2) the distribution of the variants overlaps; (3) no other characters were seen to vary consistently in accordance with the colour variants; (4) the overall geographical pattern can be explained by phenomena other than (incipient) speciation, such as phenotypic plasticity and distinct selective regimes; and (5) colour has been extensively shown not to be a reliable indicator of speciation processes among dung beetles. By comparing our findings with other cases of polychromatism among scarabaeines, we discuss publications proposing subspecies taxa relying uniquely upon colour variants. We contend that, due to the often continuous, populational, polytopic and, several times, clinal nature of the intraspecific geographical variation, subspecies classification schemes should not be established simply to classify variation across a species range without a commitment to the reality as evolutionary entities of the taxa being proposed. The alternative stance championed by many contemporary authors to give trinomina to conspecific (meta)population lineages, in turn, may eventually prove to be adequate, but we express some of our concerns as to the feasibility of this practice. Whether these intraspecific taxa should be ranked in a Linnaean hierarchy - e.g. as subspecies - is equally an open question. We also elaborate on an evolutionary scenario where the role of the iridescence in sexual selection, as hypothesized in a previous work, may be an exaptation, not an adaptation, among the horned Phanaeina.</t>
  </si>
  <si>
    <t>Ribeiro-Costa, Cibele/C-1074-2013</t>
  </si>
  <si>
    <t>Ribeiro-Costa, Cibele/0000-0001-6527-6460</t>
  </si>
  <si>
    <t>0024-4082</t>
  </si>
  <si>
    <t>1096-3642</t>
  </si>
  <si>
    <t>2021 JUL 12</t>
  </si>
  <si>
    <t>zlab015</t>
  </si>
  <si>
    <t>10.1093/zoolinnean/zlab015</t>
  </si>
  <si>
    <t>JUL 2021</t>
  </si>
  <si>
    <t>WOS:000764722000001</t>
  </si>
  <si>
    <t>Cupello, M; Ribeiro-Costa, CS; Vaz-De-Mello, FZ</t>
  </si>
  <si>
    <t>Cupello, Mario; Ribeiro-Costa, Cibele S.; Vaz-De-Mello, Fernando Z.</t>
  </si>
  <si>
    <t>The distribution of the iridescent dung beetle Bolbites onitoides can be divided, based on dorsal colouration, into a blue western-half and a red eastern-half. This has raised the question, in 1959, of whether the two colour variants could represent distinct subspecies. Having examined similar to 1200 specimens and evaluated the proposal under both an ontological and an operational subspecies concept, we conclude that IL onitoides should continue to be treated as a single monotypic species because: (1) two kinds of colour intermediates were found living among populations of the two main variants; (2) the distribution of the variants overlaps; (3) no other characters were seen to vary consistently in accordance with the colour variants; (4) the overall geographical pattern can be explained by phenomena other than (incipient) speciation, such as phenotypic plasticity and distinct selective regimes; and (5) colour has been extensively shown not to be a reliable indicator of speciation processes among dung beetles. By comparing our findings with other cases of polychromatism among scarabaeines, we discuss publications proposing subspecies taxa relying uniquely upon colour variants. We contend that, due to the often continuous, populational, polytopic and, several times, clinal nature of the intraspecific geographical variation, subspecies classification schemes should not be established simply to classify variation across a species range without a commitment to the reality as evolutionary entities of the taxa being proposed. The alternative stance championed by many contemporary authors to give trinomina to conspecific (meta)population lineages, in turn, may eventually prove to be adequate, but we express some of our concerns as to the feasibility of this practice. Whether these intraspecific taxa should be ranked in a Linnaean hierarchy - e.g. as subspecies - is equally an open question. We also elaborate on an evolutionary scenario where the role of the iridescence in sexual selection, as hypothesized in a previous work, may be an exaptation, not an adaptation, among the horned Phanaeina.</t>
  </si>
  <si>
    <t>Ribeiro-Costa, Cibele/C-1074-2013; Vaz-de-Mello, Fernando Zagury/A-1023-2009</t>
  </si>
  <si>
    <t>Ribeiro-Costa, Cibele/0000-0001-6527-6460; Vaz-de-Mello, Fernando Zagury/0000-0001-9697-320X</t>
  </si>
  <si>
    <t>MAR 8</t>
  </si>
  <si>
    <t>WOS:000766308500011</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</si>
  <si>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</si>
  <si>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</si>
  <si>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</si>
  <si>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</si>
  <si>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Meyer, Axel/C-9826-2009; Machado-Schiaffino, Gonzalo/AAE-3114-2020</t>
  </si>
  <si>
    <t>Meyer, Axel/0000-0002-0888-8193; Machado-Schiaffino, Gonzalo/0000-0002-4049-3247; Torres-Dowdall, Julian/0000-0003-2729-6246</t>
  </si>
  <si>
    <t>10.1111/1365-2656.12693</t>
  </si>
  <si>
    <t>WOS:000407320500007</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</si>
  <si>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</si>
  <si>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</si>
  <si>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</si>
  <si>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</si>
  <si>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</si>
  <si>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Falaschi, Mattia/0000-0002-4511-4816; Mangiacotti, Marco/0000-0001-7144-3851; SACCHI, ROBERTO/0000-0002-6199-0074</t>
  </si>
  <si>
    <t>1827-9635</t>
  </si>
  <si>
    <t>1827-9643</t>
  </si>
  <si>
    <t>10.13128/Acta_Herpetol-24651</t>
  </si>
  <si>
    <t>WOS:000482630700005</t>
  </si>
  <si>
    <t>WATANABE, S; ITO, Y</t>
  </si>
  <si>
    <t>DISCRIMINATION OF INDIVIDUALS IN PIGEONS</t>
  </si>
  <si>
    <t>BIRD BEHAVIOUR</t>
  </si>
  <si>
    <t>Pigeons Columba livia were trained in an operant chamber with food reinforcement to discriminate between colour slides of faces of two Pigeons. The Pigeons could identify those individuals that were easily identified by human observers, but had difficulty with those found difficult for humans. Results of the chimera test of mixed figures of two birds suggested that there is no single cue for individual recognition in this species. The absence of responses to slides of randomly scrambled parts of the stimulus bird indicated that the test birds saw the slides of conspecifics as representatives of real birds.</t>
  </si>
  <si>
    <t>0156-1383</t>
  </si>
  <si>
    <t>10.3727/015613890791749136</t>
  </si>
  <si>
    <t>WOS:A1991HW66600004</t>
  </si>
  <si>
    <t>Macedonia, JM; Clark, DL; Brown, ZN; Gensterblum, S; McNabb, L; Myrberg, AB; Myrberg, BD; Petroche, MF; Karson, A</t>
  </si>
  <si>
    <t>Macedonia, Joseph M.; Clark, David L.; Brown, Z. Nicholas; Gensterblum, Sara; McNabb, Lauren; Myrberg, Ashley B.; Myrberg, Brooke D.; Petroche, Maria F.; Karson, Adam</t>
  </si>
  <si>
    <t>Responses of Anolis grahami Males to Manipulations of Species Identity and Components of Displays in Lizard Robots</t>
  </si>
  <si>
    <t>Many animal species use stereotyped displays to attract the opposite sex and to intimidate same-sexed rivals. Research aimed at understanding display recognition, function, and usage can be aided through the use of animal robots that allow one side of signaler-receiver interactions to be controlled. Manipulation of displays in ways that do not occur in nature has the potential to determine the boundaries of display recognition, as well as to provide insights into the manner in which animal display contests are structured. We describe two experiments that extend previous work on display recognition in the lizard Anolis grahami. In the first experiment, we used robots to determine the relative importance of body coloration and headbob display structure for species recognition. The results showed that subjects responded more strongly to robots having both conspecific appearance and display structure than to robots that deviated in those characteristics from the conspecific stimulus. In the second experiment, we explored the effect of removing display components on subjects' responses, where subjects witnessed a conspecific robot exhibiting a typical display (headbobs followed by dewlap pulses), or a deficient display consisting only of headbobs or dewlap pulses. Contrary to expectation, subjects in the headbobs-only treatment spent more time headbobbing than dewlapping in response; whereas, those in the dewlap-only treatment spent more time dewlapping than headbobbing. Interactive robots could be used in future investigations of the functions of different display components, as well as to examine the rules by which lizard display contests are conducted in nature.</t>
  </si>
  <si>
    <t>10.1655/HERPETOLOGICA-D-14-00044</t>
  </si>
  <si>
    <t>WOS:000357733800005</t>
  </si>
  <si>
    <t>Aispuro, AA; Canoine, V; Illa, M; Fusani, L; Maggini, I</t>
  </si>
  <si>
    <t>Aispuro, Armando Alberto; Canoine, Virginie; Illa, Marc; Fusani, Leonida; Maggini, Ivan</t>
  </si>
  <si>
    <t>Stopover territoriality in songbirds crossing the Sahara: aggression and energetics during migration</t>
  </si>
  <si>
    <t>Stopover territoriality, i.e., the defense and broadcast of an ephemeral home range during avian migration, is rare or perhaps overlooked. However, settling on a territory may allow for easier access to resources and therefore promote faster refueling despite the added costs of territory defense. We examined the occurrence of stopover territoriality and its relationship to body condition and refueling rates. We color-ringed Western Subalpine Warblers (Curruca iberiae) mapped their home ranges and measured associated habitat characteristics during a spring stopover in the Sahara. We simulated territory intrusions via song playback to quantify territorial behavior. Males aggressively defended and broadcasted their stopover territories in response to intruders. Initial body condition in males was negatively related to home range vegetation density, suggesting that males in higher condition are selective for certain territory features. Low vegetation density does not support habitat selection for foraging, but perhaps does support social monitoring or predator vigilance as its functions. Fuel deposition rates in recaptured males were unrelated to home range habitat characteristics. Female Subalpine Warblers did not use repeated home ranges yet had similar refueling rates, body conditions, and stopover durations as territorial males. Therefore, while stopover territories were selected based on body condition, territory characteristics did not influence refueling rates. Subalpine Warblers expressed reduced migratory characteristics, making prolonged stopovers of up to 27 days with low refueling rates but maintaining body condition while defending territories. These results suggest that some individuals are staging for non-energetic reasons, such as pre-breeding preparations, or transitioning between a migratory and a breeding life history stage.Significance statementTerritoriality in birds is commonly associated with breeding activities, less so with the wintering period and rarely with migratory periods. However, territoriality during migration may be energetically beneficial. During a trans-Saharan stopover, male warblers establish and defend temporary territories by singing and engaging in physical defense of home ranges, and those in better condition occupied territories with sparser vegetation. Females were not territorial but refueled at similar rates as males. Stopover territoriality did not increase access to food-rich patches, but perhaps aided in efficient social monitoring and preparations for the approaching breeding season. This is the first detailed documentation of birds defending ephemeral territories during migration, and its potential functions, costs and benefits may inform studies of full-annual cycles and life histories of many migratory species.</t>
  </si>
  <si>
    <t>Canoine, Virginie/AAO-3996-2020</t>
  </si>
  <si>
    <t>Canoine, Virginie/0000-0003-2272-0634; Maggini, Ivan/0000-0002-1528-2288; Aispuro, Armando Alberto/0000-0002-6035-9176</t>
  </si>
  <si>
    <t>10.1007/s00265-023-03336-4</t>
  </si>
  <si>
    <t>WOS:000993946500002</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</si>
  <si>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</si>
  <si>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</si>
  <si>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</si>
  <si>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</si>
  <si>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</si>
  <si>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</si>
  <si>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</si>
  <si>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</si>
  <si>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Iain/IWM-6135-2023</t>
  </si>
  <si>
    <t>Barber, Iain/0000-0003-3955-6674</t>
  </si>
  <si>
    <t>10.1007/s002650050684</t>
  </si>
  <si>
    <t>WOS:000087531600006</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</si>
  <si>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</si>
  <si>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</si>
  <si>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</si>
  <si>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</si>
  <si>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</si>
  <si>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</si>
  <si>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Dickerson, AL; Rankin, KJ; Cadena, V; Endler, JA; Stuart-Fox, D</t>
  </si>
  <si>
    <t>Dickerson, Ashton L.; Rankin, Katrina J.; Cadena, Viviana; Endler, John A.; Stuart-Fox, Devi</t>
  </si>
  <si>
    <t>Rapid beard darkening predicts contest outcome, not copulation success, in bearded dragon lizards</t>
  </si>
  <si>
    <t>Rapid colour change is widespread in animals and allows them to respond dynamically to the physical and social environment. However, few studies have examined the information conveyed by dynamic colour signals in different social contexts, such as courtship and rivalry contests. Furthermore, dynamic colour change on different body regions may be subject to different selection pressures and therefore serve different functions. We tested whether male colour or colour change predicts contest outcome in male-male interactions or the likelihood of copulation attempts in male-female interactions in the central bearded dragon, Pogona vitticeps. The extent of beard darkening strongly predicted contest outcome, but neither colour (beard, dorsal) nor colour change predicted copulation attempts. Dorsal colour showed little consistent change and did not predict contest outcome or copulation attempts. Previous work shows that dorsal but not beard colour change occurs in response to both background colour and temperature in the laboratory and in the wild. Taken together, these results indicate that dynamic colour change in bearded dragons varies in relation to social context and can serve different functions depending on the body region. Our results add to the growing appreciation of how rapid colour change enables animals to accommodate the multiple functions of colour, including communication to different receivers, camouflage and thermoregulation. (C) 2020 The Association for the Study of Animal Behaviour. Published by Elsevier Ltd. All rights reserved.</t>
  </si>
  <si>
    <t>Endler, John A/B-6659-2009; Dickerson, Ashton/GZN-1788-2022</t>
  </si>
  <si>
    <t>Endler, John A/0000-0002-7557-7627; Dickerson, Ashton/0000-0001-8555-1693; Rankin, Katrina/0000-0003-3700-0330; Stuart-Fox, Devi/0000-0003-3362-1412; Cadena, Viviana/0000-0001-5232-6449</t>
  </si>
  <si>
    <t>10.1016/j.anbehav.2020.10.014</t>
  </si>
  <si>
    <t>WOS:000598905300016</t>
  </si>
  <si>
    <t>Papaj, DR; Newsom, GM</t>
  </si>
  <si>
    <t>A within-species warning function for an aposematic signal</t>
  </si>
  <si>
    <t>Aposematic, or warning, signals are generally interspecific in form: one species advertises noxiousness to a predator or parasite species. In a study of the pipevine swallowtail butterfly (Battus philenor), we show that a pattern of colouration in the caterpillars that is considered to be aposematic in the context of attack by natural enemies also deters oviposition by conspecific females. In field and laboratory assays, females avoided oviposition on plants bearing live conspecific larvae. Females avoided oviposition on plants bearing artificially constructed models identical to larvae in shape, size and colour pattern. Finally, oviposition on plants harbouring a model bearing the larval colour pattern was reduced relative to plants bearing a leaf-green model, suggesting that the larval colour pattern was essential for avoidance. We discuss how intraspecific and interspecific processes might interact in the evolution of an aposematic signal.</t>
  </si>
  <si>
    <t>10.1098/rspb.2005.3186</t>
  </si>
  <si>
    <t>WOS:000233751700011</t>
  </si>
  <si>
    <t>Hews, DK; Date, P; Hara, E; Castellano, MJ</t>
  </si>
  <si>
    <t>Hews, Diana K.; Date, Priya; Hara, Erina; Castellano, Michael J.</t>
  </si>
  <si>
    <t>Field presentation of male secretions alters social display in Sceloporus virgatus but not S. undulatus lizards</t>
  </si>
  <si>
    <t>Lizards have communicative displays involving primarily vision and chemicals, and recent work suggests trade-offs between these two modalities. In reptiles, little work assesses effects of conspecific chemicals on subsequent signaling behavior. Here, we studied responses to conspecific secretions in two Sceloporus species differing in visual signaling: male Sceloporus undulatus have blue abdominal patches used in aggressive territorial encounters, while Sceloporus virgatus males have evolutionarily lost the patches and have low rates of aggressive display. We measured behavior of free-ranging males following presentation of swabs with conspecific male chemicals from femoral glands and the cloaca, or of clean swabs. For male S. undulatus (blue), neither likelihoods nor rates of behavioral responses differed between swab treatments. In contrast, male S. virgatus (white) presented with secretions had significantly higher likelihood of performing head bob, push-up, and shudder displays, than males in control swab trials. Rates of behavior also differed for S. virgatus, with higher rates of push-up display and tongue flick in trials with conspecific chemicals, but rates of other displays, number of moves, and mean total distance moved did not differ between treatments. Male S. undulatus moved significantly greater distances than S. virgatus, independent of treatment. In sum, male S. virgatus responded to conspecific male chemicals by increasing their low rates of display behavior, whereas male S. undulatus did not alter their already high rates of display or movement following chemical exposure. Chemical signals may play a different role in social signaling in the species with the loss of the abdominal color signal.</t>
  </si>
  <si>
    <t>Castellano, Michael/A-9687-2008</t>
  </si>
  <si>
    <t>Castellano, Michael/0000-0003-1411-7931</t>
  </si>
  <si>
    <t>10.1007/s00265-011-1150-1</t>
  </si>
  <si>
    <t>WOS:000291654000006</t>
  </si>
  <si>
    <t>Carder, ML; Ritchison, G</t>
  </si>
  <si>
    <t>Carder, Michelle L.; Ritchison, Gary</t>
  </si>
  <si>
    <t>Tail pumping by Eastern Phoebes: an honest, persistent predator-deterrent signal?</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</si>
  <si>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</si>
  <si>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1557-9263</t>
  </si>
  <si>
    <t>10.1111/j.1557-9263.2009.00218.x</t>
  </si>
  <si>
    <t>WOS:000266465200007</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</si>
  <si>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</si>
  <si>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</si>
  <si>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</si>
  <si>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</si>
  <si>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Kokko, Hanna/C-7861-2009; Griffith, Simon/AAH-3706-2021</t>
  </si>
  <si>
    <t>Griffith, Simon/0000-0001-7612-4999; Kokko, Hanna/0000-0002-5772-4881</t>
  </si>
  <si>
    <t>OCT 22</t>
  </si>
  <si>
    <t>10.1098/rspb.2014.1794</t>
  </si>
  <si>
    <t>WOS:000341560300025</t>
  </si>
  <si>
    <t>Drown, RM; Liebl, AL; Anderson, CV</t>
  </si>
  <si>
    <t>Drown, Rachel M.; Liebl, Andrea L.; Anderson, Christopher, V</t>
  </si>
  <si>
    <t>The functional basis for variable antipredatory behavioral strategies in the chameleon Chamaeleo calyptratus</t>
  </si>
  <si>
    <t>To counterbalance demands of different selective pressures, many species possess morphological, physiological and behavioral specializations that increase survival in their environments. Predation is one such pressure that can elicit multiple adaptive responses, and the effectiveness of antipredator behaviors likely vary both by environment and individual across time. Chameleons use multiple antipredator strategies, many of which vary with body size and habitat type. Although their unique morphological and physiological traits produce relatively slow locomotion, which is poorly suited for fleeing, chameleons can also use crypsis or aggression to avoid predation. To examine the functional basis for variable antipredator behavioral responses, we subjected chameleons to a series of mock predation trials and determined how often individuals adopted each antipredator strategy, and then quantified the performance capacities underlying each strategy. In particular, we measured bite force as a determinant for aggression, sprint velocity for fleeing, and degree of color change for crypsis. We found that aggression was predicted by traits associated with higher absolute and relative bite force, as well as habitat type; fleeing was predicted by higher normalized sprint velocity and habitat type; and crypsis was predicted by habitat type, color change capacity in bird color space and the interaction between the two. These results illustrate the importance of considering both functional capacity and environmental context in antipredator behavior decision-making.</t>
  </si>
  <si>
    <t>Liebl, Andrea/GNM-6443-2022; Anderson, Christopher/F-5224-2011</t>
  </si>
  <si>
    <t>Anderson, Christopher/0000-0001-7411-3102</t>
  </si>
  <si>
    <t>jeb242955</t>
  </si>
  <si>
    <t>10.1242/jeb.242955</t>
  </si>
  <si>
    <t>WOS:000806042900004</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</si>
  <si>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</si>
  <si>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</si>
  <si>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</si>
  <si>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</si>
  <si>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 Quesada, Javier/GQQ-1272-2022</t>
  </si>
  <si>
    <t>Senar, Joan Carles/0000-0001-9955-3892; Quesada, Javier/0000-0002-6010-8473; Quesada, Javier/0000-0002-6010-8473</t>
  </si>
  <si>
    <t>10.1525/cond.2013.120009</t>
  </si>
  <si>
    <t>WOS:000328295800022</t>
  </si>
  <si>
    <t>Hauber, ME; Moskát, C; Bán, M</t>
  </si>
  <si>
    <t>Hauber, Mark E.; Moskat, Csaba; Ban, Miklos</t>
  </si>
  <si>
    <t>Experimental shift in hosts' acceptance threshold of inaccurate-mimic brood parasite eggs</t>
  </si>
  <si>
    <t>Hosts are expected to evolve resistance strategies that efficiently detect and resist exposure to virulent parasites and pathogens. When recognition is not error-proof, the acceptance threshold used by hosts to recognize parasites should be context dependent and become more restrictive with increasing predictability of parasitism. Here, we demonstrate that decisions of great reed warblers Acrocephalus arundinaceus to reject parasitism by the common cuckoo Cuculus canorus vary adaptively within a single egg-laying bout. Hosts typically accept one of their own eggs with experimentally added spots and the background colour left visible. In contrast, hosts reject such spotted eggs when individuals had been previously exposed to and rejected one of their own eggs whose background colour had been entirely masked. These results support patterns of adaptive modulation of antiparasitic strategies through shifts in the acceptance threshold of hosts and suggest a critical role for experience in the discrimination decisions between inaccurate-mimic parasite eggs and hosts' own eggs.</t>
  </si>
  <si>
    <t>JUN 22</t>
  </si>
  <si>
    <t>10.1098/rsbl.2005.0438</t>
  </si>
  <si>
    <t>WOS:000241862500005</t>
  </si>
  <si>
    <t>Martin, MD; Mendelson, TC</t>
  </si>
  <si>
    <t>Martin, M. D.; Mendelson, T. C.</t>
  </si>
  <si>
    <t>Incomplete behavioural isolation and asymmetric female preference in darter sister species (Percidae: Etheostoma)</t>
  </si>
  <si>
    <t>In this study, female preferences and behavioural isolation were estimated in a pair of allopatric sister species, Etheostoma duryi and Etheostoma flavum. Dichotomous mate preference trials were conducted to determine whether females prefer to associate with conspecific over heterospecific males and free-spawning assays were conducted to determine whether those preferences translated into behavioural isolation. Dichotomous mate choice trials revealed asymmetric female preference, as female E. flavum preferred conspecific males, whereas female E. duryi showed no preference. Free-spawning assays indicated that behavioural isolation remains incomplete between E. duryi and E. flavum (I-B = 019). In addition to female mating preferences, male behaviour also appeared to influence mating outcomes as male E. flavum consistently courted conspecific females more often in free-spawning assays whereas male E. duryi did not. The data therefore suggest that despite marked divergence in male nuptial colour, divergence in female preferences between these species may not be sufficient to maintain species boundaries upon secondary contact. These results contrast with similar work in a sympatric darter species pair and may be explained by considering the contributions of reinforcement and differences in colour pattern as well as colour value. (C) 2013 The Fisheries Society of the British Isles</t>
  </si>
  <si>
    <t>Martin, Michael/0000-0003-1038-7109</t>
  </si>
  <si>
    <t>10.1111/jfb.12239</t>
  </si>
  <si>
    <t>WOS:000326476700019</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</si>
  <si>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</si>
  <si>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</si>
  <si>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</si>
  <si>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</si>
  <si>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10.1098/rspb.2007.1700</t>
  </si>
  <si>
    <t>WOS:000254464000008</t>
  </si>
  <si>
    <t>HOUTMAN, R; DILL, LM</t>
  </si>
  <si>
    <t>THE INFLUENCE OF SUBSTRATE COLOR ON THE ALARM RESPONSE OF TIDEPOOL SCULPINS (OLIGOCOTTUS-MACULOSUS, PISCES, COTTIDAE)</t>
  </si>
  <si>
    <t>For animals that use crypsis to avoid predators, immobility reduces the risk of detection. The magnitude of this immobility benefit depends upon the probability that a predator is present, since a predator must be present for crypsis to be valuable. Thus, cryptic animals typically reduce their movement rates upon detection of a nearby predator or signs of its activity. Such a response occurs in tidepool sculpins (Oligocottus maculosus) when presented with water-borne compounds released from the skin of injured conspecifics (HUGIE et al. 1991). The benefit of immobility should also depend upon the animal's background, or substrate, since animals on a matching substrate achieve a higher level of crypticity than those on a nonmatching substrate, and have more to gain by remaining still. Therefore, we predicted that the response of tidepool sculpins to conspecific skin extract would involve a greater reduction in movement rates for fish on sand (matching) than for those on white (nonmatching) substrate. The results of a laboratory experiment supported this prediction, with fish on sand showing a large decrease in movement rates in response to skin extract, while the movement rates of those on white substrate remained unchanged.</t>
  </si>
  <si>
    <t>WOS:A1994NJ52600006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</si>
  <si>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</si>
  <si>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</si>
  <si>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</si>
  <si>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</si>
  <si>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</si>
  <si>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</si>
  <si>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</si>
  <si>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</si>
  <si>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</si>
  <si>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</si>
  <si>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</si>
  <si>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</si>
  <si>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</si>
  <si>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</si>
  <si>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</si>
  <si>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</si>
  <si>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</si>
  <si>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</si>
  <si>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</si>
  <si>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</si>
  <si>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</si>
  <si>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</si>
  <si>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</si>
  <si>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</si>
  <si>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</si>
  <si>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</si>
  <si>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</si>
  <si>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Svitacá, K; Slavík, O; Horky, P</t>
  </si>
  <si>
    <t>Svitaca, Kristina; Slavik, Ondrej; Horky, Pavel</t>
  </si>
  <si>
    <t>Pigmentation potentially influences fish welfare in aquaculture</t>
  </si>
  <si>
    <t>Pigmentation is an important factor for the survival of organisms in different environments; in fish, it plays a key role in social communication and shoal formation. Pigmentation mediates communication among colour phe-notypes, as fish may temporarily change colouring to indicate their position in a social hierarchy. Although some colour phenotypes may be more common, less frequent colourations do not appear to significantly impact fish welfare, as aggression is directed more towards common, typically pigmented phenotypes than rare phenotypes. The relationship between pigmentation and fish behaviour can be clearly observed with extremely coloured phenotypes, i.e., albino and melanistic individuals. The melanocortin hypothesis states that phenotypes with more pigmentation are more aggressive, reproductively active, and resistant to stress as well as having better overall health. However, the high levels of aggression expressed by melanistic phenotypes may reduce the well-being of less intensely pigmented phenotypes if these individuals are kept together. In contrast, albino in-dividuals are more sensitive to stress, less aggressive, and, as they are prone to physiological constraints such as impaired vision, are unable to effectively defend resources compared to pigmented phenotypes. Moreover, both these extremely coloured phenotypes are unable to signal their position in the social hierarchy by changing colours, which can result in conflict between their mental state and position in a social hierarchy and/or attempt to change their social rank. In summary, colour variation is a consequence of physiological conditions, especially stress, rather than a cause of such conditions. The breeding and propagation of albino and melanistic fish is generally unethical and should not be considered in aquaculture unless these phenotypes are bred separately under specific conditions, i.e., not kept with typically pigmented conspecifics.</t>
  </si>
  <si>
    <t>Horký, Pavel/A-3857-2013; Centre, NutRisk/AAX-1925-2020</t>
  </si>
  <si>
    <t>Horký, Pavel/0000-0002-1738-7753; Svitacova, Kristina/0000-0001-8901-9987</t>
  </si>
  <si>
    <t>10.1016/j.applanim.2023.105903</t>
  </si>
  <si>
    <t>MAR 2023</t>
  </si>
  <si>
    <t>WOS:000964957600001</t>
  </si>
  <si>
    <t>Leighton, GM; Lees, AC; Miller, ET</t>
  </si>
  <si>
    <t>Leighton, Gavin M.; Lees, Alexander C.; Miller, Eliot T.</t>
  </si>
  <si>
    <t>The hairy-downy game revisited: an empirical test of the interspecific social dominance mimicry hypothesis</t>
  </si>
  <si>
    <t>Understanding the emergence and persistence of convergent phenotypes is the subject of considerable debate. Species may converge on nearly identical phenotypes for a variety of reasons, including occupying similar environments, exhibiting similar foraging ecologies, and for signalling reasons such as mimicry. Interspecific social dominance mimicry (ISDM) is a hypothesis that states that socially subordinate species evolve a phenotype mimicking a dominant species so as to accrue resources and avoid aggression. A recently proposed test case for this phenomenon asserts that downy woodpeckers, Picoides pubescens, evolved mimetic plumage to avoid attacks from hairy woodpeckers, Picoides villosus. We examined this claim with a large behavioural data set collected by citizen scientists. We employed phylogenetic methods and simulations to test whether downy woodpeckers avoid aggression, and whether downy woodpeckers are more dominant than expected based on body mass. Contrary to the expectations of ISDM, we found that downy woodpeckers were markedly more often the target of hairy woodpecker attacks than expected based on their relative abundances. Our empirical data thus offers no support for the strict ISDM hypothesis as an explanation for downy-hairy woodpecker plumage convergence. However, downy woodpeckers are slightly more dominant than expected based on their body mass, albeit not significantly so. Our data therefore lend weight to previous suggestions that the benefits of mimicry potentially accrue from third-party species mistaking the mimic for the model, rather than the model mistaking the mimic for another model. (C) 2018 The Association for the Study of Animal Behaviour. Published by Elsevier Ltd. All rights reserved.</t>
  </si>
  <si>
    <t>Lees, Alexander Charles/S-2443-2019</t>
  </si>
  <si>
    <t>Lees, Alexander Charles/0000-0001-7603-9081</t>
  </si>
  <si>
    <t>10.1016/j.anbehav.2018.01.012</t>
  </si>
  <si>
    <t>WOS:000427436600015</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</si>
  <si>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</si>
  <si>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</si>
  <si>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</si>
  <si>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</si>
  <si>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</si>
  <si>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</si>
  <si>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</si>
  <si>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COOPER, WE; MENDONCA, MT; VITT, LJ</t>
  </si>
  <si>
    <t>INDUCTION OF ORANGE HEAD COLORATION AND ACTIVATION OF COURTSHIP AND AGGRESSION BY TESTOSTERONE IN THE MALE BROAD-HEADED SKINK (EUMECES-LATICEPS)</t>
  </si>
  <si>
    <t>Male Eumeces laticeps develop bright orange head coloration during the spring breeding season, when they fight with other males and engage in sexual behavior with females. Outside the breeding season the head color fades and the sexual and agonistic behaviors cease. Intraperitoneal implantation of testosterone propionate in Silastic capsules restores the bright orange head coloration and activates courtship and agonistic behaviors in castrated males.</t>
  </si>
  <si>
    <t>10.2307/1564469</t>
  </si>
  <si>
    <t>WOS:A1987H691700002</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</si>
  <si>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</si>
  <si>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</si>
  <si>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</si>
  <si>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</si>
  <si>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Chaine, Alexis S/B-4062-2012; Lyon, Bruce E/E-8491-2011</t>
  </si>
  <si>
    <t>10.1016/j.anbehav.2008.03.014</t>
  </si>
  <si>
    <t>WOS:000258490800016</t>
  </si>
  <si>
    <t>Rojas-Araya, D; Alto, BW; Cummings, DAT; Burkett-Cadena, ND</t>
  </si>
  <si>
    <t>Rojas-Araya, Diana; Alto, Barry W.; Cummings, Derek A. T.; Burkett-Cadena, Nathan D.</t>
  </si>
  <si>
    <t>Differentiation of Multiple Fluorescent Powders, Powder Transfer, and Effect on Mating in Aedes aegypti (Diptera: Culicidae)</t>
  </si>
  <si>
    <t>Simple Summary Fluorescent powders are one of the most used materials for externally marking mosquitoes, such as Aedes aegypti, a vector of numerous human pathogens. They can be used to explore multiple biological questions related to population size, dispersal, and other interactions related to the spread of mosquito-borne diseases. To ensure marking practical aspects and that these powders do not interfere with mosquito natural behaviors, differentiation of multiple colors applied externally in the same mosquito, their impact on mating, and their transference between individuals after copulation and same-sex interactions were studied. Multiple color differentiation was possible, except for green-yellow combination. No important effect of powder marking was found on any of the mosquito mating phases: coupling (recognition and genital contact), copulation (genitalia engagement and semen transfer), and insemination (deposition of the sperm in the female reservoirs). After copulation with a powder-treated mate, &gt;80% of females and all males had powder in genitalia, legs, and wingtips. The transfer of powder, between same-sex individuals, occurred only in males. In general, fluorescent powders had a little observable effect on Ae. aegypti mating, suggesting that these markers do not alter this important vector life-history trait and are a useful and viable tool for mosquito studies. Five different fluorescent powders (orange, yellow, green, blue, and violet) were tested on Aedes aegypti adults to evaluate the differentiation of multiple fluorescent powder colors applied externally in the same female mosquito, their effect on coupling time, copulation time, insemination success, mate choice, and the extent of transference of powders between marked and unmarked individuals, either during copulation or same-sex interactions. Marking with multiple powders was evaluated after applying different powders in the same female at different times and combinations. The comparative effect of powders on mating was explored using different cross-combinations of marked/unmarked couples. Transference of powders between marked/unmarked individuals after copulation was checked in mated individuals, and between same-sex interactions by allowing them to interact under crowded and uncrowded conditions. Identification of the colors included in multiple markings in the same individual was possible when exploring almost all combinations (exception: green-yellow). No important effect of powder marking between cross-combinations was found on coupling time (overall 95% CI (Confidence Interval) 37.6-49.6 min), copulation time (overall 95% CI 17-20 s), insemination success, nor their mate choice. Transferred powder after copulation activity, concentrated in genitalia, legs, and the tip of wings, occurred in &gt;80% of females and 100% of males. Powder transference in legs and genitalia, between same-sex individuals, occurred only in males (ranged between 23-35%) under both density conditions. The lack of important effects of these powders on the studied aspects of Ae. aegypti provides information about their usefulness and limitations, which should be recognized for future applications and to avoid bias.</t>
  </si>
  <si>
    <t>Rojas, Diana/GRR-9864-2022; Rojas Araya, Diana/AAZ-4176-2021</t>
  </si>
  <si>
    <t>Rojas Araya, Diana/0000-0002-1150-6125; Alto, Barry/0000-0001-7054-2081; Burkett-Cadena, Nathan/0000-0001-6168-1637</t>
  </si>
  <si>
    <t>10.3390/insects11110727</t>
  </si>
  <si>
    <t>WOS:000593343100001</t>
  </si>
  <si>
    <t>Uetz, GW; Gilbert, R; Wilson, R; Mann, J; Macedonia, J; Clark, DL</t>
  </si>
  <si>
    <t>Uetz, George W.; Gilbert, Rachel; Wilson, Rebecca; Mann, Jacqueline; Macedonia, Joseph; Clark, David L.</t>
  </si>
  <si>
    <t>Background contrast affects detection and recognition of courting wolf spiders by intended and unintended receivers</t>
  </si>
  <si>
    <t>We used video playback of courting male Schizocosa ocreata wolf spiders to examine responses of intended receivers (conspecific females) and eavesdroppers (competitor males, predatory spiders, toads) to manipulations of spider color (natural color, monochromatic gray, monochromatic RBG average) displayed against complex leaf litter backgrounds (color, grayscale). Models of chromatic and achromatic contrast between spider stimuli and backgrounds were used to predict receiver responses. The results support the hypothesis that interactions between spider and background coloration affect detection and recognition, although responses varied with receiver type. Detection responses of intended receivers (female S. ocreata) did not fit predictions of the chromatic contrast model in some cases, but showed a fair fit to the achromatic model. Detection responses of social eavesdroppers (male S. ocreata) fit the chromatic and achromatic contrast models slightly better than did female responses (poor fit and very good fit, respectively). Eavesdropping wolf spider predators (Rabidosa) exhibited detection responses that significantly matched predictions of the chromatic (very good fit) and achromatic (excellent fit) models. Whereas jumping spiders (Phidippus) showed a good fit to the chromatic and achromatic contrast models, toad predators had a good fit only to the chromatic model. Recognition responses revealed a different pattern of fit to the chromatic and achromatic models across receiver types, although Rabidosa again indicated a significant fit to both models. Taken together, the results of this study identify both chromatic and achromatic features of spider appearance as likely explanations for differences in behavioral responses of intended and unintended receivers. This outcome suggests the possibility that both sexual and natural selection likely target different features of male appearance during courtship. Some of the most striking examples of animal displays involve conspicuous male courtship signals, although such signals often can be exploited by eavesdropping competitors and predators. In this study we manipulated the coloration of courting male Schizocosa ocreata wolf spiders and their leaf-litter backgrounds from pre-existing video footage. We then played back the altered video clips to female conspecifics and eavesdroppers (competing conspecific males and potential predators: non-conspecific wolf spiders, jumping spiders, and toads) and recorded their responses. From these responses we scored both stimulus detection (latency to orient) and recognition (receptivity movements in conspecific females, tapping bouts in conspecific males, and attack in other viewers). Color differences in the courting male stimuli and leaf-litter backgrounds proved to be important for detection and recognition, even for wolf spiders with limited dichromatic vision. Moreover, for jumping spiders and predatory toads with tetrachromatic and trichromatic vision respectively, color of the prey spider stimulus was particularly salient. Overall, our experimental results support the hypothesis that receivers with different visual capacities should vary in their responses to color and contrast of courting male spiders against complex backgrounds.</t>
  </si>
  <si>
    <t>10.1007/s00265-024-03453-8</t>
  </si>
  <si>
    <t>WOS:001190569600001</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</si>
  <si>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</si>
  <si>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</si>
  <si>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</si>
  <si>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</si>
  <si>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</si>
  <si>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</si>
  <si>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Pasteels, JM; Deparis, O; Mouchet, SR; Windsor, DM; Billen, J</t>
  </si>
  <si>
    <t>Pasteels, Jacques M.; Deparis, Olivier; Mouchet, Sebastien R.; Windsor, Donald M.; Billen, Johan</t>
  </si>
  <si>
    <t>Structural and physical evidence for an endocuticular gold reflector in the tortoise beetle, Charidotella ambita</t>
  </si>
  <si>
    <t>Charidotella ambita offers a unique opportunity for unambiguously locating its gold reflector by comparing the structure of reflecting and non-reflecting cuticle of the elytron and pronotum. Using light microscopy and TEM, the reflector was located underneath the macrofiber endocuticle just above the epidermis. The reflector is a multilayer comprising up to 50 bilayers alternating high and low density layers parallel to the surface of the cuticle. It is chirped, i.e., showing a progressive decrease in layer thickness from approximately 150 nm-100 nm across its depth. The high density layers in contact with the endocuticle fuse to the last macrofiber when the reflector is interrupted by a trabecula, demonstrating their cuticular nature. Simulated reflectance spectra from models of the multilayer matched the reflection spectra measured on the major gold patch of the elytron of living specimens. Previous reports in adult insects exhibiting metallic colors located their reflector in the upper strata and structures of the cuticle, i.e., epicuticle, exocuticle, scales and hairs. Thus, the endocuticular location of the reflector in C. ambita (and other tortoise beetles) appears unique for adult insects. Gold reflection appears in C ambita only when the synthesis of the macrolayer endocuticle is complete, which may take up to 2 weeks. The development of the gold reflector coincides with the start of mating behavior, possibly suggesting a signaling function in conspecific recognition once sexual maturity has been reached. (C) 2016 Elsevier Ltd. All rights reserved.</t>
  </si>
  <si>
    <t>Mouchet, Sébastien/L-5902-2016</t>
  </si>
  <si>
    <t>Mouchet, Sébastien/0000-0001-6611-3794</t>
  </si>
  <si>
    <t>10.1016/j.asd.2016.10.008</t>
  </si>
  <si>
    <t>WOS:000389092000001</t>
  </si>
  <si>
    <t>Svensson, EI; Karlsson, K; Friberg, M; Eroukhmanoff, F</t>
  </si>
  <si>
    <t>Svensson, Erik I.; Karlsson, Kristina; Friberg, Magne; Eroukhmanoff, Fabrice</t>
  </si>
  <si>
    <t>Gender differences in species recognition and the evolution of asymmetric sexual isolation</t>
  </si>
  <si>
    <t>CURRENT BIOLOGY</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</si>
  <si>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</si>
  <si>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Svensson, Erik/E-8324-2010; Eroukhmanoff, Fabrice/F-8319-2010; eroukhmanoff, fabrice/D-1414-2015</t>
  </si>
  <si>
    <t>Svensson, Erik/0000-0001-9006-016X;</t>
  </si>
  <si>
    <t>0960-9822</t>
  </si>
  <si>
    <t>1879-0445</t>
  </si>
  <si>
    <t>NOV 20</t>
  </si>
  <si>
    <t>10.1016/j.cub.2007.09.038</t>
  </si>
  <si>
    <t>WOS:000251274300027</t>
  </si>
  <si>
    <t>JENSEN, GC</t>
  </si>
  <si>
    <t>COMPETENCE, SETTLING BEHAVIOR, AND POSTSETTLEMENT AGGREGATION BY PORCELAIN CRAB MEGALOPAE (ANOMURA, PORCELLANIDAE)</t>
  </si>
  <si>
    <t>Gregarious settlement by megalopae of the porcelain crabs Petrolisthes cinctipes (Randall) and P. eriomerus Stimpson was investigated to determine possible means of attraction and postsettlement benefits. Megalopae of P. eriomerus were attracted to conspecific adults confined to chambers that prevented tactile or visual contact, suggesting that postlarvae respond to a waterborne cue. There was also clear evidence of an extended period of competency for settlement, since newly molted megalopae of P. cinctipes held with conspecific adults settled within 2-4 days while those without adults delayed settlement for 2-3 wk. Loss of swimming ability at settlement is followed by degeneration of the pleopods and color changes. Following settlement juvenile instars appear to gain protection by continuing to hide between and beneath conspecific adults; this behavior significantly reduced predation in a laboratory experiment.</t>
  </si>
  <si>
    <t>10.1016/S0022-0981(05)80005-X</t>
  </si>
  <si>
    <t>WOS:A1991GR91500004</t>
  </si>
  <si>
    <t>Weiss, SL; Dubin, M</t>
  </si>
  <si>
    <t>Weiss, Stacey L.; Dubin, Matthew</t>
  </si>
  <si>
    <t>Male mate choice as differential investment in contest competition is affected by female ornament expression</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</si>
  <si>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</si>
  <si>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10.1093/cz/zoy023</t>
  </si>
  <si>
    <t>WOS:000436421000010</t>
  </si>
  <si>
    <t>FORSTER, GR</t>
  </si>
  <si>
    <t>RAJA RICHARDSONI FROM CONTINENTAL SLOPE OFF SOUTH-WEST ENGLAND</t>
  </si>
  <si>
    <t>Two rays caught in May 1964 by deep sea line fishing are shown to be conspecific with the New Zealand type specimen. Differing characters include color, number of teeth, and presence of a lateral process on the nasal flap.</t>
  </si>
  <si>
    <t>10.1017/S0025315400016581</t>
  </si>
  <si>
    <t>WOS:A19657014900017</t>
  </si>
  <si>
    <t>Schultz, TD; Fincke, OM</t>
  </si>
  <si>
    <t>Schultz, Tom D.; Fincke, Ola M.</t>
  </si>
  <si>
    <t>Lost in the crowd or hidden in the grass: signal apparency of female polymorphic damselflies in alternative habitats</t>
  </si>
  <si>
    <t>Animals must locate prey and mates in noisy sensory environments. Species that rely on visual cues, and which are prey of visual predators, consequently face trade-offs. Additionally, within species, sexual conflict over mating may impose pressures to avoid both predators and mates. Many studies have attempted to explain female-specific polymorphisms in damselflies, but without considering their actual conspicuousness under natural conditions. Using models of colour perception for damselflies and birds, we assessed the detectability of female coloration to conspecific males and potential predators. Alternative colour morphs reduce female apparency either through signal similarity with conspecific males (i.e. mimicry) or by matching the noise of the visual background. The colours of male-mimicking andromorphs that reduce their apparency among groups of males at breeding sites render them highly detectable to males as well as visual predators in offshore vegetation, where females occur when not reproducing. By presenting tethered female damselflies to free-flying males amidst vegetation, we demonstrated that, among flying females, males were able to detect andromorphs more easily than the more cryptic heteromorphs. Thus, when male density is low, cryptic heteromorphs may experience less harassment than andromorphs, suggesting a scenario of disruptive selection on female coloration driven by males as well as predators. Greater attention is warranted not only to the predation risks of female signals, but also to the effect of variation in the visual environments on encounters between males and unreceptive females. (C) 2013 The Association for the Study of Animal Behaviour. Published by Elsevier Ltd. All rights reserved.</t>
  </si>
  <si>
    <t>Fincke, Ola/0000-0002-4456-0136</t>
  </si>
  <si>
    <t>10.1016/j.anbehav.2013.08.008</t>
  </si>
  <si>
    <t>WOS:000326272200011</t>
  </si>
  <si>
    <t>Kuo, CY; Melo-Flóres, L; Aragón, A; Oberweiser, MM; McMillan, WO; Pardo-Diaz, C; Salazar, C; Merrill, RM</t>
  </si>
  <si>
    <t>Kuo, Chi-Yun; Melo-Flores, Lina; Aragon, Andrea; Oberweiser, Morgan M.; McMillan, W. Owen; Pardo-Diaz, Carolina; Salazar, Camilo; Merrill, Richard M.</t>
  </si>
  <si>
    <t>Divergent warning patterns influence male and female mating behaviours in a tropical butterfly</t>
  </si>
  <si>
    <t>Traits under divergent ecological selection that also function during mating can be important in maintaining species boundaries. Few studies have considered mutual mate choice, where both males and females base mating decisions on the same trait. Wing colouration in Heliconius butterflies evolved as a warning signal but also functions as a mating cue. We investigated the contribution of visual preference to assortative mating in an aposematic butterfly Heliconius cydno in the context of reproductive isolation with its sympatric, visually distinct relative Heliconius melpomene. Heliconius cydno have conspicuous white bands on their forewings, whereas those of H. melpomene are red in colour. We predicted that both sexes of H. cydno contributed to assortative mating by exhibiting visual preference towards conspecific wing colouration. We analysed published and new data from preference experiments, in which males were presented with conspecific and H. melpomene females. We also recorded female responses and mating outcomes in choice experiments, involving conspecific males with either the original white or artificially painted red forewing bands. Both sexes of H. cydno responded more positively towards the conspecific colouration, and males strongly preferred females of its own colours. In contrast, male colouration did not predict mating outcomes in female choice experiments. As courtships are initiated by males in butterflies, our findings suggest that female visual preference might be of secondary importance in H. cydno. Our data also suggest that the contribution of visual preference to reproductive isolation might be unequal between H. cydno and its sympatric relative H. melpomene. Graphical Abstract</t>
  </si>
  <si>
    <t>Melo-Florez, Lina/0000-0002-4624-0224; Oberweiser, Morgan/0009-0006-2968-4399; Merrill, Richard/0000-0003-4527-9298; Kuo, Chi-Yun/0000-0002-8533-9358</t>
  </si>
  <si>
    <t>10.1093/jeb/voae010</t>
  </si>
  <si>
    <t>WOS:001155391900001</t>
  </si>
  <si>
    <t>Baude, M; Danchin, É; Mugabo, M; Dajoz, I</t>
  </si>
  <si>
    <t>Baude, Mathilde; Danchin, Etienne; Mugabo, Marianne; Dajoz, Isabelle</t>
  </si>
  <si>
    <t>Conspecifics as informers and competitors: an experimental study in foraging bumble-bees</t>
  </si>
  <si>
    <t>Conspecifics are usually considered competitors negatively affecting food intake rates. However, their presence can also inform about resource quality by providing inadvertent social information. Few studies have investigated whether foragers perceive conspecifics as informers or competitors. Here, we experimentally tested whether variation in the density of demonstrators ('none', 'low' and 'high'), whose location indicated flower profitability, affected decision-making of bumble-bees Bombus terrestris. Bumble-bees foraged on either 'simple' (two colours) or 'complex' (four colours) artificial floral communities. We found that conspecifics at low density may be used as sources of information in first flower choices, whereas they appeared as competitors over the whole foraging sequence. Low conspecific densities improved foragers' first-visit success rate in the simple environment, and decreased time to first landing, especially in the complex environment. High conspecific densities did not affect these behavioural parameters, but reduced flower constancy in both floral communities, which may alter the efficiency of pollinating visits. These results suggest that the balance of the costs and benefits of conspecific presence varies with foraging experience, floral community and density. Spatio-temporal scales could thus be an important determinant of social information use. This behavioural flexibility should allow bumble-bees to better exploit their environment.</t>
  </si>
  <si>
    <t>Danchin, Etienne/A-2299-2009; Danchin, Etienne/AAB-2091-2021; Mugabo, Marianne/P-3527-2015</t>
  </si>
  <si>
    <t>Danchin, Etienne/0000-0002-5013-9612; Mugabo, Marianne/0000-0002-2346-2617</t>
  </si>
  <si>
    <t>10.1098/rspb.2010.2659</t>
  </si>
  <si>
    <t>WOS:000293733600015</t>
  </si>
  <si>
    <t>Ramos-Fabiel, MA; Martorell, C</t>
  </si>
  <si>
    <t>Alejandro Ramos-Fabiel, Melbi; Martorell, Carlos</t>
  </si>
  <si>
    <t>Testing competing hypotheses about the behaviour of floral visitors in mixed-flower stands</t>
  </si>
  <si>
    <t>ECOLOGICAL ENTOMOLOGY</t>
  </si>
  <si>
    <t>1. Plants occur in mixed stands and flower simultaneously. Most hypotheses about how flowers affect the visitation rates of conspecific or heterospecific neighbours involve attractiveness. Attractive flowers are thought to monopolise visitors, but also to act as magnets increasing visits to unattractive neighbours. Attractiveness may be density-dependent: Visitors could profit from focusing on abundant species, sometimes forming search images that make rare flowers less detectable. 2. We tested four hypotheses using data on visitation rates by honeybees (Apis melifera) and bee flies (Bombyliidae) to 1072 stands comprising six plant species in different densities. Hypotheses were compared through multi-model inference using the disc equation (a functional response model) modified for co-flowering species and density-dependent attractiveness. 3. We found that the most attractive flowers had attributes (colour, position, mobility) that elicit strong responses in the sensory apparatus of each type of visitor. 4. Attractiveness usually increased with conspecific floral density, indicating that visitors focus on abundant species. The most attractive flowers strongly reduced the attractiveness of their neighbours, reinforcing visitor monopolisation. However, mildly attractive species increased the attractiveness of less alluring flowers, acting as magnets. 5. In bombyliids, flowers increased the attractiveness of same-coloured heterospecifics but reduced it when colours differed, suggesting search-image formation. The results were similar for both types of visitors but were weaker and less consistent in honeybees. This suggests that Apis behaviour is not as rapidly adjusted to local densities as that of bombyliids, perhaps because of longer-term memory or a strong role of sociality in determining individual behaviour.</t>
  </si>
  <si>
    <t>0307-6946</t>
  </si>
  <si>
    <t>1365-2311</t>
  </si>
  <si>
    <t>10.1111/een.13098</t>
  </si>
  <si>
    <t>OCT 2021</t>
  </si>
  <si>
    <t>WOS:000711895800001</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</si>
  <si>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</si>
  <si>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</si>
  <si>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</si>
  <si>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</si>
  <si>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Schwartz, Todd/D-4995-2012; Olsson, Mats/AAK-5565-2021</t>
  </si>
  <si>
    <t>Schwartz, Todd/0000-0002-0232-2543; Olsson, Mats/0000-0002-4130-1323; Schwartz, Tonia/0000-0002-7712-2810</t>
  </si>
  <si>
    <t>10.1016/j.anbehav.2008.10.017</t>
  </si>
  <si>
    <t>WOS:000262709400018</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</si>
  <si>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</si>
  <si>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</si>
  <si>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</si>
  <si>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</si>
  <si>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Schlupp, Ingo/C-3913-2012; Bumm, Lloyd/B-5738-2011</t>
  </si>
  <si>
    <t>Bumm, Lloyd/0000-0003-2301-8193</t>
  </si>
  <si>
    <t>10.1111/eth.12664</t>
  </si>
  <si>
    <t>WOS:000414036700013</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</si>
  <si>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</si>
  <si>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</si>
  <si>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</si>
  <si>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</si>
  <si>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</si>
  <si>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</si>
  <si>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Goldsmith, TH; Butler, BK</t>
  </si>
  <si>
    <t>The roles of receptor noise and cone oil droplets in the photopic spectral sensitivity of the budgerigar, Melopsittacus undulatus</t>
  </si>
  <si>
    <t>JOURNAL OF COMPARATIVE PHYSIOLOGY A-NEUROETHOLOGY SENSORY NEURAL AND BEHAVIORAL PHYSIOLOGY</t>
  </si>
  <si>
    <t>Individual budgerigars (Melopsittacus undulatus) were taught to detect narrow bands of wavelengths under ambient illumination of known spectral composition. Because the cone pigments of this species of bird have been identified and data on carotenoid absorbance present in the cone oil droplets are available, predictions of the Vorobyev-Osorio equations can be calculated with reasonable confidence. Based on more than 27,600 individual choices made by several birds at 10 wavelengths, the photopic sensitivity (i.e., color thresholds) of these birds is found to be consistent with the hypothesis that threshold discrimination of colored targets is limited by receptor noise And that high sensitivity to near-ultraviolet wavelengths is in harmony with the relatively small number of ultraviolet cones present in the retina. The pronounced fine structure of the sensitivity spectrum is caused by the absorption of cone oil droplets. Under natural sunlight, containing more energy in the near-ultraviolet than is present in artificial indoor lighting, the birds' peak of sensitivity in the ultraviolet should be much less prominent than it is in laboratory experiments.</t>
  </si>
  <si>
    <t>0340-7594</t>
  </si>
  <si>
    <t>10.1007/s00359-002-0385-8</t>
  </si>
  <si>
    <t>WOS:000181896800007</t>
  </si>
  <si>
    <t>Polaciková, L; Stokke, BG; Procházka, P; Honza, M; Moksnes, A; Roskaft, E</t>
  </si>
  <si>
    <t>Polacikova, Lenka; Stokke, Bard G.; Prochazka, Petr; Honza, Marcel; Moksnes, Arne; Roskaft, Eivin</t>
  </si>
  <si>
    <t>The role of blunt egg pole characteristics for recognition of eggs in the song thrush (Turdus philomelos)</t>
  </si>
  <si>
    <t>Colour and speckling of avian eggshells play important roles in egg recognition behaviour. However, only a few studies have paid attention to whether specific parts of eggs may be more important than others in rejection decisions by hosts. We hypothesised that the blunt pole in song thrush (Turdus philomelos) eggs possesses important cues for recognition of own eggs because this is the most visible part of the egg in the nest. We examined host response towards conspecific eggs painted blue either at the blunt or sharp poles, and used unpainted conspecific eggs as a control. We found, as predicted, that the experimental eggs painted blue at the blunt poles were rejected significantly more often than the experimental eggs unpainted at this pole. Rejection rates of experimental eggs were higher with increasing differences in number of spots between the two poles of own eggs. Our results confirmed that the essential cues used for egg discrimination in song thrushes are found at the blunt egg pole.</t>
  </si>
  <si>
    <t>Polacikova, Lenka/G-1109-2014; Røskaft, Eivin/N-7476-2019; ASCR, IVB/A-9883-2011; Procházka, Petr/A-9727-2008; Honza, Marcel/A-1123-2011</t>
  </si>
  <si>
    <t>Røskaft, Eivin/0000-0003-0262-8443; Procházka, Petr/0000-0001-9385-4547;</t>
  </si>
  <si>
    <t>10.1163/000579509X12584427339575</t>
  </si>
  <si>
    <t>WOS:000277127600003</t>
  </si>
  <si>
    <t>Aouissi, HA; Ababsa, M; Gaagai, A; Bouslama, Z; Farhi, Y; Chenchouni, H</t>
  </si>
  <si>
    <t>Aouissi, Hani Amir; Ababsa, Mostefa; Gaagai, Aissam; Bouslama, Zihad; Farhi, Yassine; Chenchouni, Haroun</t>
  </si>
  <si>
    <t>Does melanin-based plumage coloration reflect health status of free-living birds in urban environments?</t>
  </si>
  <si>
    <t>Background Ecological functions and processes in urban ecosystems are governed by various human activities. City-adapted and city-exploiting animal species are expected to present certain specific behavioral and physiological traits in comparison to city-avoiders or conspecific individual frequenting less urbanized or rural environments. A trait of high importance, the plumage color polymorphism has been selected as the main study model and was correlated with different morphological and physiological parameters to highlight its importance in determining the possible health status of urban Feral Pigeons (Columba livia) in North African urban habitats. Methods Different body morphometrics, hematological and hemoparasitic parameters were quantified on free-living Feral Pigeons in urban environments of northern Algeria. Moreover, plumage melanin-based coloration (MBC) was measured and the data collected at the individual scale was correlated with the previous parameters using linear and non-linear modeling approaches. Results Plumage MBC scores of the sampled Feral Pigeons ranged between 0.3% and 74.8%. Among the 12 morphological traits measured, body weight, tail length and total length were deemed to be positively correlated with MBC. Darker morphs appeared to have more hemoparasites compared to lighter pigeons. Quite the same observation goes with the immunity but with non-linear trends. The number of monocytes and granulocytes increased with the increase in MBC levels in lighter morphs, while pigeons with high MBC scores exhibited negative relationships between MBC levels and the number of white blood cells. Conclusions Despite the existence of a number of studies demonstrating phenotypic directional selection, further studies are undoubtedly necessary to understand in detail the underlying mechanisms in species life-history strategies between differently colored individuals. Findings of this correlative study open exciting perspectives revealing that MBC can be considered a good indicator of and health status and adaptation strategies to changes in urban environments.</t>
  </si>
  <si>
    <t>ababsa, mostefa/GOG-8295-2022; Chenchouni, Haroun/I-7494-2012; Farhi, Yassine/AAZ-3041-2021; Aouissi, H.A/ABG-3971-2020; Gaagai, Aissam/ACM-0028-2022</t>
  </si>
  <si>
    <t>ababsa, mostefa/0000-0002-0388-7175; Chenchouni, Haroun/0000-0001-9077-2706; Gaagai, Aissam/0000-0002-9646-2837; Yassine, FARHI/0000-0001-9506-4952; Aouissi, HA/0000-0003-0010-657X</t>
  </si>
  <si>
    <t>SEP 14</t>
  </si>
  <si>
    <t>10.1186/s40657-021-00280-7</t>
  </si>
  <si>
    <t>WOS:000695827100001</t>
  </si>
  <si>
    <t>WILSON, MA; GATTEN, RE</t>
  </si>
  <si>
    <t>AEROBIC AND ANAEROBIC METABOLISM OF PAIRED MALE LIZARDS (ANOLIS-CAROLINENSIS)</t>
  </si>
  <si>
    <t>The associations of physical activity, skin color, body mass difference and conspecific olfactory cues with short-term aerobic and anaerobic metabolism in paired male Anolis carolinensis were examined. Control measurements for mild laboratory manipulation (such as the movement of a metabolic chamber) yielded significant increases in the rate of oxygen consumption, but not in the lactate concentration of these animals; stronger manipulation increased both. A possible influence of conspecific olfactory cues on the metabolism of lizards introduced into empty chambers was undetected. Anoles that turned from green to brown with handling showed an increase in oxygen uptake, but an association between this color shift and total body lactate level was not detected. Elevated rates of oxygen use and glycolysis were found in pairs of males in the absence of physical activity. Lactate levels of the individuals of a pair were positively correlated with one another; the lactate concentrations of lizards placed into occupied metabolic chambers were correlated with the difference in body mass of the pair.</t>
  </si>
  <si>
    <t>10.1016/0031-9384(89)90201-1</t>
  </si>
  <si>
    <t>WOS:A1989CE14400011</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</si>
  <si>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</si>
  <si>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</si>
  <si>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</si>
  <si>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</si>
  <si>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</si>
  <si>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</si>
  <si>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DEMARTINI, EE</t>
  </si>
  <si>
    <t>SOCIAL-BEHAVIOR AND COLORATION CHANGES IN PAINTED GREENLING, OXYLEBIUS-PICTUS (PISCES, HEXAGRAMMIDAE)</t>
  </si>
  <si>
    <t>Underwater observations in Puget Sound, Washington [USA] and off Cannery Row, Monterey, California, were used to characterize the courtship behavior of Oxylebius pictus. Observations during the nonbreeding season in Puget Sound allowed distinction between courtship and superficially similar agonistic behaviors. In Puget Sound, adult male O. pictus were territorial and the adults of both sexes were intraspecifically aggressive throughout the year. Total levels of aggression were similar during the breeding and nonbreeding seasons on Washington reefs, where intersexual aggression was equivalent during the two periods. More male-male aggression occurred in the breeding season than during the nonbreeding period in Puget Sound, when males also attacked other males more frequently than they attacked females. Most female aggression occurred during the nonbreeding season and was directed at other females. Fundamental sexual dichromatism in O. pictus is modified during courtship and during agonistic interactions between individuals of the same or opposite sex. Behavioural modification of sexual dichromatisms in O. pictus and other hexagrammids is compared to the patterns of sexual color differences known for other teleosts. Sexual color patterns are discussed in relation to niche partitioning and agonistic and epigamic sexual selection.</t>
  </si>
  <si>
    <t>DeMartini, Edward/KIE-6411-2024</t>
  </si>
  <si>
    <t>WOS:A1985AXC0800019</t>
  </si>
  <si>
    <t>Marshall, KLA; Stevens, M</t>
  </si>
  <si>
    <t>Marshall, Kate L. A.; Stevens, Martin</t>
  </si>
  <si>
    <t>Wall lizards display conspicuous signals to conspecifics and reduce detection by avian predators</t>
  </si>
  <si>
    <t>Visual signals are often under conflicting selection to be hidden from predators while being conspicuous to mates and rivals. Here, we investigated whether 3 different island populations of Aegean wall lizards (Podarcis erhardii) with variable coloration among diverse island habitats exhibit simultaneous camouflage and sexual signals. We examined whether signals appear better tuned to conspecific vision as opposed to that of avian predators, and whether background-matching camouflage and sexual signals are partitioned to specific body regions. This could facilitate both covert sexual signaling and camouflage according to the viewing perspectives of predators and conspecifics. We found that lizards typically appeared twice as conspicuous to conspecifics than to avian predators against the same visual background, largely due to lizards' enhanced sensitivity to ultraviolet, suggesting that P. erhardii signals are tuned to conspecific vision to reduce detection by predators. Males were more conspicuous than females to both predators and conspecifics. In 2 populations, male backs were relatively more camouflaged to predators compared to signaling flanks, whereas in females, exposed and concealed surfaces were camouflaged to predators and generally did not differ in background matching. These findings indicate that lizard coloration evolves under the competing demands of natural and sexual selection to promote signals that are visible to conspecifics while being less perceptible to avian predators. They also elucidate how interactions between natural and sexual selection influence signal detectability and partitioning to different body regions, highlighting the importance of considering receiver vision, viewing perspectives, and signaling environments in studies of signal evolution.Lizards and their predators see the world differently, allowing lizards (Podarcis erhardii) to display bright sexual signals that are less visible to hunting birds. Males are more conspicuous than females, but reduce their visibility to predators by having camouflaged backs and restricting brighter signals to their sides, which makes them less visible to birds hunting from above while still being highly visible to mates and rivals on the ground.</t>
  </si>
  <si>
    <t>Stevens, Martin/0000-0001-7768-3426</t>
  </si>
  <si>
    <t>10.1093/beheco/aru126</t>
  </si>
  <si>
    <t>WOS:000345432900014</t>
  </si>
  <si>
    <t>Kondo, N; Izawa, E</t>
  </si>
  <si>
    <t>Kondo, Noriko; Izawa, Eiichi</t>
  </si>
  <si>
    <t>Individual differences in facial configuration in large-billed crows</t>
  </si>
  <si>
    <t>The recognition of individuals is a basic cognitive ability of social animals. A prerequisite for individual recognition is distinct characteristics that can be used to distinguish between other conspecific individuals. Studies of birds have shown that visual information, such as colour patterning, is used in individual recognition. However, in the case of monochromatic birds, colour patterning cannot be used to identify individuals. Therefore, we expected that the configuration of facial features, such as the shape of the bills or eyes, may have enough individuality to permit individual recognition in such species. In this study, we aimed to clarify visible individual differences in the facial configuration of large-billed crows (Corvus macrorhynchos). Specifically, we analysed the profile pictures of 16 crows. We measured 26 variables in 20 pictures of each bird and then performed principal component analysis and discriminant function analysis. The results showed that the configuration of the facial profiles was individually distinct, but re-classification by discriminant functions implied that it did not clearly differ between sexes. These results suggest that crows may be able to recognise individuals on the basis of the individuality of facial configuration, even in the absence of any conspicuous colour patterning.</t>
  </si>
  <si>
    <t>10.1007/s10211-013-0156-2</t>
  </si>
  <si>
    <t>WOS:000331631900006</t>
  </si>
  <si>
    <t>Waddell, JC; Caputi, AA</t>
  </si>
  <si>
    <t>Waddell, Joseph C.; Caputi, Angel A.</t>
  </si>
  <si>
    <t>Electrocommunication in pulse Gymnotiformes: the role of electric organ discharge (EOD) time course in species identification</t>
  </si>
  <si>
    <t>Understanding how individuals detect and recognize signals emitted by conspecifics is fundamental to discussions of animal communication. The species pair Gymnotus omarorum and Brachyhypopomus gauderio, found in syntopy in Uruguay, emit species-specific electric organ discharge (EOD) that can be sensed by both species. The aim of this study was to unveil whether either of these species is able to identify a conspecific EOD, and to investigate distinctive recognition signal features. We designed a forced-choice experiment using a natural behavior (i.e. tracking electric field lines towards their source) in which each fish had to choose between a conspecific and a heterospecific electric field. We found a clear pattern of preference for a conspecific waveform even when pulses were played within 1 Hz of the same rate. By manipulating the time course of the explored signals, we found that the signal features for preference between conspecific and heterospecific waveforms were embedded in the time course of the signals. This study provides evidence that pulse Gymnotiformes can recognize a conspecific exclusively through species-specific electrosensory signals. It also suggests that the key signal features for species differentiation are probably encoded by burst coder electroreceptors. Given these results, and because receptors are sharply tuned to amplitude spectra and also tuned to phase spectra, we extend the electric color hypothesis used in the evaluation of objects to apply to communication signals.</t>
  </si>
  <si>
    <t>CAPUTI, ANGEL/0000-0002-7238-0538; Waddell, Joseph/0000-0003-4397-0704</t>
  </si>
  <si>
    <t>jeb226340</t>
  </si>
  <si>
    <t>10.1242/jeb.226340</t>
  </si>
  <si>
    <t>WOS:000576694400015</t>
  </si>
  <si>
    <t>Jones, CW; Risi, MM; Osborne, A; Bester, MN</t>
  </si>
  <si>
    <t>Jones, Christopher W.; Risi, Michelle M.; Osborne, Alexis; Bester, Marthan N.</t>
  </si>
  <si>
    <t>First record of a leucistic sub-Antarctic fur seal</t>
  </si>
  <si>
    <t>Anomalous pelage colourations have been reported to occur in several pinniped species and can potentially be used to assess gene flow amongst conspecific populations. Aberrant pelage colour has not been documented in sub-Antarctic fur seals Arctocephalus tropicalis older than pups. Sub-Antarctic fur seals were inspected on two of the beaches at Gough Island, South Atlantic Ocean, in the austral summer of 2018/19. A leucistic adult male was sighted on 09 January 2019, the first recorded leucistic individual for the species. Given the apparent extreme rarity of leucism in this sub-Antarctic pinniped species, it is unlikely to contribute to assessment of gene flow amongst conspecific populations.</t>
  </si>
  <si>
    <t>Jones, Christopher/0000-0002-4112-1912</t>
  </si>
  <si>
    <t>1432-2056</t>
  </si>
  <si>
    <t>10.1007/s00300-019-02506-3</t>
  </si>
  <si>
    <t>WOS:000470694200016</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</si>
  <si>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</si>
  <si>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</si>
  <si>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</si>
  <si>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</si>
  <si>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Webster, Michael/AAB-7151-2020</t>
  </si>
  <si>
    <t>Webster, Michael/0000-0001-7585-4578</t>
  </si>
  <si>
    <t>10.1016/j.anbehav.2009.02.027</t>
  </si>
  <si>
    <t>WOS:000266884200022</t>
  </si>
  <si>
    <t>Brazill-Boast, J</t>
  </si>
  <si>
    <t>Brazill-Boast, James</t>
  </si>
  <si>
    <t>Competition for resources mediated by intrinsic social dominance in sympatric finches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</si>
  <si>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</si>
  <si>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</si>
  <si>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10.1111/j.1474-919X.2012.01264.x</t>
  </si>
  <si>
    <t>WOS:000316326600017</t>
  </si>
  <si>
    <t>STACEY, PB; CHISZAR, D</t>
  </si>
  <si>
    <t>BODY COLOR PATTERN AND AGGRESSIVE-BEHAVIOR OF MALE PUMPKINSEED SUNFISH (LEPOMIS-GIBBOSUS) DURING REPRODUCTIVE SEASON</t>
  </si>
  <si>
    <t>Male pumpkinseed sunfish (L. gibbosus) readily attacked plywood models placed into their nests. Models containing red features (iris, opercular flap) received more attacks and aggressive displays than models lacking these features or than models which had these features painted black. This indicates that in the pattern of the male pumpkinseed, the red portion of the opercular flap and the red iris are social releasers for aggressive behavior. These features fade in subordinate pumpkinseeds in the laboratory and also in female pumpkinseeds before they enter the male''s nest during reproduction. This pattern change would therefore function to decrease aggressive behavior directed at these individuals. A conspicuous feature of the female pumpkinseed is the presence of lateral bars. When bars were added to models, reductions in aggressive behavior were consistently observed. Bars appeared to inhibit male aggression. Bluegill sunfish (L. macrochirus) nest sympatrically with pumpkinseeds and interspecific nest defense was commonly seen. A conspicuous feature of male bluegills is a dark spot in the area of the dorsal fin rays. When such a spot is added to models, increases in aggressive behavior were observed in male pumpkinseeds. This feature may provide a basis for interspecific recognition and reproductive isolation. Pumpkinseeds responded more vigorously to models than did bluegills. This may imply that the former are more attuned to morphological features than the latter. Bluegills may be more attuned to the behavior of nest intruders. This hypothesis agrees with differences in the nesting ecology of these species.</t>
  </si>
  <si>
    <t>10.1163/156853978X00062</t>
  </si>
  <si>
    <t>WOS:A1978EY03400006</t>
  </si>
  <si>
    <t>de León, JLP; León, G; Rodríguez, R; Metcalfe, CJ; Hernández, D; Casane, D; García-Machado, E</t>
  </si>
  <si>
    <t>Ponce de Leon, Jose Luis; Leon, Gunnary; Rodriguez, Rodet; Metcalfe, Cushla J.; Hernandez, Damir; Casane, Didier; Garcia-Machado, Erik</t>
  </si>
  <si>
    <t>Phylogeography of Cuban Rivulus: Evidence for allopatric speciation and secondary dispersal across a marine barrier</t>
  </si>
  <si>
    <t>MOLECULAR PHYLOGENETICS AND EVOLUTION</t>
  </si>
  <si>
    <t>The genus Rivulus is currently comprised of two species. R. cylindraceus and R. insulaepinorum, which are endemic to Cuba. However, the taxonomic status of the latter species remains dubious because of the poor quality of the original description. In addition, a recent barcoding survey suggests that the two species may be conspecific. The aim of this study was to test the hypothesis that the two species represent a single evolutionary clade. To delimit the species and their evolutionary history, we used a combination of molecular phylogenetic analyses, with both mitochondrial and nuclear sequences, tests of phylogeographic hypotheses, combined with morphological measurements and information on known dispersal barriers and species distribution. None of the data sets support R. insulaepinorum and R. cylindraceus as separate taxa. However, a new species, restricted to the northwestern part of the main island, was identified by phylogenetic analyses, body colour pattern and geographical distribution. The evolutionary distance between the two lineages (cytb, d = 15%; CAM-4, d = 2.5%) indicates a long period of divergence. Phylogeographic analyses shed light on the dispersal history of R. cylindraceus, which probably originated on the Isla de la Juventud. They also suggest that each lineage had contrasting histories; Rivulus sp. is restricted to a relatively small geographic area whereas R. cylindraceus has dispersed considerably and more than once from its centre of origin, probably facilitated by sea level fluctuations. These results strengthen previous findings, i.e. that the diversity of Cuban freshwater fishes is far from well-known and deserves more in-depth studies, and that vicariance and dispersal events have resulted in a complex biogeographical landscape which has had a significant impact on the freshwater fishes of the Caribbean islands. (C) 2014 Elsevier Inc. All rights reserved.</t>
  </si>
  <si>
    <t>Rodriguez-Silva, Rodet/AAP-8524-2020; Metcalfe, Cushla/GSI-8011-2022; Metcalfe, Cushla/D-2476-2013</t>
  </si>
  <si>
    <t>Metcalfe, Cushla/0000-0001-9375-3332; Metcalfe, Cushla/0000-0001-9375-3332; Garcia-Machado, Erik/0000-0001-5720-1733; Rodriguez Silva, Rodet/0000-0002-7463-8272</t>
  </si>
  <si>
    <t>1055-7903</t>
  </si>
  <si>
    <t>1095-9513</t>
  </si>
  <si>
    <t>10.1016/j.ympev.2014.07.007</t>
  </si>
  <si>
    <t>WOS:000342884800034</t>
  </si>
  <si>
    <t>Costanzo, A; Romano, A; Ambrosini, R; Parolini, M; Rubolini, D; Caprioli, M; Corti, M; Canova, L; Saino, N</t>
  </si>
  <si>
    <t>Costanzo, Alessandra; Romano, Andrea; Ambrosini, Roberto; Parolini, Marco; Rubolini, Diego; Caprioli, Manuela; Corti, Margherita; Canova, Luca; Saino, Nicola</t>
  </si>
  <si>
    <t>Barn swallow antipredator behavior covaries with melanic coloration and predicts survival</t>
  </si>
  <si>
    <t>Conspecific individuals often consistently differ in their behavioral responses to specific exogenous stimuli. Such individual differences in personality have been shown to be heritable, suggesting that selection maintains variation in personality. However, survival selection on a major personality trait, antipredator behavior, and its sex-dependency, has been seldom measured in the wild. Here, we found that yearling barn swallows (Hirundo rustica) showed consistency in agitation upon repeated exposure to a restraint-handling protocol, probably reflecting antipredator behavior, and that males were more agitated than females. Females that exhibited larger antipredator behavior were more likely to survive until the next breeding season with no variation among 3 study years nor across 7 breeding colonies, suggesting that variation in antipredator behavior is not maintained by spatiotemporal variation in viability selection on antipredator behavior. In both sexes, the intensity of melanin-based ventral plumage coloration positively covaried with antipredator behavior, consistent with previous observations from diverse vertebrate species. In some barn swallow populations, male coloration is targeted by directional intersexual selection, suggesting that melanization signals antipredator behavior to prospecting females and that sexual selection for antipredator behavior, or other correlated personality traits, can drive the evolution of sexual color dimorphism in barn swallows. Thus, we showed that viability selection occurs on antipredator behavior and that spatiotemporal variation in selection has no major role in promoting variation in antipredator behavior. More melanized individuals were more agitated, implying that melanization may signal personality in a sexual communication context in a species where male coloration is an epigamic trait.</t>
  </si>
  <si>
    <t>Rubolini, Diego/F-2851-2011; Corti, Margherita/AAB-4900-2022; Romano, Andrea/A-2780-2017; CORTI, MARGHERITA/AAD-2943-2022; Ambrosini, Roberto/F-3188-2012; costanzo, alessandra/A-3899-2017</t>
  </si>
  <si>
    <t>Rubolini, Diego/0000-0003-2703-5783; Romano, Andrea/0000-0002-0945-6018; CORTI, MARGHERITA/0000-0002-5064-1223; Ambrosini, Roberto/0000-0002-7148-1468; costanzo, alessandra/0000-0003-3781-0798; Parolini, Marco/0000-0003-0226-1709</t>
  </si>
  <si>
    <t>10.1093/beheco/ary102</t>
  </si>
  <si>
    <t>WOS:000453209600037</t>
  </si>
  <si>
    <t>Kemp, DJ</t>
  </si>
  <si>
    <t>Kemp, Darrell J.</t>
  </si>
  <si>
    <t>Female butterflies prefer males bearing bright iridescent ornamentation</t>
  </si>
  <si>
    <t>Butterflies are among nature's most colourful animals, and provide a living showcase for how extremely bright, chromatic and iridescent coloration can be generated by complex optical mechanisms. The gross characteristics of male butterfly colour patterns are understood to function for species and/or sex recognition, but it is not known whether female mate choice promotes visual exaggeration of this coloration. Here I show that females of the sexually dichromatic species Hypolimnas bolina prefer conspecific males that possess bright iridescent blue/ultraviolet dorsal ornamentation. In separate field and enclosure experiments, using both dramatic and graded wing colour manipulations, I demonstrate that a moderate qualitative reduction in signal brightness and chromaticity has the same consequences as removing the signal entirely. These findings validate a long-held hypothesis, and argue for the importance of intra- versus interspecific selection as the driving force behind the exaggeration of bright, iridescent butterfly colour patterns.</t>
  </si>
  <si>
    <t>10.1098/rspb.2006.0043</t>
  </si>
  <si>
    <t>WOS:000245472200005</t>
  </si>
  <si>
    <t>GILL, FB</t>
  </si>
  <si>
    <t>ALLOZYMES AND GENETIC SIMILARITY OF BLUE-WINGED AND GOLDEN-WINGED WARBLERS</t>
  </si>
  <si>
    <t>I studied variation in plumage color and allozymes in Golden-winged Warblers (Vermivora chrysoptera) from Minnesota and in Glue-winged Warblers (V. pinus) from Missouri and from eastern Pennsylvania. Color character scores were less than 2 in Missouri pinus and greater than 26 in Minnesota chrysoptera. The level of genetic divergence (D = 0.001) is comparable to that of conspecific populations of other passerine birds. I found no fixed alleles that could serve as genetic markers for studies of the evolutionary genetics of these warblers.</t>
  </si>
  <si>
    <t>10.2307/4087543</t>
  </si>
  <si>
    <t>WOS:A1987J266100010</t>
  </si>
  <si>
    <t>Sánchez-Guillén, RA; Martínez-Zamilpa, SMJ; Jiménez-Cortés, JG; Forbes, MRL; Córdoba-Aguilar, A</t>
  </si>
  <si>
    <t>Sanchez-Guillen, R. A.; Martinez-Zamilpa, S. M. J.; Jimenez-Cortes, J. G.; Forbes, M. R. L.; Cordoba-Aguilar, A.</t>
  </si>
  <si>
    <t>Maintenance of polymorphic females: do parasites play a role?</t>
  </si>
  <si>
    <t>The role of parasites in explaining maintenance of polymorphism is an unexplored research avenue. In odonates, female-limited color polymorphism (one female morph mimicking the conspecific male and one or more gynochromatic morphs) is widespread. Here we investigated whether parasitism contributes to color polymorphism maintenance by studying six species of female dimorphic damselflies using large databases of field-collected animals. We predicted that androchrome females (male mimics) would be more intensively parasitized than gynochrome females which is, according to previous studies, counterbalanced by the advantages of the former when evading male harassment compared to gynochrome females. Here we show that in Ischnura denticollis and Enallagma novahispaniae, androchrome females suffer from a higher degree of parasitism than gynochromatic females, and contrary to prediction, than males. Thus, our study has detected a correlation between color polymorphism and parasitic burden in odonates. This leads us to hypothesize that natural selection, via parasite pressure, can explain in part how androchrome and gynochrome female color morphs can be maintained. Both morphs may cope with parasites in a different way: given that androchrome females are more heavily parasitized, they may pay a higher fecundity costs, in comparison to gynochrome females.</t>
  </si>
  <si>
    <t>Forbes, Mark R/B-3575-2013; Cordero-Rivera, Adolfo/K-4182-2014; Jiménez-Cortés, J. Guillermo/AAS-3309-2020; Sanchez Guillen, Rosa Ana/Q-5714-2018</t>
  </si>
  <si>
    <t>Jiménez-Cortés, J. Guillermo/0000-0003-1783-5971; Forbes, Mark/0000-0002-2288-3209; Sanchez Guillen, Rosa Ana/0000-0001-6024-8321</t>
  </si>
  <si>
    <t>10.1007/s00442-012-2388-7</t>
  </si>
  <si>
    <t>WOS:000313079100010</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</si>
  <si>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</si>
  <si>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</si>
  <si>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</si>
  <si>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</si>
  <si>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</si>
  <si>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Pruett, JA; Zúñiga-Vega, JJ; Campos, SM; Soini, HA; Novotny, MV; Vital-García, C; Martins, EP; Hews, DK</t>
  </si>
  <si>
    <t>Pruett, Jake A.; Zuniga-Vega, J. Jaime; Campos, Stephanie M.; Soini, Helena A.; Novotny, Milos V.; Vital-Garcia, Cuauhcihuatl; Martins, Emilia P.; Hews, Diana K.</t>
  </si>
  <si>
    <t>Evolutionary Interactions Between Visual and Chemical Signals: Chemosignals Compensate for the Loss of a Visual Signal in Male Sceloporus Lizards</t>
  </si>
  <si>
    <t>JOURNAL OF CHEMICAL ECOLOGY</t>
  </si>
  <si>
    <t>Animals rely on multimodal signals to obtain information from conspecifics through alternative sensory systems, and the evolutionary loss of a signal in one modality may lead to compensation through increased use of signals in an alternative modality. We investigated associations between chemical signaling and evolutionary loss of abdominal color patches in males of four species (two plain-bellied and two colorful-bellied) of Sceloporus lizards. We conducted field trials to compare behavioral responses of male lizards to swabs with femoral gland (FG) secretions from conspecific males and control swabs (clean paper). We also analyzed the volatile organic compound (VOC) composition of male FG secretions by stir bar extraction and gas chromatography-mass spectrometry (GC-MS) to test the hypothesis that loss of the visual signal is associated with elaboration of the chemical signal. Males of plain-bellied, but not colorful-bellied species exhibited different rates of visual displays when exposed to swabs of conspecific FG secretions relative to control swabs. The VOC composition of male Sceloporus FG secretions was similar across all four species, and no clear association between relative abundances of VOCs and evolutionary loss of abdominal color patches was observed. The emerging pattern is that behavioral responses to conspecific chemical signals are species-and context-specific in male Sceloporus, and compensatory changes in receivers, but not signalers may be involved in mediating increased responsiveness to chemical signals in males of plain-bellied species.</t>
  </si>
  <si>
    <t>Vital, Cuau/AAQ-8145-2020; Zúñiga-Vega, J. Jaime/B-9423-2013</t>
  </si>
  <si>
    <t>Zúñiga-Vega, J. Jaime/0000-0002-9661-1521; Martins, Emilia/0000-0002-8952-3240; Vital Garcia, Cuauhcihuatl/0000-0002-3634-2964; Pruett, Jake/0000-0002-6421-0715</t>
  </si>
  <si>
    <t>0098-0331</t>
  </si>
  <si>
    <t>1573-1561</t>
  </si>
  <si>
    <t>10.1007/s10886-016-0778-8</t>
  </si>
  <si>
    <t>WOS:000388808300007</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</si>
  <si>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</si>
  <si>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</si>
  <si>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</si>
  <si>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</si>
  <si>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Volpato, Gilson L/B-2304-2008; Barreto, Rodrigo Egydio/A-3440-2013</t>
  </si>
  <si>
    <t>Barreto, Rodrigo Egydio/0000-0002-4611-0059</t>
  </si>
  <si>
    <t>10.1016/j.zool.2010.09.001</t>
  </si>
  <si>
    <t>WOS:000289139000007</t>
  </si>
  <si>
    <t>Marchand, D; McNeil, JN</t>
  </si>
  <si>
    <t>Avoidance of intraspecific competition via host modification in a grazing, fruit-eating insect</t>
  </si>
  <si>
    <t>Insects feeding on plants may induce chemical and physical changes in the host plants. Here, we present evidence of host plant modification following an insect attack that may be associated with a reduction in intraspecific competition for food. We demonstrate that feeding by larvae of the cranberry fruitworm, Acrobasis vaccinii, induces a change in fruit colour (from green to red) of cranberry fruits, Vaccinium oxycoccos, that is associated with a significant increase in the concentration of anthocyanin. Host fruit colour affected larval foraging behaviour and food acceptance: significantly more cranberry fruitworm larvae were attracted to, and accepted, green rather than red fruits. Our experiments suggest that fruit reddening also prevents exploitation by conspecific larvae of other green fruits adjacent to the attacked fruit. (C) 2004 The Association for the Study of Animal Behaviour. Published by Elsevier Ltd. All rights reserved.</t>
  </si>
  <si>
    <t>10.1016/j.anbehav.2003.03.017</t>
  </si>
  <si>
    <t>WOS:000220540800003</t>
  </si>
  <si>
    <t>Heyes, C; Saggerson, A</t>
  </si>
  <si>
    <t>Testing for imitative and nonimitative social learning in the budgerigar using a two-object/two-action test</t>
  </si>
  <si>
    <t>Male and female juvenile budgerigars, Melopsittacus undulatus, were allowed to observe a conspecific demonstrator using its beak to remove one of two distinctively coloured objects (i.e. a blue and a black stopper) from a hole in the lid of a box and eating seed from within. Both objects could be removed by either pulling up or pushing down. When subsequently allowed access to both stoppers, and rewarded with food for all removal responses, regardless of the object to which they were made and their direction, observer birds removed both stoppers in the same direction as their demonstrator. This effect was present on the first occasion when observers removed a stopper, and persisted over at least 24 trials. Female observers made more removal responses than males, but conspecific observation had equivalent effects on direction of responding in males and females. All observers tended to approach the same object as their demonstrator when the objects were discriminable using both spatial and colour cues, but not when they differed in colour alone. Contrary to previous findings, these results suggest that robust behavioural matching effects can be obtained in budgerigars, and that these birds are capable of motor imitation or emulation. (C) 2002 The Association for the Study of Animal Behaviour. Published by Elsevier Science Ltd. All rights reserved.</t>
  </si>
  <si>
    <t>10.1006/anbe.2003.2002</t>
  </si>
  <si>
    <t>WOS:000180910400003</t>
  </si>
  <si>
    <t>Ciccotto, PJ; Gumm, JM; Mendelson, TC</t>
  </si>
  <si>
    <t>Ciccotto, Patrick J.; Gumm, Jennifer M.; Mendelson, Tamra C.</t>
  </si>
  <si>
    <t>Male Association Preference for Conspecifics in the Redband Darter, Etheostoma luteovinctum (Teleostei: Percidae) Based on Visual Cues</t>
  </si>
  <si>
    <t>Divergent visual signals and associated mate preferences are frequently hypothesized to result in behavioral isolation between species lineages. Females are traditionally predicted to be the choosier sex, using visual cues such as male color to facilitate mate recognition and assessment. However, a number of authors have hypothesized that males also are selective in choosing mates and that male preferences can be important in maintaining behavioral isolation. Darters of the genus Etheostoma (Percidae) are a diverse group of sexually dimorphic fishes in which males of most species exhibit elaborate nuptial coloration during spawning seasons. Male coloration is hypothesized to play a role in maintaining behavioral isolation between darter species, and females show association preferences for conspecific male coloration. However, the degree to which males exhibit preferences for conspecific female visual cues is less clear. We examined conspecific association preferences based only on visual signals in male Redband Darter, Etheostoma luteovinctum. We presented individuals with a choice of a conspecific female or a female E. hopkinsi, a heterospecific that is almost completely behaviorally isolated from E. luteovinctum and differs in coloration and body shape. Males exhibited a statistically significant association preference for conspecifics in dichotomous choice trials where only visual cues were available. This is the first study to document a significant conspecific association preference in males of a darter species, providing evidence that males may contribute to behavioral isolation from E. hopkinsi. Differences in female coloration, body shape, or behavior appear to serve as important signals that would help maintain behavioral isolation between E. luteovinctum and E. hopkinsi upon secondary contact.</t>
  </si>
  <si>
    <t>10.1643/CE-12-056</t>
  </si>
  <si>
    <t>WOS:000411881100019</t>
  </si>
  <si>
    <t>Hoefler, CD; Morris, MR</t>
  </si>
  <si>
    <t>A technique for the temporary application and augmentation of pigment patterns in fish</t>
  </si>
  <si>
    <t>Secondary sexual characteristics, such as pigment patterns in male fish, have significant roles in female mating preferences. Vertical body-bar pigmentation, one such characteristic, is found in a variety of Xiphophorus species. Prior investigations have revealed that these bars function as a signal attracting females and deterring rival males in at least two species. Furthermore, it has been shown that X. cortezi females prefer vertical bar symmetry as well as more bars in conspecific males. Because of the shortcomings of prior techniques used for pigment elimination and permanent color marking, a temporary method for augmenting pigment patterns with an artificial dye was developed. This technique was tested using the known preference that female X. cortezi have for more bars in conspecific males. The results corroborate previous findings as female X. cortezi preferred males with more artificial vertical bars in comparison with males with fewer. Therefore, the method of applying temporary, artificial pigment patterns using an antiseptic dye would appear to be an effective way to control and manipulate secondary sexual pigmentation for behavioral investigations in fish.</t>
  </si>
  <si>
    <t>10.1046/j.1439-0310.1999.00400.x</t>
  </si>
  <si>
    <t>WOS:000080438000006</t>
  </si>
  <si>
    <t>Rossi, N; Chiaraviglio, M; Cardozo, G</t>
  </si>
  <si>
    <t>Rossi, N.; Chiaraviglio, M.; Cardozo, G.</t>
  </si>
  <si>
    <t>Relationships among Behavior, Chromatism, and Morphology in Male Aggressive Encounters in Tropidurus spinulosus</t>
  </si>
  <si>
    <t>ICHTHYOLOGY AND HERPETOLOGY</t>
  </si>
  <si>
    <t>Male-male aggressive encounters in lizards may involve physical confrontation or the use of multiple cues to signal fighting ability. Behavioral, chromatic, and morphological traits may be associated to reinforce gradual messages to escalate or deescalate interactions during encounters. Our first aim was to provide a detailed ethogram of male-male aggressive encounters in the social lizard Tropidurus spinulosus. Then, we aimed to elucidate the association among behaviors and morphological and chromatic characters. Our results showed several behavioral displays organized in sequential phases, with two displays being characteristic of this species; furthermore, increasingly threatening displays may be repeated several times before reaching physical aggression. Males that dominated the encounters usually had more extended color bands in the most visible body parts, lower body condition, and preferentially had performed push-up early in the bout, whereas males that were ultimately chased had high color band extension in the chest and high testicular volume and performed more lateral compression and head-swipe escalating readily to physical aggression by biting the opponent. In conclusion, the behavioral displays employed by different males were associated with their morphological and chromatic characters, highlighting the existence of signaling strategies among individuals.</t>
  </si>
  <si>
    <t>Rossi, Nicola/0000-0003-0780-7117</t>
  </si>
  <si>
    <t>2766-1512</t>
  </si>
  <si>
    <t>2766-1520</t>
  </si>
  <si>
    <t>10.1643/h2021025</t>
  </si>
  <si>
    <t>WOS:000836735000011</t>
  </si>
  <si>
    <t>Tkaczyk, SP; Chivers, DP; Wiebe, KL</t>
  </si>
  <si>
    <t>Tkaczyk, Simon P.; Chivers, Douglas P.; Wiebe, Karen L.</t>
  </si>
  <si>
    <t>Nest defense by Mountain Bluebirds (Sialia currucoides) is related to their sex and brood characteristics but not attributes br</t>
  </si>
  <si>
    <t>Within species, bird parents defend their nests with different levels of intensity. Previous studies have examined several hypotheses for this variation by looking at factors such as morphological characteristics of the parents and the characteristics of the brood, but few have controlled for multiple factors simultaneously. Here we examined a broad range of factors that may influence the nest defense behaviour of Mountain Bluebirds (Sialia currucoides (Bechstein, 1798)), including the adult's morphology (sex, age, plumage colour, body size, and body condition) and characteristics of their brood (size, hatch date, and stage of nestling development). Parental aggression was triggered using a taxidermy mount of an American red squirrel (Tamiasciurus hudsonicus (Erxleben, 1777)). We found no relationship between nest defense and any morphological characteristic of adults, but the intensity of nest defense was positively correlated with the stage of offspring development, clutch size, and hatch date consistent with parental investment theory. Males also defended nests more strongly than females, consistent with the premise of the renesting hypothesis that males have fewer future opportunities to breed and, therefore, are more invested in the current brood. Our results provide strong support for parental investment theory and renesting as the primary drivers of nest defense intensity in breeding birds.</t>
  </si>
  <si>
    <t>10.1139/cjz-2022-0064747</t>
  </si>
  <si>
    <t>WOS:000879975200002</t>
  </si>
  <si>
    <t>BARLOW, GW; ROGERS, W; BOND, AB</t>
  </si>
  <si>
    <t>DUMMY-ELICITED AGGRESSIVE-BEHAVIOR IN THE POLYCHROMATIC MIDAS CICHLID</t>
  </si>
  <si>
    <t>BIOLOGY OF BEHAVIOUR</t>
  </si>
  <si>
    <t>Aggressive responses of 12 individuals of the polychromatic Midas cichlid C. citrinellum were tested with 5 different sizes of neutrally colored (spot pattern) life-like dummies. The dummies were presented daily over 6 days, for 1 min in a balanced design. Color (gold or normal morph) and sex of the subjects were varied independently. The attacks and threats on the dummies were positively correlated in their occurrence and they were combined to yield an aggregate measure of aggression. Attacks on blinded juveniles, 5 min before and 5 min after viewing a dummy, were analyzed to test for the occurrence of residual effects of exposure to the dummies. Sex of the subject had no significant effect. Whether the subject was a gold or normal morph also had no effect. There was no difference in attacks on blinded gold or normal juveniles. Residual aggression increased linearly with size of dummy. Aggression that was directly evoked increased with size but decreased at the largest dummy. The direct method proved superior to the residual one: the data were less variable and more consistent in revealing a pattern and the same pattern was verified using only the most aggressive subjects. The 2 smallest dummies appeared to cause residual aggression to fall below the baseline level. A model for this depression is presented and compared with the data.</t>
  </si>
  <si>
    <t>0397-7153</t>
  </si>
  <si>
    <t>WOS:A1984SS90700002</t>
  </si>
  <si>
    <t>Nest defense by Mountain Bluebirds (Sialia currucoides) is related to their sex and brood characteristics but not morphological attributes</t>
  </si>
  <si>
    <t>2022 SEP 22</t>
  </si>
  <si>
    <t>10.1139/cjz-2022-0064</t>
  </si>
  <si>
    <t>WOS:000857570800001</t>
  </si>
  <si>
    <t>Measey, GJ; Hopkins, K; Tolley, KA</t>
  </si>
  <si>
    <t>Measey, G. John; Hopkins, Kevin; Tolley, Krystal A.</t>
  </si>
  <si>
    <t>Morphology, ornaments and performance in two chameleon ecomorphs: is the casque bigger than the bite?</t>
  </si>
  <si>
    <t>The evolution of ecomorphs within a species may represent either unique evolutionary events or multiple convergent events in similar environments. Functional studies of differing morphological traits of ecomorphs have been important to elucidate their role in adaptive radiations. The Cape dwarf chameleon, Bradypodion pumilum, has two ecomorphs: a large, brightly colored, ornate form found in closed habitats, and a small, dull form with reduced ornamentation found in open vegetation. The typical form is known to use casque size to communicate fighting ability, but it is unknown whether this is an honest signal and whether casque size is related to bite force. We show through a population genetic analysis that these ecomorphs are not separate genetic lineages but the result of multiple transitions between closed and open habitats. From measurements of ornamental and non-ornamental morphological characters and bite force in 105 chameleons, we find that bite force is significantly related to head size and is best predicted by head width. Bite force was reasonably predicted by casque height in ecomorphs from closed habitats, but not in those from open habitats. For size-adjusted data, open habitat males had wider heads, biting harder than closed habitat males. Our data suggest honesty in signaling for closed habitat ecomorphs, but for open habitat ecomorphs communication is different, a finding commensurate with the common framework for species radiations. (c) 2009 Elsevier GmbH. All rights reserved.</t>
  </si>
  <si>
    <t>Hopkins, Kevin Peter/IUN-4450-2023; Measey, John/F-2028-2010; Tolley, Krystal A/D-9738-2011</t>
  </si>
  <si>
    <t>Hopkins, Kevin Peter/0000-0002-3251-7093; Measey, John/0000-0001-9939-7615; Tolley, Krystal/0000-0002-7778-1963</t>
  </si>
  <si>
    <t>10.1016/j.zool.2008.09.005</t>
  </si>
  <si>
    <t>WOS:000265663200006</t>
  </si>
  <si>
    <t>NAVARRETEHEREDIA, JL</t>
  </si>
  <si>
    <t>DESCRIPTION OF THE MALE OF OXYPOROUS-BALLI CAMPBELL, WITH NOTES ON DISTRIBUTION OF OXYPOROUS IN MEXICO (COLEOPTERA, STAPHYLINIDAE)</t>
  </si>
  <si>
    <t>JOURNAL OF THE NEW YORK ENTOMOLOGICAL SOCIETY</t>
  </si>
  <si>
    <t>The male of Oxyporus balli Campbell is described for the first time, based on specimens collected in Morelos, Mexico. Conspecific females collected in the same locality differed in color. The host mushrooms for O. balli are recorded for the first time: Amanita caesarea and A. rubescens. New records and host mushroom for O. mexicanus Fauvel and O. lawrencei Campbell are included.</t>
  </si>
  <si>
    <t>Navarrete-Heredia, José/T-8250-2019; Navarrete-Heredia, José L/R-3624-2019</t>
  </si>
  <si>
    <t>0028-7199</t>
  </si>
  <si>
    <t>WOS:A1992HD98800004</t>
  </si>
  <si>
    <t>COOPER, WE; VITT, LJ</t>
  </si>
  <si>
    <t>ORANGE HEAD COLORATION OF THE MALE BROAD-HEADED SKINK (EUMECES-LATICEPS), A SEXUALLY SELECTED SOCIAL CUE</t>
  </si>
  <si>
    <t>Orange head coloration occurs in breeding males of numerous species of Eumeces. Its possible role in sex identification and/or elicitation of aggressive behavior by conspecific males was studied in Eumeces laticeps by observing responses of males to females having modified head coloration. Three experimental stimulus conditions were presented to males: females with heads painted orange, females with heads painted the normal female color, and females with unpainted heads. Males were significantly more likely to perform species-typical agonistic behaviors (P &lt; 0.01) to orange-headed females (6 of 13) than to other females (0 of 12). These results indicate that the orange head coloration identifies the bearer as male. They are consistent with the hypothesis that the color evolved by sexual selection. Despite the importance of the orange head in sex-identification, chemical cues may prove to be more important in the final determination of a conspecific skink''s sex. This is suggested by a significant decrease (P &lt; 0.01) in the likelihood of aggressive behavior toward orange-headed females following tongue-flicking by a male of the female''s body or the substrate where the female had walked.</t>
  </si>
  <si>
    <t>FEB 5</t>
  </si>
  <si>
    <t>WOS:A1988M131600001</t>
  </si>
  <si>
    <t>Galván,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</si>
  <si>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</si>
  <si>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</si>
  <si>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</si>
  <si>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</si>
  <si>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Sanz, Juan José/B-8441-2011; Galvan, Ismael/H-8602-2015</t>
  </si>
  <si>
    <t>Sanz, Juan José/0000-0003-2576-4050; Galvan, Ismael/0000-0002-6523-8592</t>
  </si>
  <si>
    <t>0003-455X</t>
  </si>
  <si>
    <t>1797-2450</t>
  </si>
  <si>
    <t>AUG 31</t>
  </si>
  <si>
    <t>10.5735/086.046.0404</t>
  </si>
  <si>
    <t>WOS:000269935900004</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</si>
  <si>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</si>
  <si>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</si>
  <si>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</si>
  <si>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</si>
  <si>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10.1016/j.anbehav.2010.11.016</t>
  </si>
  <si>
    <t>WOS:000286455400012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</si>
  <si>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</si>
  <si>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</si>
  <si>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</si>
  <si>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Lainy/KIB-8668-2024</t>
  </si>
  <si>
    <t>Day, Lainy/0000-0002-9122-3044</t>
  </si>
  <si>
    <t>10.1016/j.yhbeh.2005.07.006</t>
  </si>
  <si>
    <t>WOS:000235502600013</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</si>
  <si>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</si>
  <si>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</si>
  <si>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</si>
  <si>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</si>
  <si>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</si>
  <si>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LOONEY, TA; COHEN, PS; YOBURN, BC</t>
  </si>
  <si>
    <t>VARIABLES AFFECTING ESTABLISHMENT OF SCHEDULE-INDUCED ATTACK ON PICTORIAL TARGETS IN WHITE KING PIGEONS</t>
  </si>
  <si>
    <t>White king pigeons exposed to food schedules before introduction of a colored photograph of a pigeon showed sustained schedule-induced attack on that image; additional birds given an early introduction to both the photograph and the schedule subsequently attacked the image at lower rates. Other pigeons attacked a 2nd photograph of a pigeon regardless of whether it was introduced early or late. The late-introduction procedure was also effective in establishing attack on a projected image of a conspecific. The combined results showed that 14 of 17 white king pigeons given a late introduction to a pictorial target exhibited sustained attack against it and that a pigeon''s initial reaction to a photograph of a conspecific when introduced early was a good predictor of subsequent schedule-induced attack on it.</t>
  </si>
  <si>
    <t>10.1901/jeab.1976.26-349</t>
  </si>
  <si>
    <t>WOS:A1976CN54900004</t>
  </si>
  <si>
    <t>Rush, VN; McKinnon, JS; Abney, MA; Sargent, RC</t>
  </si>
  <si>
    <t>Reflectance spectra from free-swimming sticklebacks (gasterosteus): Social context and eye-jaw contrast</t>
  </si>
  <si>
    <t>The color patterns of many organisms change rapidly with social context but such dynamic signals have been little studied with current methods. In this study we applied objective spectrophotometry techniques to the color displays of unrestrained male threespine sticklebacks, to assess the influence of social context on coloration. Analyzing our data with a color space model based on stickleback visual physiology, we found that unrestrained males enhanced saturation of both their blue eye and red jaw color in response to the presence of a mature male or female conspecific. Divergence between the eye and the jaw lead to enhanced contrast, likely increasing conspicuousness. We found little relationship between measures of color saturation and condition, but the color of males in better condition varied more with social context. This study is the first to evaluate contrast between stickleback color pattern elements quantitatively and the first in which reflectance spectra were collected from free-swimming fish. The methods presented here could be used in future studies of sticklebacks and could potentially be adapted to other animals.</t>
  </si>
  <si>
    <t>AUG-SEP</t>
  </si>
  <si>
    <t>8-9</t>
  </si>
  <si>
    <t>10.1163/156853903322589614</t>
  </si>
  <si>
    <t>WOS:000187638300003</t>
  </si>
  <si>
    <t>DAFNI, J</t>
  </si>
  <si>
    <t>A NEW SUBSPECIES OF TRIPNEUSTES-GRATILLA FROM THE NORTHERN RED-SEA (ECHINODERMATA, ECHINOIDEA, TOXOPNEUSTIDAE)</t>
  </si>
  <si>
    <t>T. g. elatensis ssp. nov. from the northern Red Sea, is significantly different from the Indo-Pacific T. g. gratilla. It is more compressed, and has a larger peristome aperture, fewer interambulacral plates, lesser spine tuberculation, and more vivid colors than its Indo-Pacific conspecific. The typical habitats of T. g. elatensis and the Indo-Pacific T. g. gratilla occur together in the southern Red Sea.</t>
  </si>
  <si>
    <t>WOS:A1983RJ22700001</t>
  </si>
  <si>
    <t>Mäthger, LM; Hanlon, RT</t>
  </si>
  <si>
    <t>Mathger, Lydia M.; Hanlon, Roger T.</t>
  </si>
  <si>
    <t>Anatomical basis for camouflaged polarized light communication in squid</t>
  </si>
  <si>
    <t>Camouflage is a means to defeat visual detection by predators, whereas visual communication involves a signal that is conspicuous to a receiver ( usually a conspecific). However, most intraspecific visual signals are also conspicuous to predators, so that signalling can lead to the serious consequence of predation. Could an animal achieve visual camouflage and simultaneously send a hidden visual message to a conspecific? Here, we present evidence that the polarized aspect of iridescent colour in squid skin is maintained after it passes through the overlying pigmented chromatophores, which produce the highly evolved - and dynamically changeable camouflaged patterns in cephalopods. Since cephalopods are polarization sensitive, and can regulate polarization via skin iridescence, it is conceivable that they could send polarized signals to conspecifics while staying camouflaged to fish or mammalian predators, most of which are not polarization sensitive.</t>
  </si>
  <si>
    <t>Hanlon, Roger T/Q-8687-2016</t>
  </si>
  <si>
    <t>10.1098/rsbl.2006.0542</t>
  </si>
  <si>
    <t>WOS:000242686500005</t>
  </si>
  <si>
    <t>Takau, A; Matsuo, T</t>
  </si>
  <si>
    <t>Takau, Ayumi; Matsuo, Takashi</t>
  </si>
  <si>
    <t>Contribution of visual stimuli to mating and fighting behaviors of Drosophila prolongata</t>
  </si>
  <si>
    <t>ENTOMOLOGICAL SCIENCE</t>
  </si>
  <si>
    <t>The importance of visual stimuli in a given behavior is often different, even between closely related species. Species of the genus Drosophila have been categorized into three classes according to their reproductive dependency on vision. Class I and II species reproduce in the darkness, whereas class III species never reproduce without vision. Therefore, in class III species, mutants at the white locus that are deprived of normal visual function are not able to be established as homozygous stocks. Drosophila prolongata is a species with a conspicuous body color pattern, suggesting that an increased importance of visual stimuli underlies the evolution of this species. In this study, to examine the behavioral dependency on visual stimuli in D. prolongata, we generated white gene-knockout (w(-)) mutants using the CRISPR/Cas9 system and examined their mating and fighting behaviors in light and dark conditions. The courtship and fighting activities of w(-) males were extremely reduced regardless of the light condition. Furthermore, wildtype males did not perform any courtship or fighting behaviors in dark conditions. Our results showed that D. prolongata is a class III species that strongly relies on visual stimuli in both behaviors.</t>
  </si>
  <si>
    <t>Matsuo, Takashi/AAR-8291-2021</t>
  </si>
  <si>
    <t>Matsuo, Takashi/0000-0002-4185-6740</t>
  </si>
  <si>
    <t>1343-8786</t>
  </si>
  <si>
    <t>1479-8298</t>
  </si>
  <si>
    <t>e12529</t>
  </si>
  <si>
    <t>10.1111/ens.12529</t>
  </si>
  <si>
    <t>WOS:000888062100001</t>
  </si>
  <si>
    <t>Miller, SM; Schoen, J; Reudink, MW; Mahoney, SM</t>
  </si>
  <si>
    <t>Miller, Sydney M.; Schoen, Jacqueline; Reudink, Matthew W.; Mahoney, Sean M.</t>
  </si>
  <si>
    <t>Disentangling the mechanisms of signal evolution in Tyrannidae flycatchers, part II: plumage elaboration evolved with migration behavior, but is also affected by diet, climate, and drift</t>
  </si>
  <si>
    <t>Animal coloration is an important communication signal that varies among taxa and affects survival and reproduction. Species-specific color is influenced by a variety of factors including phylogeny, predation, sexual selection, light and resource availability, ecological context, and/or species recognition. Tyrant flycatchers are useful to study color evolution because they are the largest family of birds, occur across broad environmental gradients, and although many genera are monomorphic with drab plumage, some are very colorful. Given the complexity of factors involved, the mechanisms influencing plumage color evolution in Tyrant flycatchers likely involve multiple drivers. In the second of our two-part paper on signal evolution in this avian family, we harnessed a large plumage color database of female and male Tyrannidae species (n = 399) to test the relative importance of geography (climate, latitude), ecology (migration behavior, forest cover, diet), and heterospecific proximity on plumage color evolution. From phylogenetically controlled analyses, we found that female color was largely driven by climate and male color was more exaggerated in migratory species. Sexual dichromatism was also affected by climate and diet, and was more pronounced in migratory species, possibly as a result of color loss in females. Pairwise comparisons between heterospecific color differences and geographic distance were generally weak and consistent with expectations under drift, which contrasted our song results (presented in Part I), but analyses at finer taxonomic scales revealed color may be used for conspecific recognition in some genera. Together with our paper on Tyrannidae song evolution, the color results reflect the importance of testing multiple drivers of signal evolution at different taxonomic scales because flycatcher color variation may have arisen through genetic drift, from a loss of female color in migratory species, and for species recognition in some genera. Future work could formally test the correlation between song and color variation, and use stochastic character mapping to confirm if Tyrannidae dichromatism resulted from female color loss in migratory species.</t>
  </si>
  <si>
    <t>10.5751/JFO-00288-940307</t>
  </si>
  <si>
    <t>WOS:001041634300001</t>
  </si>
  <si>
    <t>De Meulemeester, T; Aytekin, AM; Cameron, S; Rasmont, P</t>
  </si>
  <si>
    <t>De Meulemeester, Thibaut; Aytekin, A. Murat; Cameron, Sydney; Rasmont, Pierre</t>
  </si>
  <si>
    <t>Nest architecture and species status of the bumble bee Bombus (Mendacibombus) shaposhnikovi (Hymenoptera: Apidae: Bombini)</t>
  </si>
  <si>
    <t>The nesting behaviour of the subgenus Mendacibombus is known only from Bombus mendax. Here, we describe the nest of a second species of Mendacibombus, that of Bombus shaposhnikovi. The nest was discovered in an abandoned rodent nest at 2,295 m near Artvin (Turkey) on August 12, 2007. Except for the absence of a canopy and the non-hexagonal shape of the honey and pollen pots, the architecture of the B. shaposhnikovi nest is consistent with that of the previously described B. mendax: eggs are oviposited individually in independent egg cell, post-emergence pupal cells are not reused for food storage and males return to the parental colony overnight. Observation of intranidal colour polymorphism provides evidence that the yellowish B. shaposhnikovi and the greyish Bombus handlirschianus might be conspecific. This conspecific status had been suggested by a recent comprehensive molecular study.</t>
  </si>
  <si>
    <t>Aytekin, Ahmet Murat/G-9210-2013; aytekin, ahmet murat/AAA-2523-2020</t>
  </si>
  <si>
    <t>Aytekin, Ahmet Murat/0000-0002-5204-8626; aytekin, ahmet murat/0000-0002-5204-8626</t>
  </si>
  <si>
    <t>10.1007/s13592-011-0022-z</t>
  </si>
  <si>
    <t>WOS:000292612900006</t>
  </si>
  <si>
    <t>VOS, DR</t>
  </si>
  <si>
    <t>THE ROLE OF SEXUAL IMPRINTING FOR SEX RECOGNITION IN ZEBRA FINCHES - A DIFFERENCE BETWEEN MALES AND FEMALES</t>
  </si>
  <si>
    <t>In sexually dimorphic birds, morphological characteristics are assumed to play an important role in conspecific sex recognition. In spite of the limited evidence, most studies done so far support this assumption. Less attention has been given to the question of how adult birds may have acquired the ability to discriminate between the sexes. This study investigates the relationship between the early experience of young birds and their later competence in differentiating between male and female conspecifics. Young white zebra finches, Taeniopygia guttata, were reared by white parents. The white morph of this species lacks all sexually dimorphic markings, except for a difference in the intensity of the red coloration of the bill. Bill colour of the parents was manipulated by applying nail polish. As adults, males and females were tested for their preference in a series of two-choice tests. Males showed a clear preference for birds with the same bill colour as their mother, irrespective of the sex of the stimulus birds. Females, on the other hand, preferred males to females, but did not differentiate on bill colour. It can be concluded that in zebra finch males sex recognition is guided by morphological characteristics that have acquired their signal value during rearing. For females, other factors, such as behavioural cues, appear to be most important for sex recognition. (C) 1995 The Association for the Study of Animal Behaviour</t>
  </si>
  <si>
    <t>10.1016/0003-3472(95)80126-X</t>
  </si>
  <si>
    <t>WOS:A1995RV28100007</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</si>
  <si>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</si>
  <si>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</si>
  <si>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</si>
  <si>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</si>
  <si>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Fuentes, Jesualdo/KIA-8653-2024</t>
  </si>
  <si>
    <t>Hews, Diana/0000-0002-2252-6711; Martins, Emilia/0000-0002-8952-3240</t>
  </si>
  <si>
    <t>10.1007/s00265-013-1535-4</t>
  </si>
  <si>
    <t>WOS:000323103400013</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</si>
  <si>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</si>
  <si>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</si>
  <si>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</si>
  <si>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JAVMA-JOURNAL OF THE AMERICAN VETERINARY MEDICAL ASSOCIATION</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</si>
  <si>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</si>
  <si>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Paixao, Rita/KLE-0209-2024</t>
  </si>
  <si>
    <t>Crowell-Davis, Sharon/0000-0001-7006-653X</t>
  </si>
  <si>
    <t>0003-1488</t>
  </si>
  <si>
    <t>1943-569X</t>
  </si>
  <si>
    <t>WOS:000294792100008</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</si>
  <si>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</si>
  <si>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</si>
  <si>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</si>
  <si>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</si>
  <si>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Raoul/AFQ-1065-2022</t>
  </si>
  <si>
    <t>Van Damme, Raoul/0000-0002-4585-6940</t>
  </si>
  <si>
    <t>10.1007/s00265-015-1938-5</t>
  </si>
  <si>
    <t>WOS:000358734700002</t>
  </si>
  <si>
    <t>Schwabl, H</t>
  </si>
  <si>
    <t>Individual variation of the acute adrenocortical response to stress in the white-throated sparrow</t>
  </si>
  <si>
    <t>ZOOLOGY-ANALYSIS OF COMPLEX SYSTEMS</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</si>
  <si>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</si>
  <si>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</si>
  <si>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</si>
  <si>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</si>
  <si>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</si>
  <si>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</si>
  <si>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Nasri, I; Hamza, F; Belliure, J; Selmi, S</t>
  </si>
  <si>
    <t>Nasri, Intissar; Hamza, Foued; Belliure, Josabel; Selmi, Slaheddine</t>
  </si>
  <si>
    <t>Tail conspicuousness and antipredatory behaviour in Bosk's fringe-toed lizard (Acanthodactylus boskianus)</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</si>
  <si>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</si>
  <si>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Belliure, Josabel/R-8513-2018; Slaheddine, Selmi/AAD-1495-2021</t>
  </si>
  <si>
    <t>Belliure, Josabel/0000-0001-7697-3616; Slaheddine, Selmi/0000-0002-7204-9159; Hamza, Foued/0000-0002-7577-4487</t>
  </si>
  <si>
    <t>10.1080/03949370.2017.1402091</t>
  </si>
  <si>
    <t>WOS:000435677500003</t>
  </si>
  <si>
    <t>Prayitno, DS; Phillips, CJC; Stokes, DK</t>
  </si>
  <si>
    <t>The effects of color and intensity of light on behavior and leg disorders in broiler chickens</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</si>
  <si>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</si>
  <si>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10.1093/ps/76.12.1674</t>
  </si>
  <si>
    <t>WOS:000071132300009</t>
  </si>
  <si>
    <t>LANGANCRANFORD, KM; PEARSE, JS</t>
  </si>
  <si>
    <t>BREEDING EXPERIMENTS CONFIRM SPECIES STATUS OF 2 MORPHOLOGICALLY SIMILAR GASTROPODS (LACUNA SPP) IN CENTRAL CALIFORNIA</t>
  </si>
  <si>
    <t>Two species of gastropods, Lacuna marmorata Dall, 1919, and L. unifasciata Carpenter, 1857, commonly co-occur on surfgrass in central California. They are very similar in color, shell shape, and radular form; morphometric analyses demonstrate about 10% overlap in shell shape, and both color and radular form are ambiguous characters. Egg-laying and breeding experiments revealed differences between the two species in fecundity and length of viable sperm storage. Once stored sperms are exhausted, pairing with conspecifics results in the resumption of production of fertilized eggs, while non-conspecific pairings never result in fertile eggs. We conclude that prezygotic barriers prevent hybridization between these two morphologically nearly identical species.</t>
  </si>
  <si>
    <t>MAR 20</t>
  </si>
  <si>
    <t>10.1016/0022-0981(94)00147-6</t>
  </si>
  <si>
    <t>WOS:A1995QN80300003</t>
  </si>
  <si>
    <t>Camacho-Alpízar, A; Eckersley, T; Lambert, CT; Balasubramanian, G; Guillette, LM</t>
  </si>
  <si>
    <t>Camacho-Alpizar, Andres; Eckersley, Tristan; Lambert, Connor T.; Balasubramanian, Gopika; Guillette, Lauren M.</t>
  </si>
  <si>
    <t>Learning about construction behaviour from observing an artefact: can experience with conspecifics aid in artefact recognition?</t>
  </si>
  <si>
    <t>Observation of or interaction with the enduring products of behaviour, called 'social artefacts' (e.g. an abandoned nest) is a potential source of social information. To learn from an artefact, that artefact needs to be recognized as the product of a behaviour that can provide relevant information (i.e. the artefact should be recognized as a nest). We used zebra finches (Taeniopygia guttata) to experimentally test whether observing a conspecific using a nest facilitates recognition of a future artefact as a source of social information. We manipulated the opportunity to form an association between a conspecific and their nest: half the subjects observed a pair of birds incubating eggs in a nest, the control subjects did not get this opportunity. Then, subjects observed an artefact made of their non-preferred colour and finally were allowed to build a nest. We predicted that the subjects given the opportunity to associate a nest with conspecifics would copy the colour of the artefact (i.e. use social information). We found that subjects who had the opportunity to learn what a nest is used social information obtained from the artefact by increasing their use of the artefact-material colour after artefact observation, while control birds did not. These data suggest that forming an association between conspecifics and their nest facilitates recognition of an artefact as a nest affecting how first-time builders use social information. This finding is important because it demonstrates that social learning is not limited to observing behaviour, but rather inferring behaviour from an artefact.</t>
  </si>
  <si>
    <t>Camacho-Alpizar, Andres/HNS-5231-2023; Guillette, Lauren M/AFZ-0823-2022</t>
  </si>
  <si>
    <t>Guillette, Lauren M/0000-0002-8777-6543; Eckersley, Tristan/0000-0002-2193-9047; Balasubramanian, Gopika/0000-0003-2671-9331; Lambert, Connor/0000-0002-3568-1868; Camacho-Alpizar, Andres/0000-0001-8896-3319</t>
  </si>
  <si>
    <t>10.1007/s10071-021-01519-y</t>
  </si>
  <si>
    <t>WOS:000647849200001</t>
  </si>
  <si>
    <t>Witte, K; Klink, KB</t>
  </si>
  <si>
    <t>No pre-existing bias in sailfin molly females, Poecilia latipinna, for a sword in males</t>
  </si>
  <si>
    <t>The origination of female mate preference is still not well known and may depend on genetic predispositions, social environment and sensory stimuli in the environment. Females of different populations, which live in different environments, may therefore differ in a preexisting bias for male traits. Previous studies within the genus Xiphophorus and Priapella (Poeciliidae) have indicated that females have a latent preference for a sword in males, even though conspecific males do not express a sword. In a recent study Basolo (2002a) found such a pre-existing bias for artificially sworded males in sailfin molly females from a Louisiana population. To investigate whether Poecilia latipinna females exhibit in general a pre-existing bias for sworded males or whether populations differ in a pre-existing female preference for sworded males, we tested R latipinna females from a Texas population for a latent preference for sworded males. We tested in video playback experiments whether sailfin molly females P latipinna have a latent preference for males with an artificial coloured plastic sword on TV monitors. Using video playbacks we first showed in a conditioning experiment that females perceived yellow plastic swords. Females preferred to associate with conspecific males to conspecific females on TV monitors. Females, however, did not exhibit a preference for males with a coloured sword over males with a transparent sword. Our result contradicts results of a previous study showing that sailfin molly females from a different population exhibited a preference for live males with an artificial sword. Pre-existing biases for novel male traits in females may differ between populations within a species. Thus, environmental factors may influence the development of pre-existing biases and might, therefore, drive the evolution of latent preferences in different populations differently.</t>
  </si>
  <si>
    <t>10.1163/1568539053778292</t>
  </si>
  <si>
    <t>WOS:000230357500002</t>
  </si>
  <si>
    <t>Li, MT; Liu, J; Chen, SN; Yao, J; Shi, L; Chen, H; Chen, XM</t>
  </si>
  <si>
    <t>Li, Mingtao; Liu, Jie; Chen, Shunan; Yao, Jun; Shi, Lei; Chen, Hang; Chen, Xiaoming</t>
  </si>
  <si>
    <t>VOC Characterization of Byasa hedistus (Lepidoptera: Papilionidae) and Its Visual and Olfactory Responses during Foraging and Courtship</t>
  </si>
  <si>
    <t>Color and odor are crucial cues for butterflies during foraging and courtship. While most sexual dimorphic butterflies rely more on vision, our understanding of how butterflies with similar coloration use different signals remains limited. This study investigated the visual and olfactory behavioral responses of the similarly colored butterfly Byasa hedistus during foraging and courtship. While visiting artificial flowers of different colors, we found that B. hedistus exhibits an innate color preference, with a sequence of preferences for red, purple, and blue. The frequency of flower visits by B. hedistus significantly increased when honey water was sprayed on the artificial flowers, but it hardly visited apetalous branches with honey water. This proves that locating nectar sources by odor alone is difficult in the absence of floral color guides. During courtship, males are active while females hardly chase; only two models were observed: males chasing males and males chasing females. The courtship process includes four behaviors: slowing approach, straight chasing, hovering, and spinning. B. hedistus cannot distinguish between sexes based on color, as there is no significant difference in color and shape between them. Twenty-three VOCs (&gt;1%) were identified in B. hedistus, with 21 shared by both sexes, while ketones are specific to males. These VOCs are principally represented by cineole, beta-pinene, and linalool. When cineole was added to butterfly mimics, many butterflies were attracted to them, but the butterflies did not seem to distinguish between males and females. This suggests that cineole may be the feature VOC for identifying conspecific groups. Adding beta-pinene and linalool to mimics induced numerous butterflies to chase, hover, spin around, and attempt to mate with them. This suggests that beta-pinene and linalool are crucial cues indicating the presence of females.</t>
  </si>
  <si>
    <t>Chen, Hang/0000-0002-8690-4099</t>
  </si>
  <si>
    <t>10.3390/insects15070548</t>
  </si>
  <si>
    <t>WOS:001278556300001</t>
  </si>
  <si>
    <t>Williams, PH; Sung, IH; Lin, YJ; Lu, SS</t>
  </si>
  <si>
    <t>Williams, Paul H.; Sung, I-Hsin; Lin, Yi-Jing; Lu, Sheng-Shan</t>
  </si>
  <si>
    <t>Discovering endemic species among the bumblebees of Taiwan (Apidae, genus Bombus)</t>
  </si>
  <si>
    <t>JOURNAL OF NATURAL HISTORY</t>
  </si>
  <si>
    <t>It is well established that there are nine species of bumblebees indigenous to Taiwan, but what has been unclear is how many of them are endemic. We examine minimum divergence in COI barcodes and morphology between Taiwanese samples and some of the nearest mainland populations and compare the results with more detailed global coalescent analyses available for some of these species. Our results support separate status for four of the species, including the two species inferred to be endemic from coalescent and morphological evidence. We support the other five species as conspecific with mainland species, four of which are also inferred to be conspecific from coalescent and morphological evidence. This conclusion requires the description of one new endemic species, Bombus taiwanensis sp. nov., which can be diagnosed by integrated evidence from its COI (cytochrome c oxidase subunit I) barcodes, its colour pattern and its morphology.</t>
  </si>
  <si>
    <t>lu, kai/KBB-4008-2024</t>
  </si>
  <si>
    <t>Sung, I-Hsin/0000-0002-2874-9940</t>
  </si>
  <si>
    <t>0022-2933</t>
  </si>
  <si>
    <t>1464-5262</t>
  </si>
  <si>
    <t>FEB 16</t>
  </si>
  <si>
    <t>5-8</t>
  </si>
  <si>
    <t>10.1080/00222933.2022.2052991</t>
  </si>
  <si>
    <t>WOS:000819303900001</t>
  </si>
  <si>
    <t>COOPER, WE; CREWS, D</t>
  </si>
  <si>
    <t>HORMONAL INDUCTION OF SECONDARY SEXUAL COLORATION AND REJECTION BEHAVIOR IN FEMALE KEELED EARLESS LIZARDS, HOLBROOKIA-PROPINQUA</t>
  </si>
  <si>
    <t>Hormonal bases of chromatic and behavioural changes in female Holbrookia propinqua were studied. Bright orange and yellow pigmentation were induced by progesterone or testosterone. Oestrogen treatment induced significant deposition only of the organic pigment, which did not attain full brightness. Progesterone and testosterone induced agonistic behaviour by females towards males: oestrogen did not. However, frequency of aggression was lower for females treated simultaneously with oestrogen and progesterone. Induction of bright reproductive coloration and activation of agonistic responses towards males by the same hormones suggests a close correlation between the signal value of the colour pattern and female aggression towards males.</t>
  </si>
  <si>
    <t>10.1016/S0003-3472(87)80174-4</t>
  </si>
  <si>
    <t>WOS:A1987J540600022</t>
  </si>
  <si>
    <t>Steinitz, H; Sadeh, A; Tremmel, M; Harari, AR</t>
  </si>
  <si>
    <t>Steinitz, Hadass; Sadeh, Adi; Tremmel, Martin; Harari, Ally R.</t>
  </si>
  <si>
    <t>Methods to separate Lobesia botrana (Lepidoptera: Tortricidae) males from females for the implementation of sterile insect-inherited sterility technique control tactics</t>
  </si>
  <si>
    <t>FLORIDA ENTOMOLOGIST</t>
  </si>
  <si>
    <t>The sterile insect technique (SIT) requires the release of a large number of irradiated moths in the infested crop area targeted for suppression or eradication. Irradiated males must compete strongly with wild males for mating with conspecific wild females. Irradiated female moths are fully sterile and therefore when released do not pose a potential risk to the crop. However the close proximity of the released males and females may result in assortative mating among the irradiated moths, thereby undermining the competitive ability of the irradiated males. Furthermore, released females have partially depleted the reproductive potential of the colony, and will not contribute to further increases in the size of the colony in a mass-rearing facility. We tested 4 methods to separate European grapevine moth, Lobesia botrana (Dennis &amp; Schiffermuller) (Lepidoptera: Tortricidae) males from females based on differences between males and females with respect to: (i) the number of abdominal segments of the pupae, (ii) the colors of wandering larvae, (iii) speed of maturation of larvae (protandry), and (iv) the lengths of the pupae. The sexing of 500 moths by the number of abdominal segments in the pupae was accomplished without any errors, but it was time consuming, tedious and required skill and experience. However, it should be possible to develop an automated apparatus to sort pupae by gender. Sexing by color differences did not provide clean separation because of large overlaps between the sexes in the green, blue and red spectra. Although male larvae entered the wandering phase significantly earlier than female larvae, in a large portion of the population the time of departure, some males and females departed simultaneously so that clean separation was possible for only about 1/4 of the males or about 1/4 of the females. A similar situation prevailed for emergence of adult males and females from pupae. On average, male pupae were significantly shorter than female pupae, and pupal length was found to be the most practical method for separating L. botrana males from females. For example, if all pupae &lt; 5.4 mm were irradiated and released, they would include about 86% of all males and about 22% of all females-all of which would be the smallest and least fecund ones. This would allow about 78% of the females-including the largest and most fecund ones-to be retained for mass-rearing. At this time separation of the sexes based on pupal length is the most practical method.</t>
  </si>
  <si>
    <t>harari, ally R/C-6566-2011</t>
  </si>
  <si>
    <t>harari, ally R/0000-0003-2287-7113</t>
  </si>
  <si>
    <t>0015-4040</t>
  </si>
  <si>
    <t>1938-5102</t>
  </si>
  <si>
    <t>10.1653/024.099.sp123</t>
  </si>
  <si>
    <t>WOS:000382249300022</t>
  </si>
  <si>
    <t>Malawa, S; Nuntapong, N; Waeowannajit, S; Thongprajukaew, K</t>
  </si>
  <si>
    <t>Malawa, Saowalak; Nuntapong, Nutt; Waeowannajit, Sugree; Thongprajukaew, Karun</t>
  </si>
  <si>
    <t>Fermented water of Thai herbs effectively enhanced amputated fin regeneration in Siamese fighting fish (Betta splendens)</t>
  </si>
  <si>
    <t>AQUACULTURE</t>
  </si>
  <si>
    <t>The aggression of Siamese fighting fish (Betta splendens) during courtship and reproductive behaviors can result in torn fins. However, the natural regeneration of torn fins has been significantly improved by treating fish with fermented water of plants. We amputated half of the caudal fin of male Siamese fighting fish (1.29 +/- 0.01 g body weight) in the vertical plane. The amputated fish were individually reared in fermented water containing eight combinations of herbs that included dried Indian almond (Terminalia catappa) leaf (IAL, 0.25 g L (-1)), dried banana (Musa sapientum) leaf (BL, 1.5 g L (-1)), and dried papaya (Carica papaya) leaf (PL, 2.5 g L (-1)) as major ingredients. Other ingredients included dried lemongrass (Cymbopogon citratus) leaf (LL, 1 g L (-1)), dried clay (50 g L-1), and salt (5 g L (-1)). For comparison, other fish were reared in non-fermented water. The experiment was conducted in a completely randomized design for five weeks, comprising fifteen fish per treatment. Individual fish served as experimental units. Fin regeneration was monitored weekly while growth performance was recorded at the end of the trial. The herbal treatments had no effects on growth, body morphometrics, and feed utilization (P &gt; 0.05). However, fin regeneration was statistically improved for the fish reared in combinations of IAL, BL, and PL (P &lt; 0.05). Among these alternative treatments, red color intensity was fully redeveloped in fish reared in three herbal treatments (P &lt; 0.05) that all contained dried papaya leaf (BL + PL, IAL + PL, and IAL + BL + PL). Therefore, those three treatments effectively enhanced fin regeneration.</t>
  </si>
  <si>
    <t>Waeowannajit, Sugree/KMY-4666-2024</t>
  </si>
  <si>
    <t>Waeowannajit, Sugree/0009-0004-5057-3154; Malawa, Saowalak/0009-0003-1119-9772</t>
  </si>
  <si>
    <t>0044-8486</t>
  </si>
  <si>
    <t>1873-5622</t>
  </si>
  <si>
    <t>DEC 15</t>
  </si>
  <si>
    <t>10.1016/j.aquaculture.2023.739980</t>
  </si>
  <si>
    <t>AUG 2023</t>
  </si>
  <si>
    <t>WOS:001065191600001</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</si>
  <si>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</si>
  <si>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</si>
  <si>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</si>
  <si>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</si>
  <si>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</si>
  <si>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</si>
  <si>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Hews, DK; Benard, MF</t>
  </si>
  <si>
    <t>Negative association between conspicuous visual display and chemosensory behavior in two phrynosomatid lizards</t>
  </si>
  <si>
    <t>Communication in one sensory modality can influence communication in others. Lizards in many phrynosomatid species use primarily visual but also chemical signals. The striped plateau lizard, Sceloporus virgatus, exhibits evolutionary loss of a male color signal that in many species is used during aggressive postural displays towards conspecific males. These patches are used similarly in Urosaurus, the sister genus to Sceloporus. We compared a species in which a color signal has been lost, S. virgatus, to a species retaining the ancestral character state of blue abdominal display patches, Urosaurus ornatus, the common tree lizard, to test two hypotheses: (i) conspicuous postural displays that reveal the abdominal patch location are used less in the species that has lost the color patches; and (ii) potential chemical signals are used more in the species with the color loss. We analyzed both visual display behavior (push-up, full-show) and chemosensory behavior (tongue flick and nose tap) of male lizards following their introduction to a resident conspecific male in his home terrarium. Resident males performed very low rates of all behaviors, but intruders exhibited sufficient behavior for analysis. Supporting the first hypothesis, S. virgatus were less likely than U. ornatus to perform full-show, a display that reveals abdominal skin. Male S. virgatus were more likely to perform push-up than U. ornatus, although S. virgatus performed push-up infrequently. Push-up is a postural display that does not specifically reveal the abdominal patch location. Supporting the second hypothesis, S. virgatus were more likely to perform chemosensory behaviors and performed them at a greater rate than did U. ornatus. Work comparing more closely related species is warranted to determine whether a negative association between conspicuous visual displays and chemosensory behavior is a general pattern.</t>
  </si>
  <si>
    <t>Benard, Michael/0000-0002-8585-3816; Hews, Diana/0000-0002-2252-6711</t>
  </si>
  <si>
    <t>10.1046/j.1439-0310.2001.00712.x</t>
  </si>
  <si>
    <t>WOS:000171378500006</t>
  </si>
  <si>
    <t>KLINT, T</t>
  </si>
  <si>
    <t>INFLUENCE OF MALE NUPTIAL PLUMAGE ON MATE SELECTION IN THE FEMALE MALLARD (ANAS-PLATYRHYNCHOS)</t>
  </si>
  <si>
    <t>The basis of mate selection in the mallard was investigated, with special reference to the role of the female. Females were reared under more or less restricted social conditions during ontogeny. When sexually mature they were offered a choice between males of different color categories. The females used were raised under 3 conditions: with natural mother and siblings (control females), with experience of other conspecific females but no males, or with no experience of ducks at all (Kaspar Hauser). The total number of females used was 227. The females could discriminate between normal mallards and differently colored mallards to a large extent, irrespective of their own early experience. The females'' initial mate selection is dependent on male plumage characteristics.</t>
  </si>
  <si>
    <t>10.1016/S0003-3472(80)80111-4</t>
  </si>
  <si>
    <t>WOS:A1980KT55300026</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</si>
  <si>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</si>
  <si>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</si>
  <si>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</si>
  <si>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</si>
  <si>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Minter, Ross/0000-0002-5437-5911; Tinghitella, Robin/0000-0002-0049-5539; Lehto, Whitley/0000-0003-4210-6578</t>
  </si>
  <si>
    <t>10.1093/beheco/aru242</t>
  </si>
  <si>
    <t>WOS:000352271800043</t>
  </si>
  <si>
    <t>Knief, U; Bossu, CM; Wolf, JBW</t>
  </si>
  <si>
    <t>Knief, Ulrich; Bossu, Christen M.; Wolf, Jochen B. W.</t>
  </si>
  <si>
    <t>Extra-pair paternity as a strategy to reduce the costs of heterospecific reproduction? Insights from the crow hybrid zone</t>
  </si>
  <si>
    <t>Within hybrid zones of socially monogamous species, the number of mating opportunities with a conspecific can be limited. As a consequence, individuals may mate with a heterospecific (social) partner despite possible fitness costs to their hybrid offspring. Extra-pair copulations with a conspecific may thus arise as a possible post hoc strategy to reduce the costs of hybridization. We here assessed the rate of extra-pair paternity in the hybrid zone between all-black carrion crows (Corvus (corone) corone) and grey hooded crows (C. (c.) cornix) and tested whether extra-pair paternity (EPP) was more likely in broods where parents differed in plumage colour. The proportion of broods with at least one extra-pair offspring and the proportion of extra-pair offspring were low overall (6.98% and 2.90%, respectively) with no evidence of hybrid broods having higher EPP rates than purebred nests.</t>
  </si>
  <si>
    <t>Knief, Ulrich/GLU-6092-2022; Wolf, Jochen B. W./U-2243-2017; Knief, Ulrich/H-6162-2019</t>
  </si>
  <si>
    <t>Knief, Ulrich/0000-0001-6959-3033; Wolf, Jochen B. W./0000-0002-2958-5183; Knief, Ulrich/0000-0001-6959-3033; Bossu, Christen/0000-0002-0458-9305</t>
  </si>
  <si>
    <t>10.1111/jeb.13607</t>
  </si>
  <si>
    <t>WOS:000531419500014</t>
  </si>
  <si>
    <t>Bangura, PB; Tiira, K; Niemelä, PT; Erkinaro, J; Liljeström, P; Toikkanen, A; Primmer, CR</t>
  </si>
  <si>
    <t>Bangura, Paul Bai; Tiira, Katriina; Niemela, Petri T.; Erkinaro, Jaakko; Liljestrom, Petra; Toikkanen, Anna; Primmer, Craig R.</t>
  </si>
  <si>
    <t>Linking vgll3 genotype and aggressive behaviour in juvenile Atlantic salmon (Salmo salar)</t>
  </si>
  <si>
    <t>We tested the possibility that vgll3, a gene linked with maturation age in Atlantic salmon (Salmo salar), may be associated with behaviour by measuring aggressiveness and feeding activity in 380 juveniles with different vgll3 genotypes. Contrary to our prediction, individuals with the genotype associated with later maturation (vgll3*LL) were significantly more aggressive than individuals with the genotype associated with earlier maturation (vgll3*EE). Individuals with higher aggression were also significantly lighter in colour and had higher feeding activity. Although higher aggression was associated with higher feeding activity, there was no association between feeding activity and vgll3 genotype. Increased aggression of vgll3*LL individuals was independent of their sex and size, and genotypes did not differ in their condition factor. These results imply that aggressive behaviour may have an energetic cost impairing growth and condition, especially when food cannot be monopolized. This may have implications for individual fitness and aquaculture practices.</t>
  </si>
  <si>
    <t>; Primmer, Craig/B-8179-2008</t>
  </si>
  <si>
    <t>Niemela, Petri/0000-0002-7518-4057; Primmer, Craig/0000-0002-3687-8435; Bangura, Paul Bai/0000-0002-2162-8708</t>
  </si>
  <si>
    <t>10.1111/jfb.15040</t>
  </si>
  <si>
    <t>WOS:000774829300001</t>
  </si>
  <si>
    <t>Wüster, W; Yrausquin, JL; Mijares-Urrutia, A</t>
  </si>
  <si>
    <t>A new species of indigo snake from north-western Venezuela (Serpentes: Colubridae: Drymarchon)</t>
  </si>
  <si>
    <t>HERPETOLOGICAL JOURNAL</t>
  </si>
  <si>
    <t>We describe a new species of snake of the genus Drymarchon from Falcon State, north-western Venezuela. The distinctive nature of this species, compared to the two other South American mainland taxa of Drymarchon, is supported by principal components analysis of scalation and colour pattern characters. The taxa corais and melanurus, hitherto considered conspecific, are found to be highly distinct, but homogeneous throughout their considerable ranges; consequently, we consider melanurus to be a full species, separate from Drymarchon corais.</t>
  </si>
  <si>
    <t>Wuster, Wolfgang/B-2879-2008</t>
  </si>
  <si>
    <t>Wuster, Wolfgang/0000-0002-4890-4311</t>
  </si>
  <si>
    <t>0268-0130</t>
  </si>
  <si>
    <t>WOS:000174693400004</t>
  </si>
  <si>
    <t>Merrill, RM; Chia, A; Nadeau, NJ</t>
  </si>
  <si>
    <t>Merrill, Richard M.; Chia, Audrey; Nadeau, Nicola J.</t>
  </si>
  <si>
    <t>Divergent warning patterns contribute to assortative mating between incipient Heliconius species</t>
  </si>
  <si>
    <t>Theoretical models suggest that traits under divergent ecological selection, which also contribute to assortative mating, will facilitate speciation with gene flow. Evidence for these so-called magic traits now exists across a range of taxa. However, their importance during speciation will depend on the extent to which they contribute to reproductive isolation. Addressing this requires experiments to determine the exact cues involved as well as estimates of assortative mating in the wild. Heliconius butterflies are well known for their diversity of bright warning color patterns, and their amenability to experimental manipulation has provided an excellent opportunity to test their role in reproductive isolation. Here, we reveal that divergent color patterns contribute to mate recognition between the incipient species Heliconius himera and H.erato, a taxon pair for which assortative mating by color pattern has been demonstrated among wild individuals: First, we demonstrate that males are more likely to attempt to mate conspecific females; second, we show that males are more likely to approach pinned females that share their own warning pattern. These data are valuable as these taxa likely represent the early stages of speciation, but unusually also allow comparisons with rates of interbreeding between divergent ecologically relevant phenotypes measured in the wild.</t>
  </si>
  <si>
    <t>Merrill, Richard/T-9978-2019; Nadeau, Nicola J./E-1149-2011</t>
  </si>
  <si>
    <t>Merrill, Richard/0000-0003-4527-9298; Nadeau, Nicola J./0000-0002-9319-921X</t>
  </si>
  <si>
    <t>10.1002/ece3.996</t>
  </si>
  <si>
    <t>WOS:000333809000004</t>
  </si>
  <si>
    <t>Kärcher, MH; Ratnieks, FLW</t>
  </si>
  <si>
    <t>Kaercher, Martin H.; Ratnieks, Francis L. W.</t>
  </si>
  <si>
    <t>Standing and hovering guards of the stingless bee Tetragonisca angustula complement each other in entrance guarding and intruder recognition</t>
  </si>
  <si>
    <t>JOURNAL OF APICULTURAL RESEARCH</t>
  </si>
  <si>
    <t>Previous research has shown that colonies of the stingless bee Tetragonisca angustula have hovering guards that can detect allospecific intruder bees with volatile odours or different body colour, but conspecific intruders were not detected. Here we show that T. angustula colony entrances are also defended by guards standing on the entrance tube. These standing guards made very few errors in recognition, accepting 100% of the nestmates and rejecting 92% of the conspecific non-nestmates presented to them at the nest entrance. In addition, 87% of the nestmates contaminated with odours from the stingless bee Scaptotrigona bipunctata were rejected. Standing guards also reacted to volatile odours from the stingless bees S. bipunctata and Melipona rufiventris by switching to hovering. The defence reaction, i.e. the increase in the number of hovering guards, was not, however, comparable to the reaction previously reported to citral, the propaganda chemical used by the obligate robber bee Lestrimelitta limao when attacking other bee colonies.</t>
  </si>
  <si>
    <t>Kärcher, Martin H/H-5579-2013</t>
  </si>
  <si>
    <t>0021-8839</t>
  </si>
  <si>
    <t>10.3896/IBRA.1.48.3.10</t>
  </si>
  <si>
    <t>WOS:000267851900010</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</si>
  <si>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</si>
  <si>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</si>
  <si>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</si>
  <si>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</si>
  <si>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 Mori, Emiliano/AAA-8803-2022</t>
  </si>
  <si>
    <t>Iacolina, Laura/0000-0001-5504-6549; Mori, Emiliano/0000-0001-8108-7950; CANU, Antonio/0000-0002-1942-9793</t>
  </si>
  <si>
    <t>10.1016/j.beproc.2017.03.001</t>
  </si>
  <si>
    <t>WOS:000400878800016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</si>
  <si>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</si>
  <si>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</si>
  <si>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</si>
  <si>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McDonald, David Bartelle/C-3195-2008; Brumfield, Robb/K-6108-2015</t>
  </si>
  <si>
    <t>McDonald, David Bartelle/0000-0001-8582-3775; Brumfield, Robb/0000-0003-2307-0688</t>
  </si>
  <si>
    <t>WOS:000170699300015</t>
  </si>
  <si>
    <t>Campbell, FM; Heyes, CM; Goldsmith, AR</t>
  </si>
  <si>
    <t>Stimulus learning and response learning by observation in the European starling, in a two-object/two-action test</t>
  </si>
  <si>
    <t>Juvenile European starlings, Sturnus vulgaris, were allowed to observe a conspecific demonstrator using its beak to remove one of two distinctively coloured objects (i.e. a red or a black plug) from a hole in the lid of a plastic box. Both plugs could be removed by either pulling up on a loop of string inserted through the centre of the plug, or pushing down on the plug. When subsequently allowed access to the plugs, and rewarded with food for all removal responses, regardless of the object to which they were made and their direction, observer birds removed the same plug in the same direction as their demonstrator. These results suggest that the two-object/two-action paradigm is a valuable procedure for testing for the simultaneous effects of learning about a stimulus and a response, an object and an action, through conspecific observation. (C) 1999 The Association for the Study of Animal Behaviour.</t>
  </si>
  <si>
    <t>Heyes, Cecilia/F-8262-2014</t>
  </si>
  <si>
    <t>10.1006/anbe.1999.1121</t>
  </si>
  <si>
    <t>WOS:000081982700017</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</si>
  <si>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</si>
  <si>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</si>
  <si>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</si>
  <si>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 Belthoff, Jim/JGM-1488-2023</t>
  </si>
  <si>
    <t>Belthoff, Jim/0000-0002-6051-2353</t>
  </si>
  <si>
    <t>10.2307/1369464</t>
  </si>
  <si>
    <t>WOS:A1994PE53800005</t>
  </si>
  <si>
    <t>ALDRIDGE, BM</t>
  </si>
  <si>
    <t>SYMPATRY IN 2 SPECIES OF MOCKINGBIRDS ON PROVIDENCIALES ISLAND, WEST-INDIES</t>
  </si>
  <si>
    <t>WILSON BULLETIN</t>
  </si>
  <si>
    <t>In the winter months of 1977-1978 and 1979-1980, the behavior of the northern (Mimus polyglottos) and the Bahama (M. gundlachii) mockingbirds on the island of Providenciales in the West Indies was studied. This study was undertaken to help identify the factors that permit sympatry between these congeners. Censuses in 2 study areas were conducted and data collected on territoriality, song, food requirements, habitat preference and nidification. Song recordings were made for use in playback experiments and for capture and banding. Because of differences in habitat choice and use, co-occupancy of habitat by the 2 spp. occurs with minimal aggression. Interspecific-aggression is rare when food is abundant but common when food is less abundant. Here, after initial aggression, food sites are shared. Interspecific territorial disputes were common and there is evidence that M. gundlachii uses song to avoid aggression. Territorial boundaries were estimated by plotting positions of color-banded individuals. As the breeding season approached, M. gundlachii gradually displaced M. polyglottos from the highest song perches, often by vigorous song. Generally the breeding season for both species was the same. However, peaks of breeding in the 2 spp. occurred at different times.</t>
  </si>
  <si>
    <t>0043-5643</t>
  </si>
  <si>
    <t>WOS:A1984ACX3700007</t>
  </si>
  <si>
    <t>Getty, RM; Coyle, FA</t>
  </si>
  <si>
    <t>Observations on prey capture and anti-predator behaviors of ogre-faced spiders (Deinopis) in southern Costa Rica (Araneae, Deinopidae)</t>
  </si>
  <si>
    <t>JOURNAL OF ARACHNOLOGY</t>
  </si>
  <si>
    <t>Members of two apparently conspecific Deinopis populations from southern Costa Rica perform backward (aerial) strikes (in response to vocalizations and vibrating tuning forks) and forward strikes (to capture ambulatory prey). At daybreak these spiders quickly shift from foraging to cryptic behavior. This cryptic behavior, which is described and illustrated in detail, involves camouflage on a linear plant structure and/or stick mimicry. Body form, fringes of setae, palpal tarsus and claw shape, and color pattern all enhance the effectiveness of these cryptic behaviors.</t>
  </si>
  <si>
    <t>0161-8202</t>
  </si>
  <si>
    <t>WOS:A1996VW78600003</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</si>
  <si>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</si>
  <si>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</si>
  <si>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</si>
  <si>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</si>
  <si>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 L/G-3706-2011; Tuttle, Elaina/A-1485-2016</t>
  </si>
  <si>
    <t>McKee, Clifton/0000-0002-6149-0598; Maney, Donna L/0000-0002-1006-2358; Zinzow-Kramer, Wendy/0000-0003-1469-5803; Tuttle, Elaina/0000-0002-2465-918X</t>
  </si>
  <si>
    <t>10.1111/gbb.12252</t>
  </si>
  <si>
    <t>WOS:000368248600008</t>
  </si>
  <si>
    <t>Miller, MN; Fincke, OM</t>
  </si>
  <si>
    <t>Cues for mate recognition and the effect of prior experience on mate recognition in Enallagma damselflies</t>
  </si>
  <si>
    <t>In many coenagrionid damselflies, sexually mature females exhibit color polymorphisms, with some females resembling conspecific males. Although it has been suggested that the latter function as male mimics, this does not appear to be the case for those in the genus Enallagma. We found that sexually dimorphic coloration of the female abdomen and thorax are important cues for sexual recognition by males. We demonstrate for the first time in the Odonata, that males learn to recognize andromorphs as potential mates. After 2 days in an enclosure, sexually mature males exposed to only andromorphic females initiated more sexual interactions with tethered andromorphs than with heteromorphs, the majority morph in the natural population. Exposure to only heteromorphic females tended to decrease males' sexual responses to andromorphs, but not significantly so. Because the frequency of female morphs often varies within a population, learned mate recognition would be advantageous for males that search for mates. Our results lead to a novel, frequency-dependent hypothesis for the occurrence and maintenance of female-limited color polymorphisms.</t>
  </si>
  <si>
    <t>10.1023/A:1020957110842</t>
  </si>
  <si>
    <t>WOS:000087352400006</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</si>
  <si>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</si>
  <si>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</si>
  <si>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</si>
  <si>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</si>
  <si>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Wiegertjes, Geert F/E-3330-2012; Metcalfe, Neil B./C-5997-2009; Hofmann, Hans/E-4538-2016</t>
  </si>
  <si>
    <t>Forlenza, Maria/0000-0001-9026-7320; Metcalfe, Neil B./0000-0002-1970-9349; wiegertjes, geert/0000-0001-9265-3436; Hofmann, Hans/0000-0002-3335-330X; Dijkstra, Peter/0000-0001-5382-225X</t>
  </si>
  <si>
    <t>10.1111/j.1420-9101.2011.02389.x</t>
  </si>
  <si>
    <t>WOS:000297639600010</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</si>
  <si>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</si>
  <si>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</si>
  <si>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</si>
  <si>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</si>
  <si>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</si>
  <si>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</si>
  <si>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</si>
  <si>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</si>
  <si>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</si>
  <si>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</si>
  <si>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</si>
  <si>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</si>
  <si>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</si>
  <si>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</si>
  <si>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</si>
  <si>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Lafooraki, EY; Hajizadeh, J; Shayanmehr, M; Hosseini, R</t>
  </si>
  <si>
    <t>Lafooraki, Elham Yoosefi; Hajizadeh, Jalil; Shayanmehr, Masoumeh; Hosseini, Reza</t>
  </si>
  <si>
    <t>A revision of the genus Isotomurus (Collembola: Isotomidae) in northern Iran using molecular evidence</t>
  </si>
  <si>
    <t>Three new species of Isotomurus Borner are described from northern Iran. Status of studied populations is confirmed as new species by using COI and 28SrRNA markers. The new species belong to species-group characterized by 3,3,1 trichobothria on Abd. II-IV, 3+3 laterodistal setae on ventral tube, and no seta on mucro. Isotomurus hyrcanicus sp. nov. is similar to I. palustris Muller in color pattern, but has two lateral bands on last abdominal segments and 10-13 setae on retinaculum. Results of COI analyses shows that all color forms in population of the new species are conspecific. Isotomurus potapovi sp. nov. has a dorsomedial band from Th. II to Abd. V and 6-7 setae on retinaculm, and Isotomurus katule sp. nov. has a uniform body color and 5-8 setae on retinaculum. An identification key for recorded species of genus Isotomurus in Iran is provided. Color pattern as a common character used to identify Isotomurus species is not always reliable and its efficiency needs to be verified for each species.</t>
  </si>
  <si>
    <t>Hajizadeh, Jalil/AAX-9481-2020; Shayanmehr, Masoumeh/AGO-2734-2022</t>
  </si>
  <si>
    <t>Hajizadeh, Jalil/0000-0001-9507-1220; Shayanmehr, Masoumeh/0000-0002-5024-1182; Yoosefi Lafooraki, Elham/0000-0002-6394-6130</t>
  </si>
  <si>
    <t>JAN 19</t>
  </si>
  <si>
    <t>10.11646/zootaxa.5230.1.3</t>
  </si>
  <si>
    <t>WOS:000927998600003</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</si>
  <si>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</si>
  <si>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</si>
  <si>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</si>
  <si>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</si>
  <si>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</si>
  <si>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 Abeyesinghe, Siobhan/0000-0002-9977-7949</t>
  </si>
  <si>
    <t>DEC 31</t>
  </si>
  <si>
    <t>10.1016/j.applanim.2011.09.011</t>
  </si>
  <si>
    <t>WOS:000298775100005</t>
  </si>
  <si>
    <t>Senar, JC; Domenech, J; Camerino, M</t>
  </si>
  <si>
    <t>Female siskins choose mates by the size of the yellow wing stripe</t>
  </si>
  <si>
    <t>Commonly, female birds use the brightly coloured patches on males to choose the best-quality mates. Coloured wing patches, however, have received little attention or have been previously related to social behaviour (as a signal to recruit conspecific individuals at feeding patches) or foraging (to flush prey) contexts, rather than to sexual selection. Here we provide evidence that in siskins (Carduelis spinus), wing patches function in mate choice. Mate-choice experiments showed that females were attracted by the size of the yellow wing stripe of the male, but not by the size of its black bib, body size, general plumage brightness or age. Experiments on birds with manipulated yellow wing stripes showed that females were sensitive to the size of this colour patch, irrespective of other male qualities. The preference of female siskins for males with larger wing patches when searching for a mate may be explained by the relationship of this trait to foraging ability, which would ensure females good parental investment from the chosen male.</t>
  </si>
  <si>
    <t>Senar, Joan Carles/V-2371-2018</t>
  </si>
  <si>
    <t>Senar, Joan Carles/0000-0001-9955-3892</t>
  </si>
  <si>
    <t>10.1007/s00265-004-0873-7</t>
  </si>
  <si>
    <t>WOS:000227366700008</t>
  </si>
  <si>
    <t>Morph Composition Matters in the Gouldian Finch (Chloebia gouldiae): Involvement of Red-Headed Birds Increases Vigilance</t>
  </si>
  <si>
    <t>BIRDS</t>
  </si>
  <si>
    <t>Animals invest in costly vigilance to detect threats. Joining groups reduces these costs, which can be further reduced in mixed-species assemblages. In colour-polymorphic species, morphs often experience different predation pressure and vary in a variety of traits. However, little is known about differences in vigilance or how group composition affects vigilance. The aim was to investigate whether higher conspicuousness increased vigilance and whether vigilance was reduced in mixed-morph groups like in mixed-species assemblages. I tested vigilance in the colour-polymorphic Gouldian Finch (Chloebia gouldiae). Same sex pairs of different age and of either pure (red-red or black-black) or mixed head colour were exposed to three contexts (familiar, changed and novel environment) and head movements were recorded. All birds reduced the frequency of head movements with increasing novelty, indicating different vigilance strategies (switching from a searching to a tracking strategy) depending on the situation. While vigilance did not differ between morphs, morph composition mattered. Black-headed pairs made fewer head movements than mixed-head colour pairs. Results indicated that conspicuousness did not affect vigilance, possibly due to existing adaptations to reduce predation risk. However, whenever red-headed birds were involved, vigilance increased either because of higher group conspicuousness or prevalence of aggression.</t>
  </si>
  <si>
    <t>Mettke-Hofmann, Claudia/0000-0003-3874-5035</t>
  </si>
  <si>
    <t>2673-6004</t>
  </si>
  <si>
    <t>10.3390/birds2040030</t>
  </si>
  <si>
    <t>WOS:001123340900001</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</si>
  <si>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</si>
  <si>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</si>
  <si>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</si>
  <si>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</si>
  <si>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Black, Michael/KFS-2769-2024</t>
  </si>
  <si>
    <t>10.1163/1568539X-00003243</t>
  </si>
  <si>
    <t>WOS:000351364600001</t>
  </si>
  <si>
    <t>Seddon, RJ; Hews, DK</t>
  </si>
  <si>
    <t>Seddon, Ryan J.; Hews, Diana K.</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</si>
  <si>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</si>
  <si>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</si>
  <si>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</si>
  <si>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</si>
  <si>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</si>
  <si>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Stieb, SM; Cortesi, F; de Queiroz, LJ; Carleton, KL; Seehausen, O; Marshall, NJ</t>
  </si>
  <si>
    <t>Stieb, Sara. M.; Cortesi, Fabio; de Queiroz, Luiz Jardim; Carleton, Karen. L.; Seehausen, Ole; Marshall, N. Justin</t>
  </si>
  <si>
    <t>Long-wavelength-sensitive (lws) opsin gene expression, foraging and visual communication in coral reef fishes</t>
  </si>
  <si>
    <t>Coral reef fishes are diverse in ecology and behaviour and show remarkable colour variability. Investigating the visual pigment gene (opsin) expression in these fishes makes it possible to associate their visual genotype and phenotype (spectral sensitivities) to visual tasks, such as feeding strategy or conspecific detection. By studying all major damselfish clades (Pomacentridae) and representatives from five other coral reef fish families, we show that the long-wavelength-sensitive (lws) opsin is highly expressed in algivorous and less or not expressed in zooplanktivorous species. Lws is also upregulated in species with orange/red colours (reflectance &gt;520 nm) and expression is highest in orange/red-coloured algivores. Visual models from the perspective of a typical damselfish indicate that sensitivity to longer wavelengths does enhance the ability to detect the red to far-red component of algae and orange/red-coloured conspecifics, possibly enabling social signalling. Character state reconstructions indicate that in the early evolutionary history of damselfishes, there was no lws expression and no orange/red coloration. Omnivory was most often the dominant state. Although herbivory was sometimes dominant, zooplanktivory was never dominant. Sensitivity to long wavelength (increased lws expression) only emerged in association with algivory but never with zooplanktivory. Higher lws expression is also exploited by social signalling in orange/red, which emerged after the transition to algivory. Although the relative timing of traits may deviate by different reconstructions and alternative explanations are possible, our results are consistent with sensory bias whereby social signals evolve as a correlated response to natural selection on sensory system properties in other contexts.</t>
  </si>
  <si>
    <t>Cortesi, Fabio/A-5688-2017; Seehausen, Ole/C-8272-2011</t>
  </si>
  <si>
    <t>Cortesi, Fabio/0000-0002-7518-6159; Seehausen, Ole/0000-0001-6598-1434; Carleton, Karen/0000-0001-6306-5643; Sueess (formerly Stieb), Sara/0000-0001-7158-3934; Marshall, Justin/0000-0001-9006-6713</t>
  </si>
  <si>
    <t>10.1111/mec.16831</t>
  </si>
  <si>
    <t>WOS:000913280100001</t>
  </si>
  <si>
    <t>Korzan, WJ; Summers, TR; Summers, CH</t>
  </si>
  <si>
    <t>Korzan, Wayne J.; Summers, Tangi R.; Summers, Cliff H.</t>
  </si>
  <si>
    <t>Neural and endocrine responses to social stress differ during actual and virtual aggressive interactions or physiological sign stimuli</t>
  </si>
  <si>
    <t>Neural and endocrine responses provide quantitative measures that can be used for discriminating behavioral output analyses. Experimental design differences often make it difficult to compare results with respect to the mechanisms producing behavioral actions. We hypothesize that comparisons of distinctive behavioral paradigms or modification of social signals can aid in teasing apart the subtle differences in animal responses to social stress. Eyespots are a unique sympathetically activated sign stimulus of the lizard Anolis carolinensis that influence aggression and social dominance. Eyespot formation along with measurements of central and plasma mono amines enable comparison of paired male aggressive interactions with those provoked by a mirror image. The results suggest that experiments employing artificial application of sign stimuli in dyadic interactions amplify behavioral, neural and endocrine responses, and foreshorten behavioral interactions compared to those that develop among pairs naturally. While the use of mirrors to induce aggressive behavior produces simulated interactions that appear normal, some behavioral, neural, and endocrine responses are amplified in these experiments as well. In contrast, mirror image interactions also limit the level of certain behavioral and neuroendocrine responses. As true social communication does not occur during interaction with mirror images, rank relationships can never be established. Multiple experimental approaches, such as combining naturalistic social interactions with virtual exchanges and/or manipulation of sign stimuli, can often provide added depth to understanding the motivation, context, and mechanisms that produce specific behaviors. The addition of endocrine and neural measurements helps identify the contributions of specific behavioral elements to the social processes proceeding.</t>
  </si>
  <si>
    <t>10.1016/j.beproc.2020.104294</t>
  </si>
  <si>
    <t>WOS:000608124600001</t>
  </si>
  <si>
    <t>Ng, HH</t>
  </si>
  <si>
    <t>Ng, Heok Hee</t>
  </si>
  <si>
    <t>Tachysurus spilotus, a new species of catfish from central Vietnam (Teleostei: Bagridae)</t>
  </si>
  <si>
    <t>Tachysurus spilotus, a new species of catfish from central Vietnam, is described. It can be distinguished from congeners except T. argentivittatus, T. longispinalis, and T. virgatus in having a color pattern consisting of black longitudinal stripes on a pale body (vs. with a uniform-colored body with pale patches or transverse bands on a dark body, or with dark rectangular patches on a pale body). It differs from both T. argentivittatus and T. virgatus in snout shape and having gently convex (vs. straight) posterior edges of the caudal-fin lobes; and from T. longispinalis in having a shorter dorsal-fin spine (ca. 27% SL vs. 15.1-19.0) and maxillary barbels (shorter, vs. longer than head). Tachysurus mica is shown here to be conspecific with-and a junior synonym of-T. argentivittatus.</t>
  </si>
  <si>
    <t>Ng, Heok Hee/T-5686-2019</t>
  </si>
  <si>
    <t>Ng, Heok Hee/0000-0002-4366-2624</t>
  </si>
  <si>
    <t>10.11646/zootaxa.2283.1.2</t>
  </si>
  <si>
    <t>WOS:000271469200002</t>
  </si>
  <si>
    <t>Carlile, AL; Cho, TO; Waaland, JR</t>
  </si>
  <si>
    <t>Carlile, Amy Lynn; Cho, Tae Oh; Waaland, J. Robert</t>
  </si>
  <si>
    <t>The conspecificity of Ceramium pacificum and Ceramium washingtoniense (Ceramiaceae, Rhodophyta)</t>
  </si>
  <si>
    <t>PHYCOLOGIA</t>
  </si>
  <si>
    <t>Ceramium pacificum and Ceramium washingtoniense are two corticated Ceramium species recognized by their prolific side branches. Molecular analysis of specimens, including those from the type localities and the type specimens, indicates that these two species are conspecific. Two of the characters used to distinguish these species, colour and size, are plastic features that do not define these as separate species. The other character, degree of cortication in younger branches, is shared by both species. This study also shows the value of historic herbarium specimens and why they continue to be a vital resource for taxonomists.</t>
  </si>
  <si>
    <t>0031-8884</t>
  </si>
  <si>
    <t>10.2216/09-19.1</t>
  </si>
  <si>
    <t>WOS:000280232300004</t>
  </si>
  <si>
    <t>Mendelson, TC; Gumm, JM; Martin, MD; Ciccotto, PJ</t>
  </si>
  <si>
    <t>Mendelson, Tamra C.; Gumm, Jennifer M.; Martin, Michael D.; Ciccotto, Patrick J.</t>
  </si>
  <si>
    <t>Preference for conspecifics evolves earlier in males than females in a sexually dimorphic radiation of fishes</t>
  </si>
  <si>
    <t>Speciation by sexual selection is generally modeled as the coevolution of female preferences and elaborate male ornaments leading to behavioral (sexual) reproductive isolation. One prediction of these models is that female preference for conspecific males should evolve earlier than male preference for conspecific females in sexually dimorphic species with male ornaments. We tested that prediction in darters, a diverse group of freshwater fishes with sexually dimorphic ornamentation. Focusing on the earliest stages of divergence, we tested preference for conspecific mates in males and females of seven closely related species pairs. Contrary to expectation, male preference for conspecific females was significantly greater than female preference for conspecific males. Males in four of the 14 species significantly preferred conspecific females; whereas, females in no species significantly preferred conspecific males. Relationships between the strength of preference for conspecifics and genetic distance revealed no difference in slope between males and females, but a significant difference in intercept, also suggesting that male preference evolves earlier than females'. Our results are consistent with other recent studies in darters and suggest that the coevolution of female preferences and male ornaments may not best explain the earliest stages of behavioral isolation in this lineage.</t>
  </si>
  <si>
    <t>10.1111/evo.13406</t>
  </si>
  <si>
    <t>WOS:000424131100009</t>
  </si>
  <si>
    <t>Schätti, B</t>
  </si>
  <si>
    <t>Schatti, Beat</t>
  </si>
  <si>
    <t>Racer populations from the Levant to the Caspian region referred to Platyceps ventromaculatus (Gray, 1834) (Reptilia: Squamata: Colubrinae).</t>
  </si>
  <si>
    <t>Populations of Gray's racer from southeastern Anatolia and Syria to western Iran (Platyceps cf. ventromaculatus) show considerable variability in a number of scale characters, dorsal colour pattern, dentition, and hemipenis length. Zamenis rogersi Anderson is conspecific with R cf. ventromaculatus (Gray). This taxon is recorded from the Cyrenaica (eastern Libya) to at least as far east as the Kopet Dag area (Golestan). Its distribution in eastern Iran and the systematic status of northern African and Middle East populations vis-A-vis Sindian P ventromaculatus (sensu stricto) are in need of further investigations.</t>
  </si>
  <si>
    <t>10.5962/bhl.part.80367</t>
  </si>
  <si>
    <t>WOS:000241077500009</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</si>
  <si>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</si>
  <si>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</si>
  <si>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</si>
  <si>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</si>
  <si>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</si>
  <si>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</si>
  <si>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</si>
  <si>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</si>
  <si>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</si>
  <si>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</si>
  <si>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</si>
  <si>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</si>
  <si>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</si>
  <si>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</si>
  <si>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Schuett, W; Dall, SRX</t>
  </si>
  <si>
    <t>Schuett, Wiebke; Dall, Sasha R. X.</t>
  </si>
  <si>
    <t>Appearance, state, and behavior in male zebra finches, Taeniopygia guttata</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</si>
  <si>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</si>
  <si>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</si>
  <si>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</si>
  <si>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10.1007/s10164-009-0181-9</t>
  </si>
  <si>
    <t>WOS:000277469300009</t>
  </si>
  <si>
    <t>Mesarcova, L; Skurkova, L; Leskova, L; Dillingerova, S; Kottferova, J; Kottferova, L</t>
  </si>
  <si>
    <t>Mesarcova, L.; Skurkova, L.; Leskova, L.; Dillingerova, S.; Kottferova, J.; Kottferova, L.</t>
  </si>
  <si>
    <t>Good-looking vs. Obedient, Which Would You Rather Take Home? Appearance and Behavioral Predictors Affecting the Adoption of Shelter Dogs in Slovakia</t>
  </si>
  <si>
    <t>The aim of the study was to investigate the key factors influencing the successful adoption of dogs from dog shelters in Slovakia. The study covered the following factors in relation to individual dogs: time spent at the shelter, age, body weight, sex, coat color, length of the coat, and behavior (specifically intraspecific aggression, aggression toward humans, activity, and fear-related behavior). The survey was conducted in three shelters in the territory of the Slovak Republic. The online and on-site questionnaires of about 162 successfully adopted dogs were collected and were filled in by the shelter staff, those who accepted dogs into the shelter. Non-parametric statistics (Mann-Whitney U test and Kruskal-Wallis H test followed by Dunn's multiple comparisons test with correction) confirmed that the most important factors influencing the decision-making process of potential adopters were the age of the dog and its weight. However, we found that the length or color of the coat and sex had no effect on early adoption. While behavior is important during the prospective adopter/owner's interaction with the dog, it is still not the most important criterion in making a decision.</t>
  </si>
  <si>
    <t>Kottferova, Jana/AAT-6557-2020</t>
  </si>
  <si>
    <t>Kottferova, Jana/0000-0002-4039-4660; Mesarcova, Lydia/0000-0002-1104-3685; Kottferova, Lucia/0000-0003-3786-3814</t>
  </si>
  <si>
    <t>APR 3</t>
  </si>
  <si>
    <t>10.1080/10888705.2021.1872026</t>
  </si>
  <si>
    <t>WOS:000612753900001</t>
  </si>
  <si>
    <t>WILLSON, MF; COMET, TA</t>
  </si>
  <si>
    <t>FOOD CHOICES BY NORTHWESTERN CROWS - EXPERIMENTS WITH CAPTIVE, FREE-RANGING AND HAND-RAISED BIRDS</t>
  </si>
  <si>
    <t>Captive adult Northwestern Crows (Corvus caurinus), foraging individually, were selective of native Alaskan fruits. Most individuals had color preferences, commonly preferring red, blue, or green over yellow. They often favored high-lipid artificial fruits over low-lipid, but only sometimes favored artificial fruits with high levels of com syrup or sucrose over those with low sugar levels. However, decreased accessibility of the favored fruits generally eliminated the preference for high lipid or high sugar, although accessibility did not alter preferences in parallel experiments with domestic cherries. Artificial fruits with high seed loads were not avoided. In all of the above experiments, individual variation was conspicuous. Crows showed no evidence of learning foliar cues for fruit selection. Hand-raised crows did not prefer the color of the food upon which they were raised. They exhibited extensive individual variation in preferences for color, lipid and sugar content. Free-ranging crows often foraged in groups, lacked the experience of the captive crows with the visual cues available to identify nutrient levels in the experimental fruits, and commonly did not make the same choices collectively as the captive crows. We interpret the extensive variation among individuals, the flexibility of choice, and the difficulty of assessing nutrient levels in conspecific natural fruits as evidence that selection by Northwestern Crows on the fruit traits examined is probably weak and variable.</t>
  </si>
  <si>
    <t>10.2307/1369604</t>
  </si>
  <si>
    <t>WOS:A1993LU78000012</t>
  </si>
  <si>
    <t>Jordan, R; Kellogg, K; Juanes, F; Stauffer, J</t>
  </si>
  <si>
    <t>Evaluation of female mate choice cues in a group of Lake Malawi mbuna (Cichlidae)</t>
  </si>
  <si>
    <t>The mechanisms that underlie the diversity of cichlids in the East African Great Lakes are poorly understood. Sexual selection through female choice based on male body coloration has often been suggested as a driving force behind the speciation of these fishes. The objectives of this study were to investigate, through mate choice trials, the cues that guide species-isolating female choice. In a group of sympatric Lake Malawi mbuna (rock-dwelling fish), we investigated both visual and chemical cues that might guide female choice by giving gravid females a choice between a heterospecific and a conspecific male. Visual cues, in contrast to olfactory cues, were sufficient to stimulate courtship and thus guide female choice of males. Furthermore, in contrast to other studies on related species, we found that females courted only with conspecifics even if color was not a cue. Species-isolating female choice is likely based primarily on visual information.</t>
  </si>
  <si>
    <t>Stauffer, Jay/D-7318-2018</t>
  </si>
  <si>
    <t>Stauffer, Jay/0000-0001-9653-942X</t>
  </si>
  <si>
    <t>FEB 26</t>
  </si>
  <si>
    <t>10.1643/0045-8511(2003)003[0181:EOFMCC]2.0.CO;2</t>
  </si>
  <si>
    <t>WOS:000181477800020</t>
  </si>
  <si>
    <t>Narayanan, S; Das, S; Anvar, YM; Tillack, F; Mohapatra, PP; Gower, DJ; Rajkumar, KP; Deepak, V</t>
  </si>
  <si>
    <t>Narayanan, Surya; Das, Sandeep; Anvar, Y. Muhammed; Tillack, Frank; Mohapatra, Pratyush P.; Gower, David J.; Rajkumar, K. P.; Deepak, V.</t>
  </si>
  <si>
    <t>On the taxonomic validity of Boiga whitakeri Ganesh et al., 2021 with new insights on Boiga dightoni (Boulenger, 1894) (Reptilia: Squamata: Colubridae)</t>
  </si>
  <si>
    <t>VERTEBRATE ZOOLOGY</t>
  </si>
  <si>
    <t>Colour polymorphism has been previously reported in several colubrid snakes including Boiga spp. In this paper, we report colour variations within the poorly known southern Indian Boiga dightoni, provide the first molecular data for this species, from two lo- calities (including the type locality) and compare them with data from other congeners. Additionally, we provide detailed dentition and hemipenis descriptions for B. dightoni. Molecular data for B. dightoni show very little difference (0.2-0.4% 16S; 0.9-1.2% cyt b) to the recently described Boiga whitakeri, also from southern India. We have re-examined and present new information on the pholidosis of the type specimens of B. whitakeri and reconsider its taxonomic status. On the basis of molecular data and overlapping morphological characteristics, we argue that Boiga whitakeri and Boiga dightoni are conspecific, and place B. whitakeri under the subjective synonymy of the latter. Furthermore, we show that colour polymorphism in B. dightoni is a gender-independent character and that both colour morphs are found in high as well as low elevations and partly in sympatry. A revised key to the Boiga ceylonensis complex is provided.</t>
  </si>
  <si>
    <t>Das, Sandeep/GWZ-1926-2022; Veerappan, Deepak/N-1910-2016; Mohapatra, Pratyush/GLT-6984-2022; Mohapatra, Pratyush/IYS-3049-2023</t>
  </si>
  <si>
    <t>Das, Sandeep/0000-0003-1536-5793; Veerappan, Deepak/0000-0002-8826-9367; Mohapatra, Pratyush/0000-0002-8966-297X; K.P., Rajkumar/0000-0003-3241-0170; Narayanan, Surya/0000-0001-9359-2815; Tillack, Frank/0000-0003-1418-6531</t>
  </si>
  <si>
    <t>1864-5755</t>
  </si>
  <si>
    <t>JAN 18</t>
  </si>
  <si>
    <t>10.3897/vz.73.e97002</t>
  </si>
  <si>
    <t>WOS:000960500300001</t>
  </si>
  <si>
    <t>HUHTA, E; ALATALO, RV</t>
  </si>
  <si>
    <t>PLUMAGE COLOR AND MALE MALE INTERACTIONS IN THE PIED FLYCATCHER</t>
  </si>
  <si>
    <t>10.1006/anbe.1993.1062</t>
  </si>
  <si>
    <t>WOS:A1993KW24700009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</si>
  <si>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</si>
  <si>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</si>
  <si>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</si>
  <si>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</si>
  <si>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</si>
  <si>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</si>
  <si>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</si>
  <si>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</si>
  <si>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</si>
  <si>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</si>
  <si>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 Papadakis, Vassilis M/GXM-3430-2022</t>
  </si>
  <si>
    <t>Papadakis, Vassilis M/0000-0003-3188-4577; Papadakis, Vassilis M/0000-0003-3188-4577; Alvanopoulou, Marsela/0000-0002-6802-2236</t>
  </si>
  <si>
    <t>10.1111/are.12854</t>
  </si>
  <si>
    <t>WOS:000387663000031</t>
  </si>
  <si>
    <t>Campbell, DLM; Shaw, RC; Hauber, ME</t>
  </si>
  <si>
    <t>Campbell, Dana L. M.; Shaw, Rachael C.; Hauber, Mark E.</t>
  </si>
  <si>
    <t>The Strength of Species Recognition in Captive Female Zebra Finches (Taeniopygia guttata): A Comparison Across Estrildid Heterospecifics</t>
  </si>
  <si>
    <t>Conspecific recognition is essential for sexually reproducing species. Captive zebra finches (Taeniopygia guttata) are a model system in which the behavioural, ontogenetic and neurobiological bases of own-species (conspecific) recognition have been studied in detail. To assess the potential role of phylogeographic effects on species recognition, we examined the spatial preferences of unmated captive-bred female zebra finches between unfamiliar captive males of conspecific and estrildid heterospecific male stimuli. In accordance with prior studies using domesticated Bengalese finches (Lonchura striata vars. domestica), we found significant spatial and behavioural preference for conspecific males by female zebra finches, irrespective of heterospecific male phylogeographic origin mating status, or individual behaviour. This result has ramifications for the interpretation of social and mate preferences in this model species as it implies a consistency of species discrimination by captive female zebra finches.</t>
  </si>
  <si>
    <t>Shaw, Rachael/N-1608-2019; Campbell, Dana/S-6777-2017</t>
  </si>
  <si>
    <t>Shaw, Rachael/0000-0002-4831-8283; Campbell, Dana/0000-0003-4028-8347</t>
  </si>
  <si>
    <t>10.1111/j.1439-0310.2008.01584.x</t>
  </si>
  <si>
    <t>WOS:000261836000004</t>
  </si>
  <si>
    <t>Tedore, C; Johnsen, S</t>
  </si>
  <si>
    <t>Tedore, Cynthia; Johnsen, Soenke</t>
  </si>
  <si>
    <t>Pheromones exert top-down effects on visual recognition in the jumping spider Lyssomanes viridis</t>
  </si>
  <si>
    <t>In diverse and productive habitats, predaceous arthropods are expected to frequently encounter dangerous conspecifics and heterospecifics. This should make quick and accurate discriminations between species and sexes adaptive. By simultaneously sampling both visual cues and pheromones, and by utilizing stringent species- and sex-specific visual recognition templates, an individual should be able to increase both its speed and accuracy in making such discriminations. We tested for the use and stringency of visual recognition templates in the jumping spider Lyssomanes viridis by presenting males with animated images of conspecifics, heterospecifics and composite images that combined the facial coloration and morphology of one sex or species with the leg coloration of another. Males' courtship versus threat displays indicated whether a stimulus was perceived as a potential mate or a threat. By comparing males' visual inspection times of, and display types towards, the various images in the presence versus absence of female pheromones, we were able to deduce whether males tend to inspect a subset of the color pattern and morphological features that make up their conspecific recognition templates (i.e. those on just the face or just the legs), or all features, and whether this changes in the presence of pheromones. We found that the male recognition template for conspecific female was surprisingly coarse, whereas the recognition template for conspecific male, and especially the male face, was more specific. Pheromones hastened the recognition of images with coloration and morphology closely matching those of conspecifics, presumably by activating conspecific visual recognition templates. When males were presented with an image that was, overall, a poor match to a conspecific female, but that contained a subset of female or female-like features, female pheromones usually did not hasten recognition, but did increase the likelihood that the image would be identified as a female. Taken together, our data suggest that males examined features on both the face and the legs in both the presence and absence of pheromones, and that female pheromones tipped the balance in favor of a female identification when a male was unsure how to categorize an incongruous set of visual features.</t>
  </si>
  <si>
    <t>Tedore, Cynthia/KXQ-5391-2024</t>
  </si>
  <si>
    <t>Tedore, Cynthia/0000-0002-3731-9037</t>
  </si>
  <si>
    <t>10.1242/jeb.071118</t>
  </si>
  <si>
    <t>WOS:000317722700033</t>
  </si>
  <si>
    <t>Yeager, J; Barnett, JB</t>
  </si>
  <si>
    <t>Yeager, Justin; Barnett, James B.</t>
  </si>
  <si>
    <t>Continuous Variation in an Aposematic Pattern Affects Background Contrast, but Is Not Associated With Differences in Microhabitat Use</t>
  </si>
  <si>
    <t>Variation in aposematic signals was once predicted to be rare, yet in recent years it has become increasingly well documented. Despite increases in the frequency with which polytypism and polymorphism have been suggested to occur, population-wide variance is rarely quantified. We comprehensively sampled a subpopulation of the poison frog Oophaga sylvatica, a species which is polytypic across its distribution and also shows considerable within-population polymorphism. On one hand, color pattern polymorphism could be the result of multifarious selection acting to balance different signaling functions and leading to the evolution of discrete sub-morphs which occupy different fitness peaks. Alternatively, variance could simply be due to relaxed selection, where variation would be predicted to be continuous. We used visual modeling of conspecific and heterospecific observers to quantify the extent of within population phenotypic variation and assess whether this variation produced distinct signals. We found that, despite considerable color pattern variation, variance could not be partitioned into distinct groups, but rather all viewers would be likely to perceive variation as continuous. Similarly, we found no evidence that frog color pattern contrast was either enhanced or diminished in the frogs' chosen microhabitats compared to alternative patches in which conspecifics were observed. Within population phenotypic variance therefore does not seem to be indicative of strong selection toward multiple signaling strategies, but rather pattern divergence has likely arisen due to weak purifying selection, or neutral processes, on a signal that is highly salient to both conspecifics and predators.</t>
  </si>
  <si>
    <t>Barnett, James B/AFW-3209-2022</t>
  </si>
  <si>
    <t>Barnett, James B/0000-0001-9789-4132</t>
  </si>
  <si>
    <t>10.3389/fevo.2022.803996</t>
  </si>
  <si>
    <t>WOS:000775231200001</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</si>
  <si>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</si>
  <si>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</si>
  <si>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</si>
  <si>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</si>
  <si>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</si>
  <si>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</si>
  <si>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Ye, XE; Bai, L; Ye, YS; Xia, NH; Leong-Skornicková, J</t>
  </si>
  <si>
    <t>Ye, Xing-Er; Bai, Lin; Ye, Yu-Shi; Xia, Nian-He; Leong-Skornickova, Jana</t>
  </si>
  <si>
    <t>Taxonomic studies of Amomum (Zingiberaceae) in China II: transfer of Hornstedtia tibetica to Amomum and supplementary description of H-hainanensis</t>
  </si>
  <si>
    <t>PLANT SYSTEMATICS AND EVOLUTION</t>
  </si>
  <si>
    <t>Hornstedtia tibetica was originally described only from fruiting material. On the basis of morphological study of flowering material originating at the type locality, the species is a member of Amomum. This was also confirmed by palynological evidence and a molecular analysis based on ITS region. A new combination Amomum tibeticum is therefore established here, together with a detailed description and colour plate of this species. As previously suspected from the similarity of the original description and type, Hornstedtia arunachalensis is conspecific with A. tibeticum and is therefore synonymised here. The only remaining species of Hornstedtia in China is therefore H. hainanensis, which was also described only from fruiting material. To aid unambiguous understanding of this taxon, we provide a detailed description and colour plate based on recent collections of flowering material near the type locality in Hainan Province, China.</t>
  </si>
  <si>
    <t>叶, 裕诗/HJI-4098-2023</t>
  </si>
  <si>
    <t>Bai, Lin/0000-0001-8464-8688; Leong-Skornickova, Jana/0000-0003-4490-3490</t>
  </si>
  <si>
    <t>0378-2697</t>
  </si>
  <si>
    <t>1615-6110</t>
  </si>
  <si>
    <t>10.1007/s00606-018-1539-7</t>
  </si>
  <si>
    <t>WOS:000447531400008</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</si>
  <si>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</si>
  <si>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</si>
  <si>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</si>
  <si>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</si>
  <si>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10.1016/j.anbehav.2017.12.006</t>
  </si>
  <si>
    <t>WOS:000443386600017</t>
  </si>
  <si>
    <t>Mitsuhashi, M; Takeda, M</t>
  </si>
  <si>
    <t>Mitsuhashi, Masako; Takeda, Masatsune</t>
  </si>
  <si>
    <t>Identity of the coral-associated pontoniine shrimp species, Coralliocaris nudirostris (Heller, 1861) and C. venusta Kemp, 1922 (Crustacea: Decapoda: Palaemonidae), with descriptions of two new species</t>
  </si>
  <si>
    <t>Two species of the pontoniine shrimp genus Coralliocaris, C. venusta Kemp, 1922 and C. nudirostris (Heller, 1861), are reviewed based on the type specimens and additional material from the Indo-West Pacific. Two colour morphs previously recognized in C. venusta can be separated into two species on the basis of presence or absence of a concavity on the medial surface of the first pereiopod fingers. The presence of a concavity on the first pereiopod fingers indicates that the 'white patched morph' of C. venusta is referable to C. venusta sensu stricto, and that this species is conspecific with C. nudirostris, whereas the colour morph ('black striated morph') characterised by the absence of the concavity, belongs to a new species, C. sandyi sp. nov. A further new species named C. labyrintha sp. nov. can be separated from the former by the colour pattern in life, a moderately angled supraorbital eave, usually more numerous rostral teeth, and proportionally slenderer fingers of the first pereiopod. Colour photographs and drawings of fresh specimens of C. nudirostris and the two new species are provided, and an updated key to the genus is given to facilitate identification.</t>
  </si>
  <si>
    <t>FEB 13</t>
  </si>
  <si>
    <t>WOS:000253163600001</t>
  </si>
  <si>
    <t>Williams, PH; Byvaltsev, A; Sheffield, C; Rasmont, P</t>
  </si>
  <si>
    <t>Williams, Paul H.; Byvaltsev, Alexandr; Sheffield, Cory; Rasmont, Pierre</t>
  </si>
  <si>
    <t>Bombus cullumanus-an extinct European bumblebee species?</t>
  </si>
  <si>
    <t>Bombus cullumanus s. str. has attracted some of the greatest conservation concerns among bumblebees in Europe because it might now be extinct. However, there has been long-standing disagreement about whether it is conspecific with other eastern pale-banded bumblebees. We investigate these relationships using new data from DNA (COI) barcodes. The results support a Nearctic rufocinctus-group (Bombus rufocinctus) and a Palaearctic cullumanus-group, the latter with just three species: Bombus semenoviellus, Bombus unicus and B. cullumanus s. l. (including several differently coloured taxa). We conclude that, although any persisting B. cullumanus cullumanus s. str. might be a regional conservation priority within Europe, nevertheless, because the species remains common elsewhere within its range in Asia, globally a higher conservation priority should be given to B. unicus, which is genetically more distinct and appears to have a much smaller population in the Russian Far East.</t>
  </si>
  <si>
    <t>Byvaltsev, Alexandr/Q-4549-2019; Sheffield, Cory/I-4812-2019; Byvaltsev, Alexandr M/B-9961-2017</t>
  </si>
  <si>
    <t>Byvaltsev, Alexandr/0000-0001-6555-5646; Sheffield, Cory/0000-0003-0603-7333;</t>
  </si>
  <si>
    <t>10.1007/s13592-012-0161-x</t>
  </si>
  <si>
    <t>WOS:000314882300001</t>
  </si>
  <si>
    <t>Reproductive signals of female lizards: Pattern of trait expression and male response</t>
  </si>
  <si>
    <t>Relative to the volume of studies concerning the function and evolution of male-biased sexually dimorphic traits, instances of female-biased sexual dimorphisms remain largely unstudied, especially in species with conventional sex roles. I investigated the signal function of a female-specific ornamental trait using the striped plateau lizard (Sceloporus virgatus , Phrynosomatidae) as a model system. During the reproductive season, female S. virgatus develop orange color on their throats that is absent in conspecific males. I established the relationship between color expression and female reproductive state, and determined male response to female color. I show that dynamic changes occurring within the color patch can potentially identify each stage of the female reproductive cycle, largely because of a lag in patch growth relative to color intensification. Sexual receptivity is associated with intense patches rapidly growing in size; ovulation occurs near peak color expression; and the unreceptive period is associated with large patches fading in intensity. Because females express orange color during both the receptive and unreceptive periods, the pattern of color expression is consistent with the courtship-stimulation and courtship-rejection hypotheses of signal function. Males may preferentially associate with females that have more highly developed color patches during the courtship season, and/or ignore such females when they are unreceptive. An examination of male behavior towards unfamiliar females indicates that female color has a role in courtship stimulation but has little, if any, role in courtship rejection. During the pre-mating season, males maintained significantly closer affiliation with, and tended to perform more social behavior towards females with more intense color. During the post-mating season, female color had no apparent effect on male behavior. The evolution and current function of female ornaments may vary among taxonomically-related species as a result of differences in ecology, social system, and life-history.</t>
  </si>
  <si>
    <t>10.1046/j.1439-0310.2002.00819.x</t>
  </si>
  <si>
    <t>WOS:000177775300004</t>
  </si>
  <si>
    <t>SILVERMAN, HI</t>
  </si>
  <si>
    <t>EFFECTS OF VISUAL SOCIAL STIMULATION UPON AGE AT 1ST SPAWNING IN THE MOUTH-BROODING CICHLID FISH SAROTHERODON-(TILAPIA)-MOSSAMBICUS (PETERS)</t>
  </si>
  <si>
    <t>The effect of visual social stimulation upon age at 1st spawning of S. (Tilapia) mossambicus was studied by rearing newly-released young in 1 of 2 conditions: isolated, or in visual contact with a conspecific of the same age in an adjacent aquarium. Isolation delayed 1st spawning by about 10 days for isolated females as compared to socially stimulated females. The rate of color development was the same for all males suggesting that testicular maturation was not greatly affected by visual social stimulation. Growth of social females lagged behind that of isolates. Some mechanisms and biological effects are discussed.</t>
  </si>
  <si>
    <t>10.1016/0003-3472(78)90101-X</t>
  </si>
  <si>
    <t>WOS:A1978GD83400017</t>
  </si>
  <si>
    <t>SCHOLL, A; THORP, RW; BISHOP, JA; OBRECHT, E</t>
  </si>
  <si>
    <t>THE TAXONOMIC STATUS OF BOMBUS-ALBOANALIS FRANKLIN AND ITS RELATIONSHIP WITH OTHER TAXA OF THE SUBGENUS PYROBOMBUS FROM NORTH-AMERICA AND EUROPE (HYMENOPTERA, APIDAE)</t>
  </si>
  <si>
    <t>PAN-PACIFIC ENTOMOLOGIST</t>
  </si>
  <si>
    <t>Bombus alboanalis Franklin, 1913, has either been regarded as a distinct species or has been synonymized with B. frigidus Smith 1854, from which it differs in coat color of the abdomen. However, both taxa are sympatric in Alaska and there is no evidence for intergradation from coat color variation. We surveyed 18 enzymes by vertical starch-gel electrophoresis and compared B. alboanalis with B. frigidus and other species of the subgenus Pyrobombus. We found that B. alboanalis differs from B. frigidus at two enzyme loci suggesting that these taxa are genetically separated. According to the enzyme survey B. alboanalis belongs to a group of very closely related Pyrobombus species that includes B. frigidus, B. cingulatus Wahlberg and B. jonellus (Kirby), and more distant B. sitkensis Nylander, B. mixtus Cresson, B. pratorum (L.), and B, pyrenaeus (Perez). We present evidence that B. alboanalis may be conspecific with B. jonellus.</t>
  </si>
  <si>
    <t>0031-0603</t>
  </si>
  <si>
    <t>WOS:A1995TA18200008</t>
  </si>
  <si>
    <t>WIRMINGHAUS, JO</t>
  </si>
  <si>
    <t>OBSERVATIONS ON THE BEHAVIOR OF THE CAPE GIRDLED LIZARD CORDYLUS-CORDYLUS (REPTILIA, CORDYLIDAE)</t>
  </si>
  <si>
    <t>Cape girdled lizards Cordylus cordylus are social and territorial. Behaviour observed in captivity revealed at least 24 distinct postures and displays. Thermoregulatory behaviour was the most frequent of all behaviours observed (66.7%). Of the social behaviours, aggression was observed most frequently (72.1%). Six behavioural postures are not know to have been described before. This species has no bright colours or contrasting marketings to use in displays to conspecifics.</t>
  </si>
  <si>
    <t>10.1080/00222939000770931</t>
  </si>
  <si>
    <t>WOS:A1990EH88300013</t>
  </si>
  <si>
    <t>Ting, JJ; Bots, J; Jvostov, FP; van Gossum, H; Sherratt, TN</t>
  </si>
  <si>
    <t>Ting, Janice J.; Bots, Jessica; Jvostov, Felipe Perez; van Gossum, Hans; Sherratt, Thomas N.</t>
  </si>
  <si>
    <t>Effects of extreme variation in female morph frequencies on the mating behaviour of male damselflies</t>
  </si>
  <si>
    <t>Female-limited polymorphism is often attributed to selection to avoid excessive male mating attempts. It is encountered in various taxonomic groups, but is particularly common in damselflies, where one female morph (andromorph) typically resembles the conspecific male in colour pattern, while the other(s) (gynomorph(s)) do not. Two sets of theories have been proposed to explain the phenomenon in damselflies, which can be classified as the learned mate recognition (LMR) and male mimicry (MM) hypotheses. To test predictions of these hypotheses, we evaluated the rate of male sexual response towards female morphs and conspecific males in the damselfly Nehalennia irene. The LMR hypothesis predicts that males should respond sexually to andromorphs at greater rates in populations containing a higher relative frequency of andromorphs. The MM hypothesis predicts that males respond more often sexually to both andromorphs and males as the ratio of andromorphs to males increases. While LMR predicts that the rate of mating attempts towards gynomorphs should vary, the MM predicts that it should be relatively fixed. On experimentally presenting live specimens to focal males in five different populations with extreme variation in female morph frequencies, we observed that as the andromorph frequency and ratio of andromorphs to males increased, the proportion of male mating attempts increased on both andromorphs and males, whereas it decreased on gynomorphs. While the simplest form of the MM hypothesis is rejected, the results support specific predictions of both hypotheses and suggest that future studies should not treat these hypotheses as mutually exclusive.</t>
  </si>
  <si>
    <t>10.1007/s00265-009-0839-x</t>
  </si>
  <si>
    <t>WOS:000271978300008</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</si>
  <si>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</si>
  <si>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</si>
  <si>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</si>
  <si>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</si>
  <si>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Hans/E-4538-2016</t>
  </si>
  <si>
    <t>Trainor, Brian C./0000-0002-4627-5478; Aubin-Horth, Nadia/0000-0002-9030-634X; Hofmann, Hans/0000-0002-3335-330X</t>
  </si>
  <si>
    <t>10.1016/j.yhbeh.2012.01.006</t>
  </si>
  <si>
    <t>WOS:000302763700005</t>
  </si>
  <si>
    <t>Miller, R; Schwab, C; Bugnyar, T</t>
  </si>
  <si>
    <t>Miller, Rachael; Schwab, Christine; Bugnyar, Thomas</t>
  </si>
  <si>
    <t>Explorative Innovators and Flexible Use of Social Information in Common Ravens (Corvus corax) and Carrion Crows (Corvus corone)</t>
  </si>
  <si>
    <t>Innovation and social information use are influenced by individual characteristics, and are important for the creation and transmission of novel behavioral patterns. Here, we investigated which individual factors predict innovation rates and social transmission of information in a comparative study with identically reared common ravens (Corvus corax) and carrion crows (Corvus corone corone; Corvus corone cornix). In the innovation experiment (1), we presented the birds with a novel problem-solving task while alone, to determine which individuals would quickly solve (innovators) or not solve (noninnovators) this task. We then related these findings to sex, object exploration (frequency of novel item manipulation), object neophobia (latency to novel item interaction), and social rank position. We found that innovators were more explorative than noninnovators, although they did not differ significantly in social rank, object neophobia or sex. In the social information use experiments (2 &amp; 3), subjects first observed a model (Exp. 2: conspecific, heterospecific; Exp. 3: conspecific innovator &amp; noninnovator) demonstrate a specific color selection in a 2-choice cup task, before being allowed to make their own cup selection. Innovator and noninnovator observers did not significantly differ in their tendency to use social information, that is, to select the demonstrated cup first, from a conspecific or heterospecific model. Furthermore, observers did not preferentially use social information from an innovator over a noninnovator model. We discuss our findings in relation to the likely benefits of flexible information use, and the role of other model characteristics, such as relationships, on the use of social information.</t>
  </si>
  <si>
    <t>Bugnyar, Thomas/0000-0002-6072-9667; Miller (Harrison), Rachael/0000-0003-2996-9571</t>
  </si>
  <si>
    <t>10.1037/com0000039</t>
  </si>
  <si>
    <t>WOS:000388497000004</t>
  </si>
  <si>
    <t>Pöysä, H</t>
  </si>
  <si>
    <t>Low host recognition tendency revealed by experimentally induced parasitic egg laying in the common goldeneye (Bucephala clangula)</t>
  </si>
  <si>
    <t>Host-parasite relatedness has been suggested to promote the evolution of conspecific brood parasitism, an alternative reproductive tactic pursued by females in several animal taxa. An essential prerequisite for relatedness to promote brood parasitism is accurate kin recognition, including the recognition of related hosts by parasites. I performed a field experiment to address the accuracy of host recognition by parasites in the common goldeneye (Bucephala clangula), a cavity-nesting duck. I studied whether parasites discriminate between experimental nests that did not have a host (i.e., new nest boxes that contained chicken eggs dyed to mimic the colour of common goldeneye eggs) and real nests that did have a host (i.e., active nests that progressed to incubation). Parasitic egg laying in the experimental nests was not constrained by the lack of contemporarily available nests that had a host; it was also not constrained by the lack of suitable and empty nest sites. There was no difference in the start of parasitic laying between the experimental and real nests. The experimental nests and real nests were equally parasitized. The findings suggest that host recognition by parasites is not sophisticated in the common goldeneye, questioning the possible function of accurate kin recognition in brood parasitism in this species.</t>
  </si>
  <si>
    <t>Pöysä, Hannu/JBS-4832-2023; Pöysä, Hannu/C-2601-2014</t>
  </si>
  <si>
    <t>10.1139/Z03-147</t>
  </si>
  <si>
    <t>WOS:000186325200009</t>
  </si>
  <si>
    <t>Hodgson, ZG; Healy, SD</t>
  </si>
  <si>
    <t>Preference for spatial cues in a non-storing songbird species</t>
  </si>
  <si>
    <t>Male mammals typically outperforrn their conspecific females on spatial tasks. A sex difference in cues used to solve the task could underlie this performance difference as spatial ability is reliant on appropriate cue use. Although comparative studies of memory in food-storing and non-storing birds have examined species differences in cue preference, few studies have investigated differences in cue use within a species. In this study, we used a one-trial associative food-finding task to test for sex differences in cue use in the great tit, Parus major. Birds were trained to locate a food reward hidden in a well covered by a coloured cloth. To determine whether the colour of the cloth or the location of the well was learned during training, the birds were presented with three wells in the test phase: one in the original location, but covered by a cloth of a novel colour, a second in a new location covered with the original cloth and a third in a new location covered by a differently coloured cloth. Both sexes preferentially visited the well in the training location rather than either alternative. As great tits prefer colour cues over spatial cues in one-trial associative conditioning tasks, cue preference appears to be related to the task type rather than being species dependent.</t>
  </si>
  <si>
    <t>Healy, Susan/0000-0002-8059-4480</t>
  </si>
  <si>
    <t>10.1007/s10071-004-0249-4</t>
  </si>
  <si>
    <t>WOS:000231236200007</t>
  </si>
  <si>
    <t>Barreira, AS; Eaton, MD; Vilacoba, E; Tubaro, PL; Kopuchian, C</t>
  </si>
  <si>
    <t>Barreira, Ana S.; Eaton, Muir D.; Vilacoba, Elisabet; Tubaro, Pablo L.; Kopuchian, Cecilia</t>
  </si>
  <si>
    <t>Short-wavelength visual sensitivity and sexual differences in plumage colouration of ovenbirds (Aves: Furnariinae)</t>
  </si>
  <si>
    <t>Ovenbirds represent a clade of exclusively Neotropical birds that are exceptionally diverse, despite their rather dull, melanin-based plumage. In general, sexes are considered monomorphic in size and colour, but several authors have reported females of some species within this family as being slightly paler than their conspecific counterparts. Our aim was to assess levels of sexual dichromatism in a set of ovenbird species representing a diversity of genera and plumage patterns; Furnarius rufus, Phleocryptes melanops, Synallaxis spixi and Schoeniophylax phryganophilus. For each species, we quantified sexual differences in brightness and colouration among 8-10 different plumage regions through modelling avian perceptual colour-space distances. To best inform our visual modelling parameters, we successfully sequenced the SWS1 gene fragment (associated with short-wavelength, including ultraviolet, visual sensitivity in birds) for one species, P. melanops, and found it possessed an amino acid sequence consistent with the VS-type SWS1 visual system. This provides further evidence supporting the presence of VS-sensitive opsin in ovenbirds. Among all four species, females were consistently brighter than males in at least one plumage patch, but chromatic colour differences between sexes were significant only for the throat patches of Schoeniophylax phryganophilus. Overall, we interpret ovenbirds to exhibit very low levels of sexual dichromatism, manifest mainly by achromatic colour differences.</t>
  </si>
  <si>
    <t>Vilacoba, Elisabet/0000-0002-3528-6497; Barreira, Ana S./0000-0001-7568-488X; Kopuchian, Cecilia/0000-0001-7689-3341; Tubaro, Pablo/0000-0002-6460-0844</t>
  </si>
  <si>
    <t>10.1007/s10336-021-01864-2</t>
  </si>
  <si>
    <t>WOS:000619907200001</t>
  </si>
  <si>
    <t>Laakso, LK; Ilvonen, JJ; Suhonen, J</t>
  </si>
  <si>
    <t>Laakso, Linda K.; Ilvonen, Jaakko J.; Suhonen, Jukka</t>
  </si>
  <si>
    <t>Phenotypic variation in male Calopteryx splendens damselflies: the role of wing pigmentation and body size in thermoregulation</t>
  </si>
  <si>
    <t>For ectothermic insects, their colour and size are important determinants of body temperature: larger bodies require more heat to reach a certain temperature, and dark colours absorb heat more efficiently. These dark colours are expressed using melanin, which has been intimately linked with the thermoregulatory capabilities of insects. Melanin is also linked with immune defence and is often used as a secondary sexual character in insects. There is a potential trade-off situation between thermoregulatory capabilities, immune defence and secondary sexual characters, all of which use melanin. Some Calopteryx damselflies, such as Calopteryx splendens, have melanin-based wing pigmentation that is sexually selected and drives intra- and interspecific territorial aggression. Our goal was to study experimentally how the wing pigmentation and body size of C. splendens males affect their thermoregulation and, especially, their ability to become active (hereafter, 'activate') after being cooled down. Our results were in line with our hypotheses, showing that individuals with larger wing spots had significantly faster activation times than those with smaller wing spots, and that individuals with larger body size had significantly slower activation times than those with smaller body size. Both variables showed an interaction and are therefore important in damselfly warm-up and activation. We discuss the role of wing pigmentation and thermoregulation in the behavioural patterns observed in Calopteryx species.</t>
  </si>
  <si>
    <t>Ilvonen, Jaakko J/AAG-4842-2019</t>
  </si>
  <si>
    <t>Ilvonen, Jaakko J/0000-0002-2311-7039</t>
  </si>
  <si>
    <t>10.1093/biolinnean/blab102</t>
  </si>
  <si>
    <t>AUG 2021</t>
  </si>
  <si>
    <t>WOS:000715341100013</t>
  </si>
  <si>
    <t>Bloch, NI</t>
  </si>
  <si>
    <t>Bloch, Natasha I.</t>
  </si>
  <si>
    <t>Evolution of opsin expression in birds driven by sexual selection and habitat</t>
  </si>
  <si>
    <t>Theories of sexual and natural selection predict coevolution of visual perception with conspecific colour and/or the light environment animals occupy. One way to test these theories is to focus on the visual system, which can be achieved by studying the opsin-based visual pigments that mediate vision. Birds vary greatly in colour, but opsin gene coding sequences and associated visual pigment spectral sensitivities are known to be rather invariant across birds. Here, I studied expression of the four cone opsin genes (Lws, Rh2, Sws2 and Sws1) in 16 species of New World warblers (Parulidae). I found levels of opsin expression vary both across species and between the sexes. Across species, female, but not male Sws2 expression is associated with an index of sexual selection, plumage dichromatism. This fits predictions of classic sexual selection models, in which the sensory system changes in females, presumably impacting female preference, and co-evolves with male plumage. Expression of the opsins at the extremes of the light spectrum, Lws and Uvs, correlates with the inferred light environment occupied by the different species. Unlike opsin spectral tuning, regulation of opsin gene expression allows for fast adaptive evolution of the visual system in response to natural and sexual selection, and in particular, sex-specific selection pressures.</t>
  </si>
  <si>
    <t>Bloch, Natasha I/HTR-4737-2023; Bloch, Natasha/A-8857-2014</t>
  </si>
  <si>
    <t>Bloch, Natasha/0000-0002-4769-1027</t>
  </si>
  <si>
    <t>JAN 7</t>
  </si>
  <si>
    <t>10.1098/rspb.2014.2321</t>
  </si>
  <si>
    <t>WOS:000347160800015</t>
  </si>
  <si>
    <t>Baird, TA; Vitt, LJ; Baird, TD; Cooper, WE; Caldwell, JP; Pérez-Mellado, V</t>
  </si>
  <si>
    <t>Social behavior and sexual dimorphism in the Bonaire whiptail, Cnemidophorus murinus (Squamata: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</si>
  <si>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</si>
  <si>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</si>
  <si>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</si>
  <si>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</si>
  <si>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</si>
  <si>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García-Rosales, A; Ramírez-Bautista, A; Stephenson, BP; Meza-Lázaro, RN; de Oca, ANM</t>
  </si>
  <si>
    <t>Garcia-Rosales, A.; Ramirez-Bautista, A.; Stephenson, B. P.; Meza-Lazaro, R. N.; Nieto-Montes de Oca, A.</t>
  </si>
  <si>
    <t>Comparative morphology and genetics of two populations of spiny lizards (genus Sceloporus) from Central Mexico</t>
  </si>
  <si>
    <t>The spiny lizard Sceloporus minor exhibits substantial variation in a variety of life history traits, but the factors promoting this variation remain unclear. We analyzed within- and between-population variation in morphological traits in two populations (El.Enzuelado and La Manzana, Hidalgo, Central Mexico), and estimated the genetic distance between populations on the basis of sequence variation of the mitochondria) genes encoding a fragment of the ND4 gene, all of tRNA-His and tRNA-Ser, and a fragment of tRNA-Leu. Consistent with earlier reports, males and females exhibited marked sexual dimorphism in body size and coloration. The genetic distance between the two populations was 0.024, slightly greater than the distance measured within each population (0.015 for La Manzana and 0.003 for El Enzuelado). Maximum likelihood analysis indicated that these populations were indeed conspecific, along with other studied populations of S. minor. The morphological differences and the previously described variation in reproductive traits contrast with the limited genetic variation between populations reported herein. This suggests that a combination of both phenotypic plasticity and genes of large effect may be contributing to variation in anatomical and physiological traits in Sceloporus minor. (C) 2017 Elsevier GmbH. All rights reserved.</t>
  </si>
  <si>
    <t>NIETO-MONTES DE OCA, ADRIAN/GQP-4296-2022; Stephenson, Barry P./P-5076-2019</t>
  </si>
  <si>
    <t>Stephenson, Barry P./0000-0001-5468-2439; Garcia Rosales, Aaron/0000-0001-5671-9186</t>
  </si>
  <si>
    <t>10.1016/j.jcz.2017.01.002</t>
  </si>
  <si>
    <t>WOS:000403123700004</t>
  </si>
  <si>
    <t>Kano, F; Furuichi, T; Hashimoto, C; Krupenye, C; Leinwand, JG; Hopper, LM; Martin, CF; Otsuka, R; Tajima, T</t>
  </si>
  <si>
    <t>Kano, Fumihiro; Furuichi, Takeshi; Hashimoto, Chie; Krupenye, Christopher; Leinwand, Jesse G.; Hopper, Lydia M.; Martin, Christopher F.; Otsuka, Ryoma; Tajima, Tomoyuki</t>
  </si>
  <si>
    <t>What is unique about the human eye? Comparative image analysis on the external eye morphology of human and nonhuman great apes</t>
  </si>
  <si>
    <t>The gaze-signaling hypothesis and the related cooperative-eye hypothesis posit that humans have evolved special external eye morphology, including exposed white sclera (the white of the eye), to enhance the visibility of eye gaze direction and thereby facilitate conspecific communication through joint-attentional interaction and ostensive communication. However, recent quantitative studies questioned these hypotheses based on new findings that certain features of human eyes are not necessarily unique among great ape species. Accordingly, there is currently a heated debate over whether external eye features of humans are distinct from those of other apes and how such distinguishable features contribute to the visibility of eye-gaze direction. The present study leveraged updated image analysis techniques to test the uniqueness of human eye features in facial images of great apes. Although many eye features were similar between humans and other great apes, a key difference was that humans have uniformly white sclera which creates clear visibility of both the eye outline and iris-the two essential features contributing to the visibility of eye-gaze direction. We then tested the robustness of the visibility of these features against visual noise, such as shading and distancing, and found that both eye features remain detectable in the human eye, while eye outline becomes barely detectable in other species under these visually challenging conditions. Overall, we identified that humans have unique external eye morphology among other great apes, which ensures the robustness of eye-gaze signals in various visual conditions. Our results support and also critically update the central premises of the gaze-signaling hypothesis.</t>
  </si>
  <si>
    <t>Otsuka, Ryoma/GWV-3258-2022</t>
  </si>
  <si>
    <t>Tajima, Tomoyuki/0000-0002-5034-2047; Leinwand, Jesse/0009-0002-8119-0119</t>
  </si>
  <si>
    <t>10.1016/j.evolhumbehav.2021.12.004</t>
  </si>
  <si>
    <t>WOS:000797243400001</t>
  </si>
  <si>
    <t>Freeland, LV; Emmerson, MG; Vasas, V; Gomes, J; Versace, E</t>
  </si>
  <si>
    <t>Freeland, Laura V.; Emmerson, Michael G.; Vasas, Vera; Gomes, Josephine; Versace, Elisabetta</t>
  </si>
  <si>
    <t>Assessing preferences for adult versus juvenile features in young animals: Newly hatched chicks spontaneously approach red and large stimuli</t>
  </si>
  <si>
    <t>Young precocial birds benefit from staying close to both their mother and their siblings, while prioritising adults, which provide better care. Which features of the stimuli are used by young birds to prioritise approach and eventually attachment to adults over siblings is unknown. We started to address this question in newly hatched domestic chicks (Gallus gallus), focusing on their spontaneous preferences for visual features that systematically vary between adult and juvenile chickens, and that had previously been identified as attractive: size (larger in adults than in juveniles) and colour (darker and redder in adults than in juveniles). Overall, chicks at their first visual experience, that had never seen a conspecific beforehand, were most attracted to the red and large stimuli (two adult features) and spent more time in close proximity with red stimuli than with yellow stimuli. When tested with red large versus small objects (Exp. 1), chicks preferred the large shape. When tested with yellow large and small objects (Exp. 2), chicks did not show a preference. Chicks had a stronger preference for large red stimuli (vs. small yellow objects) than for small red stimuli (vs. a large yellow object) (Exp. 3). These results suggest that the combination of size and colour form the predisposition that helps chicks to spontaneously discriminate between adult and juvenile features from the first stages of life, in the absence of previous experience, exhibiting a preference to approach stimuli with features associated with the presence of adult conspecifics.</t>
  </si>
  <si>
    <t>2024 AUG 16</t>
  </si>
  <si>
    <t>10.3758/s13420-024-00638-z</t>
  </si>
  <si>
    <t>AUG 2024</t>
  </si>
  <si>
    <t>WOS:001291940700001</t>
  </si>
  <si>
    <t>Grismer, LL</t>
  </si>
  <si>
    <t>Grismer, L. Lee</t>
  </si>
  <si>
    <t>A new species of Ansonia Stoliczka 1872 (Anura: Bufonidae) from Central Peninsular Malaysia and a revised taxonomy for Ansonia from the Malay Peninsula</t>
  </si>
  <si>
    <t>A new, montane species of Ansonia is described from the state of Pahang in central, peninsular Malaysia on the basis of having a unique combination of head, body, digit, and color pattern characteristics. This new species is similar to A. malayana, to which it is closest geographically, but differs greatly in aspects of head morphology and body tuberculation. A review of Ansonia from the Malay Peninsula demonstrates that the population of A. malayana from Tasan, Chumphon Province, Thailand is A. kraensis and A. penangensis from Ulu Tahan, Pahang in peninsular Malaysia is not conspecific with A. penangensis from Pulau Penang but an additional, undescribed species ranging throughout northwestern, peninsular Malaysia.</t>
  </si>
  <si>
    <t>OCT 2</t>
  </si>
  <si>
    <t>WOS:000240866100001</t>
  </si>
  <si>
    <t>Caves, EM; Stevens, M; Spottiswoode, CN</t>
  </si>
  <si>
    <t>Caves, Eleanor M.; Stevens, Martin; Spottiswoode, Claire N.</t>
  </si>
  <si>
    <t>Does coevolution with a shared parasite drive hosts to partition their defences among species?</t>
  </si>
  <si>
    <t>When mimicry imposes costs on models, selection may drive the model's phenotype to evolve away from its mimic. For example, brood parasitism often drives hosts to diversify in egg appearance among females within a species, making mimetic parasitic eggs easier to detect. However, when a single parasite species exploits multiple host species, parasitism could also drive host egg evolution away from other co-occurring hosts, to escape susceptibility to their respective mimics. This hypothesis predicts that sympatric hosts of the same parasite should partition egg phenotypic space (defined by egg colour, luminance and pattern) among species to avoid one another. We show that eggs of warbler species parasitized by the cuckoo finch Anomalospiza imberbis in Zambia partition phenotypic space much more distinctly than do eggs of sympatric but unparasitized warblers. Correspondingly, cuckoo finch host-races better match their own specialist host than other local host species. In the weaver family, parasitized by the diederik cuckoo Chrysococcyx caprius, by contrast, parasitized species were more closely related and overlapped extensively in phenotypic space; correspondingly, cuckoos did not match their own host better than others. These results suggest that coevolutionary arms races between hosts and parasites may be shaped by the wider community context in which they unfold.</t>
  </si>
  <si>
    <t>Caves, Eleanor/G-9958-2015</t>
  </si>
  <si>
    <t>Caves, Eleanor/0000-0003-3497-5925; Stevens, Martin/0000-0001-7768-3426</t>
  </si>
  <si>
    <t>MAY 17</t>
  </si>
  <si>
    <t>10.1098/rspb.2017.0272</t>
  </si>
  <si>
    <t>WOS:000404425100019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</si>
  <si>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</si>
  <si>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</si>
  <si>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</si>
  <si>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</si>
  <si>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da Silva, Vera Maria Ferreira/AAE-8126-2021</t>
  </si>
  <si>
    <t>da Silva, Vera Maria Ferreira/0000-0002-1774-0393</t>
  </si>
  <si>
    <t>0824-0469</t>
  </si>
  <si>
    <t>10.1111/j.1748-7692.2006.00003.x</t>
  </si>
  <si>
    <t>WOS:000234942300003</t>
  </si>
  <si>
    <t>Barreira, AS; García, NC; Lougheed, SC; Tubaro, PL</t>
  </si>
  <si>
    <t>Barreira, Ana S.; Garcia, Natalia C.; Lougheed, Stephen C.; Tubaro, Pablo L.</t>
  </si>
  <si>
    <t>Viewing geometry affects sexual dichromatism and conspicuousness of noniridescent plumage of Swallow Tanagers (Tersina viridis)</t>
  </si>
  <si>
    <t>Some types of plumage color are difficult to characterize spectrophotometrically because the properties of the reflected light change with viewing geometry (i.e. the relative positions of the light source and the observer, and the orientation of the feather). This is the case for the noniridescent plumage coloration of the Swallow Tanager (Tersina viridis), which seems to change from a human perspective as the angle between the light source and the observer varies. In this study, we measured plumage reflectance with different angles of illumination and/or observation, and used avian visual models to evaluate the change in sexual dichromatism and conspicuousness with viewing geometry from a bird's perspective. We also calculated different color parameters to assess how these changed with viewing conditions. Sexual dichromatism showed large changes, with its maximum coinciding with the angle combination between illuminant and observer that produced both the highest conspicuousness for males and the highest crypsis for females. The conspicuousness of males also varied with viewing geometry, and was consistently less when viewed by the visual system of a potential avian predator (VS) than by that of a conspecific (UVS). The change in perceived coloration was mainly related to large variation in hue and chroma in the plumage of males as the relative angle between the illumination and observation probes changed. Our results show that viewing geometry can alter color perception, even for noniridescent plumage coloration. Therefore, the relative position of the light source and the observer should be considered in studies of avian visual communication, particularly for species with plumage coloration similar to that of Swallow Tanagers.</t>
  </si>
  <si>
    <t>Barreira, Ana S./0000-0001-7568-488X</t>
  </si>
  <si>
    <t>10.1642/AUK-15-170.1</t>
  </si>
  <si>
    <t>WOS:000379663400017</t>
  </si>
  <si>
    <t>THRESHER, RE</t>
  </si>
  <si>
    <t>ROLE OF INDIVIDUAL RECOGNITION IN THE TERRITORIAL BEHAVIOR OF THE THREESPOT DAMSELFISH, EUPOMACENTRUS-PLANIFRONS</t>
  </si>
  <si>
    <t>MARINE BEHAVIOUR AND PHYSIOLOGY</t>
  </si>
  <si>
    <t>Based on model-bottle experiments conducted on the shallow reef off the eastern coast of Panama, adult threespot damselfish, E. planifrons, discriminate between neighboring and more distant conspecific individuals, consistently attacking the latter more vigorously than the former. They do not discriminate between neighboring and strange individuals of the congener, E. dorsopunicans, or of the surgeonfish, Acanthurus coeruleus. Individual recognition of conspecifics may be based on location and color pattern of the individuals. Its size and behavior seem less critical. These results are compared to the similar behavior of songbirds and discussed in relation to the mechanisms that allocate time and energy of the damselfish''s territorial defense.</t>
  </si>
  <si>
    <t>Thresher, Ronald/C-7442-2009</t>
  </si>
  <si>
    <t>0091-181X</t>
  </si>
  <si>
    <t>10.1080/10236247909378556</t>
  </si>
  <si>
    <t>WOS:A1979HB35100001</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</si>
  <si>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</si>
  <si>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</si>
  <si>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</si>
  <si>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</si>
  <si>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</si>
  <si>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</si>
  <si>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</si>
  <si>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</si>
  <si>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</si>
  <si>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Wacker, S; Östlund-Nilsson,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</si>
  <si>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</si>
  <si>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</si>
  <si>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</si>
  <si>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Forsgren, Elisabet/KVB-7700-2024</t>
  </si>
  <si>
    <t>Forsgren, Elisabet/0000-0001-5795-3820; Amundsen, Trond/0000-0003-4261-0555</t>
  </si>
  <si>
    <t>10.1093/beheco/arw050</t>
  </si>
  <si>
    <t>WOS:000384650600013</t>
  </si>
  <si>
    <t>Caro, T</t>
  </si>
  <si>
    <t>Caro, Tim</t>
  </si>
  <si>
    <t>Contrasting coloration in terrestrial mammals</t>
  </si>
  <si>
    <t>Here I survey, collate and synthesize contrasting coloration in 5000 species of terrestrial mammals focusing on black and white pelage. After briefly reviewing alternative functional hypotheses for coloration in mammals, I examine nine colour patterns and combinations on different areas of the body and for each mammalian taxon to try to identify the most likely evolutionary drivers of contrasting coloration. Aposematism and perhaps conspecific signalling are the most consistent explanations for black and white pelage in mammals; background matching may explain white pelage. Evidence for contrasting coloration is being involved in crypsis through pattern blending, disruptive coloration or serving other functions, such as signalling dominance, lures, reducing eye glare or in temperature regulation has barely moved beyond anecdotal stages of investigation. Sexual dichromatism is limited in this taxon and its basis is unclear. Astonishingly, the functional significance of pelage coloration in most large charismatic black and white mammals that were new to science 150 years ago still remains a mystery.</t>
  </si>
  <si>
    <t>FEB 27</t>
  </si>
  <si>
    <t>10.1098/rstb.2008.0221</t>
  </si>
  <si>
    <t>WOS:000262353500014</t>
  </si>
  <si>
    <t>George, EM; Wolf, SE; Bentz, AB; Rosvall, KA</t>
  </si>
  <si>
    <t>George, Elizabeth M.; Wolf, Sarah E.; Bentz, Alexandra B.; Rosvall, Kimberly A.</t>
  </si>
  <si>
    <t>Testing hormonal responses to real and simulated social challenges in a competitive female bird</t>
  </si>
  <si>
    <t>When female animals fight, does their testosterone elevate? We used two approaches to explore this question in tree swallows, a cavity-nesting territorial songbird. First, we simulated intrusions with taxidermic models, and second, we reduced territory availability to increase actual competition. T levels were not higher in experimental birds compared to controls, and in fact were sometimes lower and negatively correlated with the degree of aggression. Testosterone may therefore be depleted to promote adaptive aggression. Competitive interactions often occur in series; therefore animals may respond to social challenges in ways that prepare them for success in future conflict. Changes in the production of the steroid hormone testosterone (T) are thought to mediate phenotypic responses to competition, but research over the past few decades has yielded mixed results, leading to several potential explanations as to why T does not always elevate following a social challenge. Here, we measured T levels in tree swallows (Tachycineta bicolor), a system in which females compete for limited nesting cavities and female aggression is at least partially mediated by T. We experimentally induced social challenges in two ways: (1) using decoys to simulate territorial intrusions and (2) removing subsets of nesting cavities to increase competition among displaced and territory-holding females. Critically, these experiments occurred pre-laying, when females are physiologically capable of rapidly increasing circulating T levels. However, despite marked aggression in both experiments, T did not elevate following real or simulated social challenges, and in some cases, socially challenged females had lower T levels than controls. Likewise, the degree of aggression was negatively correlated with T levels following a simulated territorial intrusion. Though not in line with the idea that social challenges prompt T elevation in preparation for future challenges, these patterns nevertheless connect T to territorial aggression in females. Coupled with past work showing that T promotes aggression, these results suggest that T may act rapidly to allow animals to adaptively respond to the urgent demands of a competitive event.</t>
  </si>
  <si>
    <t>Rosvall, Kimberly A/0000-0003-3766-9624; Wolf, Sarah/0000-0002-2620-8999; George, Elizabeth/0000-0002-1223-5857; Bentz, Alexandra/0000-0003-2445-4886</t>
  </si>
  <si>
    <t>FEB 19</t>
  </si>
  <si>
    <t>arab129</t>
  </si>
  <si>
    <t>10.1093/beheco/arab129</t>
  </si>
  <si>
    <t>NOV 2021</t>
  </si>
  <si>
    <t>WOS:000757960400024</t>
  </si>
  <si>
    <t>Weber, CA; Smilanick, JM; Ehler, LE; Zalom, FG</t>
  </si>
  <si>
    <t>Ovipositional behavior and host discrimination in three scelionid egg parasitoids of stink bugs</t>
  </si>
  <si>
    <t>BIOLOGICAL CONTROL</t>
  </si>
  <si>
    <t>Ovipositional behavior of the scelionid egg parasitoids Trissolcus basalis (Wollaston), Psix tunetanus (Mineo &amp; Szabo), and two color forms of Trissolcus utahensis (Ashmead) was observed in laboratory experiments that employed a common host, the pentatomid Euschistus conspersus Uhler. Brood sex ratios were female biased and less than 0.20; P. tunetanus deposited a precise sequence of male and female offspring compared to the other species. In host discrimination experiments in which individual females were presented with an egg mass partially parasitized by a conspecific female, T. utahensis showed considerable ovipositional restraint toward parasitized eggs. When presented with an egg mass partially parasitized by a female of another species-either T. basalis or P. tunetanus-T. utahensis displayed little discrimination and oviposited in most of the parasitized eggs that it contacted. When the experiment was reversed-T. basalis and P. tunetanus females presented individually with an egg mass partially parasitized by T. utahensis-both species showed little discrimination and oviposited in most of the parasitized eggs that they contacted. For eggs in which multiparasitism involved the combination of T. utahensis and P. tunetanus, the latter emerged from over 70%, regardless of whether it was the first or second ovipositing female. When super- or multiparasitism involved the combination of the two T. utahensis color forms or the combination of T. utahensis and T. basalis, offspring of the first ovipositing female emerged from over 70% of the eggs. These results are consistent with the view that interspecific host discrimination in parasitoids is less common than conspecific host discrimination and provide some support for the hypothesis that brood sex ratio and competitive ability are inversely related in guilds of quasi-gregarious egg parasitoids. Implications for the selection of parasitoid species for classical and augmentative biological control are discussed. (C) 1996 academic Press, Inc.</t>
  </si>
  <si>
    <t>1049-9644</t>
  </si>
  <si>
    <t>1090-2112</t>
  </si>
  <si>
    <t>10.1006/bcon.1996.0031</t>
  </si>
  <si>
    <t>WOS:A1996UC68700014</t>
  </si>
  <si>
    <t>Prikrylová, K; Kovácsová, D; Lindová, J</t>
  </si>
  <si>
    <t>Prikrylova, Katarina; Kovacsova, Denisa; Lindova, Jitka</t>
  </si>
  <si>
    <t>The Role of Head and Body Cues in Visual Individual Recognition in Grey Parrots (Psittacus erithacus)</t>
  </si>
  <si>
    <t>Individual recognition underlies social behaviors in many species and is essential for complex social interactions commonly occurring between conspecifics. Focusing on visual perception, we explored this process in African grey parrots (Psittacus erithacus) using the matching-to-sample (MTS) method commonly used in primate research. We used cards made from photographs of familiar conspecific in four consecutive experiments, first testing the ability of our subjects (two male and one female adult) to match the photographs of familiar individuals and then creating modified stimuli cards to determine which visual aspects and features were crucial for successful recognition of a familiar conspecific. All three subjects were able to successfully match different photographs of familiar conspecifics in Experiment 1. Experiments 2-4 showed that modification of the facial area in the photograph had only a weak effect on subjects' success rates in MTS tasks. On the other hand, changes in the plumage color or obscuring of abdominal cues impaired their ability to successfully match conspecifics' photographs in some tasks. This study implies that African grey parrots process visual information holistically. Moreover, the process of individual recognition in this species differs from what we find in primates, including humans, where faces play a crucial role.</t>
  </si>
  <si>
    <t>Lindová, Jitka/AAL-6658-2021; Lindová, Jitka/T-3756-2017</t>
  </si>
  <si>
    <t>Lindová, Jitka/0000-0001-8846-4552; Lindová, Jitka/0000-0001-8846-4552; Prikrylova, Katari-na/0000-0003-0659-0956</t>
  </si>
  <si>
    <t>10.1037/com0000347</t>
  </si>
  <si>
    <t>JUN 2023</t>
  </si>
  <si>
    <t>WOS:001005612800001</t>
  </si>
  <si>
    <t>Saetre, GP; Kral, M; Bures, S</t>
  </si>
  <si>
    <t>Differential species recognition abilities of males and females in a flycatcher hybrid zone</t>
  </si>
  <si>
    <t>When mating between members of differentiated populations results in the production of unfit hybrids, selection may favour mechanisms that reduce the probability of interbreeding. One such mechanism is a mate preference for own type. Hybridisation between sympatric Pied Flycatchers Ficedula hypoleuca and Collared Flycatchers Ficedula albicollis, occurs less frequently than expected from random mating and hybrids have very low fertility. In two aviary experiments we tested the hypothesis that males and females prefer to mate conspecifically. First, females had a simultaneous choice between one male of each species. The female showed the strongest sexual response to the conspecific male. Second, males had a simultaneous choice between a conspecific and a heterospecific female. The males showed no preference for conspecific or heterospecific female flycatchers. We discuss possible factors behind this sexual difference in species recognition.</t>
  </si>
  <si>
    <t>10.2307/3676978</t>
  </si>
  <si>
    <t>WOS:A1997XX48100010</t>
  </si>
  <si>
    <t>SLAGSVOLD, T</t>
  </si>
  <si>
    <t>SEX RECOGNITION AND BREAST STRIPE SIZE IN GREAT TITS</t>
  </si>
  <si>
    <t>ARDEA</t>
  </si>
  <si>
    <t>Great Tits Parus major have a conspicuous, black, central breast stripe which is larger in males than in females. I manipulated stripe size in females to make them resemble males. The response of resident pairs was tested by presenting a caged, dyed female on territories during the breeding season, and using caged, unmanipulated males and females as controls. Resident females responded aggressively towards control females and similarly towards dyed females, but not towards males. Thus, females appeared to be able to recognize the sex of a dyed female, even when its lower belly between the legs was dyed black. In contrast, males were significantly more aggressive towards dyed than control females, though less aggressive than towards control males. In comparison, both sexes of Pied Flycatchers Ficedula hypoleuca have difficulty identifying the true sex of conspecific dull-coloured males (female-like) and black dyed females (male-like). I suggest that the female mimicry hypothesis for the evolution of delayed plumage maturation in passerine birds is most relevant for migratory, solitary-living species which have pair bonds of short duration, allowing little sexual experience.</t>
  </si>
  <si>
    <t>0373-2266</t>
  </si>
  <si>
    <t>2213-1175</t>
  </si>
  <si>
    <t>WOS:A1993LV04800007</t>
  </si>
  <si>
    <t>Risi, MM; Macdonald, AHH</t>
  </si>
  <si>
    <t>Risi, Michelle M.; Macdonald, Angus H. H.</t>
  </si>
  <si>
    <t>Possible synonymies of Zoanthus (Anthozoa: Hexacorallia) species on the east coast of South Africa with Pacific congeners</t>
  </si>
  <si>
    <t>Zoanthids cover large patches on the rocky shores of KwaZulu-Natal and northern parts of the Eastern Cape, South Africa. No molecular identification has been carried out on these organisms on the South African shoreline. Zoanthus sansibaricus Carlgren, 1900 has a global distribution and has been reported having numerous morphotypes in terms of polyp shape, size, colour and oral disk colour. The molecular characteristics of three Zoanthus species, Z. sansibaricus, Zoanthus durbanensis Carlgren, 1938 and Zoanthus natalensis Carlgren, 1938, were investigated to determine whether they are three separate species or merely morphotypes of one another. Samples were collected between May 2012 and July 2013, ranging from Umgazana (31.7024 degrees S, 29.4175 degrees E) to Ballito (29.5451 degrees S, 31.2160 degrees E) on the east coast of South Africa and at one site in Libanona, Madagascar (25.0421 degrees S, 46.9952 degrees E). Cytochrome oxidase subunit one (COI), mitochondrial 16S ribosomal DNA (mt 16S rDNA) and the nuclear internal transcribed spacer region of ribosomal DNA (ITS rDNA) were used in this study. The COI sequences had little variation between species groups, while the mt 16S rDNA tree showed that Z. sansibaricus matched with sequences of Z. sansibaricus from the Pacific. Zoanthus natalensis formed a haplotype with Zoanthus kuroshio Reimer &amp; Ono, 2006 and Z. durbanensis formed a haplotype with Zoanthus vietnamensis Pax &amp; Muller, 1957. The ITS rDNA sequences were very similar for these four species: Z. natalensis, Z. kuroshio, Z. durbanensis and Z. vietnamensis. The results of this study indicate that Z. natalensis is likely conspecific to Z. kuroshio and Z. durbanensis is likely conspecific to Z. vietnamensis. This is only a tentative hypothesis as no formal morphological analyses were done on proposed conspecifics. This work highlights the potential of synonymies that can be found globally when investigating new areas.</t>
  </si>
  <si>
    <t>JAN 2</t>
  </si>
  <si>
    <t>10.1080/14772000.2014.968233</t>
  </si>
  <si>
    <t>WOS:000345618000007</t>
  </si>
  <si>
    <t>Kabir, MS; Venkatesan, R; Thaker, M</t>
  </si>
  <si>
    <t>Kabir, M. S.; Venkatesan, R.; Thaker, M.</t>
  </si>
  <si>
    <t>Multiple Sensory Modalities in Diurnal Geckos Is Associated with the Signaling Environment and Evolutionary Constraints</t>
  </si>
  <si>
    <t>INTEGRATIVE ORGANISMAL BIOLOGY</t>
  </si>
  <si>
    <t>To be effective, animal signals need to be detectable in the environment, but their development and expression require resources. For multimodal communication, investment in elaborating traits in one modality could reduce the elaboration of traits in other modalities. In Cnemaspis geckos, chemical signals for conspecific communication predated the evolution of visual signals, allowing us to examine the potential trade-off in signal elaboration and the current habitat associations with signal use. We studied five species of Cnemaspis and quantified visual (patch size, color characteristics) and chemical (secretory composition) traits in males, as well as key environmental parameters (temperature, humidity, light) in each of their habitats. Within species, we found some trade-off in the elaboration of signals, as the strength of several components in the visual and chemical modalities were negatively associated. Strength of some signal components in each modality was also independently associated with specific environmental parameters that affect their detection (visual traits) and persistence (chemical traits). Specifically, species with larger, brighter, and more saturated color patches were found in habitats where the brightness and chroma of light were lower. Furthermore, environments with higher substrate temperature and higher relative humidity harbored species that produced secretions with a higher percentage of saturated and aromatic compounds. Thus, the elaboration of multimodal signals in this group of Cnemaspis geckos seems to increase the efficiency of communication in the signaling-environment, but the strength of signals in different modalities is constrained by trade-offs in signal expression.</t>
  </si>
  <si>
    <t>Thaker, Maria/0000-0001-6019-2639</t>
  </si>
  <si>
    <t>2517-4843</t>
  </si>
  <si>
    <t>obaa027</t>
  </si>
  <si>
    <t>10.1093/iob/obaa027</t>
  </si>
  <si>
    <t>WOS:000613108900027</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</si>
  <si>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</si>
  <si>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</si>
  <si>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</si>
  <si>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</si>
  <si>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Blouin-Demers, Gabriel/GRS-0626-2022; Cooke, Steven J/F-4193-2010</t>
  </si>
  <si>
    <t>Cooke, Steven J/0000-0002-5407-0659; Paterson, James/0000-0001-9518-7426; Halliday, William/0000-0001-7135-076X</t>
  </si>
  <si>
    <t>10.1139/cjz-2014-0256</t>
  </si>
  <si>
    <t>WOS:000345617300010</t>
  </si>
  <si>
    <t>RASMUSSEN, PC</t>
  </si>
  <si>
    <t>RELATIONSHIPS BETWEEN COASTAL SOUTH-AMERICAN KING AND BLUE-EYED SHAGS</t>
  </si>
  <si>
    <t>The distributions of King and Blue-eyed Shags (Phalacrocorax albiventer and P. atriceps) were reevaluated, incorporating new data. The differential distributions of the phenotypes do not correlate significantly with austral summer water temperatures. In areas where the forms occur together, hybridization is frequent and plumage-based disassortative mating occurs. At localities of overlap, King and Blue-eyed Shags are virtually identical in skeletal size and shape. Heterozygosity is very similar for both forms over all populations and at Puerto Deseado, but not for the Monte Leon and Ushuaia populations. Genetic distances between the two forms are very low, King and Blue-eyed Shags should be considered conspecific color morphs of a single widespread species, Phalacrocorax atriceps.</t>
  </si>
  <si>
    <t>10.2307/3247717</t>
  </si>
  <si>
    <t>WOS:A1991GW79100005</t>
  </si>
  <si>
    <t>GREENBERG, N; CHEN, T; CREWS, D</t>
  </si>
  <si>
    <t>SOCIAL-STATUS, GONADAL STATE, AND THE ADRENAL STRESS RESPONSE IN THE LIZARD, ANOLIS-CAROLINENSIS</t>
  </si>
  <si>
    <t>Adult males of the small arboreal iguanid lizard, A. carolinensis, form social dominance hierarchies when placed in habitats with limited resources. Skin color changes occur during hierarchy formation, most conspicuously in subordinates, who appear darker (more brown) than dominants (more green). Because skin color in this species is under the control of hormones frequently associated with physiological stress, radioimmunoassay of plasma levels of the principal reptilian adrenal steroid, corticosterone, was performed. To examine the influence of gonadal androgen, known to influence the aggression that attends hierarchy formation, lizard pairs were constituted in which 1 or both members were castrated. Corticosterone levels of intact subordinates were significantly elevated while those of castrated subordinates or dominants showed levels comparable to those of isolates. No significant differences in spermatogenic stage could be detected between intact dominants or subordinates.</t>
  </si>
  <si>
    <t>10.1016/0018-506X(84)90045-X</t>
  </si>
  <si>
    <t>WOS:A1984SG50600001</t>
  </si>
  <si>
    <t>Vedder, O; Schut, E; Magrath, MJL; Komdeur, J</t>
  </si>
  <si>
    <t>Vedder, Oscar; Schut, Elske; Magrath, Michael J. L.; Komdeur, Jan</t>
  </si>
  <si>
    <t>Ultraviolet crown colouration affects contest outcomes among male blue tits, but only in the absence of prior encounters</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</si>
  <si>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</si>
  <si>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Vedder, Oscar/A-9350-2012; Komdeur, Jan/X-1261-2019</t>
  </si>
  <si>
    <t>Vedder, Oscar/0000-0003-4689-8568; Komdeur, Jan/0000-0002-9241-0124; Magrath, Michael/0000-0002-8022-9627</t>
  </si>
  <si>
    <t>10.1111/j.1365-2435.2009.01660.x</t>
  </si>
  <si>
    <t>WOS:000274952600020</t>
  </si>
  <si>
    <t>Okamoto, T; Kuriyama, T; Eto, K; Hasegawa, M</t>
  </si>
  <si>
    <t>Okamoto, Taku; Kuriyama, Takeo; Eto, Koshiro; Hasegawa, Masami</t>
  </si>
  <si>
    <t>A Preliminary Study of the Morphological and Ecological Characteristics of Plestiodon japonicus (Scincidae, Squamata) on the Danjo Islands, Western Japan</t>
  </si>
  <si>
    <t>CURRENT HERPETOLOGY</t>
  </si>
  <si>
    <t>The morphological and ecological characteristics are studied for the population of Plestiodon japonicus of the Danjo Islands, a group of small islands in the East China Sea, on the basis of field observations and data from museum specimens. The population density of the lizards in this island group was estimated to be higher than those in conspecific mainland populations. Also, P. japonicus of the Danjo islands were differentiated from the latter by the following combination of characters: larger number of mid-body scale rows and subdigital scales, blackish juvenile coloration with different stripe pattern, faded tail color, and delayed sexual maturity in males. The evolutionary implications of these findings are briefly discussed.</t>
  </si>
  <si>
    <t>Kuriyama, Takeo/C-2948-2012</t>
  </si>
  <si>
    <t>Okamoto, Taku/0000-0002-9380-3587</t>
  </si>
  <si>
    <t>1345-5834</t>
  </si>
  <si>
    <t>1881-1019</t>
  </si>
  <si>
    <t>10.5358/hsj.40.182</t>
  </si>
  <si>
    <t>WOS:000697316900008</t>
  </si>
  <si>
    <t>MASON, JR; REIDINGER, RF</t>
  </si>
  <si>
    <t>OBSERVATIONAL-LEARNING OF FOOD AVERSIONS IN RED-WINGED BLACKBIRDS (AGELAIUS-PHOENICEUS)</t>
  </si>
  <si>
    <t>Recent work has demonstrated that red-winged blackbirds (A. phoeniceus) display food prefernces as a result of observational learning. Also, individual birds learn to avoid food whose ingestion has been paired with sickness. Such perferences or aversions depend on visual cues associated with the food. A related but unanswered question is whether observational learning is sufficient for birds to associate visual cues with sickness. Red-wings observed a conspecific consume a food paired with a color cue (CS) and toxin-induced illness (UCS). The observers were subsequently given 2-choice preference tests between a food (either the food consumed by the gavaged bird or another food) paired with the CS or with another color. The birds avoided consumption of any food paired with the CS (but not of the other color) during all tests. Such results are consistent with the notion that opportunistic foragers, such as red-wings, readily learn to avoid conspicuous foods paired with aversive consequences. The notion that Batesian model-mimic systems could be maintained, at least in part, by observational learning of models and subsequent generalization of that learning to mimics is supported. Observational learning could provide an efficient strategy to protect against the ingestion of potentially dangerous food.</t>
  </si>
  <si>
    <t>WOS:A1982NY39800015</t>
  </si>
  <si>
    <t>HENLE, K</t>
  </si>
  <si>
    <t>THE STATUS OF BUFO-POEPPIGII TSCHUDI 1845 (ANURA, BUFONIDAE)</t>
  </si>
  <si>
    <t>STUDIES ON NEOTROPICAL FAUNA AND ENVIRONMENT</t>
  </si>
  <si>
    <t>An analysis of the variation in ventral and dorsal colour pattern, relative width of the parotoids and size of the tympanum of Peruvian Bufo marinus (sensu lato) reveals that strongly patterned specimens (usually attributed to poeppigii) do not differ from weakly patterned ones (usually attributed to marinus) in these characters. An examination of the holotype of B. poeppigii together with ecological observations on both forms show that poeppigii is conspecific with marinus. In the characters analysed, a considerable geographic variation exists over the range of B. marinus. The Peruvian populations are characterized by a high percentage of strongly patterned specimens and by a very small tympanum and are regarded as a valid subspecies, B. m. poeppigii.</t>
  </si>
  <si>
    <t>Henle, Klaus/I-6837-2013</t>
  </si>
  <si>
    <t>Henle, Klaus/0000-0002-6647-5362</t>
  </si>
  <si>
    <t>0165-0521</t>
  </si>
  <si>
    <t>1744-5140</t>
  </si>
  <si>
    <t>10.1080/01650528509360685</t>
  </si>
  <si>
    <t>WOS:A1985C168200004</t>
  </si>
  <si>
    <t>González-Rojas, MF; Darragh, K; Robles, J; Linares, M; Schulz, S; McMillan, WO; Jiggins, CD; Pardo-Diaz, C; Salazar, C</t>
  </si>
  <si>
    <t>Gonzalez-Rojas, M. F.; Darragh, K.; Robles, J.; Linares, M.; Schulz, S.; McMillan, W. O.; Jiggins, C. D.; Pardo-Diaz, C.; Salazar, C.</t>
  </si>
  <si>
    <t>Chemical signals act as the main reproductive barrier between sister and mimetic Heliconius butterflies</t>
  </si>
  <si>
    <t>Colour pattern is the main trait that drives mate recognition between Heliconius species that are phylogenetically close. However, when this cue is compromised such as in cases of mimetic, sympatric and closely related species, alternative mating signals must evolve to ensure reproductive isolation and species integrity. The closely related species Heliconius melpomene malleti and H. timareta florencia occur in the same geographical region, and despite being co-mimics, they display strong reproductive isolation. In order to test which cues differ between species, and potentially contribute to reproductive isolation, we quantified differences in the wing phenotype and the male chemical profile. As expected, the wing colour pattern was indistinguishable between the two species, while the chemical profile of the androconial and genital males' extracts showed marked differences. We then conducted behavioural experiments to study the importance of these signals in mate recognition by females. In agreement with our previous results, we found that chemical blends and not wing colour pattern drive the preference of females for conspecific males. Also, experiments with hybrid males and females suggested an important genetic component for both chemical production and preference. Altogether, these results suggest that chemicals are the major reproductive barrier opposing gene flow between these two sister and co-mimic species.</t>
  </si>
  <si>
    <t>Jiggins, Chris/T-4296-2019; Chiu, Serena/JMC-3005-2023; Pardo-Diaz, Carolina/C-7936-2016; Darragh, Kathy/KMY-7331-2024; Salazar, Camilo/A-1647-2010</t>
  </si>
  <si>
    <t>Jiggins, Chris/0000-0002-7809-062X; Darragh, Kathy/0000-0002-9215-014X; Salazar, Camilo/0000-0001-9217-6588; Schulz, Stefan/0000-0002-4810-324X; Robles, Jorge/0000-0002-6782-5619</t>
  </si>
  <si>
    <t>MAY 13</t>
  </si>
  <si>
    <t>10.1098/rspb.2020.0587</t>
  </si>
  <si>
    <t>WOS:000540446700001</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</si>
  <si>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</si>
  <si>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</si>
  <si>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</si>
  <si>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</si>
  <si>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</si>
  <si>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</si>
  <si>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</si>
  <si>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</si>
  <si>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Greenberg, D; Snyder, KP; Filazzola, A; Mastromonaco, GF; Schoof, VAM</t>
  </si>
  <si>
    <t>Greenberg, D.; Snyder, K. P.; Filazzola, A.; Mastromonaco, G. F.; Schoof, V. A. M.</t>
  </si>
  <si>
    <t>Hormonal correlates of male dominance rank, age, and genital colouration in vervet monkey (Chlorocebus pygerythrus)</t>
  </si>
  <si>
    <t>Primates are the most colourful members of the Mammalian clade. In vervet monkeys (Chlorocebus pygerythrus), males are characterized by their red penis and blue scrotum. Such colour signals are often used in conspecific communication, and thus could be used to convey signaller condition. We quantified scrotal and penile colour characteristics using digital photographs between May-June 2016 from males in two neighboring groups along the shores of Lake Nabugabo, Uganda. We examined the relationship between fecal hormones, male dominance rank, age (adult vs. immature), and colour. Adult males were higher ranking than immatures, but there were no rank or age differences in fecal hormone levels. Glucocorticoids and androgens were positively correlated in immature, but not adult males. All scrotal characteristics were predicted by age, with adult males having more teal (i.e., less blue, more green) and more luminant scrota. Within adult males, those with higher androgens levels had more saturated blue scrotal colouration and higher-ranking males were more luminant. Penile colouration was also associated with age and rank. High-ranking males had a more saturated red penis, and adult male penile colour was more luminant and bluer than in immature males. Our findings are consistent with previous reports that scrotal colouration advertises sexual or reproductive maturity (i.e., age), but we also find that within adult males, colour also advertises dominance rank and may be mediated by androgen levels. Penile colouration also appears to signal information about male age and dominance rank but does not appear to be mediated by hormones.</t>
  </si>
  <si>
    <t>Greenberg, Dina/0000-0002-5784-4074</t>
  </si>
  <si>
    <t>10.1016/j.ygcen.2021.113948</t>
  </si>
  <si>
    <t>WOS:000784337800003</t>
  </si>
  <si>
    <t>Beránková, J; Vesely, P; Fuchs, R</t>
  </si>
  <si>
    <t>Berankova, Jana; Vesely, Petr; Fuchs, Roman</t>
  </si>
  <si>
    <t>The role of body size in predator recognition by untrained birds</t>
  </si>
  <si>
    <t>It is supposed that body size serves as an important cue in the recognition of relevant stimuli in nature. As predators of varying body size pose differing levels of threat, their potential prey should be able to discriminate between them. We tested the reaction of great tits (Parus major) to the dummies of their common predator (the European sparrowhawk-Accipiter nisus) in natural and reduced body sizes under laboratory conditions. All of the tested dummies possessed local raptor-specific features (hooked beak, claws with talons, and conspicuous eyes), but differed in global species-specific features: body size (large - the size of a sparrowhawk, small - the size of a great tit) and colouration (sparrowhawk, great tit, robin, and pigeon). The sparrowhawk-coloured dummies evoked fear regardless of their size while both great tit- and pigeon-coloured dummies evoked no fear reaction. The body size was used as the cue only for the discrimination of the robin-coloured dummies. The differences in reactions to the dummies with robin colouration (species unimportant to the great tits) could be explained as that the tits are able to recognize these birds in nature, but not so undoubtedly as the predator or the conspecific. (C) 2015 Elsevier B.V. All rights reserved.</t>
  </si>
  <si>
    <t>Veselý, Petr/HKN-7056-2023; vesely, petr/AAL-2517-2020; Fuchs, Roman/AFT-2379-2022</t>
  </si>
  <si>
    <t>Veselý, Petr/0000-0001-9935-2150; vesely, petr/0000-0001-9935-2150; Fuchs, Roman/0000-0001-6511-3207</t>
  </si>
  <si>
    <t>10.1016/j.beproc.2015.09.015</t>
  </si>
  <si>
    <t>WOS:000364503300018</t>
  </si>
  <si>
    <t>SAETRE, GP; SLAGSVOLD, T</t>
  </si>
  <si>
    <t>EVIDENCE FOR SEX RECOGNITION FROM PLUMAGE COLOR BY THE PIED FLYCATCHER, FICEDULA-HYPOLEUCA</t>
  </si>
  <si>
    <t>10.1016/0003-3472(92)90035-8</t>
  </si>
  <si>
    <t>WOS:A1992JK06900011</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</si>
  <si>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</si>
  <si>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</si>
  <si>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</si>
  <si>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</si>
  <si>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 J/D-3955-2009</t>
  </si>
  <si>
    <t>Chapman, Daniel/0000-0003-1836-4112;</t>
  </si>
  <si>
    <t>10.1111/j.1365-2656.2008.01496.x</t>
  </si>
  <si>
    <t>WOS:000263038800020</t>
  </si>
  <si>
    <t>Nice, CC; Shapiro, AM</t>
  </si>
  <si>
    <t>Molecular and morphological divergence in the butterfly genus Lycaeides (Lepidoptera: Lycaenidae) in North America:: evidence of recent speciation</t>
  </si>
  <si>
    <t>Male genital morphology, allozyme allele frequencies and mtDNA sequence variation were surveyed in the butterfly species Lycaeides inas and L. melissa from across much of their range in North America. Despite clear differences in male genital morphology, wing colour patterns and habitat characteristics, genetic variation was not taxonomically or geographically structured and the species were not identifiable by either genetic data set. Genetic distances (Nei's D=0.002-0.078, calculated from allozyme data) between all populations of both species were within the range commonly observed for conspecific populations of other butterflies. The most frequent mtDNA haplotype was present in individuals of both species in populations from southern California to Wisconsin. We conclude that speciation has probably happened recently and the lack of genetic differentiation between the species is the product of either (1) recent or ongoing gene flow at neutral loci, and/or (2) an insufficiency of time for lineage sorting. The evolution of male genital morphology, wing colour patterns and ecological characteristics has proceeded more rapidly than allozyme or mtDNA evolution.</t>
  </si>
  <si>
    <t>10.1046/j.1420-9101.1999.00111.x</t>
  </si>
  <si>
    <t>WOS:000082609500011</t>
  </si>
  <si>
    <t>Uy, JAC; Safran, RJ</t>
  </si>
  <si>
    <t>Uy, J. Albert C.; Safran, Rebecca J.</t>
  </si>
  <si>
    <t>Variation in the temporal and spatial use of signals and its implications for multimodal communication</t>
  </si>
  <si>
    <t>The use of signals across multiple sensory modalities in communication is common in animals and plants. Determining the information that each signal component conveys has provided unique insights into why multimodal signals evolve. However, how these complex signals are assessed by receivers will also influence their evolution, a hypothesis that has received less attention. Here, we explore multimodal signal assessment in a closely related complex of island flycatchers that have diverged in visual and acoustic signals. Using field experiments that manipulated song and plumage colour, we tested if song, a possible long-range signal, is assessed before plumage colour in conspecific recognition. We find that divergent song and colour are assessed in sequence, and this pattern of sequential assessment is likely mediated by habitat structure and the extent of differences in signal characteristics. A broad survey of the literature suggests that many organisms from a wide range of taxa sequentially assess multimodal signals, with long-range signals attracting conspecifics for further assessment of close-range signals. Our results highlight the need to consider how signals are assessed when understanding multimodal signal evolution. Finally, given the results of our field experiments indicating sequential assessment of divergent song and colour in the recognition of conspecifics, we discuss the consequences of multimodal signal divergence for the origin of species, as changes in signals across different sensory modalities may influence the evolution of premating reproductive isolation.</t>
  </si>
  <si>
    <t>10.1007/s00265-013-1492-y</t>
  </si>
  <si>
    <t>WOS:000323103400012</t>
  </si>
  <si>
    <t>MARSH, AC; RIBBINK, AJ; MARSH, BA</t>
  </si>
  <si>
    <t>SIBLING SPECIES COMPLEXES IN SYMPATRIC POPULATIONS OF PETROTILAPIA TREWAVAS (CICHLIDAE, LAKE MALAWI)</t>
  </si>
  <si>
    <t>The endemic Lake Malawi cichlid, P. tridentiger Trewavas, is a complex of sibling species. The various sympatric species show considerable homogeneity in body form and dentition but are separable on the basis of differences in adult coloration, size at maturity, depth distribution, size and degree of overlap of territories, aggression and courtship. Color is considered to be important for specific mate recognition in this genus. Examination of wild populations is a valuable, perhaps essential, adjunct to classical taxonomy when dealing with the systematics of sibling species in Lake Malawi.</t>
  </si>
  <si>
    <t>10.1111/j.1096-3642.1981.tb01132.x</t>
  </si>
  <si>
    <t>WOS:A1981LF81100001</t>
  </si>
  <si>
    <t>Uiblein, F; Hoang, TA; Alama, U; Causse, R; Chacate, OE; Fahmi; Garibay, S; Matiku, P</t>
  </si>
  <si>
    <t>Uiblein, Franz; Tuan Anh Hoang; Alama, Ulysses; Causse, Romain; Chacate, Osvaldo E.; Fahmi; Garibay, Soledad; Matiku, Patroba</t>
  </si>
  <si>
    <t>A new species and new records of goatfishes of the genus Parupeneus (Mullidae) from the Indian Ocean, with updated occurrence information for P-jansenii in the Western Pacific</t>
  </si>
  <si>
    <t>CYBIUM</t>
  </si>
  <si>
    <t>Goatfishes of the genus Parupeneus (Mullidae), from several areas and countries of the lndo-West Pacific, were studied, focusing on species characterized by a symmetrically rounded rear end of the maxilla, which belong to the so-called heptacanthus group. We examined 62 meristic and morphometric characters and colour patterns from 180 specimens from 11 Parupeneus species, using a comprehensive alpha-taxonomy approach. When possible, the data for species represented by wider size ranges were split into two size classes (small-sized fish, &lt; 110 mm SL, vs. large-sized fish &gt;= 110 mm SL) to account for allometric changes in body form. A new species, P. inayatae Uiblein &amp; Fahmi, is described, based on a specimen collected in SW Lombok, Indonesia, and new records for four species are reported from the Indian Ocean: Parupeneus fraserorum new for Mozambique, P. jansenii new for Myanmar and the NE Indian Ocean, P. nansen new for Tanzania, and P. procerigena new for the Nazareth Bank and Mauritus (Cargados Carajos Bank), Western Indian Ocean (WIO). The record of P. jansenii for Myanmar was compared in detail to 37 conspecific specimens from the entire distribution range (western Indonesia to Japan and Vietnam to NE Australia). The latter revealed two new Pacific records for the Central Philippines and for Shikoku Island, Japan (northernmost record of the species). For each of the eight heptacanthus-group species, diagnoses are provided along with remarks on intraspecific size- and/or population-related variation and/or other noteworthy observations. The new species can be distinguished from all other 32 congeners as follows: dorsal head margin in front of eyes concave shaped; posterior maxilla margin evenly, symmetrically rounded; body, head, and caudal peduncle moderately deep; pectoral and pelvic fins subequal in length; and caudal peduncle clearly deeper than 9.5 % SL; in life a dusky spot on lateral line below interdorsal space, followed posteriorly by a bright orange blotch. Detailed comparisons among all eight heptacanthus-group species and with three other similar and/or co-occurring congeners revealed considerable similarity between two species pairs, P. jansenii (Eastern Indian Ocean and Western Pacific) and P. nansen (WIO), and P. fraserorum and P. procerigena (both from the WIO). The need to further intensify taxonomic studies and accompanying fisheries-biology and ecological studies of goatfishes in the large realm of the Indo-West Pacific is emphasized.</t>
  </si>
  <si>
    <t>; Fahmi, Fahmi/C-6046-2017</t>
  </si>
  <si>
    <t>Uiblein, Franz/0000-0002-5642-0384; Fahmi, Fahmi/0000-0003-3199-7467</t>
  </si>
  <si>
    <t>0399-0974</t>
  </si>
  <si>
    <t>OCT 31</t>
  </si>
  <si>
    <t>WOS:000449238000002</t>
  </si>
  <si>
    <t>Loredo, AI; Wood, PL; Quah, ESH; Anuar, S; Greer, LF; Ahmad, N; Grismer, LL</t>
  </si>
  <si>
    <t>Loredo, Ariel I.; Wood, Perry L., Jr.; Quah, Evan S. H.; Anuar, Shahrul; Greer, Lee F.; Ahmad, Norhayati; Grismer, L. Lee</t>
  </si>
  <si>
    <t>Cryptic speciation within Asthenodipsas vertebralis (Boulenger, 1900) (Squamata: Pareatidae), the description of a new species from Peninsular Malaysia, and the resurrection of A. tropidonotus (Lidth de Jude, 1923) from Sumatra: an integrative taxonomic analysis</t>
  </si>
  <si>
    <t>A review of the taxonomic status of the Asian Slug Snake, Asthenodipsas vertebralis (Boulenger, 1900) based on an integrative taxonomic approach using molecular, morphological, color pattern, and ecological data indicate it is composed of three well supported monophyletic lineages: (1) Pulau Tioman and Fraser's Hill, Pahang and Bukit Larut, Perak; Peninsular Malaysia; (2) its sister lineage from Northern Sumatra; and (3) the remaining basal lineage from Peninsular Malaysia. Furthermore, we consider the high sequence divergence (6.3%-10.2%) between these lineages (especially in areas of sympatry) and discrete differences in their morphology, color pattern, and microhabitat preference as evidence they are not conspecific. As such, we resurrect the name A. tropidonotus (Lidth de Jeude, 1923) for the Sumatra populations, restrict the name A. vertebralis to the populations from Pulau Tioman, Genting Highlands, Fraser's Hill, Gunung Benom, and Bukit Larut that contain terrestrial, banded adults; and consider A. lasgalenensis sp. nov. to be restricted to the populations from Fraser's Hill, Cameron Highlands, and Bukit Larut that contain arboreal, unbanded adults.</t>
  </si>
  <si>
    <t>Quah, Evan/Z-4053-2019; SAH, SHAHRUL ANUAR MOHD/S-1244-2018; SAH, SHAHRUL ANUAR MOHD/B-9370-2011; Wood, Perry/ABA-3954-2020; Ahmad, Norhayati/Q-2806-2019</t>
  </si>
  <si>
    <t>Quah, Evan/0000-0002-5357-1953; SAH, SHAHRUL ANUAR MOHD/0000-0003-0648-7318; Wood, Perry/0000-0003-3767-5274; Ahmad, Norhayati/0000-0003-3215-2968</t>
  </si>
  <si>
    <t>MAY 28</t>
  </si>
  <si>
    <t>10.11646/zootaxa.3664.4.5</t>
  </si>
  <si>
    <t>WOS:000319727800005</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</si>
  <si>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</si>
  <si>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</si>
  <si>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</si>
  <si>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</si>
  <si>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 Robert/IQU-4449-2023; Sheehan, Michael J/F-5612-2012</t>
  </si>
  <si>
    <t>Sheehan, Michael/0000-0002-3949-7873; Tibbetts, Elizabeth/0000-0002-5625-892X</t>
  </si>
  <si>
    <t>10.1111/j.1558-5646.2009.00833.x</t>
  </si>
  <si>
    <t>WOS:000271973600007</t>
  </si>
  <si>
    <t>Cothran, RD; Stiff, AR; Chapman, K; Wellborn, GA; Relyea, RA</t>
  </si>
  <si>
    <t>Cothran, Rickey D.; Stiff, Andy R.; Chapman, Kristopher; Wellborn, Gary A.; Relyea, Rick A.</t>
  </si>
  <si>
    <t>Reproductive interference via interspecific pairing in an amphipod species complex</t>
  </si>
  <si>
    <t>Many species experience reproductive interference defined as interspecific mating interactions that reduce the fitness of individuals in at least one of the species. We examined reproductive interference among three cryptic amphipod species that co-occur in the vegetated zone of lakes. Because these animals form precopulatory pairs and males commonly have indiscriminant mating behavior, we predicted that (1) there would be interspecific pairing, (2) interspecific pairing would be more common when conspecifics were rare, and (3) interspecific pairing would be more common in species combinations where males are larger than females. Using color phenotypes to distinguish species, a novel discovery reported here, we conducted experiments to evaluate patterns of interspecific pairing. In a no-choice experiment (i.e., amphipods had access to mates of only one species), we observed a low rate (5 %) of interspecific pairing and 80 % of these cases involved males that were larger than females. In a second experiment where individuals had access to conspecific mates at varying relative abundance, only 0.04 % of the pairs observed were between heterospecifics, suggesting that the interspecific pairing observed in the no-choice experiment was an artifact of not having access to conspecific mates. Our results suggest that at least one sex has sufficient species-recognition abilities to circumvent the formation of interspecific pairs; therefore, reproductive interference may be minimal in these species.</t>
  </si>
  <si>
    <t>10.1007/s00265-013-1564-z</t>
  </si>
  <si>
    <t>WOS:000321964800016</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</si>
  <si>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</si>
  <si>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</si>
  <si>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</si>
  <si>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</si>
  <si>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</si>
  <si>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</si>
  <si>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</si>
  <si>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</si>
  <si>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</si>
  <si>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</si>
  <si>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</si>
  <si>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</si>
  <si>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</si>
  <si>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</si>
  <si>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</si>
  <si>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</si>
  <si>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</si>
  <si>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</si>
  <si>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</si>
  <si>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</si>
  <si>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</si>
  <si>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</si>
  <si>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Lars/A-7634-2012; Gustafsson, Lars/O-8056-2019</t>
  </si>
  <si>
    <t>Gustafsson, Lars/0000-0001-6566-2863</t>
  </si>
  <si>
    <t>MAY 23</t>
  </si>
  <si>
    <t>10.1098/rspb.1994.0057</t>
  </si>
  <si>
    <t>WOS:A1994NN67200002</t>
  </si>
  <si>
    <t>Grismer, LL; Wood, PL; Anuar, S; Grismer, MS; Quah, ESH; Murdoch, ML; Muin, MA; Davis, HR; Aguilar, C; Klabacka, R; Cobos, AJ; Aowphol, A; Sites, JW</t>
  </si>
  <si>
    <t>Grismer, L. Lee; Wood, Perry L., Jr.; Anuar, Shahrul; Grismer, Marta S.; Quah, Evan S. H.; Murdoch, Matthew L.; Muin, Mohd Abdul; Davis, Hayden R.; Aguilar, Cesar; Klabacka, Randy; Cobos, Anthony J.; Aowphol, Anchalee; Sites, Jack W., Jr.</t>
  </si>
  <si>
    <t>Two new Bent-toed Geckos of the Cyrtodactylus pulchellus complex from Peninsular Malaysia and multiple instances of convergent adaptation to limestone forest ecosystems</t>
  </si>
  <si>
    <t>A new species of limestone cave-adapted gecko of the Cyrtodactylus pulchellus complex, C. hidupselamanya sp. nov., is described from an isolated karst formation at Felda Chiku 7, Kelantan, Peninsular Malaysia. This formation is scheduled to be completely quarried for its mineral content. From what we know about the life history of C. hidupselamanya sp. nov., this will result in its extinction. A new limestone forest-adapted species, C. lenggongensis sp. nov., from the Leng-gong Valley, Perak was previously considered to be conspecific with C. bintangrendah but a re-evaluation of morphological, color pattern, molecular, and habitat preference indicates that it too is a unique lineage worthy of specific recognition. Fortunately C. lenggongensis sp. nov. is not facing extinction because its habitat is protected by the UNESCO Archaeological Heritage of the Lenggong Valley due to the archaeological significance of that region. Both new species can be distinguished from all other species of Cyrtodactylus based on molecular evidence from the mitochondrial gene ND2 and its flanking tRNAs as well as having unique combinations of morphological and color pattern characteristics. Using a time-calibrated BEAST analysis we inferred that the evolution of a limestone habitat preference and its apparently attendant morphological and color pattern adaptations evolved independently at least four times in the C. pulchellus complex between 26.1 and 0.78 mya.</t>
  </si>
  <si>
    <t>Davis, Hayden/ABI-2672-2020; Wood, Perry/ABA-3954-2020; SAH, SHAHRUL ANUAR MOHD/S-1244-2018; aowphol, anchalee/AAE-9042-2019; Quah, Evan/Z-4053-2019; Akil, Mohd Abdul Muin Md./C-6886-2009; Aguilar, Cesar/Q-6148-2018</t>
  </si>
  <si>
    <t>Davis, Hayden/0000-0003-1401-1221; Wood, Perry/0000-0003-3767-5274; SAH, SHAHRUL ANUAR MOHD/0000-0003-0648-7318; Quah, Evan/0000-0002-5357-1953; Aguilar, Cesar/0000-0001-6372-7926; Aowphol, Anchalee/0000-0001-9504-4601</t>
  </si>
  <si>
    <t>APR 26</t>
  </si>
  <si>
    <t>10.11646/zootaxa.4105.5.1</t>
  </si>
  <si>
    <t>WOS:000375273900001</t>
  </si>
  <si>
    <t>DOLAN, PG; YATES, TL</t>
  </si>
  <si>
    <t>INTERSPECIFIC VARIATION IN APODEMUS FROM THE NORTHERN ADRIATIC ISLANDS OF YUGOSLAVIA</t>
  </si>
  <si>
    <t>ZEITSCHRIFT FUR SAUGETIERKUNDE-INTERNATIONAL JOURNAL OF MAMMALIAN BIOLOGY</t>
  </si>
  <si>
    <t>The systematic position of the endemic species A. krkensis from the island Krk in Croatia, Yugoslavia, is discussed. Museum specimens (332) of A. sylvaticus (wood mouse) and A. flavicollis (yellow-necked mouse) from 10 insular, coastal and inland localities in northwestern Yugoslavia were compared to 7 specimens of the nominal species A. krkensis collected in 1975 near the type locality of Baska on the island of Krk. Results of a multivariate analysis using 11 cranial characters showed A. sylvaticus could be distinguished with ease from A. flavicollis but that it was inseparable morphologically from A. krkensis. The only demonstrable difference between A. sylvaticus and A. krkensis was the gray pelage possessed by the latter. Microscopic examination of hairs from the dorsal pelage suggested that this variation in color centers around a reduction in pigment deposition and the number of melanosomes (pigment granules) synthesized by hairs of the underfur in A. krkensis. The paling effect is attributed to introduction of a mutant allele at the C (albino) locus) Inasmuch as additional collecting on northern Adriatic islands and the adjacent mainland has shown the gray form to be more widespread than previously thought, and because it occurs sympatrically with normally colored A. sylvaticus, there is no evidence that the 2 are reproductively isolated. A. krkensis is a color morph of, and conspecific with, A. sylvaticus.</t>
  </si>
  <si>
    <t>0044-3468</t>
  </si>
  <si>
    <t>WOS:A1981LX86400004</t>
  </si>
  <si>
    <t>FLOOD, NJ</t>
  </si>
  <si>
    <t>COLORATION IN NEW WORLD ORIOLES .1. TESTS OF PREDATION-RELATED HYPOTHESES</t>
  </si>
  <si>
    <t>Although sexual dichromatism in birds is usually ascribed to sexual selection, some workers argue that avian coloration is better explained by predation-related selection pressures. Supporting evidence for these latter hypotheses comes primarily from broad interspecific comparisons, which can be biased by a variety of factors. This study examines the predation-based hypotheses of Baker and Parker (1979), particularly the Predator Deflection Hypothesis, with reference to two closely-related oriole species: Icterus parisorum, which is dichromatic, and I. gularis, in which both sexes are brightly coloured. To test the prediction that bright coloration serves to divert the attention of predators away from cryptic young, rates of predation on nests of conspicuous (2 years of age or older) and dull-coloured (first-year) I. parisorum males were compared. The results showed equal predation on the young of males in both age/plumage classes. The Predator Deflection Hypothesis also predicts that, once a predator has been detected, brightly-coloured birds should attempt to distract it, whereas cryptic individuals should not. Tests using models of avian predators showed that this was not the case: cryptic I. parisorum females responded as aggressively toward the model as did conspicuous conspecific males. The same was true for I. gularis. Overall, the results did not support the idea that bright coloration has evolved in response to predation pressure in these species.</t>
  </si>
  <si>
    <t>10.1007/BF00299710</t>
  </si>
  <si>
    <t>WOS:A1989AJ00400006</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</si>
  <si>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</si>
  <si>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</si>
  <si>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</si>
  <si>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WIN</t>
  </si>
  <si>
    <t>10.1648/0273-8570-73.1.70</t>
  </si>
  <si>
    <t>WOS:000174001500012</t>
  </si>
  <si>
    <t>Siefferman, L; Navara, KJ; Hill, GE</t>
  </si>
  <si>
    <t>Egg coloration is correlated with female condition in eastern bluebirds (Sialia sialis)</t>
  </si>
  <si>
    <t>Egg coloration has been hypothesized to reflect female condition. Because of the proposed physiological costs associated with deposition of biliverdin pigments and because of their conspicuousness, eggs with blue-green coloration may reliably convey information about female or brood quality. We tested the hypothesis that expression of blue-green coloration of eastern bluebird (Sialia sialis) eggs positively correlates to female condition. First, we documented the incidence of egg color polymorphism within the population. We observed that 98% of females laid blue-green eggs while less than 2% laid white eggs and less than 1% laid pink eggs. In a subset of clutches, we used full spectrum reflectance spectrometry (300-700 nm) to compare eggshell coloration to measures of female condition. We found that the color of eggs within clutches was more similar than the color of eggs from different clutches, and that the blue-green eggs have spectral peaks that are consistent with the characteristic absorbance spectra of biliverdin pigmentation. Females in better body condition and older females laid more colorful eggs. Moreover, individual females laid more colorful eggs later in the laying sequence. Overall, these data indicate that egg coloration covaries with female condition, suggesting that egg coloration could function as a reliable signal of female quality or that egg coloration may allow females to recognize eggs laid by conspecific brood parasites.</t>
  </si>
  <si>
    <t>Hill, Geoffrey Edward/R-7354-2019</t>
  </si>
  <si>
    <t>Hill, Geoffrey Edward/0000-0001-8864-6495; Siefferman, Lynn/0000-0002-9600-2902</t>
  </si>
  <si>
    <t>10.1007/s00265-005-0092-x</t>
  </si>
  <si>
    <t>WOS:000235219700008</t>
  </si>
  <si>
    <t>Minton, RL; Gundersen, RW</t>
  </si>
  <si>
    <t>Puperita tristis (d'Orbigny, 1842) (Gastropoda: Neritidae) is an ecotype of Puperita pupa (Linnaeus, 1767)</t>
  </si>
  <si>
    <t>AMERICAN MALACOLOGICAL BULLETIN</t>
  </si>
  <si>
    <t>Puperita pupa and P. tristis occur sympatrically in the West Indies. In his 1941 review of western Atlantic Neritidae, Russell kept the two species separate based on shell color differences: P. pupa is characterized by a white shell with black lines, P. tristis by a black shell with small white spots. Russell also included radula differences, but noted that both species exhibit plasticity for both characters. Authors have suggested that P. tristis is a variety or color form of P. pupa. We tested the relationship of P. pupa and P. tristis through examinations of shell and radular characters, reciprocal translocations, and random amplified polymorphic DNA (RAPD). P. pupa and P. tristis do not differ significantly in shell shape and proportion, as measured by principal component analysis. Translocations showed that the pupa and tristis phenotypes could be expressed by either nominal species. No radular differences were seen between the two putative species. Statistical analysis of RAPD band sharing indicated that interspecific variation did not differ significantly from intraspecific variation, and that Puperita is separate from Neritina. Considering our findings, we believe P. pupa and P. tristis to be conspecific, with P. tristis an ecotype of P. pupa. Shell color pattern appears to be responding to environmental conditions. An unusual feature of this plasticity is the sudden and dramatic change in shell phenotypes in response to a change in habitat.</t>
  </si>
  <si>
    <t>0740-2783</t>
  </si>
  <si>
    <t>2162-2698</t>
  </si>
  <si>
    <t>WOS:000180542900002</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</si>
  <si>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</si>
  <si>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</si>
  <si>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</si>
  <si>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arroyo, beatriz/KBB-3063-2024; Arroyo, Beatriz/A-3504-2013; Mougeot, Francois/Y-9569-2019</t>
  </si>
  <si>
    <t>Mougeot, Francois/0000-0002-5819-6275; Arroyo, Beatriz/0000-0002-4657-6609; Mougeot, Francois/0000-0002-5819-6275</t>
  </si>
  <si>
    <t>10.1016/j.anbehav.2005.03.036</t>
  </si>
  <si>
    <t>WOS:000234764500010</t>
  </si>
  <si>
    <t>Beltrao, P; Silva, PA; Soares, MC; Cardoso, GC; Trigo, S</t>
  </si>
  <si>
    <t>Beltrao, Patricia; Silva, Paulo A.; Soares, Marta C.; Cardoso, Goncalo C.; Trigo, Sandra</t>
  </si>
  <si>
    <t>Testosterone treatment produces sex-dependent effects in social dominance</t>
  </si>
  <si>
    <t>Dominance hierarchies reduce the costs of competitive aggression in social animals, and testosterone is a proposed mediator of aggressive behaviour and social dominance. While the effects of testosterone on male behaviour are well studied, effects on female aggression and dominance within mixed-sex groups are less clear. We tested how short-term testosterone treatment influences aggressive behaviour and dominance hierarchies in the common waxbill, Estrilda astrild, a bird with mild social hierarchies. In captive mixed-sex groups, we administered intramuscular testosterone to either males or females and, using a test of competition for food, compared aggressive behaviour and social dominance to those of a control treatment (saline) with no testosterone administered. Testosterone treatment to males increased their social dominance, without increasing aggression. We observed a decrease in female aggression towards treated males, suggesting that females were reacting to subtle cues of male dominance (e.g. vocal cues). In contrast, female treatment with testosterone did not increase their dominance, which could either be due to a lack of effect on females, or because males reacted to and opposed cues of female dominance. Together, our results indicate a sex-dependent role of testosterone on social hierarchies. (c) 2021 The Association for the Study of Animal Behaviour. Published by Elsevier Ltd. All rights reserved.</t>
  </si>
  <si>
    <t>Soares, Marta/GSM-7143-2022; Soares, Marta/HJH-3434-2023; Trigo, Sandra/I-8160-2014; Cardoso, Goncalo/A-1290-2007</t>
  </si>
  <si>
    <t>Soares, Marta/0000-0002-5213-2377; Trigo, Sandra/0000-0002-9938-6606; Beltrao, Patricia/0000-0002-5987-4672; Cardoso, Goncalo/0000-0001-6258-1881</t>
  </si>
  <si>
    <t>10.1016/j.anbehav.2021.07.016</t>
  </si>
  <si>
    <t>WOS:000693411000026</t>
  </si>
  <si>
    <t>Cooper, EA; Uy, JAC</t>
  </si>
  <si>
    <t>Cooper, Elizabeth A.; Uy, J. Albert C.</t>
  </si>
  <si>
    <t>Genomic evidence for convergent evolution of a key trait underlying divergence in island birds</t>
  </si>
  <si>
    <t>Reproductive isolation can be initiated by changes in one or a few key traits that prevent random mating among individuals in a population. During the early stages of speciation, when isolation is often incomplete, there will be a heterogeneous pattern of differentiation across regions of the genome between diverging populations, with loci controlling these key traits appearing the most distinct as a result of strong diversifying selection. In this study, we used Illumina-sequenced ddRAD tags to identify genomewide patterns of differentiation in three recently diverged island populations of the Monarcha castaneiventris flycatcher of the Solomon Islands. Populations of this species have diverged in plumage colour, and these differences in plumage colour, in turn, are used in conspecific recognition and likely important in reproductive isolation. Previous candidate gene sequencing identified point mutations in MC1R and ASIP, both known pigmentation genes, to be associated with the difference in plumage colour between islands. Here, we show that background levels of genomic differentiation based on over 70,000 SNPs are extremely low between populations of distinct plumage colour, with no loci reaching the level of differentiation found in either candidate gene. Further, we found that a phylogenetic analysis based on these SNPs produced a taxonomy wherein the two melanic populations appear to have evolved convergently, rather than from a single common ancestor, in contrast to their original classification as a single subspecies. Finally, we found evidence that the pattern of low genomic differentiation is the result of both incomplete lineage sorting and gene flow between populations.</t>
  </si>
  <si>
    <t>10.1111/mec.14116</t>
  </si>
  <si>
    <t>WOS:000404618000015</t>
  </si>
  <si>
    <t>FALNIOWSKI, A; KOZIK, A; SZAROWSKA, M; RAPALAKOZIK, M; TURYNA, I</t>
  </si>
  <si>
    <t>MORPHOLOGICAL AND ALLOZYMIC POLYMORPHISM AND DIFFERENCES AMONG LOCAL-POPULATIONS IN BRADYBAENA-FRUTICUM (MULLER,O.F., 1777) (GASTROPODA, STYLOMMATOPHORA, HELOCOIDEA)</t>
  </si>
  <si>
    <t>MALACOLOGIA</t>
  </si>
  <si>
    <t>Morphological variation (shell colour and banding, mantle pigmentation, colour and pigmentation of reproductive organs, external form of the mucous gland) and allozymic polymorphism at 13 loci (by means of vertical slab polyacrylamide gel electrophoresis) were studied in Bradybaena fruticum (O. F. Muller, 1777) from 11 localities in southern Poland and Slovakia. Descriptions and illustrations of variation in all the morphological characters, and frequencies at every locality are given. Of the 13 loci studied, six were polymorphic. The proportion of polymorphic loci (15.5-46.1%, mean 36%) was relatively low for a morphologically polymorphic species. Heterozygote frequencies were as expected from Hardy-Weinberg equilibrium, with the exception of the CAP(1) locus, at which a significant heterozygote excess was found. The values of Nei's distances between populations (0.017-0.282) were relatively high for geographically close conspecific populations, and often a higher Value of genetic distance did not correspond with a greater geographic distance. For morphological characters and for allozyme frequencies (directly and after computing Cavalli-Sforza and Edwards's are distances) similarity trees were computed for all populations by means of the maximum likelihood and additive tree techniques.</t>
  </si>
  <si>
    <t>0076-2997</t>
  </si>
  <si>
    <t>WOS:A1993MK18700007</t>
  </si>
  <si>
    <t>Kabir, MS; Radhika, V; Thaker, M</t>
  </si>
  <si>
    <t>Kabir, Md Shakilur; Radhika, Venkatesan; Thaker, Maria</t>
  </si>
  <si>
    <t>Mismatch in receiver responses to multimodal signals in a diurnal gecko</t>
  </si>
  <si>
    <t>Multimodal signals are used by many animals for intraspecific communication and can provide information about sex identity as well as quality of the signaller. In diurnal geckos of the genus Cnemaspis, chromatic colour patches in males evolved after chemical secretions, providing us with an opportunity to examine the utility of evolving multimodality. We quantified signal components and receiver responses in Cnemaspis mysoriensis to determine the relative importance of chemical and visual traits for intraspecific communication. Digital imagery and spectrophotometry of lizards revealed the presence of two distinct male morphs (yellow-gular and white-gular) and one female form (white-gular). All males, but no females, had yellow eye rims. Characterization of chemical secretions from the ventral precloacal and femoral glands of all lizard forms revealed no differences between male morphs. However, all males differed from females in a few key compounds. We then exposed lizards to only chemical stimuli, only visual stimuli, or both chemical and visual stimuli of conspecific males and females. We found that females were responsive to the chemical stimuli alone as well as the multimodal stimuli of males, whereas males were only responsive to the multimodal stimuli of other males. Neither chemical or visual components of females elicited a response from conspecifics. Thus, while the chemical secretions of males are sufficient for females to elicit a response, multimodal stimuli are necessary for males to respond. Based on variation in signalling traits and receiver responses, we conclude that: (1) chemical secretions signal both sex identity and male quality; (2) eye rim colour encodes information about sex identity; and (3) gular colour in males is probably not a redundant trait, providing some information to males, but not females. We conclude that the secondary evolution of visual signals in C. mysoriensis therefore enhances male-male social interactions and not communication in general. (C) 2018 The Association for the Study of Animal Behaviour. Published by Elsevier Ltd. All rights reserved.</t>
  </si>
  <si>
    <t>10.1016/j.anbehav.2018.11.011</t>
  </si>
  <si>
    <t>WOS:000455323900014</t>
  </si>
  <si>
    <t>Martín-Vega, D</t>
  </si>
  <si>
    <t>Martin-Vega, Daniel</t>
  </si>
  <si>
    <t>On the identity of Prochyliza nigrimana (Meigen) and Prochyliza nigricornis (Meigen) (Diptera: Piophilidae), with a synopsis of Prochyliza Walker and description of a new species</t>
  </si>
  <si>
    <t>With representatives distributed throughout the Holarctic and Neotropical regions, the genus Prochyliza Walker (Diptera: Piophilidae) is known from eight species. There has been, however, considerable controversy over the identity of two of them: the common, synanthropic species Prochyliza nigrimana (Meigen), and the rarely collected Prochyliza nigricornis (Meigen). The described differences between both species were only based on body colouration but, since a wide colour variation has been documented among P. nigrimana individuals, several authors had suggested that both taxa might be just extreme colour variants of the same species. Recent collections from central Spain showed that the colouration characters described for P. nigricornis certainly apply to dark P. nigrimana individuals, but also to other Prochyliza specimens showing distinct morphological characters and genitalia. In order to solve this controversy, the holotypes of both P. nigrimana and P. nigricornis were studied, concluding that both specimens are conspecific and instating P. nigricornis as a subjective junior synonym (syn. nov.). A new species, Prochyliza georgekaplani sp. nov., is described from specimens collected in central Spain. A synopsis and an updated identification key to the known species of the genus Prochyliza are also provided.</t>
  </si>
  <si>
    <t>Martín-Vega, Daniel/A-8365-2017</t>
  </si>
  <si>
    <t>Martín-Vega, Daniel/0000-0002-5626-5441</t>
  </si>
  <si>
    <t>DEC 8</t>
  </si>
  <si>
    <t>10.11646/zootaxa.3893.2.7</t>
  </si>
  <si>
    <t>WOS:000346874900007</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</si>
  <si>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</si>
  <si>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</si>
  <si>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</si>
  <si>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</si>
  <si>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</si>
  <si>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</si>
  <si>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</si>
  <si>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JOHNSON, C</t>
  </si>
  <si>
    <t>EVOLUTION OF TERRITORIALITY IN ODONATA</t>
  </si>
  <si>
    <t>The evolutionary sequence of odonate territoriality may have been as follows: 1. Frequent and violent approach flights motivated by the sex drive toward other similar dragon-flies irrespective of species or sex, producing many non-productive mating efforts. 2. An increase in approach flights toward females of the proper species through development of sexually dimorphic color patterns and flight styles. 3. An increase in aggressiveness among numerous correctly oriented males converging on each conspecific female, with consequent disturbance of breeding behavior, and need for reduced interference to mating. 4. Intermale aggressive behavior maintained regardless of the female''s presence with resulting spacing of males. Such behavior is expressed on sites which coincide with habitat selection of the female for oviposition and results in a defended area of reduced interference to mating and oviposition.</t>
  </si>
  <si>
    <t>10.2307/2406422</t>
  </si>
  <si>
    <t>WOS:A1964AV73200005</t>
  </si>
  <si>
    <t>Levin, BA; Golubtsov, AS</t>
  </si>
  <si>
    <t>Levin, Boris A.; Golubtsov, Alexander S.</t>
  </si>
  <si>
    <t>New insights into the molecular phylogeny and taxonomy of mormyrids (Osteoglossiformes, Actinopterygii) in northern East Africa</t>
  </si>
  <si>
    <t>Based on morphological data and analysis of mitochondrial cytochrome b gene and nuclear (S7 intron 1) DNA sequences, the phylogenetic relationships of all Pollimyrus species known from the Omo-Turkana enclosed basin and Nile system below the Murchison Falls were solved. A mormyrid Pollimyrus petherici is distantly related to all other studied Pollimyrus species and clusters together with Cyphomyrus species forming with the later a monophyletic group. Moreover, the West African (but not the Congo River) populations of Cyphomyrus psittacus, the type species of the genus, seem to be conspecific to C.petherici. That is, the range of the genus Cyphomyrus is extended toward the Nile and Omo-Turkana basins. This genus belongs to the large clade widely distributed in sub-Saharian Africa and characterized by the presence of a chin appendage. Significance of this character for mormyrid phylogeny is discussed. Two distinct lineages of Pollimyrus occurring sympatrically in the White Nile tributaries and previously reported as the light and dark forms of Pollimyrus isidori together with five other congeneric species studied form a monophyletic group. The light form apparently represents P.isidori distributed in the Nile system downstream of the Murchison Falls and West Africa; the dark-colored form (designated as Pollimyrus D) represents a distinct phylogenetic lineage inhabiting both the Omo-Turkana and the White Nile basin. Morphological and ecological data suggest that this form may be conspecific to East African Pollimyrus nigricans or most probably represents a new species.</t>
  </si>
  <si>
    <t>Levin, Boris/IVU-7907-2023; Golubtsov, Alexander/K-8612-2018</t>
  </si>
  <si>
    <t>Levin, Boris/0000-0002-4044-2036; Golubtsov, Alexander/0000-0002-8317-7527</t>
  </si>
  <si>
    <t>1439-0469</t>
  </si>
  <si>
    <t>10.1111/jzs.12186</t>
  </si>
  <si>
    <t>WOS:000419657600005</t>
  </si>
  <si>
    <t>Stauffer, JR; McKaye, KR; Konings, AF</t>
  </si>
  <si>
    <t>Stauffer, Jay R., Jr.; McKaye, Kenneth R.; Konings, Ad F.</t>
  </si>
  <si>
    <t>Behaviour: an important diagnostic tool for Lake Malawi cichlids</t>
  </si>
  <si>
    <t>FISH AND FISHERIES</t>
  </si>
  <si>
    <t>Historically, the cichlid fishes of Lake Malawi, which probably represent one of the best examples of rapid radiation of vertebrates, have been diagnosed with morphological and genetic data. Many of the populations once thought to be conspecific have been hypothesized to be separate species based on behavioural data. The use of behavioural data, as expressed in mate choice based on colour patterns or bower shapes, has been successfully used to diagnose both rock-dwelling and sand-dwelling cichlid species. Additionally, a combination of bower shapes and courtship patterns have been used as synapomorphies to diagnose genera within the Lake Malawi cichlid flock. It is concluded that taxonomists need to include behavioural data with morphological and genetic databases to diagnose species and to determine the phylogenetic relationships within this diverse assemblage of fishes.</t>
  </si>
  <si>
    <t>1467-2960</t>
  </si>
  <si>
    <t>1467-2979</t>
  </si>
  <si>
    <t>10.1046/j.1467-2979.2002.00088.x</t>
  </si>
  <si>
    <t>WOS:000208993800007</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</si>
  <si>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</si>
  <si>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</si>
  <si>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</si>
  <si>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</si>
  <si>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</si>
  <si>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 Sterzer, Philipp/0000-0003-4687-2317</t>
  </si>
  <si>
    <t>10.1002/ab.21508</t>
  </si>
  <si>
    <t>WOS:000331255700002</t>
  </si>
  <si>
    <t>Truskanov, N; Shy, R; Lotem, A</t>
  </si>
  <si>
    <t>Truskanov, Noa; Shy, Rimon; Lotem, Arnon</t>
  </si>
  <si>
    <t>Context-specific learning and its implications for social learning</t>
  </si>
  <si>
    <t>Social learning is widespread but the causes for variation in the use of social versus private information are not always clear. Alongside adaptive explanations, suggesting that animals learn socially only when it is indeed adaptive to do so, it is also possible that the use of social learning is limited by mechanistic constraints. A common, but frequently overlooked challenge for social learning mechanisms is the need to allow learners to solve a problem through watching it being solved by others. This requires animals to be able to shift between contexts: from the context of the observed solution, to the context of the unsolved problem. For instance, for the social learning of cues associated with hidden food, an individual that merely sees a conspecific exploiting the food must, in the later absence of demonstrators or visible rewards, also learn to explore the cue for itself. Here, we show that this shift in context can indeed be difficult. In 2 experiments involving sand colors, house sparrows trained with hidden seeds learned to search for hidden seeds (based on food-color association) better than sparrows trained with exposed seeds. However, the latter showed color preference when tested with seeds exposed on both sand colors. These results demonstrate that context-specific learning makes it difficult to generalize reward-cue association from exposed to hidden conditions, which may explain why social learning is often more effective when it is based on socially facilitated active search (for hidden food), similar to that used in the context of independent foraging.</t>
  </si>
  <si>
    <t>10.1093/beheco/ary078</t>
  </si>
  <si>
    <t>WOS:000444301900012</t>
  </si>
  <si>
    <t>KATANO, O</t>
  </si>
  <si>
    <t>SEASONAL, SEXUAL AND INDIVIDUAL VARIATIONS IN GONAD WEIGHT AND SECONDARY SEXUAL CHARACTERS OF THE DARK CHUB, ZACCO-TEMMINCKI</t>
  </si>
  <si>
    <t>The relationships among body length, gonad and body weights and secondary sexual characters of the dark chub, Zacco temmincki, were analyzed with reference to their variations. Both condition factor and gonosomatic index (GSI) greatly increased in the pre-mating season. Body size was positively correlated with GSI value for females, except in post-spawning periods, but negatively correlated or uncorrelated for males. Individual variation (CV) of both condition factor and GSI value also increased in the pre-mating and mating seasons. Breeding color and pearl organs on the head developed in both sexes all the year round, and most conspicuously in males in the mating season. Pearl organs on the analfin only developed in males in the mating season. The development of these secondary sexual characters neither necessarily indicated sexual maturation nor a high potential for reproduction, but was greatly associated with large body size. Breeding color was believed to function as a signal showing the development of pearl organs and body size, pearl organs on the head as a weapon in conspecific aggressive encounters and pearl organs on the anal fin as a tool for burying eggs in spawning behavior.</t>
  </si>
  <si>
    <t>WOS:A1990EP23300007</t>
  </si>
  <si>
    <t>ARON, S; SOLECAVA, A</t>
  </si>
  <si>
    <t>GENETIC EVALUATION OF THE TAXONOMIC STATUS OF 2 VARIETIES OF THE COSMOPOLITAN ASCIDIAN BOTRYLLUS-NIGER (ASCIDIACEA, BOTRYLLIDAE)</t>
  </si>
  <si>
    <t>BIOCHEMICAL SYSTEMATICS AND ECOLOGY</t>
  </si>
  <si>
    <t>Populations of two varieties of Botryllus niger from three points along the southeastern coast of Brazil were compared genetically, in order to evaluate their taxonomic status. Variety giganteum, (two colour morphs, orange and grey) and var. niger were analysed for 25 enzyme systems by starch gel electrophoresis, of which nine gave reproducible results. The levels of gene variation observed were high in all populations of var. niger analysed (H = 0.239), but only moderate (H = 0.112) in the populations of var. giganteum. This may reflect observed differences in the population sizes of the two varieties. The gene identity obtained for pairwise comparisons between populations or colour morphs of the same variety was at the lower end of the range normally associated with conspecific populations (I = 0.76-0.98). In contrast, a high level of gene differentiation was observed between the two varieties (I = 0.404), with five out of 12 loci being diagnostic of each one. Since the two supposed varieties live sympatrically, this indicates that they are reproductively isolated, and therefore deserve specific status. The varietal names are thus raised here to specific level, as Botryllus niger and Botryllus giganteum.</t>
  </si>
  <si>
    <t>Sole-Cava, Antonio/G-4209-2011</t>
  </si>
  <si>
    <t>Sole-Cava, Antonio/0000-0003-0363-5821</t>
  </si>
  <si>
    <t>0305-1978</t>
  </si>
  <si>
    <t>10.1016/0305-1978(91)90014-Q</t>
  </si>
  <si>
    <t>WOS:A1991HA68300002</t>
  </si>
  <si>
    <t>JOHNSON, MS; CUMMING, RL</t>
  </si>
  <si>
    <t>GENETIC DISTINCTNESS OF 3 WIDESPREAD AND MORPHOLOGICALLY VARIABLE SPECIES OF DRUPELLA (GASTROPODA, MURICIDAE)</t>
  </si>
  <si>
    <t>Corallivorous gastropods of the genus Drupella have caused considerable damage to corals at widely separated reefs in the Indo-Pacific. Morphological variability of Drupella species within and between areas has caused taxonomic confusion. To clarify the relationships, we examined allozyme variation at 16 gene loci in samples from Western Australia, Queensland and Japan. Within sites, the species D. cornus, D. rugosa and D. fragum were distinguishable individually by each of 9 to 11 loci, with average genetic identities of about 0.25. The differences extended across sites, whereas the conspecific genetic identities over distances up to 6000 km were 0.86 to 1.00, supporting the view that there are three widespread species of Drupella. Nevertheless, there is much variation within species for allozymes, size, shape and colour.</t>
  </si>
  <si>
    <t>Johnson, Michael S/F-3262-2013</t>
  </si>
  <si>
    <t>10.1007/BF00303426</t>
  </si>
  <si>
    <t>WOS:A1995RD44200003</t>
  </si>
  <si>
    <t>Spatial and behavioural measures of social discrimination by captive male zebra finches: Implications of sexual and species differences for recognition research</t>
  </si>
  <si>
    <t>All bird species reproduce sexually and individuals need to correctly identify conspecifics for successful breeding. Captive zebra finches are a model system for studying the factors involved in species recognition and mate choice. However, male zebra finches' behavioural responses in a spatial preference paradigm to a range of estrildid finch species, other than domesticated Bengalese finches, remain unknown. We investigated spatial and display responses of male zebra finch subjects to stimulus females between conspecific and four phylogeographically relevant finch species. in addition to female Bengalese finches. Surprisingly. male subjects did not show consistent spatial association with conspecific over heterospecific females. Overall, as predicted by sexual selection theory, the spatial proximity responses of males were less discriminatory compared to female zebra finches' responses tested previously using the same paradigm. However, male subjects showed consistently more behavioural displays towards female conspecifics than heterospecifics which were positively related to the behavioural display rates of the respective female stimuli. Some male behavioural responses, other than song, also showed significant differences between the different stimulus species and consistently differed across individual test subjects, with the most individual subject variation seen in choice trials between female conspecific and Bengalese finch stimuli. The results are important for the design and interpretation of future behavioural and neurobiological experiments on species recognition systems using the zebra finch as a model species. (C) 2008 Elsevier B.V. All rights reserved.</t>
  </si>
  <si>
    <t>10.1016/j.beproc.2008.10.007</t>
  </si>
  <si>
    <t>WOS:000262546900014</t>
  </si>
  <si>
    <t>Stöhr, S; Weber, AAT; Boissin, E; Chenuil, A</t>
  </si>
  <si>
    <t>Stohr, Sabine; Weber, Alexandra Anh-Thu; Boissin, Emilie; Chenuil, Anne</t>
  </si>
  <si>
    <t>Resolving the Ophioderma longicauda (Echinodermata: Ophiuroidea) cryptic species complex: five sisters, three of them new</t>
  </si>
  <si>
    <t>EUROPEAN JOURNAL OF TAXONOMY</t>
  </si>
  <si>
    <t>The conspicuous Mediterranean brittle star Ophioderma longicauda (Bruzelius, 1805) has been discovered to represent a cryptic species complex, consisting of six nuclear clusters with contrasting reproductive modes (broadcast spawners and brooders). Here, O. longicauda is re-described. It is distinguished by a dark reddish-brown colouration both dorsally and on the ventral disc, and multiple tumid dorsal arm plates. One eastern Mediterranean brooding cluster is described as O. zibrowii sp. nov., characterized by a dark olive-green colour both dorsally and on the ventral disc, and single dorsal arm plates. Another brooder is described from Tunisia as O. hybrida sp. nov., with a highly variable morphology that reflects its origin by hybridization of O. longicauda and a brooder (possibly O. zibrowii sp. nov.), leaving the third brooding cluster as morphologically indistinguishable at this point and possibly conspecific with one of the others. The West-African O. guineense Greef, 1882 is resurrected as a valid species, differing morphologically from O. longicauda by predominantly single dorsal arm plates and light green or creamy white ventral side. Also from West Africa, O. africana sp. nov. is described, characterized by a dark brown colour, dorsally and ventrally, and single dorsal arm plates.</t>
  </si>
  <si>
    <t>Stöhr, Sabine/B-8629-2011; BOISSIN, Emilie/F-2750-2011; CHENUIL, Anne/E-3902-2012</t>
  </si>
  <si>
    <t>Stöhr, Sabine/0000-0002-2586-7239; Weber, Alexandra/0000-0002-7980-388X; BOISSIN, Emilie/0000-0002-4110-790X; CHENUIL, Anne/0000-0001-8141-7147</t>
  </si>
  <si>
    <t>2118-9773</t>
  </si>
  <si>
    <t>FEB 4</t>
  </si>
  <si>
    <t>10.5852/ejt.2020.600</t>
  </si>
  <si>
    <t>WOS:000512655700001</t>
  </si>
  <si>
    <t>Bruinjé, AC; Paiva, TMD; Costa, GC</t>
  </si>
  <si>
    <t>Carreira Bruinje, Andre; de Alencar Paiva, Tales Martins; Costa, Gabriel Correa</t>
  </si>
  <si>
    <t>Multimodal female mate choice in a polymorphic flat rock lizard</t>
  </si>
  <si>
    <t>Sexual selection is a driver of morphological and behavioral diversity. It may also play a role in the maintenance of behavioral and morphological polymorphisms. Adaptive theory predicts that males advertise individual quality through one or more signal paths and that females choose better quality mates based on those signals. Here, we use mate choice experiments in two different signaling modes (chemical and visual), to test whether females of a color cryptic-polymorphic lizard have a preference between two co-occurring male morphs (black and yellow) with alternative behavioral types. We test whether females use visual (males' coloration) and/or chemical cues to choose male morphs. Furthermore, we assess whether continuous costly color expression influences female choice and whether male conspicuousness in their natural background predicts female mate choice. We show that females prefer the aggressive black-morph males based on chemical cues. Females prefer more conspicuous males as mates, and coloration at polymorphic ventral part of the body also contributes to higher conspicuousness of these males. Our study adds to the knowledge of intersexual selection for multi-component signals and opens possibilities for future research to explore the roles of complementary signal modes. Significance statement Sexual selection can drive the evolution of a great diversity of behavioral and morphological features and has puzzled naturalists ever since Darwin. We studied sexual selection in the striped lava lizard (Tropidurus semitaeniatus), a species endemic to Northeast Brazil. This species is known to have two different types of males (yellow or black). In our study, we conducted mate choice experiments to test whether females prefer males based on chemical and/or visual cues. Black males tend to be more aggressive and dominant, and we showed that females prefer these males based on their scent. We show that females prefer males that are more conspicuous within their natural habitat, and that ventral polymorphic coloration is related to female preference. Our study highlights the complexity of animal signals and contributes to our understanding of sexual selection and the role of complementary signal modes.</t>
  </si>
  <si>
    <t>Costa, Gabriel C/A-4147-2008; Bruinjé, Andre/F-4011-2014</t>
  </si>
  <si>
    <t>Costa, Gabriel C/0000-0002-6777-6706; Bruinjé, Andre/0000-0003-1997-8247</t>
  </si>
  <si>
    <t>10.1007/s00265-022-03181-x</t>
  </si>
  <si>
    <t>WOS:000804747400001</t>
  </si>
  <si>
    <t>Olsson, KH; Sköld, HN; Merilaita, S; Kvarnemo, C</t>
  </si>
  <si>
    <t>Olsson, Karin H.; Skold, Helen Nilsson; Merilaita, Sami; Kvarnemo, Charlotta</t>
  </si>
  <si>
    <t>Dark-eyed females: sexually dimorphic prespawning coloration results from sex-specific physiological response to hormone exposure in the sand goby Pomatoschistus minutus (Gobiiformes: Gobiidae)</t>
  </si>
  <si>
    <t>The function and regulation of female nuptial colour signals are poorly understood. In fish, colour is often mediated by chromatophores, allowing for rapid and versatile signalling. Here, we examine a distinct but temporary black line around the eyes and snout ('dark eyes') displayed by female sand gobies before spawning and never observed in males. We investigate the regulatory mechanism of the display by analysing the number of melanophores in both sexes in vitro and their response to hormonal exposure. We also test the hypothesis that dark eyes serve an anti-glare function and focus the line of sight, by analysing the frequency, intensity and duration of the display in bright and dim light, with and without males present. We show that the sexes do not differ in terms of the number of melanophores, but that males and females respond in different ways to exposure to melanocyte-stimulating hormone, which has a stronger dilatory effect in females and results in a darker line. However, the darkness of the iris is not affected. Neither light levels nor the presence of potential mates affect the frequency of the dark eye display, but the display is longer lasting and more intense in the presence of smaller nest-holding males.</t>
  </si>
  <si>
    <t>Kvarnemo, Charlotta/0000-0001-8983-2900; Olsson, Karin/0000-0002-1695-0989</t>
  </si>
  <si>
    <t>FEB 14</t>
  </si>
  <si>
    <t>10.1093/biolinnean/blab166</t>
  </si>
  <si>
    <t>JAN 2022</t>
  </si>
  <si>
    <t>WOS:000754842400003</t>
  </si>
  <si>
    <t>Losey, GS</t>
  </si>
  <si>
    <t>Crypsis and communication functions of UV-visible coloration in two coral reef damselfish, Dascyllus aruanus and D-reticulatus</t>
  </si>
  <si>
    <t>The bold colours of reef fish probably serve various functions ranging from crypsis to advertisement. The presence of UV-sensitive vision in many reef fish demands that we explore these functions beyond the range of human vision. Current knowledge of the transmission of UV and visible radiation through clear ocean water, and knowledge of the likely spectral sensitivity of predatory and prey fish suggest that contrasting UV signals should be selected for social communication. For many juvenile reef fish, close-range detection and being noticed by predators may be much more important than long-range detection. Dascyllus aruanus (three-bar damsel) and D. reticulatus (two-bar damsel) juveniles are boldly coloured white fish with black bars that shelter in mixed-species groups in finely branched corals. Predators on the reef are probably well schooled in the location of their residence coral heads and the major threat is being noticed by a predator when making a defensive error. I took video images of the fish in the field through a series of narrow-band-pass filters from 340 to 600 nm, which spans the probable range for visual sensitivity in fish. With the help of colour reference standards and spectral irradiance data, I applied video pixel intensity measures to a model of colour vision to quantify luminance contrast when viewed by both conspecific fish and various predators. The two-bar damsel had a highly UV-reflective colour patch on its flag-like dorsal fin that was lacking in the three-bar. This result, taken together with their longer wavelength coloration, indicates that the two-bar is better adapted for short-range social communication, which would be difficult for predators to detect. (C) 2003 Published by Elsevier Ltd on behalf of The Association for the Study of Animal Behaviour.</t>
  </si>
  <si>
    <t>10.1006/anbe.2003.2214</t>
  </si>
  <si>
    <t>WOS:000184899600013</t>
  </si>
  <si>
    <t>Gonnet, V; Bidegaray-Batista, L; Aisenberg, A; Laborda, A; Hagopián, D; Izquierdo, MA; Piacentini, LN; Simó, M</t>
  </si>
  <si>
    <t>Gonnet, Veronica; Bidegaray-Batista, Leticia; Aisenberg, Anita; Laborda, Alvaro; Hagopian, Damian; Izquierdo, Matias A.; Piacentini, Luis N.; Simo, Miguel</t>
  </si>
  <si>
    <t>A wolf spider from South American grasslands: phylogenetic placement and redescription of Paratrochosina amica (Mello-Leitao 1941)</t>
  </si>
  <si>
    <t>The male of the wolf spider Paratrochosina arnica (Mello-Leitao 1941) is redescribed, and the female of this species is described for the first time. Additionally, we evaluate the phylogenetic position of P. arnica using the mitochondrial genes cytochrome c oxidase subunit I (cox1), the 12S rRNA (12S) and 16S rRNA (16S), NADH deshydrogenase subunit I (nad1) and the complete tRNA leu (L1). In live specimens we recognized three different morphotypes based on colour patterns. There were no differences in genitalic features of males and females among the three morphotypes. Molecular results through GMYC analyses did not identify independent evolutionary lineages. Genetic and taxonomic results support that the three morphotypes are conspecific. Phylogenetic analysis confirms the position of P. arnica in the subfamily Allocosinae. (C) 2021 Elsevier GmbH. All rights reserved.</t>
  </si>
  <si>
    <t>Batista, Leticia Bidegaray/I-3674-2015; Piacentini, Luis/ACX-2449-2022</t>
  </si>
  <si>
    <t>Batista, Leticia Bidegaray/0000-0001-6408-3800; Piacentini, Luis Norberto/0000-0003-1246-0699</t>
  </si>
  <si>
    <t>10.1016/j.jcz.2021.08.009</t>
  </si>
  <si>
    <t>WOS:000697574600001</t>
  </si>
  <si>
    <t>Vidal, M; Mills, SC; Gairin, E; Bertucci, F; Lecchini, D</t>
  </si>
  <si>
    <t>Vidal, Manuel; Mills, Suzanne C.; Gairin, Emma; Bertucci, Frederic; Lecchini, David</t>
  </si>
  <si>
    <t>Validation of a novel immersive virtual reality set-up with responses of wild-caught freely moving coral reef fish</t>
  </si>
  <si>
    <t>Virtual reality (VR) enables standardized stimuli to provoke behavioural responses in animals; however, in fish studies VR has been limited to either basic virtual simulation projected below the bowl for freely swimming individuals or a simple virtual arena rendered over a large field of view for head-restrained individuals. We developed a novel immersive VR set-up with real-time rendering of animated 3D scenarios, validated in a proof-of-concept study on the behaviour of coral reef postlarval fish. Fish use a variety of cues to select a habitat during the recruitment stage, and to recognize conspecifics and predators, but which visual cues are used remains unknown. We measured behavioural responses of groups of five convict postlarval surgeonfish, Acanthurus triostegus, to simulations of habitats, static or moving shoals of conspecifics, predators and nonaggressive heterospecifics. Postlarval fish were consistently attracted to virtual corals and conspecifics presented statically, but repulsed by their predators (bluefin jacks, Caranx melampygus). When simulated shoals repeatedly passed nearby, they were again attracted by conspecifics, showing a tendency to follow the shoal, whereas they moved repeatedly to the back of the passing predator shoal. They also discriminated between species of similar sizes: they were attracted more to conspecifics than butterflyfish, Forcipiger longirostris, and repulsed more by predators than parrotfish, Scarus psittacus. The quality of visual simulations was high enough to identify visual cues (size, body shape, colour pattern) used by postlarval fish in species recognition. Despite a tracking technology limited to fish 2D positions in the aquarium, preventing the real-time updating of the rendered viewpoint, we could show that VR and modern tracking technologies offer new possibilities to investigate fish behaviour through the quantitative analysis of their physical reactions to highly controlled scenarios.(c) 2023 The Author(s). Published by Elsevier Ltd on behalf of The Association for the Study of Animal Behaviour. This is an open access article under the CC BY-NC-ND license (http://creativecommons.org/ licenses/by-nc-nd/4.0/).</t>
  </si>
  <si>
    <t>Gairin, Emma/CAH-9091-2022; Mills, Suzanne/K-5538-2012</t>
  </si>
  <si>
    <t>Gairin, Emma/0000-0001-6898-8084; Mills, Suzanne/0000-0001-8948-3384; Bertucci, Frederic/0000-0002-2425-9362; Vidal, Manuel/0000-0002-8504-1500</t>
  </si>
  <si>
    <t>10.1016/j.anbehav.2023.09.013</t>
  </si>
  <si>
    <t>NOV 2023</t>
  </si>
  <si>
    <t>WOS:001113029100001</t>
  </si>
  <si>
    <t>Alonso-Alvarez, C; Pérez-Rodríguez, L; Mateo, R; Chastel, O; Viñuela,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</si>
  <si>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</si>
  <si>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</si>
  <si>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</si>
  <si>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Mateo, Rafael/A-3117-2011; Alonso-Alvarez, Carlos/M-6804-2014; Pérez-Rodríguez, Lorenzo/G-1811-2011</t>
  </si>
  <si>
    <t>Mateo, Rafael/0000-0003-1307-9152; Alonso-Alvarez, Carlos/0000-0002-4765-551X; Pérez-Rodríguez, Lorenzo/0000-0002-5926-1438; Vinuela, Javier/0000-0002-8916-0398</t>
  </si>
  <si>
    <t>10.1111/j.1420-9101.2008.01591.x</t>
  </si>
  <si>
    <t>WOS:000260108900032</t>
  </si>
  <si>
    <t>Stephenson, BP; Ramírez-Bautista,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</si>
  <si>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</si>
  <si>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</si>
  <si>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</si>
  <si>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</si>
  <si>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 P./0000-0001-5468-2439</t>
  </si>
  <si>
    <t>10.1007/s10682-011-9551-1</t>
  </si>
  <si>
    <t>WOS:000309869600001</t>
  </si>
  <si>
    <t>Crouch, CG; Benson, RH; Brennan, LA</t>
  </si>
  <si>
    <t>Crouch, Carter G.; Benson, Robert H.; Brennan, Leonard A.</t>
  </si>
  <si>
    <t>AMERICAN KESTREL NONBREEDING ROOST USE AND BEHAVIOR IN SOUTH TEXAS</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</si>
  <si>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</si>
  <si>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Crouch, Carter/CAA-2341-2022</t>
  </si>
  <si>
    <t>10.3356/JRR-17-66.1</t>
  </si>
  <si>
    <t>WOS:000441062500010</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</si>
  <si>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</si>
  <si>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</si>
  <si>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</si>
  <si>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</si>
  <si>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</si>
  <si>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Reiter, MK; Anthony, CD; Hickerson, CAM</t>
  </si>
  <si>
    <t>Reiter, Marcie K.; Anthony, Carl D.; Hickerson, Cari-Ann M.</t>
  </si>
  <si>
    <t>Territorial Behavior and Ecological Divergence in a Polymorphic Salamander</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</si>
  <si>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</si>
  <si>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10.1643/CE-13-154</t>
  </si>
  <si>
    <t>WOS:000348516300003</t>
  </si>
  <si>
    <t>Stang, AT; McRae, SB</t>
  </si>
  <si>
    <t>Stang, Alexandra T.; McRae, Susan B.</t>
  </si>
  <si>
    <t>Why some rails have white tails: the evolution of white undertail plumage and anti-predator signaling</t>
  </si>
  <si>
    <t>Conspicuous plumage patches have evolved in birds as conspecific signals for mate attraction and assessment, intersexual competition or to signal alarm. Signals may alternatively be directed at potential predators to discourage pursuit. Rails (Family Rallidae) are ground-dwelling birds, many of which inhabit wetlands, while others occur in forests and grasslands. They are renown for their secretive nature and the tendency to flick their tails when observed. This behavior is more conspicuous in species with white undertail coverts that contrast sharply with darker body plumage. Using species comparisons and controlling for phylogeny, we investigated four hypotheses for the evolution of white undertail coverts in rails. We found little support for the hypothesis that white tails are sexually selected: white tails were not more common in species with polygamous as opposed to monogamous mating systems, species with sexual dimorphism, nor species that display their tails in courtship. Nor did our results support the hypothesis that white tail plumage evolved for intersexual competition during territorial interactions. Instead, we found that species that flock for at least part of the year and species found in open as opposed to concealing habitats were significantly more likely to have white undertail coverts. Rail species inhabiting concealing habitats are less commonly gregarious and more likely selected for crypsis. Using phylogenetically-controlled statistical inference we found that adaptation to open wetland habitats significantly precedes the evolution of white undertails, whereas gregariousness likely evolved later in some lineages. The inferred order of trait evolution suggests that this plumage characteristic could have been selected primarily for enhancement of an anti-predator signal rather than a social signal for conspecifics.</t>
  </si>
  <si>
    <t>McRae, Susan/L-7273-2019</t>
  </si>
  <si>
    <t>McRae, Susan/0000-0003-3209-4710</t>
  </si>
  <si>
    <t>10.1007/s10682-008-9283-z</t>
  </si>
  <si>
    <t>WOS:000271949700009</t>
  </si>
  <si>
    <t>WINEGARNER, MS</t>
  </si>
  <si>
    <t>PUGMARKS AND THE BIOLOGY OF THE BOBCAT, LYNX-RUFUS</t>
  </si>
  <si>
    <t>The maternal behavior, dispersal of cubs and associations with an adult, male consort of a 7-yr-old female bobcat (L. r. floridanus) are described. Data are based on foot tracking and direct observations from June 1980 to Aug. 1981. Pugmarks were used to identify movements of individuals who were identified by facial patterns, size and color patterns. Cubs born in May 1980 (1 male, 1 female) received solid food at 8 wk nursed for 4 mo., and at 9 mo. dispersed to opposite ends of the home range. They left the area at 14 mo. when their mother traveled with another litter. Consorts shared a home range, and sometimes rested together away from cubs. The male traveled widely in the range and occasionally left it; the female moved within the boundaries. Methods of conspecific identification and communication included olfaction and vocalization.</t>
  </si>
  <si>
    <t>WOS:A1985ALJ2100004</t>
  </si>
  <si>
    <t>Preston, AC; Taylor, JF; Adams, CE; Migaud, H</t>
  </si>
  <si>
    <t>Preston, A. C.; Taylor, J. F.; Adams, C. E.; Migaud, H.</t>
  </si>
  <si>
    <t>Surface feeding and aggressive behaviour of diploid and triploid brown trout Salmo trutta during allopatric pair-wise matchings</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</si>
  <si>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</si>
  <si>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Taylor, John F/B-4643-2009; Migaud, Herve/C-5647-2009</t>
  </si>
  <si>
    <t>Taylor, John/0000-0003-4370-7922; Migaud, Herve/0000-0002-5404-7512</t>
  </si>
  <si>
    <t>10.1111/jfb.12478</t>
  </si>
  <si>
    <t>WOS:000340845500018</t>
  </si>
  <si>
    <t>GAUZER, ME</t>
  </si>
  <si>
    <t>GELOCHELIDON-NILOTICA (LARIDAE) ON THE ISLANDS OF THE KRASNOVODSK GULF .2. THE MECHANISMS OF EMBRYONAL AND JUVENILE MORTALITY</t>
  </si>
  <si>
    <t>ZOOLOGICHESKY ZHURNAL</t>
  </si>
  <si>
    <t>It has been found the embryonal mortality depends first of all on the behavioral stereotype of parents that discontinue hatching the last egg in the clutch and start nurturing their chicks. Mortality is higher in junior chicks than in elder ones. The prevailing causes of death are: traumas in exhausted chicks, aggressive actions of conspecific birds in relation to the normally developing chicks and exhaustion without traumas. The paper assumes that one of the mortality reasons is cannibalism. Seven possible mechanisms of the juvenile mortality are discussed: artificial restriction of distribution of broods, insufficient food basis, malnourishment chicks from their birth, asynchronous hatching, different coloring of chicks inside the brood, brood in the nest left parents, chicks leaving their nests. It has been proved that the last two mechanisms are the most probable causing death of chicks of exhaustion and traumas.</t>
  </si>
  <si>
    <t>0044-5134</t>
  </si>
  <si>
    <t>WOS:A1989U136200008</t>
  </si>
  <si>
    <t>Pike, TW</t>
  </si>
  <si>
    <t>Pike, Thomas W.</t>
  </si>
  <si>
    <t>Egg recognition in Japanese quail</t>
  </si>
  <si>
    <t>Egg recognition allows birds to reduce the costs of heterospecific or conspecific nest parasitism, by allowing them to reject foreign eggs or abandon parasitised clutches. However, the precise phenotypic characteristics of eggs that are recognised and compared are not well understood. Using Japanese quail (Coturnix japonica), which exhibit extremely high between-female and low within-female variation in egg colour, maculation patterns and shape, I show that females can learn to recognise the salient characteristics of eggs from a given clutch (not necessarily their own) and can use this learned template to discriminate against foreign eggs with a high probability when the eggs are phenotypically distinct. Specifically, female quail appear to use both maculation pattern and, to a lesser extent, egg shape to make these decisions. These findings are discussed with respect to cognitive mechanisms of egg recognition.</t>
  </si>
  <si>
    <t>10.3184/175815511X13228268534598</t>
  </si>
  <si>
    <t>WOS:000299488300008</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</si>
  <si>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</si>
  <si>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</si>
  <si>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</si>
  <si>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</si>
  <si>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t>
  </si>
  <si>
    <t>Maney, Donna L/0000-0002-1006-2358; Michopoulos, Vasiliki/0000-0003-2531-923X</t>
  </si>
  <si>
    <t>10.1642/0004-8038(2007)124[1330:AGATDP]2.0.CO;2</t>
  </si>
  <si>
    <t>WOS:000251446100017</t>
  </si>
  <si>
    <t>Sander, SE; Hall, DW</t>
  </si>
  <si>
    <t>Sander, S. E.; Hall, D. W.</t>
  </si>
  <si>
    <t>Variation in opsin genes correlates with signalling ecology in North American fireflies</t>
  </si>
  <si>
    <t>Genes underlying signal reception should evolve to maximize signal detection in a particular environment. In animals, opsins, the protein component of visual pigments, are predicted to evolve according to this expectation. Fireflies are known for their bioluminescent mating signals. The eyes of nocturnal species are expected to maximize the detection of conspecific signal colours emitted in the typical low-light environment. This is not expected for species that have transitioned to diurnal activity in bright daytime environments. Here, we test the hypothesis that opsin gene sequence plays a role in modifying firefly eye spectral sensitivity. We use genome and transcriptome sequencing in four firefly species, transcriptome sequencing in six additional species and targeted gene sequencing in 28 other species to identify all opsin genes present in North American fireflies and to elucidate amino acid sites under positive selection. We also determine whether amino acid substitutions in opsins are linked to evolutionary changes in signal mode, signal colour and light environment. We find only two opsins, one long wavelength and one ultraviolet, in all firefly species and identify 25 candidate sites that may be involved in determining spectral sensitivity. In addition, we find elevated rates of evolution at transitions to diurnal activity, and changes in selective constraint on long wavelength opsin associated with changes in light environment. Our results suggest that changes in eye spectral sensitivity are at least partially due to opsin sequence. Fireflies continue to be a promising system in which to investigate the evolution of signals, receptors and signalling environments.</t>
  </si>
  <si>
    <t>Lower, Sarah/IAQ-7395-2023</t>
  </si>
  <si>
    <t>Hall, David/0000-0001-7708-6656</t>
  </si>
  <si>
    <t>10.1111/mec.13346</t>
  </si>
  <si>
    <t>WOS:000361555900008</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</si>
  <si>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</si>
  <si>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</si>
  <si>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10.1007/s00265-003-0623-2</t>
  </si>
  <si>
    <t>WOS:000184754900003</t>
  </si>
  <si>
    <t>Meneses-Giorgi, MA; Cadena, CD</t>
  </si>
  <si>
    <t>Alejandra Meneses-Giorgi, Maria; Daniel Cadena, Carlos</t>
  </si>
  <si>
    <t>Plumage convergence resulting from social mimicry in birds? A tetrachromatic view</t>
  </si>
  <si>
    <t>Social mimicry may lead to convergent evolution when interactions with conspecific and heterospecific individuals drive evolution towards similar phenotypes in different species. Several social mimicry hypotheses accounting for convergence in communication signals exist. However, assessments of how similar species are given the visual system of signal receptors have been ostensibly missing from tests of such hypotheses. We used plumage reflectance measurements and models of avian colour discrimination to evaluate the efficacy of visual deception and the plausibility of mimicry hypotheses accounting for plumage convergence among six species of passerine birds in the flycatcher family (Tyrannidae) with strikingly similar plumage. We rejected the interspecific social dominance mimicry hypothesis as an explanation for the similarity between one putative model species and putative mimics because deception seems unlikely given their visual system. However, plumage similarity was consistent with a role for selective pressures exerted by predators because dorsal coloration of putative model and mimic species was indistinguishable by visually oriented raptors. Experiments and behavioural observations are necessary to better characterize social interactions and to test predictions of alternative mimicry hypotheses proposed to account for convergence. (c) 2021 The Association for the Study of Animal Behaviour. Published by Elsevier Ltd. All rights reserved.</t>
  </si>
  <si>
    <t>Cadena, Carlos Daniel/0000-0003-4530-2478</t>
  </si>
  <si>
    <t>10.1016/j.anbehav.2021.08.018</t>
  </si>
  <si>
    <t>WOS:000707744600009</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</si>
  <si>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</si>
  <si>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</si>
  <si>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</si>
  <si>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</si>
  <si>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</si>
  <si>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Mather, JA; Mather, DL</t>
  </si>
  <si>
    <t>Apparent movement in a visual display: the 'passing cloud' of Octopus cyanea (Mollusca: Cephalopoda)</t>
  </si>
  <si>
    <t>The tremendous capacity of the chromatophore system in cephalopod skin to change its colour across space and time has allowed these animals to produce complex visual displays to conspecific and heterospecific targets, including the aptly-named 'passing cloud'. This display has been suggested as an interspecies communication, but it has not been investigated in detail. Octopus cyanea produced dark passing clouds during hunting of crab prey, typically after a web-over capture attempt. Clouds moved not randomly but forward along the mantle, over the head and down the outstretched arm web, and were often accompanied by white margins that enhanced their appearance by intensity contrast. This visual display is presumed to be a startle attempt, producing apparent movement by selective sequential chromatophore expansion to induce a crab to move without the drawback of motion by the octopus itself.</t>
  </si>
  <si>
    <t>10.1017/S0952836904004911</t>
  </si>
  <si>
    <t>WOS:000221567900009</t>
  </si>
  <si>
    <t>Trapp, R; Fernandez-Juricic, E</t>
  </si>
  <si>
    <t>Trapp, Rebecca; Fernandez-Juricic, Esteban</t>
  </si>
  <si>
    <t>How visual system configuration can play a role in individual recognition: a visual modeling study</t>
  </si>
  <si>
    <t>Many species rely on individual recognition (i.e., the use of individual signals to identify and remember a conspecific) to tune their social interactions. However, little is known about how the configuration of the sensory system may affect the perception of individual recognition signals over space. Utilizing a visual modeling approach, we quantified (1) the threshold distance between the receiver and the signaler at which individual recognition can no longer accurately occur, and (2) the regions of the head most likely to contain the individual recognition signals. We used chickens (Gallus gallus) as our study species, as they use visual individual recognition and additionally have a well-studied visual system. We took pictures of different individuals and followed a visual modeling approach considering color vision, visual acuity, and pattern processing of the receiver. We found that distance degrades the quality of information in potential individual recognition signals. We estimated that the neighbor distance at which a receiver may have difficulty recognizing a conspecific was between 0.25 and 0.30 m in chickens, which may be related to a decrease in available features of the potential signal. This signal perception threshold closely matches the recognition distance predicted by previous behavioral approaches. Additionally, we found that certain regions of the head (beak, cheek, comb, eye) may be good candidates for individual recognition signals. Overall, our findings support that recognition in chickens occurs at short distances due to constraints imposed by their visual system, which can affect the costs and benefits associated with social spacing in groups.</t>
  </si>
  <si>
    <t>Trapp, Rebecca/0000-0002-7052-0058</t>
  </si>
  <si>
    <t>10.1007/s10071-021-01548-7</t>
  </si>
  <si>
    <t>WOS:000684460500001</t>
  </si>
  <si>
    <t>Maeno, K; Tanaka, S</t>
  </si>
  <si>
    <t>Maeno, Koutaro; Tanaka, Seiji</t>
  </si>
  <si>
    <t>Adult female desert locusts require contact chemicals and light for progeny gregarization</t>
  </si>
  <si>
    <t>Crowding causes many organisms to express phenotypic plasticity in various traits. Phase polyphenism in desert locusts represents one extreme example in which a solitary form (solitarious phase) turns into a gregarious form (gregarious phase) in response to crowding. Conspicuous differences in body size and colour occur even in hatchlings. The phase-specific differences in hatchling characteristics are caused by the tactile stimuli perceived by the antennae of their mother. However, the nature of the tactile stimuli and the mechanism by which the perceived stimuli are processed as a gregarizing signal remain unknown. To explore this problem, the antennae of solitarious adult females of the desert locust Schistocerca gregaria are touched with the bodies of conspecific locusts at different physiological stages and those of other species. The results suggest that a cuticular chemical factor at a specific developmental stage of conspecific locusts causes the solitarious females to produce large eggs that give rise to black hatchlings characteristic of gregarious forms (progeny gregarization), and that this or a similar compound occurs in other acridids, crickets and cockroaches but not in beetles. The involvement of a chemical substance is also supported by hexane extracts of cuticular surfaces of locusts that induce the same effects. Interestingly, crowding induces such gregarizing effects only when the female receives the appropriate stimulus in the presence of light. Solitarious female S. gregaria with their head capsule coated with phosphorescent paint exhibit progeny gregarization in response to crowding and light pulses in darkness, whereas those treated in the same way without light pulses fail to do so.</t>
  </si>
  <si>
    <t>Maeno, Koutaro Ould/0000-0001-8869-9642</t>
  </si>
  <si>
    <t>10.1111/j.1365-3032.2011.00812.x</t>
  </si>
  <si>
    <t>WOS:000304091500002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</si>
  <si>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</si>
  <si>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</si>
  <si>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</si>
  <si>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</si>
  <si>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Jean-François/E-8702-2011; sandrine, MEYLAN/AAD-3073-2020; Gomez, Doris/ABA-6361-2021; meylan, sandrine/JSL-2480-2023</t>
  </si>
  <si>
    <t>Le Galliard, Jean-François/0000-0002-5965-9868; sandrine, MEYLAN/0000-0002-0865-3335; Gomez, Doris/0000-0002-9144-3426;</t>
  </si>
  <si>
    <t>10.1111/bij.12104</t>
  </si>
  <si>
    <t>WOS:000323040200010</t>
  </si>
  <si>
    <t>Kaarthigeyan, J; Dharmaretnam, M</t>
  </si>
  <si>
    <t>Relative levels of motivation and asymmetries of viewing and detour task in guppies (Poecilia reticulata)</t>
  </si>
  <si>
    <t>Cerebral lateralisation once thought to be confined to humans has been reported for a range of vertebrate species now. We report here biases in visual perceptual processing in a teleost fish. Female guppy fish used the right eye preferentially to view a familiar stimulus. This bias reversed on being presented with a strange female guppy, the left eye being used more to view it. This pattern of viewing is probably associated with the right eye system. which is used to view a Stimulus with an intention to approach it. The increase in the left eye use, to view a stranger may be associated with the role of the left eye in comparing the features of a strange conspecific. In the second experiment, lateralisation of viewing Visual stimuli that could evoke different levels of motivation to biologically relevant stimuli was tested. It is known that female guppies prefer to approach orange Coloured males. Lateralisation of detour response as well as eye use after detour to view a dull or an orange male stimulus was recorded in deprived female fish. There was a bias to detour to the left side; which was more significant for the orange than the dull male. Once the female guppies detoured the cage they preferentially used the left eye to view the male conspecific; this being significant for the deeply orange male. Thus, colouration of males evoking different levels motivation can be used to measure lateralisation guppies. (c) 2004 Elsevier B.V. All rights reserved.</t>
  </si>
  <si>
    <t>Dharmaretnam, Meena/0000-0002-0268-6064</t>
  </si>
  <si>
    <t>10.1016/j.bbr.2004.09.024</t>
  </si>
  <si>
    <t>WOS:000228509700005</t>
  </si>
  <si>
    <t>Bano, F; Kashyap, A; Serajuddin, M</t>
  </si>
  <si>
    <t>Bano, F.; Kashyap, A.; Serajuddin, M.</t>
  </si>
  <si>
    <t>Effects of different dietary supplementation of plant carotenoids on growth, coloration and behaviour of giant gourami, Trichogaster fasciata (Bloch and Schneider, 1801)</t>
  </si>
  <si>
    <t>IRANIAN JOURNAL OF FISHERIES SCIENCES</t>
  </si>
  <si>
    <t>Effects of different dietary supplements of plant carotenoid sources on growth, coloration and behavioural activities of Trichogaster fasciata were carried out. Three groups of fish were fed with petal powder of rose (Rosa chinensis), China rose (Hibiscus rosasinensis) and marigold (Tagetes erecta) separately as carotenoid source along with the same basic ingredients for 90 days. The mean final weight of marigold petal powder fed group was significantly different (p&lt;0.05) from other groups after 90 days of the experiment. The absolute growth rate, relative growth rate, weight gain percent and specific growth rate were highest in the group of fish fed with marigold petal powder while feed conversion ratio was lowest in this group. Carotenoid content in the tissue of different groups of the fish was found to be significantly different (p&lt;0.0001). Marigold petal powder was most effective to enhance the pigmentation and coloration in the different color zones (color of eye and opercular ocellus, jugular darkening, anal, ventral and dorsal fin color etc.) of the skin of T. fasciata. Pigmentation affected the behavioural activities of the fish where male aggression and selection of males by females was high in the group fed with marigold petal powder. No significant difference was observed in the social interactions and habitat preference.</t>
  </si>
  <si>
    <t>1562-2916</t>
  </si>
  <si>
    <t>10.22092/ijfs.2020.122739</t>
  </si>
  <si>
    <t>WOS:000600344000002</t>
  </si>
  <si>
    <t>Latham, ADM; Poulin, R</t>
  </si>
  <si>
    <t>Effect of acanthocephalan parasites on the behaviour and coloration of the mud crab Macrophthalmus hirtipes (Brachyura: Ocypodidae)</t>
  </si>
  <si>
    <t>In the field, the numbers of cystacanths of the parasitic acanthocephalan Profilicollis spp. harboured by crabs are relatively high and correlate with carapace width. In a field experiment, the responses of crabs to the simulated approach of a bird predator (the parasite's definitive host) was not influenced by the number of acanthocephalans they harboured. Crabs that were exposed at the surface of the sediments during receding high tide, however, tended to harbour more parasites than nearby crabs hidden in burrows. An analysis of colour patterns on the carapace of crabs showed that infection levels did not influence carapace pigmentation, and thus did not affect the conspicuousness of a crab relative to the background environment. However, the likelihood of a mate crab winning a ritualized fight against a conspecific in the field was associated with its infection level, but in a way that suggests that this finding is a consequence of pathology rather than an adaptation of the parasite to increase its transmission rate. Although only weak evidence was found indicating that Profilicollis manipulates the behaviour or colour of its host to its own benefit, the high infection levels observed suggest that the crab population acts as a major reservoir for larval stages of this parasite that are infective to birds.</t>
  </si>
  <si>
    <t>Poulin, Robert/GQO-8936-2022; Poulin, Robert/C-3117-2008</t>
  </si>
  <si>
    <t>Poulin, Robert/0000-0003-1390-1206; Poulin, Robert/0000-0003-1390-1206</t>
  </si>
  <si>
    <t>WOS:000173168700014</t>
  </si>
  <si>
    <t>Moura, PA; Cardoso, MZ; Montgomery, SH</t>
  </si>
  <si>
    <t>Moura, Priscila A.; Cardoso, Marcio Z.; Montgomery, Stephen H.</t>
  </si>
  <si>
    <t>No evidence of social learning in a socially roosting butterfly in an associative learning task</t>
  </si>
  <si>
    <t>Insects may acquire social information by active communication and through inadvertent social cues. In a foraging setting, the latter may indicate the presence and quality of resources. Although social learning in foraging contexts is prevalent in eusocial species, this behaviour has been hypothesized to also exist between conspecifics in non-social species with sophisticated behaviours, including Heliconius butterflies. Heliconius are the only butterfly genus with active pollen feeding, a dietary innovation associated with a specialized, spatially faithful foraging behaviour known as trap-lining. Long-standing hypotheses suggest that Heliconius may acquire trap-line information by following experienced individuals. Indeed, Heliconius often aggregate in social roosts, which could act as 'information centres', and present conspecific following behaviour, enhancing opportunities for social learning. Here, we provide a direct test of social learning ability in Heliconius using an associative learning task in which naive individuals completed a colour preference test in the presence of demonstrators trained to feed randomly or with a strong colour preference. We found no evidence that Heliconius erato, which roost socially, used social information in this task. Combined with existing field studies, our results add to data which contradict the hypothesized role of social learning in Heliconius foraging behaviour.</t>
  </si>
  <si>
    <t>Albuquerque de Moura, Priscila/0000-0002-3338-515X</t>
  </si>
  <si>
    <t>10.1098/rsbl.2022.0490</t>
  </si>
  <si>
    <t>WOS:000988392000001</t>
  </si>
  <si>
    <t>Martins, EP; Ossip-Drahos, AG; García, CV; Zúñiga-Vega, JJ; Campos, SM; Hews, DK</t>
  </si>
  <si>
    <t>Martins, Emilia P.; Ossip-Drahos, Alison G.; Vital Garcia, Cuauhcihuatl; Jaime Zuniga-Vega, J.; Campos, Stephanie M.; Hews, Diana K.</t>
  </si>
  <si>
    <t>Trade-offs between visual and chemical behavioral responses</t>
  </si>
  <si>
    <t>Multiple and multimodal signals can evolve because they convey different information to different receivers or in different contexts. From the perspective of display receivers, however, multimodal signals may pose a challenge since evolutionary changes in any one aspect of the signal may require shifts in other aspects of receiver physiology and behavior. Here, we use field experiments with four species of Sceloporus lizards to test whether evolutionary loss of one element of a complex signal (a colorful belly patch) has led to a change in the behavioral response to a live conspecific. Instead, we found that males of three species (S. merriami, cozumelae, and siniferus) responded to the live conspecific with increased visual and decreased chemical behavior, supporting a Sensory Isolation hypothesis in which animals minimize interference by isolating a single sensory modality, for example, closing eyes to pay closer attention to a sound or smell. In an exception that offers additional support, males of the fourth species, S. parvus, also showed a trade-off in their response, but responded to the live stimulus with more chemical and less visual behavior. We found little evidence that lizards that have lost production of one signal element (belly color) have also altered their response behavior as a consequence. These results emphasize the potentially important role of receiver response in maintaining complex and multimodal signals.Significance statementAnimals use all of their sensory systems to communicate with each other, but using more than one sense at a time can be a challenge. Here, we presented male lizards in the field to a tethered intruder to ask whether lizards that have lost one element of the signal (a color patch) over evolutionary time have also evolved their response to communicative signals. Instead, we found that males of three species responded primarily with visual behavior and decreased their use of chemical behavior, as if focusing their attention entirely on the visual sensory modality. Males of the fourth species responded primarily with chemical behavior, and decreased their use of visual behavior. These results suggest that there may be mechanical constraints limiting communication signals that make use of more than one sensory system.</t>
  </si>
  <si>
    <t>Zúñiga-Vega, J. Jaime/B-9423-2013; Vital, Cuau/AAQ-8145-2020</t>
  </si>
  <si>
    <t>Zúñiga-Vega, J. Jaime/0000-0002-9661-1521; Hews, Diana/0000-0002-2252-6711; Martins, Emilia/0000-0002-8952-3240</t>
  </si>
  <si>
    <t>10.1007/s00265-018-2617-0</t>
  </si>
  <si>
    <t>WOS:000451753200001</t>
  </si>
  <si>
    <t>Kanapeckas, KL; Tseng, TM; Vigueira, CC; Ortiz, A; Bridges, WC; Burgos, NR; Fischer, AJ; Lawton-Rauh, A</t>
  </si>
  <si>
    <t>Kanapeckas, Kimberly L.; Tseng, Te-Ming; Vigueira, Cynthia C.; Ortiz, Aida; Bridges, William C.; Burgos, Nilda R.; Fischer, Albert J.; Lawton-Rauh, Amy</t>
  </si>
  <si>
    <t>Contrasting patterns of variation in weedy traits and unique crop features in divergent populations of US weedy rice (Oryza sativa sp.) in Arkansas and California</t>
  </si>
  <si>
    <t>PEST MANAGEMENT SCIENCE</t>
  </si>
  <si>
    <t>BACKGROUNDWeed evolution from crops involves changes in key traits, but it is unclear how genetic and phenotypic variation contribute to weed diversification and productivity. Weedy rice is a conspecific weed of rice (Oryza sativa) worldwide. We used principal component analysis and hierarchical clustering to understand how morphologically and evolutionarily distinct US weedy rice populations persist in rice fields in different locations under contrasting management regimes. Further, we used a representative subset of 15 sequence-tagged site fragments of expressed genes from global Oryza to assess genome-wide sequence variation among populations. RESULTSCrop hull color and crop-overlapping maturity dates plus awns, seed (panicle) shattering (&gt; 50%), pigmented pericarp and stature variation (30.2% of total phenotypic variance) characterize genetically less diverse California weedy rice. By contrast, wild-like hull color, seed shattering (&gt; 50%) and stature differences (55.8% of total phenotypic variance) typify genetically diverse weedy rice ecotypes in Arkansas. CONCLUSIONRecent de-domestication of weedy species-such as in California weedy rice-can involve trait combinations indistinguishable from the crop. This underscores the need for strict seed certification with genetic monitoring and proactive field inspection to prevent proliferation of weedy plant types. In established populations, tillage practice may affect weed diversity and persistence over time. (c) 2017 Society of Chemical Industry</t>
  </si>
  <si>
    <t>Tseng, Te-Ming/AAJ-5860-2021; Métris, Kimberly/HZJ-0644-2023</t>
  </si>
  <si>
    <t>Métris, Kimberly/0000-0002-8336-5827; Lawton-Rauh, Amy/0000-0003-4610-7367; Tseng, Te-Ming Paul/0000-0002-8102-8149</t>
  </si>
  <si>
    <t>1526-498X</t>
  </si>
  <si>
    <t>1526-4998</t>
  </si>
  <si>
    <t>10.1002/ps.4820</t>
  </si>
  <si>
    <t>WOS:000431670200022</t>
  </si>
  <si>
    <t>Ramanzini, GC; Volpato, GL; Visconti, MA</t>
  </si>
  <si>
    <t>Ramanzini, Guilherme Correa; Volpato, Gilson Luiz; Visconti, Maria Aparecida</t>
  </si>
  <si>
    <t>Does MCH play a role on establishment or maintenance of social hierarchy in Nile tilapia?</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</si>
  <si>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</si>
  <si>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Volpato, Gilson L/B-2304-2008; MA, Visconti/H-7123-2013</t>
  </si>
  <si>
    <t>MA, Visconti/0000-0001-8703-5238</t>
  </si>
  <si>
    <t>10.1016/j.physbeh.2017.10.016</t>
  </si>
  <si>
    <t>WOS:000417009800005</t>
  </si>
  <si>
    <t>Kidd, MR; Danley, PD; Kocher, TD</t>
  </si>
  <si>
    <t>A direct assay of female choice in cichlids: all the eggs in one basket</t>
  </si>
  <si>
    <t>A novel testing apparatus is presented which affords the researcher maximum control over the testing environment, but allows for the scoring of actual spawning events. Female Metriaclima zebra and Metriaclima benetos chose the appropriate conspecific mate in every mating trial performed. This apparatus provides support for a critical assumption of many cichlid speciation models: that female cichlids use visual cues to recognize conspecifics. These results demonstrate that females are able to identify conspecific mates using only visual cues, and provide further support for the importance of sexual selection in the speciation of these fishes.</t>
  </si>
  <si>
    <t>Kocher, Thomas D/B-3089-2013</t>
  </si>
  <si>
    <t>Danley, Patrick/0000-0001-8782-5045</t>
  </si>
  <si>
    <t>10.1111/j.0022-1112.2006.00896.x</t>
  </si>
  <si>
    <t>WOS:000235469400003</t>
  </si>
  <si>
    <t>Bezdek, J</t>
  </si>
  <si>
    <t>Bezdek, Jan</t>
  </si>
  <si>
    <t>A REVIEW OF PALAEARCTIC SCELOLYPERUS (COLEOPTERA: CBRYSOMELIDAE: GALERUCINAE), WITH DESCRIPTION OF S-PERREUS SP NOV FROM TURKEY</t>
  </si>
  <si>
    <t>ANNALES ZOOLOGICI</t>
  </si>
  <si>
    <t>Palaearctic species of the genus Scelolyperus Crotch, 1974 (Coleoptera: Chrysomelidae) are reviewed. Scelolyperus perreus sp. nov. from Turkey is described, illustrated and compared with Palaearctic species. Scelolyperus altaicus ssp. eous (Ogloblin, 1936) is elevated to species rank. Four taxa classified or associated with Scelolyperus are transferred elsewhere: Luperus pseudoaltaicus Medvedev, 1975 and Scelolyperus napolovi Medvedev, 2012 are transferred to Euluperus Weise, 1886; Adimonia glabra Fischer von Waldheim, 1842 is not conspecific with Scelolyperus sericeus (Jacobson, 1894) but belongs to the genus Agelastica Chevrolat, 1836 and A. alni orientalis Baly, 1878 is proposed as its new synonym; forgotten Eugalera seminigra Pic, 1903 is tentatively transferred to Luperus Geoffroy, 1762. The lectotypes are designated for Luperus altaicus ssp. eous and Adimonia glabra. Colour photo of habitus and both male and female genitalia are provided for all Palaearctic Scelolyperus species. Preliminary diagnostic table for Palaearctic Luperus-like genera is presented.</t>
  </si>
  <si>
    <t>Bezdek, Jan/J-3548-2018</t>
  </si>
  <si>
    <t>Bezdek, Jan/0000-0003-4358-7211</t>
  </si>
  <si>
    <t>0003-4541</t>
  </si>
  <si>
    <t>1734-1833</t>
  </si>
  <si>
    <t>10.3161/00034541ANZ2015.65.1.003</t>
  </si>
  <si>
    <t>WOS:000353527500003</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</si>
  <si>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</si>
  <si>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</si>
  <si>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</si>
  <si>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</si>
  <si>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Jones, John Anthony/0000-0003-2615-1248; Bakermans, Marja/0000-0002-4879-7771</t>
  </si>
  <si>
    <t>WOS:000430954100023</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</si>
  <si>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</si>
  <si>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</si>
  <si>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</si>
  <si>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</si>
  <si>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</si>
  <si>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</si>
  <si>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Chung, KC; Woo, NYS</t>
  </si>
  <si>
    <t>Phylogenetic relationships of the Pomacanthidae (Pisces: Teleostei) inferred from allozyme variation</t>
  </si>
  <si>
    <t>Phylogenetic relationships of 31 pomacanthid species representing all genera were investigated by horizontal starch gel electrophoresis. Nei's genetic distances (D) were calculated and dendrograms constructed from allozyme variation in 23 loci. The average D value was 0.03 between conspecific colour variants, 0.40 between congeneric subgenera, and 1.27 between confamilial genera. From the dendrograms the following were revealed: (1) the generic status of Apolemichthys arcuatus and Holacanthus venustus, as well as the generic and subgeneric status of Centropyge multifasciata were confirmed; (2) the subgeneric status of Xiphypops was confirmed; (3) Pygoplites diacanthus was found to be closely related to members of the subgenus Pomacanthus; (4) Pomacanthus zonipectus was found to be biochemically distinct from its con-subgeners; (5) the genera Pomacanthus and Holacanthus are more closely related than currently thought; (6) the Genicanthus species might warrant a subfamily of their own.</t>
  </si>
  <si>
    <t>10.1111/j.1469-7998.1998.tb00150.x</t>
  </si>
  <si>
    <t>WOS:000077191700010</t>
  </si>
  <si>
    <t>Bertani, R; Leal, F</t>
  </si>
  <si>
    <t>Bertani, Rogerio; Leal, Fernando</t>
  </si>
  <si>
    <t>A new species of Pterinopelma (Araneae: Theraphosidae) from the highlands of the state of Minas Gerais, Brazil and description of the male of P. sazimai</t>
  </si>
  <si>
    <t>ZOOLOGIA</t>
  </si>
  <si>
    <t>We describe a new species of tarantula from the highlands of the state of Minas Gerais, Brazil. Males of the new species can be distinguished from congeners by having palpal bulb keels weakly developed, and metatarsus I strongly curved, touching apex of retrolateral spur when folded. Females can be distinguished by the color pattern, carapace and legs black with conspicuous white rings on distal femora, patellae, tibiae, and metatarsi. The male of Pterinopelma felipeleitei sp. nov. was previously misidentified and described under the name Pterinopelma sazimai Bertani, Nagahama &amp; Fukushima, 2011. The true male of P. sazimai is herein described from a specimen collected near the type locality. Similar to the conspecific female, this male has characteristic blue iridescent setae covering the carapace, chelicerae, legs, and palps. The new species is sympatric with P. sazimai. Both species inhabit a habitat locally known as 'campos rupestres'.</t>
  </si>
  <si>
    <t>1984-4670</t>
  </si>
  <si>
    <t>e20150190</t>
  </si>
  <si>
    <t>10.1590/S1984-4689zool-20150190</t>
  </si>
  <si>
    <t>WOS:000376449900006</t>
  </si>
  <si>
    <t>White, WT; Last, PR; Baje, L</t>
  </si>
  <si>
    <t>White, William T.; Last, Peter R.; Baje, Leontine</t>
  </si>
  <si>
    <t>Aetomylaeus caeruleofasciatus, a new species of eagle ray (Myliobatiformes: Myliobatidae) from northern Australia and New Guinea</t>
  </si>
  <si>
    <t>A new species of eagle ray, Aetomylaeus caeruleofasciatus sp. nov., is described based on specimens collected in northern Australia and southern Papua New Guinea. The new species is very closely related to Aetomylaeus nichofii and was previously considered to be conspecific with this species. The new species and A. nichofii differ from their congeners in having a dorsal pattern of seven or eight transverse pale blue bands. As with other eagle ray species, morphological characteristics which distinguish the closely related species were largely obscured by intraspecific variation. The clearest morphological differences were apparent when comparing adult males to adult males and adult females to adult females, e.g. disc longer in adult female A. caeruleofasciatus compared to adult female A. nichofii. The two species also differ in the number of pelvic radials in both females and males and show subtle colour differences. A neotype is also allocated for A. nichofii.</t>
  </si>
  <si>
    <t>Last, Peter R/B-9740-2009; White, William/B-9748-2009</t>
  </si>
  <si>
    <t>White, William/0000-0001-9705-2453</t>
  </si>
  <si>
    <t>10.1007/s10228-015-0480-9</t>
  </si>
  <si>
    <t>WOS:000367602100010</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</si>
  <si>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</si>
  <si>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</si>
  <si>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</si>
  <si>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</si>
  <si>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Chakrabarty, Prosanta/E-3307-2010; Hofmann, Hans A/E-4538-2016; Hendrickson, Dean A./G-9451-2018</t>
  </si>
  <si>
    <t>Hendrickson, Dean A./0000-0001-7835-0295</t>
  </si>
  <si>
    <t>10.1007/s10750-014-2081-4</t>
  </si>
  <si>
    <t>WOS:000349968000016</t>
  </si>
  <si>
    <t>SIEGELCAUSEY, D</t>
  </si>
  <si>
    <t>THE COURTSHIP BEHAVIOR AND MIXED-SPECIES PAIRING OF KING AND IMPERIAL BLUE-EYED SHAGS (PHALACROCORAX-ALBIVENTER AND PHALACROCORAX-ATRICEPS)</t>
  </si>
  <si>
    <t>I compared the courtship behavior of King and Imperial Blue-eyed shags (Phalacrocorax albiventer and P. atriceps) for similarity and assessed their potential as a behavioral isolating mechanism between the two species. I could detect no differences in form or sequence of behavioral patterns, although there were some minor distinctions between forms. Observations were made near the end of the breeding season and may represent only the postbreeding behavior. I describe several new displays for King and Imperial shags, and contrast them with those known for the closely-related Antarctic Blue-eyed Shags (P. atriceps bransfieldensis). The courtship behavior of mixed-species pairs was nearly identical to conspecific pairs, and was difficult to distinguish. The observations do not support the existence of behavioral isolation between King and Imperial shags, but do support the contention that King Shags in Patagonia are color morphs of Imperial Blue-eyed Shags.</t>
  </si>
  <si>
    <t>WOS:A1986F283900007</t>
  </si>
  <si>
    <t>White, TE; Locke, A; Latty, T</t>
  </si>
  <si>
    <t>White, Thomas E.; Locke, Amy; Latty, Tanya</t>
  </si>
  <si>
    <t>Heightened condition dependent expression of structural coloration in the faces, but not wings, of male and female flies</t>
  </si>
  <si>
    <t>Structurally colored sexual signals are a conspicuous and widespread class of ornament used in mate choice, though the extent to which they encode information on the quality of their bearers is not fully resolved. Theory predicts that signaling traits under strong sexual selection as honest indicators should evolve to be more developmentally integrated and exaggerated than nonsexual traits, thereby leading to heightened condition dependence. Here, we test this prediction through examination of the sexually dimorphic faces and wings of the cursorial fly Lispe cana. Males and females possess structural UV-white and golden faces, respectively, and males present their faces and wings to females during close-range, ground-based courtship displays, thereby creating the opportunity for mutual inspection. Across a field-collected sample of individuals, we found that the appearance of the faces of both sexes scaled positively with individual condition, though along separate axes. Males in better condition expressed brighter faces as modeled according to conspecific flies, whereas condition scaled with facial saturation in females. We found no such relationships for their wing interference pattern nor abdomens, with the latter included as a nonsexual control. Our results suggest that the structurally colored faces, but not the iridescent wings, of male and female L. cana are reliable guides to individual quality and support the broader potential for structural colors as honest signals. They also highlight the potential for mutual mate choice in this system, while arguing for 1 of several alternate signaling roles for wing interferences patterns among the myriad taxa which bear them.</t>
  </si>
  <si>
    <t>OCT 28</t>
  </si>
  <si>
    <t>10.1093/cz/zoab087</t>
  </si>
  <si>
    <t>WOS:000789358100001</t>
  </si>
  <si>
    <t>Cleaver, RM; Konings, AE; Stauffer, JR</t>
  </si>
  <si>
    <t>Cleaver, Rachel M.; Konings, Adrianus E.; Stauffer, Jay R., Jr.</t>
  </si>
  <si>
    <t>Two new cave-dwelling cichlids of Lake Malawi, Africa</t>
  </si>
  <si>
    <t>ICHTHYOLOGICAL EXPLORATION OF FRESHWATERS</t>
  </si>
  <si>
    <t>Six different populations of the Lake Mala vi cave-dweller Otopharynx lithobates, each of them distinguished by differences in the male breeding coloration, were examined. We found that morphometric and meristic data of all Populations overlap, and that no significant differences could be found to distinguish them. Morphological data of Otopharynx walteri were completely within the range of O. lithobates and we regard them as conspecific. Two other cave-dwelling cichlids are described: Otopharynx spelaeotes, new species, and Otopharynx antron, new species. No geographical variation in the males' breeding colors of these species was observed. Otopharynx antron is described from a 20 kin stretch of the eastern shore of the lake. It is sympatric with O. spelaeotes, but seems to have a more predatory feeding regime. Stigmatochromis modestus, another cave-dwelling species, and Stigmatochromis pleurospilus are compared to the three cave-dwelling members of Otopharynx.</t>
  </si>
  <si>
    <t>0936-9902</t>
  </si>
  <si>
    <t>WOS:000269324600006</t>
  </si>
  <si>
    <t>Johnson, CB; Quah, SHE; Anuar, S; Muin, MA; Wood, PL; Grismer, JL; Greer, LF; Onn, CK; Ahmad, N; Bauer, AM; Grismer, LL</t>
  </si>
  <si>
    <t>Johnson, Chelsea B.; Quah, Evan S. H.; Anuar, Shahrul; Muin, M. A.; Wood, Perry L., Jr.; Grismer, Jesse L.; Greer, Lee F.; Onn, Chan Kin; Ahmad, Norhayati; Bauer, Aaron M.; Grismer, L. Lee</t>
  </si>
  <si>
    <t>Phylogeography, geographic variation, and taxonomy of the Bent-toed Gecko Cyrtodactylus quadrivirgatus Taylor, 1962 from Peninsular Malaysia with the description of a new swamp dwelling species</t>
  </si>
  <si>
    <t>A review of the taxonomic status of the Bent-toed Gecko Cyrtodactylus quadrivirgatus Taylor, 1962 based on a molecular phylogeny, scalation, and color pattern analyses indicate that it is composed of a single, recently expanding, widespread population with weakly supported phylogeographic substructuring with no discrete morphological differentiation between populations. However, based on sampling, significant mean differences in selected scale counts occur between some populations. The molecular phylogeny and morphological analysis strongly indicate lineage independence between a subset of individuals from the Bukit Panchor, Penang population and their closest relative C. pantiensis Grismer, Chan, Grismer, Wood &amp; Belabut, 2008 from southern Peninsular Malaysia. Furthermore, the analyses indicate that the individuals of this subset are conspecific and not part of C. quadrivirgatus as previously suggested. Additionally, this subset is morphologically distinct from all other Sundaland species of Cyrtodactylus, and as such is described herein as Cyrtodactylus payacola sp. nov.</t>
  </si>
  <si>
    <t>SAH, SHAHRUL ANUAR MOHD/S-1244-2018; Akil, Mohd Abdul Muin Md./C-6886-2009; Onn, Chan Kin/AAH-1021-2020; SAH, SHAHRUL ANUAR MOHD/B-9370-2011; Quah, Evan/Z-4053-2019; Wood, Perry/ABA-3954-2020; Ahmad, Norhayati/Q-2806-2019</t>
  </si>
  <si>
    <t>SAH, SHAHRUL ANUAR MOHD/0000-0003-0648-7318; Onn, Chan Kin/0000-0001-6270-0983; Quah, Evan/0000-0002-5357-1953; Wood, Perry/0000-0003-3767-5274; Ahmad, Norhayati/0000-0003-3215-2968</t>
  </si>
  <si>
    <t>WOS:000306952500003</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</si>
  <si>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</si>
  <si>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</si>
  <si>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</si>
  <si>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</si>
  <si>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</si>
  <si>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Lois-Milevicich, J; Kacelnik, A; Reboreda, JC</t>
  </si>
  <si>
    <t>Lois-Milevicich, Jimena; Kacelnik, Alex; Reboreda, Juan Carlos</t>
  </si>
  <si>
    <t>Sex differences in the use of spatial cues in two avian brood parasites</t>
  </si>
  <si>
    <t>Shiny and screaming cowbirds are avian interspecific brood parasites that locate and prospect host nests in daylight and return from one to several days later to lay an egg during the pre-dawn twilight. Thus, during nest location and prospecting, both location information and visual features are available, but the latter become less salient in the low-light conditions when the nests are visited for laying. This raises the question of how these different sources of information interact, and whether this reflects different behavioural specializations across sexes. Differences are expected, because in shiny cowbirds, females act alone, but in screaming cowbirds, both sexes make exploratory and laying nest visits together. We trained females and males of shiny and screaming cowbird to locate a food source signalled by both colour and position (cues associated), and evaluated performance after displacing the colour cue to make it misleading (cues dissociated). There were no sex or species differences in acquisition performance while the cues were associated. When the colour cue was relocated, individuals of both sexes and species located the food source making fewer visits to non-baited wells than expected by chance, indicating that they all retained the position as an informative cue. In this phase, however, shiny cowbird females, but not screaming, outperformed conspecific males, visiting fewer non-baited wells before finding the food location and making straighter paths in the search. These results are consistent with a greater reliance on spatial memory, as expected from the shiny cowbird female's specialization on nest location behaviour.</t>
  </si>
  <si>
    <t>Reboreda, Juan Carlos/HZI-8689-2023; Reboreda, Juan C/E-5548-2012</t>
  </si>
  <si>
    <t>Lois-Milevicich, Jimena/0000-0003-0558-4415; Reboreda, Juan Carlos/0000-0001-5136-4574</t>
  </si>
  <si>
    <t>10.1007/s10071-020-01434-8</t>
  </si>
  <si>
    <t>WOS:000573200000001</t>
  </si>
  <si>
    <t>Agrawal, S; Dickinson, MH</t>
  </si>
  <si>
    <t>Agrawal, Sweta; Dickinson, Michael H.</t>
  </si>
  <si>
    <t>The effects of target contrast on Drosophila courtship</t>
  </si>
  <si>
    <t>Many animals use visual cues such as object shape, color and motion to detect and pursue conspecific mates. Contrast is another possibly informative visual cue, but has not been studied in great detail. In this study, we presented male Drosophila melanogaster with small, flysized, moving objects painted either black, white or gray to test whether they use contrast cues to identify mates. We found that males frequently chased gray objects and rarely chased white or black objects. Although males started chasing black objects as often as gray objects, the resulting chases were much shorter. To test whether the attraction to gray objects was mediated via contrast, we fabricated black and gray behavioral chambers. However, wild-type males almost never chased any objects in these darkly colored chambers. To circumvent this limitation, we increased baseline levels of chasing by thermogenetically activating P1 neurons to promote courtship. Males with thermogenetically activated P1 neurons maintained a similar preference for gray objects despite elevated levels of courtship behavior. When placed in a black chamber, males with activated P1 neurons switched their preference and chased black objects more than gray objects. We also tested whether males use contrast cues to orient to particular parts of the female's body during courtship. When presented with moving objects painted two colors, males positioned themselves next to the gray half regardless of whether the other half was painted black or white. These results suggest that males can use contrast to recognize potential mates and to position themselves during courtship.</t>
  </si>
  <si>
    <t>Agrawal, Sweta/0000-0003-0547-4099</t>
  </si>
  <si>
    <t>jeb203414</t>
  </si>
  <si>
    <t>10.1242/jeb.203414</t>
  </si>
  <si>
    <t>WOS:000484368200006</t>
  </si>
  <si>
    <t>EISERER, LA</t>
  </si>
  <si>
    <t>LONG-TERM POTENTIAL FOR IMPRINTING IN DUCKS AND CHICKENS</t>
  </si>
  <si>
    <t>In the first of 5 experiments, 3 of 4 adult ducks who were reared in visual isolation gradually developed strong approach responses towards a moving panel of colored lights. Experiment 2 provided evidence that the ducks'' approach response reflected the same sort of social attachment that is typically formed to moving objects by newly hatched ducklings. Experiment 3 revealed that the 4th duck would not approach the moving stimulus even after additional exposure to it, but would approach a conspecific after group housing was enforced for 7 days. In experiment 4, none of 5 adult chickens who were reared in visual isolation developed approach responses towards the moving stimulus even though in experiment 5, newly hatched chicks approached the stimulus quite readily. Ducks probably retain the ability to form filial-type attachment to novel objects throughout their lives, and chickens probably do not retain this ability into adulthood.</t>
  </si>
  <si>
    <t>10.1901/jeab.1980.33-383</t>
  </si>
  <si>
    <t>WOS:A1980JR70200008</t>
  </si>
  <si>
    <t>Toshova, TB; Subchev, MA; Tóth, M</t>
  </si>
  <si>
    <t>Toshova, Teodora Borislavova; Subchev, Mitko Angelov; Toth, Miklos</t>
  </si>
  <si>
    <t>Role of olfactory and visual stimuli in the mating behaviour of male vine bud moths, Theresimima ampellophaga (Lepidoptera: Zygaenidae)</t>
  </si>
  <si>
    <t>EUROPEAN JOURNAL OF ENTOMOLOGY</t>
  </si>
  <si>
    <t>The influence of olfactory and visual stimuli on the mating behaviour of Theresimima ampellophaga males was investigated in the field. A female model attached to a pheromone source significantly increased the number of males contacting and showing copulatory responses compared to their reaction to a pheromone stimulus alone. The pheromone stimulus was the primary factor releasing male copulatory behaviour, independent of the spatial arrangement of olfactory and visual cues. The role of the visual cues decreased with increasing distance between visual and olfactory cues. The reaction of males to pairs of models with different characteristics of conspecific females, in combination with a pheromone source placed 2 cm upwind from the center of the line between each pair of models, was compared. The size and shape of the female seemed not to be important, while the colour, posture, sex and species belongings significantly influenced the male's mating reaction.</t>
  </si>
  <si>
    <t>Toshova, Teodora/GOK-2147-2022</t>
  </si>
  <si>
    <t>Toshova, Teodora/0000-0001-8743-9216</t>
  </si>
  <si>
    <t>1802-8829</t>
  </si>
  <si>
    <t>JAN 3</t>
  </si>
  <si>
    <t>10.14411/eje.2007.009</t>
  </si>
  <si>
    <t>WOS:000243077100009</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</si>
  <si>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</si>
  <si>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</si>
  <si>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</si>
  <si>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</si>
  <si>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</si>
  <si>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</si>
  <si>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</si>
  <si>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</si>
  <si>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</si>
  <si>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</si>
  <si>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</si>
  <si>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</si>
  <si>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</si>
  <si>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Côte,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</si>
  <si>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</si>
  <si>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</si>
  <si>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</si>
  <si>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 L/A-6827-2013; Cote, Isabelle/ABD-5898-2021; Cheney, Karen/L-3427-2018</t>
  </si>
  <si>
    <t>Cheney, Karen L/0000-0001-5622-9494; Cheney, Karen/0000-0001-5622-9494</t>
  </si>
  <si>
    <t>10.1098/rspb.2007.0797</t>
  </si>
  <si>
    <t>WOS:000248887800011</t>
  </si>
  <si>
    <t>Huang, CK; Lee, YF; Kuo, YM</t>
  </si>
  <si>
    <t>Huang, Chih-Kai; Lee, Ya-Fu; Kuo, Yen-Min</t>
  </si>
  <si>
    <t>Neighborhood effects in mixed-species flocks affect foraging efficiency of intermediate and little egrets</t>
  </si>
  <si>
    <t>Birds aggregate for various survival needs, and ardeids form both conspecific and mixed-species flocks. However, it remains unclear whether and how ardeids' foraging while joining a flock is affected differently in conspecific versus mixed-species flocks. We studied egret flocks in southwestern Taiwan to assess the flock size and neighborhood effects on flock formation and foraging performance of egrets by examining landing tendencies and expelling behaviors of Little (Egretta garzetta) and Intermediate (E. intermedia) egrets, and assessing strike rates, strike efficiency, and intake rates of singles and egrets in conspecific and mixed-species flocks. We found no evidence of non-random landings to mixed-species flocks by either species, but egrets showed a trend of landing closer to conspecifics when conspecifics represented lower proportions in flocks. Intermediate Egrets displayed expelling behavior more frequently. Expelling by earlier arrived egrets interrupted subsequent flock formation on 45.2 % occasions, but was not affected by egrets' foraging performance. Solitary Little Egrets had higher strike and fish intake rates, but lower strike efficiency, than solitary Intermediate Egrets, whereas their biomass intake rates were similar. Strike and fish intake rates increased in flocks compared to singles in both species, but declined for Little Egrets as flocks increased from medium (11-30 birds) to large sizes (&gt; 30). Intermediate Egrets had higher strike, fish intake, and biomass intake rates, but Little Egrets had lowered strike efficiency and fish-and biomass-intake rates, when near each other than when near conspecifics. Overall, Intermediate Egrets in mixed-species flocks improved foraging efficiency and food intakes by neighborhood effects at costs of reduced foraging efficiency to Little Egrets. The variation in landing tendency over flock compositions suggests potential interactions of the neighborhood effect with egrets' conspecific attraction.</t>
  </si>
  <si>
    <t>10.1016/j.zool.2020.125874</t>
  </si>
  <si>
    <t>WOS:000618276500003</t>
  </si>
  <si>
    <t>Clark, DL; Macedonia, JM; Rowe, JW; Stuart, MA; Kemp, DJ; Ord, TJ</t>
  </si>
  <si>
    <t>Clark, David L.; Macedonia, Joseph M.; Rowe, John W.; Stuart, Mark A.; Kemp, Darrell J.; Ord, Terry J.</t>
  </si>
  <si>
    <t>Evolution of displays in Galapagos lava lizards: comparative analyses of signallers and robot playbacks to receivers</t>
  </si>
  <si>
    <t>Differentiation in the structure of animal signals and displays among closely related species has intrigued biologists for centuries. Such divergence is often attributed to behavioural premating isolation, where sexual selection has favoured species recognition in environments containing sympatric congeners. However, in some cases closely related taxa have undergone speciation and display differentiation in isolation, in the apparent absence of benefits afforded by species recognition. Such is the case for the lava lizards (Microlophus spp.) endemic to the Galapagos Islands, where no two species overlap in distribution and all are thought to have evolved in allopatry from congeners. To test alternative evolutionary models, we used several phylogenetic comparative methods to assess how Microlophus displays have evolved. Results showed some potential for the influence of genetic drift, but little evidence of sexual selection (via male-male competition) or colonization history on the way displays have diverged among taxa. We then used lizard robots to test whether two representative Galapagos lava lizard species, Microlophus grayii and Microlophus indefatigabilis, would respond preferentially to a robot performing conspecific displays over those of the congener. We predicted that, in the absence of reinforcing selection, neither species would show a preference for conspecific displays. Results were mixed: whereas M. grayii showed no discrimination of conspecific over heterospecific displays, male M. indefatigabilis showed significantly stronger responses to their own displays than to those of the heterospecific. We then conducted the same experiment with a mainland congener, Microlophus occipitalis, to provide a broader view of potential responses across the group. Results revealed significant discrimination against heterospecific displays. We discuss our findings in light of hypotheses of signal differentiation, and suggest alternative interpretations for recognition of conspecific displays in species that are thought to have evolved in isolation. (C) 2015 The Association for the Study of Animal Behaviour. Published by Elsevier Ltd. All rights reserved.</t>
  </si>
  <si>
    <t>Kemp, Darrell/ABC-9638-2021; Ord, Terry J/C-6870-2009</t>
  </si>
  <si>
    <t>Kemp, Darrell/0000-0002-5845-5513; Ord, Terry J/0000-0002-2608-2150</t>
  </si>
  <si>
    <t>10.1016/j.anbehav.2015.08.002</t>
  </si>
  <si>
    <t>WOS:000363268300007</t>
  </si>
  <si>
    <t>Sköld,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</si>
  <si>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</si>
  <si>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</si>
  <si>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</si>
  <si>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Forsgren, Elisabet/KVB-7700-2024; Svensson, P Andreas/D-2517-2015</t>
  </si>
  <si>
    <t>Forsgren, Elisabet/0000-0001-5795-3820; Svensson, P Andreas/0000-0002-1426-0036; Amundsen, Trond/0000-0003-4261-0555</t>
  </si>
  <si>
    <t>10.1016/j.yhbeh.2008.05.018</t>
  </si>
  <si>
    <t>WOS:000259159200011</t>
  </si>
  <si>
    <t>CHARDINE, JW</t>
  </si>
  <si>
    <t>INTERFERENCE OF COPULATION IN A COLONY OF MARKED BLACK-LEGGED KITTIWAKES</t>
  </si>
  <si>
    <t>During behavioural observations (1979-1981) at a colony of black-legged kittiwakes (Rissa tridactyla) nesting on the window ledges of a warehouse, some breeding and nonbreeding males interfered with the copulations of conspecific colony members. The proportion of copulations interferred with varied from 15 to 27% depending upon year. Four types of interference were identified. Interference stopped 51% of copulations and temporarily halted another 37%. Some interfering birds were individually identified by colour bands or other unique features. Identified males seen to interfere at least once did not differ significantly with respect to breeding experience from those never seen to interfere, but the former group had paired with their mates for significantly fewer years than the latter. The majority of interferences by breeding males were performed during the 2-week period before their mates laid eggs: a period coincident with peak rates of copulation for these pairs. The results are used in an evaluation of hypotheses for the adaptive function of interference behaviour.</t>
  </si>
  <si>
    <t>10.1139/z86-211</t>
  </si>
  <si>
    <t>WOS:A1986D643700006</t>
  </si>
  <si>
    <t>Guillette, LM; Scott, ACY; Healy, SD</t>
  </si>
  <si>
    <t>Guillette, Lauren M.; Scott, Alice C. Y.; Healy, Susan D.</t>
  </si>
  <si>
    <t>Social learning in nest-building birds: a role for familiarity</t>
  </si>
  <si>
    <t>It is becoming apparent that birds learn from their own experiences of nest building. What is not clear is whether birds can learn from watching conspecifics build. As social learning allows an animal to gain information without engaging in costly trial-and-error learning, first-time builders should exploit the successful habits of experienced builders. We presented first-time nest building male zebra finches with either a familiar or an unfamiliar conspecific male building with material of a colour the observer did not like. When given the opportunity to build, males that had watched a familiar male build switched their material preference to that used by the familiar male. Males that observed unfamiliar birds did not. Thus, first-time nest builders use social information and copy the nest material choices when demonstrators are familiar but not when they are strangers. The relationships between individuals therefore influence how nest-building expertise is socially transmitted in zebra finches.</t>
  </si>
  <si>
    <t>Guillette, Lauren M/0000-0002-8777-6543; Healy, Susan/0000-0002-8059-4480</t>
  </si>
  <si>
    <t>MAR 30</t>
  </si>
  <si>
    <t>10.1098/rspb.2015.2685</t>
  </si>
  <si>
    <t>WOS:000375732500019</t>
  </si>
  <si>
    <t>Modica, MV</t>
  </si>
  <si>
    <t>Modica, M. V.</t>
  </si>
  <si>
    <t>The first anatomical description of two trigonostomatine Cancellariidae, Scalptia androyensis and Scalptia foveolata (Mollusca: Gastropoda: Neogastropoda: Cancellarioidea)</t>
  </si>
  <si>
    <t>ITALIAN JOURNAL OF ZOOLOGY</t>
  </si>
  <si>
    <t>Cancellariidae is a poorly known family of Neogastropods, including about 300 soft-bottom dwelling species, with a cosmopolitan distribution. As cancellariids are seldom found alive, anatomical data on this family are limited. In particular, no anatomical descriptions have been available thus far for the trigonostomatine group, a conchologically well-defined monophyletic lineage of Cancellariidae that was given a subfamilial rank in former classifications. This is the first description of the anatomy of two closely related and conchologically very similar trigonostomatine Cancellariidae: Scalptia androyensis and S. foveolata. Evident differences were detected in these two species, including the shape and arrangement of the salivary glands, the relative size of the mid and posterior oesophagous, and the structure of the pallial oviduct. Such an unexpected degree of anatomical differentiation, if more widespread in cancellariids, may prove useful in species identification of conchologically similar taxa. Instead, different shell colour morphs of S. androyensis did not display anatomical differences, corroborating the hypothesis that they are conspecific.</t>
  </si>
  <si>
    <t>Modica, Maria Vittoria/P-8407-2018</t>
  </si>
  <si>
    <t>Modica, Maria Vittoria/0000-0003-2532-6763</t>
  </si>
  <si>
    <t>1125-0003</t>
  </si>
  <si>
    <t>1748-5851</t>
  </si>
  <si>
    <t>JUL 3</t>
  </si>
  <si>
    <t>10.1080/11250003.2015.1021391</t>
  </si>
  <si>
    <t>WOS:000359742100011</t>
  </si>
  <si>
    <t>Drea, CM</t>
  </si>
  <si>
    <t>Status, age, and sex effects on performance of discrimination tasks in group-tested rhesus monkeys (Macaca mulatta)</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</si>
  <si>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</si>
  <si>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10.1037/0735-7036.112.2.170</t>
  </si>
  <si>
    <t>WOS:000074164800007</t>
  </si>
  <si>
    <t>TENGO, J; ERIKSSON, J; BORGKARLSON, AK; SMITH, BH; DOBSON, H</t>
  </si>
  <si>
    <t>MATE-LOCATING STRATEGIES AND MULTIMODAL COMMUNICATION IN MALE MATING-BEHAVIOR OF PANURGUS-BANKSIANUS AND PANURGUS-CALCARATUS (APOIDEA, ANDRENIDAE)</t>
  </si>
  <si>
    <t>JOURNAL OF THE KANSAS ENTOMOLOGICAL SOCIETY</t>
  </si>
  <si>
    <t>The mating behavior in males of the solitary bee species Panurgus banksianus and P. calcaratus was investigated for two sympatrically nesting populations on Oland, Sweden. Males search for mates by patrolling flowers of Hypochoeris radicata, the exclusive host plant species from which females of each bee species collect pollen. Field experiments with artificial flowers confirm earlier reports that males are attracted to the color yellow and that this attractiveness is enhanced when a strip of black cloth mimicking a female bee is placed on top. Black strips impregnated with female cephalic odors are significantly more attractive to males than are unscented samples and elicit longer inspections of the artificial flowers. The species- and sex-specific cephalic odors therefore seem to serve as close range identity signals. When on flowers, males perform a rejection display towards approaching conspecific males, which may reduce interactions between males. Males in copula vibrate their wings, possibly as a display to females.</t>
  </si>
  <si>
    <t>0022-8567</t>
  </si>
  <si>
    <t>1937-2353</t>
  </si>
  <si>
    <t>WOS:A1988T891300004</t>
  </si>
  <si>
    <t>Culbert, BM; Barnett, JB; Ligocki, IY; Salena, MG; Wong, MYL; Hamilton, IM; Balshine, S</t>
  </si>
  <si>
    <t>Culbert, Brett M.; Barnett, James B.; Ligocki, Isaac Y.; Salena, Matthew G.; Wong, Marian Y. L.; Hamilton, Ian M.; Balshine, Sigal</t>
  </si>
  <si>
    <t>Colorful facial markings are associated with foraging rates and affiliative relationships in a wild group-living cichlid fish</t>
  </si>
  <si>
    <t>Many animals use color to signal their quality and/or behavioral motivations. Colorful signals have been well studied in the contexts of competition and mate choice; however, the role of these signals in nonsexual, affiliative relationships is not as well understood. Here, we used wild social groups of the cichlid fish Neolamprologus pulcher to investigate whether the size of a brightly colored facial patch was related to 1) individual quality, 2) social dominance, and/or 3) affiliative relationships. Individuals with larger patches spent more time foraging and tended to perform more aggressive acts against conspecific territory intruders. We did not find any evidence that the size of these yellow patches was related to social rank or body size, but dominant males tended to have larger patches than dominant females. Additionally, patch size had a rank-specific relationship with the number of affiliative interactions that individuals engaged in. Dominant males with large patches received fewer affiliative acts from their groupmates compared to dominant males with small patches. However, subordinates with large patches tended to receive more affiliative acts from their groupmates while performing fewer affiliative acts themselves. Taken together, our results suggest that patch size reflects interindividual variation in foraging effort in this cichlid fish and offer some of the first evidence that colorful signals may shape affiliative relationships within wild social groups.</t>
  </si>
  <si>
    <t>Culbert, Brett/AAI-6090-2020; Wong, Marian YL/H-1871-2013; Hamilton, Ian Michael/A-4949-2012; Barnett, James B/AFW-3209-2022</t>
  </si>
  <si>
    <t>Culbert, Brett/0000-0002-2830-9590; Barnett, James B/0000-0001-9789-4132; Balshine, Sigal/0000-0003-3671-0517</t>
  </si>
  <si>
    <t>10.1093/cz/zoac100</t>
  </si>
  <si>
    <t>DEC 2022</t>
  </si>
  <si>
    <t>WOS:000941795100001</t>
  </si>
  <si>
    <t>Ikenaga, J; Kajihara, H; Yoshida, M</t>
  </si>
  <si>
    <t>Ikenaga, Jumpei; Kajihara, Hiroshi; Yoshida, Manabu</t>
  </si>
  <si>
    <t>Kulikovia alborostrata and Kulikovia fulva comb. nov. (Nemertea: Heteronemertea) Are Sister Species with Prezygotic Isolating Barriers</t>
  </si>
  <si>
    <t>The heteronemertean Kulikovia alborostrata (Takakura, 1898) was originally described as Lineus alborostratus based on material from Misaki, Japan. Although this species was regarded as consisting of two color variants, purple and brown-yellow, the identity of these variants has never been examined based on topotypes. In this study, we performed a multi- locus phylogeny reconstruction, species delimitation analyses, and cross-fertilization experiments to examine the species status of Takakura's original taxon concept consisting of these color variants. Our results suggest that the purple type is identical to Lineus alborostratus Takakura, 1898 auct. (currently Kulikovia alborostrata), whereas the brown-yellow type is conspecific with Lineus fulvus Iwata, 1954, originally established from Hokkaido. These two species appear to have a sister-taxon relationship and are reproductively isolated from each other by prezygotic mechanisms involving gamete incompatibility, minimally separated with 2.8% (16S rRNA) and 14.4% (COI) uncorrected p-distances. We propose that the purple type be considered as representing the true identity of the nominal species Lineus alborostratus (currently assigned to the genus Kulikovia) to maintain the common usage of the name. Although Takakura's type material is not extant, we consider that neotypification is unnecessary in this case because no taxonomic/nomenclatural confusion persists. We also propose to transfer Lineus fulvus to yield Kulikovia fulva comb. nov.</t>
  </si>
  <si>
    <t>Yoshida, Manabu/G-4918-2014; Kajihara, Hiroshi/HHC-4886-2022</t>
  </si>
  <si>
    <t>Yoshida, Manabu/0000-0003-4927-868X; Kajihara, Hiroshi/0000-0001-6510-9355</t>
  </si>
  <si>
    <t>10.2108/zs200112</t>
  </si>
  <si>
    <t>WOS:000635436200010</t>
  </si>
  <si>
    <t>Yang, CC; Wang, LW; Liang, W; Moller, AP</t>
  </si>
  <si>
    <t>Yang, Canchao; Wang, Longwu; Liang, Wei; Moller, Anders P.</t>
  </si>
  <si>
    <t>Contrasting egg recognition between European and Asian populations of tree sparrows (Passer montanus)</t>
  </si>
  <si>
    <t>Although many biological phenotypes are generally regarded as consistent across the distributional range of a species, some traits such as egg discrimination behavior have been shown to display extensive intraspecific variation as a response to selection from brood parasitism. We investigated the egg recognition ability in an Asian population of tree sparrows (Passer montanus), and we compared that with the ability to recognize and reject intraspecific foreign eggs in a population in Europe. Extensive artificial parasitism with model eggs and real eggs of eight sympatric birds that vary in background color and markings revealed that egg recognition capacity is completely absent in this Asian population of tree sparrows. This result contrasts with previous studies in European populations showing extensive ability for discriminating between own and foreign eggs. Different evolutionary equilibria or differences in the risk of conspecific parasitism may account for differences in egg discrimination ability between European and Asian populations of tree sparrows. (C) 2016 Elsevier B.V. All rights reserved.</t>
  </si>
  <si>
    <t>Moller, Anders/O-6665-2016; zhang, ling/JXW-6931-2024</t>
  </si>
  <si>
    <t>10.1016/j.beproc.2016.02.010</t>
  </si>
  <si>
    <t>WOS:000373542900012</t>
  </si>
  <si>
    <t>Watz, J; Bergman, E; Calles, O; Enefalk, Å; Gustafsson, S; Hagelin, A; Nilsson, PA; Norrgård, JR; Nyqvist, D; Österling,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</si>
  <si>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</si>
  <si>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</si>
  <si>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</si>
  <si>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Bergman, Eva/AAR-8368-2021; Calles, Olle/O-6403-2014</t>
  </si>
  <si>
    <t>Nilsson, Anders/0000-0002-3541-9835; Bergman, Eva/0000-0003-2220-1615; Schneider, Lea D./0000-0003-3524-0883; Calles, Olle/0000-0002-8738-8815; Nyqvist, Daniel/0000-0002-3098-0594; Osterling, Martin/0000-0001-6758-5857</t>
  </si>
  <si>
    <t>10.1093/beheco/arv019</t>
  </si>
  <si>
    <t>WOS:000356585100024</t>
  </si>
  <si>
    <t>Poma-Soto, F; Narváez, AE; Romero-Carvajal, A</t>
  </si>
  <si>
    <t>Poma-Soto, Franco; Narvaez, Andrea E.; Romero-Carvajal, Andres</t>
  </si>
  <si>
    <t>Visual Signaling in the Semi-Fossorial Lizard Pholidobolus montium (Gymnophthalmidae)</t>
  </si>
  <si>
    <t>ANIMALS</t>
  </si>
  <si>
    <t>It has been suggested that gymnophthalmids, like most semi-fossorial lacertoids, rely more in chemical cues to communicate, in comparison to other groups, like Iguanids, on which communication is mostly based on visual signaling. We present the first description of visual signaling in the Andean lizard Pholidobolusmontium (Gymnophthalmidae) and a complete ethogram based on ex situ observations (34 different types of behaviors including positions and simple movements). Through the design of conspecific stimulus experiments, we were able to recognize leg-waving as a visual signal, as it is only displayed in presence of conspecifics or in presence of a mirror and was one of first and most frequent displays in this context. We also detected other visual displays like neck-arching and tail-undulation which may also be relevant as visual signals. Based on our results, we propose that visual signaling is also possible in semi-fossorial lizards; however, further studies regarding chemical signal recognition and color detection are required to confirm our hypothesis.</t>
  </si>
  <si>
    <t>; Romero-Carvajal, Andres/P-9630-2018</t>
  </si>
  <si>
    <t>Poma-Soto, Franco Alexander/0000-0001-9885-4431; Romero-Carvajal, Andres/0000-0002-2570-1749</t>
  </si>
  <si>
    <t>2076-2615</t>
  </si>
  <si>
    <t>10.3390/ani11113022</t>
  </si>
  <si>
    <t>WOS:000758187200001</t>
  </si>
  <si>
    <t>Behavioral Isolation Based on Visual Signals in a Sympatric Pair of Darter Species</t>
  </si>
  <si>
    <t>Elaborate visual communication signals characterize many animal lineages. Often sex-limited, these signals are generally assumed to result from sexual selection, and in many cases, their evolution is thought to play a central role in speciation. The co-evolution of male visual signals and female preferences is hypothesized to result in behavioral isolation between divergent lineages; however, for many lineages characterized by elaborate visual signals, the importance of visual differences in behavioral isolation is not well established. Darters (fish genus Etheostoma) are particularly appropriate for examining the role of visual signals in behavioral isolation. They comprise one of the most diverse groups of North American freshwater fish, and nearly every species is characterized by unique nuptial coloration. Multiple darter species co-exist in sympatric populations, indicating that reproductive barriers are central to maintaining these extraordinarily diverse color patterns. This study demonstrates the presence of behavioral isolation between a pair of distinctly colored sympatric darter species, Etheostoma barrenense and Etheostoma zonale, through experimental observations using an artificial stream. In addition, a series of dichotomous mate-choice trials indicate that females prefer conspecific males over heterospecifics based on visual differences alone. We therefore provide the first evidence that visual signals are a critical trait maintaining behavioral isolation in darters, a lineage of fishes with spectacular diversification in visual communication.</t>
  </si>
  <si>
    <t>10.1111/j.1439-0310.2010.01816.x</t>
  </si>
  <si>
    <t>WOS:000282821900005</t>
  </si>
  <si>
    <t>Raposeiro, PMVM; Azevedo, JMN</t>
  </si>
  <si>
    <t>Raposeiro, Pedro M. V. M.; Azevedo, Jose Manuel N.</t>
  </si>
  <si>
    <t>Reproductive biology of Symphodus mediterraneus (Teleostei, Labridae) in the Azores</t>
  </si>
  <si>
    <t>MARINE ECOLOGY-AN EVOLUTIONARY PERSPECTIVE</t>
  </si>
  <si>
    <t>A description of the colour patterns, reproductive behaviour, spawning season and size at first maturity is given for an Atlantic population of Symphodus mediterraneus, based on underwater observations and animals collected by spear-fishing and photographed. Gonad histology was used to determine the sex and maturity stages. Size at first maturation was estimated as the length at which 50% of the individuals are mature. General appearance was a brown or brownish-red body, with a series of large brown transverse stripes, a conspicuous yellow-ringed black spot on the base of the pectoral fins and a black spot on the caudal peduncle. Terminal males could be distinguished from females by the blue tones on the extremities of the median fins and on the throat. Differences from the colour pattern of the Mediterranean population are noted. This is probably a gonochoric species: the larger males are territorial, building algal nests and defending them from conspecific males and from other microbenthic carnivorous fishes; the smaller mature males did not show sneaking or satellite behaviour. Reproduction takes place in late spring and summer, after the spring productivity peak, suggesting that the feeding biology of the adults may be the main determinant factor of the timing of spawning. Total length at first maturity is 12.1 cm for males and 9.6 cm for females.</t>
  </si>
  <si>
    <t>Raposeiro, Pedro/A-2657-2010; Azevedo, José Manuel Neto/C-1504-2010</t>
  </si>
  <si>
    <t>Raposeiro, Pedro/0000-0002-7461-0851; Azevedo, José Manuel Neto/0000-0003-2573-1371</t>
  </si>
  <si>
    <t>0173-9565</t>
  </si>
  <si>
    <t>10.1111/j.1439-0485.2009.00309.x</t>
  </si>
  <si>
    <t>WOS:000270237100018</t>
  </si>
  <si>
    <t>Lecocq, T; Brasero, N; Martinet, B; Valterovà, I; Rasmont, P</t>
  </si>
  <si>
    <t>Lecocq, Thomas; Brasero, Nicolas; Martinet, Baptiste; Valterova, Irena; Rasmont, Pierre</t>
  </si>
  <si>
    <t>Highly polytypic taxon complex: interspecific and intraspecific integrative taxonomic assessment of the widespread pollinator Bombus pascuorum Scopoli 1763 (Hymenoptera: Apidae)</t>
  </si>
  <si>
    <t>SYSTEMATIC ENTOMOLOGY</t>
  </si>
  <si>
    <t>The recent development of the integrative taxonomic approach in bumblebees has led to unexpected merging or splitting of several taxa. Here we investigate the taxonomic statuses of one of the most abundant, widespread and polytypic Palearctic bumblebees, Bombus pascuorum. The latest review of this species includes 24 subspecies. We used an integrative approach based on genetic markers and male chemical reproductive traits and compared our results with the former classifications. Our results show that all B. pascuorum taxa are conspecific and share the same male chemical reproductive traits. The genetic structure observed in one mitochondrial and two nuclear markers poorly reflects the current subspecific classification. Indeed, the concordance of population genetic differentiation, population geographic distribution, and population colour pattern similarity suggests a different meaningful prospective classification with four taxon complexes: (i) the B. pascuorum dusmeti group, including all taxa from the Iberian Peninsula and south-west France; (ii) B. pascuorum rehbinderi; (iii) B. pascuorum siciliensis; and (iv) B. pascuorum floralis groups (including all other taxa studied here).</t>
  </si>
  <si>
    <t>Valterova, Irena/H-1823-2012</t>
  </si>
  <si>
    <t>Valterova, Irena/0000-0001-5723-6143; Martinet, Baptiste/0000-0003-4369-8552; Lecocq, Thomas/0000-0002-4947-0332</t>
  </si>
  <si>
    <t>0307-6970</t>
  </si>
  <si>
    <t>1365-3113</t>
  </si>
  <si>
    <t>10.1111/syen.12137</t>
  </si>
  <si>
    <t>WOS:000360760000010</t>
  </si>
  <si>
    <t>Minton, RL; Harris, PM; North, E; Tu, DV</t>
  </si>
  <si>
    <t>Minton, Russell L.; Harris, Phillip M.; North, Ernest; Do Van Tu</t>
  </si>
  <si>
    <t>Diversity and taxonomy of Vietnamese Pollicaria (Gastropoda, Pupinidae)</t>
  </si>
  <si>
    <t>ZOOSYSTEMATICS AND EVOLUTION</t>
  </si>
  <si>
    <t>Species in the genus Pollicaria (Gastropoda: Pupinidae) are conspicuous members of the southeast Asian land snail fauna. Originally erected in 1856, both the genus and its constituent species have been reorganized multiple times with the most recent treatment published in 2013. Collections of Vietnamese Pollicaria during 2014 and 2015 raised questions of the utility of currently used diagnostic shell characters and identification keys in species identification. An examination of the authors' collections, combined with museum specimens, suggested that at least three species of Pollicaria occur or have historically occurred in Vietnam. It is suggested that P. rochebruni is a senior synonym of P. crossei and treat both taxa as conspecific. A second species, P. mouhoti, was believed to only occur in Cambodia, Laos, and Thailand. A possible third species, based only on previous karyotypic work, is discussed. Our data further suggest that shell features such as color and size lack consistent utility in species-level identifications in Pollicaria.</t>
  </si>
  <si>
    <t>Harris, Phillip/0000-0003-3215-2167</t>
  </si>
  <si>
    <t>1860-0743</t>
  </si>
  <si>
    <t>10.3897/zse.93.10794</t>
  </si>
  <si>
    <t>WOS:000393302300005</t>
  </si>
  <si>
    <t>Selz, OM; Thommen, R; Pierotti, MER; Anaya-Rojas, JM; Seehausen, O</t>
  </si>
  <si>
    <t>Selz, O. M.; Thommen, R.; Pierotti, M. E. R.; Anaya-Rojas, J. M.; Seehausen, O.</t>
  </si>
  <si>
    <t>Differences in male coloration are predicted by divergent sexual selection between populations of a cichlid fish</t>
  </si>
  <si>
    <t>Female mating preferences can influence both intraspecific sexual selection and interspecific reproductive isolation, and have therefore been proposed to play a central role in speciation. Here, we investigate experimentally in the African cichlid fish Pundamilia nyererei if differences in male coloration between three para-allopatric populations (i.e. island populations with gene flow) of P. nyererei are predicted by differences in sexual selection by female mate choice between populations. Second, we investigate if female mating preferences are based on the same components of male coloration and go in the same direction when females choose among males of their own population, their own and other conspecific populations and a closely related para-allopatric sister-species, P. igneopinnis. Mate-choice experiments revealed that females of the three populations mated species-assortatively, that populations varied in their extent of population-assortative mating and that females chose among males of their own population based on different male colours. Females of different populations exerted directional intrapopulation sexual selection on different male colours, and these differences corresponded in two of the populations to the observed differences in male coloration between the populations. Our results suggest that differences in male coloration between populations of P. nyererei can be explained by divergent sexual selection and that population-assortative mating may directly result from intrapopulation sexual selection.</t>
  </si>
  <si>
    <t>Selz, Oliver Martin/AAH-7732-2020; Seehausen, Ole/C-8272-2011; Pierotti, Michele E R/E-7563-2011</t>
  </si>
  <si>
    <t>Selz, Oliver Martin/0000-0002-2210-5909; Seehausen, Ole/0000-0001-6598-1434; Pierotti, Michele E R/0000-0003-2837-6192</t>
  </si>
  <si>
    <t>MAY 11</t>
  </si>
  <si>
    <t>10.1098/rspb.2016.0172</t>
  </si>
  <si>
    <t>WOS:000376158800013</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</si>
  <si>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</si>
  <si>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</si>
  <si>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</si>
  <si>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</si>
  <si>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Baird, P</t>
  </si>
  <si>
    <t>Baird, Patricia</t>
  </si>
  <si>
    <t>Group Adherence in Endangered California Least Terns (Sternula antillarum browni)</t>
  </si>
  <si>
    <t>WATERBIRDS</t>
  </si>
  <si>
    <t>Colonial nesting in seabirds is advantageous for protection from predators-spotting a predator, mobbing, and predator swamping. Familiarity with nesting areas gives knowledge of protected sites and may promote site fidelity. Familiarity with nearest neighbors helps nesting success by lessening intraspecific aggression and increasing social facilitation, and may promote group adherence. Group adherence has been proposed as more important than site tenacity for some species where nesting areas are frequently disturbed. Ground-nesting terns often nest at disturbed sites, and their colonies are accessible to predators. Serendipitously, I was able to test the concept of group adherence in individually color-marked California Least Terns Sternula antillarum browni during early egg-laying when some nests in a colony in southern California were depredated, and the adults deserted. A week later, I found the majority of those birds nesting at the edge of a small Least Tern colony 28 km distant, where they laid a second clutch and remained at the site the rest of the breeding season. The following breeding season, no color-marked terns nested again at the small colony where they had moved after disturbance.</t>
  </si>
  <si>
    <t>1524-4695</t>
  </si>
  <si>
    <t>1938-5390</t>
  </si>
  <si>
    <t>10.1675/063.045.0410</t>
  </si>
  <si>
    <t>WOS:001075551200010</t>
  </si>
  <si>
    <t>Liu, PF; Lloyd, H; Lou, YQ; Sun, YH</t>
  </si>
  <si>
    <t>Liu, Pengfei; Lloyd, Huw; Lou, Yingqiang; Sun, Yuehua</t>
  </si>
  <si>
    <t>Soft song provokes stronger aggressive responses than broadcast song in the Plain Laughingthrush (Pterorhinus davidi)</t>
  </si>
  <si>
    <t>Many bird species produce low-amplitude acoustic signals, known as soft songs, which are widely believed to function primarily in aggressive interactions. However, there are surprisingly few experimental studies that have examined whether soft songs are reliable signalling strategies for escalating aggressive interactions. Here, we investigate the functions of soft song in a colour-marked population of the Plain Laughingthrush Pterorhinus davidi, using playback experiments combined with specimen-based simulated territory intrusions. We found that playback of male soft song provoked quicker response and stronger aggressive intent by territorial pairs compared with playback of male broadcast song. Responses by territorial pairs to male soft song playback were significantly stronger compared with responses to broadcast song playback, with a greater number of flights over the speaker, more time spent within 1 m of the speaker and closer approaches to the speaker. Furthermore, closer approach with the production of soft song by focal males was the best predictor of aggressive intent in combined playback and specimen intrusion experiments. Our results suggest that male soft song is used as an aggressive signal in the Plain Laughingthrush, and represents the first evidence of such for a monogamous temperate duetting species.</t>
  </si>
  <si>
    <t>Liu, Pengfei/0000-0001-8627-6320</t>
  </si>
  <si>
    <t>10.1111/ibi.13141</t>
  </si>
  <si>
    <t>OCT 2022</t>
  </si>
  <si>
    <t>WOS:000864028600001</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</si>
  <si>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</si>
  <si>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</si>
  <si>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</si>
  <si>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Juan/KHT-8663-2024; Carranza, Juan/E-4472-2010</t>
  </si>
  <si>
    <t>Carranza, Juan/0000-0002-0368-7173</t>
  </si>
  <si>
    <t>10.1006/anbe.1997.0516</t>
  </si>
  <si>
    <t>WOS:A1997YJ17400014</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</si>
  <si>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</si>
  <si>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</si>
  <si>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</si>
  <si>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</si>
  <si>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</si>
  <si>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</si>
  <si>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</si>
  <si>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</si>
  <si>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</si>
  <si>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</si>
  <si>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Harvey, TC; Gabriel, PO; Black, JM</t>
  </si>
  <si>
    <t>Harvey, Trinity C.; Gabriel, Pia O.; Black, Jeffrey M.</t>
  </si>
  <si>
    <t>Propensity of Predator Mimicry in Steller's Jays</t>
  </si>
  <si>
    <t>Simple Summary Several species of birds are known to imitate or mimic the calls of other birds in a variety of contexts, but for many species, it is poorly understood why or how often this behavior occurs. We examined the occurrence and context of Steller's Jays mimicking the calls of Red-shouldered Hawks over a 12-month period. In a population of 49 individually color-marked jays, we documented the mimicry of Red-shouldered Hawk calls in 28.6% of the population (14 individuals). We also reviewed the occurrence of the behavior in historic observation data. Jays imitated hawk calls more often during the early breeding season when jays were within their home territories, while their mates were present, and while aggression towards other birds was absent. Younger, larger, and bolder jays were most likely to perform imitations. These results suggest jays individually vary in their likelihood to imitate hawk calls, and different individual jays may be more likely to perform imitations based on social and ecological contexts, physical characteristics, and personality traits.Abstract Avian vocal mimicry has been described in a variety of contexts, suggesting its function is multifaceted within and across species; however, basic empirical data describing mimetic signal prevalence and context are lacking for numerous species. We examined the occurrence and context of mimicked Red-shouldered Hawk (Buteo lineatus) calls over a 12-month period in a population of 49 individually color-marked Steller's Jays (Cyanocitta stelleri). We documented mimicry of Red-shouldered Hawk calls in 14 of 49 (28.6%) jays during this 12-month period. We also reviewed the occurrence of the behavior in historic observation data. Hawk mimicry occurred more often during the early breeding season when jays were within home territories, their mates were present, and aggression was absent. Younger, larger, and bolder jays were most likely to perform imitations. These results suggest jays individually vary in mimetic propensity, and individuals' proclivity for mimicry may be influenced by social and ecological contexts, physical characteristics, and personality traits.</t>
  </si>
  <si>
    <t>Gabriel, Pia/0000-0002-5677-9661</t>
  </si>
  <si>
    <t>10.3390/birds5010012</t>
  </si>
  <si>
    <t>WOS:001191523100001</t>
  </si>
  <si>
    <t>PAJARES, JA; LANIER, GN</t>
  </si>
  <si>
    <t>BIOSYSTEMATICS OF THE TURPENTINE BEETLES DENDROCTONUS-TEREBRANS AND D-VALENS (COLEOPTERA, SCOLYTIDAE)</t>
  </si>
  <si>
    <t>Controlled experiments and diagnostic differences in previously unreported morphological characters confirm that Dendroctonus valens LeConte and D. terebrans (Olivier) are valid species rather than color morphs of a single biological species. D.terebrans from distant localities (Florida [USA] and Massuchusetts) produced fertile hybrids. D.valens females from the western part of its range (Arizona, California) paired with eastern (New York) males laid eggs which developed into advanced embryos but did not hatch. In the laboratory, males did not discriminate in entering galleries of conspecific and heterospecific females, but 2 d after males of either species were given access to females, conspecific pairs were significantly more frequent than heterospecific pairs. Observations of beetle interactions in bark-glass sandwiches indicated that males readily attempt to copulate with females, regardless of species, but females consistently reject or ignore heterospecific males. Both species had male meiotic cells with 13 autosomal bivalents and sex chromosomes in a parachuate configuration to give the formula 13AA + Xyp. However, a D. terebrans from east Texas displayed an autosomal fusion and the formula 12AA +Xyp. Two of five D.terebrans specimens from Florida were heterozygous for a fusion chromosome. Individuals of the two species differed diagnostically by the configuration of spurs on the metatibia, the density of striations on the pars stridens of the terminal abdominal sternum, the shape of the seminal rod of the male genitalia, and by the relative lengths of abdominal sterna 5 plus 6 versus sternum 7. We postulate that D. valens and D. terebrans have strong negative interactions in the Appalachian Mountains and Atlantic coastal areas where ranges of the two species meet. Females compete for the same host material, and males will readily join a female of either species. Rejection of the heterospecific male and failure of eggs to hatch (should interspecific insemination occur) with prevent gene flow between species.</t>
  </si>
  <si>
    <t>Pajares, Juan Alberto/D-5215-2014</t>
  </si>
  <si>
    <t>Pajares, Juan Alberto/0000-0002-4682-8984</t>
  </si>
  <si>
    <t>10.1093/aesa/83.2.171</t>
  </si>
  <si>
    <t>WOS:A1990CQ89800007</t>
  </si>
  <si>
    <t>Cox, RM; Zilberman, V; John-Alder, HB</t>
  </si>
  <si>
    <t>Cox, Robert M.; Zilberman, Viktoriya; John-Alder, Henry B.</t>
  </si>
  <si>
    <t>Testosterone Stimulates the Expression of a Social Color Signal in Yarrow's Spiny Lizard, Sceloporus jarrovii</t>
  </si>
  <si>
    <t>JOURNAL OF EXPERIMENTAL ZOOLOGY PART A-ECOLOGICAL AND INTEGRATIVE PHYSIOLOGY</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</si>
  <si>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</si>
  <si>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</si>
  <si>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2471-5646</t>
  </si>
  <si>
    <t>309A</t>
  </si>
  <si>
    <t>10.1002/jez.481</t>
  </si>
  <si>
    <t>WOS:000260626200001</t>
  </si>
  <si>
    <t>Wiens, JJ; Reeder, TW; De Oca, ANM</t>
  </si>
  <si>
    <t>Molecular phylogenetics and evolution of sexual dichromatism among populations of the Yarrow's spiny lizard (Sceloporus jarrovii)</t>
  </si>
  <si>
    <t>Understanding evolution of geographic variation in sexually dimorphic traits is critical for understanding the role that sexual selection may play in speciation. We performed a phylogenetic analysis of geographic variation in sexual dichromatism in the Yarrow's spiny lizard (Sceloporus jarrovii), a taxon that exhibits remarkable diversity in male coloration among populations (e.g., black, red, green, yellow, blue, brown). An mtDNA phylogeny based on approximately 880 bp from the 12S ribosomal RNA gene and 890 bp from the ND4 gene was reconstructed for 30 populations of S. jarrovii and eight other species of the torquatus species group using maximum-likelihood and parsimony methods. The phylogeny suggests that S. jarrovii consists of at least five evolutionary species, none of which are sister taxa. Although intraspecific diversity in male coloration is less than indicated by previous taxonomy, two species formerly referred to as S. jarrovii exhibit impressive geographic variation in sexual dichromatism. In one of these species, the phylogeny shows the independent evolution of a distinctive blue color morph in different parts of the species range. This pattern suggests that sexual selection may lead to striking phenotypic divergence among conspecific populations and striking convergence. Results also demonstrate the importance of a phylogenetic perspective in studies of evolutionary processes within nominal species and the problematic nature of polytypic species recognized under the biological species concept.</t>
  </si>
  <si>
    <t>Wiens, John/0000-0003-4243-1127</t>
  </si>
  <si>
    <t>10.2307/2640448</t>
  </si>
  <si>
    <t>WOS:000084703100021</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</si>
  <si>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</si>
  <si>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</si>
  <si>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</si>
  <si>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</si>
  <si>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10.1093/beheco/aru164</t>
  </si>
  <si>
    <t>WOS:000351929300022</t>
  </si>
  <si>
    <t>Secondi, J; Rodgers, G; Bayle, F; Sourice, S; Théry, M</t>
  </si>
  <si>
    <t>Secondi, Jean; Rodgers, Gwendolen; Bayle, Florence; Sourice, Stephane; Thery, Marc</t>
  </si>
  <si>
    <t>Mate preference, species recognition and multimodal communication in heterogeneous environments</t>
  </si>
  <si>
    <t>Mate selection in heterogeneous sensory environments may be challenging. Assessing the suitability of potential partners may be compromised if individual characteristics cannot be assessed reliably across all encountered conditions. The problem is particularly acute in a species recognition context if matings with heterospecific partners yield lower fitness than matings with conspecific partners of low quality. Multimodal communication may circumvent this problem by transmitting redundant information on several channels that are not affected by the same degradation processes (Backup hypothesis). We addressed this issue in two hybridizing newts (Lissotriton helveticus and L. vulgaris) for which visual species recognition is disrupted in water stained by humic acids, a common family of compounds produced by decaying vegetation. Because these species also use olfaction for sexual communication, we predicted that species recognition was maintained in stained water when olfactory information was available. Results did not support the prediction of the backup hypothesis. Species recognition was observed in the clear water treatment only, and the olfactory channel seemed to carry only limited additional information. Two mechanisms may account for the small contribution of olfaction to species recognition. (1) Females may have a lower sensory capacity to discriminate between olfactory than between visual signals. (2) Divergence between olfactory signals may be lower than divergence between visual signals. Resorting to multimodal communication does not seem to allow efficient discrimination across all environmental conditions. Therefore, we predict that hybridization rate would vary between habitats depending on water color.</t>
  </si>
  <si>
    <t>Secondi, Jean/0000-0001-8130-1195</t>
  </si>
  <si>
    <t>10.1007/s10682-014-9744-5</t>
  </si>
  <si>
    <t>WOS:000349964700002</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</si>
  <si>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</si>
  <si>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</si>
  <si>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</si>
  <si>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</si>
  <si>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</si>
  <si>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Raveh, S; Langen, K; Bakker, TCM; Josephs, C; Frommen, JG</t>
  </si>
  <si>
    <t>Raveh, Shirley; Langen, Kathrin; Bakker, Theo C. M.; Josephs, Christian; Frommen, Joachim G.</t>
  </si>
  <si>
    <t>Oddity, predation risk and social decisions in aquatic invertebrates</t>
  </si>
  <si>
    <t>Group living is widespread across animal taxa, incurring benefits such as increased foraging efficiency or an enhanced chance of surviving a predator's attack. The chances of escaping a predator are often lower for odd-looking individuals, as these are detected at a higher rate than uniform looking group members. While this oddity effect shall operate in animals differing in any given phenotype, including colour, size or species identity, it has been experimentally tested mainly for odd-coloured individuals. We examined the oddity effect and swarming preferences in two differently sized species of freshwater planktonic crustaceans (large Daphnia magna and small Daphnia pulex). We experimentally investigated whether odd individuals in a swarm of heterospecific Daphnia were more vulnerable to predation by a common predator, the three-spined stickleback (Gasterosteus aculeatus). Furthermore, Daphnia's swarming preference was tested by giving individuals the opportunity to choose between conspecific/heterospecific odour and a neutral control. In contrast to the predictions of the oddity effect, odd individuals were not always preyed on earlier; instead three-spined stickleback preferentially predated large, more nutritious individuals. Daphnia of both species reacted towards the perception of con- and heterospecifics odours. While D. pulex generally avoided the smell of other daphnids, D. magna avoided conspecifics but tended to prefer heterospecifics over the neutral control. These findings provide new insights into swarming strategies and social preference of an invertebrate and how this behaviour can influence predation risk.</t>
  </si>
  <si>
    <t>Bakker, Theo/AAI-3587-2020; Frommen, Joachim/D-6802-2013</t>
  </si>
  <si>
    <t>Frommen, Joachim/0000-0002-1752-6944</t>
  </si>
  <si>
    <t>10.1111/eth.12835</t>
  </si>
  <si>
    <t>WOS:000455963400005</t>
  </si>
  <si>
    <t>Winfrey, C; Fincke, OM</t>
  </si>
  <si>
    <t>Winfrey, Claire; Fincke, Ola M.</t>
  </si>
  <si>
    <t>Role of visual and non-visual cues in damselfly mate recognition</t>
  </si>
  <si>
    <t>INTERNATIONAL JOURNAL OF ODONATOLOGY</t>
  </si>
  <si>
    <t>In many species of damselflies, sexual conflict in the form of male harassment is thought to explain the widespread existence of female-limited color polymorphisms. With a few exceptions, the majority of investigations into these mating systems have assumed that male damselflies primarily use visual cues to detect and recognize their mates. Recently, laboratory studies have demonstrated that damselflies orient to olfactory signals from prey and that males orient to chemical cues from conspecific females. However, to date there are no field experiments which explicitly test the role that chemical cues play in sex recognition. Here we used a field experiment on Enallagma civile damselflies to test if free flying males detect and recognize females in the absence of visual cues through the use of non-visual signals. In the absence of visual cues males did not exhibit positive responses toward female conspecifics, whereas when both visual and non-visual cues were present, males readily detected females and often tried to mate with them. Although it is possible that non-visual cues may be involved during close contact, our results emphasized that visual cues take center stage in damselfly mate recognition in the field environment. Because the field environment is the context in which selection acts on natural populations, results of this study have implications for our understanding of how selection on visual cues acts to maintain female-limited color polymorphism in damselflies whose males must search for potential mates.</t>
  </si>
  <si>
    <t>Fincke, Ola/0000-0002-4456-0136; Winfrey, Claire C./0000-0003-4628-8049</t>
  </si>
  <si>
    <t>1388-7890</t>
  </si>
  <si>
    <t>2159-6719</t>
  </si>
  <si>
    <t>10.1080/13887890.2017.1297259</t>
  </si>
  <si>
    <t>WOS:000398096300004</t>
  </si>
  <si>
    <t>Dunlap, AS; Nielsen, ME; Dornhaus, A; Papaj, DR</t>
  </si>
  <si>
    <t>Dunlap, Aimee S.; Nielsen, Matthew E.; Dornhaus, Anna; Papaj, Daniel R.</t>
  </si>
  <si>
    <t>Foraging Bumble Bees Weigh the Reliability of Personal and Social Information</t>
  </si>
  <si>
    <t>Many animals, including insects, make decisions using both personally gathered information and social information derived from the behavior of other, usually conspecific, individuals [1]. Moreover, animals adjust use of social versus personal information appropriately under a variety of experimental conditions [2-5]. An important factor in how information is used is the information's reliability, that is, how consistently the information is correlated with something of relevance in the environment [6]. The reliability of information determines which signals should be attended to during communication [6-9], which types of stimuli animals should learn about, and even whether learning should evolve [10, 11]. Here, we show that bumble bees (Bombus impatiens) account for the reliability of personally acquired information (which flower color was previously associated with reward) and social information (which flowers are chosen by other bees) in making foraging decisions; however, the two types of information are not treated equally. Bees prefer to use social information if it predicts a reward at all, but if social information becomes entirely unreliable, flower color will be used instead. This greater sensitivity to the reliability of social information, and avoidance of conspecifics in some cases, may reflect the specific ecological circumstances of bee foraging. Overall, the bees' ability to make decisions based on both personally acquired and socially derived information, and the relative reliability of both, demonstrates a new level of sophistication and flexibility in animal, particularly insect, decision-making.</t>
  </si>
  <si>
    <t>Nielsen, Matthew/0000-0002-0388-1187; Dunlap, Aimee/0000-0003-2429-5758</t>
  </si>
  <si>
    <t>MAY 9</t>
  </si>
  <si>
    <t>10.1016/j.cub.2016.03.009</t>
  </si>
  <si>
    <t>WOS:000375413700026</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</si>
  <si>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</si>
  <si>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</si>
  <si>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</si>
  <si>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</si>
  <si>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Watanabe, Mamoru/AHE-0489-2022; Ligon, Russell/M-1233-2013</t>
  </si>
  <si>
    <t>10.1093/beheco/aru034</t>
  </si>
  <si>
    <t>WOS:000336486100029</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</si>
  <si>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</si>
  <si>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</si>
  <si>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</si>
  <si>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Edward/0000-0001-8864-6495</t>
  </si>
  <si>
    <t>10.1093/beheco/11.5.520</t>
  </si>
  <si>
    <t>WOS:000089580100008</t>
  </si>
  <si>
    <t>Cadena, CD; Londoño, GA; Parra, JL</t>
  </si>
  <si>
    <t>Nesting records of five antbird species from the Colombian Amazon</t>
  </si>
  <si>
    <t>Few nests of Amazonian antbirds (Thamnophilidae and Formicariidae) have been described. Here we present nesting records for five species of antbirds found in Tinigua National Park, Colombia. A pouch-shaped pensile nest of the Warbling Antbird (Hypocnemis cantator) in a treefall gap within seasonally flooded forest contained two eggs colored like those found in French Guiana but different from those in Amazonian Brazil and Peru. The Black-spotted Bare-eye (Phlegopsis nigromaculata) also nested in seasonally flooded forest; it constructed a cup-shaped nest inside a hollow rotten stump and laid two eggs. Two naked nestlings with bright yellow bills disappeared soon after hatching. Two cup-shaped nests of the Scale-backed Antbird (Hylophylax poecilinota) were in mature terra firme forest. Both contained two eggs similar in color to those of other subspecies; nestlings were naked and had conspicuous yellow bills. Those found in one nest disappeared 11 days after hatching. A nest of the Amazonian Streaked-Antwren (Myrmotherula multostriata) containing one egg was in seasonally flooded forest close to the river bank. This egg differed in coloration from others found in Brazil and from those of other members of the M. surinamensis complex, with which it was formerly considered conspecific. A Striated Antthrush (Chamaeza nobilis) nested in an unlined natural cavity some 3 m above the ground. The nestling closely resembled the adult but was smaller, had yellow bill commissures, and a shorter tail.</t>
  </si>
  <si>
    <t>10.1676/0043-5643(2000)112[0313:NROFAS]2.0.CO;2</t>
  </si>
  <si>
    <t>WOS:000089097200002</t>
  </si>
  <si>
    <t>STUTCHBURY, BJ; ROBERTSON, RJ</t>
  </si>
  <si>
    <t>SIGNALING SUBORDINATE AND FEMALE STATUS - 2 HYPOTHESES FOR THE ADAPTIVE SIGNIFICANCE OF SUBADULT PLUMAGE IN FEMALE TREE SWALLOWS</t>
  </si>
  <si>
    <t>Delayed plumage muturation in males is relatively common among North American passerines, but the Tree Swallow (Tachycineta bicolor) is one of few species in which 1-yr-old females have a distinct subadult plumage. Although they are preproductively mature, most subadult females do not breed in their first year because of intense intrasexual competition for nesting sites. Early in the season, subadult female floaters explore for recently vacated nest sites. The subadult plumage of young females could be adaptive by communicating their low threat to residents, thereby decreasing the cost of this exploration. To determine whether resident aggression depends on intruder color, we observed live intrusions and conducted model presentations. When the resident female was out of sight or did not respond to intruders, resident males were significantly less aggressive toward subadult females than toward adult intruders in both the nest-building/egg-laying and incubation stages. Early in the season, resident females were equally aggressive toward subadult female and adult intruders. When presented simultaneously with adult and subadult female models, resident males were always more aggressive toward the adult model, whereas females were aggressive toward either model. We propose two hypotheses for the adaptive significance of subadult plumage in female Tree Swallows: subordinance signaling and sex signaling. Our results suggest that subadult females may reduce resident aggression by signaling their female status to resident males, rather than by signaling their subordinate status to resident females.</t>
  </si>
  <si>
    <t>10.1093/auk/104.4.717</t>
  </si>
  <si>
    <t>WOS:A1987K764400015</t>
  </si>
  <si>
    <t>MCCOURT, RM; THOMSON, DA</t>
  </si>
  <si>
    <t>CLEANING BEHAVIOR OF THE JUVENILE PANAMIC SERGEANT MAJOR, ABUDEFDUF-TROSCHELII (GILL), WITH A RESUME OF CLEANING ASSOCIATIONS IN THE GULF OF CALIFORNIA AND ADJACENT WATERS</t>
  </si>
  <si>
    <t>CALIFORNIA FISH AND GAME</t>
  </si>
  <si>
    <t>Cleaning behavior is described for the juvenile Panamic sergeant major, A. troschelii (Gill), in association with larger conspecific hosts and with members of schools of 4 pelagic host species in the Gulf of California and adjacent waters. Sergeant majors behaved similarly toward the 4 pelagic host species: halfbeak, Hyporhamphus sp.; striped mullet, Mugil cephalus Linnaeus; needlefish, Strongylura sp.; and wavyline grunt, Microlepidotus inornatus Gill. Individual cleaning sequences usually lasted only a few seconds and ended with the host fish darting away after a few nips by the cleaner. Cleaners often ascended a meter or more into the water column to meet hosts that had dropped out of the swimming pattern of their schools. Posing by hosts, if it occurred, was brief and without color change; poses consisted of simple changes in position of the host''s body. Generalist midwater picker-type fishes such as A. troschelii may be particularly suited for cleaning hosts in schools that are transient components of reef communities. A summary of published and unpublished reports of cleaning activity in the Gulf of California is provided.</t>
  </si>
  <si>
    <t>0008-1078</t>
  </si>
  <si>
    <t>2331-0405</t>
  </si>
  <si>
    <t>WOS:A1984TV59800004</t>
  </si>
  <si>
    <t>BARLOW, GW; ROGERS, W; FRALEY, N</t>
  </si>
  <si>
    <t>DO MIDAS CICHLIDS WIN THROUGH PROWESS OR DARING - IT DEPENDS</t>
  </si>
  <si>
    <t>Individual Midas cichlids (Cichlasoma citrinellum) show persistent differences in aggressive behavior toward dummy fish. The starting question was whether the level of such behavior can be used to predict the winner of a fight. In the first (long-term) experiment two fish were matched for size, color, and sex. After 24 h the opaque barrier separating the 2 fish was removed; they immediately behaved aggressively. Scores for aggression toward dummies did not predict the winners, nor did taking the initiative in escalation. But weight did foretell the winners, who averaged only 2% heavier than their opponents. The conventional display phase of such fights was brief (20% of total duration), and escalation was rapid. Both winners and losers sustained damage, but losers accumulated damage faster than winners. In the subsequent (short-term) experiment the fish were separated only 1-2 h. Now aggression scores perdicted winners, and winners were the fish who escalated. Weight of fish had no effect. The conventional phase was relatively much longer, about half the length of the fight. Losers accumulated damage at the same rate as the losers in the long-term experiment, but the fights were shorter; winners suffered little damage. The fish had difficulty assessing one another. Fighting prowess was remarkably uniform when weight was factored out. Daring to escalate, in contrast, varied among individuals and correlated with aggression scores. Prowess (= weight) determined the outcome in the long-term experiment, which may find its parallel in nature in intraterritorial disputes. Daring to escalate determined the winner in the short-term experiment; this may be comparable to establishing a territory in nature. Prowess probably results from strong directional selection because it has low costs and high benefits. In contrast, daring is subject to bi-directional selection because both costs and benefits are high. Resource holding potential is conventionally viewed as deriving from prowess of self and opponent and value of resource; to that one must add the individual''s inherent aggressiveness.</t>
  </si>
  <si>
    <t>10.1007/BF00303836</t>
  </si>
  <si>
    <t>WOS:A1986C822500001</t>
  </si>
  <si>
    <t>Lee, YL; Glasby, CJ</t>
  </si>
  <si>
    <t>Lee, Yen-Ling; Glasby, Christopher J.</t>
  </si>
  <si>
    <t>A new cryptic species of Neanthes (Annelida: Phyllodocida: Nereididae) from Singapore confused with Neanthes glandicincta Southern, 1921 and Ceratonereis (Composetia) burmensis (Monro, 1937)</t>
  </si>
  <si>
    <t>RAFFLES BULLETIN OF ZOOLOGY</t>
  </si>
  <si>
    <t>A new cryptic species of Neanthes (Nereididae), N. wilsonchani, new species, is described from intertidal mudflats of eastern Singapore. The new species was confused with both Ceratonereis (Composetia) burmensis (Monro, 1937) and Neanthes glandicincta Southern, 1921, which were found to be conspecific with the latter name having priority. Neanthes glandicincta is newly recorded from Singapore, its reproductive forms (epitokes) are redescribed, and Singapore specimens are compared with topotype material from India. The new species can be distinguished from N. glandicincta by slight body colour differences and by having fewer pharyngeal paragnaths in Areas II (4-8 vs 7-21), III (11-28 vs 30-63) and IV (1-9 vs 7-20), and in the total number of paragnaths for all Areas (16-41 vs 70-113). No significant differences were found in the morphology of the epitokes between the two species. The two species have largely non-overlapping distributions in Singapore; the new species is restricted to Pleistocene coastal alluvium in eastern Singapore, while N. glandicinta occurs in western Singapore as well as in Malaysia and westward to India.</t>
  </si>
  <si>
    <t>Glasby, Chris/R-8382-2016</t>
  </si>
  <si>
    <t>0217-2445</t>
  </si>
  <si>
    <t>2345-7600</t>
  </si>
  <si>
    <t>JUL 10</t>
  </si>
  <si>
    <t>WOS:000360400000009</t>
  </si>
  <si>
    <t>Jones, SL; Dieni, JS; Green, MT; Gouse, PJ</t>
  </si>
  <si>
    <t>Jones, Stephanie L.; Dieni, J. Scott; Green, Michael T.; Gouse, Paula J.</t>
  </si>
  <si>
    <t>Annual return rates of breeding grassland songbirds</t>
  </si>
  <si>
    <t>We used reobservation of color-banded birds to index annual breeding site fidelity of four species of songbirds that nest in the northern mixed-grass prairie of northcentral Montana (1996-2005). Territorial males of Sprague's Pipits (Anthus spragueii), and Savannah (Passerculus sandwichensis), Grasshopper (Ammodramus savannarum), and Baird's (A. bairdii) sparrows were located on five permanent study sites (19982004) and lured into mist-nets using tape broadcasts of conspecific songs and calls. The proportion reobserved was 5.3% (n = 247) across all banded adult males. Grasshopper Sparrows had the highest proportion of returns (8.9%), followed by Savannah Sparrows (5.4%), Baird's Sparrows (5.1%), and Sprague's Pipits (2.1%). Three nestling Savannah Sparrows were reobserved in subsequent years (n = 193), while no nestlings of the other species were reobserved (n = 401). Our return rates were low for all adults in comparison with typical reports of return rates for songbird species of woodland and shrubland habitats. Migratory nomadism may explain this phenomenon, where grassland migrants are opportunistic in site selection, rather than faithfully returning to potentially uninhabitable former breeding sites.</t>
  </si>
  <si>
    <t>10.1676/05-158.1</t>
  </si>
  <si>
    <t>WOS:000245113700010</t>
  </si>
  <si>
    <t>LIEBHOLD, AM; VOLNEY, WJA; WATERS, WE</t>
  </si>
  <si>
    <t>EVALUATION OF CROSS-ATTRACTION BETWEEN SYMPATRIC CHORISTONEURA-OCCIDENTALIS AND CHORISTONEURA-RETINIANA (LEPIDOPTERA, TORTRICIDAE) POPULATIONS IN SOUTH-CENTRAL OREGON</t>
  </si>
  <si>
    <t>CANADIAN ENTOMOLOGIST</t>
  </si>
  <si>
    <t>The pheromone specificity of female C. occidentalis Freeman and C. retiniana (Walsingham) from several locales, laboratory colonies, and interspecific matings was determined by observing the numbers and wing maculations of males attracted at several sites in southern Oregon. Pheromone specificity of females reared from field-collected brown (typical of C. occidentalis) and green (typical of C. retiniana) larval morphs differed considerably but differed little among sites of origin. Field-collected females attracted more males than conspecific individuals from laboratory colonies. F1 and F2 interspecific hybrids most closely resembled C. occidentalis in the numbers and types of males attracted. As a group, progeny of backcrosses to C. retiniana appeared intermediate between pure lines of the species in their pheromone specificity. Females reared from intermediate-colored field-collected larvae varied considerably in attractiveness. Most attracted groups of males similar to those attracted to female C. retiniana, but others attracted males most similar to those attracted to female progeny of C. retiniana hybrid backcrosses. Hybrid matings probably occur between these species at a low frequency in nature.</t>
  </si>
  <si>
    <t>Liebhold, Andrew M./C-1423-2008</t>
  </si>
  <si>
    <t>Liebhold, Andrew M./0000-0001-7427-6534</t>
  </si>
  <si>
    <t>0008-347X</t>
  </si>
  <si>
    <t>1918-3240</t>
  </si>
  <si>
    <t>10.4039/Ent116827-6</t>
  </si>
  <si>
    <t>WOS:A1984SW69600006</t>
  </si>
  <si>
    <t>Scherrer, MV; Agudelo, AA</t>
  </si>
  <si>
    <t>Scherrer, Marcus, V; Agudelo, Antonio A.</t>
  </si>
  <si>
    <t>A new species of Miobantia Giglio-Tos, 1917 with a novel morphological feature (Mantodea: Thespidae: Miobantiinae)</t>
  </si>
  <si>
    <t>Thespidae is the most diverse family among the Neotropical Mantodea, currently containing 33 genera and 146 species of praying mantises (Wieland &amp; Svenson, 2018). Miobantia Giglio-Tos, 1917 are small, dark coloured mantids, often found in low vegetation of humid forests near the South American Atlantic coast, from the Brazilian Northeast to the Argentine Patagonia (Scherrer, 2014). Males are active fliers, while females, apterous, are often found in leaf litter or in plants close to the ground (Scherrer, 2014; Santos et al., 2018). Despite their commonness in the Brazilian Atlantic Forest the genus received little taxonomic attention, yet had a complicated nomenclatural history. Scherrer (2014) provided a comprehensive taxonomic and nomenclatural revision of Miobantia after incorporating both molecular and morphological data to reorganize the group, resulting in the description of four new species, detailed identification keys, illustrations, association of conspecific sexes, and maps for all known species. The most recent contribution to the taxonomy of the genus was the addition of Metathespis precaria Piza, 1968 as a junior synonym of Miobantia rustica (Fabricius, 1781) (Agudelo &amp; Rivera, 2015).</t>
  </si>
  <si>
    <t>Agudelo, Antonio A./K-6311-2015</t>
  </si>
  <si>
    <t>Agudelo, Antonio A./0000-0001-6272-2146</t>
  </si>
  <si>
    <t>10.11646/zootaxa.4555.2.10</t>
  </si>
  <si>
    <t>WOS:000458428100010</t>
  </si>
  <si>
    <t>Heubel, KU; Schlupp, I</t>
  </si>
  <si>
    <t>Turbidity affects association behaviour in male Poecilia latipinna</t>
  </si>
  <si>
    <t>Male association preferences in a bisexual-unisexual species complex were studied in clear and turbid environments. In south and central Texas, where the gynogenetic sexual-parasite Poecilia formosa lives syntopically with Poecilia latipinna as its sexual host species, association times of P. latipinna males with conspecific sexual and heterospecific asexual females in clear and turbid water were measured sequentially. Turbidity had an influence on male mate association behaviour. Males spent less time with any kind of female stimulus in turbid water. There was no preference for conspecific sexual females, either in turbid water or under clear conditions. Also, origin of males and acclimatization to turbid water had no effect. How turbidity as a source of visual noise might affect communication among individuals and how this environmental factor might contribute to the stability of this sexual-asexual mating complex in nature are discussed.</t>
  </si>
  <si>
    <t>Heubel, Katja/J-4060-2012; Schlupp, Ingo/C-3913-2012</t>
  </si>
  <si>
    <t>Heubel, Katja/0000-0002-7946-5542; Schlupp, Ingo/0000-0002-2460-5667</t>
  </si>
  <si>
    <t>10.1111/j.0022-1112.2006.00941.x</t>
  </si>
  <si>
    <t>WOS:000235469400016</t>
  </si>
  <si>
    <t>Obozova, TA; Smirnova, AA; Zorina, ZA</t>
  </si>
  <si>
    <t>Obozova, T. A.; Smirnova, A. A.; Zorina, Z. A.</t>
  </si>
  <si>
    <t>THE EARLY ONTOGENY OF THE BEHAVIOUR OF THE YOUNG IN LARGE-BILLED CROWS (CORVUS MACRORHYNCHOS) IN THEIR NATURAL ENVIRONMENT</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</si>
  <si>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</si>
  <si>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Smirnova, Anna/C-9962-2015</t>
  </si>
  <si>
    <t>Smirnova, Anna/0000-0002-4446-2990</t>
  </si>
  <si>
    <t>10.7868/S0044513418010051</t>
  </si>
  <si>
    <t>WOS:000429884500005</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</si>
  <si>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</si>
  <si>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</si>
  <si>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</si>
  <si>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</si>
  <si>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Williams, KA; Bartholomay, PR; Cambra, RA; Pitts, JP; Oliveira, ML</t>
  </si>
  <si>
    <t>Williams, Kevin A.; Bartholomay, Pedro R.; Cambra, Roberto A.; Pitts, James P.; Oliveira, Marcio L.</t>
  </si>
  <si>
    <t>Revision of Cephalomutilla Andre (Hymenoptera: Mutillidae) including one new species, three new sex associations, and nine new synonymies</t>
  </si>
  <si>
    <t>AUSTRAL ENTOMOLOGY</t>
  </si>
  <si>
    <t>Cephalomutilla Andre, 1908, a genus of velvet ants (Mutillidae), currently composed of 11 species previously recognized from females only, is here revised. A new species from Colombia, C. cabezona Williams, sp. nov., is recognized from both sexes and newly described. The previously unknown male of C. zelichi Casal, 1963 is associated and described. Mutilla vulnerifera Andre, 1908, syn. nov., is recognized as the male of C. haematodes (Gerstaecker, 1874), and the following species are recognized as synonymous colour variants of C. haematodes: C. albicalcaris Mickel, 1960, syn. nov.; C. argyrosticta (Burmeister, 1875), syn. nov.; and C. flavigastra Mickel, 1960, syn. nov. Cephalomutilla proxima (Smith, 1879), comb. nov., is transferred to Cephalomutilla, and the following species previously recognized from females only were recognized as conspecific with C. proxima: C. confluenta Mickel, 1960, syn. nov.; C. distincta Mickel, 1960, syn. nov.; C. fasciata Mickel, 1960, syn. nov.; C. transversa Mickel, 1960, syn. nov.; and C. vivata (Cresson, 1902), syn. nov. Keys and illustrations are provided for all five currently valid species of Cephalomutilla.</t>
  </si>
  <si>
    <t>Bartholomay, Pedro/AGI-5160-2022; Oliveira, Marcio/KIC-9104-2024</t>
  </si>
  <si>
    <t>Reck Bartholomay, Pedro/0000-0003-3429-6455</t>
  </si>
  <si>
    <t>2052-1758</t>
  </si>
  <si>
    <t>2052-174X</t>
  </si>
  <si>
    <t>10.1111/aen.12596</t>
  </si>
  <si>
    <t>WOS:000805597200003</t>
  </si>
  <si>
    <t>Gosliner, TM; Schaefer, MC; Millen, SV</t>
  </si>
  <si>
    <t>A new species of Doriopsilla (Nudibranchia: Dendrodorididae) from the Pacific coast of North America, including a comparison with Doriopsilla albopunctata (Cooper, 1863)</t>
  </si>
  <si>
    <t>VELIGER</t>
  </si>
  <si>
    <t>Much confusion has surrounded the systematics of the yellow species of Dendrodorididae inhabiting the Pacific coast of North America. Re-examination of Doris albopunctata Cooper, 1863, indicates that it is properly placed in Doriopsilla. Examination of specimens from different localities throughout California, the Pacific coast of Baja California, and within the Gulf of California, indicates that ail white-gilled specimens are conspecific with D. albopunctata, and that D. fulva (MacFarland, 1905) and D. reticulata (Cockerell &amp; Eliot, 1905) are regarded as junior synonyms. A second species with yellow gills is here described as Doriopsilla gemela, It differs from D. albopunctata in aspects of its color pattern, external morphology, digestive system, reproductive anatomy, and developmental biology. The two species also differ in allozyme allelic frequencies. Doriopsilla gemela and D. albopunctata are also compared to other members of the genus present in the eastern Pacific. These comparisons show that, while D. gemela and D. albopunctata are externally similar to each other, their internal anatomy is more similar to other species than to each other.</t>
  </si>
  <si>
    <t>0042-3211</t>
  </si>
  <si>
    <t>WOS:000081353100001</t>
  </si>
  <si>
    <t>Hegedus, M; DeVries, P; Penz, CM</t>
  </si>
  <si>
    <t>Hegedus, Miles; DeVries, Phil; Penz, Carla M.</t>
  </si>
  <si>
    <t>The Influence of Mimicry on Wing Shape Evolution in the Butterfly Papilio dardanus (Lepidoptera: Papilionidae)</t>
  </si>
  <si>
    <t>Throughout its range in Africa, Papilio dardanus Brown, 1776 (Lepidoptera: Papilionidae) displays female-limited mimicry of multiple model species, and the absence of hind wing tails is an important component of their mimetic convergence. Nonmimetic P. dardanus females have a narrow, disjunct distribution (Ethiopia, Madagascar, Comoros), and resemble males in color and by possessing hind wing tails. We used elliptical Fourier analysis to investigate whether mimetic P. dardanus female forms converged on the wing shape of their unpalatable models in the tribes Acraeini and Danaini (Lepidoptera: Nymphalidae). Models varied in forewing and hind wing shapes, and separated in shape space according to phylogenetic affinities. Forewing and hind wing shapes of mimics did not closely match those of models. Nonetheless, we found that mimetic P. dardanus female hind wings differed from conspecific males that had their tails photographically removed to allow standardized comparisons. Four nonmimetic Papilio Linnaeus, 1758 (Lepidoptera: Papilionidae) species did not show significant wing shape dimorphism between sexes, supporting the idea that in P. dardanus females, the evolution of mimicry led to changes in hind wing shape beyond the loss of tails.</t>
  </si>
  <si>
    <t>10.1093/aesa/say045</t>
  </si>
  <si>
    <t>WOS:000467951400004</t>
  </si>
  <si>
    <t>Takano, T; Hirano, YM; Trowbridge, CD; Hirano, YJ; Watano, Y</t>
  </si>
  <si>
    <t>Takano, Tsuyoshi; Hirano, Yayoi M.; Trowbridge, Cynthia D.; Hirano, Yoshiaki J.; Watano, Yasuyuki</t>
  </si>
  <si>
    <t>Taxonomic clarification in the genus Elysia (Gastropoda: Sacoglossa): E. atroviridis and E. setoensis</t>
  </si>
  <si>
    <t>Species of the genus Elysia Risso, 1818 have relatively few external characters useful for species identification, and features such as papillae and/or color markings on the body surface are often used to classify and identify species. Elysia atroviridis Baba, 1955 and E. setoensis Hamatani, 1968, for example, have been described as distinct based mainly on such characters. Close examinations of 46 specimens identifiable as either species collected from nine localities in Japan revealed that many specimens exhibited mixed features of the two species. Detailed comparisons of radular morphology could also not differentiate the two species. With phylogenetic analyses based on COI and 16S rRNA (1072 bp in total), all of the examined specimens formed a single clade with very little variation among specimens. The AMOVA of the specimen haplotypes showed there was no significant genetic differentiation in relation to differences in external morphology, geographic region, or algal host. Our results indicate that E. atroviridis and E. setoensis are conspecific. In contrast, cryptic species were found in two other clades of congeners, indicating that further taxonomic scrutiny is needed within the genus.</t>
  </si>
  <si>
    <t>Watano, Yasuyuki/0000-0001-5814-9658</t>
  </si>
  <si>
    <t>10.4003/006.031.0114</t>
  </si>
  <si>
    <t>WOS:000338769900003</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</si>
  <si>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</si>
  <si>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</si>
  <si>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</si>
  <si>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Dale, James/E-7203-2011</t>
  </si>
  <si>
    <t>Dale, James/0000-0001-5950-5829</t>
  </si>
  <si>
    <t>10.1086/320861</t>
  </si>
  <si>
    <t>WOS:000169198200006</t>
  </si>
  <si>
    <t>Hsu, YF; Tsukiyama, H; Chiba, H</t>
  </si>
  <si>
    <t>Hasora anura de Niceville from Taiwan (Lepidoptera: Hesperiidae: Coeliadinae) representing a new subspecies endemic to the island</t>
  </si>
  <si>
    <t>ZOOLOGICAL STUDIES</t>
  </si>
  <si>
    <t>Hasora anura de Niceville from Taiwan (Lepidoptera: Hesperiidae: Coeliadinae) representing a new subspecies endemic to the island. Zoological Studies 44(2): 200-209. Populations of Hasora anura of Taiwan possess morphological characters and larval host usage which differ from those of conspecific populations in continental Asia. They are considered to represent a new subspecies endemic to Taiwan. This new subspecies is characterized by 1) an ocherous ground color on the wing undersides; 2) creamy-yellow markings on the hindwing undersides; 3) a valva rapidly narrowing distally; and 4) arms of the uncus close at the base. it is monophagous as a larva, feeding on Ormosia formosana (Fabaceae), in contrast to the broader host range of the continental populations, which utilize both Ormosia and Milletia (Fabaceae) as larval hosts. Year-round observations of the occurrence of immatures of this new subspecies and documentation in literature records suggest that it is a univoltine species, in which the occurrence of immatures is synchronized with the annual budding of its host; it probably overwinters as an adult.</t>
  </si>
  <si>
    <t>1021-5506</t>
  </si>
  <si>
    <t>1810-522X</t>
  </si>
  <si>
    <t>WOS:000229810000003</t>
  </si>
  <si>
    <t>Mullen, SP; Andrés,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</si>
  <si>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</si>
  <si>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</si>
  <si>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</si>
  <si>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</si>
  <si>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</si>
  <si>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</si>
  <si>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KNOWLTON, N; KELLER, BD</t>
  </si>
  <si>
    <t>A NEW, SIBLING SPECIES OF SNAPPING SHRIMP ASSOCIATED WITH THE CARIBBEAN SEA-ANEMONE BARTHOLOMEA-ANNULATA</t>
  </si>
  <si>
    <t>BULLETIN OF MARINE SCIENCE</t>
  </si>
  <si>
    <t>Alpheus immaculatus, a new species of snapping shrimp associated with the Caribbean sea anemone Bartholomea annulata, is described and figured. This new species, together with the well known Alpheus armatus, and a much rarer, as yet undescribed, 3rd species, make up a complex of sibling species that share the same host and are extremely similar morphologically. A small set of distinctive color pattern differences unambiguously distinguishes these species when alive and 1 morphological character can also be used to distinguish the 2 species in most preserved specimens. No reproductive pairings between species have been observed in the field. In the laboratory, adult males and females of different species behave very aggressively towards each other, in contrast to the placid interactions between conspecific, adult, male-female pairs. The distribution of A. immaculatus is wider with respect to depth than that of A. armatus. Deeper than 15 m, including all collections from anemones seaward of the reef crest, only A. immaculatus has been found. In many shallower backreef areas, A. armatus and A. immaculatus occur microsympatrically, although in some locations only A. armatus is found.</t>
  </si>
  <si>
    <t>0007-4977</t>
  </si>
  <si>
    <t>1553-6955</t>
  </si>
  <si>
    <t>WOS:A1983QR68900012</t>
  </si>
  <si>
    <t>McLean, S; Morrell, LJ</t>
  </si>
  <si>
    <t>McLean, Stephanie; Morrell, Lesley J.</t>
  </si>
  <si>
    <t>Consistency in the strength of laterality in male, but not female, guppies across different behavioural contexts</t>
  </si>
  <si>
    <t>Laterality, the division of brain functions into separate hemispheres, is widespread across animal taxa. Lateralized individuals exhibit cognitive advantages yet substantial variation in laterality exists, particularly between the sexes. Why variation is maintained is unknown as few studies consider differences in lateralized behaviours between the sexes, and their underlying selection pressures, across different contexts. We investigated if Poecilia reticulata exhibited sex differences in the direction, strength and consistency of lateralization. We assessed the turning preferences of individuals detouring around a barrier to view visual stimuli representative of different behavioural contexts: an artificial object of familiar colour, an opposite sex conspecific and a no stimulus control. While no sex differences were evident in the direction or strength of laterality, consistency in the strength of laterality varied between the sexes. Individuals of both sexes consistently detoured in one direction, but the strength of laterality exhibited by males was more predictable than females across contexts. This suggests that predictability of lateralization across ecologically relevant scenarios represents a key, but previously unexplored, source of variation between the sexes.</t>
  </si>
  <si>
    <t>Morrell, Lesley J/A-4311-2008; McLean, Stephanie/AAU-4892-2020</t>
  </si>
  <si>
    <t>McLean, Stephanie/0000-0002-1853-7573</t>
  </si>
  <si>
    <t>MAY 27</t>
  </si>
  <si>
    <t>10.1098/rsbl.2019.0870</t>
  </si>
  <si>
    <t>WOS:000535684800001</t>
  </si>
  <si>
    <t>RAITT, RJ</t>
  </si>
  <si>
    <t>RELATIONSHIPS BETWEEN BLACK-EARED AND PLAIN-EARED FORMS OF BUSHTITS (PSALTRIPARUS)</t>
  </si>
  <si>
    <t>The longstanding problem of relationships among populations of bushtits in the southwestern United States and northern Mexico was pursued through field work and examination of specimens. Results for the Chisos Mountains of west Texas and other critical areas indicate a situation of polymorphism in head coloration, rather than 1 of 2 sympatric spp.; Psaltriparus melanotis and P. minimus are, therefore, conspecific. Black-eared individuals occur among juvenile and adult males and among juvenile females in various populations; the percentages of such individuals and the extent of black coloration in the individual increase from north to south in 2 clines, 1 centering in west Texas, the other in northeastern Sonora. Other color characteristics vary more or less concordantly. Ecology and behavior of black-eared and plain-eared forms appear identical. Patterns of variation suggest that clines are due to secondary inter gradation between 2 weakly differentiated groups, following a period of geographic isolation. Support for this interpretation is found in distributions of closely related forms in other genera of birds occupying similar habitats in the same region.</t>
  </si>
  <si>
    <t>10.2307/4083332</t>
  </si>
  <si>
    <t>WOS:A1967A201400003</t>
  </si>
  <si>
    <t>Dale, S; Steifetten, O; Osiejuk, TS; Losak, K; Cygan, JP</t>
  </si>
  <si>
    <t>Dale, Svein; Steifetten, Oyvind; Osiejuk, Tomasz S.; Losak, Katarzyna; Cygan, Jakub P.</t>
  </si>
  <si>
    <t>How do birds search for breeding areas at the landscape level? Interpatch movements of male ortolan buntings</t>
  </si>
  <si>
    <t>ECOGRAPHY</t>
  </si>
  <si>
    <t>Animal movements at large spatial scales are of great importance in population ecology, yet little is known due to practical problems following individuals across landscapes. We studied the whole Norwegian population of a small songbird (ortolan bunting, Emberiza hortulana) occupying habitat patches dispersed over nearly 500 km(2). Movements of colour-ringed males were monitored during ten years, and extensive long-distance dispersal was recorded. More than half of all cases of breeding dispersal took place within one breeding season, and males moved up to 43 km between singing territories, using 1-22 d. Natal dispersal was usually to a habitat patch close to the natal patch, or within the natal patch if it was large. Breeding dispersal movements were often long-distance, beyond neighbouring patches, and up to 11-19 patches were overflown. Movements of at least 6-9 km across areas of unsuitable habitat occurred regularly. The number of patches visited was low (1-4) even though search costs in terms of time spent moving from one site to another were relatively low (often only a few days even for distances &gt; 10 km). Most males seemed to use a threshold tactic when choosing a patch, but returns to previously visited patches were recorded, including some cases of commuting. In conclusion, male ortolan buntings have a surprising ability to move quickly at the landscape level, and this resulted in a high connectivity of patches. We discuss our results in relation to optimal searching strategies, in particular the use of within-breeding season versus post-breeding season search, conspecific attraction and adaptive late arrival of young birds.</t>
  </si>
  <si>
    <t>Losak, Katarzyna/KFB-6230-2024; Osiejuk, Tomasz S/A-1230-2008</t>
  </si>
  <si>
    <t>Losak, Katarzyna/0000-0002-3398-9092; Osiejuk, Tomasz/0000-0001-5980-7421</t>
  </si>
  <si>
    <t>0906-7590</t>
  </si>
  <si>
    <t>10.1111/j.2006.0906-7590.04816.x</t>
  </si>
  <si>
    <t>WOS:000243634500010</t>
  </si>
  <si>
    <t>Kroken, KK; Sæthre, AA; Nicolaisen, O; Egeland, TB; Nordeide, JT</t>
  </si>
  <si>
    <t>Kroken, Karl Kristian; Saethre, Axel Aas; Nicolaisen, Ove; Egeland, Torvald Blikra; Nordeide, Jarle Tryti</t>
  </si>
  <si>
    <t>Carotenoids-based reddish pelvic spines in nonreproducing female and male sticklebacks (Gasterosteus aculeatus) - Signalling social dominance?</t>
  </si>
  <si>
    <t>Conspicuous ornaments are often considered a result of evolution by sexual selection. According to the social selection hypothesis, such conspicuous traits may also evolve as badges of status associated with increased boldness or aggression toward conspecifics in conflicts about ecological resources. This study tested predictions from the social selection hypothesis to explain evolution of conspicuous red color of the pelvic spines of the three-spine stickleback (Gasterosteus aculeatus). Wild nonreproducing sticklebacks were presented to pairs of dummies which differed at their pelvic spines, having either (i) normal-sized gray or red pelvic spines or (ii) normal-sized gray or large red pelvic spines. The experimental tank was illuminated by white or green light, since green light impedes the sticklebacks' ability to detect red color. The dummies moved slowly around in circles at each end of the experimental tank. We quantified the parameters (i) which of the two dummies was visited first, (ii) time taken before the first visit to a dummy, (iii) distribution of the focal sticklebacks in the two zones close to each of the two dummies and in the neutral zone of the tank, (iv) close to which of the two dummies did the focal fish eat its first food-piece, and (v) time spent until the first piece of food was eaten. This was carried out for 22 females and 29 males sticklebacks. The results suggested no effect of the color or size of the dummies' pelvic spines, on none of the five behavioral parameters. Moreover, neither the color of the pelvic spines of the focal sticklebacks themselves (as opposed to redness of the dummies' spines) nor their body length was associated with behavior toward the dummies. Thus, this study did not support predictions from the social selection hypothesis to explain evolution of red pelvic spines in sticklebacks.</t>
  </si>
  <si>
    <t>Egeland, Torvald B./0000-0003-4768-1678</t>
  </si>
  <si>
    <t>10.1002/ece3.7892</t>
  </si>
  <si>
    <t>WOS:000670837800001</t>
  </si>
  <si>
    <t>SWAIN, DP; HOLTBY, LB</t>
  </si>
  <si>
    <t>DIFFERENCES IN MORPHOLOGY AND BEHAVIOR BETWEEN JUVENILE COHO SALMON (ONCORHYNCHUS-KISUTCH) REARING IN A LAKE AND IN ITS TRIBUTARY STREAM</t>
  </si>
  <si>
    <t>CANADIAN JOURNAL OF FISHERIES AND AQUATIC SCIENCES</t>
  </si>
  <si>
    <t>Juvenile coho salmon (Oncorhynchus kisutch) rear both in Mesachie Lake, B.C., [Canada] and in its inlet stream. The duration and frequency of aggressive behavior were greater among stream-rearing than lake-rearing juveniles in mirror image stimulation and stream tank tests of agonistic behavior. Lateral displays made up a higher proportion of total behavior among the stream-rearing fish compared with the lake-rearing fish. Lake-type fish had more posteriorly placed pectoral fins, shallower bodies and smaller, less brightly colored dorsal and anal fins than did stream-type fish, even after 2 mo of laboratory rearing in a common environment. Diminished aggression, a shift in aggressive behavior away from lateral displays, a more streamlined shape, and reduced coloration, all appear to be adaptations to a schooling lifestyle in the open waters of the lake.</t>
  </si>
  <si>
    <t>0706-652X</t>
  </si>
  <si>
    <t>1205-7533</t>
  </si>
  <si>
    <t>10.1139/f89-180</t>
  </si>
  <si>
    <t>WOS:A1989AJ57000018</t>
  </si>
  <si>
    <t>Sandberger, L; Hillers, A; Doumbia, J; Loua, NS; Brede, C; Rödel, MO</t>
  </si>
  <si>
    <t>Sandberger, Laura; Hillers, Annika; Doumbia, Joseph; Loua, Nema-Soua; Brede, Christian; Roedel, Mark-Oliver</t>
  </si>
  <si>
    <t>Rediscovery of the Liberian Nimba toad, Nimbaphrynoides liberiensis (Xavier, 1978) (Amphibia: Anura: Bufonidae), and reassessment of its taxonomic status</t>
  </si>
  <si>
    <t>We report on the search and rediscovery of the Liberian Nimba toad, Nimbaphrynoides liberiensis, 30 years after its original description. A small surviving population could be traced in the surroundings of the type locality Mount Alpha, Liberia. The type locality was meanwhile destroyed by open cast mining. Similar to the Guinean Nimba toad, Nimbaphrynoides occidentalis, the Liberian toad lives exclusively in open, savanna like habitats above 1200 m a.s.l. The presumably few surviving individuals and the small and patchy distribution classify the Liberian toads as Critically Endangered (Stuart et al. 2008). A morphological, acoustical and genetic comparison of Liberian and Guinean populations revealed only minor, but distinct morphological (size, colour) differences. Genetically and acoustically the two taxa were indistinguishable. We therefore propose to consider the two populations as conspecific and to consider Nimbaphrynoides liberiensis (Xavier, 1978) as junior synonym of Nimbaphrynoides occidentalis (Angel, 1943). Because of the morphological differences we propose to treat the Liberian population as a subspecies of the Guinean toad and herein introduce the new name: Nimbaphrynoides occidentalis liberiensis.</t>
  </si>
  <si>
    <t>FEB 10</t>
  </si>
  <si>
    <t>WOS:000274639400003</t>
  </si>
  <si>
    <t>CHAUVINMUCKENSTURM, B</t>
  </si>
  <si>
    <t>REACTIONS TO MODELS IN 3 SPINED STICKLEBACKS LIVING IN GROUP</t>
  </si>
  <si>
    <t>Previous experiments studying the effect of the nuptial coloration of male sticklebacks were done with isolated males presented with different inanimate models. In nature, male sticklebacks are rarely far from their congeners. In such subsocial conditions, models of various colors and shapes usually do not influence the stickleback''s behavior. They are rarely approached. Males may attack nests of other males which diverted their attention to the models. If the artificial model is close to a nest in the position of a normal male guarding its nest, it elicits practically no reaction from living males and the eggs in the nest are picked up almost immediately. Attacks on models as observed in the laboratory may be caused by the increased aggression of isolated males, but models are almost inefficient in normal social conditions. Models and living congeners are seldom confused.</t>
  </si>
  <si>
    <t>WOS:A1978FR83100004</t>
  </si>
  <si>
    <t>Young, DK</t>
  </si>
  <si>
    <t>Young, Daniel K.</t>
  </si>
  <si>
    <t>NOMENCLATURAL CHANGES IN PYROCHROINAE: THREE MAURICE PIC TYPES OF PSEUDODENDROIDES BLAIR (COLEOPTERA: PYROCHROIDAE)</t>
  </si>
  <si>
    <t>COLEOPTERISTS BULLETIN</t>
  </si>
  <si>
    <t>An examination of three Maurice Pic types of Pseudodendroides Blair requires as many nomenclatural actions. Pseudodendroides nitidicollis Pic, 1955 is transferred to Himalapyrochroa Young: Himalapyrochroa nitidicollis (Pic), new combination. Pseudodendroides distinctipennis Pic, 1938 is transferred to Sinodendroides Young: Sinodendroides distinctipennis (Pic), new combination. Pseudodendroides nitidicollis sulcatithorax 1955, Pic is congeneric with Pseudodendroides and not conspecific with Himalapyrochroa nitidicollis, hence it is elevated to specific rank: Pseudodendroides sulcatithorax Pic, new status. A lectotype is also proposed for P. distinctipennis.</t>
  </si>
  <si>
    <t>Young, Daniel/HKW-1747-2023</t>
  </si>
  <si>
    <t>0010-065X</t>
  </si>
  <si>
    <t>1938-4394</t>
  </si>
  <si>
    <t>10.1649/0010-065X-69.mo4.191</t>
  </si>
  <si>
    <t>WOS:000370895200020</t>
  </si>
  <si>
    <t>Piersanti, S; Salerno, G; Di Pietro, V; Giontella, L; Rebora, M; Jones, A; Fincke, OM</t>
  </si>
  <si>
    <t>Piersanti, Silvana; Salerno, Gianandrea; Di Pietro, Viviana; Giontella, Leonardo; Rebora, Manuela; Jones, Albyn; Fincke, Ola M.</t>
  </si>
  <si>
    <t>Tests of search image and learning in the wild: Insights from sexual conflict in damselflies</t>
  </si>
  <si>
    <t>Search image formation, a proximal mechanism to maintain genetic polymorphisms by negative frequency-dependent selection, has rarely been tested under natural conditions. Females of many nonterritorial damselflies resemble either conspecific males or background vegetation. Mate-searching males are assumed to form search images of the majority female type, sexually harassing it at rates higher than expected from its frequency, thus selectively favoring the less common morph. We tested this and how morph coloration and behavior influenced male perception and intersexual encounters by following marked Ischnura elegans and noting their reactions to conspecifics. Contrary to search image formation and associative learning hypotheses, although males encountered the minority, male-like morph more often, sexual harassment and clutch size were similar for both morphs. Prior mating attempts or copula with morphs did not affect a male's subsequent reaction to them; males rarely attempted matings with immature females or males. Females mated early in the day, reducing the opportunity for males to learn their identity beforehand. Once encountered, the male-like morph was more readily noticed by males than the alternative morph, which once noticed was more likely to receive mating attempts. Flexible behavior gave morphs considerable control over their apparency to males, influencing intersexual encounters. Results suggested a more subtle proximal mechanism than male learning maintains these color polymorphisms and call for inferences of learning to be validated by behavior of wild receivers and their signalers.</t>
  </si>
  <si>
    <t>Piersanti, Silvana/AAC-8109-2022; Di Pietro, Viviana/ISS-4833-2023; Rebora, Manuela/AAB-7848-2019; Salerno, Gianandrea/G-9296-2011</t>
  </si>
  <si>
    <t>Di Pietro, Viviana/0000-0003-1116-9795; Rebora, Manuela/0000-0002-4271-6336; Salerno, Gianandrea/0000-0002-8357-7598</t>
  </si>
  <si>
    <t>10.1002/ece3.7335</t>
  </si>
  <si>
    <t>WOS:000629779400001</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</si>
  <si>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</si>
  <si>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</si>
  <si>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</si>
  <si>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</si>
  <si>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</si>
  <si>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</si>
  <si>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Morales-Betancourt, JA; Castaño-Villa, GJ</t>
  </si>
  <si>
    <t>Alejandro Morales-Betancourt, Juan; Castano-Villa, Gabriel J.</t>
  </si>
  <si>
    <t>Males in seemingly female-like plumage do not mimic females: UV reflectance reveals temporal cryptic dimorphism in a manakin species exhibiting delayed plumage maturation</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</si>
  <si>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</si>
  <si>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</si>
  <si>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Castano-Villa, Gabriel Jaime/0000-0001-5327-8063; Morales-Betancourt, Juan Alejandro/0000-0001-5311-3269</t>
  </si>
  <si>
    <t>e01467</t>
  </si>
  <si>
    <t>10.1111/jav.01467</t>
  </si>
  <si>
    <t>WOS:000425085000003</t>
  </si>
  <si>
    <t>Honza, M; Polaciková, L</t>
  </si>
  <si>
    <t>Honza, Marcel; Polacikova, Lenka</t>
  </si>
  <si>
    <t>Experimental reduction of ultraviolet wavelengths reflected from parasitic eggs affects rejection behaviour in the blackcap Sylvia atricapilla</t>
  </si>
  <si>
    <t>Hosts of brood parasites use a variety of cues relating to eggshell appearance of parasitic eggs, which facilitate their recognition and rejection. It has been documented that host visual perception of different colours including UV wavelengths plays an important role in this respect. In the study reported here, we aimed to test whether artificial reduction of the UV wavelengths reflected from parasitic eggshell affects rejection behaviour in the blackcap Sylvia atricapilla. To achieve this goal, we experimentally manipulated, with UV, part of spectra reflected from conspecific eggs and reduced it into the range of 320-350nm. We used an ultraviolet light blocker, which did not influence the reflectance shape of other spectrum parts. We also used a group of experimental eggs coated in Vaseline, which had no effect on the spectral shape in the UV or visible ranges of the light spectrum. Additionally, we used a third experimental group of unmanipulated eggs as a control. The experimental eggs coated in the UV blocker were rejected at a higher rate than those coated in the Vaseline. Moreover, a binary logistic regression revealed that an artificial reduction of the UV wavelengths reflected from the parasitic egg significantly affected the probability of being rejected by the hosts. To our knowledge, this is the first experimental study to reveal that manipulation with UV wavelengths affects the recognition of parasitic eggs, indicating that the UV part of the spectrum has an important role in host recognition behaviour.</t>
  </si>
  <si>
    <t>Honza, Marcel/A-1123-2011; Polacikova, Lenka/G-1109-2014</t>
  </si>
  <si>
    <t>10.1242/jeb.017327</t>
  </si>
  <si>
    <t>WOS:000257620300027</t>
  </si>
  <si>
    <t>Fox, SF; Rodriguez-Romero, FD; Crosby, AA</t>
  </si>
  <si>
    <t>Fox, Stanley F.; De Jesus Rodriguez-Romero, Felipe; Acevedo Crosby, Andrea</t>
  </si>
  <si>
    <t>Juvenile-juvenile social signalling: a case for precocial sexual selection in the collared lizard, Crotaphytus collaris (Squamata: Crotaphytidae)?</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</si>
  <si>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</si>
  <si>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10.1093/biolinnean/blaa045</t>
  </si>
  <si>
    <t>WOS:000562378200007</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</si>
  <si>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</si>
  <si>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</si>
  <si>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</si>
  <si>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</si>
  <si>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</si>
  <si>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</si>
  <si>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</si>
  <si>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</si>
  <si>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</si>
  <si>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</si>
  <si>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</si>
  <si>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</si>
  <si>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Blackmer, JL; Cañas, LA</t>
  </si>
  <si>
    <t>Visual cues enhance the response of Lygus hesperus (Heteroptera: Miridae) to volatiles from host plants</t>
  </si>
  <si>
    <t>Studies were conducted to examine the behavioral response of fifth-instar and adult Lygus hesperus Knight (Heteroptera: Miridae) to odors associated with a host plant (alfalfa) when presented singly or in combination with a visual plant cue (530nm,green light-emitting diode [LED]). Bioassays were conducted in a modified Y-tube olfactometer, where incoming air was filtered and humidified before passing through chambers that held plant/conspecific treatments. A LED, placed behind an organdy screen at the end of one arm of the Y-tube, simulated a visual plant cue. In agreement with our previous findings, fifth-instar and adult female L. herperus were attracted to plant/conspecific odor combinations, but adult males were not. Independently, the LED also was attractive to immature and adult female L. hesperus, and for all life stages, a much larger percentage of the bugs walked to the extreme end of the Y-tube when the visual cue was present. When visual and volatile cues were presented simultaneously, responses by both immature and adult (male and female) L. hesperus were significantly enhanced. Plant/conspecific treatments that had been marginally acceptable when only volatile stimuli were available showed the greatest enhancement in response with the addition of the visual cue. Presentation of visual and volatile cues together led to a mean increase in the percentage of bugs that walked to the extreme end of the Y-tube (nymphs, 36.6%; females, 23.4%; males, 26.1%). Results are discussed in terms of stage-specific responses and how these behavioral differences will likely play a role in developing effective trapping and monitoring systems for this important pest.</t>
  </si>
  <si>
    <t>10.1603/0046-225X-34.6.1524</t>
  </si>
  <si>
    <t>WOS:000234031400020</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</si>
  <si>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</si>
  <si>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</si>
  <si>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</si>
  <si>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</si>
  <si>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Zhang, Zhengwang/0000-0003-1063-7198</t>
  </si>
  <si>
    <t>12-13</t>
  </si>
  <si>
    <t>10.1163/1568539X-00003295</t>
  </si>
  <si>
    <t>WOS:000362911000001</t>
  </si>
  <si>
    <t>Hammers, M; Van Gossum, H</t>
  </si>
  <si>
    <t>Hammers, Martijn; Van Gossum, Hans</t>
  </si>
  <si>
    <t>Variation in female morph frequencies and mating frequencies: random, frequency-dependent harassment or male mimicry?</t>
  </si>
  <si>
    <t>Female-limited colour polymorphisms occur in a variety of species, where often one female morph (androchrome) resembles the body coloration of the conspecific male, whereas the other (gynochrome) does not. We tested predictions of two frequency-dependent hypotheses that are commonly invoked to explain the maintenance of these polymorphisms for multiple populations of the damselfly Ischnura elegans: (1) that males prefer mating with the most abundant female morph (LMR) or (2) that androchromes are functional male mimics (MM). We also asked whether variation in social and abiotic environments account for interpopulation variation in female morph frequencies. Contrary to predictions of the LMR hypothesis, morph mating frequency was not lower than expected based on morph frequency when a morph was uncommon or higher when a morph was most common. In support of the MM hypothesis, androchrome mating frequency was lower than predicted based on population morph frequency. In addition, as predicted, androchrome mating frequency increased with increasing ratio of androchromes to males, but we could not disentangle whether this was a consequence of the changing mimic/model ratio or because of rising androchrome frequency. Although variation in female morph frequencies between populations was not random across our study area, this could not be explained by geographical variation in frequencies and densities of males and females. Androchrome frequencies were higher in populations to the north and west where ambient temperatures were lower. Abiotic conditions such as temperature may need to be considered for understanding the maintenance of female-limited polymorphisms.</t>
  </si>
  <si>
    <t>10.1016/j.anbehav.2008.06.021</t>
  </si>
  <si>
    <t>WOS:000260118000031</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</si>
  <si>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</si>
  <si>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</si>
  <si>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</si>
  <si>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</si>
  <si>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</si>
  <si>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</si>
  <si>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</si>
  <si>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</si>
  <si>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</si>
  <si>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Rahman, MA; Arakaki, Y; Yusoff, FM; Lee, SG</t>
  </si>
  <si>
    <t>Rahman, M. Aminur; Arakaki, Y.; Yusoff, Fatimah Md; Lee, Sang-Go</t>
  </si>
  <si>
    <t>Gamete incompatibility is a prezygotic barrier: evidence from experimental hybridization between two recently diverged species of Pacific sea urchins</t>
  </si>
  <si>
    <t>Four recently diverged species of Indo Pacific sea urchins, belonging to the genus Echinometra, occur most abundantly and sympatrically along the coast of Okinawa Island, southern Japan. Among them, the two most distinct species- Echinometra sp. A (Ea) and Echinometra mathaei (Blainville, 1825) (Em)-were examined for potential hybridization through a series of cross-fertilization and hybrid raising experiments. Compared to conspecific crosses, fertilization rates in both heterospecific crosses were very low, even at a very high concentration of sperm. At limited sperm concentration, where conspecific crosses achieved near 100% fertilization, heterospecific crosses had &lt;3% fertilization success. This strong block to fertilization in either heterospecific cross indicates the presence of a protein-binding system for gamete recognition. A significantly lower survival rate in larvae, juveniles, and adults does indicate a postzygotic isolating mechanism that is strong enough to limit hybrid survival, but is not complete, and did in fact cause some amount of developmental incompatibility or hybrid inviability. In adults, Em (ova) x Ea (sperm) was largest in live weight, followed by Ea (ova) x Em (sperm), Ea x Ea, and Em x Em, in that order. Other growth performances, such as test sizes, gonad weight, and gonad index of hybrids and their conspecifics, also followed the same trend as live weight. Phenotypic color patterns of the hybrids were maternally inherited, while other characters (spine length, morphology of tubefoot and gonad spicules, pedicellaria valve length, and gamete sizes) were intermediate. Ova and sperm of the F, hybrids were fertile in backcrosses, minimizing the possibility that hybrid infertility is a postzygotic isolating mechanism. Nevertheless, intensive surveys failed to find individuals with such hybrid characteristics, suggesting a very low presence or complete absence of natural hybrids in the field. This strongly suggests that pre- and postzygotic isolating mechanism(s) are isolating these species. Among these mechanisms, strong gametic incompatibility and probably microhabitat separation, differences in spawning times, gamete competition, or other factors appear to be important for maintaining genetic integrity of these two species.</t>
  </si>
  <si>
    <t>Yusoff, Fatimah/N-7065-2018</t>
  </si>
  <si>
    <t>Yusoff, Fatimah/0000-0003-4438-9065</t>
  </si>
  <si>
    <t>10.5343/bms.2017.1054</t>
  </si>
  <si>
    <t>WOS:000456290000004</t>
  </si>
  <si>
    <t>LYON, BE; MONTGOMERIE, RD</t>
  </si>
  <si>
    <t>DELAYED PLUMAGE MATURATION IN PASSERINE BIRDS - RELIABLE SIGNALING BY SUBORDINATE MALES</t>
  </si>
  <si>
    <t>Three hypotheses (Cryptic, Female Mimicry, and Winter Adaptation) have been proposed to explain the occurrence of delayed plumage maturation (DPM) in passerine birds. We show that each of these hypotheses is really a composite of two different questions about: (1) the proximate function of dull plumage in second year (SY) males and (2) the selective mechanism that has favored that proximate function. We review the three hypotheses in the context of this distinction, and we find little evidence clearly supporting any of them. We propose a few Status Signaling Hypothesis (SSH) suggesting that dull SY male plumage is a reliable signal of subordinance. We suggest that female choice based on male plumage color (as an index of male quality) is the selective mechanism that has favored subordinate status signaling by SY males. If females prefer bright males, then dull plumage may be a reliable signal of subordinance and SY males may experience reduced levels of aggression from adult males. Male characters (like plumage color) are most likely to be the object of female choice when males defend simple nesting territories with little or no variation in territory quality. In such a system, SY males with low resource-holding potential would benefit (via matings or experience) by signaling subordinance and being allowed to settle among more brightly colored adults. Thus, DPM is expected to be more prevalent when males defend simple nesting territories. This prediction of the SSH is supported by data from the literature-a significantly higher proportion of species with DPM defend simple nesting territories (versus all-purpose territories) than do species without DPM.</t>
  </si>
  <si>
    <t>Montgomerie, Robert D/C-6516-2008; Lyon, Bruce E/E-8491-2011</t>
  </si>
  <si>
    <t>10.2307/2408581</t>
  </si>
  <si>
    <t>WOS:A1986C438800014</t>
  </si>
  <si>
    <t>FLORY, RK; BLOSSER, SL</t>
  </si>
  <si>
    <t>CONTROL OF THE TEMPORAL LOCATION OF SCHEDULE-INDUCED ATTACK IN PIGEONS</t>
  </si>
  <si>
    <t>Pigeons were exposed to complex fixed-ratio schedules to assess whether the temporal location of schedule-induced attack was controlled by the discriminative properties of food or by the aversive aftereffects of food withdrawal. When exposed to a multiple fixed-ratio 25 fixed-ratio N schedule in which either fixed-ratio component occurred with equal probability according to a quasi-random sequence and in which the value of N ranged from 115-150 across subjects, all pigeons exhibited post-food attack against a rear-projectd conspecific target predominantly at the signalled onset of the higher-valued ratio component. Exposure of subjects to amixed fixed-ratio 25 chained fixed-ratio 25 fixed-ratio N-25 schedule resulted resulted in a shift of attack to the signalled onset of the fixed-ratio N-25 component rather than following food. A chained fixed-ratio N-25 schedule induced attack predominantly after food delivery rather than at the onset of the fixed-ratio N-25 component. The temporal locus of schedule-induced attack is primarily controlled by a stimulus, whether food delivery or key color change, that reliably precedes a relatively long period of reinforcer unavailability.</t>
  </si>
  <si>
    <t>10.1016/0031-9384(85)90193-3</t>
  </si>
  <si>
    <t>WOS:A1985AFN3500003</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</si>
  <si>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</si>
  <si>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</si>
  <si>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</si>
  <si>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</si>
  <si>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</si>
  <si>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</si>
  <si>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</si>
  <si>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</si>
  <si>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</si>
  <si>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</si>
  <si>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</si>
  <si>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Bonaldo, RM; Krajewski, JP; Sazima, C; Sazima, I</t>
  </si>
  <si>
    <t>Bonaldo, Roberta Martini; Krajewski, Joao Paulo; Sazima, Cristina; Sazima, Ivan</t>
  </si>
  <si>
    <t>Foraging activity and resource use by three parrotfish species at Fernando de Noronha Archipelago, tropical West Atlantic</t>
  </si>
  <si>
    <t>Parrotfishes are important components of the herbivore and detritivore guilds of tropical and subtropical reefs. Most of parrotfish species are protogynous hermaphrodites that change colour and sex, from initial phase females or males (IP) to terminal phase males (TP). We studied the foraging behaviour of Sparisoma amplum, S. axillare and S. frondosum, three syntopic scarids on the rocky reefs of Fernando de Noronha Archipelago, Tropical West Atlantic. The three parrotfish species differed in food selection and preference, but IP and TP individuals of the same species preferred the same food types, except for S. amplum. Feeding rates of IP individuals were higher than those of TP individuals, but the distribution of feeding frequencies throughout the day of IP and TP individuals of the same species was similar. IP individuals had higher feeding rates than TP ones, which seems related to the fact that TP individuals spend a large amount of time patrolling their territories and chasing away conspecific individuals at the study site. The general foraging pattern we found for S. amplum, S. axillare and S. frondosum is similar to patterns found for other parrotfish species in the Western Atlantic.</t>
  </si>
  <si>
    <t>10.1007/s00227-005-0233-9</t>
  </si>
  <si>
    <t>WOS:000238327200002</t>
  </si>
  <si>
    <t>Clemente-Carvalho, RBG; Perez, SI; Tonhatti, CH; Condez, TH; Sawaya, RJ; Haddad, CFB; dos Reis, SF</t>
  </si>
  <si>
    <t>Clemente-Carvalho, Rute B. G.; Perez, Sergio I.; Tonhatti, Carlos H.; Condez, Thais H.; Sawaya, Ricardo J.; Haddad, Celio F. B.; dos Reis, Sergio F.</t>
  </si>
  <si>
    <t>Boundaries of Morphological and Molecular Variation and the Distribution of a Miniaturized Froglet, Brachycephalus nodoterga (Anura: Brachycephalidae)</t>
  </si>
  <si>
    <t>Most miniaturized froglets of the genus Brachycephalus occur in isolation in slopes of mountain ranges at elevations varying from 600 to 1,800 m in the Atlantic Forest of eastern Brazil. For organisms such as Bracycephalus with spatially discontinuous distributions, a fundamental task is to determine whether observed patterns of variation are consistent with geographic differentiation among allopatric populations within a single species or are suggestive of a potential species boundary. We address this problem by focusing on continental and island population samples potentially assignable to Brachycephalus nodoterga (Anura: Brachycephalidae) from the perspective of variation in qualitative and quantitative morphological traits and DNA sequences. Population samples from continental and island populations share color characteristics, qualitative traits, and multivariate patterns of variation and covariation in cranial metric traits. Comparative analysis of DNA sequences showed the magnitude of molecular distances between B. nodoterga and Brachycephalus ephippium to be 1 order of magnitude larger than molecular distances within B. nodoterga and B. ephippium. We interpret the combined morphological and molecular evidence to indicate that continental and island population samples examined here are conspecific. Therefore, by defining species boundaries for B. nodoterga, we also established minimal estimates of its distribution.</t>
  </si>
  <si>
    <t>Clemente-Carvalho, Rute G/I-3318-2015; Condez, Thais/U-1772-2018; Fapesp, Biota/F-8655-2017; Sawaya, Ricardo J/F-9209-2012; dos Reis, Sergio/K-6725-2014; Haddad, Célio F. B./C-4267-2012</t>
  </si>
  <si>
    <t>Fapesp, Biota/0000-0002-9887-8449; Sawaya, Ricardo/0000-0003-1897-1836</t>
  </si>
  <si>
    <t>10.1670/14-119</t>
  </si>
  <si>
    <t>WOS:000371617900026</t>
  </si>
  <si>
    <t>Glaw, F; Köhler, J; Ratsoavina, FM; Raselimanana, AP; Crottini, A; Gehring, PS; Böhme, W; Scherz, MD; Vences, M</t>
  </si>
  <si>
    <t>Glaw, Frank; Koehler, Joern; Ratsoavina, Fanomezana M.; Raselimanana, Achille P.; Crottini, Angelica; Gehring, Philip-Sebastian; Boehme, Wolfgang; Scherz, Mark D.; Vences, Miguel</t>
  </si>
  <si>
    <t>A new large-sized species of leaf-tailed gecko (Uroplatus) from northern Madagascar</t>
  </si>
  <si>
    <t>SALAMANDRA</t>
  </si>
  <si>
    <t>We describe a large new species of leaf-tailed gecko endemic to northern Madagascar. Uroplatus garamaso sp. n. is the sister species of U. henkeli but differs by a genetic divergence &gt; 8% in the mitochondrial 16S rRNA gene, by the absence of haplotype sharing in four nuclear-encoded genes analyzed, a smaller body size, slightly narrower tail, a more pronounced yellowish/reddish iris colour in most individuals, and lack of black pigmentation on the tip of the tongue. The new species also appears to consistently differ from U. henkeli in genital morphology, with the apex of the hemipenis ending in two terminal elements consisting of 4-5 rotulae and longitudinal rows of calyces (versus an apex with irregularly distributed calyces and ending in two symmetrical structures consisting of two broader serrated fleshy elements in U. henkeli). We genetically confirm the occurrence of U. henkeli over a rather wide area, ranging from Tsingy de Bemaraha in the West to Nosy Be in the Sambirano region of northern Madagascar. Both, U. henkeli and the new species contain several deep mitochondrial lineages that are considered as conspecific due to extensive haplotype sharing and lack of obvious morphological differences among them.</t>
  </si>
  <si>
    <t>Vences, Miguel/E-5573-2010; Gehring, Philip-Sebastian/JQW-8048-2023; Scherz, Mark D./C-9870-2019; Crottini, Angelica/I-7680-2013</t>
  </si>
  <si>
    <t>Scherz, Mark D./0000-0002-4613-7761; Crottini, Angelica/0000-0002-8505-3050</t>
  </si>
  <si>
    <t>0036-3375</t>
  </si>
  <si>
    <t>WOS:001051428100001</t>
  </si>
  <si>
    <t>Lee, KK; Harrison, DK; Johnston, ME; Williams, RR</t>
  </si>
  <si>
    <t>Lee, Kok K.; Harrison, Dion K.; Johnston, Margaret E.; Williams, Richard R.</t>
  </si>
  <si>
    <t>Molecular taxonomic clarification of Ptilotus exaltatus and Ptilotus nobilis (Amaranthaceae)</t>
  </si>
  <si>
    <t>AUSTRALIAN SYSTEMATIC BOTANY</t>
  </si>
  <si>
    <t>A complete botanical key for the genus Ptilotus R. Brown ( family Amarathaceae) has not yet been published. Identifying the 100 or more Ptilotus species using morphological characters has been difficult because plants often exhibit slight morphological differences and intermediate characteristics common to several species, subspecies, varieties and forms. Ptilotus exaltatus Nees and P. nobilis ( Lindl) F. Muell share many morphological characteristics, but are classified as different species predominantly based on inflorescence colour. The current study involved a molecular phylogenetic analysis of 14 Ptilotus species using sequence data from the internal transcribed spacer ( ITS) regions ITS 1 and ITS 2 within the 18S-26S nuclear rDNA. Of the 39 accessions analysed, all except those identified as P. exaltatus and P. nobilis clustered according to their respective species based on their morphological taxonomy. In contrast, all 18 P. exaltatus and P. nobilis accessions formed a distinct monophyletic clade with 99% bootstrap values and a low level of sequence variation ( GD=0.002). Taking into account the lack of reliable morphological characters for separating P. exaltatus and P. nobilis, together with the ITS sequence data showing little genetic divergence or genetic structure, we propose that P. exaltatus and P. nobilis are conspecific.</t>
  </si>
  <si>
    <t>Harrison, Dion/F-7035-2010</t>
  </si>
  <si>
    <t>1030-1887</t>
  </si>
  <si>
    <t>10.1071/SB06010</t>
  </si>
  <si>
    <t>WOS:000244420200005</t>
  </si>
  <si>
    <t>Kasumyan, AO; Pavlov, DS</t>
  </si>
  <si>
    <t>Kasumyan, A. O.; Pavlov, D. S.</t>
  </si>
  <si>
    <t>Mechanisms of Schooling Behavior of Fish</t>
  </si>
  <si>
    <t>JOURNAL OF ICHTHYOLOGY</t>
  </si>
  <si>
    <t>The basic mechanisms of schooling behavior of fish, which is a genetically fixed species character, have been considered. The intention of schooling fish to unite with individuals of their own species or with fish that are similar in shape, color and motor activity pattern (schooling reaction) is an innate reflex that manifests itself in natural and artificial environments in individuals with different individual experiences. The intention to unite is expressed the stronger, the more schooling behavior is characteristic of fish. The larger the school, the more attractive it is for fish. To choose a school for association, it is enough that it be 2-3 times larger than the rest. This difference decreases with an increase in the number of fish in schools, with the threat of a predator attack and other stresses. In juveniles, the intention to unite with larger schools is more pronounced than in adult fish. Given a choice, fish prefer individuals of their own species and fish similar in size and color. Imitation is an unconditioned reflex, which is another important mechanism of school behavior. Imitative reactions are most pronounced in schooling fish, but their manifestation is possible if the imitated and imitating fish are conspecific and close in size. An innate optomotor reaction (following reflex) ensures that fish maintain a single school during movements and rapid maneuvering. Schooling coordination is achieved by focusing on the actions of one of the closest partners, and the parallel arrangement of fish is achieved by accurately following the leading partner. Recognition of individuals of their own species, mutual orientation and coordination of actions of fish is facilitated by schooling coloration-spots, stripes and patterns on the body, head and fins, differing in position, size, shape, color, brightness and other details. Important visual landmarks are the contrasting eyes of school partners. Schooling coloration is not present in all schooling fish. In many species, schooling coloration changes as the fish grow and develop.</t>
  </si>
  <si>
    <t>0032-9452</t>
  </si>
  <si>
    <t>1555-6425</t>
  </si>
  <si>
    <t>10.1134/S0032945223070081</t>
  </si>
  <si>
    <t>WOS:001125556700003</t>
  </si>
  <si>
    <t>Lenzi, C; Grasso, C; Nicoara, M; Savuca, A; Ciobica, A; Plavan, GI; Strungaru, SA</t>
  </si>
  <si>
    <t>Lenzi, Christian; Grasso, Chiara; Nicoara, Mircea; Savuca, Alexandra; Ciobica, Alin; Plavan, Gabriel Ionut; Strungaru, Stefan-Adrian</t>
  </si>
  <si>
    <t>Behavioral responses of zebrafish (Danio rerio) to different 2D non-moving stimuli</t>
  </si>
  <si>
    <t>ARCHIVES OF BIOLOGICAL SCIENCES</t>
  </si>
  <si>
    <t>Zebrafish (Danio rerio) is considered an experimental model organism with numerous applications in different fields. The mechanisms underlying social and reproductive preferences are complex. Most of the literature on conspecific interactions focus on the chemical communication mediated by scattered signals in the aquatic medium. The aim of this research was to evaluate the behavioral responses induced in the tested animals by artificial social stimuli. We used 20 sexually mature individuals that underwent several non-invasive behavioral tests in a cross-maze. Artificial non-moving 2D images were created for this study, using photoshop graphics software. Ethological measurements were conducted using video-tracking software (EthoVision XT). The findings showed significant sex-related differences in zebrafish responses to fixed artificial stimuli. In particular, females shoaled more with 2D non-moving images representing conspecifics phenotypically more distant (i.e. color) from them. Integrating dimension and number of individual, one large stimulus was preferred over three small stimuli in terms of cumulative and mean duration for males, and only in terms of cumulative duration for females. We concluded that 2D images representing conspecifics, even without movements, can induce a behavioral response in this species.</t>
  </si>
  <si>
    <t>Savuca, Alexandra/AAE-2056-2021; Ciobica, Alin/B-6073-2012; Plavan, Gabriel-Ionut/H-9147-2019</t>
  </si>
  <si>
    <t>Savuca, Alexandra/0000-0003-2030-1436; Nicoara, Mircea/0000-0002-9755-6771</t>
  </si>
  <si>
    <t>0354-4664</t>
  </si>
  <si>
    <t>1821-4339</t>
  </si>
  <si>
    <t>10.2298/ABS190823065L</t>
  </si>
  <si>
    <t>WOS:000524505000006</t>
  </si>
  <si>
    <t>De Grave, S; Chan, TY; Fujita, Y; Okuno, J</t>
  </si>
  <si>
    <t>De Grave, Sammy; Chan, Tin-Yam; Fujita, Y.; Okuno, Junji</t>
  </si>
  <si>
    <t>Hippolytidae and Barbouriidae (Decapoda: Caridea) collected during the Ryukyu KUMEJIMA 2009 expedition</t>
  </si>
  <si>
    <t>The present report deals with caridean shrimps from the families Hippolytidae (7 species) and Barbouriidae (1 species) collected during the KUMEJIMA 2009 expedition in the Ryukyu Islands. The deep-water hippolytid Gelastreutes crosnieri Bruce, 1990 is recorded from Kumejima based on a single female specimen, representing a considerable range extension of this species from New Caledonia to Japan. The opportunity is also taken to record and illustrate the first known male specimen of G. crosnieri, collected during the SANTO 2006 expedition off West Mavea Island, Vanuatu. The colour pattern of G. crosnieri is shown for the first time. The Kumejima and Vanuatu specimens present noticeable differences in both morphology and colouration, but appear to be conspecific based on comparison of the barcoding gene COI sequences. The recently described Lysmata lipkei Okuno &amp; Fielder, 2010 is recorded for the second time, however, not representing a significant range extension of this species. The other species reported are Saron marmoratus (Olivier, 1811), Saron neglectus De Man, 1902, Thinora maldivensis (Borradaile, 1915), Thor amboinensis (De Man, 1888), Tozeuma armatum Paul'son, 1875 (Hippolytidae), and Parhippolyte misticia (Clark, 1989) (Barbouriidae).</t>
  </si>
  <si>
    <t>De Grave, Sammy/0000-0002-2437-2445</t>
  </si>
  <si>
    <t>JUL 4</t>
  </si>
  <si>
    <t>10.11646/zootaxa.3367.1.9</t>
  </si>
  <si>
    <t>WOS:000305937000008</t>
  </si>
  <si>
    <t>FARR, JA</t>
  </si>
  <si>
    <t>SOCIAL-BEHAVIOR PATTERNS AS DETERMINANTS OF REPRODUCTIVE SUCCESS IN THE GUPPY, POECILIA-RETICULATA PETERS (PISCES, POECILIIDAE) - AN EXPERIMENTAL-STUDY OF THE EFFECTS OF INTERMALE COMPETITION, FEMALE CHOICE, AND SEXUAL SELECTION</t>
  </si>
  <si>
    <t>The reproductive success of competing male guppies P. reticulata was measured and compared to various features of social behavior and secondary sexual coloration. The most important determinant of reproductive success was the rate at which a male courted females relative to those of other males. Males with higher display rates have a greater chance of encountering a receptive female and are preferred by females. Sexual selection has resulted in the maximization of courtship activity in natural populations. If males court females with equal frequencies, those which also inseminate females through gonopodial thrusting without female cooperation have a selective advantage. A mixed strategy of displaying and gonopodial thrusting is more successful than either pure strategy. The result is a mating system which partially ignores female choice mechanisms. Intermale aggression was maladaptive. Males which displayed at higher rates than competitors were less successful if they were also more aggressive than the competitors, than when they were nonaggressive or the competitors were more aggressive. Males were not able to reduce a competitor''s courtship display rate through aggression. The low level of aggression in natural guppy populations is attributable to the fact that variance in size of males is low and fights would be lengthy before a winner could be determined. Dull males with high courtship display rates were significantly more successful than conspicuous males with low display rates. Females prefer conspicuous males only if all males exhibit equal courtship display rates. The frequency of male color patterns in a population did affect reproductive success. Courtship displays and conspicuous male coloration are probably sexually-selected characteristics which evolved in response to the occupation of invariable habitats or specialized ecological niches by a sexually monomorphic ancestor with only gonopodial thrusting as a means of inseminating females. A subsequent reinvasion of variable habitats resulted in female choice mechanisms which maximize the level of heterozygosity of their offspring, thus resulting in polymorphic populations. The coloration of male guppies is a phenotypic cue which influences female choice in such a manner that they mate with those males with whom they most probably have the fewest genes in common.</t>
  </si>
  <si>
    <t>Langerhans, R. Brian/A-7205-2009</t>
  </si>
  <si>
    <t>10.1163/156853980X00311</t>
  </si>
  <si>
    <t>WOS:A1980KK26100003</t>
  </si>
  <si>
    <t>Avarguès-Weber, A; Lachlan, R; Chittka, L</t>
  </si>
  <si>
    <t>Avargues-Weber, Aurore; Lachlan, Robert; Chittka, Lars</t>
  </si>
  <si>
    <t>Bumblebee social learning can lead to suboptimal foraging choices</t>
  </si>
  <si>
    <t>Bumblebees are influenced by socially acquired information when deciding on which flowers to forage. In some circumstances, however, this attraction towards conspecifics may lead to suboptimal foraging performance because the presence of multiple pollinators typically results in a faster rate of nectar depletion in the flower. We tested the capacity of bees to learn to avoid flowers occupied by conspecifics when they offered a lower reward than unoccupied similar flowers. Bumblebees were able to discriminate between poorly and highly rewarding flowers by using the presence of a nonsocial cue ( a wooden rectangular white block). When poorly rewarding flowers were indicated by social cues ( model bees), however, bees did not discriminate between the two flower types except when an additional cue was provided ( flower colour). These findings indicate that bumblebees attach particular meaning to conspecific presence on flowers, even when this could lead to suboptimal foraging performance. The relatively lower flexibility in the use of social than nonsocial cues suggests a biased positive value of conspecifics as indicators of rewarded flowers. (C) 2017 The Association for the Study of Animal Behaviour. Published by Elsevier Ltd. All rights reserved.</t>
  </si>
  <si>
    <t>Chittka, Lars/C-3110-2012; Avargues-Weber, Aurore/V-5795-2019</t>
  </si>
  <si>
    <t>Chittka, Lars/0000-0001-8153-1732; Lachlan, Robert/0000-0003-0946-1316</t>
  </si>
  <si>
    <t>10.1016/j.anbehav.2017.11.022</t>
  </si>
  <si>
    <t>WOS:000419600500022</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</si>
  <si>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</si>
  <si>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</si>
  <si>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</si>
  <si>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</si>
  <si>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Barron, Douglas G/GZL-8405-2022; Webster, Michael/AAB-7151-2020</t>
  </si>
  <si>
    <t>Barron, Douglas G/0000-0002-7648-8327; Webster, Michael/0000-0001-7585-4578</t>
  </si>
  <si>
    <t>10.1016/j.anbehav.2014.11.016</t>
  </si>
  <si>
    <t>WOS:000348449000017</t>
  </si>
  <si>
    <t>HANSEN, AJ; ROHWER, S</t>
  </si>
  <si>
    <t>COVERABLE BADGES AND RESOURCE DEFENSE IN BIRDS</t>
  </si>
  <si>
    <t>We propose a hypothesis to account for the evolution of coverable patches of conspicuous coloration in birds. According to the hypothesis: (1) resource of defenders use ''colour badges'' to thwart conspecific intrusions; (2) individuals not intent on challenging owners signal submissiveness with covered badges; and (3) because ownership status may change within seasons, individuals benefit from being able to produce both signals interchangeably. Coverable badges are believed to be reliable indicators of status because cheaters may pay the cost of escalated fighting with opponents. In tests with red-winged blackbirds (Agelaius phoeniceus) we found that territorial males discriminated between mounts of conspecifics with blackened epaulettes and mounts of male Brewer''s blackbirds (Euphagus cyanocephalus) and, thus, rejected the alternative species recognition hypothesis. The coverable badge hypothesis was supported by evidence that: territory owners were most aggressive toward redwing mounts showing the most red; males intruding into occupied territories covered their epaulettes; and floating males that took over experimentally vacated territories behaved as legitimate owners only minutes after entry. This hypothesis provides the first adequate explanation of the function of the coverable and conspicuous epaulettes of redwings.</t>
  </si>
  <si>
    <t>10.1016/0003-3472(86)90007-2</t>
  </si>
  <si>
    <t>WOS:A1986AZF6400007</t>
  </si>
  <si>
    <t>Romantsov, PV</t>
  </si>
  <si>
    <t>Romantsov, P. V.</t>
  </si>
  <si>
    <t>NEW DATA ON THE FAUNA OF LEAF-BEETLES (COLEOPTERA, CHRYSOMELIDAE) FROM THE SOUTH OF THE RUSSIAN FAR EAST</t>
  </si>
  <si>
    <t>Four species are recorded from Russia for the first time: Altica cirsicola Ohno 1960, Neocrepidodera recticollis (Jacoby 1885), Sphaeroderma tarsatum Baly 1874 and Cassida koreana Borowiec &amp; Cho 2011. A new colour form of Cryptocephalus flavoscutellaris Medvedev 1973 is described from Sakhalin. The variability of body coloration in Cryptocephalus nigrofasciatus Jacoby 1885 is discussed. The following synonymy is confirmed: Cryptocephalus nigrofasciatus Jacoby 1885 = Cryptocephalus turpis Chen 1942. Two taxa, Cryptocephalus sagamensis Tomov 1982 from South Korea and C. nigrofasciatus are probably conspecific. A new record of Altica caerulescens (Baly 1874) from Russia is provided and its differences from Altica viridicyanea (Baly 1874) are given. New data on the rare Aphthona ussuriensis Romantsov 2021 and Monolepta pallidula (Baly 1874) are presented. The status of three similar species of the genus Sphaeroderma Stephens 1831 (S. fuscicorne Baly 1864, S. akebiae Ohno 1964 and S. unicolor Kimoto 1965) is discussed.. new identification key to all species of this genus from the Russian Far East is compiled. Characters for distinguishing Cassida koreana Borowiec &amp; Cho 2011 from Cassida vespertina Boheman 1862 are given. Dorsal habitus photographs of adults and their genitalia are provided for all aforementioned species and their close allies.</t>
  </si>
  <si>
    <t>10.31857/S0044513423060120</t>
  </si>
  <si>
    <t>WOS:001044376400004</t>
  </si>
  <si>
    <t>Ron, SR; Coloma, LA; Cannatella, DC</t>
  </si>
  <si>
    <t>A new, cryptic species of Physalaemus (Anura: Leptodactylidae) from western Ecuador with comments on the call structure of the P-pustulosus species group</t>
  </si>
  <si>
    <t>We describe a new species of leptodactylid frog of the gemis Physalaemus from the lowlands of western Ecuador. It belongs to the P. pustulosus species group and differs from other group members in its smaller size, skin texture, tadpole characters, and advertisement call. The new species has wide variation in size and color pattern both at the intra- and inter-population levels. This variation matches that observed in P. montubio and P. randi, and render difficult its diagnosis on the basis of morphological features. A phylogenetic analysis of morphological characters shows that the new species belongs to a clade distributed west of the Andes in Ecuador and northern Peni, sister to (P. petersi + P. pustulosus). A phylogeny based on mtDNA shows that P. montubio and P. randi form a clade sister to (P. coloradorum + P. sp. nov.). The calls of these three species have two components with different acoustic features that arguably match the frequency sensitivity of the ear of conspecific females, in a manner similar to the complex calls of P. pustulosus. The new species occurs in two predominantly dry regions. the Lowland Deciduous Costa Forest, and the Lowland Semideciduous Costa Forest.</t>
  </si>
  <si>
    <t>Ron, Santiago R/J-4203-2019; Coloma, Luis/AAO-3956-2020</t>
  </si>
  <si>
    <t>Ron, Santiago R/0000-0001-6300-9350; Coloma, Luis/0000-0003-0158-2455</t>
  </si>
  <si>
    <t>10.1655/04-38</t>
  </si>
  <si>
    <t>WOS:000229100000010</t>
  </si>
  <si>
    <t>Li, X; Zhang, SL; Amaro-Blanco, I; Perera, S; Khandekar, NS; Lowey, D; Osuna, MD; Caicedo, AL</t>
  </si>
  <si>
    <t>Li, Xiang; Zhang, Shulin; Amaro-Blanco, Ignacio; Perera, Sherin; Khandekar, Nikhil Shirish; Lowey, Daniel; Osuna, Maria Dolores; Caicedo, Ana L.</t>
  </si>
  <si>
    <t>Multiple compensatory mutations contribute to the de-domestication of Iberian weedy rice</t>
  </si>
  <si>
    <t>PLANTS PEOPLE PLANET</t>
  </si>
  <si>
    <t>Societal Impact Statement Weedy plants are a major constraint on agricultural productivity. Weedy rice is a weed that invades rice fields worldwide and is responsible for reductions in rice yields. Studies to date have detected multiple independent weedy rice origins in different parts of the world. We investigated the origin of weedy rice in Spain and Portugal and found that it has evolved from a cultivated rice variety group grown locally. Iberian weeds carry mutations that reverse domesticated pericarp color to its ancestral red color. Our results imply that management strategies are needed to prevent the evolution of troublesome weeds from cultivated ancestors. Weedy rice, a damaging conspecific weed of cultivated rice, has arisen multiple times independently around the world. Understanding all weedy rice origins is necessary to create more effective weed management strategies. The origins of weedy rice in Spain and Portugal, where there are no native Oryza species, are unknown. In this study, we try to identify the likely ancestors of Iberian weedy rice and the mechanisms involved in the evolution of two weedy traits, seed shattering, and red pericarps. We used genotyping by sequencing to understand the origin of Iberian weedy rice and its relationship to other weedy, wild, and cultivated rice groups worldwide. We also genotyped candidate genes for shattering and pericarp color. We find that weedy rice in the Iberian Peninsula has primarily evolved through de-domestication of temperate japonica cultivars, with minor origins from exotic weedy rice. Iberian weeds have evolved the capacity to shatter seeds via novel loci and have acquired red pericarps via compensatory mutations in the Rc domestication gene. Our results suggest the Iberian weeds have experienced selection at multiple locations in the genome to establish as weeds, likely targeting male fertility genes among other functions. Our characterization of Iberian weedy rice adds to the growing evidence that de-domestication of cultivated rice varieties is the main source of weedy rice worldwide. Their evolutionary versatility explains why weedy rice continues to be one of the most problematic weeds of cultivated rice.</t>
  </si>
  <si>
    <t>Guo, Li/KCK-9540-2024; wang, yu/IUQ-6654-2023; wang, wei/JBS-7400-2023; LI, XIAO/JCE-6169-2023; Wang, Jing/IQW-3496-2023; LI, WEI/ISS-1208-2023; LI, XIAO/IQV-9318-2023; li, wei/IUQ-2973-2023; Tang, Wei/IZQ-1283-2023; Li, Jiaai/JCO-0168-2023; li, yang/IQV-3559-2023</t>
  </si>
  <si>
    <t>Wang, Jing/0000-0002-8296-2961; Lowey, Daniel/0000-0001-5290-1378; Caicedo, Ana/0000-0002-0378-6374; Amaro Blanco, Ignacio/0000-0002-5434-6854; Li, Xiang/0000-0003-0257-6110</t>
  </si>
  <si>
    <t>2572-2611</t>
  </si>
  <si>
    <t>10.1002/ppp3.10286</t>
  </si>
  <si>
    <t>WOS:000820245800001</t>
  </si>
  <si>
    <t>Gould, GM; Augustine, JK</t>
  </si>
  <si>
    <t>Gould, Geoffrey M.; Augustine, Jacqueline K.</t>
  </si>
  <si>
    <t>Multiple signals predict male mating success in the lek-mating lesser prairie-chicken (Tympanuchus pallidicinctus)</t>
  </si>
  <si>
    <t>Sexual selection theory maintains that traits under selection honestly advertise qualities of signaling individuals and that only individuals in the best condition can survive while displaying maximally elaborated secondary sexual ornaments. Recent trends in mate choice studies have favored the consideration of the effects of multiple traits on mating success, including suites of traits transmitted in different sensory modalities. Sexual selection is expected to be especially strong in lek-mating species. The lesser prairie-chicken (Tympanuchus pallidicinctus) is a grouse species which breeds on leks. Males of this species perform audio and locomotor displays and exhibit two pairs of brightly colored ornaments. We performed an observational study of mate choice in spring 2016-2018 and noted 40 copulations on seven leks. We quantified behavioral, territorial, and morphological characteristics of males along with ornament color properties. We found that variables from all categories considered predicted female choice. Age had the strongest effect, with adult males experiencing higher female choice relative to yearlings. Allocation of aggressive behavior and comb color properties were also strongly correlated with female choice. Our results show that modulating behavior depending on whether females are present contributes to male mating success and highlight the importance of the size and color properties of secondary ornaments. Further research is required to determine how the variables most strongly associated with mate choice relate to one another and which aspects of individual quality, if any, are signaled by color ornaments. Future studies could also incorporate variables related to females to determine if selection on females occurs. Significance statement The choice of a mate can help determine the survival and reproductive success of offspring. In species where males do not care for offspring, mate choice can be highly consistent among females, and mate choice decisions are often based on the evaluation of multiple traits such as vocalizations, behavior, and morphological trait size. Based on measurements of captured males and observations of breeding behavior, we demonstrate that mate choice in lesser prairie-chickens (Tympanuchus pallidicinctus) correlates with male behavior, morphology, skin patch color, and territorial characteristics. Our findings represent a rare demonstration of mating success being influenced by how male behavior (including aggression) changes when females are present or absent. Our results show how multiple traits can transmit information about individual quality and support theoretical links between mate choice and increased male age or male-male competition.</t>
  </si>
  <si>
    <t>Augustine, Jacqueline K/C-5703-2011</t>
  </si>
  <si>
    <t>Gould, Geoffrey/0000-0002-7521-5853</t>
  </si>
  <si>
    <t>OCT 25</t>
  </si>
  <si>
    <t>10.1007/s00265-020-02920-2</t>
  </si>
  <si>
    <t>WOS:000588357200001</t>
  </si>
  <si>
    <t>Drawert, HA</t>
  </si>
  <si>
    <t>Drawert, Heinz Arno</t>
  </si>
  <si>
    <t>A new species of the seasonal killifish genus Moema (Cyprinodontiformes: Rivulidae) from the Pirai watershed in the Southwest Amazon basin</t>
  </si>
  <si>
    <t>Moema, a genus of the Rivulidae family, currently comprises 20 valid species. Most of these species inhabit temporary pools in the Amazon basin and only one species is found in the upper Paraguay basin. A new member of this genus from the upper Rio Madeira drainage is here described. Males of the new species differ from all congeners by the combination of a color pattern consisting of oblique, sometimes chevron-like, irregular rows of red and light blue double -dots on body; dark yellowish to golden pectoral fins with no visible markings; and a stripe pattern on the ventral section of caudal fin with a very narrow black marginal line, intermittent or even absent. The existence of infrageneric species groups within Moema, the geographic distribution and taxonomic aspects of the species present in the Rios Mamor?? and It??nez/Guapor?? rivers drainages, and the observation of intraspecific aggression between males and amphibious lifestyle in the new species are discussed.</t>
  </si>
  <si>
    <t>Drawert, Heinz Arno/0000-0002-8351-2495</t>
  </si>
  <si>
    <t>e220067</t>
  </si>
  <si>
    <t>10.1590/1982-0224-2022-0067</t>
  </si>
  <si>
    <t>WOS:000889065500001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</si>
  <si>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</si>
  <si>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</si>
  <si>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</si>
  <si>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</si>
  <si>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</si>
  <si>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Buniyaadi, A; Taufique, SKT; Kumar, V</t>
  </si>
  <si>
    <t>Buniyaadi, Amaan; Taufique, S. K. Tahajjul; Kumar, Vinod</t>
  </si>
  <si>
    <t>Self-recognition in corvids: evidence from the mirror-mark test in Indian house crows (Corvus splendens)</t>
  </si>
  <si>
    <t>The ability to recognize oneself is separate from recognizing a conspecific. Self-recognition is a higher cognitive function and generally tested by a mirror-mark paradigm, in which the individual recognizes and responds to an inconspicuously placed mark on body from its mirror-reflected image. Although initially suggested to be associated with large-brained mammals, the ability of self-recognition has now been shown in non-mammals, including fish and birds. Hence, studies on many more species might be useful to understand general principles and underlying mechanisms of the evolution of social intelligence. Here, we examined self-recognition ability in Indian house crows (Corvus splendens), by testing them first for mirror-induced responses and then for the mark-directed responses. A circular coloured mark was inconspicuously placed on the throat under the bill where crows could see it only from its mirror-reflected image; a similar black mark placed at identical location which was difficult to be seen served as the control condition. We evaluated how closely crows viewed and inspected the object, and expressed social, contingent and self-directed responses to the mirror and cardboard. Crows exhibited greater preference in response to the mark when in front of the mirror, compared to they were in front of the non-reflective black cardboard. The majority (4/6) crows responded to the mirror-reflected self-image, as evidenced by attempts to remove the coloured mark by using beak or claws; no such response was found in control condition. These results suggest self-recognition by Indian house crows, and support the growing evidence that the ability of self-recognition is more widely present among animals.</t>
  </si>
  <si>
    <t>Kumar, Vinod/HOF-0388-2023; Kumar, P.Vinod/HKP-1552-2023; Taufique, S K Tahajjul/AAJ-7914-2020</t>
  </si>
  <si>
    <t>Taufique, S K Tahajjul/0000-0001-8017-9159; Buniyaadi, Amaan/0000-0002-5623-2471</t>
  </si>
  <si>
    <t>10.1007/s10336-019-01730-2</t>
  </si>
  <si>
    <t>WOS:000493944300001</t>
  </si>
  <si>
    <t>Aqmal-Naser, M; Ahmad, AB</t>
  </si>
  <si>
    <t>Aqmal-Naser, Mohamad; Ahmad, Amirrudin B.</t>
  </si>
  <si>
    <t>Concerning Predation on Small Vertebrates by Alien Gold Morph Midas cichlid, Amphilophus citrinellus (Cichlidae)</t>
  </si>
  <si>
    <t>TROPICAL LIFE SCIENCES RESEARCH</t>
  </si>
  <si>
    <t>Neotropical cichlid possesses territorial aggression which explains their success as alien species that pose threats to local fauna. The feeding ecology of Midas cichlid, Amphilophus citrinellus species outside its native range had never been fully understood. We aim to determine the stomach content, length-weight relationship and condition factor of this non-native species in one of the agroecosystems in Malaysia. The fish was collected using a cast net, and the guts were dissected. The stomach content (n n = 35) revealed Midas cichlids feed on a wide array of preys including fish, amphibian and gastropod. The b-value is 2.60 (negative allometric growth) and the relative condition factor, Kn is 1.04. This result represents an initial study on the feeding aspect of this cichlid. Subsequent and continued researches are needed to evaluate the feeding behaviour and prey preferences of this species in its introduced range.</t>
  </si>
  <si>
    <t>1985-3718</t>
  </si>
  <si>
    <t>2180-4249</t>
  </si>
  <si>
    <t>10.21315/tlsr2024.35.2.15</t>
  </si>
  <si>
    <t>WOS:001292721100013</t>
  </si>
  <si>
    <t>NYFFELER, M; DONDALE, CD; REDNER, JH</t>
  </si>
  <si>
    <t>EVIDENCE FOR DISPLACEMENT OF A NORTH-AMERICAN SPIDER, STEATODA-BOREALIS (HENTZ), BY THE EUROPEAN SPECIES S-BIPUNCTATA (LINNAEUS) (ARANEAE, THERIDIIDAE)</t>
  </si>
  <si>
    <t>The European spider Steatoda bipunctata has apparently been introduced into North America through human transport. The earliest American collections were made in Nova Scotia in 1913. Until about 1933, specimens were known only on the coast of the Atlantic provinces, Maine [USA], and along the St. Lawrence River and Lake Ontario, but they are now found widely in the Atlantic Provinces, northernmost New England, and southern Quebec and Ontario. Habitats include buildings, bridges, piles of lumber and firewood, and crevices on tree trunks or among rocks. Evidence indicates that S. bipunctata, which closely resembles the native S. borealis in size, colour, microhabitat, diel activity, prey selection and utilization, life history, and sexual behaviour, can displace S. borealis. Displacement is, however, only partial, as S. borealis persists in forest habitats, where human influence is minimal. Laboratory tests on reproductive potential and interspecific aggression failed to demonstrate the method by which displacement takes place.</t>
  </si>
  <si>
    <t>10.1139/z86-130</t>
  </si>
  <si>
    <t>WOS:A1986C507200011</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</si>
  <si>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</si>
  <si>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</si>
  <si>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</si>
  <si>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</si>
  <si>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</si>
  <si>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</si>
  <si>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</si>
  <si>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</si>
  <si>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de Boer, RA; Overduin-de Vries, AM; Louwerse, AL; Sterck, EHM</t>
  </si>
  <si>
    <t>de Boer, Raissa A.; Overduin-de Vries, Anne M.; Louwerse, Annet L.; Sterck, Elisabeth H. M.</t>
  </si>
  <si>
    <t>The Behavioral Context of Visual Displays in Common Marmosets (Callithrix jacchus)</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</si>
  <si>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</si>
  <si>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 HM/C-1063-2011</t>
  </si>
  <si>
    <t>Overduin - de Vries, Anne/0000-0003-2370-7183; de Boer, Raissa/0000-0002-6064-6562</t>
  </si>
  <si>
    <t>10.1002/ajp.22167</t>
  </si>
  <si>
    <t>WOS:000324914600002</t>
  </si>
  <si>
    <t>SCHWABL, H; RAMENOFSKY, M; SCHWABLBENZINGER, I; FARNER, DS; WINGFIELD, JC</t>
  </si>
  <si>
    <t>SOCIAL-STATUS, CIRCULATING LEVELS OF HORMONES, AND COMPETITION FOR FOOD IN WINTER FLOCKS OF THE WHITE-THROATED SPARROW</t>
  </si>
  <si>
    <t>We measured plasma levels of luteinizing hormone (LH), testosterone (T), 5.alpha.-dihydrotestosterone (DHT) and corticosterone (B) in flocks of wintering white-throated sparrows. This species occurs in two colour morphs that are distinguishable by white or tan colour of the median crown stripe and differ in frequency of agonistic behaviour during the reproductive season. During winter, white-throated sparrows form flocks that are characterized by dominance hierarchies, in which social rank was correlated with sex and age, but not with crown colour. Plasma levels of LH and androgens (T and DHT) were basal in most free-living and captive birds and not correlated with sex, age, morph or social rank. Plasma levels of testosterone did not increase in captive groups, when aggressive interactions increased due to experimental manipulation of distribution and amount of food. These results suggest (1) that dominant-subordinate relationships during the wintering phase are not based on differential aggression of plumage types and (2) that they are not maintained by elevated plasma levels of androgens in high-ranking birds. Plasma concentrations of B increased rapidly with duration of capture stress in females and first-year males, but not in adult males. Since adult males were of highest rank it appears that high social status may restrain acute adrenal response to stress. Further, baseline levels of B were highest in low-ranking first-year females and lowest in high-ranking adult males. In captive groups, amount and distribution of food resources altered levels of B. Levels appeared to be most variable and very high in some birds of intermediate rank, when agonistic interactions in competition for food were most frequent. This suggests greater impact of change in food distribution on those birds, whose social status is less clear than the high or low ranking birds.</t>
  </si>
  <si>
    <t>10.1163/156853988X00223</t>
  </si>
  <si>
    <t>WOS:A1988R479600008</t>
  </si>
  <si>
    <t>Correlates of melanization in multiple high- and low-elevation populations of the lizard, Sceloporus occidentalis: Behavior, hormones, and parasites</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</si>
  <si>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</si>
  <si>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10.1002/jez.2133</t>
  </si>
  <si>
    <t>WOS:000422728900001</t>
  </si>
  <si>
    <t>KYNARD, BE</t>
  </si>
  <si>
    <t>BREEDING-BEHAVIOR OF A LACUSTRINE POPULATION OF THREESPINE STICKLEBACKS (GASTEROSTEUS-ACULEATUS L)</t>
  </si>
  <si>
    <t>The breeding behavior of threespine sticklebacks from Wapato Lake, Washington, USA, was investigated using the ethological approach. Much of the breeding effort of males was synchronized and there were 3 peaks of abundance during the 100 day period of major breeding. In June, a male''s cycle lasted 13-14 days, during which an average male collected 1000 eggs from about 10 females. Superior reproductive success of males was associated with nesting early in the season, in vegetated littoral areas of the lake, in deep water, and in sheltered habitats. A male''s level of aggression, body color, boldness toward predators, nest concealment behavior and egg stealing behavior changed during his reproductive cycle. The changes in body color and behavior seemed related to a decreasing emphasis on stealing eggs from a rival''s nest and an increasing emphasis on parental care. Most nest offspring were cannibalized within 2 days after fertilization. Neighboring males in all stages of breeding used solitary sneaking behavior to steal eggs from a rival''s nest and most eggs were stolen by parental males. Raider packs, composed of hundreds of non-breeding male and female adults, also raided nests causing a total loss of the nest and its contents. Raiding of nests by breeding males seemed related to a shortage of food resources. Females often courted males prior to spawning. The incidence of this behavior seemed related to an excess of females.</t>
  </si>
  <si>
    <t>10.1163/156853978X00323</t>
  </si>
  <si>
    <t>WOS:A1978GF13900003</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</si>
  <si>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</si>
  <si>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</si>
  <si>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</si>
  <si>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</si>
  <si>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10.1006/anbe.1997.0531</t>
  </si>
  <si>
    <t>WOS:A1997YJ17400025</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</si>
  <si>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</si>
  <si>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</si>
  <si>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</si>
  <si>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</si>
  <si>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</si>
  <si>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</si>
  <si>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</si>
  <si>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</si>
  <si>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</si>
  <si>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Yoshikawa, A; Nakazawa, S; Asakura, A</t>
  </si>
  <si>
    <t>Yoshikawa, Akihiro; Nakazawa, Shiori; Asakura, Akira</t>
  </si>
  <si>
    <t>A Brief Description of Surface Structure and Composition of the Pseudo-Snail Shell Formed by a Sea Anemone Stylobates sp. Symbiotic with Hermit Crabs from the Deep-Sea Floor</t>
  </si>
  <si>
    <t>Sea anemones belonging to the genera Adamsia and Stylobates have a remarkable symbiotic relationship with hermit crabs. These symbiotic sea anemones produce a shell-like structure, called a carcinoecium, that covers and extends over the gastropod shell of the host hermit crab as hermit crabs grow. This structure has been described as chitinous carcinoecium or chitinous coating. A previous study investigated carcinoecia of Stylobates aeneus, the results of which indicated that it contained at least 1.7% chitin, while the remaining components were unidentified. Moreover, the microscopic structure of a carcinoecium still remains to be detailed. We, therefore, conducted detailed observations using a stereoscopic microscope and scanning electron microscope (SEM) and the analyses of the chemical composition of carcinoecia produced by Stylobates sp. (apparently conspecific with Isadamsia sp. J reported in Uchida and Soyama, 2001) associated with a pagurid hermit crab Pagurodofleinia doederleini collected in the south of the Shima Peninsula, Mie, Honshu Island, Japan at a depth of 294-306 m. Our results indicate that carcinoecia of Stylobates sp. contain HCl-soluble components (13%), NaOH-soluble components (38%), chitin (11%) and unidentified remnants (39%). Additionally, our observations show that Stylobates sp. incorporates dark-and white-colored particles that could be sand and/or mud into the carcinoecium.</t>
  </si>
  <si>
    <t>Nakazawa, Shiori/0000-0001-8179-5420</t>
  </si>
  <si>
    <t>10.2108/zs180167</t>
  </si>
  <si>
    <t>WOS:000477900300003</t>
  </si>
  <si>
    <t>Stöhr, S; Boissin, E; Hoareau, TB</t>
  </si>
  <si>
    <t>Stohr, Sabine; Boissin, Emilie; Hoareau, Thierry B.</t>
  </si>
  <si>
    <t>Taxonomic revision and phylogeny of the Ophiocoma brevipes group (Echinodermata, Ophiuroidea), with description of a new subgenus (Breviturma) and a new species</t>
  </si>
  <si>
    <t>The taxonomy of the genus Ophiocoma was last revised by Devaney in 1970. Recent discoveries of new species and re-instatement of previously synonymized names suggest that we still do not fully understand the species limits in this genus. A recent biodiversity survey of the SW Indian Ocean shallow reefs strongly suggested an unrecognised species in the genus, closely related to O. brevipes/O. dentata. This study examined both the molecular phylogenetic relationships and the morphological characteristics of several species in the genus in order to characterise the unrecognised species. The focal species clusters with O. brevipes, O. dentata, O. doederleini within a monophyletic clade supported by molecular data for the first time. The name Breviturma subgen. nov. is proposed for this clade, previously known as brevipes group. Type material of nominal species that have been synonymized with O. dentata was examined and re-assessed. Ophiocoma marmorata proved not conspecific with O. dentata. A rarely used character, dorsal disc granule density, was tested and showed differences between the examined species at similar sizes. In combination with colour pattern, disc granule density, arm spine sequence and maximum disc size, the new species was delimited morphologically and described as Ophiocoma krohi sp. nov.</t>
  </si>
  <si>
    <t>Stöhr, Sabine/B-8629-2011; Hoareau, Thierry/AAW-7628-2020; Hoareau, Thierry/A-4144-2011; BOISSIN, Emilie/F-2750-2011</t>
  </si>
  <si>
    <t>Stöhr, Sabine/0000-0002-2586-7239; Hoareau, Thierry/0000-0003-1644-0775; BOISSIN, Emilie/0000-0002-4110-790X</t>
  </si>
  <si>
    <t>DEC 9</t>
  </si>
  <si>
    <t>10.5852/ejt.2013.68</t>
  </si>
  <si>
    <t>WOS:000333018600001</t>
  </si>
  <si>
    <t>Clouse, R; Janies, D; Kerr, AM</t>
  </si>
  <si>
    <t>Resurrection of Bohadschia bivittata from B-marmorata (Holothuroidea: Holothuriidae) based on behavioral, morphological, and mitochondrial DNA evidence</t>
  </si>
  <si>
    <t>Behavior, color, body size, spicules, and mitochondrial DNA were examined in two morphs from the Bohadschia marmorata (Jaeger, 1833) species complex in Micronesia to test whether they are conspecific. This complex consists of eight morphs that have been described as separate species and combined in various ways for over a century. We examined the classic B. marmorata type and the type originally described as the species B. bivittata (Mitsukuri, 1912); B. bivittata was combined with B. marmorata by Panning (1944). Several observations and a phylogenetic analysis led us to conclude that R marmorata and B. bivittata should return to their status as separate species. First, R marmorata lives in shallow areas with strong currents, and B. bivittata lives on open sand between corals in deeper water. Second, the coloration of B. bivittata is distinct from B. marmorata, and although specimens collected on Yap Island differed from Mitsukuri's original description of B. bivittata, no specimens were collected with coloration intermediate between B. bivittata and R marmorata. Third, spicules are more highly branched, perforated, and spiked in B. bivittata than in B. marmorata (and, in our study, spicule complexity did not correlate with body size). Finally, our phylogenetic analysis, based on partial nucleotide sequences of 16s, 12s, and COI mitochondrial genes, resulted in a tree(Pearsonothuria graeffei (Bohadschia marmorata) (B. argus (B. bivittata)))-which shows that B. marmorata and B. bivittata are not even sister species, with B. bivittata more closely related to B. argus. Support for the clades for each Bohadschia species was strong, but the clade containing B. argus and B. bivittata had weaker support. Color and spicule examinations made of preserved B. marmorata-complex specimens from the Indo-Pacific as well as behavioral observations in the field also support the resurrection of R bivittata. (c) 2004 Elsevier GmbH. All rights reserved.</t>
  </si>
  <si>
    <t>10.1016/j.zool.2004.07.007</t>
  </si>
  <si>
    <t>WOS:000228395300003</t>
  </si>
  <si>
    <t>Grether, GF</t>
  </si>
  <si>
    <t>Grether, Gregory F.</t>
  </si>
  <si>
    <t>The Neuroecology of Competitor Recognition</t>
  </si>
  <si>
    <t>INTEGRATIVE AND COMPARATIVE BIOLOGY</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</si>
  <si>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</si>
  <si>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</si>
  <si>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</si>
  <si>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</si>
  <si>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</si>
  <si>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1540-7063</t>
  </si>
  <si>
    <t>1557-7023</t>
  </si>
  <si>
    <t>10.1093/icb/icr060</t>
  </si>
  <si>
    <t>WOS:000296101600014</t>
  </si>
  <si>
    <t>Dixit, T; Chen, KC; Stoddard, MC; Mahadevan, L; Town, CP; Spottiswoode, CN</t>
  </si>
  <si>
    <t>Dixit, Tanmay; Chen, Kuan-Chi; Stoddard, Mary Caswell; Mahadevan, Lakshminarayanan; Town, Christopher P.; Spottiswoode, Claire N.</t>
  </si>
  <si>
    <t>Repeatable randomness, invariant properties, and the design of biological signatures of identity</t>
  </si>
  <si>
    <t>What makes a perfect signature? Optimal signatures should be consistent within individuals and distinctive between individuals. In defense against avian brood parasitism, some host species have evolved signatures of identity on their eggs, comprising interindividual variation in color and pattern. Tawny-flanked prinia (Prinia subflava) egg signatures facilitate recognition and rejection of parasitic cuckoo finch (Anomalospiza imberbis) eggs. Here, we show that consistency and distinctiveness of patterns are negatively correlated in prinia eggs, perhaps because non-random, repeatable pattern generation mechanisms increase consistency but limit distinctiveness. We hypothesize that pattern properties which are repeatable within individuals but random between individuals (invariant properties) allow hosts to circumvent this trade-off. To find invariant properties, we develop a method to quantify entire egg phenotypes from images taken from different perspectives. We find that marking scale (a fine-grained measure of size), but not marking orientation or position, is an invariant property in prinias. Hosts should therefore use differences in marking scale in egg recognition, but instead field experiments show that these differences do not predict rejection of conspecific eggs by prinias. Overall, we show that invariant properties allow consistency and distinctiveness to coexist, yet receiver behavior is not optimally tuned to make use of this information.</t>
  </si>
  <si>
    <t>Dixit, Tanmay/0000-0001-5604-7965; Stoddard, Mary/0000-0001-8264-3170</t>
  </si>
  <si>
    <t>OCT 3</t>
  </si>
  <si>
    <t>10.1093/evolut/qpad134</t>
  </si>
  <si>
    <t>WOS:001050661400001</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</si>
  <si>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</si>
  <si>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</si>
  <si>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</si>
  <si>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</si>
  <si>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Roast, Michael James/P-8138-2019; Delhey, Kaspar/AAZ-5362-2020; Aranzamendi, Nataly Hidalgo/K-5904-2019; Peters, Anne/A-1821-2010</t>
  </si>
  <si>
    <t>Roast, Michael James/0000-0002-9454-7562; Delhey, Kaspar/0000-0001-5190-5406; Aranzamendi, Nataly Hidalgo/0000-0001-6967-0780; Teunissen, Niki/0000-0001-7028-0034; Fan, Marie/0000-0002-9332-0227; Peters, Anne/0000-0001-8071-0560</t>
  </si>
  <si>
    <t>10.1111/1365-2656.12855</t>
  </si>
  <si>
    <t>WOS:000441246100008</t>
  </si>
  <si>
    <t>Whiting, MJ; Xu, F; Kar, F; Riley, JL; Byrne, RW; Noble, DWA</t>
  </si>
  <si>
    <t>Whiting, Martin J.; Xu, Feng; Kar, Fonti; Riley, Julia L.; Byrne, Richard W.; Noble, Daniel W. A.</t>
  </si>
  <si>
    <t>Evidence for Social Learning in a Family Living Lizard</t>
  </si>
  <si>
    <t>Social learning is widespread among family living species, particularly mammals and birds with relatively high levels of social complexity and overt social interaction. However, the occurrence of social learning has never been documented in lizards with kin-based sociality, which have less obvious social interactions. We tested for social learning in Australian tree skinks (Egernia striolata), a species that commonly lives in family groups in the wild, using a two-step foraging task. Lizards were randomly allocated to either a social learning treatment or a control group and presented first with an instrumental task requiring the displacement of a lid, followed by an association task, consisting of two dishes with different colored lids. Prior to each task, lizards in the social learning treatment observed a trained demonstrator extract a food reward while the control also viewed a conspecific, but in the absence of the foraging task. The social learning treatment and control group solved the instrumental task at similar rates, but in the association task lizards in the social learning treatment made fewer errors and reached our learning criterion sooner. To the best of our knowledge, we present the first evidence for social learning in a lizard with kin-based sociality.</t>
  </si>
  <si>
    <t>Riley, Julia/H-6756-2019; Kar, Fonti/H-7511-2019; Whiting, Martin J./E-2999-2010; Xu, Feng/A-8626-2011; Noble, Daniel WA/H-6214-2013</t>
  </si>
  <si>
    <t>Riley, Julia/0000-0001-7691-6910; Kar, Fonti/0000-0002-2760-3974; Whiting, Martin J./0000-0002-4662-0227; Xu, Feng/0000-0001-8925-977X; Noble, Daniel WA/0000-0001-9460-8743; Byrne, Richard/0000-0001-9862-9373</t>
  </si>
  <si>
    <t>MAY 29</t>
  </si>
  <si>
    <t>10.3389/fevo.2018.00070</t>
  </si>
  <si>
    <t>WOS:000451666100001</t>
  </si>
  <si>
    <t>Callander, S; Kahn, AT; Maricic, T; Jennions, MD; Backwell, PRY</t>
  </si>
  <si>
    <t>Callander, Sophia; Kahn, Andrew T.; Maricic, Tim; Jennions, Michael D.; Backwell, Patricia R. Y.</t>
  </si>
  <si>
    <t>Weapons or mating signals? Claw shape and mate choice in a fiddler crab</t>
  </si>
  <si>
    <t>Males often possess traits, such as horns, claws, and tusks, which are used during male-male combat. Studies suggest that selection has fine tuned these weapons to improve their effectiveness and that the shape of these weapons provides cues for males to assess the strength of rivals. Similarly, females might also assess a male's weaponry to determine his value as a mate. The largest weapon relative to body size is the major claw of male fiddler crabs (genus: Uca). Males use their claws both as a weapon and as a courtship signal, waving it to attract females. We used robotic crabs in two-choice experiments to test female mating preferences based on male claw shape in Uca mjoebergi. First, females did not prefer conspecific claws over any of three alternatively shaped stimuli matched for color and for the rate and pattern of waving. The alternative stimuli were two different heterospecific claws and a plain rectangular shape. Second, females significantly preferred the alternative stimuli when they were presented at a faster wave rate. We conclude that claw shape in U. mjoebergi has not evolved under sexual selection imposed by female mating preferences and is more likely to have evolved under selection for effectiveness during male-male competition.</t>
  </si>
  <si>
    <t>Jennions, Michael D/C-7560-2009; Backwell, Patricia RY/C-8883-2009</t>
  </si>
  <si>
    <t>Jennions, MIchael D/0000-0001-9221-2788</t>
  </si>
  <si>
    <t>10.1007/s00265-013-1541-6</t>
  </si>
  <si>
    <t>WOS:000320024200013</t>
  </si>
  <si>
    <t>Schweitzer, C; Motreuil, S; Dechaume-Moncharmont, FX</t>
  </si>
  <si>
    <t>Schweitzer, Cecile; Motreuil, Sebastien; Dechaume-Moncharmont, Francis-Xavier</t>
  </si>
  <si>
    <t>Coloration reflects behavioural types in the convict cichlid, Amatitlania siquia</t>
  </si>
  <si>
    <t>Interindividual behavioural differences, consistent over time and across situations, are frequently related to differences in reproductive success, susceptibility to disease and competitive ability. The behavioural phenotype of a conspecific is likely to affect the outcome of a social interaction, so an individual must be able to accurately assess behavioural phenotypes in order to optimize behavioural responses during mate choice, cooperative relationships and agonistic interactions. However, behavioural assessment based on dyadic interactions in different contexts can be costly because it may require significant time, increase the risk of predation and often necessitates special cognitive abilities. Different colour cues are associated with different life history strategies in many species, so coloration might also correlate with behavioural phenotype. Thus, conspecifics could use coloration as a single cue for the mediation of social interactions. We investigated the relationship between personality and coloration in the monogamous, biparental convict cichlid. This species has black melanin-based stripes with interindividual variation in the intensity of these stripes. In addition, females have bright orange spots on their abdomens. Using repeatable measures of boldness, exploration and aggressiveness, we were able to define a behavioural syndrome and quantified the behavioural type of each individual. Behavioural types were predicted by colour traits. In particular, proactive individuals (more aggressive, bolder and quicker to resume behaviour after being startled) were more likely to be dark and, among females, have smaller orange areas. Our results support the hypothesis that coloration in the convict cichlid is related to personality. Thus, coloration could play an important role in mediating social interactions, allowing a quick and reliable assessment of conspecifics' behavioural types. (C) 2015 The Association for the Study of Animal Behaviour. Published by Elsevier Ltd. All rights reserved.</t>
  </si>
  <si>
    <t>Dechaume-Moncharmont, François-Xavier/F-2394-2011</t>
  </si>
  <si>
    <t>Dechaume-Moncharmont, François-Xavier/0000-0001-7607-8224</t>
  </si>
  <si>
    <t>10.1016/j.anbehav.2015.04.024</t>
  </si>
  <si>
    <t>WOS:000356611200022</t>
  </si>
  <si>
    <t>S</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</si>
  <si>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</si>
  <si>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</si>
  <si>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</si>
  <si>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</si>
  <si>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</si>
  <si>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</si>
  <si>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</si>
  <si>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</si>
  <si>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</si>
  <si>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</si>
  <si>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</si>
  <si>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</si>
  <si>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</si>
  <si>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</si>
  <si>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</si>
  <si>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</si>
  <si>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</si>
  <si>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</si>
  <si>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Pesendorfer, Mario/ABD-7365-2021; Sillett, Scott/N-2240-2017</t>
  </si>
  <si>
    <t>Pesendorfer, Mario B/0000-0002-7994-7090; Sillett, Scott/0000-0002-7486-0076</t>
  </si>
  <si>
    <t>10.1111/1365-2656.12501</t>
  </si>
  <si>
    <t>WOS:000375121400020</t>
  </si>
  <si>
    <t>Araújo-Silva, B; Barcellos, M; Duca, C; Diniz, P</t>
  </si>
  <si>
    <t>Araujo-Silva, Bruna; Barcellos, Marcello; Duca, Charles; Diniz, Pedro</t>
  </si>
  <si>
    <t>Delayed plumage signals social status in a mutually ornamented bird</t>
  </si>
  <si>
    <t>The status signaling hypothesis suggests that inconspicuous plumages are an honest signal of subordination in social animals, including those exhibiting delayed plumage maturation. In addition, body size may also determine the outcome of aggressive interactions and shape dominance relationships. We observed flocks of Saffron Finches (Sicalis flaveola brasiliensis) during the non-breeding season to investigate whether the probability of winning an aggressive interaction varies according to the plumage color class (yellow female, yellow male, and dull bird of both sexes), morphology (body mass, wing length, and tail length), and plumage color variation (reflectance of yellow breast feathers). In this subspecies, younger individuals of both sexes breed with duller plumage and present late maturation to yellow, definitive plumage. We found that, in general, yellow females were more likely to win aggressive interactions against conspecifics (of any plumage color class) than yellow males and dull birds, irrespective of plumage color variation or morphology. In contrast, yellow males were not more likely to win aggressive interactions against conspecifics than dull birds. When comparing yellow females to each other and yellow males to each other, in general, larger birds and birds with brighter plumages were more likely to win the aggressive interactions. Our results partially support the status signaling hypothesis, suggesting that plumage color class has a major influence on social dominance status, whereas gradual variation in morphology and plumage coloration signals fighting ability within plumage color classes.</t>
  </si>
  <si>
    <t>Duca, Charles/GQI-3950-2022; Diniz, Pedro/C-6994-2019</t>
  </si>
  <si>
    <t>Duca, Charles/0000-0003-3903-8260; Diniz, Pedro/0000-0002-3193-6376; Hygino Barcellos, Marcello Henrique/0000-0002-1909-8365</t>
  </si>
  <si>
    <t>10.1007/s10336-022-02035-7</t>
  </si>
  <si>
    <t>WOS:000890108600001</t>
  </si>
  <si>
    <t>FORBES, MRL; RICHARSON, JML; BAKER, RL</t>
  </si>
  <si>
    <t>FREQUENCY OF FEMALE MORPHS IS RELATED TO AN INDEX OF MALE DENSITY IN THE DAMSELFLY, NEHALENNIA IRENE (HAGEN)</t>
  </si>
  <si>
    <t>Researchers have questioned whether variation in population density influences the maintenance of two or more morphs within and between insect populations. Two distinct morphs of female Nehalennia irene (Hagen) (Odonata: Coenagrionidae) occurred at each of eight sites in eastern Ontario, Canada; one morph (i.e. andromorph) was coloured and patterned like the conspecific male. We found significant differences in relative frequencies of andromorphs and in male density between sites; frequency of andromorphs ranged from 2-28% and was positively correlated with male density. Sites with high densities of males were located closer to low-density sites than to other high-density sites, indicating that high-density sites were somewhat independent of one another. We also found spatial variation in density of males within sites; males were present almost exclusively at edges of ponds or marshes. Proportionally more andromorphs than heteromorphs were found at the edges of sites, where male-female interactions were likely frequent. Sex ratios at the edges of sites were most strongly male-biased at two of three high-density sites, indicating that males may force non-receptive females away from the edge of high-density sites. Spatial and temporal variation in male density of N. irene may be an important factor influencing morph coexistence.</t>
  </si>
  <si>
    <t>Forbes, Mark R/B-3575-2013</t>
  </si>
  <si>
    <t>Forbes, Mark/0000-0002-2288-3209</t>
  </si>
  <si>
    <t>2376-7626</t>
  </si>
  <si>
    <t>10.1080/11956860.1995.11682265</t>
  </si>
  <si>
    <t>WOS:A1995TF50700003</t>
  </si>
  <si>
    <t>Landstrom, MT; Heinsohn, R; Langmore, NE</t>
  </si>
  <si>
    <t>Landstrom, Michelle T.; Heinsohn, Robert; Langmore, Naomi E.</t>
  </si>
  <si>
    <t>Clutch variation and egg rejection in three hosts of the pallid cuckoo, Cuculus pallidus</t>
  </si>
  <si>
    <t>In theory, hosts of avian brood parasites would benefit by modifying their egg appearance in two ways to help identify mimetic foreign eggs: (i) by laying clutches that are more uniform in appearance and (ii) by laying clutches that differ from those of other females in the population. Support for these theories is inconsistent, and few studies have used objective measures of clutch variation. Here we used reflectance spectrophotometry to quantify within-clutch and between-clutch variation of three host species of an Australian brood parasite, the pallid cuckoo (Cuculus pallidus). We used egg-swapping experiments in which subjects were presented with either a conspecific egg or a heterospecific egg to compare the egg rejection responses of a frequently parasitised host, the white-plumed honeyeater (Lichenostomus penicillatus), with two less frequently parasitised hosts, dusky woodswallows (Artamus cyanopterus) and willie wagtails (Rhipidura leucophrys). As predicted, rejection rate increased as contrast between foreign egg and host clutch increased. Further, the major host showed greater between-clutch variation than the occasional hosts, and also rejected more similar-looking eggs. Contrary to predictions however, within-clutch variation was not lower in the major host, nor was it important in predicting the rejection rate of foreign eggs by the three host species.</t>
  </si>
  <si>
    <t>Langmore, Naomi E/C-9302-2009</t>
  </si>
  <si>
    <t>Coluzzi, Michelle/0000-0002-1707-3770; Heinsohn, Robert/0000-0002-2514-9448</t>
  </si>
  <si>
    <t>10.1163/000579509X12483520922043</t>
  </si>
  <si>
    <t>WOS:000275078900002</t>
  </si>
  <si>
    <t>Aguila, RN; Genaro, JA; Peréz-Asso, AR; Hausmann, A</t>
  </si>
  <si>
    <t>Aguila, Rayner Nunez; Genaro, Julio A.; Perez-Asso, Antonio R.; Hausmann, Axel</t>
  </si>
  <si>
    <t>A new species of the hysius species-group of Calisto Hubner (Lepidoptera, Nymphalidae, Satyrinae) and insights into the status of different populations currently attributed to C. grannus Bates</t>
  </si>
  <si>
    <t>A species belonging to the hysius group of Calisto is newly described. Calisto bahoruco new species inhabits the easternmost area of the southern Hispaniola Sierra de Bahoruco. The species is closely related to C. hysius Godart, another endemic from the southern mountains. The two species differ in average forewing length (larger in C. hysius), the relative size of ocelli (larger in C. bahoruco), and in the darker ground color with more contrasted paler edges of lines at underside of wings in C. bahoruco compared to C. hysius. Their male genitalia differ in the shape of the uncus and in the heavier sclerotization in C. bahoruco. COI barcodes bear a minimum of 15 differences between the two species. All species delimitation methods applied to the COI dataset, ABGD, BIN, bPTP, mPTP, and PTP yielded 8 species. The exception was the GMYC that failed to recognize the new taxon and oversplitted several other taxa. COI gene tree obtained by Maximum Likelihood and Bayesian have identical topologies agreeing with a multilocus phylogeny reconstructed in a previous work on Calisto and placing the new taxon as sister of C. hysius. Additionally, we provide new evidence of the conspecific nature of all named populations within Calisto grannus group.</t>
  </si>
  <si>
    <t>Genaro, Julio A./N-2321-2019</t>
  </si>
  <si>
    <t>Nunez, Rayner/0000-0001-7921-5028</t>
  </si>
  <si>
    <t>10.11646/zootaxa.4317.1.1</t>
  </si>
  <si>
    <t>WOS:000408796800001</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</si>
  <si>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</si>
  <si>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</si>
  <si>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</si>
  <si>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</si>
  <si>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</si>
  <si>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</si>
  <si>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</si>
  <si>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 E./B-3973-2009</t>
  </si>
  <si>
    <t>A</t>
  </si>
  <si>
    <t>10.1111/j.1095-8649.2003.00210.x</t>
  </si>
  <si>
    <t>WOS:000187879700008</t>
  </si>
  <si>
    <t>Clary, D; Stow, MK; Vernouillet, A; Kelly, DM</t>
  </si>
  <si>
    <t>Clary, Dawson; Stow, Meara K.; Vernouillet, Alizee; Kelly, Debbie M.</t>
  </si>
  <si>
    <t>Mirror-mediated responses of California scrub jays (Aphelocoma californica) during a caching task and the mark test</t>
  </si>
  <si>
    <t>Mirror self-recognition, as an index of self-awareness, has been proposed as a precursor for more complex social cognitive abilities, such as prosocial reasoning and cooperative decision-making. Indeed, evidence for mirror self-recognition has been shown for animals possessing complex social cognitive abilities such as great apes, dolphins, elephants and corvids. California scrub jays (Aphelocoma californica) have provided strong evidence that non-human animals are capable of mental state attribution. For instance, scrub jays are reported to use their experience stealing the food of others to infer that other birds may similarly intend to steal from them. If a concept of self is required for such complex social cognitive abilities, then scrub jays might be expected to show mirror self-recognition. Thus, we examined whether California scrub jays are capable of mirror self-recognition using two experimental contexts: a caching task and the mark test. During the caching task, we compared the extent to which scrub jays protected their food after caching alone, in the presence of a conspecific and in the presence of a mirror. The birds did not engage in more cache protection behaviours with a mirror present than when caching alone, suggesting scrub jays may have recognized their reflection and so did not expect cache theft. Alternative explanations for this behaviour are also discussed. During the mark test, the scrub jays were surreptitiously marked with a red or plumage-coloured control sticker. The scrub jays showed no evidence of mirror self-recognition during the mark test, as the birds did not preferentially attempt to remove the red mark in the presence of a mirror. Together, the results provide mixed evidence of the mirror self-recognition abilities of California scrub jays. We highlight the need to develop alternative approaches for evaluating mirror self-recognition in non-human animals to better understand its relationship with complex social cognition.</t>
  </si>
  <si>
    <t>Clary, Dawson/LBH-6170-2024; Vernouillet, Alizée/ABC-5045-2021</t>
  </si>
  <si>
    <t>Clary, Dawson/0000-0002-0152-0484; Vernouillet, Alizée/0000-0003-2525-2936</t>
  </si>
  <si>
    <t>10.1111/eth.12954</t>
  </si>
  <si>
    <t>OCT 2019</t>
  </si>
  <si>
    <t>WOS:000488374300001</t>
  </si>
  <si>
    <t>Campbell, DR; Waser, NM; Pederson, GT</t>
  </si>
  <si>
    <t>Predicting patterns of mating and potential hybridization from pollinator behavior</t>
  </si>
  <si>
    <t>Hybridization in flowering plants is determined in part by the rate at which animal pollinators move between species and by the effectiveness of such movements in transferring pollen. Pollinator behavior can also influence hybrid fitness by determining receipt and export of pollen. We incorporated information on pollinator effectiveness and visitation behavior into a simulation model that predicts pollen transfer between Ipomopsis aggregata, Ipomopsis tenuituba, and hybrids. These predictions were compared with estimates of pollen transfer derived from movement of fluorescent dyes in experimental plant arrays. Interspecific pollen transfer was relatively uncommon in these arrays, whereas transfer between hybrids and the parental species was at least as common as conspecific transfer. Backcrossing was asymmetrical; L aggregata flowers frequently received mixed loads of hybrid and conspecific pollen. The simulation suggests that these patterns of pollen transfer are largely explained by the visitation sequences of hummingbird and insect pollinators, with little contribution from mechanical isolation. Pollen receipt by hybrids exceeded that of both parental species in a year when pollinators preferred to visit F, and F, hybrids and was intermediate in another year when they preferred to visit I. aggregata. This suggests 0 that natural variation in pollination may produce spatiotemporal variation in hybridization and hybrid fitness.</t>
  </si>
  <si>
    <t>10.1086/339457</t>
  </si>
  <si>
    <t>WOS:000175302800002</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</si>
  <si>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</si>
  <si>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</si>
  <si>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</si>
  <si>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10.1007/s00265-002-0558-z</t>
  </si>
  <si>
    <t>WOS:000180871900007</t>
  </si>
  <si>
    <t>Kohda, M; Sogawa, S; Jordan, A; Kubo, N; Awata, S; Satoh, S; Kobayashi, T; Fujita, A; Bshary, R</t>
  </si>
  <si>
    <t>Kohda, Masanori; Sogawa, Shumpei; Jordan, Alex; Kubo, Naoki; Awata, Satoshi; Satoh, Shun; Kobayashi, Taiga; Fujita, Akane; Bshary, Redouan</t>
  </si>
  <si>
    <t>Further evidence for the capacity of mirror self-recognition in cleaner fish and the significance of ecologically relevant marks</t>
  </si>
  <si>
    <t>PLOS BIOLOGY</t>
  </si>
  <si>
    <t>An animal that tries to remove a mark from its body that is only visible when looking into a mirror displays the capacity for mirror self-recognition (MSR), which has been interpreted as evidence for self-awareness. Conservative interpretations of existing data conclude that convincing evidence for MSR is currently restricted to great apes. Here, we address proposed shortcomings of a previous study on MSR in the cleaner wrasse Labroides dimidiatus, by varying preexposure to mirrors and by marking individuals with different colors. We found that (1) 14/14 new individuals scraped their throat when a brown mark had been provisioned, but only in the presence of a mirror; (2) blue and green color marks did not elicit scraping; (3) intentionally injecting the mark deeper beneath the skin reliably elicited spontaneous scraping in the absence of a mirror; (4) mirror-naive individuals injected with a brown mark scraped their throat with lower probability and/or lower frequency compared to mirror-experienced individuals; (5) in contrast to the mirror images, seeing another fish with the same marking did not induce throat scraping; and (6) moving the mirror to another location did not elicit renewed aggression in mirror-experienced individuals. Taken together, these results increase our confidence that cleaner fish indeed pass the mark test, although only if it is presented in ecologically relevant contexts. Therefore, we reiterate the conclusion of the previous study that either self-awareness in animals or the validity of the mirror test needs to be revised.</t>
  </si>
  <si>
    <t>Awata, Satoshi/GQR-0411-2022</t>
  </si>
  <si>
    <t>Awata, Satoshi/0000-0003-3254-7943; Kohda, Masanori/0000-0001-9598-0088; Kobayashi, Taiga/0000-0002-2892-5043</t>
  </si>
  <si>
    <t>1544-9173</t>
  </si>
  <si>
    <t>1545-7885</t>
  </si>
  <si>
    <t>e3001529</t>
  </si>
  <si>
    <t>10.1371/journal.pbio.3001529</t>
  </si>
  <si>
    <t>WOS:000759890300001</t>
  </si>
  <si>
    <t>Damon, F; Li, ZH; Yan, Y; Li, W; Guo, K; Quinn, PC; Pascalis, O; Méary, D</t>
  </si>
  <si>
    <t>Damon, Fabrice; Li, Zhihan; Yan, Yin; Li, Wu; Guo, Kun; Quinn, Paul C.; Pascalis, Olivier; Meary, David</t>
  </si>
  <si>
    <t>Preference for Attractive Faces Is Species-Specific</t>
  </si>
  <si>
    <t>Studies on facial attractiveness in human adults, infants, and newborns have consistently reported a visual preference for faces rated as attractive compared with faces rated as unattractive. Biological accounts of facial attractiveness have typically presented such preferences as arising from adaptations for mate choice or as by-products of general sensory bias. In this cross-species study, we examined whether explicit ratings of attractiveness made by human judges would predict implicit visual preferences in other humans and also in rhesus macaques and, if they do, whether such preferences would extend beyond conspecific faces. Results showed that human ratings of attractiveness can predict implicit preferences in nonhuman primates (macaque monkeys; Macaca mulatta). However, we also found a species-specific effect of face attractiveness in which humans showed a visual preference for human faces (but not macaque faces) rated as attractive, and macaques displayed a visual preference for macaque faces (but not human faces) rated as attractive. Overall, the findings suggest that attentional bias toward attractive faces arises neither from an exclusive operation of mate choice adaptation mechanisms nor from the sole influence of a general sensory bias, but rather reflects their interaction. The influence of a general sensory bias may be modulated by the categorization of a face as conspecific or heterospecific, leading to species-specific preference for attractive faces.</t>
  </si>
  <si>
    <t>Li, Wu/AHA-4320-2022; damon, fabrice/U-2647-2018; Li, Wu/G-9415-2011</t>
  </si>
  <si>
    <t>Guo, Kun/0000-0001-6765-1957</t>
  </si>
  <si>
    <t>10.1037/com0000148</t>
  </si>
  <si>
    <t>WOS:000467403500013</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</si>
  <si>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</si>
  <si>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</si>
  <si>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</si>
  <si>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</si>
  <si>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</si>
  <si>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Van Gossum, H; Beirinckx, K; Forbes, MR; Sherratt, TN</t>
  </si>
  <si>
    <t>Van Gossum, Hans; Beirinckx, Kirsten; Forbes, Mark R.; Sherratt, Thomas N.</t>
  </si>
  <si>
    <t>Reproductive interference between Nehalennia damselfly species</t>
  </si>
  <si>
    <t>We tested the hypotheses that reproductive interference between 2 congeneric damselfly species influences their local population densities and the female morph ratios in one of the species. Nehalennia irene has 2 female types (andromorph and gynomorph), whereas N. gracilis exhibits only one female type. Andromorphic N. irene females not only resemble conspecific males in body coloration, but also resemble heterospecific females of N. gracilis. We predicted male N. irene to be most attracted to gynomorphs of N. irene and male N. gracilis to be least attracted to them. Further, if N. gracilis males harass andromorphic N. irene females excessively, then they may reduce andromorph frequencies of N. irene locally. Our results indicate hybridization to be prevented by a lock-and-key mechanism, but male N. irene often attempt mating with female N. gracilis. Contrary to prediction, andromorph frequency in N. irene did not depend on whether N. irene populations were in sympatry or allopatry with N. gracilis. As predicted, N. irene males attempted tandem formation most frequently with conspecific gynomorphs, while N. gracilis males made most heterospecific tandem attempts on N. irene andromorphs. Collectively, our results suggest that N. gracilis females may be frequently harassed by N. irene males, and that this may help explain the relative rarity of N. gracilis.</t>
  </si>
  <si>
    <t>10.2980/1195-6860(2007)14[1:RIBNDS]2.0.CO;2</t>
  </si>
  <si>
    <t>WOS:000245364700001</t>
  </si>
  <si>
    <t>Carlin, JL</t>
  </si>
  <si>
    <t>Genetic and morphological differentiation between Eurycea longicauda longicauda and E-guttolineata (Caudata: Plethodontidae)</t>
  </si>
  <si>
    <t>The plethodontid salamander Eurycea guttolineata has been considered to be conspecific with E. longicauda. However, specimens from the putative zone of intergradation could be unequivocally identified as one taxon or the other by the presence of five fixed allozyme differences (out of 21 loci examined). A sixth fixed difference exists between the southernmost locality of E. l. longicauda and the northernmost locality of E. guttolineata. No introgression was observed at any of these six loci. Morphometric variation in preserved specimens (n = 530) of these taxa was slight and not readily attributable to any geographic or genetic pattern. Allozyme genotype was most concordant with the length of the longest mid-dorsal stripe. Other color pattern characters previously used to identify supposedly intergrade populations were found to be uninformative about genotype, Twelve specimens previously reported as intergrades fell within the range of phenotypic variation of allozymically identified E. l. longicauda. Therefore, the status of these individuals as hybrids is considered doubtful. The distribution of specimens classified by relative mid-dorsal stripe length within the supposed zone of intergradation indicates parapatry rather than a broad zone of sympatry or intergradation. Without support for intergrade specimens or a zone of intermediacy, and with the presence of six fixed differences between the closest localities of alternate species, E. guttolineata is considered to be a distinct species.</t>
  </si>
  <si>
    <t>WOS:A1997XC82700006</t>
  </si>
  <si>
    <t>Reimer, JD; Ono, S; Iwama, A; Tsukahara, J; Maruyama, T</t>
  </si>
  <si>
    <t>Reimer, James Davis; Ono, Shusuke; Iwama, Atsushi; Tsukahara, Junzo; Maruyama, Tadashi</t>
  </si>
  <si>
    <t>High levels of morphological variation despite close genetic relatedness between Zoanthus aff. vietnamensis and Zoanthus kuroshio (Anthozoa: Hexacorallia)</t>
  </si>
  <si>
    <t>Recent investigations into the encrusting anemone genus Zoanthus using molecular and morphological techniques have begun to bring order to this taxonomically neglected group. Previous studies have confirmed the existence of three distinct species present in southern Japan: Z. sansibaricus, Z. kuroshio, and Z. gigantus. Results from such studies show species of Zoanthus to be highly morphologically plastic, often incorporating morphotypes with varying oral disk color and oral disk diameter. Literature lists the species Z. aff. vietnamensis as occurring in southern Japan and throughout the western Pacific Ocean, but due to the morphological plasticity of Zoanthus species, a re-examination of Z. aff. vietnamensis using molecular techniques was needed. Here, using mitochondrial 16S rDNA and the nuclear internal transcribed spacer of ribosomal DNA (ITS-rDNA) sequences, as well as morphological data, we have examined several nominal Z aff. vietnamensis samples collected from Kagoshima Bay and Yakushima Island, Japan. Based on polyp length and diameter, oral disk diameter, mesentery and tentacle numbers, and colony form, Z. aff. vietnamensis is easily distinguishable from Z. sansibaricus, Z. kuroshio, and Z. gigantus. However, despite these clear morphological differences, our mitochondrial and nuclear sequence-based phylogenies indicate that Z. aff. vietnamensis and Z. kuroshio are very closely related (perhaps conspecific), highlighting the morphological plasticity of this genus and the difficulty of species identification based on morphological data alone.</t>
  </si>
  <si>
    <t>Reimer, James Davis/AAP-1331-2020</t>
  </si>
  <si>
    <t>10.2108/zsj.23.755</t>
  </si>
  <si>
    <t>WOS:000243556800002</t>
  </si>
  <si>
    <t>Ghisbain, G; Martinet, B; Wood, TJ; Przybyla, K; Cejas, D; Gérard, M; Rasmont, P; Monfared, A; Valterova, I; Michez, D</t>
  </si>
  <si>
    <t>Ghisbain, Guillaume; Martinet, Baptiste; Wood, Thomas J.; Przybyla, Kimberly; Cejas, Diego; Gerard, Maxence; Rasmont, Pierre; Monfared, Alireza; Valterova, Irena; Michez, Denis</t>
  </si>
  <si>
    <t>A worthy conservation target? Revising the status of the rarest bumblebee of Europe</t>
  </si>
  <si>
    <t>INSECT CONSERVATION AND DIVERSITY</t>
  </si>
  <si>
    <t>Against the context of global wildlife declines, targeted mitigation strategies have become critical to preserve what remains of biodiversity. However, the effective development of conservation tools in order to counteract these changes relies on unambiguous taxonomic determination and delineation. In this study, we focus on an endemic bumblebee species recorded only from the highest altitudes of the Sierra Nevada (Spain), Bombus reinigiellus (Rasmont, 1983). The species has the smallest range of any European bumblebee, along with a restricted diet and an inability to disperse because of its isolated montane distribution, making it an appropriate conservation target. However, through an integrative taxonomic approach including genetics, morphometrics and semio-chemistry, we demonstrate the conspecificity of this taxon with one of the most common and widespread bumblebee species of Europe, Bombus hortorum (L. 1761). We assign a subspecies status to this endemic taxon (Bombus hortorum reinigiellus comb. nov.) shown to be different in colour and morphology but also in wing shape and relative wing size compared to the other conspecific subspecies. Following our taxonomic revision, we reassessed the IUCN conservation status of Bombus hortorum both at the continental and Spanish scale. We then propose how historic climatic oscillations of the last Ice age could explain such a phenotypic divergence in a post-glacial refugium and highlight the critical role of establishing unambiguous taxonomic revision prior to any conservation assessment.</t>
  </si>
  <si>
    <t>Valterova, Irena/H-1823-2012; Ghisbain, Guillaume/ABB-8131-2021; Wood, Thomas/I-7025-2019; Wood, Thomas/GWZ-2481-2022; Michez, Denis/L-1370-2019; Monfared, Alireza/H-7640-2013</t>
  </si>
  <si>
    <t>Wood, Thomas/0000-0001-5653-224X; Wood, Thomas/0000-0001-8962-8571; Michez, Denis/0000-0001-8880-1838; Monfared, Alireza/0000-0002-4465-3228; Martinet, Baptiste/0000-0003-4369-8552; Ghisbain, Guillaume/0000-0003-2032-8081; Przybyla, Kimberly/0000-0001-9663-4179; Cejas, Diego/0000-0002-9980-6199; Gerard, Maxence/0000-0002-2485-0662</t>
  </si>
  <si>
    <t>1752-458X</t>
  </si>
  <si>
    <t>1752-4598</t>
  </si>
  <si>
    <t>10.1111/icad.12500</t>
  </si>
  <si>
    <t>WOS:000653231000001</t>
  </si>
  <si>
    <t>FOTHERINGHAM, JR; RATCLIFFE, L</t>
  </si>
  <si>
    <t>SONG DEGRADATION AND ESTIMATION OF ACOUSTIC DISTANCE IN BLACK-CAPPED CHICKADEES (PARUS-ATRICAPILLUS)</t>
  </si>
  <si>
    <t>Black-capped Chickadees (Pants atricapillus) sing a two-note song termed fee bee. Frequency descends within the fee note and between the fee and bee notes. Within-song frequency ratios are highly invariant, while among songs, absolute frequency is variable. We conducted sound-transmission studies to analyze how Black-capped Chickadee songs degrade in different native habitats. We then subjected colour-banded territorial males to playback of undegraded and degraded songs to see if they could estimate the distance to a conspecific singer by means of degradation cues. In transmission studies conducted in an open field and a dense deciduous forest, significant effects of reverberation and amplitude modulation were measured for songs at three different frequencies. A new technique, cross-correlation of song spectrograms, allowed for a measure of holistic song degradation, which varied significantly over distance in open versus forested habitat. Polynomial regressions for the effects of reverberation, amplitude modulation, and cross-correlation measures of general degradation revealed different trends in open versus forested habitat, regardless of absolute frequency. Male Black-capped Chickadees did not differ in their response to playback of undegraded and degraded songs when the two types were broadcast from the same position in the territory at the same amplitude. We suggest that heterogeneity of Black-capped Chickadee native habitat may preclude the use of song degradation as a reliable distance cue.</t>
  </si>
  <si>
    <t>10.1139/z95-101</t>
  </si>
  <si>
    <t>WOS:A1995RR09100006</t>
  </si>
  <si>
    <t>Mayo, GM; Austin, AD; Adams, M</t>
  </si>
  <si>
    <t>Morphological and electrophoretic taxonomy of the Australian eucalypt leaf-blister sawfly genus Phylacteophaga (Hymenoptera: Pergidae): a potential major pest group of eucalypts worldwide</t>
  </si>
  <si>
    <t>BULLETIN OF ENTOMOLOGICAL RESEARCH</t>
  </si>
  <si>
    <t>The taxonomic status of Phylacteophaga Froggatt is re-evaluated using the independent techniques of allozyme electrophoresis and detailed morphological comparison. Analysis of 45 scorable loci showed highly significant fixed differences (46-51%) among two currently recognized subspecies, P. eucalypti eucalypti Froggatt P. e. froggatti Riek, and a previously unrecognized taxon from Tasmania, demonstrating that they are different species. In addition to colour, significant variation is revealed among P. e. occidens Benson, P. rubida Riek and the three electrophoretically defined species, in body size, structure of the antennae, the shape of the crest, dorsal spines and saw teeth of the ovipositor, and in male genitalia. Based on these results there is substantial justification in recognizing P. occidens and P. rubida as separate species, distinct from P. eucalypti, P. froggatti, and P. amygdalini sp. n. Further, comparison of the holotype of P. e. tasmanica Riek shows it to be conspecific with the lectotype of P. eucalypti (designated here) so that the former species is considered a junior synonym. The distribution of P. eucalypti and P. froggatti is extended to include Tasmania, and a key is presented to distinguish the males and females of all five species. The biology and host plant relations of the species concerned are discussed, along with their pest status and potential to spread to other regions of the world where eucalypts are grown.</t>
  </si>
  <si>
    <t>0007-4853</t>
  </si>
  <si>
    <t>1475-2670</t>
  </si>
  <si>
    <t>10.1017/S0007485300038694</t>
  </si>
  <si>
    <t>WOS:A1997YL39300006</t>
  </si>
  <si>
    <t>Moravec, J</t>
  </si>
  <si>
    <t>Moravec, Jiri</t>
  </si>
  <si>
    <t>Taxonomic and nomenclatorial revision within the Neotropical genera of the subtribe Odontocheilina W. Horn in a new sense-22. Genus Cheilonycha Lacordaire, 1842 (Coleoptera: Cicindelidae)</t>
  </si>
  <si>
    <t>Taxonomic and nomenclatorial revision of the genus Cheilonycha Lacordaire, 1842 with type species Cheilonycha chalybea (by original monotypy), based on Cicindela chalybea Dejean, 1825, is presented. It is concluded here that a subsequent type designation by Horn (1910), who without any explanation mentioned Ch. auripennis (Lucas, 1857) as the type species of the genus, was unjustified and must be considered invalid according to ICZN (1999). Examinations of type specimens have revealed that Cheilonycha auripennis sensu auctorum (sensu Horn 1922 and subsequent authors) is a complex of taxa. As a result, one new subspecies of Ch. auripennis (Lucas, 1857) and one new species of the genus are described and the following taxa of Cheilonycha are recognized and presented here: Ch. chalybea (Dejean, 1825), Ch. a. auripennis (Lucas, 1857), Ch. a. chiquitosiana ssp. nov. and Ch. bucephalauripennis sp. nov. Type specimens of Ch. a. angustedilatata (W. Horn, 1922) based on Odontochila (Chilonycha) auripennis angustedilatata W. Horn, 1922, proved to be fully conspecific with the type specimens of Ch. auripennis based on Cicindela auripennis Lucas, 1857. Consequently, Ch. a. angustedilatata syn. nov. is treated here as a junior synonym of Ch. a. auripennis. The history of the taxonomy of these taxa, their distribution and biology, including photographs of the termitophilous habitat, relevant lectotype designations, descriptions (redescriptions respectively) and illustrations in colour photographs of the habitus, diagnostic characters and variability are provided.</t>
  </si>
  <si>
    <t>Moravec, jiri/0000-0001-5294-6410</t>
  </si>
  <si>
    <t>NOV 26</t>
  </si>
  <si>
    <t>10.11646/zootaxa.4700.4.9</t>
  </si>
  <si>
    <t>WOS:000498944700009</t>
  </si>
  <si>
    <t>Zhang, QH; Ma, JH; Yang, QQ; Byers, JA; Klein, MG; Zhao, FY; Luo, YQ</t>
  </si>
  <si>
    <t>Zhang, Qing-He; Ma, Jian-Hai; Yang, Qi-Qing; Byers, John A.; Klein, Michael G.; Zhao, Feng-Yu; Luo, You-Qing</t>
  </si>
  <si>
    <t>Olfactory and visual responses of the long-legged chafer Hoplia spectabilis Medvedev (Coleoptera: Scarabaeidae) in Qinghai Province, China</t>
  </si>
  <si>
    <t>BACKGROUND: Monitoring traps and control methods are needed for the long-legged chafer, Hoplia spectabilis Medvedev, which has recently reached outbreak numbers in pastureland of Qinghai Province, China. RESULTS: Field trapping experiments, using cross-pane funnel (barrier) traps, showed that H. spectabilis adults were not significantly attracted to branches of the host plant Dasiphora fructicosa (L.) Rydb. However, beetles were slightly attracted to similar host plant branches infested by conspecific beetles, possibly owing to weakly attractive volatiles, primarily (Z)-3-hexenyl acetate, released from beetle-damaged host leaves. This compound was weakly attractive when released from traps. However, H. spectabilis beetles showed strong visual responses to yellow-or white-painted trap panes, with weaker responses to blue, red or green panes, and least response to black panes. Black traps at 0.2-1.5 m above ground intercepted significantly more beetles than traps at 2.5 m. The mean flight height based on trap catches was 0.88 m (SD = 0.76), yielding an effective flight layer of 1.9 m. Flight response of beetles to colored barrier traps occurred between 10 : 00 and 18 : 00, and peaked between 12 : 00-14 : 00, when daily temperatures reached their maximum. CONCLUSION: Unbaited yellow or white cross-pane funnel traps are recommended for both monitoring and mass-trapping programs against this economically and ecologically important scarab beetle. (C) 2010 Society of Chemical Industry</t>
  </si>
  <si>
    <t>10.1002/ps.2045</t>
  </si>
  <si>
    <t>WOS:000286071200005</t>
  </si>
  <si>
    <t>Dias, RI; Manica, LT; Gressler, D; Bell, JA; Fecchio, A</t>
  </si>
  <si>
    <t>Dias, R. I.; Manica, L. T.; Gressler, D.; Bell, J. A.; Fecchio, A.</t>
  </si>
  <si>
    <t>Plumage coloration, body condition and immunological status in Yellow-billed Cardinals (Paroaria capitata)</t>
  </si>
  <si>
    <t>Plumage coloration deriving from carotenoid and melanin pigments can be a quality signal in birds, and can be under conspecific inspection in social interactions. For example, parasite load and immune system status can be inferred through plumage color intensity, and can influence the choice of sexual partners. Here, we evaluated two plumage ornaments in the Yellow-billed Cardinal [Paroaria capitata (d'Orbigny &amp; Lafresnaye 1837)]: the carotenoid-based coloration of the cap and the melanin-based coloration of the bib. We evaluated whether these ornaments were related to blood parasite burden, immunological status and body condition, and whether they could reveal individual sex and age. Cardinals were mist-netted in a Brazilian wetland, and 12 individuals were infected with malaria parasites. Both carotenoid and melanin colorations were related to age, but only carotenoids reflected immunological status. Adult cardinals presented redder caps and darker bibs in comparison to juveniles, and redder caps were associated with low values of heterophil to lymphocyte ratio (H/L, indicating lower stress level). Plumage coloration did not indicate individual sex or parasite infection. Taken together, these results demonstrated that both melanin- and carotenoid-based coloration in cardinals can potentially reflect significant information for social interactions, such as individual age and experience, but apparently only carotenoid coloration is condition-dependent and could reliably indicate quality.</t>
  </si>
  <si>
    <t>Fecchio, Alan/S-5868-2016; Dias, Raphael Igor da Silva Correa/IWM-5960-2023; Manica, Lilian/M-6222-2016; Bell, Jeffrey Andrew/Q-5057-2019; Dias, Raphael Igor/C-3155-2018</t>
  </si>
  <si>
    <t>Fecchio, Alan/0000-0002-7319-0234; Manica, Lilian/0000-0001-6005-7103; Bell, Jeffrey Andrew/0000-0001-9146-4318; Dias, Raphael Igor/0000-0002-6804-7409</t>
  </si>
  <si>
    <t>10.1080/03949370.2015.1077892</t>
  </si>
  <si>
    <t>WOS:000384547700009</t>
  </si>
  <si>
    <t>PROCTERGRAY, E; HOLMES, RT</t>
  </si>
  <si>
    <t>ADAPTIVE SIGNIFICANCE OF DELAYED ATTAINMENT OF PLUMAGE IN MALE AMERICAN REDSTARTS - TESTS OF 2 HYPOTHESES</t>
  </si>
  <si>
    <t>Delayed attainment of full adult plumage in certain passerine birds has been explained as resulting from selection for delayed maturation (Ficken et Ficken, 1967) or as a form of female mimicry, in which the young males gain access to suitable habitat by deceiving older males (Rohwer, et al., 1980). Predictions of these 2 hypotheses were tested by comparing the agonistic behavior, mating success and territory qualities of 1st year male American redstarts (S. ruticilla) in female-like plumage with those of older males possessing the more brightly-colored adult plumage. No significant differences were found between the 2 types of males in the form and frequency of agonistic interactions. Some 1st year males remained unmated, but the young males as a group fledged slightly more offspring per male than did the older males. First year males, on average, occupied different sectors of the forest, which contained higher foliage densities in the shrub layer, fewer conspecific neighbors and higher densities of the least flycatcher (Empidonax minimus), a socially-dominant competitor (Sherry, 1979). These findings are not consistent with either the delayed maturation or the female mimicry hypotheses regarding the adaptive significance of delayed plumage attainment. Female-like plumage may give young males some protection from predation, while older males may gain greater benefit from the territory signaling function of bright plumage.</t>
  </si>
  <si>
    <t>Procter-Gray, Elizabeth/K-1947-2019</t>
  </si>
  <si>
    <t>Procter-Gray, Elizabeth/0000-0001-5615-8438</t>
  </si>
  <si>
    <t>10.2307/2408244</t>
  </si>
  <si>
    <t>WOS:A1981LZ39300011</t>
  </si>
  <si>
    <t>Wilding, CS; Fletcher, N; Smith, EK; Prentis, P; Weedall, GD; Stewart, Z</t>
  </si>
  <si>
    <t>Wilding, Craig S.; Fletcher, Nicola; Smith, Eleanor K.; Prentis, Peter; Weedall, Gareth D.; Stewart, Zac</t>
  </si>
  <si>
    <t>The genome of the sea anemone Actinia equina (L.): Meiotic toolkit genes and the question of sexual reproduction</t>
  </si>
  <si>
    <t>MARINE GENOMICS</t>
  </si>
  <si>
    <t>The beadlet anemone Actinia equina (L.) (Cnidaria: Anthozoa: Actiniaria: Actiniidae) is one of the most familiar organisms of the North European intertidal zone. Once considered a single, morphologically variable species across northern Europe, it is now recognised as one member of a variable species complex. Previous studies of distribution, aggression, allozymes and mitochondrial DNA suggest that the diversity in form and colour within A. equina may hide still unrecognised species diversity. To empower further study of A. equina population genetics and systematics, we sequenced (PacBio Sequel) the genome of a single A. equina individual to produce a high-quality genome assembly (contig N-50 = 492,607 bp, 1485 contigs, number of protein coding genes = 47,671, 97% BUSCO completeness). There is debate as to whether A. equina reproduces solely asexually, since no reliable, consistent evidence of sexual reproduction has been found. To gain further insight, we examined the genome for evidence of a 'meiotic toolkit' - genes believed to be found consistently in sexually reproducing organisms - and demonstrate that the A. equina genome appears not to have this full complement. Additionally, Smudgeplot analysis, coupled with high haplotype diversity, indicates this genome assembly to be of ambiguous ploidy, suggesting that A. equina may not be diploid. The suggested polyploid nature of this species coupled with the deficiency in meiotic toolkit genes, indicates that further field and laboratory studies of this species is warranted to understand how this species reproduces and what role ploidy may play in speciation within this speciose genus.</t>
  </si>
  <si>
    <t>Wilding, Craig/C-5500-2012</t>
  </si>
  <si>
    <t>Wilding, Craig/0000-0001-5818-2706</t>
  </si>
  <si>
    <t>1874-7787</t>
  </si>
  <si>
    <t>1876-7478</t>
  </si>
  <si>
    <t>10.1016/j.margen.2020.100753</t>
  </si>
  <si>
    <t>WOS:000567844300003</t>
  </si>
  <si>
    <t>Yang, F; Chang, WC; Hayashi, F; Gillung, J; Jiang, YL; Yang, D; Liu, XY</t>
  </si>
  <si>
    <t>Yang, Fan; Chang, Wencheng; Hayashi, Fumio; Gillung, Jessica; Jiang, Yunlan; Yang, Ding; Liu, Xingyue</t>
  </si>
  <si>
    <t>Evolutionary history of the complex polymorphic dobsonfly genus Neoneuromus (Megaloptera: Corydalidae)</t>
  </si>
  <si>
    <t>The dobsonfly genus Neoneuromus van der Weele is endemic to the Oriental region. Species possess highly variable body and wing colouration and markings, not only among species but also among conspecific individuals of certain species. This stark polymorphism hinders accurate species identification, and obscures an undocumented species diversity as well as our understanding of the evolutionary history of this genus. We used multiple methods of molecular identification combined with morphological evidence to delimitate species, circumscribing a total of 13 species in Neoneuromus. Five new species are herein described: Neoneuromus indistinctus Liu, Hayashi &amp; Yang, sp.n., Neoneuromus maculatus Liu, Hayashi &amp; Yang, sp.n., Neoneuromus niger Liu, Hayashi &amp; Yang, sp.n., Neoneuromus similis Liu, Hayashi &amp; Yang, sp.n. and Neoneuromus vanderweelei Liu, Hayashi &amp; Yang, sp.n. The dated phylogeny with reconstructed ancestral areas indicates an initial divergence of Neoneuromus during the mid-Eocene. A broad area including northeastern India and northern Indochina could be a centre for early divergence of the genus, while complex dispersal and vicariance events dating from the late Eocene to the Pliocene probably shaped the present diversity and distribution of the genus. Our ancestral character state reconstruction suggests that the pale and dark colour forms among different species, or conspecifics, could evolve rapidly and that changes in colouration could be driven by species-specific mate recognition.</t>
  </si>
  <si>
    <t>Liu, Xingyue/A-3019-2013; Yang, Fei/JLM-3367-2023</t>
  </si>
  <si>
    <t>Liu, Xingyue/0000-0002-9168-0659;</t>
  </si>
  <si>
    <t>10.1111/syen.12287</t>
  </si>
  <si>
    <t>WOS:000434280000009</t>
  </si>
  <si>
    <t>Guzmán, B; Vargas, P</t>
  </si>
  <si>
    <t>Systematics, character evolution, and biogeography of Cistus L. (Cistaceae) based on ITS, trnL-trnF, and matK sequences</t>
  </si>
  <si>
    <t>This paper presents the first phylogenctic hypotheses for the 20 species of Cistus based on plastid (trnL-trnF, matK) and nuclear (ITS) DNA sequence data. Phylogenetic relationships reveal that: (1) Halimium and Cistus form a cohesive, natural group; (2) two major lineages of purple-flowered and white-flowered species are defined, except for the purple-flowered C parviflorus; (3) monophyly of conspecific populations is congruent with the Circumscription of species. Topological congruence between nuclear and plastid phylogenies does not Support a predominant reticulate system of evolution in Cistus. Reconstruction of character evolution Suggests all increment of number of fruit valves in the Cistaceae from 3 to 12 in a unidirectional manner. In contrast, reproductive characters, such as sepal number, petal color, and style length, evolved multiple times in the Course of evolution. A single colonization of Cistus into the Canary Islands appears to be responsible for a lineage Of four species sharing a, purple flowers, styles as long as stamens. and five fruit valves. Species diversity in most recent common ancestor with five sepals. Cistus (14) and Halimium (8), coupled With sister-group relationships and molecular divergence, lead us to suggest the western Mediterranean as a major center of present-day differentiation, but paleobotanical data indicate an earlier formation of the Cistus-Halimium assemblage in different areas. (c) 2005 Elsevier Inc. All rights reserved.</t>
  </si>
  <si>
    <t>Vargas, Pablo/0000-0003-4502-0382</t>
  </si>
  <si>
    <t>10.1016/j.ympev.2005.04.026</t>
  </si>
  <si>
    <t>WOS:000233658100002</t>
  </si>
  <si>
    <t>Kingma, SA; Szentirmai, I; Szekely, T; Bokony, V; Bleeker, M; Liker, A; Komdeur, J</t>
  </si>
  <si>
    <t>Kingma, Sjouke A.; Szentirmai, Istvan; Szekely, Tamas; Bokony, Veronika; Bleeker, Maarten; Liker, Andras; Komdeur, Jan</t>
  </si>
  <si>
    <t>Sexual selection and the function of a melanin-based plumage ornament in polygamous penduline tits Remiz pendulinus</t>
  </si>
  <si>
    <t>Melanin-based ornaments are often involved in signaling aggression and dominance, and their role in sexual selection is increasingly recognized. We investigated the functions of a melanin-based plumage ornament (facial 'mask') in male Eurasian penduline tits Remiz pendulinus in the contexts of male-male aggression, mating success, and parental care. The penduline tit is a passerine bird with a unique mating system in which both sexes may mate with several mates in a breeding season, and one (or both) parent deserts the clutch. Our study revealed that mask size of males is more likely an honest signal used by females in their mate choice decisions than a trait involved in male-male competition. First, mask size increased with both age and body condition, indicating that the mask may signal male quality. Second, males with larger masks paired more quickly and had more mates over the breeding season than males with smaller masks. Third, we found no evidence that male mask size signals male-male aggression or dominance during competitive encounters. The increased mating success of large-masked males, however, did not translate into higher reproductive success, as nestling survival decreased with mask size. Therefore, we conclude that there is either no directional selection on male mask size or males with larger masks receive indirect, long-term benefits.</t>
  </si>
  <si>
    <t>Komdeur, Jan/X-1261-2019; Bókony, Veronika/AAH-7679-2020; Kingma, Sjouke Anne/B-3366-2011; Szekely, Tamas/I-7089-2016</t>
  </si>
  <si>
    <t>Komdeur, Jan/0000-0002-9241-0124; Bókony, Veronika/0000-0002-2136-5346; Kingma, Sjouke Anne/0000-0002-6737-7975; Szekely, Tamas/0000-0003-2093-0056</t>
  </si>
  <si>
    <t>10.1007/s00265-008-0556-x</t>
  </si>
  <si>
    <t>WOS:000255851400007</t>
  </si>
  <si>
    <t>Ruther, J; Thiemann, K</t>
  </si>
  <si>
    <t>Response of the pollen beetle Meligethes aeneus to volatiles emitted by intact plants and conspecifics</t>
  </si>
  <si>
    <t>ENTOMOLOGIA EXPERIMENTALIS ET APPLICATA</t>
  </si>
  <si>
    <t>The response of the pollen beetle Meligethes aeneus Fab. (Coleoptera, Nitidulidae) to the volatiles of undamaged plants and conspecifics was tested in a Y-tube-olfactometer-bioassay. Beetles that had hibernated preferred significantly the volatiles emitted by their most important host plant, oilseed-rape (Brassica napus L. 'Lorar') in the early bud-stage. However, the odour emitted by rye (Secale cereale L.), tomato plants (Solanum lycopersicum L.), and yarrow (Achillea millefolium L.) were also attractive when tested against the corresponding growing-medium. Dock plants (Rumex obtusifolius L.) and touch-me-not (Impatiens parviflora L.) possessed no attractive properties. When tested against each other, oilseed-rape was preferred significantly by M. aeneus above all other plants, with the exception of tomato. The results indicate that M. aeneus is able to locate its host plant by olfactory stimuli in the early bud-stage, i.e. in that stage in which the infestation begins in the field and when the typical yellow colour and floral scent of oilseed-rape are absent. Female pollen beetles avoided significantly the volatiles emitted by female conspecifics and an ether extract of conspecifics of mixed sex, while volatiles from males had no significant effect on females. Furthermore, males showed no preferences when responding to conspecific odour in the olfactometer. These results suggest the existence of an epideictic pheromone for M. aeneus.</t>
  </si>
  <si>
    <t>Ruther, Joachim/AAE-3568-2019</t>
  </si>
  <si>
    <t>Ruther, Joachim/0000-0002-1295-347X</t>
  </si>
  <si>
    <t>0013-8703</t>
  </si>
  <si>
    <t>10.1046/j.1570-7458.1997.00213.x</t>
  </si>
  <si>
    <t>WOS:A1997XW62800009</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</si>
  <si>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</si>
  <si>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</si>
  <si>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</si>
  <si>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</si>
  <si>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Griffith, Simon/AAH-3706-2021; Immler, Simone/A-1707-2014; Pryke, Sarah/G-7484-2011; Immler, Simone/F-8708-2014</t>
  </si>
  <si>
    <t>10.1111/j.1558-5646.2009.00924.x</t>
  </si>
  <si>
    <t>WOS:000278343200009</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</si>
  <si>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</si>
  <si>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</si>
  <si>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</si>
  <si>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</si>
  <si>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</si>
  <si>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</si>
  <si>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O'Connor, KI; Metcalfe, NB; Taylor, AC</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</si>
  <si>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</si>
  <si>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</si>
  <si>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Metcalfe, Neil B./0000-0002-1970-9349</t>
  </si>
  <si>
    <t>10.1006/anbe.1999.1260</t>
  </si>
  <si>
    <t>WOS:000085094300014</t>
  </si>
  <si>
    <t>Pusiak, RJP; Auld, HL; Godin, JGJ</t>
  </si>
  <si>
    <t>Pusiak, Ryan J. P.; Auld, Heather L.; Godin, Jean-Guy J.</t>
  </si>
  <si>
    <t>Relative sexual attractiveness does not influence mate-choice copying in male Trinidadian guppies, Poecilia reticulata</t>
  </si>
  <si>
    <t>Copying the mate choice of another conspecific by a bystanding observer is a socially mediated alternative mating strategy to independent mate choice. Because increased sperm competition is a potential cost of mate-choice copying, males should be prudent and less likely to copy the observed mate choice of other males when the latter are more sexually attractive than themselves. We tested this hypothesis using the Trinidadian guppy, Poecilia reticulata. Focal observer males were simultaneously presented with a large and a small female as potential mates, either in the presence or absence of a nearby model male. We varied the relative differences in the body length and colour ornamentation, traits that predict male sexual attractiveness and competitiveness in the guppy, of observer and model males in each of three experimental treatments: (1) observer and model males were matched for body length and colour ornamentation; (2) the model male was larger and more colourful than the observer male; (3) the model male was smaller and less colourful than the observer male. We compared the mating preferences of focal observer males in each of the latter treatments with that of focal males in a control treatment, wherein no model male (and thus no copying opportunity) was present. As predicted, focal males copied the staged apparent mate choice of a model male in all three experimental treatments, but not in the control treatment. However, contrary to our a priori hypothesis, there were no significant differences in the likelihood or strength of the copying response in observer males among the experimental treatments. Although male guppies are known to modify their mating tactics in the presence of sexual competitors, we found no evidence for an influence of the relative phenotypes of observer and model males on mate-choice copying behaviour in focal observer males. (C) 2020 The Association for the Study of Animal Behaviour. Published by Elsevier Ltd. All rights reserved.</t>
  </si>
  <si>
    <t>Godin, Jean-Guy/0000-0001-8465-1721</t>
  </si>
  <si>
    <t>10.1016/j.anbehav.2020.02.008</t>
  </si>
  <si>
    <t>WOS:000522974300013</t>
  </si>
  <si>
    <t>Gavriilidi, I; Baeckens, S; De Meester, G; Van Linden, L; Van Damme, R</t>
  </si>
  <si>
    <t>Gavriilidi, Ioanna; Baeckens, Simon; De Meester, Gilles; Van Linden, Lisa; Van Damme, Raoul</t>
  </si>
  <si>
    <t>The gullible genius: fast learners fall for fake news</t>
  </si>
  <si>
    <t>In many animals, decision-making is influenced by social learning, i.e. the acquisition of insights through the observation of other individuals' behaviours. In cases where such socially obtained information conflicts with personally acquired knowledge, animals must weigh up one form of information against the other. Previous studies have found that individual animals differ consistently in how they trade-off socially versus personally acquired knowledge, but why this is so remains poorly understood. Here, we investigate whether an animal's cognitive profile affects its decision to use either prior personal or new, conflicting social information, using the Italian wall lizard (Podarcis siculus) as our model species. We trained lizards to associate one of two colour cues with food, and subsequently allowed them to observe a conspecific trained for the opposite colour. After social demonstrations, lizards overall tended to use the 'fake', non-rewarding social information, but some individuals were more likely to do so than others. Lizards that showed faster spatial learning were more likely to copy social information even in the presence of reliable previous knowledge. Our study highlights the existence of significant inter-individual variation in social learning in a lizard, possibly mirroring variation in cognitive abilities. Significance statement Animals often use social information in daily decision-making. Whenever knowledge obtained through personal experience conflicts with observations of decisions made by conspecifics, individuals must weigh these two types of information against each other. Individuals tend to differ in whether they prioritize social versus private information, but why this is so, remains poorly understood. Using lizards, we tested whether an animal's cognitive profile affects its decision to use either prior personal or new, conflicting social information. We found considerable variation among individuals in social information use and tendency to rely on personal or public knowledge. Specifically, faster spatial learners inclined to copy social information, even in the presence of reliable previous knowledge, suggesting that intrinsic, cognitive aspects influence how individuals trade-off public and private information.</t>
  </si>
  <si>
    <t>Van Damme, Raoul/AFQ-1065-2022; Baeckens, Simon/F-2645-2016; De Meester, Gilles/GPT-4783-2022; De Meester, Gilles/AAB-4242-2020; De Meester, Gilles/GRR-6370-2022</t>
  </si>
  <si>
    <t>Baeckens, Simon/0000-0003-2189-9548; De Meester, Gilles/0000-0001-7051-9957; De Meester, Gilles/0000-0001-7051-9957; De Meester, Gilles/0000-0001-7051-9957; Gavriilidi, Ioanna/0000-0003-1035-1931; Van Linden, Lisa/0000-0002-8328-5130</t>
  </si>
  <si>
    <t>10.1007/s00265-021-03122-0</t>
  </si>
  <si>
    <t>WOS:000736712500001</t>
  </si>
  <si>
    <t>MUMA, KE; WEATHERHEAD, PJ</t>
  </si>
  <si>
    <t>MALE TRAITS EXPRESSED IN FEMALES - DIRECT OR INDIRECT SEXUAL SELECTION</t>
  </si>
  <si>
    <t>Colored epaulets in female red-winged blackbirds (Agelaius phoeniceus) could be due either to direct sexual selection favoring the maintenance of this trait in females due to intrasexual competition for breeding opportunities, or to sexual selection favoring bright epaulets in males indirectly causing expression of the trait in females by genetic correlation. Older females tend to be brighter than younger females. Also, brighter females tend to breed earlier in the season than dull females. These patterns are consistent with both of the hypotheses. In a series of experiments in which males and females were presented with taxidermic mounts of dull and bright females, the plumage of these mounts had no influence on the response of either males or females. Also, the response of females was independent of their own plumage. The results of all of the experiments consistently supported the interpretation that male plumage characteristics expressed in female redwinged blackbirds have no functional value and are a consequence of genetic correlation with males. Since recent studies have also indicated that female aggression has no functional value, we speculate that this too could be due to genetic correlation with a trait favored in males.</t>
  </si>
  <si>
    <t>10.1007/BF00299707</t>
  </si>
  <si>
    <t>WOS:A1989AJ00400003</t>
  </si>
  <si>
    <t>Colton, S; Fraley, GS</t>
  </si>
  <si>
    <t>Colton, S.; Fraley, G. S.</t>
  </si>
  <si>
    <t>The effects of environmental enrichment devices on feather picking in commercially housed Pekin ducks</t>
  </si>
  <si>
    <t>Like other poultry species, Pekin ducks occasionally show an auto-mutilation behavior referred to as feather picking. Self-picking can lead to further pecking by conspecifics and ultimately to reduced feather quality and poor overall health of the bird. Although the reasons underlying feather picking are not clear, it appears to occur when the ducks are transitioning between downy feathers and adult plumage, between 17 and 22 d of age. We hypothesized that giving Pekin ducks a substitute outlet for this behavior in the form of environmental enrichment devices (EED) would decrease feather picking and improve feather quality and duck health and welfare. The EED were plastic Wiffle-style balls, each threaded with 4 zip-ties. In the first experiment, we set out to determine that placement of EED would not induce fear or harmful behaviors. Five barns were each divided into 2 pens, holding an average combined total of approximately 4,500 ducks with one pen per barn used as control. Upon placement of the EED in one pen per barn, both pens were videotaped for a total of 2 h per day. The physical characteristics of 100 ducks per pen were scored at age 7, 21, 28, and 35. Results showed a decrease (P = 0.034) in both self-picking and conspecific-pecking in pens with EED compared with pens without EED. Although no differences in body condition scores were observed at 7 d of age, by d 21 ducks with EED showed better (P = 0.021) feather quality and cleanliness scores compared with ducks without EED. In a second experiment, we set out to determine if ducks had a color preference for blue/green, red, or white EED. Again, ducks with EED showed reduced (P = 0.038) feather picking compared with ducks without EED. Ducks interacted considerably more (P = 0.00089) frequently with blue/green EED then either red or white EED. These results suggest that providing environmental enrichment may minimize feather picking and improve feather quality and duck welfare.</t>
  </si>
  <si>
    <t>1525-3171</t>
  </si>
  <si>
    <t>10.3382/ps.2014-03885</t>
  </si>
  <si>
    <t>WOS:000341309600001</t>
  </si>
  <si>
    <t>Ballester-Torres, I; Ricarte, A; Nedeljkovic, Z; Marcos-Garcia, MA</t>
  </si>
  <si>
    <t>Ballester-Torres, Ivan; Ricarte, Antonio; Nedeljkovic, Zorica; Marcos-Garcia, M. Angeles</t>
  </si>
  <si>
    <t>High Phenotypic Diversity Does Not Always Hide Taxonomic Diversity: A Study Case with Cheilosia soror (Zetterstedt, 1843) (Diptera: Syrphidae) in the Iberian Peninsula</t>
  </si>
  <si>
    <t>Comprising nearly 500 species worldwide, Cheilosia Meigen is the largest genus of Syrphidae in the Palaearctic region. Within Cheilosia, phenotypic diversity has been assessed in different species groups, including the group of Cheilosia longula (Zetterstedt, 1838). However, the phenotypic variability of Cheilosia soror (Zetterstedt, 1843), a highly variable member of the C. longula group, has never been assessed in western Europe. In the present work, morphological and molecular analyses were conducted to assess the phenotypic variability found in 300+ specimens of C. soror from the Iberian Peninsula. A total of 16 variable characters were identified and defined for the C. soror morphology, with the highest variation found in the colour of the mesonotum pilosity and the metatibia colour. Morphological variation was assessed against molecular variation based on two molecular markers, one mitochondrial, the 5 &amp; PRIME; end of the cytochrome c oxidase subunit I (COI-5 ' ), and one nuclear, the large subunit ribosomal DNA (28S). Phylogenetic analyses rendered trees with topologies in disagreement with the defined morphological variation. Two haplotypes were identified amongst the analysed specimens of C. soror, together with a haplotypic variant exclusive to the Iberian region. Potential distributions were used to identify unexplored areas of occurrence of C. soror and other species of the C. longula group in the Iberian Peninsula. Unassessed areas of occurrence of C. soror should be surveyed in the future to confirm the absence of hidden taxonomic diversity within the range of phenotypic variation for this species. Phenotypic variation of the other two Iberian species of the C. longula group, C. longula and C. scutellata (Fallen, 1817), was also assessed to find that they are species with less-variable morphology than C. soror and with molecular characters in accordance with other conspecific populations in Europe. New distributional data are provided for C. soror and C. scutellata from Spain, and a leg abnormality is identified for the first time in C. soror.</t>
  </si>
  <si>
    <t>Ricarte, Antonio/S-4483-2016; Marcos-Garcia, M. Angeles/H-7925-2015</t>
  </si>
  <si>
    <t>Ricarte, Antonio/0000-0003-2298-981X; Ballester-Torres, Ivan/0000-0001-6820-2184; Marcos-Garcia, M. Angeles/0000-0002-2439-2630</t>
  </si>
  <si>
    <t>DEC 17</t>
  </si>
  <si>
    <t>10.1155/2022/8378483</t>
  </si>
  <si>
    <t>WOS:000903811100001</t>
  </si>
  <si>
    <t>BAEYENS, G</t>
  </si>
  <si>
    <t>DESCRIPTION OF THE SOCIAL-BEHAVIOR OF THE MAGPIE (PICA-PICA)</t>
  </si>
  <si>
    <t>A description of social behavior of magpies is presented based on a 5 yr study on a resident color marked population. An ethogram is presented, wherein postures, movements, vocalizations and feather positions are discerned and their combinations in different contexts are described. Aggression, escape and submission, pair-formation and pair-maintenance are discussed. The differences in behavior between adults and juveniles and between males and females are given and indicate that sex can be distinguished on behavioral criteria in spring. Outside the breeding season sex determination can only occur if certain behavior types are observed in adult birds. Since it is not always possible to distinguish adults from juveniles with certainty, some caution in assessing sex must be taken. The social interactions in ceremonial gatherings could be interpreted because the status of the birds taking part was known. Usually these gatherings originate as conflicts between territory owners and individuals attempting to establish a territory, or between the latter mutually. Although pair-formation behavior is often seen in the gatherings, only 1 of 65 observed gatherings resulted in the establishment of a new pair-bond.</t>
  </si>
  <si>
    <t>WOS:A1979JH79300004</t>
  </si>
  <si>
    <t>Kasparek, M</t>
  </si>
  <si>
    <t>Kasparek, Max</t>
  </si>
  <si>
    <t>So different but nonetheless the same species: multiple geographic clines explain the diverse forms of the anthidiine bee Rhodanthidium caturigense s.l. (Apoidea: Megachilidae: Anthidiini)</t>
  </si>
  <si>
    <t>ORGANISMS DIVERSITY &amp; EVOLUTION</t>
  </si>
  <si>
    <t>The name Rhodanthidium caturigense (s.l.) combines several similar taxa which have been described on the level of form, subspecies or species and which occur in an area which extends from Iran in the south-east, across the Alps in the north and to the Iberian Peninsula in the west. A detailed quantitative assessment of 17 parameters describing the colour pattern reveals that it follows a smooth geographical cline, with rich yellow coloration in the south being gradually replaced by more melanic colorations in the north. The correlation between geographic latitude and colour scores follows a linear pattern and is highly significant in both sexes (p &lt; 0.0001). In addition, the body size also increases with the geographic latitude, also following a linear trend (p &lt; 0.001). Females in the northernmost population are on average 7.0% and males 19.1% larger than those in the southernmost populations. Some morphological features such as the shape of the male clypeus and the form of the axillae are also subject to variation along a south-north cline. Finally, while there is no sexual size dimorphism in the southernmost populations (size difference, p &gt; 0.05), the males are on average 9.7% larger than the females in the northernmost populations (p &lt; 0.0001). These multiple clinal variations result in geographic forms which are often easily distinguishable from each other but need to be regarded as conspecific because of the gradual character change. Additional evidence that all these forms belong to the same species was obtained from sequencing the mitochondrial CO1 gene. The pairwise genetic distance between specimens from various populations is 1.42% with a maximum of 2.7%, and all specimens are allocated to the same Barcode Index Number (BIN) as established by the Barcode of Life Data System based on algorithms that do not use prior taxonomic knowledge. Rhodanthidium caturigense herewith turns out to be a species with high phenotypic plasticity and apparently a high epigenetic capacity to adapt to certain environmental conditions, not based on genotypic selection mechanisms.</t>
  </si>
  <si>
    <t>1439-6092</t>
  </si>
  <si>
    <t>1618-1077</t>
  </si>
  <si>
    <t>10.1007/s13127-021-00510-2</t>
  </si>
  <si>
    <t>WOS:000702265500001</t>
  </si>
  <si>
    <t>Popovic, M; Golubovic, A; Nowicki, P</t>
  </si>
  <si>
    <t>Popovic, Milos; Golubovic, Ana; Nowicki, Piotr</t>
  </si>
  <si>
    <t>Intersexual Differences in Behaviour and Resource Use of Specialist Phengaris teleius Butterflies</t>
  </si>
  <si>
    <t>Simple Summary In this study, we compared intersexual differences in behaviour and resource use of well-known Scarce Large Blue butterflies. The results indicated that females take short, but exceptionally regular flights, exploring available resources for oviposition. Males took longer, less regular flights, characterised by frequent interactions in search for receptive females. Interestingly, interactions between conspecific butterflies of the investigated species lasted significantly longer than with other species, especially when different sexes were involved. This suggests that individuals were able to quickly and efficiently recognise potential mating partners. Finally, the focal species showed strong association with its larval host plant while resting and nectaring, and less so with other plants with similarly coloured and shaped flowers. Females were particularly strongly restricted to the larval host plant, which provides some evidence that their sensory system shows neural limitation towards this valuable resource. Although the behaviour of the Large Blue butterflies of the genus Phengaris (= Maculinea) is relatively well studied, most empirical data come from investigations of their dispersal and oviposition. Here, we assessed overall intersexual differences in resource use by tracking Phengaris teleius (Bergstrasser, 1779) individuals and recording the duration of their behaviours. Females were characterised by frequent, short flights, and devoted more time to resting and oviposition. Males engaged in numerous, but usually short interactions, and spent most of the time in flight exploring their surroundings for receptive females. Their average flight time was significantly longer compared to females. Average feeding time did not differ between the sexes but was shorter when butterflies were feeding on Sanguisorba officinalis L. Intraspecific interactions within P. teleius were three times longer than those with other insect species, and interactions between sexes were particularly long lasting. Significantly shorter interspecific interactions imply that butterflies can easily recognise conspecifics and differentiate between sexes, which offers obvious fitness benefits. Both sexes, but especially females, showed strong association with their larval host plant, and less so with other flowers of similar colour and shape. Females predominantly used their host plant for feeding, which possibly indicates neuro-sensory constraints towards this resource.</t>
  </si>
  <si>
    <t>Nowicki, Piotr/AFP-2530-2022</t>
  </si>
  <si>
    <t>Golubovic, Ana/0000-0003-2155-5040; Popovic, Milos/0000-0003-0887-6683; Nowicki, Piotr/0000-0002-9797-886X</t>
  </si>
  <si>
    <t>10.3390/insects13030262</t>
  </si>
  <si>
    <t>WOS:000775202600001</t>
  </si>
  <si>
    <t>Cummings, ME; Jordao, JM; Cronin, TW; Oliveira, RF</t>
  </si>
  <si>
    <t>Cummings, Molly E.; Jordao, Joana M.; Cronin, Thomas W.; Oliveira, Rui F.</t>
  </si>
  <si>
    <t>Visual ecology of the fiddler crab, Uca tangeri:: effects of sex, viewer and background on conspicuousness</t>
  </si>
  <si>
    <t>We investigated the visual ecology of the coloration of the eastern Atlantic fiddler crab, Uca tangeri, with particular attention to predator (e.g. avian) and conspecific vision. Spectral reflectance measurements were made on different body parts used in possible intraspecific communication as well as background habitats including crab-made materials (e.g. mudballs). Avian-based and crab-based visual models were used to obtain different estimates of crab conspicuousness to potential predators and conspecifics. We found that male body parts (except for dorsal carapace) were significantly more conspicuous to conspecific viewers than female equivalent body parts, and showed greater within-body contrast estimates. Moreover, male major claw areas differed in reflectance properties, producing variation in conspicuousness that fit signalling predictions: areas visible during claw-waving events were most conspicuous against the background sky, whereas areas visible in nonwaving positions were more conspicuous against substrate backgrounds. For avian vision, sexually dimorphic coloration results in males being generally more conspicuous than females (in terms of brightness contrast) against all backgrounds, however, there was no sexual dimorphic conspicuousness of carapace coloration. Furthermore, one of the most conspicuous features of both male and female crabs is an area that is likely to be more visible to crabs (mouthparts) than to avian predators from above. While conspicuousness varies with background, the most conspicuous background for male signalling parts (major claw) is dark mudballs, suggesting that males may increase the conspicuousness of their signals by modifying their signalling environment. (C) 2007 The Association for the Study of Animal Behaviour. Published by Elsevier Ltd. All rights reserved.</t>
  </si>
  <si>
    <t>Oliveira, Rui/A-3581-2013</t>
  </si>
  <si>
    <t>Oliveira, Rui/0000-0003-1528-618X</t>
  </si>
  <si>
    <t>10.1016/j.anbehav.2007.04.016</t>
  </si>
  <si>
    <t>WOS:000252710000021</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</si>
  <si>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</si>
  <si>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</si>
  <si>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</si>
  <si>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</si>
  <si>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</si>
  <si>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</si>
  <si>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Cox, JA; Jones, CD</t>
  </si>
  <si>
    <t>Cox, James A.; Jones, Clark D.</t>
  </si>
  <si>
    <t>INFLUENCE OF PRESCRIBED FIRE ON WINTER ABUNDANCE OF BACHMAN'S SPARROW</t>
  </si>
  <si>
    <t>Prescribed fire is used extensively to manage breeding habitat for Bachman's Sparrow (Aimophila aestivalis), but little is known about the effects of prescribed fire on winter habitat requirements. We used conspecific recordings in conjunction with point counts to assess relationships between winter sparrow abundance and use of prescribed fire. Counts of sparrows conducted over three winters were higher (0.59 +/- 1.42) ((x) over bar +/- SD) when surrounding vegetation was burned the previous breeding season than in areas burned &gt;18 months earlier (0.27 +/- 0.38). Year-to-year abundance estimates for individual stations increased an average of 0.39 (+/- 0.54) individuals per count when surrounding vegetation was burned the previous breeding season and decreased 0.22 (+/- 0.59) individuals per count when vegetation was not burned. Sparrow counts were positively correlated with percent bare ground cover surrounding census stations and negatively correlated with increases in percent grass cover, grass standing crop, height of grass, and shrubs &lt;1 m in height. Prescribed tire may improve winter foraging conditions for this ground-dwelling species by reducing dense grass cover at ground level. Increased flowering responses that many dominant plants exhibit following burns also may improve winter food resources. We observed color-marked birds (n = 18) in the same areas used during the breeding season and confirmed the maintenance of year-round home ranges by some individuals. Received 22 September 2007. Accepted 30 September 2008.</t>
  </si>
  <si>
    <t>10.1676/07-138.1</t>
  </si>
  <si>
    <t>WOS:000276803600015</t>
  </si>
  <si>
    <t>Godin, JGJ; Herdman, EJE; Dugatkin, LA</t>
  </si>
  <si>
    <t>Social influences on female mate choice in the guppy, Poecilia reticulata:: generalized and repeatable trait-copying behaviour</t>
  </si>
  <si>
    <t>In vertebrates, the mating preferences of individual females can be flexible and the probability of a female mating with a particular male can be significantly increased by her having previously observed another conspecific female affiliate and mate with that same male. In theory, such mate-choice-copying behaviour has potentially important consequences for both the genetic and social ('cultural') transmission of female mating preferences. For copying to result in the 'cultural inheritance' of mating preferences, individual females must not only copy the mate choice decisions of other females but they also should tend to repeat this type of behaviour (i.e. make similar mating decisions) subsequently and to generalize their socially induced preference for a particular male to other males that share his distinctive characteristics. Here, we show experimentally that individual female guppies, Poecilia reticulata, not only copy the observed mating preferences of other females for particular males, but that the preference now assumed via copying is subsequently repeated and generalized to other males of a similar colour phenotype. These results provide empirical evidence for social enhancement of female preference for particular phenotypic traits of chosen males rather than for the particular males possessing those traits, and thus have important implications for our understanding of the role of social learning in the evolution of female mating preferences and of male epigamic traits. (c) 2005 The Association for the Study of Animal Behaviour. Published by Elsevier Ltd. All rights reserved.</t>
  </si>
  <si>
    <t>10.1016/j.anbehav.2004.07.016</t>
  </si>
  <si>
    <t>WOS:000228511900028</t>
  </si>
  <si>
    <t>Dion, P; de Reviers, B; Coat, G</t>
  </si>
  <si>
    <t>Ulva armoricana sp. nov. (Ulvales, Chlorophyta) from the coasts of Brittany (France). I. Morphological identification</t>
  </si>
  <si>
    <t>EUROPEAN JOURNAL OF PHYCOLOGY</t>
  </si>
  <si>
    <t>Ulva armoricana sp. nov. is described from the coast of Brittany, France, using the taxonomic criteria established by Bliding, Koeman and van den Hoek for the European species of Ulva. Morphological evidence strongly suggests that Ulva armoricana is conspecific with the free-living Ulva populations responsible for the 'green tide' phenomenon that occurs at some eutrophicated sites in North Brittany. Blades of U. armoricana are variable in shape, fragile, easily tom, and 30-55 mu m thick in middle and apical regions; they differ from those of U. olivascens by their pale green colour and from those of Ulva lactuca, U, rotundata, U. gigantea, U. pseudocurvata and U. curvata by their crumpled texture that creates an irregular light-reflecting surface, and by the presence of tooth-like protuberances at the margin of the blade. U. armoricana differs from U, scandinavica in having longitudinal ribs containing closely packed bundles of rhizoids, except in the youngest thalli. U. armoricana can be discriminated from U. rigida by the polygonal (never rounded) cells in the mid-thallus region, and quadrangular cells arranged in small longitudinal rows in rapidly growing parts-Pyrenoid number, 1-2 (3-4), overlaps with that of other species, and shape of non-rhizoidal cells of the basal region in transverse sections, either oval or with tapered ends, appears not to be a good taxonomic character. Herbarium data indicate that the species has been collected in northern France since at least 1869, but was previously unrecognized.</t>
  </si>
  <si>
    <t>0967-0262</t>
  </si>
  <si>
    <t>10.1017/S0967026298001607</t>
  </si>
  <si>
    <t>WOS:000073192900008</t>
  </si>
  <si>
    <t>MATSUOKA, N; HATANAKA, T</t>
  </si>
  <si>
    <t>MOLECULAR EVIDENCE FOR THE EXISTENCE OF 4 SIBLING SPECIES WITHIN THE SEA-URCHIN, ECHINOMETRA-MATHAEI IN JAPANESE WATERS AND THEIR EVOLUTIONARY RELATIONSHIPS</t>
  </si>
  <si>
    <t>Four different types of the sea-urchin, Echinometra mathaei (Blainville) which are distinguishable by several characters such as color pattern of spines are observed abundantly on Okinawan reef flats, southern Japan. Their taxonomic, genetic and evolutionary relationships were examined by enzyme electrophoresis. The allozyme studies demonstrated that the four types of sea-urchins designated as Types A, B, C and D do not share gene pools with each other in spite of their sympatric distribution. They were fixed for different alleles at 7 genetic loci in a total of 28 genetic loci scored. This clearly shows no gene flow between the four types, and is a strong evidence for that they are reproductively isolated and genetically distinct species. The Nei's genetic distances between the four types were significantly higher than those between conspecific local populations, and comparable to those between incipient species or very closely related species in many other animal groups. We therefore propose that these four types of sea-urchins should be classified as distinct and separate species of the genus Echinometra. The molecular phylogenetic tree constructed on the basis of the Nei's genetic distances revealed the close affinities between Types A and C and between Types B and D. It also showed a large genetic differentiation between Types A and B. The phylogenetic tree suggested that the four types speciated in relatively recent geological age of the middle Pleistocene. The speciation process of the four types is also discussed.</t>
  </si>
  <si>
    <t>WOS:A1991FG50700015</t>
  </si>
  <si>
    <t>Hazlett, BA; Bach, CE; McLay, C; Thacker, RW</t>
  </si>
  <si>
    <t>A comparative study of the defense syndromes of some New Zealand marine crustacea</t>
  </si>
  <si>
    <t>CRUSTACEANA</t>
  </si>
  <si>
    <t>Five sympatric species of intertidal decapod crustaceans were studied in the field and laboratory with regard to the mechanisms used for predator defense. The species are sympatric and represent a gradient from high intertidal (Cyclograpsus lavauxi) to subtidal (Notomithrax ursus) with Petrolisthes elongatus, Heterozius rotundifrons, and Halicarcinus innominatus intermediate in tidal distribution. We tested the hypothesis that the diversity of defensive features would increase along a tidal gradient from high to low tide. All species were scored in the field for degree of background matching in color and tendency to autotomize appendages. In the laboratory individuals were scored with regard to delay to first movement following disturbance, maximum speed of movement, maximum extent of cheliped extension, and responses to conspecific alarm odors. Maximum sizes for individuals of the different species were obtained from the published literature. The five species varied significantly in the scores recorded fur all of the different defensive features. Halicarcinus innominatus matched its background significantly better, Petrolisthes elongatus autotomized the most readily, Heterozius rotundifrons showed the longest periods of immobility following disturbance, Cyclograpsus lavauxi could move the fastest, and Notomithrax ursus reached the largest size. However, all species utilized multiple mechanisms related to predator avoidance. Summation of the rank scores for the seven different features revealed that the magnitude of the overall diversity of defensive features (1) did not vary along the tidal gradient and (2) showed surprisingly little variation among the different species.</t>
  </si>
  <si>
    <t>Thacker, Robert/0000-0002-9654-0073</t>
  </si>
  <si>
    <t>0011-216X</t>
  </si>
  <si>
    <t>10.1163/156854000504903</t>
  </si>
  <si>
    <t>WOS:000165977200001</t>
  </si>
  <si>
    <t>Freitas, RHA; Negrao, CA; Felício,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</si>
  <si>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</si>
  <si>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</si>
  <si>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</si>
  <si>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Freitas, Renato H A/AEW-0928-2022; Volpato, Gilson L/B-2304-2008</t>
  </si>
  <si>
    <t>Freitas, Renato H A/0000-0002-9053-9186;</t>
  </si>
  <si>
    <t>10.1016/j.zool.2013.09.005</t>
  </si>
  <si>
    <t>WOS:000337884800004</t>
  </si>
  <si>
    <t>Krebs, EA; Putland, DA</t>
  </si>
  <si>
    <t>Chic chicks: the evolution of chick ornamentation in rails</t>
  </si>
  <si>
    <t>Competition over access to food has led to the evolution of a variety of exaggerated visual and vocal displays in altricial nestling birds. Precocial chicks that are fed by their parents also vary widely in appearance ranging from those with inconspicuous coloration to those with brightly colored bills, fleshy parts, and plumes. These ornaments are lost by the end of the period of parental dependence, suggesting they function in competition over parental care. We use a comparative approach to evaluate which ecological or life-history variables may have favored the evolution of conspicuous ornamentation in precocial chicks. We compiled data on chick morphology, ecology, and social organization of species in the Family Rallidae, a group with highly variable downy chicks. Chick ornamentation in the form of brightly colored bills, fleshy patches, or plumes is observed in 36 of 97 species for which downy chicks are described. Phylogenetic reconstructions suggest that nonornamentation is the ancestral state. Chick ornamentation has evolved multiple times within the Rallidae and is significantly associated with large clutch sizes and polygamous mating systems. Chick ornamentation was also weakly associated with adult ornamentation and adult dimorphism. We argue that these results support the hypothesis that lineages with higher levels of sibling competition are more likely to evolve ornamented chicks.</t>
  </si>
  <si>
    <t>10.1093/beheco/arh078</t>
  </si>
  <si>
    <t>WOS:000224482000008</t>
  </si>
  <si>
    <t>Names, G; Martin, M; Badiane, A; Le Galliard, JF</t>
  </si>
  <si>
    <t>Names, Gabrielle; Martin, Melissa; Badiane, Arnaud; Le Galliard, Jean-Francois</t>
  </si>
  <si>
    <t>The relative importance of body size and UV coloration in influencing male-male competition in a lacertid lizard</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</si>
  <si>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</si>
  <si>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Le Galliard, Jean-François/E-8702-2011; Badiane, Arnaud/AAD-3605-2020</t>
  </si>
  <si>
    <t>Le Galliard, Jean-François/0000-0002-5965-9868; Badiane, Arnaud/0000-0002-5556-6613</t>
  </si>
  <si>
    <t>10.1007/s00265-019-2710-z</t>
  </si>
  <si>
    <t>WOS:000473131000001</t>
  </si>
  <si>
    <t>Lahti, DC</t>
  </si>
  <si>
    <t>Lahti, David C.</t>
  </si>
  <si>
    <t>Analysis of Egg Variation and Foreign Egg Rejection in Ruppell's Weaver (Ploceus galbula)</t>
  </si>
  <si>
    <t>Egg appearance is notable for its variation and as a source of recognition cues in bird species that are subject to egg-mimicking brood parasitism. Here I analyze the egg appearance of an East African weaverbird species that has variable eggs and is a host of brood parasitism by an egg-mimicking cuckoo, in order to (1) compare population variation to variation within a clutch as a measure of the distinctiveness of eggs; (2) assess modularity versus correlation among egg appearance traits as an indication of the complexity of egg signatures; and (3) address whether the eggs are discretely polymorphic or continuously variable in appearance. I also compare three methods of assessing egg coloration: reduction of spectral data to orthogonal components, targeted spectral shape variables, and avian visual modeling. Then I report the results of egg replacement experiments that assess the relationship between egg rejection behavior and the difference in appearance between own and foreign eggs. Ruppell's weaver (Ploceus galbula) eggs are variable in appearance between individuals and consistent within a clutch, but vary widely in the distinctiveness of particular traits. Most aspects of color and spotting are decoupled from each other, including coloration likely to derive from different pigments. Egg ground color is bimodal, with a broad continuous class of off-white/UV eggs and another broad class of blue-green eggs. Variation in all other traits is unimodal and usually normal in distribution. Females reject foreign eggs on the basis of the difference in brightness of the ground color and spotting of foreign eggs relative to their own, and the difference in degree to which spots are aggregated at the broad end of the egg. This aggregation is among the most distinctive features of their eggs, but the brightness of the ground color and spotting brightness are not; the birds' use of brightness rather than the more distinctive chromatic variation to recognize eggs might reflect the salience of achromatic contrast in a dim enclosed nest.</t>
  </si>
  <si>
    <t>OCT 11</t>
  </si>
  <si>
    <t>10.3389/fevo.2021.734126</t>
  </si>
  <si>
    <t>WOS:000712776000001</t>
  </si>
  <si>
    <t>Piraonapicha, K; Sangpradub, N</t>
  </si>
  <si>
    <t>Piraonapicha, Kanyakorn; Sangpradub, Narumon</t>
  </si>
  <si>
    <t>Description of nymphs and female subimago of Sparsorythus multilabeculatus Sroka &amp; Soldan, 2008 (Ephemeroptera: Tricorythidae) associated with male imago based on DNA sequence data</t>
  </si>
  <si>
    <t>Sparsorythus is a genus of Tricorythidae from the Oriental Region. Sparsorythus multilabeculatus Sroka &amp; Soldan, 2008 was described based on a male imago from Vietnam. Unknown nymphs and female subimagines of Sparsorythus and male imagines of S. multilabeculatus were collected from Thap Lan National Park, Khon Buri District, Nakhon Ratchasima Province, Thailand. Nymphs and female subimagines of Sparsorythus were associated with male imagines of S. multilabeculatus by analyzing sequences from the DNA barcoding region of the mitochrondrial gene cytochrome oxidase I. Phylogenetic analysis based on Maximum Likelihood indicated that all unknown specimens are conspecific with male imagines of S. multilabeculatus (bootstrap 100% and genetic distance 0-0.004). Male and female nymphs, female subimago and egg are described for the first time. Nymphs each bear a medial emargination on the hypopharynx, one bristle-like process at the base of the left prostheca, and a bifurcate rudimentary gill on abdominal segment VII. The male usually has smudges and light blotches on its forewings; the penis extends to the basal segment of the forceps and reaches to approximately 1/3 of the second segment of the forceps. Forewings of the female subimago have dark colour over more than half of the basal area, and the distal portion of each wing is translucent. The egg has a rounded pole; the polar cap covers approximately 1/4 of the surface; and the surface is covered with hexagonal structures.</t>
  </si>
  <si>
    <t>NOV 13</t>
  </si>
  <si>
    <t>10.11646/zootaxa.4695.6.1</t>
  </si>
  <si>
    <t>WOS:000497817600001</t>
  </si>
  <si>
    <t>Marra, PP; Studds, CE; Wilson, S; Sillett, TS; Sherry, TW; Holmes, RT</t>
  </si>
  <si>
    <t>Marra, Peter P.; Studds, Colin E.; Wilson, Scott; Sillett, T. Scott; Sherry, Thomas W.; Holmes, Richard T.</t>
  </si>
  <si>
    <t>Non-breeding season habitat quality mediates the strength of density-dependence for a migratory bird</t>
  </si>
  <si>
    <t>Our understanding of when natural populations are regulated during their annual cycle is limited, particularly for migratory species. This information is needed for parametrizing models that can inform management and conservation. Here, we use 14 years of data on colour-marked birds to investigate how conspecific density and habitat quality during the tropical non-breeding period interact to affect body condition and apparent annual survival of a long-distance migratory songbird, the American redstart (Setophaga ruticilla). Body condition and survival of birds in high-quality mangrove habitat declined as density increased. By contrast, body condition improved and survival did not vary as density increased in adjacent, lower quality scrub habitat, although mean condition and survival were almost always lower than in mangrove. High rainfall enhanced body condition in scrub but not in mangrove, suggesting factors such as food availability outweighed consequences of crowding in lower quality habitat. Thus, survival of overwintering redstarts in mangrove habitat, disproportionately males, appears to be regulated by a crowding mechanism based on density-dependent resource competition. Survival of individuals in scrub, mostly females, appears to be limited by density-independent environmental factors but not regulated by crowding. The contrasting effects of density and food limitation on individuals overwintering in adjacent habitats illustrate the complexity of processes operating during the non-breeding period for migratory animals, and emphasize the need for long-term studies of animals in multiple habitats and throughout their annual cycles.</t>
  </si>
  <si>
    <t>Wilson, Scott/AAC-7144-2021; Studds, Colin/C-3701-2012; Sillett, Scott/N-2240-2017</t>
  </si>
  <si>
    <t>Studds, Colin/0000-0001-5715-1692; Sillett, Scott/0000-0002-7486-0076; Marra, Peter/0000-0002-0508-7577</t>
  </si>
  <si>
    <t>10.1098/rspb.2015.0624</t>
  </si>
  <si>
    <t>WOS:000358735700011</t>
  </si>
  <si>
    <t>Macedonia, JM; Clark, DL; Fonley, MR; Rowe, JW; Neyer, EE; Mancero, EJ; Valle, CA</t>
  </si>
  <si>
    <t>Macedonia, Joseph M.; Clark, David L.; Fonley, Morgan R.; Rowe, John W.; Neyer, Emma E.; Mancero, Emilio J.; Valle, Carlos A.</t>
  </si>
  <si>
    <t>They Might Be Giants: Divergence in Display Structure Between Two Island Populations of Galapagos Lava Lizards (Microlophus bivittatus)</t>
  </si>
  <si>
    <t>The geographic isolation of conspecific populations can produce a diversification of signals through genetic drift, which may be reinforced by selection if populations (or sibling species) come into secondary contact. As conspicuous visual signals, bobbing displays of lizards have been described for numerous genera, and differences in display structure have been documented between some isolated conspecific populations. Although bobbing display structure has been detailed for several Galapagos Lava Lizard species (Microlophus sp.), intraspecific populations on different islands also exhibit various degrees of display structure divergence. In the present study, our goal was to determine if Microlophus bivittatus on San Cristobal Island and a population on its adjacent islet of Isla Lobos possess differences in bobbing display structure. Interestingly, adult males on Isla Lobos exhibit gigantism compared to those on San Cristobal, and the two populations have been isolated by the sea for several thousand years. We predicted that bobbing display speed would scale inversely with body size, such that displays would be detectably slower and longer in the supersized Isla Lobos males than those in the smaller San Cristobal males. To test this prediction, we elicited displays from subjects by using a conspecific-mimicking robot. We measured two displays from 16 subjects in each population by using conventional unit-based variables as well as Fourier transform-based variables. After determining correlations among display variables, we tested for differences in uncorrelated display unit durations between Isla Lobos and San Cristobal males. We then quantified within-subject, among-subject, and between-population variance for all variables by using nested ANOVAs and tested if variance differed between study populations at any level. Next, we used principal component analysis to create a small number of normally distributed variables (i.e., the principal components) from our original variables. These principal components then were used as inputs for discriminant function analysis to classify displays to populations. Comparisons of display unit durations supported our prediction only for the initial bob in displays, which was longer in Isla Lobos males than in San Cristobal males. Nevertheless, when we considered multiple variables collectively, discriminant function analyses classified displays to the correct population at a level significantly greater than chance in all four unit-based analyses and three of four discrete Fourier transform-based analyses. Finally, supported by data on sexual size dimorphism and genetic differences between pairs of M. bivittatus populations (FST), our results indicate that divergence in bobbing display structure can occur relatively quickly if populations are sufficiently isolated.</t>
  </si>
  <si>
    <t>10.1655/Herpetologica-D-23-00011.s1</t>
  </si>
  <si>
    <t>WOS:001208746500005</t>
  </si>
  <si>
    <t>Shatalkin, AI</t>
  </si>
  <si>
    <t>Palaearctic species of the genus Minertia (Diptera, Lauxaniidae)</t>
  </si>
  <si>
    <t>The following four species are described as new for science: Minettia caucasica sp. n., M. fuscescens sp. n., M. nigritarsis sp. n., and M. filippovi. Minettia caucasica sp. n. from the western Caucasus (Tuapse) differs by having 6-rowed ac and black hind legs. M.fuscescens sp. nl from Japan (Honshu) is related to M. helvola Beck. Both species have 2 pairs of long ac but the former in distinguished from the latter by two colored halteres as in M. longipennis group and by the structure of the terminalia. M. nigritarsis sp. n. from Primorye Territory is closely related to M. martineki Ceianu. It can be distinguished from the latter in having 6-rowed ac and by the structure of hypandrial lobi. M. filippovi sp. n. from the Crimea is similar to M. biseriata Lw. and M. palaestinensis Papp. It differs from both in having 6-rowed ac and by the structure of the terminalia. A key to identify 51 Palaearctic Minettia species (except for Minettiella Malloch with two Palaearctic species) is given. The following synonyms are recognized: M. gemina Shatalkin, 1992 = M. tarsata Sasakawa et Kozanek, 1995, syn. n.; M. gemmata Shatalkin, 1992 = M. kimi Sasakawa et Kozanek, 1995, syn. n. Two species described by Sasakawa and Kozanek (1995) are transferred from Calliopum to Minettiella: M. acrostichalis Sas. et Koz., comb. n. (it is possibly conspecific with M. coracina Shatalkin, 1992) and M. dolabriforme Sas. et Koz., comb, n.</t>
  </si>
  <si>
    <t>WOS:000075812800006</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</si>
  <si>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</si>
  <si>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</si>
  <si>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</si>
  <si>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</si>
  <si>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</si>
  <si>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</si>
  <si>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Bauer, AM; Murdoch, M; Childers, JL</t>
  </si>
  <si>
    <t>Bauer, Aaron M.; Murdoch, Matthew; Childers, Jackie L.</t>
  </si>
  <si>
    <t>A reevaluation of records of Sandveld lizards, Nucras Gray, 1838 (Squamata: Lacertidae), from northern Namibia</t>
  </si>
  <si>
    <t>AMPHIBIAN &amp; REPTILE CONSERVATION</t>
  </si>
  <si>
    <t>Data relating to the Sandveld lizards (Nucras) occurring in Namibia, southwest Africa are reviewed. In particular, we investigated records of N. holubi, a chiefly southeastern African species, and attempted to identify recently collected material that could not be assigned to any species currently recognized in Namibia. A phylogenetic analysis of Nucras based on three mitochondrial markers revealed a deep divergence between Namibian Nucras holubi and two presumably conspecific clades from Limpopo Province, South Africa. In addition, the coloration pattern and scalation of the Namibian material differ from those of the eastern forms, supporting its recognition as a separate species. The name Nucras damarana Parker, 1936, long relegated to the synonymy of N. holubi, is here resurrected for this apparently endemic northern Namibian species. Nucras damarana is restricted to the Kunene, Omusati, Oshikati, Kavango, and Otjozondjupa regions of north-central Namibia. A distinctive specimen of Nucras from near Ruacana in the Kunene Region was identified as allied to Nucras broadleyi, a species recently described from southwestern Angola, on the basis of genetic data, although it differs substantially in color pattern. With the addition of N. aff. broadleyi and the resurrected N. damarana to its fauna, as well as the removal of N. holubi from the nation's species list, four species of Nucras are confirmed to be present in Namibia. Although the conservation status of N. damarana, N. tessellata, and N. intertexta is Least Concern, the uncertain taxonomic status of N. aff. broadleyi precludes a meaningful threat assessment.</t>
  </si>
  <si>
    <t>1083-446X</t>
  </si>
  <si>
    <t>e271</t>
  </si>
  <si>
    <t>WOS:000620656500007</t>
  </si>
  <si>
    <t>PEARSON, OP</t>
  </si>
  <si>
    <t>SPACING AND ORIENTATION AMONG FEEDING GOLDEN-CROWNED SPARROWS</t>
  </si>
  <si>
    <t>A winter flock of color-marked golden-crowned sparrows was photographed repeatedly while feeding on a gridded 2.44 .times. 1.83 m feeding tray. Each bird tended to return to the same place on the tray, even when no other birds were nearby. Song sparrows and a fox sparrow also showed strong site-tenacity. Mean distance to nearest neighbor was random up to 13 birds on the tray. At higher densities the distance was greater than random (birds over-dispersed). Nearest-neighbor distance was unrelated to sex, conspicuousness of crown markings or size of wing. Each individual maintained a specific inter-bird distance. There was no tendency for the nearest neighbor to be of the opposite sex. Golden-crowned sparrows avoided California thrashers and brown towhees and maintained the same spacing between conspecifics as between themselves and fox sparrows, mourning doves and California quail, but allowed closer spacing with song sparrows. Fox sparrows permitted closer approach by golden-crowned sparrows than by other fox sparrows. Each bird within the flock tended to point in a particular direction and the flock itself was not oriented at random. Nearest neighbors tended to point in the same direction. Site-specificity within a flock may reduce intra-flock aggression.</t>
  </si>
  <si>
    <t>10.2307/1367633</t>
  </si>
  <si>
    <t>WOS:A1979HS58400009</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</si>
  <si>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</si>
  <si>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</si>
  <si>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</si>
  <si>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</si>
  <si>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</si>
  <si>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</si>
  <si>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MATTHYSEN, E</t>
  </si>
  <si>
    <t>SOME OBSERVATIONS ON SEX-SPECIFIC TERRITORIALITY IN THE NUTHATCH</t>
  </si>
  <si>
    <t>A small population of colour-banded Nuthatches was observed continuously from August 1982 until June 1985. Confrontation experiments with a live decoy at artificial feeding sites showed that territorial birds reacted most strongly to the presence of intruders of their own sex. Intruders of the other sex were sometimes tolerated without aggressive behaviour. Males and females showed differences in behaviour towards intruders of their own sex. Reactions were also more aggressive in autumn than in spring. Trios are situations in which an individual bird shares the territories of two other birds and defends a ''double'' territory with a partner in each half of it. Most trios are formed when a territorial vacancy, caused by disappearance of a pair member, is invaded by a neighbouring bird which does not leave its former territory and partner. Sharing two territories at a time may bring short-term or long-term advantages in access to food or shelter, ensurance of a mate or improvement in territory and/or mate quality. About half of the disappearances of paired Nuthatches resulted in trios. Sex-specific aggression and the occurrence of trios both support the hypothesis that territorial behaviour of the Nuthatch is highly sex-specific, with territory boundaries of male and female coinciding in most, but not all cases.</t>
  </si>
  <si>
    <t>WOS:A1986D993200007</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</si>
  <si>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</si>
  <si>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</si>
  <si>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</si>
  <si>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</si>
  <si>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Telles, Marina/B-9551-2015; Motta-Junior, Jose Carlos/C-7096-2013</t>
  </si>
  <si>
    <t>Motta-Junior, Jose Carlos/0000-0001-5146-2430</t>
  </si>
  <si>
    <t>10.1071/MU09016</t>
  </si>
  <si>
    <t>WOS:000278020200006</t>
  </si>
  <si>
    <t>Diatroptov, ME; Opaev, AS</t>
  </si>
  <si>
    <t>Diatroptov, M. E.; Opaev, A. S.</t>
  </si>
  <si>
    <t>A MELANIN- AND CAROTENOID-BASED COLORATION AND AGGRESSIVENESS: RELATIONSHIPS BETWEEN THESE TRAITS IN THE GREENFINCH (CHLORIS CHLORIS, PASSERIFORMES, FRINGILLIDAE)</t>
  </si>
  <si>
    <t>In passerine birds, pigment-based feather coloration comes exclusively from carotenoids and melanins. Carotenoids and melanins are fundamentally different classes of biochromes because they are produced through different physiological mechanisms and have frequently been hypothesized to carry out different functions. The expression of melanin ornaments has been shown to be under genetic control, while carotenoid-based traits have traditionally been viewed as reliable indicators of actual body conditions and health. Therefore, melanin- and carotenoid-based traits should be generally unrelated to each other. Here, we considered the coloration of the 2nd rectrices (R2) of 109 Greenfinch males, both subadults and adults. We then linked this trait to aggressiveness studied in captivity. R2 have a melanin-based black tip and a carotenoid-based yellow proximal part. We found that the length of the black tip was related negatively to the saturation of the yellow color. Thus, contrary to expectations, melanin- and carotenoid-based traits were found related to each other. Therefore, melanin-based ornaments may be related to individual conditions and quality somewhat similar to carotenoid-based traits. However, the two differ, because a melanin-based black feather tip was linked to aggression and dominance in Greenfinch males, while the saturation of a carotenoid-based yellow coloration was not.</t>
  </si>
  <si>
    <t>10.31857/S0044513422010056</t>
  </si>
  <si>
    <t>WOS:000851044400007</t>
  </si>
  <si>
    <t>Lacerda, JVA; Montesinos, R; Zocca, C; Guimaraes, CS; Santana, DJ; Ferreira, RB</t>
  </si>
  <si>
    <t>Lacerda, Joao Victor A.; Montesinos, Rachel; Zocca, Cassio; Guimaraes, Carla S.; Santana, Diego J.; Ferreira, Rodrigo B.</t>
  </si>
  <si>
    <t>On the stream-dwelling Crossodactylus timbuhy (Anura, Hylodidae): taxonomy, natural history, and geographic distribution</t>
  </si>
  <si>
    <t>The genus Crossodactylus has taxonomic problems due to the difficulty in properly identifying some populations to the species level. The deficient species diagnosis rises mostly due to high intraspecific variation and lack of information on topotypes. Crossodactylus timbuhy was described based only on external morphology of preserved adult specimens. Based on topotypic specimens, we provide further information on C. timbuhy regarding color in life (both adult and larvae), tadpole external morphology, vocal repertoire, natural history, and geographic distribution. The species identification was confirmed through comparison to the type series, 16S rRNA analysis, and bioacoustics. Crossodactylus timbuhy vocalizes during daylight along shallow slow-flowing streams. The advertisement call has ascendant amplitude modulation, duration of 2.1???8.4 s, 23???75 pulsed notes, and peak frequency of 3.6???4.8 kHz. Our report on male unilateral sac inflation is the first within Crossodactylus. Although overall tadpole external morphology and coloration resemble other species of hylodids, we report ventral depression and golden iridophores also for the first time within Crossodactylus. Adult males display five antipredator mechanisms (interrupt calling, escape, aggression, posture, and aposematism). Finally, we restrict its geographic distribution to the Municipality of Santa Teresa, State of Espirito Santo, Southeastern Brazil.</t>
  </si>
  <si>
    <t>Montesinos, Rachel/S-6095-2017; Santana, Diego/G-5257-2012</t>
  </si>
  <si>
    <t>Santana, Diego/0000-0002-8789-3061; da Silva Guimaraes, Carla/0000-0001-6514-031X; Andrade Lacerda, Joao Victor/0000-0002-2996-6306</t>
  </si>
  <si>
    <t>JUN 23</t>
  </si>
  <si>
    <t>10.11646/zootaxa.5155.4.6</t>
  </si>
  <si>
    <t>WOS:000821618900003</t>
  </si>
  <si>
    <t>Falsarella, LD; Brandao, ML; Gonçalves-de-Freitas,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</si>
  <si>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</si>
  <si>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</si>
  <si>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</si>
  <si>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Lombardi Brandão, Manuela/G-2240-2016; Goncalves-de-Freitas, Eliane/C-4462-2012</t>
  </si>
  <si>
    <t>Lombardi Brandão, Manuela/0000-0002-8686-1076; Goncalves-de-Freitas, Eliane/0000-0003-1896-3035</t>
  </si>
  <si>
    <t>10.1016/j.beproc.2017.07.002</t>
  </si>
  <si>
    <t>WOS:000411539500017</t>
  </si>
  <si>
    <t>ADAPTIVE SIGNIFICANCE OF DELAYED PLUMAGE MATURATION IN MALE NORTHERN ORIOLES</t>
  </si>
  <si>
    <t>In 30 spp. of North American passerine birds, males do not attain fully adult breeding plumage until after their 1st potential breeding season. Female and 1st-year male Northern Orioles are variable with respect to plumage brightness, ranging from very drab to almost as bright as the brilliantly colored black and orange adult males. On average, young males are intermediate in brightness between females and adult males. Selander and Rohwer et al. have proposed conflicting hypotheses to account for this phenomenon, the Sexual Selection Hypothesis (SSH) and the Female Mimicry Hypothesis (FMH), respectively. Several of the assumptions underlying, and predictions arising from, these 2 hypotheses, are tested using data on Northern Orioles. In both years of study there are more females than adult males in the area, but more males in total than females. All females and adult males bred. First-year males did not reach the breeding grounds in spring until several days after the adult males, and .apprx. 1/3 of those yearlings obtained mates. Among young males, plumage brightness was not related to either mating success or the probability of returning to the area to breed as an adult (in the following year). Males that bred in their 1st year were just as likely to survive and return to the breeding grounds in the next summer as were adult males and non-breeding yearlings. No significant difference was found between the male age groups with respect to territory quality, breeding success or parental behavior, although the breeding activity of young males was generally delayed compared to that of adults. Tests of the agonistic response of nesting individuals to models of varying plumage brightness showed that the intermediate coloration characteristic of 1 yr old males is effective in reducing the amount of aggression elicited from adult males, and elicits less aggression from females than does the plumage of the dullest females. Although the 2 hypotheses are not in all instances mutually exclusive, the results of this study most frequently confirm predictions arising from the FMH and refute those consistent with the alternative SSH.</t>
  </si>
  <si>
    <t>10.2307/2408486</t>
  </si>
  <si>
    <t>WOS:A1984SL13500004</t>
  </si>
  <si>
    <t>Chagas, A; Costa, CS</t>
  </si>
  <si>
    <t>Chagas-Junior, Amazonas; Costa, Cristiano Sampaio</t>
  </si>
  <si>
    <t>Macroperipatus ohausi: redescription and taxonomic notes on its status (Onychophora: Peripatidae)</t>
  </si>
  <si>
    <t>REVISTA DE BIOLOGIA TROPICAL</t>
  </si>
  <si>
    <t>Onychophora have undergone a new wave of taxonomic revisions in the last three years. After a recent revision, only two species of Macroperipatus are registered from Brazil: Macroperipatus ohausi and Maciaperipatus geayi. The former was only the second species of Onychophora to be described from Brazil, and is herein redescribed, illustrated, and its taxonomic status revised. Macroperipatus ohausi had only been collected at the type locality, Petropolis, state of Rio de Janeiro, but has not been found there since its discovery. In 2009 we collected two specimens of this species in an Atlantic rain forest fragment in Nova Iguacu in RPPN dos Petroleiros (also state of Rio de Janeiro). The color of the new specimens was interpreted and described based on the NBS/ISCC System of Color Designation, and corresponds only weakly to that described in earlier publications on M ohausi. The identification of M ohausi was based solely on its morphology and compared with its original description. In addition, a female syntype of M ohausi deposited in the Zoologisches Museum (Hamburg) was examined. We reinvestigated its external morphology and concluded that the dorsal papillae have been misinterpreted in M ohausi in previous studies of its integument. The new specimens examined are conspecific with M ohausi mainly by having conical primary papillae, different sized accessory papillae, and by the number of legs. Our material resembles the original description of M ohausi, for example, in spinous pad and nephridial tubercles, even though these features are not represented in the original description and redescription of M ohausi; these features are further detailed here. We concluded that the dorsal papillae morphology of M ohausi, shares diagnostic characters, for example, with representatives of the genera Peripatus and Epiperipatus. The dorsal papillae are rounded and not square as in the original description and redescription. Another argument that supports our conclusion is that the RPPN dos Petroleiros, the locality where the new samples were collected, belongs to the same mountain chain and Atlantic mosaic as the original material of M ohausi. Furthermore, a male of M ohausi is described here for the first time. Based on our morphological data, we transfered this species to the genus Epiperipatzts, proposing a new combination, E. ohausi.</t>
  </si>
  <si>
    <t>Costa, Cristiano Sampaio/X-6310-2018; Chagas-Jr, Amazonas/H-9473-2015</t>
  </si>
  <si>
    <t>Costa, Cristiano Sampaio/0000-0002-0047-9328; Chagas-Jr, Amazonas/0000-0002-3827-378X</t>
  </si>
  <si>
    <t>0034-7744</t>
  </si>
  <si>
    <t>2215-2075</t>
  </si>
  <si>
    <t>10.15517/rbt.v62i3.11643</t>
  </si>
  <si>
    <t>WOS:000343187200014</t>
  </si>
  <si>
    <t>Moskát, C; Zölei, A; Bán, M; Elek, Z; Tong, LG; Geltsch, N; Hauber, ME</t>
  </si>
  <si>
    <t>Moskat, Csaba; Zoelei, Aniko; Ban, Miklos; Elek, Zoltan; Tong, Lainga; Geltsch, Nikoletta; Hauber, Mark E.</t>
  </si>
  <si>
    <t>How to Spot a Stranger's Egg? A Mimicry- Specific Discordancy Effect in the Recognition of Parasitic Eggs</t>
  </si>
  <si>
    <t>Egg discrimination by hosts is an antiparasitic defence to reject foreign eggs from the nest. Even when mimetic, the presence of brood parasitic egg(s) typically alters the overall similarity of all eggs in a clutch, producing a discordant clutch compared to more homogenous clutches of composed only of hosts' own eggs. In multiple parasitism, the more foreign eggs are laid in the nest, the more heterogeneous the overall clutch appears. Perceptual filters and recognition templates cannot explain the known pattern of lower rejection rates of foreign eggs in multiple vs. single parasitism. We therefore assessed the role of clutch homogeneity and manipulated the colour of one or more eggs in the clutches of great reed warbler (Acrocephalus arundinaceus) hosts of common cuckoos (Cuculus canorus). Varying the colours of both the majority and the minority eggs caused predictable shifts in the rejection of the focal egg(s), and ejection rates of the minority egg colour consistently increased but only when it belonged to a more mimetic egg colour, relative to the less mimetic colour of majority eggs. The results imply that in addition to sensory filters, and template-based cognitive decision rules, discordancy-based rejection is affected by the overall clutch appearance and interacts with specific colours varying in the extent of mimicry, to contribute to the recognition decisions of hosts to reject parasitic eggs.</t>
  </si>
  <si>
    <t>Elek, Zoltan/A-5899-2011</t>
  </si>
  <si>
    <t>Elek, Zoltan/0000-0001-6026-6300</t>
  </si>
  <si>
    <t>10.1111/eth.12234</t>
  </si>
  <si>
    <t>WOS:000334692600010</t>
  </si>
  <si>
    <t>Péron, F; John, M; Sapowicz, S; Bovet, D; Pepperberg, IM</t>
  </si>
  <si>
    <t>Peron, Franck; John, Maria; Sapowicz, Stephanie; Bovet, Dalila; Pepperberg, Irene M.</t>
  </si>
  <si>
    <t>A study of sharing and reciprocity in grey parrots (Psittacus erithacus)</t>
  </si>
  <si>
    <t>Demonstrations of nonhuman ability to share resources and reciprocate such sharing seem contingent upon the experimental paradigm used (note Horner et al. in PNAS 108:13847-13851, 2011). Here, such behaviour in Grey parrots (Psittacus erithacus) was tested in two experiments, both designed to avoid possible issues involving apparatus complexity, visible reward options, and physical competition and/or limited communication between subjects. In both studies, two birds, working in dyads, took turns in choosing one of four different coloured cups with differing outcomes: empty (null, nonrewarding), selfish (keeping reward for oneself), share (sharing a divisible reward), or giving (donating reward to other). In Experiment 1, each bird alternated choices with a conspecific; in Experiment 2, each bird alternated with the three humans with different specific intentions (selfish, giving, or copying bird's behaviour). In both experiments, birds could learn to cooperatively reward a partner at little cost to themselves-by sharing-and potentially maximize overall reward by reciprocating such sharing. Experiment 1 results differed depending upon which bird began a session: Only our dominant bird, as follower, was willing to share. In Experiment 2, birds' responses tended towards consistency with human behaviour. Our dominant bird was willing to share a reward with a human who was willing to give up her reward, was selfish with the selfish human, and tended towards sharing with the copycat human; our subordinate bird tended slightly towards increased sharing with the generous human and selfishness with the selfish human, but did not change behaviour with the copycat.</t>
  </si>
  <si>
    <t>Franck, Peron/0000-0001-8408-4691</t>
  </si>
  <si>
    <t>10.1007/s10071-012-0564-0</t>
  </si>
  <si>
    <t>WOS:000315035100005</t>
  </si>
  <si>
    <t>Henry, CS; Brooks, SJ; Duelli, P; Johnson, JB</t>
  </si>
  <si>
    <t>Discovering the true Chrysoperla carnea (Insecta: Neuroptera: Chrysopidae) using song analysis, morphology, and ecology</t>
  </si>
  <si>
    <t>What was once considered a single Holarctic species of green lacewing, Chrysoperla carnea (Stephens), has recently been shown to be a complex of many cryptic, sibling species, the carnea species group, whose members are reproductively isolated by their substrate-borne vibrational songs. Because species in the complex are diagnosed by their song phenotypes and not by morphology, the current systematic status of the type species has become a problem. Here, we attempt to determine which song species corresponds to Stephens' 1835 concept of C. carnea, originally based on a small series of specimens collected in or near London and currently housed in The Natural History Museum. With six European members of the complex from which to choose, we narrow the field to just three that have been collected in England: C. lucasina (Lacroix), Cc2 'slow-motorboat', and Cc4 'motorboat'. Ecophysiology eliminates C. lucasina, because that species remains green during adult winter diapause, while Cc2 and Cc4 share with Stephens' type a change to brownish or reddish color in winter. We then describe the songs, ecology, adult morphology, and larval morphology of Cc2 and Cc4, making statistical comparisons between the two species. Results strongly reinforce the conclusion that Cc2 and Cc4 deserve separate species status. In particular, adult morphology displays several subtle but useful differences between the species, including the shape of the basal dilation of the metatarsal claw and the genital 'lip' and 'chin' of the male abdomen, color and coarseness of the sternal setae at the tip of the abdomen and on the genital lip, and pigment distribution on the stipes of the maxilla. Furthermore, behavioral choice experiments involving playback of conspecific versus heterospecific songs to individuals of Cc2 and Cc4 demonstrate strong reproductive isolation between the two species. Comparison of the adult morphology of song-determined specimens to that of preserved specimens in the original type series and in other collections in The Natural History Museum, London, indicate that the 'true' Chrysoperla carnea (Stephens) is Cc4. Cc2 cannot be confidently associated with any previously described species and is therefore assigned a new name, Chrysoperla pallida sp. nov., and formally described.</t>
  </si>
  <si>
    <t>Duelli, Peter/0000-0001-8862-8262</t>
  </si>
  <si>
    <t>10.1603/0013-8746(2002)095[0172:DTTCCI]2.0.CO;2</t>
  </si>
  <si>
    <t>WOS:000178373100006</t>
  </si>
  <si>
    <t>Nagloo, N; Mountford, JK; Gundry, BJ; Hart, NS; Davies, WIL; Collin, SP; Hemmi, JM</t>
  </si>
  <si>
    <t>Nagloo, Nicolas; Mountford, Jessica K.; Gundry, Ben J.; Hart, Nathan S.; Davies, Wayne I. L.; Collin, Shaun P.; Hemmi, Jan M.</t>
  </si>
  <si>
    <t>Enhanced short-wavelength sensitivity in the blue-tongued skink Tiliqua rugosa</t>
  </si>
  <si>
    <t>Despite lizards using a wide range of colour signals, the limited variation in photoreceptor spectral sensitivities across lizards suggests only weak selection for species-specific, spectral tuning of photoreceptors. Some species, however, have enhanced short-wavelength sensitivity, which probably helps with the detection of signals rich in ultraviolet and short wavelengths. In this study, we examined the visual system of Tiliqua rugosa, which has an ultraviolet/blue tongue, to gain insight into this species' visual ecology. We used electroretinograms, opsin sequencing and immunohistochemical labelling to characterize whole-eye spectral sensitivity and the elements that shape it. Our findings reveal that T. rugosa expresses all five opsins typically found in lizards (SWS1, SWS2, RH1, RH2 and LWS) but possesses greatly enhanced short-wavelength sensitivity compared with other diurnal lizards. This enhanced short-wavelength sensitivity is characterized by a broadening of the spectral sensitivity curve of the eye towards shorter wavelengths while the peak sensitivity of the eye at longer wavelengths (560 nm) remains similar to that of other diurnal lizards. While an increased abundance of SWS1 photoreceptors is thought to mediate elevated ultraviolet sensitivity in a couple of other lizard species, SWS1 photoreceptor abundance remains low in this species. Instead, our findings suggest that short-wavelength sensitivity is driven by multiple factors which include a potentially red-shifted SWS1 photoreceptor and the absence of short-wavelength-absorbing oil droplets. Examining the coincidence of enhanced short-wavelength sensitivity with blue tongues among lizards of this genus will provide further insight into the co-evolution of conspecific signals and whole-eye spectral sensitivity.</t>
  </si>
  <si>
    <t>Hart, Nathan S/B-8564-2011; Hemmi, Jan M/B-6458-2008; Mountford, Jessica/IYT-2726-2023; Mountford, Jessica/H-5488-2014; Collin, Shaun/K-8827-2012; Davies, Wayne/I-1547-2014</t>
  </si>
  <si>
    <t>Hart, Nathan S/0000-0002-7289-9399; Hemmi, Jan M/0000-0003-4629-9362; Mountford, Jessica/0000-0002-3293-6327; Collin, Shaun/0000-0001-6236-0771; Davies, Wayne/0000-0003-0232-1812; Nagloo, Nicolas/0000-0002-6564-5737</t>
  </si>
  <si>
    <t>jeb244317</t>
  </si>
  <si>
    <t>10.1242/jeb.244317</t>
  </si>
  <si>
    <t>WOS:000811278900021</t>
  </si>
  <si>
    <t>Tanaka, S; Nishide, Y</t>
  </si>
  <si>
    <t>Tanaka, Seiji; Nishide, Yudai</t>
  </si>
  <si>
    <t>Do desert locust hoppers develop gregarious characteristics by watching a video?</t>
  </si>
  <si>
    <t>Various sensory stimuli have been suggested to induce gregarious body coloration in locusts, but most previous studies ignored the importance of substrate color. This study tested the effects of visual, olfactory and tactile stimuli from other locusts on the induction of gregarious body coloration in single (isolated-reared) Schistocerca gregaria nymphs housed in yellow-green cups. Odor from gregarious (crowd-reared) locusts, which is believed to induce black patterns in single locusts, had little effect when applied to visually isolated nymphs at the 2nd stadium onward, and all test nymphs remained green without black patterns at the last stadium, as in controls reared without odor and visual stimuli. Visual stimuli alone induced black patterns when a single solitarious nymph was allowed to see other locusts in another cup. The degree of black patterns increased as the number of locusts shown increased, and some test nymphs developed body coloration typically observed in gregarious forms. A classical morphometric ratio (hind femur length/head width) shifted toward the value typical of gregarious forms when the single nymphs were allowed to see 5 or 10 locusts. Single nymphs also developed black patterns when presented green conspecific nymphs and adults of two hemipteran species kept in another cup. No synergetic effects of visual and odor stimuli were detected. Movies of locusts, crickets and tadpoles were found effective in inducing black patterns in single locusts. Ontogenetic variation in the sensitivity to crowding and experimental methodology might be responsible for some discrepancies in the conclusions among different researchers. (C) 2012 Elsevier Ltd. All rights reserved.</t>
  </si>
  <si>
    <t>10.1016/j.jinsphys.2012.04.005</t>
  </si>
  <si>
    <t>WOS:000307154600004</t>
  </si>
  <si>
    <t>Barrantes, G; Eberhard, WG</t>
  </si>
  <si>
    <t>Barrantes, Gilbert; Eberhard, William G.</t>
  </si>
  <si>
    <t>Ontogeny repeats phylogeny in Steatoda and Latrodectus spiders</t>
  </si>
  <si>
    <t>Web designs of young spiders are often less derived than those of older conspecific individuals. This study tested whether this ontogeny repeats phylogeny pattern occurs in two species of Latrodectus and two species of the closely related genus Steatoda. This pattern was assumed to occur in a recent study of a third Latrodectus species, L. geometricus, which attempted to deduce a probable evolutionary derivation of gum-foot webs of theridiids on the basis of ontogenetic changes. We found the same basic ontogeny repeats phylogeny ontogenetic pattern in all four species, suggesting that the previous suppositions were justified. As expected, the webs of the young instars of the two Latrodectus species were more similar than those of the adults, and were more similar to those of young than to those of adults of L. geometricus. One apparently derived trait of L. mirabilis, attaching prey remains as camouflage for the spider in the central portion of the web, did not change during ontogeny, and was present in even the webs of first-instar spiderlings. Field observations of L. mirabilis suggest that the ontogenetic change from light to darker abdominal color patterns that occurs in many Latrodectus species may result from changes in selection for camouflage associated with ontogenetic changes in web designs and the spiders' resting sites. The webs of Steatoda also fit the ontogenetic pattern: at least some ontogenetic changes in both species involved younger spiders having less derived traits than those of adults. The webs of young Steatoda spiders were more derived in some respects than those of the early instars of Latrodectus.</t>
  </si>
  <si>
    <t>10.1636/B10-05.1</t>
  </si>
  <si>
    <t>WOS:000297386000013</t>
  </si>
  <si>
    <t>Yu, N; Hupe, G; Longtin, A; Lewis, JE</t>
  </si>
  <si>
    <t>Yu, Na; Hupe, Ginette; Longtin, Andre; Lewis, John E.</t>
  </si>
  <si>
    <t>Electrosensory Contrast Signals for Interacting Weakly Electric Fish</t>
  </si>
  <si>
    <t>FRONTIERS IN INTEGRATIVE NEUROSCIENCE</t>
  </si>
  <si>
    <t>Active sensory systems have evolved to properly encode natural stimuli including those created by conspecifics, yet little is known about the properties of such stimuli. We consider the electrosensory signal at the skin of a fixed weakly electric fish in the presence of a swimming conspecific. The dipole recordings are obtained in parallel with video tracking of the position of the animals. This enables the quantification of the relationships between the recording dipole and the positions of the head, midbody and tail of the freely swimming fish. The contrast of the signal at the skin is shown to be well-fitted by a decreasing exponential function of distance. It is thus anti-correlated with distance; it is also correlated with the second envelope (i.e., the envelope of the envelope) of the raw recorded signal. The variance of the contrast signal is highest at short range. However, the coefficient of variation (CV) of this signal increases with distance. We find a range of position and associated contrast patterns under quasi-2D swimming conditions. This is quantified using global measures of the visit times of the free fish within measurable range, with each visit causing a bump in contrast. The durations of these bumps as well as the times between these bumps are well reproduced by a doubly stochastic process formed by a dichotomous (two-state) noise with Poisson statistics multiplying a colored noise [Ornstein-Uhlenbeck (OU) process]. Certain rapid body movements such as bending or turning are seen to produce contrast drops that may be part of cloaking strategies.</t>
  </si>
  <si>
    <t>Yu, Na/0000-0003-0916-5808; Lewis, John/0000-0003-0830-7368</t>
  </si>
  <si>
    <t>1662-5145</t>
  </si>
  <si>
    <t>JUL 31</t>
  </si>
  <si>
    <t>10.3389/fnint.2019.00036</t>
  </si>
  <si>
    <t>WOS:000478020400001</t>
  </si>
  <si>
    <t>Gibson, R; Burns, JG; Rodd, FH</t>
  </si>
  <si>
    <t>Gibson, R.; Burns, J. G.; Rodd, F. H.</t>
  </si>
  <si>
    <t>Flexibility in the colouration of the meninx (brain covering) in the guppy (Poecilia reticulata): investigations of potential function</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</si>
  <si>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</si>
  <si>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</si>
  <si>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</si>
  <si>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Sulc, M; Procházka, P; Capek, M; Honza, M</t>
  </si>
  <si>
    <t>Sulc, Michal; Prochazka, Petr; Capek, Miroslav; Honza, Marcel</t>
  </si>
  <si>
    <t>Birds use eggshell UV reflectance when recognizing non-mimetic parasitic eggs</t>
  </si>
  <si>
    <t>Brood parasitism generally has detrimental effect on host fitness. To avoid the negative consequences of brood parasitism, hosts have often evolved an effective counter-adaptation-recognition and rejection of parasitic eggs. Because eggshells of the Eurasian reed warbler (Acrocephalus scirpaceus) and its brood parasite, the common cuckoo (Cuculus canorus), differ significantly in their ultraviolet (UV) reflectance, one would expect that the ability of the hosts to see UV light will play an important role in recognition and rejection of parasitic eggs. To test this assumption, we performed 3 sets of experiments differing in the level of mimicry of the parasitic egg. In the first 2 experiments, we parasitized host nests by conspecific eggs (either own or from other females with perfect and good mimicry, respectively) coated either with a UV blocker (completely reducing UV reflectance of the eggshell) or with Vaseline as a control treatment. Although the UV blocker significantly decreased eggshell UV reflectance, hosts accepted most of these conspecific eggs and the type of coating did not significantly affect the probability of rejection. In the third experiment, we parasitized clutches with 2 types of non-mimetic eggs differing only in UV reflectance (UV- and UV+). We found that hosts rejected UV+ eggs at a significantly higher rate than UV-eggs, probably due to their lower mimicry in the UV spectrum. Here, we demonstrated that hosts use UV signals during egg recognition. Moreover, we suggest that such signals may play a more important role when the parasitic egg is non-mimetic rather than mimetic, when hosts can use additional cues, such as spotting pattern.</t>
  </si>
  <si>
    <t>Šulc, Michal/E-3257-2016; Capek, Miroslav/A-1125-2011; Procházka, Petr/A-9727-2008; Honza, Marcel/A-1123-2011</t>
  </si>
  <si>
    <t>Šulc, Michal/0000-0002-7866-1795; Capek, Miroslav/0000-0002-0189-1250; Procházka, Petr/0000-0001-9385-4547;</t>
  </si>
  <si>
    <t>10.1093/beheco/arv206</t>
  </si>
  <si>
    <t>WOS:000375398800043</t>
  </si>
  <si>
    <t>Mahecha-J, O; Florczyk, K; Willmott, K; Cerdeña, J; Zubek, A; Boyer, P; Farfán, J; Lachowska-Cierlik, D; Pyrcz, TW</t>
  </si>
  <si>
    <t>Mahecha-J, Oscar; Florczyk, Klaudia; Willmott, Keith; Cerdena, Jose; Zubek, Anna; Boyer, Pierre; Farfan, Jackie; Lachowska-Cierlik, Dorota; Pyrcz, Tomasz W.</t>
  </si>
  <si>
    <t>Solving the cryptic diversity of the genus Manerebia Staudinger in northern Peru: description of new species and considerations on the biogeographical role of the Huancabamba Deflection (Nymphalidae: Satyrinae: Pronophilina)</t>
  </si>
  <si>
    <t>The Huancabamba Deflection in the Andes of northern Peru and southern Ecuador is a pivotal area for Neotropical biogeography, where exceptional biodiversity coincides with high rates of endemism. These characteristics are well illustrated within the montane butterfly genus Manerebia Staudinger (Nymphalidae, Satyrinae). Here, six new, apparently endemic species, and two new subspecies, are described from this region: M. inducta Pyrcz &amp; Willmott n. sp., M. ronda Pyrcz &amp; Boyer, n. sp., M. ronda amplia Pyrcz &amp; Boyer, n. ssp., M. punku Pyrcz &amp; Farfan n. sp., M. huamanii Cerdena &amp; Pyrcz n. sp., M. placida Pyrcz &amp; Willmott n. sp., M. granatus Willmott, Radford &amp; Pyrcz n. sp. and M. prattorum udima Pyrcz &amp; Boyer, n. ssp. A total of 22 species of Manerebia is reported from the study region, as much as half the total number of species in this genus distributed throughout the tropical Andes. The alpha-taxonomy of Manerebia is particularly demanding, as colour patterns have apparently converged among different species making identification virtually impossible in some cases without comparison of their genitalia, which prove taxonomically and phylogenetically highly valuable. On the other hand, several species differ markedly in wing colour patterns and occur at different elevations but have identical genitalia. Furthermore, our data show that DNA barcoding is only partly viable as an alpha-taxonomic tool, as some markedly different species of Manerebia, in terms of external morphology and ecological preferences, are genetically not separable using only COI markers. On the other hand, several species barely differing morphologically are identified based on barcode. Barcodes of 26 species, including 18 from the northern Andes, are studied here, showing strong differences within some taxa previously considered conspecific based on morphological characters, suggesting that their taxonomic status needs to be re-evaluated. In particular, M. trimaculata and the widely distributed polytypic M. inderena may be highly variable species or complexes of several species. A total of 16 species are found north of the Chamaya valley in southern Ecuador and extreme northern Peru, compared to 14 species south of it in northern Peru. The faunal (Jaccard) similarity coefficient of the two adjacent regions is low (0.3), reflecting the role of the Huancabamba Deflection as a biogeographical barrier.</t>
  </si>
  <si>
    <t>Mahecha, Oscar/Q-2031-2018; Pyrcz, Tomasz/AGZ-3766-2022; Cerdena, Jose/F-8721-2019</t>
  </si>
  <si>
    <t>Mahecha, Oscar/0000-0002-8682-0020; Farfan, Jackie/0000-0001-5913-0756; Willmott, Keith/0000-0002-9228-0219; Zubek, Anna/0000-0003-3663-522X; Florczyk, Klaudia/0000-0002-5731-8605; Cerdena, Jose/0000-0003-3930-6480; Pyrcz, Tomasz/0000-0003-4822-0670; Lachowska-Cierlik, Dorota/0000-0001-9072-1677</t>
  </si>
  <si>
    <t>10.11646/zootaxa.5072.3.1</t>
  </si>
  <si>
    <t>WOS:000725866700001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</si>
  <si>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</si>
  <si>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</si>
  <si>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</si>
  <si>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</si>
  <si>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Applegate, Matthew/0000-0002-1430-1192; Franklin, Amanda/0000-0002-8650-8344</t>
  </si>
  <si>
    <t>10.1093/beheco/arx096</t>
  </si>
  <si>
    <t>WOS:000412182400016</t>
  </si>
  <si>
    <t>Ludt, WB; Bernal, MA; Kenworthy, E; Salas, E; Chakrabarty, P</t>
  </si>
  <si>
    <t>Ludt, William B.; Bernal, Moises A.; Kenworthy, Erica; Salas, Eva; Chakrabarty, Prosanta</t>
  </si>
  <si>
    <t>Genomic, ecological, and morphological approaches to investigating species limits: A case study in modern taxonomy from Tropical Eastern Pacific surgeonfishes</t>
  </si>
  <si>
    <t>A wide variety of species are distinguished by slight color variations. However, molecular analyses have repeatedly demonstrated that coloration does not always correspond to distinct evolutionary histories between closely related groups, suggesting that this trait is labile and can be misleading for species identification. In the present study, we analyze the evolutionary history of sister species of Prionurus surgeonfishes in the Tropical Eastern Pacific (TEP), which are distinguished by the presence or absence of dark spots on their body. We examined the species limits in this system using comparative specimen-based approaches, a mitochondrial gene (COI), more than 800 nuclear loci (Ultraconserved Elements), and abiotic niche comparisons. The results indicate there is a complete overlap of meristic counts and morphometric measurements between the two species. Further, we detected multiple individuals with intermediate spotting patterns suggesting that coloration is not diagnostic. Mitochondrial data recovered a single main haplotype shared between the species and all locations resulting in a complete lack of structure (phi(ST) = 0). Genomic analyses also suggest low levels of genetic differentiation (F-ST = 0.013), and no alternatively fixed SNPs were detected between the two phenotypes. Furthermore, niche comparisons could not reject niche equivalency or similarity between the species. These results suggest that these two phenotypes are conspecific and widely distributed in the TEP. Here, we recognize Prionurus punctatus Gill 1862 as a junior subjective synonym of P. laticlavius (Valenciennes 1846). The underlying causes of phenotypic variation in this species are unknown. However, this system gives insight into general evolutionary dynamics within the TEP.</t>
  </si>
  <si>
    <t>Bernal, Moises A/D-9006-2012; Chakrabarty, Prosanta/E-3307-2010</t>
  </si>
  <si>
    <t>Bernal, Moises/0000-0002-3236-8403; Chakrabarty, Prosanta/0000-0003-0565-0312; Salas De la Fuente, Eva Maria/0000-0002-6941-0548</t>
  </si>
  <si>
    <t>10.1002/ece3.5029</t>
  </si>
  <si>
    <t>WOS:000465089500027</t>
  </si>
  <si>
    <t>Rakotonirina, H; Kappeler, PM; Fichtel, C</t>
  </si>
  <si>
    <t>Rakotonirina, Hanitriniaina; Kappeler, Peter M.; Fichtel, Claudia</t>
  </si>
  <si>
    <t>The role of facial pattern variation for species recognition in red-fronted lemurs (Eulemur rufifrons)</t>
  </si>
  <si>
    <t>Background: Species recognition, i.e., the ability to distinguish conspecifics from heterospecifics, plays an essential role in reproduction. The role of facial cues for species recognition has been investigated in several non-human primate species except for lemurs. We therefore investigated the role of facial cues for species recognition in wild red-fronted lemurs (Eulemur rufifrons) at Kirindy Forest. We presented adult red-fronted lemurs pictures of male faces from five species including red-fronted lemurs, three closely related species, white-fronted lemurs (E. albifrons), brown lemurs (E. fulvus), rufous brown lemurs (E. rufus), and genetically more distant red-bellied lemurs (E. rubriventer), occurring in allopatry with the study population. We predicted that red-fronted lemurs respond stronger to conspecific than to heterospecific pictures and that females show stronger responses than males. In addition, if genetic drift has played a role in the evolution of facial color patterns in the members of this genus, we predicted that responses of red-fronted lemurs correlate negatively with the genetic distance to the different species stimuli. Results: Red-fronted lemurs looked significantly longer at pictures of their own species than at those of heterospecifics. Females spent less time looking at pictures of white-fronted, brown and red-bellied lemurs than males did, but not to pictures of red-bellied lemurs and a control stimulus. Individuals also exhibited sniffing behavior while looking at visual stimuli, and the time spent sniffing was significantly longer for pictures of conspecifics compared to those of heterospecifics. Moreover, the time spent looking and sniffing towards the pictures correlated negatively with the genetic distance between their own species and the species presented as stimulus. Conclusions: We conclude that red-fronted lemurs have the ability for species recognition using visual facial cues, which may allow them to avoid costly interbreeding. If so, sexual selection might have influenced the evolution of facial patterns in eulemurs. Since responses also correlated with genetic distance, our findings suggest a potential role of genetic drift as well as sexual selection in influencing the evolution of facial variation in eulemurs. Because study subjects looked and sniffed towards the presented pictures, red-fronted lemurs might have the ability for multi-modal species recognition.</t>
  </si>
  <si>
    <t>10.1186/s12862-018-1126-0</t>
  </si>
  <si>
    <t>WOS:000425179400001</t>
  </si>
  <si>
    <t>Persistence of egg recognition in the absence of cuckoo brood parasitism: Pattern and mechanism</t>
  </si>
  <si>
    <t>Broad ecological shifts can render previously adaptive traits nonfunctional. It is an open question as to how and how quickly nonfunctional traits decay once the selective pressures that favored them are removed. The village weaverbird (Ploceus cucullatus) avoids brood parasitism by rejecting foreign eggs. African populations have evolved high levels of within-clutch uniformity as well as individual distinctiveness in egg color and spotting, a combination that facilitates identification of foreign eggs. In a companion study, I showed that these adaptations in egg appearance declined following introductions of weavers into habitats devoid of egg-mimicking brood parasites. Here, I use experimental parasitism in two ancestral and two introduced populations to test for changes in egg rejection behavior while controlling for changes in egg appearance. Introduced populations reject foreign eggs less frequently, but the ability of source and introduced populations to reject foreign eggs does not differ after controlling for the evolution of egg color and spotting. Therefore, egg rejection behavior in introduced populations of the village weaver has been compromised by changes in egg appearance, but there has been no significant decline in the birds' ability to recognize foreign eggs. This result reconciles earlier studies on this system and provides insights into the ways behavior can change over generations, especially in the context of recognition systems and the avoidance of brood parasitism.</t>
  </si>
  <si>
    <t>WOS:000235477400015</t>
  </si>
  <si>
    <t>CRAIG, JL</t>
  </si>
  <si>
    <t>BEHAVIOR OF PUKEKO, PORPHYRIO-PORPHYRIO-MELANOTUS</t>
  </si>
  <si>
    <t>Displays of the pukeko P. porphyrio melanotus Temminck (Gruiformes:Rallidae) are described and analyzed quantitatively. Aggressive displays center around the beak, which is presented to the opponent in a position from which a peck can be given. Submissive or escape displays center around the white undertail coverts, which appear to have evolved as a distinct submissive signal since they are in sharp contrast to the aggressive releaser, both in location and color. Raising the wings serves to expose the undertail and to provide a contrasting frame. The development of the white undertail as a submissive signal may have paralleled the development of the large frontal shield, which serves to maximize the aggressive releaser. Most displays are ambivalent, signalling both aggression and escape. With increasing escape tendency the bill and frontal shield are so placed that pecking is decreasingly likely, and the wings are increasingly raised. In postures with high escape tendency the beak is placed on the ground or removed from the opponent''s view, but only in pure escape postures are the white undertail coverts prominent. Displays which involve rapid removal of the beak and shield from the opponent''s view are more common in close contact situations, such as hierarchical interactions between pukeko of the same group. A brief comparison is made with other published reports on gallinules.</t>
  </si>
  <si>
    <t>10.1080/03014223.1977.9517966</t>
  </si>
  <si>
    <t>WOS:A1977EK27900008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</si>
  <si>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</si>
  <si>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</si>
  <si>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</si>
  <si>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Tsellarius, Alexey/AAD-5529-2022</t>
  </si>
  <si>
    <t>WOS:000178048000009</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</si>
  <si>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</si>
  <si>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</si>
  <si>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</si>
  <si>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J./0000-0002-4662-0227</t>
  </si>
  <si>
    <t>10.1007/s002650050611</t>
  </si>
  <si>
    <t>WOS:000082141200009</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</si>
  <si>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</si>
  <si>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</si>
  <si>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10.1006/anbe.2000.1401</t>
  </si>
  <si>
    <t>WOS:000088220000003</t>
  </si>
  <si>
    <t>COLLIAS, NE; COLLIAS, EC</t>
  </si>
  <si>
    <t>BEHAVIOR OF THE GREY-CAPPED SOCIAL WEAVER (PSEUDONIGRITA-ARNAUDI) IN KENYA</t>
  </si>
  <si>
    <t>Color-banded individuals of the grey-capped social weaver (P. arnaudi, Ploceidae) were observed in Kenya during breeding and nonbreeding periods. In each colony, one to several groups centered about different families slept in their nests the year round in the same acacia tree (considered a colony). Nest territories were generally not defended against members of other groups in the same tree. Birds from other colonies were usually attacked whenever they landed in the colony tree. The birds foraged on the ground in communal feeding areas and were organized into dominance hierarchies but did not defend feeding territories. Members of different groups from the same colony tolerated each other when feeding on the ground more than they did birds from other colonies. Aggression was rare or absent between members of the same group. The roofed nests had 2 entrance or exit holes opening below, one of which was closed in a brood nest before eggs were laid and opened again just before or after the young left the nest. Both members of a pair incubated. Other birds in adult plumage and immature birds from previous broods often helped the pair build nests and feed nestlings. The behavior of P. arnaudi is compared with that of the related Plocepasser mahali and Philetairus socius and resembles the latter most closely.</t>
  </si>
  <si>
    <t>WOS:A1980JR68800001</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</si>
  <si>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</si>
  <si>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</si>
  <si>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10.1111/j.1439-0310.2004.00996.x</t>
  </si>
  <si>
    <t>WOS:000222483900004</t>
  </si>
  <si>
    <t>Frommen, JG; Hanak, S; Schmidl, CA; Thünken,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</si>
  <si>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</si>
  <si>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</si>
  <si>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</si>
  <si>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Joachim/D-6802-2013</t>
  </si>
  <si>
    <t>10.1163/1568539X-00003303</t>
  </si>
  <si>
    <t>WOS:000362911000009</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</si>
  <si>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</si>
  <si>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</si>
  <si>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</si>
  <si>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WOS:A1992HW96900007</t>
  </si>
  <si>
    <t>Finston, T</t>
  </si>
  <si>
    <t>Morphology and molecules conflict to confound species boundaries in salt lake ostracodes of the genus Mytilocypris (Crustacea: Ostracoda)</t>
  </si>
  <si>
    <t>The ostracode genus Mytilocypris comprises eight species, and has a widespread distribution in saline habitats of semi-arid Australia. Fifteen populations, representing all eight species in the genus, were analysed at 19 enzyme loci to identify markers to delineate species boundaries. Only five distinct genetic groups were found: M. mytiloides, M. ambiguosa, M. splendida, M. praenuncia, and M. henricae. Three presumptive species, M. mytiloides, M. tasmanica chapmani, and M. minuta have sympatric distributions in Western Australia. The three show similar internal morphology, lack any diagnostic features of colour, pattern or setation of the shell, but differ in the size and shape of the shell. They also show microhabitat divisions along a salinity gradient. There were no genetic markers to distinguish the three Western Australian species from one another, and they showed high genetic similarity to a population of M. mytiloides from near its type locality in South Australia. Furthermore, seven populations containing more than one species in the mytiloides complex failed to show evidence of reproductive isolation between species, when tested for genetic differentiation. In contrast, a multivariate analysis, used to quantify and evaluate patterns of variation within and among the three species in the mytiloides complex, revealed differences in size, shape and allometry among species, but also showed overlap of body shapes and sizes of individuals. Two explanations are plausible for the lack of congruence between morphological and allozyme data: the three may be closely related species with undetected genetic differentiation, or the three taxa may be conspecific, and shell size, shape and allometry may be plastic characters. The role of fluctuating environmental conditions on crustacean morphology and life history variation is discussed.</t>
  </si>
  <si>
    <t>10.1071/ZO00046</t>
  </si>
  <si>
    <t>WOS:000089592900007</t>
  </si>
  <si>
    <t>Wood, MJ; Ratnieks, FLW</t>
  </si>
  <si>
    <t>Olfactory cues and Vespula wasp recognition by honey bee guards</t>
  </si>
  <si>
    <t>Guard honey bees patrol the entrance to the nest and are thought to recognise nestmates by cuticular hydrocarbons. We aimed to determine whether honey bee guards can recognise predatory common wasps Vespula vulgaris and nestmates by olfactory cues. Odours were transferred between both honey bees and wasps and the responses of guards to controlled introductions monitored. When controlling for the species of introduced insect, the transferred odour was a predictor of aggressive attacks on both bees and wasps. Carriers of incongruous, allospecific odours were antennated by more guards than carriers of conspecific odours. Olfactory cues were, therefore, transferred and guards responded not only to odour per se but also odour incongruity. Olfactory cues may therefore be important in predator recognition by honey bee guards.</t>
  </si>
  <si>
    <t>Wood, Matthew J/B-6124-2011; Wood, Matthew/HDN-1469-2022</t>
  </si>
  <si>
    <t>Wood, Matthew J/0000-0003-0920-8396; Wood, Matthew/0000-0002-5436-6011</t>
  </si>
  <si>
    <t>10.1051/apido:2004040</t>
  </si>
  <si>
    <t>WOS:000224957200002</t>
  </si>
  <si>
    <t>Silva, FWS; Serrao, JE; Elliot, SL</t>
  </si>
  <si>
    <t>Silva, Farley W. S.; Serrao, Jose E.; Elliot, Simon L.</t>
  </si>
  <si>
    <t>Density-dependent prophylaxis in primary anti-parasite barriers in the velvetbean caterpillar</t>
  </si>
  <si>
    <t>1. Organisms rely on a set of primary barriers to prevent invasion by parasites, and secondary defences to fight parasites that breach the primary barriers. However, maintaining these defences to be active and effective is costly. Thus, hosts increase investment in anti-parasite defences under situations of high risk of infection and reduce defences when the risk is reduced (the Density-Dependent Prophylaxis' hypothesis). 2. In the present study, it was tested whether the midgut primary defences of the velvetbean caterpillar Anticarsia gemmatalisHubner present density-dependent plasticity, and also whether these defences could be induced by a viral pathogenic challenge. The aim was to examine whether morphometry and the structure of the midgut and peritrophic matrix (PM) change in accordance with colour transition in caterpillars, and whether such changes may provide the caterpillars a more protective barrier against invasion by Anticarsia gemmatalis multiple nucleopolyhedrovirus (AgMNPV). 3. It was found that PM and the midgut epithelium of the velvetbean caterpillar change plastically according to phenotype, itself a response to changes in population density. Caterpillars reared at high densities (black phenotype) had a considerably thicker midgut epithelia and peritrophic matrices than those reared individually (green phenotype), and there was also more chitin in the PM of the former. 4. This was interpreted as the first demonstration of increased investment in primary, barrier, defences against parasites, in response to increased conspecific density and an increased risk of infection. The possibility that this arises as a positive result of pleiotropy is discussed further, wherein the biochemical pathways responsible for the up-regulation of the immune system are also involved in midgut properties.</t>
  </si>
  <si>
    <t>Elliot, Simon Luke/A-5557-2013; Silva, Farley/D-9067-2013</t>
  </si>
  <si>
    <t>Elliot, Simon Luke/0000-0002-7469-2949; Silva, Farley/0000-0002-2651-9375</t>
  </si>
  <si>
    <t>10.1111/een.12315</t>
  </si>
  <si>
    <t>WOS:000379942700010</t>
  </si>
  <si>
    <t>Sogge, MK; Koronkiewicz, TJ; van Riper, C; Durst, SL</t>
  </si>
  <si>
    <t>Sogge, Mark K.; Koronkiewicz, Thomas J.; van Riper, Charles, III; Durst, Scott L.</t>
  </si>
  <si>
    <t>Willow flycatcher nonbreeding territory defense behavior in Costa Rica</t>
  </si>
  <si>
    <t>We studied the intraspecific territorial defense behavior of wintering Willow Flycatchers (Empidonax traillii) in Costa Rica using a randomized playback experiment that exposed male and female birds to recordings of Willow Flycatcher songs and calls, Lesser Ground Cuckoo (Morococcyx erythropygius) vocalizations, and random noise. Flycatchers of both sexes responded most strongly to simulated conspecific territory intrusion, and the agonistic behaviors that we observed were similar to those seen during natural intraspecific encounters in winter. Both males and females engaged in song and aggressive behaviors in defense of territories, and there was no significant difference between the sexes in scored agonistic responses. The similarity between the sexes in intraspecific territorial defense behaviors and aggressiveness may account for both sexes of flycatchers using the same habitats at our study sites in Costa Rica, and wintering females defending territories against males. The Willow Flycatcher, a sexually monomorphic species, differs in this way from a number of sexually dimorphic passerines, in which behaviorally dominant males occur in more optimal winter habitats.</t>
  </si>
  <si>
    <t>10.1650/0010-5422(2007)109[475:WFNTDB]2.0.CO;2</t>
  </si>
  <si>
    <t>WOS:000246603900024</t>
  </si>
  <si>
    <t>Smit, JAH; van Oers, K</t>
  </si>
  <si>
    <t>Smit, Judith A. H.; van Oers, Kees</t>
  </si>
  <si>
    <t>Personality types vary in their personal and social information use</t>
  </si>
  <si>
    <t>Gathering information about the environment, such as the location and quality of food, is crucial for an animal's survival, particularly in a changing environment. An animal can collect 'personal information' by interacting with the environment itself, or it can collect 'social information' by observing the behaviour of others. The use of these two types of information varies across different situations and between individuals. Personality is a concept that captures consistent interindividual differences in behaviour and could be one of the factors driving interindividual variation in information use. We tested this by conducting behavioural experiments based on a colour association task in captive great tits, Parus major, originating from lines bidirectionally selected for high and low exploratory behaviour. We quantified personal information use by measuring to what extent a bird relied on previously rewarded options instead of novel options. Social information use was measured by recording how birds chose according to social information provided by video playbacks of a conspecific. Here, we demonstrate that variation in the use of both personal and social information is indeed personality related. In their decision making, slow explorers relied more on prior knowledge, from both personal and social origins, whereas fast explorers tended to ignore the available information and chose more randomly. The differences between the personality types imply different costs or constraints in acquiring and/or applying the two types of information, possibly due to variation in, for example, cognitive styles. In conclusion, we demonstrate that personality types have different strategies to cope with environmental uncertainty. (C) 2019 The Association for the Study of Animal Behaviour. Published by Elsevier Ltd. All rights reserved.</t>
  </si>
  <si>
    <t>van Oers, Kees/B-2562-2009</t>
  </si>
  <si>
    <t>van Oers, Kees/0000-0001-6984-906X; Smit, Judith Aukje Hendrika/0000-0002-0837-8740</t>
  </si>
  <si>
    <t>10.1016/j.anbehav.2019.02.002</t>
  </si>
  <si>
    <t>WOS:000467013300018</t>
  </si>
  <si>
    <t>Anderson, CM; McKinnon, JS</t>
  </si>
  <si>
    <t>Anderson, Christopher M.; McKinnon, Jeffrey S.</t>
  </si>
  <si>
    <t>Phenotypic correlates of pelvic spine coloration in the threespine stickleback (Gasterosteus aculeatus): implications for function and evolution</t>
  </si>
  <si>
    <t>Animal color patches may be static or plastic in expression and concealable or continuously visible, yet the evolution and function of these aspects of coloration have seldom been studied together. We investigated such color pattern elements using the threespine stickleback (Gasterosteus aculeatus). Despite a rich history of study of stickleback nuptial color pattern evolution, disagreement persists regarding selection pressures and function and only limited research has addressed the role of pelvic spine coloration, a potentially important, and substantially concealable, color pattern element. We investigated (i) whether male pelvic spine (along with throat and body) coloration is relatively static or plastic across the reproductive cycle, (ii) when pelvic spines are raised versus concealed across behavioral contexts, and (iii) associations between color patches and behavior in males. We found no significant variation in spine color across reproductive stages whereas body color was more plastic and intensely red during courtship and egg/fry care. Conspicuousness of pelvic spine coloration instead varied behaviorally, through increased erection frequency during social interactions and in response to a model predator. Spine erection frequency was positively associated with behaviors that enhance spine color visibility, i.e., flees and leads to nest. These findings suggest that stickleback use pelvic spines to display an intensely red color patch facultatively, either as a complement to similar body coloration or possibly as a substitute. Significance statement The interplay between color patches that are either readily concealable or always visible has been little studied, particularly in organisms with patches on a single individual that differ in capacity for concealment, such as the threespine stickleback (Gasterosteus aculeatus). While much work has been done on the evolution of coloration in stickleback, little has addressed patterns of expression and evolutionary functions of pelvic spine color, which can be facultatively concealed. We evaluated the expression characteristics of male spine coloration within the spawning period and how spine color relates to other color patches. Our work also examines the relationship between pelvic spine erections and presentation of spine color patches and raises the possibility of pelvic spine color being naturally selected and functioning across different behavioral contexts.</t>
  </si>
  <si>
    <t>Anderson, Christopher/0000-0002-6951-5657</t>
  </si>
  <si>
    <t>10.1007/s00265-022-03256-9</t>
  </si>
  <si>
    <t>WOS:000878648300001</t>
  </si>
  <si>
    <t>Ekstrom, JMM; Burke, T; Randrianaina, L; Birkhead, TR</t>
  </si>
  <si>
    <t>Ekstrom, J. M. M.; Burke, T.; Randrianaina, L.; Birkhead, T. R.</t>
  </si>
  <si>
    <t>Unusual sex roles in a highly promiscuous parrot:: the Greater Vasa Parrot Caracopsis vasa</t>
  </si>
  <si>
    <t>We describe the unusual mating system of the Greater Vasa Parrot Caracopsis vasa. The dull black plumage of males and females is similar but females are significantly larger than males. Females are promiscuous and copulated with at least five different males. Copulations were either short (1-3 s) or very long (mean 35.9 min), and long copulations involved a copulatory tie facilitated by the male's enlarged cloacal protrusion. Multilocus DNA fingerprinting of 17 broods showed that all were of mixed paternity, and that some broods had three fathers. Males never visited nests directly, but during the incubation and chick-rearing periods females came off the nest and were fed regurgitated fruit by multiple males. Four had band-sharing coefficients that suggested they were unrelated. Males copulated with and provided food for several widely separated females simultaneously. During the chick-rearing period females defended a territory around the nest from conspecific females, developed conspicuous orange skin on the head (through feather loss), and uttered loud, complex vocalizations that we refer to as 'song' from prominent perches near the nest. Males showed none of these traits. Females with high song rates attracted more males and as a result received more food than other females. Play-back experiments in which female song rates were either increased or decreased, attracted more or fewer males respectively. We propose that female song, conspicuous head colour and territoriality have all evolved as a result of competition between females for the food provided by males. The selective pressures favouring this highly unusual breeding system in the Greater Vasa Parrot are unclear but some sort of ecological constraint, such as food availability, may be important.</t>
  </si>
  <si>
    <t>Burke, Terry/B-3196-2011</t>
  </si>
  <si>
    <t>Burke, Terry/0000-0003-3848-1244</t>
  </si>
  <si>
    <t>10.1111/j.1474-919X.2006.00632.x</t>
  </si>
  <si>
    <t>WOS:000245312000012</t>
  </si>
  <si>
    <t>WOOLFENDEN, GE; FITZPATRICK, JW</t>
  </si>
  <si>
    <t>DOMINANCE IN FLORIDA SCRUB JAY</t>
  </si>
  <si>
    <t>Dominance behavior in a color-ringed population of Florida scrub jays [Aphelocoma coerulescens coerulescens] was studied during 6 years of general observations and 2 summers of intensive study of intrafamilial and interfamilial aggression. Encounters were recorded from 21 families of varying size and constituency. The jays are extremely tame, which facilitated watching their normal behavior; these observations were augmented with simple experiments involving the offering of tidbits of food. The Florida scrub jay, a permanently territorial group breeder, exhibits a social dominance structure in which the male breeder dominates all other jays in the family, male helpers dominate all females, and the female breeder mildly dominates female helpers. Juveniles, subordinate to all other family members, seem to establish a hierarchy among themselves through investigative encounters during their 1st summer. Whenever 2 or more male helpers coexist in a family, a hierarchy exists between them. Usually the dominant male helper is the first to depart and pair when a breeding opportunity develops. Dominant male helpers occasionally establish a new territory by gradually usurping a portion of their parents'' territory. Although dominance within the jay families is clear, aggressive conflicts are rare. This contrasts sharply with the frequency of boundary disputes between neighboring families. Involvement in interfamilial aggression, measured by summoning jays to playbacks of territorial scolding, is not directly correlated with rank in the family hierarchy, in that breeding females respond more quickly than their male helpers. During brief visits to a neutral feeding area, jays from different families often forage within inches of each other with almost no conflict. Intrafamilial dominance-subordinance relationships are viewed as an early behavioral modification associated with the evolution of the helper system in the Florida scrub jay. Through dominance, family members establish their actual, or potential, reproductive positions in the population while deriving the benefits of living in a family group. Breeding males reduce the threat of cuckoldry or loss of territory by dominating their male helpers. The probable timing of breeding opportunities for coexisting male helpers is ordered according to the dominance hierarchy established among them. Passiveness may be selectively favored in females, whose successful dispersal and pairing requires continued submissive behavior in all but territorial displays. Juvenile dominance behavior may facilitate social development through use of postures and vocalizations important to their future activities as breeding adults.</t>
  </si>
  <si>
    <t>10.2307/1367524</t>
  </si>
  <si>
    <t>WOS:A1977DN61900001</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</si>
  <si>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</si>
  <si>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</si>
  <si>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</si>
  <si>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</si>
  <si>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Clements, Dylan N/A-7570-2012</t>
  </si>
  <si>
    <t>Clements, Dylan/0000-0002-0596-1885; Blott, Sarah/0000-0003-0233-6846; Haskell, Marie/0000-0001-9373-0624; Sanchez-Molano, Enrique/0000-0003-2734-8560</t>
  </si>
  <si>
    <t>10.1016/j.applanim.2014.04.006</t>
  </si>
  <si>
    <t>WOS:000337998000006</t>
  </si>
  <si>
    <t>Peer, BD; Rothstein, SI; Delaney, KS; Fleischer, RC</t>
  </si>
  <si>
    <t>Peer, Brian D.; Rothstein, Stephen I.; Delaney, Kathleen S.; Fleischer, Robert C.</t>
  </si>
  <si>
    <t>Defence behaviour against brood parasitism is deeply rooted in mainland and island scrub-jays</t>
  </si>
  <si>
    <t>When selection pressures for an adaptation relax, the trait may decline, or it may be maintained if there are no fitness costs. The interactions between avian brood parasites and their hosts are dynamic, with selection pressures changing as host or parasite ranges shift, or as parasites switch to new hosts once old hosts evolve defences. The extent to which hosts retain defences in the absence of parasites has important consequences to parasite-host coevolution. We tested whether island scrub-jays, Aphelocoma insularis, and western scrub-jays, A. californica, have maintained egg ejection behaviour in the absence of brood parasitism and provide an estimate of how long they have maintained ejection. Island scrub-jays and western scrub-jays ejected 100% of foreign eggs placed into their nests, and genetic analyses revealed no evidence of conspecific brood parasitism that could maintain ejection. Extreme variation in intraclutch egg appearance may result in hosts ejecting their own oddly coloured eggs, which would select against the maintenance of ejection. However, island, western and Florida scrub-jays, A. coerulescens, also an ejecter, showed less variation than the common grackle, Quiscalus quiscula, a species that has an extremely high level of intraclutch egg variation and may have lost its rejection defence, because it rejects its own oddly coloured eggs. Based on molecular clock analyses of mitochondrial DNA control region and ND2 sequences, island and western scrub-jays split approximately 140 000-151000 years ago, western and Florida scrub-jays 1000 000 years ago, and island and Florida scrub-jays 1250 000 years ago. Ejection behaviour may have been maintained this long in the absence of parasitism, but it is possible that scrub-jays were parasitized as recently as the end of the Pleistocene 10 000 years ago, when cowbirds were more abundant. Nevertheless, these results indicate that (1) egg ejection is not a costly trait to maintain in scrub-jays, (2) brood parasites may not be able to alternate between well-defended hosts and hosts that have lost ejection defence following past episodes of parasitism and (3) brood parasites may have to deal with host communities that have well-developed defences by evolving specialized adaptations for a single host species or a small set of species. (c) 2006 The Association for the Study of Aninial Behaviour Published by Elsevier Ltd. All rights reserved.</t>
  </si>
  <si>
    <t>10.1016/j.anbehav.2006.06.005</t>
  </si>
  <si>
    <t>WOS:000243735000006</t>
  </si>
  <si>
    <t>Brante, A; Riera, R; Riquelme, P</t>
  </si>
  <si>
    <t>Brante, Antonio; Riera, Rodrigo; Riquelme, Pamela</t>
  </si>
  <si>
    <t>Aggressive interactions between the invasive anemone Anemonia alicemartinae and the native anemone Phymactis papillosa</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</si>
  <si>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</si>
  <si>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RIERA, RODRIGO/ABH-1351-2020</t>
  </si>
  <si>
    <t>RIERA, RODRIGO/0000-0003-1264-1625; Brante, Antonio/0000-0002-2699-9700</t>
  </si>
  <si>
    <t>10.3354/ab00718</t>
  </si>
  <si>
    <t>WOS:000518432200009</t>
  </si>
  <si>
    <t>Pelicice, FM; Andrade, GD; Borges, LEO</t>
  </si>
  <si>
    <t>Pelicice, Fernando Mayer; Andrade, Geovana de Souza; Oliveira Borges, Lucas Elias</t>
  </si>
  <si>
    <t>Polychromatism in native populations of peacock basses Cichla kelberi and Cichla piquiti (Cichlidae)</t>
  </si>
  <si>
    <t>The present study described in detail the occurrence of polychromatism in two peacock bass species (Cichla kelberi and Cichla piquiti) endemic to the Tocantins-Araguaia Basin, Brazil. Based on the data collected in the Lajeado Reservoir between 2010 and 2020, we analyzed the photographs obtained from live individuals in order to describe the range of color variation in the body, fins, and other aspects (spots, ocelli, and bars) and calculated the frequency of color patterns in each species. The results indicated wide variation in body coloration of C. kelberi, ranging from yellow (golden, dark, light, and greenish) to gray (gray, brown, and black) patterns; most fish had different shades of yellow. All fish had three vertical bars, but their sharpness was variable, and some fish had additional faint bars. The operculum region showed colorful patterns (red), but it was highly variable among individuals. Some fish had small dark blotches on the body and whitish-yellow spots on the fins. Cichla piquiti also showed wide variation in body coloration, including gray (with blue hues), yellow, and brown patterns, which were evenly observed in the population. Fish had four to five vertical bars, but some individuals had additional faint bars. The operculum region showed light yellow hues, with little variation. White spots were recorded in the body of some fish, including adults and young; in some, white spots formed unique patterns in the head. Our results demonstrate extensive polychromatism within native populations of both species, a pattern likely associated with ontogenetic changes and the reproductive cycle.</t>
  </si>
  <si>
    <t>10.1007/s10641-022-01313-w</t>
  </si>
  <si>
    <t>WOS:000836521600001</t>
  </si>
  <si>
    <t>Lu, A; Sirimanna, DGR; Wijayathunga, L; Vandercone, R; Salmi, R</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</si>
  <si>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</si>
  <si>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</si>
  <si>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</si>
  <si>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</si>
  <si>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salmi, roberta/AAD-6267-2021</t>
  </si>
  <si>
    <t>salmi, roberta/0000-0001-5745-2014; Lu, Amy/0000-0003-4758-216X</t>
  </si>
  <si>
    <t>0032-8332</t>
  </si>
  <si>
    <t>1610-7365</t>
  </si>
  <si>
    <t>10.1007/s10329-020-00852-z</t>
  </si>
  <si>
    <t>WOS:000560278300001</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</si>
  <si>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</si>
  <si>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</si>
  <si>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</si>
  <si>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</si>
  <si>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</si>
  <si>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</si>
  <si>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Albor, C; García-Franco, JG; Parra-Tabla, V; Díaz-Castelazo, C; Arceo-Gómez, G</t>
  </si>
  <si>
    <t>Albor, Cristopher; Garcia-Franco, Jose G.; Parra-Tabla, Victor; Diaz-Castelazo, Cecilia; Arceo-Gomez, Gerardo</t>
  </si>
  <si>
    <t>Taxonomic and functional diversity of the co-flowering community differentially affect Cakile edentula pollination at different spatial scales</t>
  </si>
  <si>
    <t>JOURNAL OF ECOLOGY</t>
  </si>
  <si>
    <t>1. The number of co-flowering species, floral density and floral trait diversity can be major determinants of pollinator-mediated plant-plant interactions in a community. However, evaluation of how each one of these co-flowering components affects the pollination success of a single focal plant species, and how these effects vary at different spatial scales, is lacking. 2. Here, we evaluated the effects of functional diversity (flower morphology and colour), taxonomic diversity (reflecting potential sampling effects) and flower density (conspecific and heterospecific), on the pollinator environment (i.e. visitation rate and pollinator diversity) and pollination success (i.e. pollen load size and number of pollen tubes per style) of Cakile edentula (Brassicaceae). We applied structural equation models (SEMs) at the floral-neighbourhood (plot level) and community-wide scales to uncover the factors that mediate co-flowering community effects on C. edentula pollination success. 3. We found that co-flowering community effects at the community level are more important than fine-scale floral-neighbourhood differences in mediating plant pollination success in our study species. Increasing plant functional diversity decreased pollinator visitation rate but increased the diversity of pollinator functional groups visiting C. edentula flowers. Taxonomic diversity negatively affected pollinator diversity suggesting that other unmeasured floral traits may be relevant or that single-species effects (sampling effects) may be important. Overall, our results suggest that functional floral trait diversity in a community may be the most important factor influencing pollination success of species in a community. We also found evidence for intra- and interspecific pollinator competition mediated by flower density, but none of these effects seemed to have a significant impact on pollination success. 4. This study is an important step towards understanding the complexity of co-flowering community effects on the pollination success of individual plant species at multiple spatial scales. This study further reveals the potential importance of plant functional diversity in a community in helping predict competitive and facilitative interactions in co-flowering communities. 5. Synthesis. Floral density and taxonomic and functional co-flowering diversity are important drivers of pollination success in flowering plants. The effects of the co-flowering diversity on the pollination success of plant species can largely depend on the spatial scale being studied. Only evaluating the outcomes of pollinator-mediated plant-plant interactions at multiple stages of the pollination process can lead to a complete understanding of their ecological consequences in nature.</t>
  </si>
  <si>
    <t>Albor, Cristopher/J-4028-2013; Parra-Tabla, Victor/H-7320-2015; Garcia-Franco, Jose G./M-3483-2014; Castelazo, Cecilia Díaz/Q-8973-2018</t>
  </si>
  <si>
    <t>Albor, Cristopher/0000-0002-9870-4094; Parra-Tabla, Victor/0000-0001-5920-0881</t>
  </si>
  <si>
    <t>0022-0477</t>
  </si>
  <si>
    <t>1365-2745</t>
  </si>
  <si>
    <t>10.1111/1365-2745.13183</t>
  </si>
  <si>
    <t>WOS:000484311000012</t>
  </si>
  <si>
    <t>Johnson, RF; Valdés, A</t>
  </si>
  <si>
    <t>The Hypselodoris infucata, H-obscura and H. saintvincentius species complex (Mollusca, Nudibranchia, Chromodorididae), with remarks on the genus Brachychlanis Ehrenberg, 1831</t>
  </si>
  <si>
    <t>The Indo-Pacific species Hypselodoris infucata (Ruppell and Leuckart, 1830) and Hypselodoris obscura (Stimpson, 1855) have been regarded as distinct by most authors. In this paper, numerous specimens with the colour pattern described for both H. infucata and H. obscura, and collected from localities comprising the geographic range of both nominal species, have been examined and anatomically studied. All specimens from south-east Australia. the type locality of H. obscura, consistently have a very long ejaculatory portion of the vas deferens, whereas in specimens collected from other Indo-Pacific localities this portion is very short. There are no other major morphological or anatomical differences between H. infucata and H. obscura. It is not clear whether H. obscura and H. infucata are different species, but since there is at least a consistent anatomical difference between them, they are provisionally regarded as distinct. The reproductive system, radula and external morphology are extremely variable among specimens of H. infucata. Specimens from Indo-Pacific localities other than south-east Australia, even those externally similar to H. obscura, belong to H. infucata. Hypselodoris saintvincentius Burn. 1962, which has been regarded as a synonym of H. infucata. is clearly distinguishable by the external coloration, reproductive system and radular morphology. Phylogenetic evidence indicates that H. saintvincentius is the sister species of H. infucata and H. obscura. A re-examination of the holotype of the uncertain species Brachychlanis pantherina Ehrenberg, 1831 revealed that it is conspecific with Hypselodoris infucata. Therefore, the name Brachychlanis Ehrenberg, 1831, which has not been used for more than 50 years, has preference over the widely used name, Hypselodoris Stimpson, 1855. In order to preserve nomenclatural stability invalidation of the name Brachychlanis is proposed.</t>
  </si>
  <si>
    <t>Valdes, Angel A/Q-1729-2018; Valdes, Angel/K-3051-2012</t>
  </si>
  <si>
    <t>Valdes, Angel/0000-0002-2347-4896; Johnson, Rebecca/0000-0003-2249-2643</t>
  </si>
  <si>
    <t>10.1080/002229301750384310</t>
  </si>
  <si>
    <t>WOS:000170467200003</t>
  </si>
  <si>
    <t>SPAWNING, EGGS AND LARVAE OF THE LONGNOSE FILEFISH OXYMONACANTHUS-LONGIROSTRIS, A MONOGAMOUS CORALIVORE</t>
  </si>
  <si>
    <t>The longnose filefish (Monacanthidae, Oxymonacanthus longirostris) was studied at a patch reef on Enewetak Atoll. It swims with undulations of its median fins and feeds almost continuously on coral polyps, using its beak-like mouth. The spot in the tail resembles an eye so that the tail looks like a head when it protrudes from the coral during feeding. There is slight dichromatism in that males have brighter pelvic flaps. Most of the fish were color tagged for individual recognition. They tended to remain within a given area, although some fish roamed throughout the patch. Most of the larger adults formed monogamous pairs; the smaller fish were variously alone or in groups of 1-5 individuals who appeared to know one another. Only pairs having the largest males, on the periphery of the patch, were clearly territorial. Aggression was a common event featuring a few distinctive displays, most of which were used in courtship as well. Spawning may be a daily event, occurring around 1600 h. The female probes and selects a tuft of blue-green algae; the male nuzzles the female and they spawn in the algae. The green eggs are about 0.7 mm in diameter, demersal, adhesive, and hidden in the algae; they hatched in 53.5 h, just after sunset. The planktonic larvae fit the monacanthid type B of Leis and Rennis (1983) and were initially 2.5 mm TL; by day 5 their yolk was gone.</t>
  </si>
  <si>
    <t>10.1007/BF00004953</t>
  </si>
  <si>
    <t>WOS:A1987K628700003</t>
  </si>
  <si>
    <t>Omura, H; Morozumi, Y; Noguchi, T; Ohta, S</t>
  </si>
  <si>
    <t>Omura, Hisashi; Morozumi, Yutaro; Noguchi, Taro; Ohta, Shinji</t>
  </si>
  <si>
    <t>Variation in cuticular lipid profiles of black butterflies of the genus Papilio in Japan</t>
  </si>
  <si>
    <t>Insect (epi)cuticular lipids characterize sex and species and often play an important role in mating behavior. We previously revealed that two black-colored swallowtail butterflies, Papilio polytes and Papilio protenor, show sexual dimorphism and species specificity in cuticular lipid composition and that P. polytes males use specific monoene components for mate discrimination. These findings suggest that their closely related species may have different profiles of cuticular lipids. We examined the cuticular lipid compositions of five Papilio species (P. bianor, P. maackii, P. helenus, P. macilentus, and P. memnon), closely related and sympatric to P. polytes and P. protenor, and discussed whether it is possible to discriminate between sexes, and between species based on their chemical profiles. The cuticular lipids consist mainly of C23-C31 aliphatic hydrocarbons, in which n-tricosane, nheptacosane, and n-nonacosane are predominant. Several aliphatic ketones, aliphatic acids, and oxygenated terpenoids were also identified as major components shared by several species. There were no components exclusive to a particular species. Conspecific males and females shared most of the components but were mostly distinguishable based on their composition. Moreover, P. helenus males, P. polytes females, and P. protenor females had two different phenotypes of lipid composition. Although unrelated to the genetic lineage, the seven species were classified into four clusters based on their lipid profiles. The first cluster was composed of only P. memnon. The other six species were broadly classified into three clusters consisting of subclusters for each species: 1) P. polytes, P. helenus, P. macilentus, and several P. protenor females; 2) P. bianor and P. protenor; and 3) P. maackii and several P. helenus males. These results indicate that cuticular lipid profiles characterize the species and sex of the Papilio species and may be responsible for mate discrimination among them.</t>
  </si>
  <si>
    <t>1873-2925</t>
  </si>
  <si>
    <t>10.1016/j.bse.2021.104265</t>
  </si>
  <si>
    <t>WOS:000653443100011</t>
  </si>
  <si>
    <t>Penteriani, V; Te, WS; May, CL; Wah, SY; Crudge, B; Broadis, N; Bombieri, G; Valderrábano, E; Russo, LF; Delgado, MD</t>
  </si>
  <si>
    <t>Penteriani, Vincenzo; Te, Wong Siew; May, Chiew Lin; Wah, Seng Yen; Crudge, Brian; Broadis, Nev; Bombieri, Giulia; Valderrabano, Esther; Russo, Luca Francesco; del Mar Delgado, Maria</t>
  </si>
  <si>
    <t>Characteristics of sun bear chest marks and their patterns of individual variation</t>
  </si>
  <si>
    <t>URSUS</t>
  </si>
  <si>
    <t>Animal coloration is widely involved in a variety of social interactions, and mammals can convey information to conspecifics by visual signals, such as colored or contrasting body marks. The sun bear (Helarctos malayanus) has a vibrant and unusual chest mark. Here, we describe the characteristics of sun bear chest marks and their patterns of individual variation by (1) sex, (2) time, and (3) some biochemistry values related to fur pigmentation. Sun bear pictures were taken from 2009 to 2018 at the Bornean Sun Bear Conservation Centre and Free the Bears sanctuary. We hypothesize that chest marks may serve in conspecific communication and, thus, we mainly expect that (a) these marks allow for sexual recognition and, thus, they should show remarkable differences by sex; (b) marks do not change over time because their consistency allows for easier intraspecific recognition; and (c) patterns of variation may be dependent on the age and/or physical condition of an individual. The most common shapes of sun bear chest marks (n = 63 M and 108 F) were U (M = 60.3%, F = 57.4%) and V (M = 31.8%, F = 32.4%) shapes. We did not detect differences in shape patterns by sex and, over the years, chest mark shape never changed for the same bear (n = 49 individuals, 16 M and 33 F). The number of dark dots in chest marks showed large amounts of individual variation (mean +/- SD = 37.7 +/- 26.8 dots; range = 1-143), and the quantity of dark dots increased with bear age. The complexity of sun bear chest marks might be related to the existence of complex interactions among individuals of the same species, which may allow for recognition and evaluation of their individual characteristics, such as age and health. Experimental approaches are needed to understand the potential functions of sun bear chest marks.</t>
  </si>
  <si>
    <t>Russo, Luca Francesco/GZG-2316-2022; Penteriani, Vincenzo/H-1463-2015</t>
  </si>
  <si>
    <t>Penteriani, Vincenzo/0000-0002-9333-7846; Delgado, Maria del Mar/0000-0002-3009-738X; Russo, Luca Francesco/0000-0003-4379-6160</t>
  </si>
  <si>
    <t>1537-6176</t>
  </si>
  <si>
    <t>1938-5439</t>
  </si>
  <si>
    <t>E19</t>
  </si>
  <si>
    <t>e19</t>
  </si>
  <si>
    <t>10.2192/URSUS-D-19-00027.1</t>
  </si>
  <si>
    <t>WOS:000610555300001</t>
  </si>
  <si>
    <t>Coria, PSG; Rendall, D; Ros, RP; García, NC; Llambías, PE</t>
  </si>
  <si>
    <t>Garrido Coria, Paula S.; Rendall, Drew; Panasiti Ros, Rosario; Garcia, Natalia C.; Llambias, Paulo E.</t>
  </si>
  <si>
    <t>Structure and organization of songs of south-temperate Grass Wrens (Cistothorus platensis)</t>
  </si>
  <si>
    <t>Studies of geographic variation in bird song can provide important insights into vocal evolution. An intraspecific approach, focused on a single species with a broad distribution, can be particularly helpful in understanding the diverse selective pressures on the characteristics of songs and singing behavior. Grass Wrens (Cistothorus platensis) are one such species, inhabiting tropical and temperate grasslands across the Neotropics. We studied Grass Wrens in Mendoza, Argentina, to determine the structure, organization, and delivery of their songs, song repertoire sizes, and patterns of song sharing among males in a resident, mainland south-temperate population. Over two breeding seasons, we recorded and analyzed 27,795 songs from 29 color-banded males. Songs of male Grass Wrens contained a few, low-volume introductory notes typically followed by one, but sometimes more, syllable types repeated as a trill. Males often repeated a sequence of two or three different song types (A-B-C, A-B-C, ...) several times before switching to a different sequence (D-E-F). Syllable and song type sharing was high among males. The size of recorded syllable and song type repertoires of individual males varied with sampling effort. The introduction of new syllable or song types by males slowed, but did not reach asymptotes, with increasingly large samples of recordings. Many of these patterns are consistent with previous reports for Grass Wrens and other Cistothorus wrens, possibly representing core features of song design in this species group. Our results concerning song sharing among males in a resident population are also consistent with a previous proposed relationship between male song sharing and breeding-site fidelity. In the latter respect, Grass Wrens of Central and South America are more similar to Marsh Wrens than Sedge Wrens of North America, providing support for a recently proposed split between Grass Wrens and Sedge Wrens formerly considered conspecific.</t>
  </si>
  <si>
    <t>Garrido Coria, Paula Sabrina/0000-0003-4034-0360</t>
  </si>
  <si>
    <t>10.1111/jofo.12395</t>
  </si>
  <si>
    <t>FEB 2022</t>
  </si>
  <si>
    <t>WOS:000751937600001</t>
  </si>
  <si>
    <t>McGraw, KJ</t>
  </si>
  <si>
    <t>Winter plumage coloration in male American goldfinches: Do reduced ornaments serve signaling functions in the non-breeding season?</t>
  </si>
  <si>
    <t>The signaling role of sexual ornaments that are displayed during the mating season is well known for many species, but dimorphisms that occur in the non-breeding season have received much less attention, particularly when individuals only partially express their breeding condition during reproductively inactive periods. I assessed variation in the expression of colorful breeding and non-breeding plumages in male American goldfinches (Carduelis tristis), a species in which males molt out of their colorful breeding ornaments in the fall but still display reduced carotenoid- and melanin-based sexual dichromatism during the winter. I found that variability in the saturation of carotenoid-based plumage pigmentation did not differ significantly between the breeding and non-breeding seasons. Moreover, the area of melanin coloration in the cap was more variable in winter than when it is fully displayed during breeding. I also detected a significant positive correlation between the extent of melanin coloration during the winter and the saturation of non-breeding carotenoid-based plumage. Because of such variation in and correlated expression of these two color ornaments in winter, it is conceivable that male goldfinches display these hints of non-breeding coloration for use as conspecific social or sexual signals. Natural selection pressures like predation and energetic demands are traditionally thought of as factors that restrict sex ornaments to breeding times alone, but this should not preclude animals from simply reducing their exaggerated features during winter and finding an expression optimum that balances signal costs and value. Such 'remnant' winter ornaments might be expected to evolve not only in animals that live in large non-breeding groups (e.g. status-signaling systems) but also in those where mates begin associating before breeding onset.</t>
  </si>
  <si>
    <t>10.1111/j.1439-0310.2004.01011.x</t>
  </si>
  <si>
    <t>WOS:000223642800004</t>
  </si>
  <si>
    <t>Gabbanelli, V; Naylor, G; Weigmann, S; Yang, L; Vazquez, DM; Last, P; de Astarloa, JMD; Mabragaña, E</t>
  </si>
  <si>
    <t>Gabbanelli, Valeria; Naylor, Gavin; Weigmann, Simon; Yang, Lei; Martin Vazquez, Diego; Last, Peter; Diaz de Astarloa, Juan Martin; Mabragana, Ezequiel</t>
  </si>
  <si>
    <t>Morphological and Molecular Evidence Reveals the Longnose Skate Zearaja brevicaudata (Marini, 1933) to be a Senior Synonym of Dipturus lamillai Concha, Caira, Ebert &amp; Pompert 2019</t>
  </si>
  <si>
    <t>Longnose skates have great economic importance in South American fisheries, and in order to preserve them, it is important to have a well-defined taxonomic status of their species. Dipturus lamillai was recently described for Malvinas Islands waters based on morphological and molecular comparisons with Zearaja chilensis. Although D. lamillai has been compared with several congeneric species, it was not properly compared with the morphologically similar Zearaja brevicaudata, the most abundant longnose skate in the Southwest Atlantic. Here, these species were compared by morphological and molecular analyses in order to evaluate their conspecificity. Linear morphometric variables of holotype and paratypes of D. lamillai and 69 specimens of Z. brevicaudata were compared and investigated using Principal Component Analysis. In addition, thorn patterns, denticle distributions, color, and clasper morphology were compared. No body proportions or other single character that could differentiate D. lamillai from Z. brevicaudata were found. Molecular analyses comprised of the comparison of the Cytochrome oxidase subunit I (COI) and the NADH dehydrogenase subunit 2. The results of the Maximum Likelihood (ML) carried out for each molecular marker showed that sequences from D. lamillai clustered together with those of Z. brevicaudata, and the molecular distance determined by Kimura two- parameter were lower than the expected for different species. Additionally, the Automatic Barcode Gap Discovery method and the Bayesian implementation of the Poisson tree processes were carried out with COI sequences to explore species limits, and their results were consistent with ML analyses. In summary, the results obtained showed that there are no morphological or molecular differences between these nominal species of the valid skate genus Zearaja, leading to the conclusion that they are conspecific. Therefore, we designated Z. brevicaudata as a senior synonym of D. lamillai.</t>
  </si>
  <si>
    <t>10.6620/ZS.2022.61-76</t>
  </si>
  <si>
    <t>WOS:001026426500001</t>
  </si>
  <si>
    <t>Kellogg, KA; Stauffer, JR; McKaye, KR</t>
  </si>
  <si>
    <t>Characteristics that influence male reproductive success on a lek of Lethrinops c.f. parvidens (Teleostei: Cichlidae)</t>
  </si>
  <si>
    <t>Sexual selection has long been proposed as a mechanism leading to the diverse cichlid (Teleostei: Cichlidae) fauna of Lake Malawi, Africa. Many of the shallow-water, sand-dwelling, bower-building cichlid species are particularly well suited for studies of sexual selection because they participate in leks. Since females in lekking systems appear to acquire only genetic material from their mates, it has been suggested that leks are ideal systems to study female mate choice. The objectives of the investigation were to examine Lethrinops c.f. parvidens male bower characteristics (i.e., bower size and location) as well as other male characteristics (i.e., length, gular color and duration on the lek) for their influence on male mating success as measured by the number of visits, circles, and eggs laid by females. These measures are nested in that a visit by a female may or may not lead to circling, and circling by a female may or may not lead to egg-laying. We found increased bower height and higher numbers of conspecific neighbors (analogous to shallow-water, near-shore bower positions) to be positively, significantly associated with the number of visits: by females. The only significant correlate with the number of circles was visits, and similarly circles was the only significant correlate with the number of eggs laid. The R-2 value for the egg-laying regression was quite low (19.8%) compared with visits (54.3%) and circling (78.9%), suggesting that fe males may be using additional cues, that we failed to measure, when in close proximity to males or simply that a small proportion of the females were ready to spawn. Both indirect selection and direct selection pressure due to egg predation may have influenced female choice on the lek.</t>
  </si>
  <si>
    <t>10.1007/s002650050007</t>
  </si>
  <si>
    <t>WOS:000085378400007</t>
  </si>
  <si>
    <t>VONHAGEN, HO</t>
  </si>
  <si>
    <t>WAVING DISPLAY IN FEMALES OF UCA-POLITA AND OF OTHER AUSTRALIAN FIDDLER-CRABS</t>
  </si>
  <si>
    <t>Since 1979 it is known that, in Australian species of Uca, female waving exists in addition to usual male display. The present paper deals mainly with female waving in U. polita studied in Darwin (North Australia). A few remarks on U. dampieri, U. vomeris, U. seismella and U. hirsutimanus are added. The species mentioned are members of two species groups or subgenera, which characterizes female waving as an ancestral (plesiomorph) trait. Frame by frame analysis of film sequences (open air shots) indicate homology of movements in the two sexes of U. polita. As in males, waving of females can be combined with locomotion on radial paths starting from the burrow entrance and the display is performed in series with a corresponding number of gestures. Unlike males, waving females mostly use both their chelipeds and tend to show shorter durations with regard to many of the waving parameters chosen. However, significant differences refer only to a limited number of parameters. The biological context of female waving was gathered from films and field observations. High intensity waving is released by conspecifics approaching from far (wanderers without burrows) and from the neighbourhood. Typically, only females and small males elicit high intensity display in a resident female. Waving normally stops in presence of larger males, especially of the male living in a resident breeding unit with the female in question. In spite of this, a pure agonistic (defensive) character of female waving is unlikely. Advertising of breeding condition seems to play a role similar to that in males. The few displaying females that exist in a given colony (about 2.5 % in U. polita) show signs of special sexual excitement: brightening of carapace colours and sometimes spontaneous performance of waving, i.e. display immediately after emergence from the burrow in absence of any conspecific.</t>
  </si>
  <si>
    <t>WOS:A1993KM66900002</t>
  </si>
  <si>
    <t>Detwiler, KM</t>
  </si>
  <si>
    <t>Detwiler, Kate M.</t>
  </si>
  <si>
    <t>Mitochondrial DNA Analyses of Cercopithecus Monkeys Reveal a Localized Hybrid Origin for C-mitis doggetti in Gombe National Park, Tanzania</t>
  </si>
  <si>
    <t>Joint Meeting of the International-Primatological-Society and the American-Society-of-Primatologists</t>
  </si>
  <si>
    <t>AUG 21-26, 2016</t>
  </si>
  <si>
    <t>Chicago, IL</t>
  </si>
  <si>
    <t>Int Primatol Soc,Amer Soc Primatologists</t>
  </si>
  <si>
    <t>In recent years, hybridization has gained recognition as an important creative force in primate evolution. The exchange of genetic material between species provides genetic novelty on which evolutionary forces, such as natural selection, may act. The guenon radiation (Tribe Cercopithecini) is known for numerous cases of contemporary hybridizationin the wild and captivitybetween broadly sympatric species. Interspecific hybrids are viable, and field studies report fertile hybrid females. Despite being a well-documented phenomenon, hybridization among wild guenons is relatively rare and sporadic. An exception is the long-standing hybridization between Cercopithecus mitis doggetti and C. ascanius schmidti in Gombe National Park, Tanzania, where hybrids comprise a significant proportion of the breeding population. Here, I used mitochondrial loci to conduct a genetic survey of the Gombe population and examine the extent and direction of gene flow between the parental species. I extracted DNA from noninvasive fecal samples of unhabituated individuals (N=144 individuals) with known phenotype and provenance. All parental phenotypes and hybrid individuals were identified in the field based on species specific pelage colors and patterns. Phylogenetic analyses of DNA sequences from inside and outside the hybrid zone show Gombe's population of C. mitis doggetti is distinct from neighboring conspecific populations in having mitochondrial DNA of C. ascanius schmidti. All animals surveyed from the hybrid zone have one of two haplotypes of C. ascanius schmidti unique to Gombe. These results provide evidence of asymmetric introgressive hybridization between sympatric guenon species, a likely consequence of colonization patterns of the parental species during range expansions. The spatial distribution patterns of the two haplotypes imply that Gombe is a site of both historic and contemporary hybridization between sympatric guenons. The discovery of gene flow and ongoing hybridization between clearly defined species, ecologically distinct enough to coexist in broad sympatry, provides an ideal system to investigate speciation mechanisms in primate adaptive radiations.</t>
  </si>
  <si>
    <t>10.1007/s10764-018-0029-7</t>
  </si>
  <si>
    <t>WOS:000460006300003</t>
  </si>
  <si>
    <t>Lachlan, RF; Crooks, L; Laland, KN</t>
  </si>
  <si>
    <t>Who follows whom? Shoaling preferences and social learning of foraging information in guppies</t>
  </si>
  <si>
    <t>Preferences of fish for different types of shoals may influence the transmission of novel information through them. We investigated the factors influencing the preferences of guppies, Poecilia reticulata, for different shoals in order to shed some light on how information transmission occurs. Adult subjects were given a choice between swimming with two diverging shoals of conspecifics that differed with respect to key characteristics. In six choice experiments, subjects discriminated between shoal partners on the basis of: (1) shoal size, subjects preferring a shoal of 10 to a single fish; (2) size of shoaling fish, small fish preferring small conspecifics rather than an equal number of large fish, while large fish showed no preference; (3) local foraging experience of shoaling fish, shoals containing fish that had previously been repeatedly fed in the experimental tank being preferred to shoals with no such experience; and (4) familiarity of shoaling fish, guppies preferring familiar rather than unfamiliar conspecifics. No discrimination on the basis of colour or hunger was observed. In addition, following a shoal to a food site on just three trials allowed guppies to learn a route, or food site, preference. Guppies were considerably more likely to learn to adopt the behaviour shown by members of a shoal of several demonstrators than an alternative behaviour shown by a single conspecific demonstrator. The relationship between preferences for different shoals and the social transmission of information is discussed in the light of these findings. The results suggest that shoaling preferences may strongly influence-the social transmission of novel foraging information or feeding preferences through fish populations, and imply that learned information may diffuse through fish populations in a nonrandom, or directed, manner. (C) 1998 The Association for the Study of Animal Behaviour.</t>
  </si>
  <si>
    <t>Laland, Kevin N/C-9482-2011</t>
  </si>
  <si>
    <t>Lachlan, Robert/0000-0003-0946-1316</t>
  </si>
  <si>
    <t>10.1006/anbe.1998.0760</t>
  </si>
  <si>
    <t>WOS:000075228700021</t>
  </si>
  <si>
    <t>Duffy, JE</t>
  </si>
  <si>
    <t>Species boundaries, specialization, and the radiation of sponge-dwelling alpheid shrimp</t>
  </si>
  <si>
    <t>Microevolutionary studies and natural history suggest that host-specialization has promoted the high diversity of tropical sponge-dwelling snapping shrimps (Decapoda, Alpheidae, Synalpheus). Yet the taxonomic difficulty of this genus has precluded rigorous tests of this hypothesis. S. rathbunae Coutiere is among the most abundant invertebrates inhabiting the framework of sponges and dead coral that forms the floor of Caribbean coral reefs. Even within a small area S. rathbunae exhibits the apparently wide variation in size, color, and morphology that has long frustrated efforts to identify and define species boundaries within this large (&gt; 100 described species) genus. Here I show that sympatric populations of this nominal species occupying different sponge hosts display clear, concordant differences in allozyme genotypes and in multivariate morphometrics, confirming that the populations represent three distinct biological species. Moreover, careful field sampling revealed that the three S. rathbunae taxa and the closely related S. filidigitus Armstrong showed almost no overlap in the species of hosts occupied. Interestingly, while there was significant differentiation between Belizean and Panamanian populations of the one taxon that occurred at both sites (similar to 1500 km apart), these populations were recognizable as conspecific using both genetic and morphological characters. These results show that (1) diversity of Synalpheus, which is already among the most species-rich crustacean genera, is probably several times higher than currently recognized, and (2) species of sponge-dwelling Synalpheus are highly host-specific, with related species distinctly segregated among hosts. Together with previous evidence of host race differentiation within shrimp species, these results suggest a primary role for resource specialization in the origin and/or maintenance of this group's characteristically high diversity. (C) 1996 The Linnean Society of London</t>
  </si>
  <si>
    <t>Duffy, J. Emmett/ABF-9200-2020</t>
  </si>
  <si>
    <t>Duffy, J. Emmett/0000-0001-8595-6391</t>
  </si>
  <si>
    <t>10.1111/j.1095-8312.1996.tb01437.x</t>
  </si>
  <si>
    <t>WOS:A1996UY83000004</t>
  </si>
  <si>
    <t>DECOUX, JP</t>
  </si>
  <si>
    <t>POPULATION-STRUCTURE AND SOCIOECOLOGY OF THE SPECKLED MOUSEBIRD COLIUS-STRIATUS IN NORTHEAST GABON .1. THE FACTS</t>
  </si>
  <si>
    <t>TERRE ET LA VIE-REVUE D ECOLOGIE APPLIQUEE</t>
  </si>
  <si>
    <t>A population of speckled mousebirds C. striatus was color-marked in Makokou, northeast Gabon, and studied from 1973-1977. Two types of social groups were found: sedentary family groups and nomadic groups. The seasonal composition and range of the groups are described. The sex ratio for different age groups is given. Clutch size and mortality are discussed. All young females of the year leave their nesting grounds and scatter beyond the study area, but 1 young male often stays within the parental family group for 1-3 yr. The situation is reversed among adults, those moving away being more often males. Adult females are less nomadic; they often settle temporarily in an area rich in fruit, before becoming satellites to an already established family group, or mating (as beta-females) with a sedentary male. The rate of population turnover is high among adult speckled mousebirds. The area surrounding the nest(s) and roost(s) of a sedentary group is defended by all group members against conspecific intruders. Food sources on the group''s home range are also defended to some extent. A dominant-subordinate hierarachy can be established between females of a given family group, and between adjacent sedentary groups with partially overlapping home ranges. Two females belonging to a same family group may occasionally lay their eggs in the same, well-protected, nest. Helpers at the nest are common among speckled mousebirds. Pair bonds among sedentary breeders may be long-lasting. The size of the foraging flocks increases when food resources become scarce. When threatened by a predator, flocks split up in smaller groups using a different foraging technique. During the dry season, which is also the coldest in the Makokou area, mousebirds huddle in tight clusters at night, but separate during the day.</t>
  </si>
  <si>
    <t>WOS:A1982MW10500003</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</si>
  <si>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</si>
  <si>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</si>
  <si>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</si>
  <si>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</si>
  <si>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</si>
  <si>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</si>
  <si>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</si>
  <si>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</si>
  <si>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</si>
  <si>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</si>
  <si>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</si>
  <si>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</si>
  <si>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</si>
  <si>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Ballari, S; Farji-Brener, AG; Tadey, M</t>
  </si>
  <si>
    <t>Ballari, Sebastian; Farji-Brener, Alejandro G.; Tadey, Mariana</t>
  </si>
  <si>
    <t>Waste management in the leaf-cutting ant Acromyrmex lobicornis:: Division of labour, aggressive behaviour, and location of external refuse dumps</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</si>
  <si>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</si>
  <si>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</si>
  <si>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</si>
  <si>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10.1007/s10905-006-9065-9</t>
  </si>
  <si>
    <t>WOS:000243906500008</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</si>
  <si>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</si>
  <si>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</si>
  <si>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</si>
  <si>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Gardner, Janet L/E-5401-2016; Kokko, Hanna/C-7861-2009; Gardner, Janet/IXD-9137-2023; Magrath, Robert/C-9661-2009</t>
  </si>
  <si>
    <t>Gardner, Janet/0000-0002-1430-4350; Magrath, Robert/0000-0002-9109-609X</t>
  </si>
  <si>
    <t>10.1006/anbe.2003.2206</t>
  </si>
  <si>
    <t>WOS:000185477900013</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</si>
  <si>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</si>
  <si>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</si>
  <si>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</si>
  <si>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</si>
  <si>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</si>
  <si>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Mermoz, ME; Reboreda, JC; Fernández,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</si>
  <si>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</si>
  <si>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</si>
  <si>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</si>
  <si>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 Reboreda, Juan Carlos/HZI-8689-2023</t>
  </si>
  <si>
    <t>10.1525/cond.2013.120146</t>
  </si>
  <si>
    <t>WOS:000328295800023</t>
  </si>
  <si>
    <t>Hawryshyn, CW; Moyer, HD; Allison, WT; Haimberger, TJ; McFarland, WN</t>
  </si>
  <si>
    <t>Multidimensional polarization sensitivity in damselfishes</t>
  </si>
  <si>
    <t>Using electroretinogram recording and microspectrophotometry we investigated spectral sensitivity and ultraviolet polarization sensitivity in three species of coral reef fishes commonly known as damselfishes. Here we show that three species of damselfishes (three-spot damselfish, Dascyllus trimaculatus; blacktail damselfish, D. melanurus; and blue-green chromis, Chromis viridis) have four classes of cone photoreceptors (lambda(max) ranges: ultraviolet 357-367 nm; short wavelength-sensitive 469478 nm; medium wavelength-sensitive 482-493 nm; long wavelength-sensitive 512-524 nm; rods 499-500 nm). The three species shared similar combined spectral sensitivity but surprisingly complicated and varied polarization sensitivity. Damselfish examined in this study have three and four channel polarization sensitivity, the most complex polarization sensitivity recorded for any vertebrate. Such capacity could play an important role in mediating a conspecific visual communication network utilizing polarized light signals in the coral reef environment.</t>
  </si>
  <si>
    <t>Allison, W. Ted/K-5228-2012; Allison, Ted/A-2612-2014</t>
  </si>
  <si>
    <t>Allison, Ted/0000-0002-8461-4864</t>
  </si>
  <si>
    <t>1432-1351</t>
  </si>
  <si>
    <t>10.1007/s00359-003-0392-4</t>
  </si>
  <si>
    <t>WOS:000182652100007</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</si>
  <si>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</si>
  <si>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</si>
  <si>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</si>
  <si>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</si>
  <si>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</si>
  <si>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</si>
  <si>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</si>
  <si>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1944-6705</t>
  </si>
  <si>
    <t>10.1080/00063659309477126</t>
  </si>
  <si>
    <t>WOS:A1993KU44300004</t>
  </si>
  <si>
    <t>Berlinsky, DL; DiMaggio, MA; Breton, TS; Walsh, J; Kovach, AI</t>
  </si>
  <si>
    <t>Berlinsky, David L.; DiMaggio, Matthew A.; Breton, Timothy S.; Walsh, Jennifer; Kovach, Adrienne I.</t>
  </si>
  <si>
    <t>Peritoneal Pigmentation in Purebred and Hybrid River Herring</t>
  </si>
  <si>
    <t>TRANSACTIONS OF THE AMERICAN FISHERIES SOCIETY</t>
  </si>
  <si>
    <t>River herring (Alewives Alosa pseudoharengus and Blueback Herring A. aestivalis [bluebacks]) are congeneric, anadromous clupeid fishes that hybridize in areas of sympatry. Peritoneal pigmentation is the most diagnostic characteristic used to distinguish the species, but pigmentation has not been examined in hybrids. We developed a molecular-based assay to distinguish purebred river herring species from F1 hybrids and compared the peritoneal pigmentation among captive-raised purebred and hybrid individuals. Both wild-caught Alewife and blueback females tank-spawned with conspecific and congeneric males, but Alewives required exogenous hormone administration. Larvae of both species and hybrids were raised for similar to 290 d posthatch, and peritoneal pigmentation was quantified. A nuclear gene (rag2) restriction fragment length polymorphism assay was used for species and hybrid identification. The peritoneal pigmentation was significantly darker in hatchery-spawned bluebacks than in Alewives, and hybrids exhibited consistent, intermediate expression. Adult individuals collected from the wild, however, exhibited darker (Alewives) or more variable (bluebacks) peritoneal coloration than their respective, captive-reared juveniles. These results indicated that peritoneal pigmentation alone is insufficient for diagnostic river herring species identification and should be coupled with genetic assays.</t>
  </si>
  <si>
    <t>0002-8487</t>
  </si>
  <si>
    <t>1548-8659</t>
  </si>
  <si>
    <t>10.1080/00028487.2015.1037017</t>
  </si>
  <si>
    <t>WOS:000358854700006</t>
  </si>
  <si>
    <t>Cristescu, MI; Popa, LG; Cozma, EC; Celarel, AM; Popa, VT; Lupu, M; Voiculescu, VM</t>
  </si>
  <si>
    <t>Cristescu, Miruna Ioana; Popa, Liliana Gabriela; Cozma, Elena Codruta; Celarel, Ana Maria; Popa, Valentin Tudor; Lupu, Mihai; Voiculescu, Vlad Mihai</t>
  </si>
  <si>
    <t>The Importance of In Vivo Reflectance Confocal Microscopy in a Case of Desmoplastic Melanoma</t>
  </si>
  <si>
    <t>LIFE-BASEL</t>
  </si>
  <si>
    <t>Desmoplastic melanoma accounts for 5% of all cases of melanoma, but its diagnosis can be difficult due to its frequent clinical presentation with amelanotic lesions. Histologically, spindled melanocytes surrounded by a collagenous stroma are observed. Compared with other types of melanoma, the desmoplastic types presents greater local aggression, and is more prone to local recurrence, but has a lower risk of lymph node metastasis. Early detection, accurate staging, and proper surgical management are the main factors associated with higher survival rates in melanoma patients. Reflectance confocal microscopy (RCM) has proven to be a valuable imaging tool in the diagnosis of skin neoplasms, being useful for orientating practitioners towards the diagnosis of melanoma and indicating the necessity of performing a diagnostic biopsy. We present the case of 52-year-old woman, who presented to the dermatology department with an irregular, dark-colored plaque in the right deltoid region. Dermoscopy showed asymmetry with an atypical network and some areas of regression. RCM revealed pagetoid cells in the upper epidermis, cell atypia, non-edged papillae, dermal inflammation, and nucleated cells in the dermis, which are highly suggestive of melanoma. A biopsy was also performed. A histopathology exam confirmed the diagnosis of superficially spreading melanoma with a desmoplastic component, and revealed a Breslow index of 0.9 mm, Clark level IV, an absence of mitoses, angiolymphatic invasion and regression, and complete excision. The CT and PET-CT scans were negative. A biopsy of the axillary sentinel lymph node was conducted, with a negative result obtained, establishing the IB stage of the disease. The patient will remain under follow-up to look for a recurrence or a new primary melanoma.</t>
  </si>
  <si>
    <t>Lupu, Mihai/A-6243-2015</t>
  </si>
  <si>
    <t>Lupu, Mihai/0000-0002-5438-0817</t>
  </si>
  <si>
    <t>2075-1729</t>
  </si>
  <si>
    <t>10.3390/life14050574</t>
  </si>
  <si>
    <t>WOS:001232301700001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</si>
  <si>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</si>
  <si>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</si>
  <si>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</si>
  <si>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</si>
  <si>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</si>
  <si>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Zenzal, TJ; Moore, FR</t>
  </si>
  <si>
    <t>Zenzal, Theodore J., Jr.; Moore, Frank R.</t>
  </si>
  <si>
    <t>Resource use and defence by ruby-throated hummingbirds during stopover</t>
  </si>
  <si>
    <t>Many migrants must forage en route when fuel reserves are depleted and access to resources can be influenced by a variety of factors, including the sex, age, and current fuel stores of individuals, as well as resource availability. The objective of this study is to determine the factors that influence the use and defence of resources by migrating ruby-throated hummingbirds (Archilochus colubris). Our results illustrate that resource use: (1) is dependent on sex and resource defence, (2) decreases with fuel load and (3) increases with stopover duration as well as the number of unique feeders visited. Resource defence is closely tied to (1) competition, with the greatest conspecific density resulting in focal individuals being chased from feeders and (2) the interplay between resource quality and fuel load. Our research enhances our understanding of strategies migratory birds use to acquire and defend resources during stopover.</t>
  </si>
  <si>
    <t>Zenzal, Theodore/0000-0001-7342-1373</t>
  </si>
  <si>
    <t>10.1163/1568539X-00003533</t>
  </si>
  <si>
    <t>WOS:000457844100002</t>
  </si>
  <si>
    <t>Brévault, T; Quilici, S</t>
  </si>
  <si>
    <t>Brevault, T.; Quilici, S.</t>
  </si>
  <si>
    <t>Oviposition preference in the oligophagous tomato fruit fly, Neoceratitis cyanescens</t>
  </si>
  <si>
    <t>We assessed the role of visual and olfactory cues on oviposition preference in the oligophagous tomato fruit fly, Neoceratitis cyanescens (Bezzi) (Diptera: Tephritidae). In a field survey, we evaluated the stage of susceptibility of field-grown tomatoes by monitoring N. cyanescens infestations from fruit-setting up to harvest, in relation to post-flowering time, size, and visual properties of fruit. In two-choice laboratory experiments, we tested the degree to which females use visual and olfactory cues to select their host plant for oviposition. In addition, we investigated the ability of flies to avoid fruit already infested by conspecific eggs or larvae, and the influence of natal host fruit on oviposition preference. Neoceratitis cyanescens females preferentially lay their eggs in small yellow-green unripe fruit (2-3.5 cm diameter, 10-21 days post-flowering). Damage to fruit was significantly affected by brightness and size properties. In laboratory experiments, females chose to lay their eggs in bright orange rather than yellow domes. On the sole basis of olfactory stimuli, females showed a significant preference for unripe vs. ripe host fruit, for unripe fruit vs. flowers or leaves, and for host vs. non-host fruit (or control). However, colour interacted with odour as females dispatched their eggs equally between the yellow dome and the bright orange dome when unripe fruit of tomato was placed under the yellow dome vs. ripe fruit under the bright orange dome. When offered real ripe and unripe tomatoes, females preferred unripe tomatoes. Females significantly chose to lay eggs in non-infested fruit when they were given the choice between these or fruit infested with larvae. In contrast, recent stings containing eggs did not deter females from laying eggs. Rather, they could have an attractive effect when deposited within &lt; 1 h. Regardless of their natal host plant, tomato or bugweed, N. cyanescens females laid significantly more eggs in a dome containing bugweed fruit. However, 15% of females originating from tomato laid eggs exclusively in the dome with tomato, against 3% of females originating from bugweed.</t>
  </si>
  <si>
    <t>Brévault, Thierry/F-2653-2011; Brevault, Thierry/R-9757-2019; Brévault, Thierry/AAV-5990-2021</t>
  </si>
  <si>
    <t>Brevault, Thierry/0000-0003-0159-3509; Brévault, Thierry/0000-0003-0159-3509</t>
  </si>
  <si>
    <t>1570-7458</t>
  </si>
  <si>
    <t>10.1111/j.1570-7458.2009.00913.x</t>
  </si>
  <si>
    <t>WOS:000270648800007</t>
  </si>
  <si>
    <t>Aspbury, A; Gibson, RM</t>
  </si>
  <si>
    <t>Long-range visibility of greater sage grouse leks: a GIS-based analysis</t>
  </si>
  <si>
    <t>We investigated whether male greater sage grouse, Centrocercus urophasianus, select lek locations on the basis of topographic features that affect their visibility to both conspecific females and a major avian predator, the golden eagle, Aquila chrysaetos. We mapped locations of displaying males at all leks in a local population and used a Geographic Information System (GIS) and digital elevation model (DEM) to generate 'viewsheds' around male locations within a boundary set by the estimated maximal visual acuity of the viewer. Areas visible around leks were compared to those visible around random sites with the same conformation of displaying males. Male sage grouse displayed at sites where surrounding topography both diminished long-range visibility (&gt;1000 m) and enhanced short-range visibility (&lt;500 m) to ground observers. These characteristics could (1) force eagles to monitor lek activity from the air, where they may be more visible to their prey, (2) make displaying males more visible to females and (3) allow males to monitor predators approaching the lek more easily. These results suggest that, in open habitats, visually signalling animals may exploit local topography to control both their visibility to receivers and the visibility of their immediate surroundings. (C) 2004 The Association for the Study of Animal Behaviour. Published by Elsevier Ltd. All rights reserved.</t>
  </si>
  <si>
    <t>10.1016/j.anbehav.2003.06.021</t>
  </si>
  <si>
    <t>WOS:000222591300017</t>
  </si>
  <si>
    <t>Mennill, DJ; Ratcliffe, LM</t>
  </si>
  <si>
    <t>Nest cavity orientation in black-capped chickadees Poecile atricapillus:: do the acoustic properties of cavities influence sound reception in the nest and extra-pair matings?</t>
  </si>
  <si>
    <t>Birds that nest in cavities may regulate nest microclimate by orienting their nest entrance relative to the sun or prevailing winds. Alternatively, birds may orient their nest entrance relative to conspecific individuals around them, especially if the acoustic properties of cavities permit nesting birds to better hear individuals in front of their nest. We measured the cavity entrance orientation of 132 nests and 234 excavations in a colour-banded population of black-capped chickadees Poecile atricapillus for which the reproductive behaviour of nesting females was known. Most chickadees excavated cavities in rotten birch Betula papyrifera, aspen Populus tremuloides and maple Acer saccharum. Nest cavities showed random compass orientation around 360degrees demonstrating that chickadees do not orient their cavities relative to the sun or prevailing winds. We also presented chickadees with nest boxes arranged in groups of four, oriented at 90degrees intervals around the same tree. Nests constructed in these nest box quartets also showed random compass orientation. To test the acoustic properties of nest cavities, we conducted a sound transmission experiment using a microphone mounted inside a chickadee nest. Re-recorded songs demonstrate that chickadee nest cavities have directional acoustic properties; songs recorded with the cavity entrance oriented towards the loudspeaker were louder than songs recorded with the cavity entrance oriented away from the loudspeaker. Thus, female chickadees, who roost inside their nest cavity in the early morning during their fertile period, should be better able to hear males singing the dawn chorus in front of their nest cavity. Using GIS analyses we tested for angular-angular correlation between actual nest cavity orientation and the azimuth from the nest tree to the territories and nest cavities of nearby males. In general, nest cavity entrances showed no angular-angular correlation with neighbourhood territory features. However, among birds who followed a mixed reproductive strategy and nested in the soft wood of birch and aspen trees, nest cavity entrances were oriented towards their extra-pair partners. We conclude that nest cavity orientation in birds may be influenced by both ecological and social factors.</t>
  </si>
  <si>
    <t>10.1111/j.0908-8857.2004.03351.x</t>
  </si>
  <si>
    <t>WOS:000225224600004</t>
  </si>
  <si>
    <t>DECKER, DM</t>
  </si>
  <si>
    <t>SYSTEMATICS OF THE COATIS, GENUS NASUA (MAMMALIA, PROCYONIDAE)</t>
  </si>
  <si>
    <t>PROCEEDINGS OF THE BIOLOGICAL SOCIETY OF WASHINGTON</t>
  </si>
  <si>
    <t>Systematics of the genus Nasua was examined using both qualitative and quantitative techniques. Principal component analysis was used to assess morphologic variation among the species of Nasua. Mann-Whitney U tests were used to determine whether there were any difference among the three taxa in any of the quantitative features measured and to determine whether the Cozumel coati was significantly smaller than N. narica of the Yucatan peninsula (including the Yucatan, Campeche, and Quintana Roo departments). Morphological features were examined to determine whether there were any qualitative features that could distinguish between any of the species of Nasua. Principal component analysis showed that N. nelsoni was not distinctly smaller in body size when compared to a series of mainland coatis. Mann-Whitney U tests revealed significant differences between N. nasua and N. narica (P &lt; 0.01) is most quantitative features measured. Significant differences (P &lt; 0.05) were found between Yucatan N. narica and N. nelsoni for 27 of the 32 quantitative features measured; however, when N. nelsoni was compared to a geographically representative sample of mainland N. narica, only 16 of the 32 features were significant (P &lt; 0.05). Eight qualitative features, including features of the anterior alveolar foramen, nasal bones, postorbital process of the jugal bone, mesopterygoid region of the palate, m2 entoconid, baculum, nose color, and hair at the nape of the neck were found to separate N. nasua from N. narica and N. nelsoni. Differences in the quantitative analyses between N. nasua and N. narica and between N. nelsoni and N. narica are differences commonly seen at the subspecific level and are not considered of sufficient nature to recognize any of the taxa as distinct species based on these quantitative features. The qualitative features were found useful in separating N. nasua from N. narica. No qualitative features were found to separate N. nelsoni from N. narica. Based on results of this study, N. nelsoni should be considered conspecific with N. narica. Therefore, only two species of Nasua (N. nasua and N. narica) are recognized.</t>
  </si>
  <si>
    <t>0006-324X</t>
  </si>
  <si>
    <t>JUN 18</t>
  </si>
  <si>
    <t>WOS:A1991FT32000019</t>
  </si>
  <si>
    <t>López, P; Martín,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</si>
  <si>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</si>
  <si>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</si>
  <si>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</si>
  <si>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</si>
  <si>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</si>
  <si>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</si>
  <si>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</si>
  <si>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</si>
  <si>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</si>
  <si>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Sheehan, Emma/0000-0002-1066-8237; Davies, Peter/0000-0003-3739-5352</t>
  </si>
  <si>
    <t>0175-8659</t>
  </si>
  <si>
    <t>1439-0426</t>
  </si>
  <si>
    <t>10.1111/jai.13982</t>
  </si>
  <si>
    <t>WOS:000499266300006</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</si>
  <si>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</si>
  <si>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</si>
  <si>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</si>
  <si>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</si>
  <si>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</si>
  <si>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</si>
  <si>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</si>
  <si>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</si>
  <si>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</si>
  <si>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</si>
  <si>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</si>
  <si>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</si>
  <si>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Germain, Ryan/JAC-6664-2023</t>
  </si>
  <si>
    <t>Marra, Peter/0000-0002-0508-7577; Kyser, Kurt/0000-0001-9667-4103; Germain, Ryan/0000-0002-2473-0070</t>
  </si>
  <si>
    <t>10.1525/cond.2010.090193</t>
  </si>
  <si>
    <t>WOS:000285727700006</t>
  </si>
  <si>
    <t>Norring, M; Ko, HL; Valros, A</t>
  </si>
  <si>
    <t>Norring, Marianna; Ko, Heng-Lun; Valros, Anna</t>
  </si>
  <si>
    <t>Development of flank lesions in growing pigs after weaning: A case study</t>
  </si>
  <si>
    <t>Flank lesions in pigs are a common yet poorly understood consequence of damaging social behavior. One group of pigs on a commercial farm with group lactation and late weaning, and with the history of flank lesions was studied. Skin lesions on the flanks, including linear and circular lesions, and tail lesions on 69 pigs were recorded six times during 5 weeks after weaning at the age of 9 weeks. Nosing behavior was scanned during six sessions with multiple scans. The associations of age, trunk whiteness, weight gain, sow parity, litter size, sex, and tail lesions with the number of circular and linear lesions were analyzed using linear mixed models. The number of linear lesions increased as pigs aged, and pigs with a higher weight gain had more linear lesions. Moreover, pigs with a whiter trunk color were scored with more lesions of both types. According to descriptive behavior data, nosing and biting behaviors were most frequent during weeks 2-4 after weaning at the age of 11-13 weeks. On average, seven circular flank lesions were found per pig during the experiment, at the age of 10-14 weeks. After the peak on day 17, their occurrence decreased. Skin lesion occurrence was related to a lighter skin color on the trunks of pigs. We recommend reporting skin color in connection with lesion scoring results. Nosing behavior and flank lesions both peaked from 2 to 4 weeks after weaning, suggesting that nosing behavior contributed to lesion development during this time.</t>
  </si>
  <si>
    <t>Norring, Marianna/0000-0001-8130-3959; Ko, Heng-Lun/0000-0003-1242-791X; Valros, Anna/0000-0002-4431-3346</t>
  </si>
  <si>
    <t>JAN 12</t>
  </si>
  <si>
    <t>10.3389/fvets.2022.1070206</t>
  </si>
  <si>
    <t>WOS:000920676700001</t>
  </si>
  <si>
    <t>DAVIS, J</t>
  </si>
  <si>
    <t>NATURAL HISTORY VARIATION AND DISTRIBUTION OF STRICKLANDS WOODPECKER</t>
  </si>
  <si>
    <t>Strickland''s woodpecker (Dendrocopos stricklandi) was studied in Mexico from Jan. through May, 1961, and in southeastern Arizona in June and July, 1961. The sp. includes 2 groups. The arizonae group includes a series of populations characterized by dark brown pileum and nape, medium brown dorsum and rump, upper parts immaculate or nearly so, and underparts spotted and barred. This group ranges from southeastern Arizona and southwestern New Mexico south to the east-central part of the Mexican state of Michoacan, and it occurs between about 4,000 and 8,000 feet, occasionally higher. The stricklandi group is characterized by dark, sooty brown coloration, heavily white-barred dorsum and rump, and streaked and barred underparts. It occupies high elevations, between 8,500 and 13,500 feet, in the Mexican states of Mexico, Morelos, Puebla, and Veracruz, and in the Distrito Federal. In the northwestern part of its range the arizonae group forages mainly in oaks. In the southeastern part of its range, populations of the arizonae group occur almost entirely in pine woodland. The stricklandi group occurs in woodlands and forests which are dominated by conifers, especially by pines, with oaks and alders interspersed as less prominent elements. In dimensions, there are 4 generally concordant northwest-southeast clines of decreasing size of bill, wing, tail, and tarsus in the arizonae group. Bill size continues to decrease sharply in the stricklandi group, but wing and tail lengths increase markedly, with abrupt reversal of the clines in those dimensions. Tarsal length shows less clinal variation than the other dimensions. The relatively long wing and tail of stricklandi may reflect adaptation to flight in the less dense atmosphere of high altitudes. The very small bill of the stricklandi group may reflect dependence on conifers as primary foraging sites, reinforced by selection pressures exerted by climate in accordance with Allen''s Rule. There is a further possibility that the very small bill of the stricklandi group may reflect a foraging method different from that used by arizonae. The arizonae and stricklandi groups are similar in coloration of the pileum and nape. They differ strongly and consistently in depth of color of the dorsum and rump and in ventral pattern. They differ less consistently, but to a considerable degree, in extent of the red on the head in adult males. Without the test of sympatry, the two groups are here regarded as conspecific, thus emphasizing allopatric distribution, similarities in dorsal pattern, in pileum and nape color, in vocalizations, and in ecology of the two groups where they approach geographically. The recently named race websteri Phillips, originally described from Nayarit and western Jalisco, is recognized on the basis of size differences but is here given a more extensive range.</t>
  </si>
  <si>
    <t>10.2307/4083220</t>
  </si>
  <si>
    <t>WOS:A19657680200001</t>
  </si>
  <si>
    <t>Li, N; Jiang, L; Wang, JS; Hua, BZ</t>
  </si>
  <si>
    <t>Li, Ning; Jiang, Lu; Wang, Ji-Shen; Hua, Bao-Zhen</t>
  </si>
  <si>
    <t>Integrative taxonomy of the seasonally polyphenic scorpionfly Panorpa liui Hua, 1997 (Mecoptera: Panorpidae)</t>
  </si>
  <si>
    <t>Seasonal polyphenism is a phenomenon where two or more phenotypes are produced from a single genotype in different seasons. This phenomenon, a special type of phenotypic plasticity, is one of the major reasons for the success of insects and is also one of the primary sources of synonymy generations in insect taxonomy. Two nominal scorpionflies, Panorpa liui Hua, 1997 and Panorpa jilinensis Zhou, 2000 from the northeastern region of China, are very similar in morphology except for body coloration. However, whether they are conspecific or distinct species remains to be resolved. Here, we investigated these two nominal species through integrative taxonomy, including morphological variation analyses, geometric morphometrics of wing size and shape variations, genetic diversity, phylogenetic analyses based on two mitochondrial (COI and COII) and one nuclear (28S rRNA) gene fragments, and biological rearing. The results show that P. liui Hua, 1997 is a bivoltine species of seasonal polyphenism in the lowland plain, exhibiting a black morph in the spring and a yellow morph in the summer. Panorpa jilinensis Zhou, 2000 syn. nov. is considered as a junior synonym of P. liui Hua, 1997. The value of integrative taxonomy for species delimitation is discussed.</t>
  </si>
  <si>
    <t>10.1007/s13127-021-00498-9</t>
  </si>
  <si>
    <t>WOS:000665705600001</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</si>
  <si>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</si>
  <si>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</si>
  <si>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</si>
  <si>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</si>
  <si>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</si>
  <si>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</si>
  <si>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</si>
  <si>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</si>
  <si>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</si>
  <si>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</si>
  <si>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</si>
  <si>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Zhi, YH; Wang, DD; Zhang, K; Wang, YY; Geng, WZ; Chen, BT; Li, H; Li, ZJ; Tian, YD; Kang, XT; Liu, XJ</t>
  </si>
  <si>
    <t>Zhi, Yihao; Wang, Dandan; Zhang, Ke; Wang, Yangyang; Geng, Wanzhuo; Chen, Botong; Li, Hong; Li, Zhuanjian; Tian, Yadong; Kang, Xiangtao; Liu, Xiaojun</t>
  </si>
  <si>
    <t>Genome-Wide Genetic Structure of Henan Indigenous Chicken Breeds</t>
  </si>
  <si>
    <t>Simple Summary There are five indigenous chicken breeds in Henan Province, China; however, comprehensive knowledge of their genetic basis is lacking. Therefore, using whole genome resequencing, we examined the genetic make-up, genomic diversity, and migration history of the indigenous Henan chicken populations as well as the selection factors and genes behind the distinct phenotypes of Henan gamecocks. These results will make it easier to comprehend the traits of the germplasm and the potential for using native breeds from Henan. There are five indigenous chicken breeds in Henan Province, China. These breeds have their own unique phenotypic characteristics in terms of morphology, behavior, skin and feather color, and productive performance, but their genetic basis is not well understood. Therefore, we analyzed the genetic structure, genomic diversity, and migration history of Henan indigenous chicken populations and the selection signals and genes responsible for Henan gamecock unique phenotypes using whole genome resequencing. The results indicate that Henan native chickens clustered most closely with the chicken populations in neighboring provinces. Compared to other breeds, Henan gamecock's inbreeding and selection intensity were more stringent. TreeMix analysis revealed the gene flow from southern chicken breeds into the Zhengyang sanhuang chicken and from the Xichuan black-bone chicken into the Gushi chicken. Selective sweep analysis identified several genes and biological processes/pathways that were related to body size, head control, muscle development, reproduction, and aggression control. Additionally, we confirmed the association between genotypes of SNPs in the strong selective gene LCORL and body size and muscle development in the Gushi-Anka F2 resource population. These findings made it easier to understand the traits of the germplasm and the potential for using the Henan indigenous chicken.</t>
  </si>
  <si>
    <t>Wang, Yifan/KDO-8319-2024; Wang, Dandan/AEC-1897-2022; 杨, 淑晶/HGB-2889-2022; CHEN, MINGWEI/KHT-6744-2024</t>
  </si>
  <si>
    <t>Wang, Dandan/0000-0002-5490-3921; KANG, XIANGTAO/0000-0002-9628-7135</t>
  </si>
  <si>
    <t>10.3390/ani13040753</t>
  </si>
  <si>
    <t>WOS:000938298300001</t>
  </si>
  <si>
    <t>MacLaren, RD</t>
  </si>
  <si>
    <t>MacLaren, Ronald D.</t>
  </si>
  <si>
    <t>Evidence of an emerging female preference for an artificial male trait and the potential for spread via mate choice copying in Poecilia latipinna</t>
  </si>
  <si>
    <t>The initial purpose of the project described herein was to assess the preference of female Poecilia latipinna for an artificial novel male trait-an orange-colored distal fringe added to the caudal fin of an otherwise wild-type conspecific. Analysis of the preliminary data revealed consistent individual differences in the strength of female preference for either orange-tailed or wild-type males. This finding inspired the study's second aim-to evaluate whether the preference for orange-tailed males observed among a subset of females could spread via mate choice copying to others in the population that initially preferred wild-type males. Two experiments and a control were conducted wherein females were simultaneously presented with an orange-tailed and a wild-type dummy male using a standard dichotomous choice design. In the first experiment, female preference was assessed on two separate occasions in order to characterize the variability and consistency in preference for orange-tailed versus wild-type males. The second experiment addressed mate choice copying: Female preference was again assessed on two separate occasions, but involved pairing a model female with the non-preferred male for a period of time between preference tests. A third set of control tests were conducted using the same protocol as the copying experiment except that subject females were unable to see the model paired with the non-preferred male. Results showed that, although females collectively preferred neither the orange-tailed nor the wild-type dummy male in the first round of preference tests, the majority showed relatively strong individual preferences. The subset of females that preferred the orange-tailed over the wild-type male in the first round of testing all maintained their preferences in the second round whether or not they had observed a model in association with the non-preferred wild-type male between tests. However, females that preferred the wild type over the orange male in the first round of testing copied the model's choice of the non-preferred orange-tailed male in their second round of preference testing. These results highlight the importance of recognizing the likelihood that only a subset of females will express a preference as it first emerges within a population. In such instances, the preference may not be detected at the population level-a point frequently overlooked in studies of mate choice. Additionally, these data highlight the importance of assessing the preferences of individual females and their capacity to drive evolutionary change within populations. Lastly, this study offers evidence of a possible mechanism by which a novel male trait might spread via mate choice copying by exploiting an emerging sensory bias within a subset of females in the population.</t>
  </si>
  <si>
    <t>10.1111/eth.12885</t>
  </si>
  <si>
    <t>WOS:000474271600009</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</si>
  <si>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</si>
  <si>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</si>
  <si>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</si>
  <si>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</si>
  <si>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</si>
  <si>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</si>
  <si>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</si>
  <si>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Schmid, B; Nottebrock, H; Esler, KJ; Pagel, J; Böhning-Gaese, K; Schurr, FM; Mueller, T; Schleuning, M</t>
  </si>
  <si>
    <t>Schmid, B.; Nottebrock, H.; Esler, K. J.; Pagel, J.; Boehning-Gaese, K.; Schurr, F. M.; Mueller, T.; Schleuning, M.</t>
  </si>
  <si>
    <t>A bird pollinator shows positive frequency dependence and constancy of species choice in natural plant communities</t>
  </si>
  <si>
    <t>Animal pollinators mediate reproduction of many plant species. Foraging theory suggests that animal pollinators exhibit preferences for common plant species in natural communities (positive frequency-dependent foraging) and temporary single-species specialization (flower constancy) during foraging bouts. Positive frequency dependence may favor common plant species; flower constancy may enhance conspecific pollen transfer particularly in rare plant species. Previous experimental studies suggest that avian pollinators are unlikely to exhibit these behaviors. We studied foraging behavior of Cape Sugarbirds (Promerops cafer), the main avian pollinator of many Protea species, using focal-plant and focal-bird sampling, assisted by high-resolution maps of the spatiotemporal distribution of Protea individuals and their flowering status. We found that Sugarbird's visitation preference increased with species' relative floral abundance, and that individual Sugarbirds tended to visit single species in sequence. Flower constancy during foraging bouts was significantly higher than expected from random plant-animal encounters at the scale of pollinator movements. Positive frequency dependence may favor the reproduction of abundant plant species while flower constancy may be particularly important for rare plant species. This first simultaneous study of both behaviors in a natural plant-pollinator system shows that bird pollinators exhibit both types of behavior and, in this way, possibly influence plant community structure.</t>
  </si>
  <si>
    <t>Schleuning, Matthias/H-2154-2015; Schurr, Frank M./O-6575-2016; Böhning-Gaese, Katrin/W-2601-2019; Pagel, Joern/A-9897-2012; Mueller, Thomas/A-1740-2014</t>
  </si>
  <si>
    <t>Schleuning, Matthias/0000-0001-9426-045X; Böhning-Gaese, Katrin/0000-0003-0477-5586; Pagel, Jorn/0000-0002-4817-1920; Mueller, Thomas/0000-0001-9305-7716; Schmid, Baptiste/0000-0002-7736-7527</t>
  </si>
  <si>
    <t>10.1002/ecy.1565</t>
  </si>
  <si>
    <t>WOS:000387228200021</t>
  </si>
  <si>
    <t>Jessop, TS; Chan, R; Stuart-Fox, D</t>
  </si>
  <si>
    <t>Jessop, Tim S.; Chan, Rita; Stuart-Fox, Devi</t>
  </si>
  <si>
    <t>Sex steroid correlates of female-specific colouration, behaviour and reproductive state in Lake Eyre dragon lizards, Ctenophorus maculosus</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</si>
  <si>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</si>
  <si>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Jessop, Tim S./0000-0002-7712-4373; Stuart-Fox, Devi/0000-0003-3362-1412</t>
  </si>
  <si>
    <t>10.1007/s00359-009-0437-4</t>
  </si>
  <si>
    <t>WOS:000267541400001</t>
  </si>
  <si>
    <t>Parker, AR; Mckenzie, DR; Ahyong, ST</t>
  </si>
  <si>
    <t>A unique form of light reflector and the evolution of signalling in Ovalipes (Crustacea: Decapoda: Portunidae)</t>
  </si>
  <si>
    <t>The first demonstration, to our knowledge, of an evolutionary shift in communication mode in animals is presented. Some species of Ovalipes display spectacular iridescence resulting from multilayer reflectors in the cuticle. This reflector is unique in animals because each layer is corrugated and slightly out of phase with adjacent layers. Solid layers are separated from fluid layers in the reflector by side branches acting as support struts. An effect of this reflector is that blue light is reflected over a 'broad' angle around a plane parallel to the sea floor when the host crab is resting. Species of Ovalipes all possess stridulatory structures. The shallow-water species with the best developed stridulatory structures are non-iridescent and use sound as a signal. Deep-water species possess poorly developed stridulatory structures and display iridescence from most regions of the body In deep water, where incident light is blue, light display is highly directional in contrast to sound produced via stridulation. Sound and light display probably perform the same function of sexual signalling in Ovalipes, although the directional signal is less likely to attract predators. Deep-water species of Ovalipes appear to have evolved towards using light in conspecific signalling. This change from using sound to using light reflects the change in habitat light properties, perhaps the hunting mechanisms of cohabitees, and its progression is an indicator of phylogeny. The changes in sexual signalling mechanisms, following spatial-geographical isolation, may have promoted speciation in Ovalipes.</t>
  </si>
  <si>
    <t>10.1098/rspb.1998.0371</t>
  </si>
  <si>
    <t>WOS:000073948500004</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</si>
  <si>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</si>
  <si>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</si>
  <si>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</si>
  <si>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</si>
  <si>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</si>
  <si>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Bleichman, I; Yadav, P; Ayali, A</t>
  </si>
  <si>
    <t>Bleichman, Itay; Yadav, Pratibha; Ayali, Amir</t>
  </si>
  <si>
    <t>Visual processing and collective motion-related decision-making in desert locusts</t>
  </si>
  <si>
    <t>Collectively moving groups of animals rely on the decision-making of locally interacting individuals in order to maintain swarm cohesion. However, the complex and noisy visual environment poses a major challenge to the extraction and processing of relevant information. We addressed this challenge by studying swarming-related decision-making in desert locust last-instar nymphs. Controlled visual stimuli, in the form of random dot kinematograms, were presented to tethered locust nymphs in a trackball set-up, while monitoring movement trajectory and walking parameters. In a complementary set of experiments, the neurophysiological basis of the observed behavioural responses was explored. Our results suggest that locusts use filtering and discrimination upon encountering multiple stimuli simultaneously. Specifically, we show that locusts are sensitive to differences in speed at the individual conspecific level, and to movement coherence at the group level, and may use these to filter out non-relevant stimuli. The locusts also discriminate and assign different weights to different stimuli, with an observed interactive effect of stimulus size, relative abundance and motion direction. Our findings provide insights into the cognitive abilities of locusts in the domain of decision-making and visual-based collective motion, and support locusts as a model for investigating sensory-motor integration and motion-related decision-making in the intricate swarm environment.</t>
  </si>
  <si>
    <t>; Ayali, Amir/B-1050-2008</t>
  </si>
  <si>
    <t>Bleichman, Itay/0000-0001-8717-5505; Ayali, Amir/0000-0001-6152-2927; Yadav, Pratibha/0000-0003-1884-8627</t>
  </si>
  <si>
    <t>JAN 25</t>
  </si>
  <si>
    <t>10.1098/rspb.2022.1862</t>
  </si>
  <si>
    <t>WOS:000914748200003</t>
  </si>
  <si>
    <t>Hudson, EJ; Price, TD</t>
  </si>
  <si>
    <t>Hudson, Emily J.; Price, Trevor D.</t>
  </si>
  <si>
    <t>Pervasive Reinforcement and the Role of Sexual Selection in Biological Speciation</t>
  </si>
  <si>
    <t>JOURNAL OF HEREDITY</t>
  </si>
  <si>
    <t>Sexual selection has been widely implicated as a driver of speciation. However, allopatric forms are often defined as species based on divergence in sexually selected traits and it is unclear how much such trait differences affect reproductive isolation upon secondary contact, the defining feature of biological species. We show that in birds, divergence in song and plumage in allopatry corresponds poorly with whether species mate assortatively in hybrid zones and argue that this is because many other factors besides trait divergence affect propensity to hybridize, including rarity of conspecific mates and choice based on territory rather than male traits. We then present a general model for the establishment of sympatry that assumes a period of differentiation in allopatry followed by secondary contact and often hybridization, with hybridization subsequently reduced by reinforcement of mate preferences. We suggest that reinforcement commonly operates by a narrowing of a window of recognition for traits that are different between the species, rather than evolution of the traits themselves. Our arguments imply that it is important to study postmating as well as premating reproductive isolation in limiting sympatry and suggest that studies of reinforcement should focus on evolution of female preferences for diagnostic traits, rather than evolution of traits per se.</t>
  </si>
  <si>
    <t>Hudson, Emily/0000-0003-1358-8563</t>
  </si>
  <si>
    <t>0022-1503</t>
  </si>
  <si>
    <t>1465-7333</t>
  </si>
  <si>
    <t>10.1093/jhered/esu041</t>
  </si>
  <si>
    <t>WOS:000342995100008</t>
  </si>
  <si>
    <t>Ghazali, SZ; Lavoué, S; Zain, KM; Jamaluddin, JAF; Ahmad, A; Ratmuangkhwang, S; Nor, SAM</t>
  </si>
  <si>
    <t>Ghazali, Siti Zafirah; Lavoue, Sebastien; Zain, Khaironizam Md.; Jamaluddin, Jamsari Amirul Firdaus; Ahmad, Amirrudin; Ratmuangkhwang, Sahat; Nor, Siti Azizah Mohd</t>
  </si>
  <si>
    <t>Low morphological and genetic variation within the glass-perchlet Parambassis siamensis (Teleostei: Ambassidae) in Peninsular Malaysia</t>
  </si>
  <si>
    <t>We compare several populations of the glass-perchlet Parambassis siamensis (Fowler 1937) (Teleostei: Ambassidae) sampled throughout Peninsular Malaysia to determine their degree of differentiation, using both morphological and molecular characters. Our morphological analyses do not show evidence for the presence of more than one species, with the range of morphometric and meristic characters overlapping among populations. Our genetic analysis using partial sequences of the mitochondrial gene coding for the protein cytochrome c oxidase I (COI) reveals the existence of two clades that diverge from each other by a minimum uncorrected p-distance of 2.2%. The first clade comprises of specimens from south-eastern Peninsular Malaysia (Pahang and Endau-Rompin River basins) along with those from Cambodia (lower Mekong River). The second clade comprises of specimens from western Peninsular Malaysia (Selangor, Kurau, Perak, Muda and Kerian River basins) and north-eastern Peninsular Malaysia (Terengganu River basin), along with those from Chao Phraya River basin nearby Bangkok (type locality of P. siamensis). The presence of specimens with numerous melanophores on body sides in each of these two clades indicates that body marking pattern is not a valuable taxonomic character. This finding supports the conclusion that Chanda punctulata Fraser-Brunner 1955 is a junior synonym of P. siamensis. Altogether, our results support the hypothesis that all populations of P. siamensis in Peninsular Malaysia (along those from Chao Phraya and lower Mekong basins) are conspecific, comprising two genetically distinct, although close lineages. We further discuss the phenotypic plasticity within P. siamensis in relation to lotic and lentic habitats. Finally, we briefly discuss some implications for biogeography and possible causes explaining the distribution pattern.</t>
  </si>
  <si>
    <t>Nor, Siti Azizah Mohd/AFP-8208-2022; Ghazali, Siti Zafirah/HTO-5175-2023; Lavoue, Sebastien/H-7118-2012</t>
  </si>
  <si>
    <t>Nor, Siti Azizah Mohd/0000-0002-9890-9612; Ghazali, Siti Zafirah/0000-0002-9672-661X; Lavoue, Sebastien/0000-0003-4798-6666; JAMALUDDIN, JAMSARI AMIRUL FIRDAUS/0000-0002-3792-6873</t>
  </si>
  <si>
    <t>10.11646/zootaxa.5128.4.2</t>
  </si>
  <si>
    <t>WOS:000792772900002</t>
  </si>
  <si>
    <t>Balmer, O; Stearns, SC; Schotzau, A; Brun, R</t>
  </si>
  <si>
    <t>Balmer, Oliver; Stearns, Stephen Curtis; Schotzau, Andreas; Brun, Reto</t>
  </si>
  <si>
    <t>Intraspecific competition between co-infecting parasite strains enhances host survival in African trypanosomes</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</si>
  <si>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</si>
  <si>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Balmer, Oliver/HHN-1110-2022; Stearns, Stephen/F-4099-2012</t>
  </si>
  <si>
    <t>Balmer, Oliver/0000-0001-7572-7747; Stearns, Stephen/0000-0002-6621-4373</t>
  </si>
  <si>
    <t>10.1890/08-2291.1</t>
  </si>
  <si>
    <t>WOS:000272700800009</t>
  </si>
  <si>
    <t>Valcharova, T; Slavik, O; Horky, P; Stara, A; Hruskova, I; Maciak, M; Pesta, M; Velisek, J</t>
  </si>
  <si>
    <t>Valcharova, Tereza; Slavik, Ondrej; Horky, Pavel; Stara, Alzbeta; Hruskova, Iveta; Maciak, Matus; Pesta, Michal; Velisek, Josef</t>
  </si>
  <si>
    <t>Stressful Daylight: Differences in Diel Rhythmicity Between Albino and Pigmented Fish</t>
  </si>
  <si>
    <t>In laboratory experiments, variously colored strains of animals, including those with albino phenotypes, are commonly used. The melanocortin theory suggests, however, that coloration phenotypes alter animal physiology and behavior. Animals with the albino phenotype show photoreceptor degradation associated with lowered visual accuracy, escape reactions, etc., presumably accompanied by prevailing nocturnal activity and lowered aggressiveness. This assumption was tested in small groups of albino and pigmented European catfish, Silurus glanis, during the diel cycle. The frequency of agonistic interactions was observed during mutual contests for shelters, and subsequently, blood plasma, brain, gill, and liver samples were collected to evaluate stress parameters. In an experimental arena with shelters, the light/dark rhythmicity of locomotor activity and aggressiveness of the two phenotypes were comparable; the peak was observed at night, and a lower peak was observed at dawn. In an experimental stream without shelters, the peak of locomotor activity occurred at night for only the pigmented phenotype. In the evaluation of 4 antioxidants and 1 oxidative stress indicator, representing a total of 15 indices, albino fish showed significant rhythmicity for 8 indices, whereas pigmented catfish showed significant rhythmicity for 5 indices. The production of blood stress parameters with the peak during the day occurred only in albino fish. A complex model was fitted with the aim of evaluating the links between behavioral and biochemical indices. Time periodicity was modeled using a sine wave and confirmed parallel courses of agonistic interactions in the catfish groups; the peak at dawn was associated with a 4.08-fold (conf. int. 3.53-4.7) increase in such interactions. The changes in glucose and superoxide dismutase concentrations varied with phenotype, while the effects of cortisol, lactate and catalase did not. In summary, the rhythmicity of locomotor activity and changes in the aggressiveness of catfish were influenced by shelter availability, and the effect of light-induced stress was more apparent in albino fish than in pigmented conspecific fish. The results suggested that laboratory-raised animals with pigmentation patterns naturally occurring in the wild show more reasonable values during experiments than those with an albino phenotype.</t>
  </si>
  <si>
    <t>Maciak, Matus/D-7836-2016; Horký, Pavel/A-3857-2013; Pesta, Michal/C-9467-2017</t>
  </si>
  <si>
    <t>Horký, Pavel/0000-0002-1738-7753; Pesta, Michal/0000-0001-5311-0797</t>
  </si>
  <si>
    <t>10.3389/fevo.2022.890874</t>
  </si>
  <si>
    <t>WOS:000837071500001</t>
  </si>
  <si>
    <t>Gronenberg, W; Ash, LE; Tibbetts, EA</t>
  </si>
  <si>
    <t>Gronenberg, Wulfia; Ash, Lesley E.; Tibbetts, Elizabeth A.</t>
  </si>
  <si>
    <t>Correlation between facial pattern recognition and brain composition in paper wasps</t>
  </si>
  <si>
    <t>Unique among insects, some paper wasp species recognize conspecific facial patterns during social communication. To evaluate whether specialized brain structures are involved in this task, we measured brain and brain component size in four different paper wasp species, two of which show facial pattern recognition. These behavioral abilities were not reflected by an increase in brain size or an increase in the size of the primary visual centers (medulla, lobula). Instead, wasps showing face recognition abilities had smaller olfactory centers (antennal lobes). Although no single brain compartment explains the wasps' specialized visual abilities, multi-factorial analysis of the different brain components, particularly the antennal lobe and the mushroom body sub-compartments, clearly separates those species that show facial pattern recognition from those that do not. Thus, there appears to be some neural specialization for visual communication in Polistes. However, the apparent lack of optic lobe specialization suggests that the visual processing capabilities of paper wasps might be preadapted for pattern discrimination and the ability to discriminate facial markings could require relatively small changes in their neuronal substrate. Copyright (c) 2007 S. Karger AG, Basel.</t>
  </si>
  <si>
    <t>Tibbetts, Elizabeth/0000-0002-5625-892X</t>
  </si>
  <si>
    <t>10.1159/000108607</t>
  </si>
  <si>
    <t>WOS:000251137800001</t>
  </si>
  <si>
    <t>Arrieta, RS; Campagna, L; Mahler, B; Llambías, PE</t>
  </si>
  <si>
    <t>Arrieta, Ramiro S.; Campagna, Leonardo; Mahler, Bettina; Llambias, Paulo E.</t>
  </si>
  <si>
    <t>Neither paternity loss nor perceived threat of cuckoldry affects male nestling provisioning in grass wrens</t>
  </si>
  <si>
    <t>Extra-pair paternity (EPP) is frequent in socially monogamous birds with biparental care. However, males should avoid providing care to unrelated offspring. In this study, we first analyzed the relationship between parental care and paternity loss, and secondly, we evaluated if males adjust parental care to a perceived threat of cuckoldry. Over three breeding seasons, we intensively studied a color-banded population of south temperate grass wrens Cistothorus platensis. We monitored nests attended by socially monogamous males, collected blood samples from adults and nestlings, and recorded male provisioning rates to the nestlings. Paternity was assigned genetically using SNP markers. We simulated territorial intrusions during the female fertile period (egg-laying) to manipulate males' perceived threat of cuckoldry. Neither the proportion of extra-pair offspring nor the presence/absence of extra-pair offspring in the nest affected male provisioning rates, suggesting that males did not adjust parental effort to actual paternity loss. Simulated territorial intrusions revealed that males were more likely to approach and attack a conspecific than a heterospecific stuffed decoy. However, experimental and control males provided food to their nestlings at similar rates. Retaliatory reduction of paternal care might not have evolved in grass wrens given the low frequency of extra-pair paternity (23%). Alternatively, males may rely predominately on precopulatory strategies (e.g., territoriality and mate guarding) to prevent females from obtaining extra-pair fertilizations. Significance statement A central tenet in the study of extra-pair behavior in birds is that males should reduce their parental contribution when females engage in extra-pair copulations. Males are thought to use indirect clues (female absences, male intrusions) and direct clues (observation of copulations) to gauge paternity loss. We studied the relationship between extra-pair behavior and male contribution to feeding nestlings in a Neotropical population of grass wrens. We found that males did not adjust their contribution to paternal care based on actual paternity loss. Moreover, simulated male intrusions during the female fertile period, which influence a male's perceived threat of cuckoldry, did not affect paternal care. Our results suggest that male grass wrens do not indirectly retaliate against females who engage in extra-pair behavior by reducing parental care.</t>
  </si>
  <si>
    <t>Arrieta, Ramiro/0000-0001-8182-5474</t>
  </si>
  <si>
    <t>10.1007/s00265-022-03253-y</t>
  </si>
  <si>
    <t>WOS:000867664700001</t>
  </si>
  <si>
    <t>Golzarianpour, K; Malek, M; Golestaninasab, M; Sarafrazi, A; Kochmann, J; Klimpel, S</t>
  </si>
  <si>
    <t>Golzarianpour, Kiavash; Malek, Masoumeh; Golestaninasab, Mehdi; Sarafrazi, Alimorad; Kochmann, Judith; Klimpel, Sven</t>
  </si>
  <si>
    <t>Insights into the Urogymnid whiprays (Chondrichthyes: Batoidea) in the Persian Gulf and the Gulf of Oman, with an amendment of their diagnostic characteristics and dispersal range</t>
  </si>
  <si>
    <t>Correct identification of elasmobranch species is crucial for taxonomic and parasitological research. Although molecular barcoding may be the fastest choice to determine the identity of a given species, robust and fast species level identification in the field using morphological characters is essential. During this study, 389 specimens representing seven stingray species (Brevitrygon walga, Himantura leoparda, H. uarnak, Maculabatis randalli, M. arabica, M. gerrardi and Pateobatis fai) were examined from the Persian Gulf and the Gulf of Oman. A 1044 bp fragment of the NADH2 gene was generated for 50 specimens with representatives of all species. To verify the initial morphological identification and to compare intra-and interspecific differences a Neighbor-Joining analysis was conducted using uncorrected p-distances, whereas the Bayesian Inference was used to examine the relationships among taxa. Two species (M. arabica and M. gerrardi) are documented from the Persian Gulf for the first time. The molecular results provide the first known evidence of the sympatric distribution of M. randalli and M. arabica in the north and northwestern Indian Ocean. The results of the Bayesian Inference support the recent divergence of both species. Based on morphological comparisons and molecular support we suggest that the descriptions of M. randalli and M. arabica have been carried out on heterogeneous type series which has led to inconsistency between molecular identification and diagnostic morphological characteristics. Detailed morphological examination revealed that there is a relation between the type and number of denticles on the mid-dorsal surface of the disc and the color pattern of the tail. To address this taxonomic conflict all type materials should be re-examined. The Bayesian Inference tree showed that all specimens from the Persian Gulf and the Gulf of Oman morphologically resembling B. walga were found to group well outside those of the Indian species (B. imbricata) with an average p-distance of 0.097. The low nucleotide differences among the urogymnid taxa (P. fai and H. leoparda) from the Persian Gulf and the Gulf of Oman and their conspecific specimens in the Indo-West Pacific region revealed that philopatric behaviors may cause considerable gene flow among populations.</t>
  </si>
  <si>
    <t>Golestaninasab, Mehdi/AAY-7499-2021; Kochmann, Judith/AAG-3574-2021</t>
  </si>
  <si>
    <t>Golestaninasab, Mehdi/0000-0003-2456-6378; Kochmann, Judith/0000-0001-6312-7859; Golzarianpour, Kiavash/0000-0003-3874-0947</t>
  </si>
  <si>
    <t>JUL 23</t>
  </si>
  <si>
    <t>10.11646/zootaxa.4819.2.5</t>
  </si>
  <si>
    <t>WOS:000552250100005</t>
  </si>
  <si>
    <t>GAUTIERHION, A; MAISELS, F</t>
  </si>
  <si>
    <t>MUTUALISM BETWEEN A LEGUMINOUS TREE AND LARGE AFRICAN MONKEYS AS POLLINATORS</t>
  </si>
  <si>
    <t>Observations of a monkey community in a forest of the Zaire Basin show that four species intensively lick the nectar of Daniellia pynaertii (Caesalpinoideae) for 5 months of the year; nectar makes up a mean of 20% and a maximum of 50% of monthly plant feeding records (Fig. 3). Such intensive nectar-feeding by monkeys of up to 8 kg body weight probably developed in these basically frugivorous primates as an alternative strategy to cope with a shortage of fleshy fruits. This would have been possible due to the high density of the plant species, the synchrony and abundance of its flowering (Fig. 2), and the large size of the nectar drop and its nutritional value. Patterns of monkey movements among Daniellia trees show that one flowering tree may receive up to 10 species visits and 30 individual visits per day, for a total of up to 141 min. (Table 1). A monkey troop can visit 12 trees in succession over less than 3 h (Fig. 4). This suggests that monkeys are able to promote pollen transfer both among flowers of the same tree and between conspecific trees. The individual tree fruiting index is positively correlated with its flowering index and with the amount of visits by monkeys, indicating at least that monkeys do not inhibit the reproductive ability of flowers (Fig. 5). These results suggest that monkeys can be considered as a guild of effective pollinators. Long-term coevolution between the plant and its present-day pollinators seems unlikely, and we suggest that monkeys replaced other pollinators, such as Lepidoptera. This hypothesis is supported by the fact that tubular flowers adapted for pollination by Lepidoptera are found in affine species of the same genus and of affine genera, the latter being known to be pollinated by these insects. In contrast, D. pynaertii flowers typically meet the pollination syndrome currently defined for attracting large mammals: notably conspicuousness and open morphology of the flowers, nectar colour and abundance. These characteristics suggest that coadaptation between monkeys and plant or at least one-sided adaptation has operated.</t>
  </si>
  <si>
    <t>Maisels, Fiona/E-7382-2015</t>
  </si>
  <si>
    <t>Maisels, Fiona/0000-0002-0778-0615</t>
  </si>
  <si>
    <t>10.1007/s002650050034</t>
  </si>
  <si>
    <t>WOS:A1994NG04500006</t>
  </si>
  <si>
    <t>Ogura, T; Maki, M; Nagata, S; Nakamura, S</t>
  </si>
  <si>
    <t>Ogura, Tadatoshi; Maki, Mizuki; Nagata, Saki; Nakamura, Sanae</t>
  </si>
  <si>
    <t>Dogs (Canis familiaris) Gaze at Our Hands: A Preliminary Eye-Tracker Experiment on Selective Attention in Dogs</t>
  </si>
  <si>
    <t>Simple Summary Dogs seem to communicate with humans successfully by getting social information from body signals such as hand signs. However, less is known regarding how dogs pay attention visually toward human body signals including hand signs. The objective of this pilot study was to reveal dogs' social visual attention tuned to inter-species communication with humans by comparing gazing patterns to the whole body of human, dogs, and cats. The pictures showing humans with or without hand signs, dogs, and cats were presented on a liquid crystal display monitor, and gazing behaviors of subject dogs to these pictures were recorded by an eye-tracking device. The subjects gazed at human limns more frequently than limbs within conspecifics and cat images, where the dogs attention were focused on the head and body. Furthermore, gaze toward hands was greater in the human hand sign photos relative to photos where human hand signs were not present. These results indicate that dogs have an attentional style specialized for human non-verbal communication, with an emphasis placed on human hand gestures. Abstract Dogs have developed a social competence tuned to communicate with human and acquire social information from body signals as well as facial expressions. However, less is known regarding how dogs shift attention toward human body signals, specifically hand signs. Comparison among visual attentional patterns of dogs toward whole body of human being, conspecifics, and other species will reveal dogs' basic social competences and those specialized to inter-species communication with humans. The present study investigated dogs' gazing behaviors in three conditions: viewing humans with or without hand signs, viewing conspecifics, and viewing cats. Digital color photographs were presented on a liquid crystal display monitor, and subject dogs viewed the images while their eyes were tracked. Results revealed that subjects gazed at human limbs more than limbs within conspecific and cat images, where attention was predominately focused on the head and body. Furthermore, gaze toward hands was greater in the human hand sign photos relative to photos where human hand signs were not present. These results indicate that dogs have an attentional style specialized for human non-verbal communication, with an emphasis placed on human hand gestures.</t>
  </si>
  <si>
    <t>Ogura, Tadatoshi/JXN-9814-2024</t>
  </si>
  <si>
    <t>OGURA, Tadatoshi/0000-0003-0042-6901</t>
  </si>
  <si>
    <t>10.3390/ani10050755</t>
  </si>
  <si>
    <t>WOS:000540228300006</t>
  </si>
  <si>
    <t>Rahman, MA; Uehara, T; Pearse, JS</t>
  </si>
  <si>
    <t>Experimental hybridization between two recently diverged species of tropical sea urchins, Echinometra mathaei and Echinometra oblonga</t>
  </si>
  <si>
    <t>INVERTEBRATE REPRODUCTION &amp; DEVELOPMENT</t>
  </si>
  <si>
    <t>9th International Congress on Invertebrate Reproduction and Development</t>
  </si>
  <si>
    <t>JUL 15-20, 2001</t>
  </si>
  <si>
    <t>RHODES UNIV, GRAHAMSTOWN, SOUTH AFRICA</t>
  </si>
  <si>
    <t>RHODES UNIV</t>
  </si>
  <si>
    <t>Two species of tropical sea urchins, Echinometra mathaei and Echinometra oblonga, occur abundantly on Okinawan intertidal reefs; E. mathaei is found mainly on inshore reef flats while E. oblonga burrows in the offshore reef margins. The two species spawn during the same season, and hybrid embryos can be formed in the laboratory. We confirmed earlier experiments showing that fertilization rates are high between eggs of E. oblonga and sperm of E. mathaei, but significantly lower than those in homogametic crosses, whereas few eggs of E. mathaei are fertilized by sperm of E. oblonga, even at very high sperm concentrations. If they spawn together in the field, most or all ova of E. oblonga would be fertilized by conspecific sperm before encountering sperm of E. mathaei on the reef flat, so hybridization is partially minimized by habitat separation. However, many viable sperm of E. oblonga would still be available to fertilize ova of E. mathaei. Species-specific differences in sperm chemotaxis or gamete compatibility may provide prezygotic barriers that also would prevent hybridization, especially between ova of E. mathaei and sperm of E. oblonga. We found that homogametic crosses reach peak fertilization levels much sooner than heterogametic crosses, even between ova of E. oblonga and sperm of E. mathaei, indicating the presence of prezygotic barriers to hybridization in the gametes. Nevertheless, laboratory crosses between E. mathaei and E. oblonga in both directions produced viable hybrids that developed through larval and juvenile stages to sexually mature adults. Phenotypic color pattern of hybrids tended to be maternal while other characteristics were intermediate (test size, weight, spine length, growth, tubefoot and gonad spicule morphology, pedicellaria valve length, gamete size). Adult F-1 hybrids from both combinations were completely fertile and exhibited high fertilization rates in backcrosses. On the other hand, intensive field surveys failed to find hybrids, showing the rarity or absence of natural hybridization. These results mirror those found with hybridization studies on other species of Echinometra on Okinawa. They further support the conclusion that prezygotic isolating mechanisms such as habitat segregation as well as species-specific sperm chemotaxis and/or gamete compatibility have a role in maintaining the genetic integrity of these species.</t>
  </si>
  <si>
    <t>0792-4259</t>
  </si>
  <si>
    <t>2157-0272</t>
  </si>
  <si>
    <t>10.1080/07924259.2004.9652569</t>
  </si>
  <si>
    <t>WOS:000221012500001</t>
  </si>
  <si>
    <t>Griggio, M; Devigili, A; Hoi, H; Pilastro, A</t>
  </si>
  <si>
    <t>Griggio, Matteo; Devigili, Alessandro; Hoi, Herbert; Pilastro, Andrea</t>
  </si>
  <si>
    <t>Female ornamentation and directional male mate preference in the rock sparrow</t>
  </si>
  <si>
    <t>Albeit there is growing evidence that males prefer to mate with ornamented females, it has been suggested that the production of costly ornaments may reduce female fecundity, hence favoring males with a preference for females with average ornamentation. In the rock sparrow, Petronia petronia, males and females possess a sexually selected patch of yellow feathers on the breast (a carotenoid-based trait). To test whether males prefer females with the largest ornament or average ornamented females, male rock sparrows were simultaneously faced with 3 conspecific females differing in breast patch size and a female house sparrow as a control. We found that the house sparrow and rock sparrow female with the smallest patch were least preferred, and males showed a clear proximity preference for the females with the above average-sized patch. Our results demonstrate that, contrary to theoretical predictions, a directional preference for female ornament was observed. Directional male preference may arise as consequence of a male's sensory bias or may be associated with indirect (genetic) benefits of choosing ornamented females, if ornament size is correlated with female genetic quality. Clearly, more work is necessary to identify the conditions under which directional preference for female ornament arises.</t>
  </si>
  <si>
    <t>griggio, matteo/A-6261-2009; Pilastro, Andrea/G-3868-2011</t>
  </si>
  <si>
    <t>Pilastro, Andrea/0000-0001-9803-6308; Devigili, Alessandro/0000-0001-8104-5195; Griggio, Matteo/0000-0002-3298-2905</t>
  </si>
  <si>
    <t>10.1093/beheco/arp099</t>
  </si>
  <si>
    <t>WOS:000269956400023</t>
  </si>
  <si>
    <t>Martinez-Caja, AM; Rosseau, J; Vervaecke, H; Moons, CPH</t>
  </si>
  <si>
    <t>Martinez-Caja, Ana Martos; Rosseau, Julie; Vervaecke, Hilde; Moons, Christel Palmyre Henri</t>
  </si>
  <si>
    <t>Behavior and health issues in Bengal cats as perceived by their owners: A descriptive study</t>
  </si>
  <si>
    <t>The Bengal cat is a recently established hybrid cat breed that was created by crossbreeding the domestic shorthair cat (Felis silvestris catus) and the wild Asian leopard cat (Prionailurus bengalensis). In spite of its popularity, research on behavior and health issues in this breed remains limited. A questionnaire was sent to Bengal cat owners in Flanders and Wallonia (Belgium), and the Netherlands to document the suitability of the breed as a pet from the point of view of the owners by exploring the presence of behavioral and health issues that may provoke the cat's relinquishment. It included questions about their decision to own a Bengal cat, the cat demographics and living environment, potential undesirable behaviors, and health issues. The owners of 60.5% (n = 155) of cats chose this breed due to a combination of looks and character. For most cats (99.2% n = 254), the respondents looked for information about the breed before acquiring a cat. Breed-typical health conditions, as described by International Cat Care, were reported in 9.9 % (n = 24) of cats, with being overweight as the most common one. The most frequent behaviors were climbing (89.5%, n = 229), vocalizing (88.7%, n = 227), playing with water (79.7%, n = 204), and hunting (78.9%, n = 202). These were, however, rarely considered problematic by the owners. The most frequent behaviors often classified as problematic by the owners were destructive behaviors (33.2%, n = 85), followed by pica (16.4%, n = 42), aggression toward animals (16%, n = 41), and urination outside the litter tray (13.3%, n = 34). There were no significant differences between cats from early and later generations nor between cats with and without outdoor access. The fact that most owners looked for information about the breed before acquiring the cat and that the most frequently displayed behaviors were not considered problematic by their owners could translate into a lower incidence of relinquishments. Nevertheless, some of those behaviors may still be indicative of welfare issues, independently of the owner's perception. Further and more in-depth research is needed to understand the potential issues of keeping Bengal cats as pets. (c) 2020 Elsevier Inc. All rights reserved. The Bengal cat is a recently established hybrid cat breed that was created by crossbreeding the domestic shorthair cat (Felis silvestris catus) and the wild Asian leopard cat (Prionailurus bengalensis). In spite of its popularity, research on behavior and health issues in this breed remains limited. A questionnaire was sent to Bengal cat owners in Flanders and Wallonia (Belgium), and the Netherlands to document the suitability of the breed as a pet from the point of view of the owners by exploring the presence of behavioral and health issues that may provoke the cat?s relinquishment. It included questions about their decision to own a Bengal cat, the cat demographics and living environment, potential undesirable behaviors, and health issues. The owners of 60.5% (n = 155) of cats chose this breed due to a combination of looks and character. For most cats (99.2% n = 254), the respondents looked for information about the breed before acquiring a cat. Breed-typical health conditions, as described by International Cat Care, were reported in 9.9 % (n = 24) of cats, with being overweight as the most common one. The most frequent behaviors were climbing (89.5%, n = 229), vocalizing (88.7%, n = 227), playing with water (79.7%, n = 204), and hunting (78.9%, n = 202). These were, however, rarely considered problematic by the owners. The most frequent behaviors often classified as problematic by the owners were destructive behaviors (33.2%, n = 85), followed by pica (16.4%, n = 42), aggression toward animals (16%, n = 41), and urination outside the litter tray (13.3%, n = 34). There were no significant differences between cats from early and later generations nor between cats with and without outdoor access. The fact that most owners looked for information about the breed before acquiring the cat and that the most frequently displayed behaviors were not considered problematic by their owners could translate into a lower incidence of relinquishments. Nevertheless, some of those behaviors may still be indicative of welfare issues, independently of the owner?s perception. Further and more in-depth research is needed to understand the potential issues of keeping Bengal cats as pets.</t>
  </si>
  <si>
    <t>Moons, Christel/HKN-6941-2023</t>
  </si>
  <si>
    <t>Moons, Christel/0000-0002-0945-9630; Vervaecke, Hilde/0000-0002-7985-1195</t>
  </si>
  <si>
    <t>10.1016/j.jveb.2020.10.007</t>
  </si>
  <si>
    <t>WOS:000632186500001</t>
  </si>
  <si>
    <t>Van Gossum, H; Robb, T; Forbes, MR; Rasmussen, L</t>
  </si>
  <si>
    <t>Van Gossum, H.; Robb, T.; Forbes, M. R.; Rasmussen, L.</t>
  </si>
  <si>
    <t>Female-limited polymorphism in a widespread damselfly: morph frequencies, male density, and phenotypic similarity of andromorphs to males</t>
  </si>
  <si>
    <t>In several animal species, one male type coexists with two to several female types, a polymorphism often explained in the context of sexual selection. Where it occurs, one female morph typically resembles the conspecific male phenotype, but the degree of resemblance varies across species. Here, we question whether the degree of phenotypic similarity between male-like females and males varies within species. Phenotypic resemblance is hypothesized to depend on the potential for frequency- and density-dependent selection on male and (or) female phenotypes. We studied six populations of the damselfly Nehalennia irene (Hagen, 1861) that differed widely in estimates of morph frequency and male density. Male-like females resemble males more than another female type resembles males, across populations, when comparisons are based on abdominal patterns. Abdomen phenotype does matter in male-female interactions of damselflies. Furthermore, male-like females were more similar to males at low and high density sites compared with sites with intermediate densities, contrary to the hypothesis that the potential for male harassment influences the degree of phenotypic similarity. Additionally, male-like females of most populations converged on the abdominal phenotype of males of one population rather than on that of syntopic males; a problem that has not received any attention.</t>
  </si>
  <si>
    <t>10.1139/Z08-091</t>
  </si>
  <si>
    <t>WOS:000260166800006</t>
  </si>
  <si>
    <t>Luro, AB; Hauber, ME</t>
  </si>
  <si>
    <t>Luro, Alec B.; Hauber, Mark E.</t>
  </si>
  <si>
    <t>Pressure for rapid and accurate mate recognition promotes avian-perceived plumage sexual dichromatism in true thrushes (genus: Turdus)</t>
  </si>
  <si>
    <t>Ecological conditions limiting the time to find a compatible mate or increasing the difficulty in doing so likely promote the evolution of traits used for species and mate recognition. In addition to interspecific character displacement signalling species identity, intraspecific traits that signal an individual's sex and breeding status reduce the challenge of identifying a compatible conspecific mate and should be more common in migratory rather than sedentary species, species with shorter breeding seasons and species breeding under high sympatry with many closely related heterospecifics. Here, we tested this recognition hypothesis for promoting plumage sexual dichromatism in the true thrushes (Turdus spp.), a large and diverse genus of passerine birds. We used receptor-noise limited models of avian vision to quantify avian-perceived chromatic and achromatic visual contrasts between male and female plumage patches and tested the influence of breeding season length, spatial distribution and sympatry with other Turdus species on plumage dichromatism. As predicted, we found that (1) true thrush species with migratory behaviour have greater plumage sexual dichromatism than non-migratory species, (2) species with longer breeding seasons have less plumage sexual dichromatism, and (3) greater numbers of Turdus thrush species breeding in sympatry is associated with more plumage sexual dichromatism. These results suggest that social recognition systems, including species and mate recognition, play a prominent role in the evolution of plumage sexual dichromatism in true thrushes.</t>
  </si>
  <si>
    <t>Hauber, Mark/0000-0003-2014-4928</t>
  </si>
  <si>
    <t>10.1111/jeb.14089</t>
  </si>
  <si>
    <t>WOS:000863852000001</t>
  </si>
  <si>
    <t>Ruiz-Rodríguez, M; Martín-Vivaldi, M; Avilés, JM</t>
  </si>
  <si>
    <t>Ruiz-Rodriguez, Magdalena; Martin-Vivaldi, Manuel; Aviles, Jesus M.</t>
  </si>
  <si>
    <t>Multi-functional crest display in hoopoes Upupa epops</t>
  </si>
  <si>
    <t>Animals can engage in visual displays, which may target conspecifics, heterospecifics or both. Here we studied the function of the flamboyant crest-raising display of hoopoes Upupa epops in experiments performed with males in captivity. Males were exposed to sounds of a conspecific (male hoopoe song), a potential predator (human voice), and two controls (the song of a blackbird Turdus merula, and background noise). These stimuli were presented to males in the presence and absence of females. Males raised the crest with a significantly higher probability when confronted with stimuli indicating potential threats (rival mate or predator) than with controls. The crest display was frequent when confronted with both kinds of threats independently of the presence of a female, suggesting that it was directed to the predator and the rival male. The probability of raising the crest was not related to body condition, and there was a marginally but not significant negative relationship between probability of raising the crest and the number of black spots on the crest feathers, which may suggest that crest display could be informing about male quality. Therefore, male hoopoes display the crest in a heterospecific context in response to detection of potential threats, which could be a deceptive or pursuit-deterrent signal. The results also support a role of the crest in sexual selection, suggesting that crest display in male hoopoes may serve multiple functions.</t>
  </si>
  <si>
    <t>Martínez, Manuel Martín-Vivaldi/AAJ-6736-2021; Ruiz-Rodríguez, Magdalena/AAZ-6384-2021; Martín-Vivaldi, Manuel/F-8256-2016; Aviles, Jesus/K-3332-2014</t>
  </si>
  <si>
    <t>Martínez, Manuel Martín-Vivaldi/0000-0002-5432-425X; Ruiz-Rodríguez, Magdalena/0000-0002-4202-5180; Martín-Vivaldi, Manuel/0000-0002-5432-425X; Aviles, Jesus/0000-0002-1463-8393</t>
  </si>
  <si>
    <t>10.1111/jav.01402</t>
  </si>
  <si>
    <t>WOS:000416331100009</t>
  </si>
  <si>
    <t>Godfrey, HH; Henmi, Y</t>
  </si>
  <si>
    <t>Godfrey, Hunter Harter; Henmi, Yumi</t>
  </si>
  <si>
    <t>Observations of Agonistic Behavior between Two Male Gobies Acentrogobius virgatulus (Jordan &amp; Snyder, 1901), in Maizuru Bay, Kyoto Prefecture, Japan</t>
  </si>
  <si>
    <t>Acentrogobius virgatulus (Jordan &amp; Snyder, 1901) is a small coastal species of goby found along the Western Pacific. It is commonly found in Maizuru bay along the muddy sediment between the intertidal zone and depths of 10 m. In June and July of 2022, two independent agonistic interactions between male A. virgatulus were observed and recorded during its spawning season. One interaction, lasting over 4 minutes, included certain aggressive behaviors such as jaw locking, mouth gaping, fin extensions, rapid color changes, and fast strikes to the head and body. Another interaction exhibited similar mouth gaping, fin extension, and rapid color changes but did not lead to further escalation. These behaviors coincide with those found in similar species and provides in situ evidence of these uncommon interactions. This is the first record of agonistic behavior by an Acentrogobius species. Accumulating findings such as these can contextualize intraspecific interactions, reveal differences across multiple species, and guide future experiments.</t>
  </si>
  <si>
    <t>Godfrey, Hunter/0000-0002-9776-2858</t>
  </si>
  <si>
    <t>APR 24</t>
  </si>
  <si>
    <t>10.1155/2023/8868453</t>
  </si>
  <si>
    <t>WOS:000982639500001</t>
  </si>
  <si>
    <t>Hausmann, AE; Freire, M; Alfthan, SA; Kuo, CY; Linares, M; McMillan, O; Pardo-Diaz, C; Salazar, C; Merrill, RM</t>
  </si>
  <si>
    <t>Hausmann, Alexander E. E.; Freire, Marilia; Alfthan, Sara A. A.; Kuo, Chi-Yun; Linares, Mauricio; McMillan, Owen; Pardo-Diaz, Carolina; Salazar, Camilo; Merrill, Richard M.</t>
  </si>
  <si>
    <t>Does sexual conflict contribute to the evolution of novel warning patterns?</t>
  </si>
  <si>
    <t>Why warning patterns are so diverse is an enduring evolutionary puzzle. Because predators associate particular patterns with unpleasant experiences, an individual's predation risk should decrease as the local density of its warning pattern increases, promoting pattern monomorphism. Distasteful Heliconius butterflies are known for their diversity of warning patterns. Here, we explore whether interlocus sexual conflict can contribute to their diversification. Male Heliconius use warning patterns as mating cues, but mated females may suffer costs if this leads to disturbance, favouring novel patterns. Using simulations, we show that under our model conditions drift alone is unlikely to cause pattern diversification, but that sexual conflict can assist such a process. We also find that genetic architecture influences the evolution of male preferences, which track changes in warning pattern due to sexual selection. When male attraction imposes costs on females, this affects the speed at which novel pattern alleles increase. In two experiments, females laid fewer eggs with males present. However, although males in one experiment showed less interest in females with manipulated patterns, we found no evidence that female colouration mitigates sex-specific costs. Overall, male attraction to conspecific warning patterns may impose an unrecognized cost on Heliconius females, but further work is required to determine this experimentally.</t>
  </si>
  <si>
    <t>Merrill, Richard/T-9978-2019; Pardo-Diaz, Carolina/C-7936-2016; Salazar, Camilo/A-1647-2010</t>
  </si>
  <si>
    <t>Merrill, Richard/0000-0003-4527-9298; Kuo, Chi-Yun/0000-0002-8533-9358; Salazar, Camilo/0000-0001-9217-6588</t>
  </si>
  <si>
    <t>10.1111/jeb.14151</t>
  </si>
  <si>
    <t>WOS:000922981900001</t>
  </si>
  <si>
    <t>Ulbing, CKS; Muuse, JM; Miner, BE</t>
  </si>
  <si>
    <t>Ulbing, Cynthia K. S.; Muuse, Julia M.; Miner, Brooks E.</t>
  </si>
  <si>
    <t>Melanism protects alpine zooplankton from DNA damage caused by ultraviolet radiation</t>
  </si>
  <si>
    <t>Melanism is widely observed among animals, and is adaptive in various contexts for its thermoregulatory, camouflaging, mate-attraction or photoprotective properties. Many organisms exposed to ultraviolet radiation show increased fitness resulting from melanin pigmentation; this has been assumed to result in part from reduced UV-induced damage to DNA. However, to effectively test the hypothesis that melanin pigmentation reduces UV-induced DNA damage requires quantification of UV-specific DNA damage lesions following UV exposure under controlled conditions using individuals that vary in pigmentation intensity. We accomplished this using alpine genotypes of the freshwater microcrustacean Daphnia melanica, for which we quantified cyclobutane pyrimide dimers in DNA, a damage structure that can only be generated by UV exposure. For genotypes with carapace melanin pigmentation, we found that individuals with greater melanin content sustained lower levels of UV-induced DNA damage. Individuals with more melanin were also more likely to survive exposure to ecologically relevant levels of UV-B radiation. Parallel experiments with conspecific genotypes that lack carapace melanin pigmentation provide additional support for our conclusion that melanism protects individuals from UV-induced DNA damage. Finally, within-genotype comparisons with asexually produced clonal siblings demonstrate that melanin content influences DNA damage even among genetically identical individuals raised in the same environment.</t>
  </si>
  <si>
    <t>Miner, Brooks/AAE-9624-2019</t>
  </si>
  <si>
    <t>Miner, Brooks/0000-0002-6512-6582</t>
  </si>
  <si>
    <t>10.1098/rspb.2019.2075</t>
  </si>
  <si>
    <t>WOS:000504858100018</t>
  </si>
  <si>
    <t>Brando, S; Basom, L; Bashaw, M; Druyor, C; Fonte, E; Thompson, R</t>
  </si>
  <si>
    <t>Brando, Sabrina; Basom, Lillian; Bashaw, Meredith; Druyor, Caitlin; Fonte, Ellen; Thompson, Roger</t>
  </si>
  <si>
    <t>Individualized Target Training Facilitated Transfer of Group Housed Capuchin Monkeys (Sapajus apella) to Test Cubicles and Discrimination of Targets on Computer Touch Screens</t>
  </si>
  <si>
    <t>Simple Summary Coercion and non-voluntary procedures can cause fear, anxiety and maladaptive behaviors for captive animals, which makes animal husbandry and care more difficult and reduces animal welfare overall. Positive reinforcement training (i.e., using rewards for desired behaviors rather than punishment for undesirable behaviors) is shown to be beneficial in reducing animals' fear responses and in encouraging voluntary cooperation across a wide range of species. This paper outlines two experiments in positive reinforcement training to understand the importance of individualized targets in facilitating the voluntary transfer of captive capuchin monkeys (Sapajus apella) from their group enclosure to individual test cubicles. Experiment 1, which assigned different colored and geometric targets to each animal, rewarded animals for touching and following their assigned target into their test cubicle. The animals rapidly acquired the ability to identify their target, ultimately allowing them to cooperate by moving from one space to another voluntarily. Experiment 2 rewarded animals for spontaneously identifying their assigned target among other animals' targets and novel targets. The animals chose their target more often than predicted by chance, although they did make some errors. Animals in captivity often experience fear, anxiety and aggression during non-voluntary procedures, leading to adverse behaviors and ineffective outcomes for both animals and caretakers. Negative reinforcement and punishment, often due to ignorance regarding animal learning, can hurt animal welfare. However, voluntary participation through positive reinforcement training (PRT) can decrease stress related to these procedures and increase desired behaviors. Our goal was to demonstrate the positive effects of target training on animal welfare by training 10 captive capuchin monkeys (Sapajus apella) in two experiments designed to facilitate movement from a group home enclosure to a test cubicle. In Experiment 1, each monkey was assigned an individualized target (a unique shape/color combination). In daily training sessions, the animal was rewarded with a click-sounding stimulus and a food reinforcer for (a) touching the target, (b) following the respective target into a test cubicle, and (c) touching progressively smaller targets until progressing to digitized images on a computer touch screen. All 10 animals learned to approach and touch their individual physical target in one or two sessions and were able to successfully transition this behavior to an image of their target on a touch screen, although they made more errors with the touch screen. In Experiment 2, the animals were presented with other animals' targets and novel targets. The seven animals in this experiment all touched their target at higher-than-chance rates in Trial 1 without explicit discrimination training, but only five reached the learning criteria for the task (&gt;83% correct for three consecutive testing days. These results demonstrate that target training can make voluntary movement from group housing to test cubicles easier and benefit future animal care and procedures.</t>
  </si>
  <si>
    <t>10.3390/ani11072070</t>
  </si>
  <si>
    <t>WOS:000675936800001</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</si>
  <si>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</si>
  <si>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</si>
  <si>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</si>
  <si>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</si>
  <si>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</si>
  <si>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</si>
  <si>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</si>
  <si>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</si>
  <si>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 Warner, Robert/M-5342-2013</t>
  </si>
  <si>
    <t>Schultz, Eric/0000-0003-4086-7883; Warner, Robert/0000-0002-3299-5685</t>
  </si>
  <si>
    <t>10.2307/2409947</t>
  </si>
  <si>
    <t>WOS:A1992JV37100013</t>
  </si>
  <si>
    <t>Witte, K; Hirschler, U; Curio, E</t>
  </si>
  <si>
    <t>Sexual imprinting on a novel adornment influences mate preferences in the Javanese Mannikin Lonchura leucogastroides</t>
  </si>
  <si>
    <t>We investigated whether sexual imprinting on an artificial novel adornment in the Javanese Mannikin Lonchura leucogastroides, a monomorphic estrildid finch, can occur and might provide a mechanism for the evolution of novel traits. We introduced a red feather on the forehead as a novel adornment. Young were raised by parents which were both adorned, which were both unadorned, or only one of which was adorned with the red feather. We tested the female and male offspring of those parents in mate choice tests with an adorned and unadorned conspecific of the opposite sex. Males raised by an adorned mother or adorned parents preferred adorned females significantly more often than males raised by unadorned parents. We conclude that males were sexually imprinted on the red feather. Females raised by an adorned mother or raised by adorned parents significantly preferred adorned males, whereas females raised by unadorned parents showed no preference for adorned males. Thus, females also became imprinted on the red feather. Males might learn the novel adornment in combination with the parent's sex or learn just the most conspicuous sex, whereas females showed a preference for the adornment independent of which sex bore the feather. Our study shows that sexual imprinting might be an effective mechanism for the evolution of a novel trait and that males and females might become imprinted on a novel trait in different ways.</t>
  </si>
  <si>
    <t>10.1046/j.1439-0310.2000.00558.x</t>
  </si>
  <si>
    <t>WOS:000086783400005</t>
  </si>
  <si>
    <t>Ariza-Marín, ER; De Luna, E</t>
  </si>
  <si>
    <t>Ariza-Marin, Edwin R.; De Luna, Efrain</t>
  </si>
  <si>
    <t>Morphometric analyses of sexual dimorphism in sound-emitting structures in adults of the bess beetle Vindex agnoscendus (Coleoptera: Passalidae)</t>
  </si>
  <si>
    <t>In insects, the sexually dimorphic body size, color, and horns are very conspicuous. Other not so obvious characteristics, such as behavioral traits related to reproduction, are also dimorphic (courtship dances and sounds). Among these, the stridulation, stridulatory apparatus, and hearing systems could also be different between sexes. Passalids are subsocial beetles with acoustic communication in the interactions of larvae-adult and adult-adult. Most of the species do not have morphological traits with sexual dimorphism, but sounds are dimorphic under reproductive and aggression contexts. We studied sexual dimorphism in the stridulation organs (plectrum) in Vindex agnoscendus (Percheron) as an important step towards understanding its functioning. We acquired SEM micrographs of the plectrum for 14 specimens per sex, for measuring size, density and shape of the spines. We performed traditional and geometric morphometric analyses to test for sexual differences in the spines of three zones (Z1-Z3) of the plectrum. Allometric analyses showed spine variation is not related to body size in either sex. Our univariate and multivariate analyses uncovered sexual dimorphism in spine size (length and width of spines), spine density (distance between spines and number of spines), and spine shape (landmark coordinates). Spines were wider in males than in females in the apical zone (Z1). The spines were further apart in females than in males in two zones (Z1, Z2) and the spine numbers were higher in females than in males in the apical zone (Z1). The shape of spines was different between sexes in two zones (Z1, Z2). Moreover, our disparity analyses showed different variability patterns in size and density of spines. Variability of spine shape was similar between sexes, and variability of spine density was higher in females than in males, while for spine size it was higher in males than in females. These findings for the plectrum suggest further research for sexual dimorphism in the pars stridens and acoustic signals, and for the possible roles of natural and sexual selection in the patterns of variability of spines.</t>
  </si>
  <si>
    <t>Ariza-Marín, Edwin Rafael/ABA-3812-2020; De Luna, Efrain/Q-8127-2018</t>
  </si>
  <si>
    <t>Ariza-Marín, Edwin Rafael/0000-0001-9469-6034; De Luna, Efrain/0000-0002-6198-3501</t>
  </si>
  <si>
    <t>10.1016/j.zool.2021.125992</t>
  </si>
  <si>
    <t>WOS:000776690400002</t>
  </si>
  <si>
    <t>Bunlungsup, S; Kanthaswamy, S; Oldt, RF; Smith, DG; Houghton, P; Hamada, Y; Malaivijitnond, S</t>
  </si>
  <si>
    <t>Bunlungsup, Srichan; Kanthaswamy, Sree; Oldt, Robert F.; Smith, David Glenn; Houghton, Paul; Hamada, Yuzuru; Malaivijitnond, Suchinda</t>
  </si>
  <si>
    <t>Genetic analysis of samples from wild populations opens new perspectives on hybridization between long-tailed (Macaca fascicularis) and rhesus macaques (Macaca mulatta)</t>
  </si>
  <si>
    <t>In the past decade, many researchers have published papers about hybridization between long-tailed and rhesus macaques. These previous works have proposed unidirectional gene flow with the Isthmus of Kra as the zoogeographical barrier of hybridization. However, these reports analyzed specimens of unknown origin and/or did not include specimens from Thailand, the center of the proposed area of hybridization. Collected specimens of long-tailed and rhesus macaques representing all suspected hybridization areas were examined. Blood samples from four populations each of long-tailed and rhesus macaques inhabiting Thailand, Myanmar, and Laos were collected and analyzed with conspecific references from China (for rhesus macaques) and multiple countries from Sundaic regions (for long-tailed macaques). Ninety-six single nucleotide polymorphism (SNP) markers specifically designed to interrogate admixture and ancestry were used in genotyping. We found genetic admixture maximized at the hybrid zone (15-20 degrees N), as well as admixture signals of varying strength in both directions outside of the hybrid zone. These findings show that the Isthmus of Kra is not a barrier to gene flow from rhesus to long-tailed populations. However, to precisely identify a southernmost barrier, if in fact a boundary rather than simple isolation by distance exists, the samples from peninsular Malaysia must be included in the analysis. Additionally, a long-tailed to rhesus gene flow boundary was found between northern Thailand and Myanmar. Our results suggest that selection of long-tailed and rhesus macaques, the two most commonly used non-human primates for biomedical research, should take into account not only the species identification but also the origin of and genetic admixture within and between the species.</t>
  </si>
  <si>
    <t>Smith, David/GQQ-8257-2022</t>
  </si>
  <si>
    <t>e22726</t>
  </si>
  <si>
    <t>10.1002/ajp.22726</t>
  </si>
  <si>
    <t>WOS:000417173400004</t>
  </si>
  <si>
    <t>Carr, JM; Golinski, JE</t>
  </si>
  <si>
    <t>Carr, Jennie M.; Golinski, Julianne E.</t>
  </si>
  <si>
    <t>Vigilance behaviors of Ruby-throated Hummingbirds (Archilochus colubris) reflect elevated risk of competitive interactions with vespine wasps</t>
  </si>
  <si>
    <t>Interactions between hummingbirds and potentially dangerous or aggressive insects at shared food sources may result in interference competition and risk-avoidance behaviors. To examine the potential interplay between perceived risk and interference competition, we observed the vigilance behaviors of Ruby-throated Hummingbirds (Archilochus colubris) foraging at artificial feeders with and without visual obstruction in the presence and absence of 3 species of wasp (Hymenoptera: Vespidae: Vespinae). Hummingbirds withdrew their bills from the visually obstructed feeder more rapidly than when feeding with a clear view of the surroundings. Wasps caused hummingbirds to spend a greater proportion of their visit vigilant, an effect positively correlated with the number of wasps at the feeding station. Aggressive competitive interactions at feeders were asymmetric. Hummingbirds avoided feeders with wasps and switched between available feeders more often and were never observed pursuing wasps away from the feeder. Instead, hummingbirds were chased by wasps or avoided foraging from feeders when wasps were present. Changes in hummingbird vigilance patterns in response to wasp aggression match those of other avian species whose antipredator vigilance patterns have been thoroughly examined. Thus, although interference competition inevitably occurs, vigilance patterns suggest that hummingbirds do perceive wasps as a potential threat and not solely as competitors.</t>
  </si>
  <si>
    <t>10.1676/1559-4491-132.2.295</t>
  </si>
  <si>
    <t>WOS:000617763600006</t>
  </si>
  <si>
    <t>Röll, B; Sanchez, M; Gippner, S; Bauer, AM; Travers, SL; Glaw, F; Hawlitschek, O; Vences, M</t>
  </si>
  <si>
    <t>Roell, Beate; Sanchez, Mickael; Gippner, Sven; Bauer, Aaron M.; Travers, Scott L.; Glaw, Frank; Hawlitschek, Oliver; Vences, Miguel</t>
  </si>
  <si>
    <t>Phylogeny of dwarf geckos of the genus Lygodactylus (Gekkonidae) in the Western Indian Ocean</t>
  </si>
  <si>
    <t>Diurnal dwarf geckos of the genus Lygodactylus are distributed in tropical and subtropical regions and live in highly diverse habitats. The genus currently comprises 79 species and several candidates for new species or subspecies. Most of these taxa occur in Sub-Saharan Africa and Madagascar, with only two described species in South America. Although the main center of diversity of Lygodactylus currently is Africa, the genus probably has a Malagasy origin, followed by two or three independent transoceanic dispersal events between Madagascar and Africa and one trans-Atlantic dispersal from Africa to South America. A few species colonised islands in the Western Indian Ocean belonging to the Zanzibar Archipelago and to the iles eparses. Here we examined L. grotei pakenhami from Pemba Island, L. insularis from Juan de Nova, and L. verticillatus from Europa Island to clarify their taxonomic status and their origin. Concerning L. grotei pakenhami and L. insularis, preceding studies pointed to a relation to species of the African L. capensis group. In contrast, L. verticillatus on Europa Island is considered to be conspecific with Malagasy populations. Therefore, we conducted a phylogenetic study of the African L. capensis group and the Malagasy L. verticillatus group, and examined color pattern, selected morphological characters and two mitochondrial markers (ND2 for African and 16S rRNA for Malagasy Lygodactylus). Lygodactylus grotei pakenhami from Pemba and L. grotei from mainland Africa cannot be distinguished by their scalation, but their reciprocal monophyly suggested by mitochondrial DNA, conspicuously different coloration (both in adults and hatchlings) and their high genetic distances (16.3% in ND2) support the hypothesis that these taxa represent two distinct species. Consequently, we elevate L. grotei pakenhami to species level, as Lygodactylus pakenhami Loveridge, 1941. Lygodactylus pakenhami is endemic to Pemba Island which was possibly separated from the African mainland during the late Miocene or Early Pliocene (6 million years ago). The simplest explanation for the existence of L. pakenhami on Pemba is vicariance. A recent, human-mediated transportation is excluded, as the molecular data clearly indicate a longer period of isolation. Lygodactylus insularis has been supposed to be related to the taxa 'capensis' or 'grotei'. However, it is impossible to discern the relationship of L. insularis, L. capensis and L. grotei by means of scalation or coloration alone. Our molecular phylogenetic analyses reveal that L. insularis is embedded within the L. capensis group, clearly indicating its African origin. The single gene (ND2) as well as the multigene analyses fully support a closer common origin of L. insularis and L. capensis than of L. insularis and L. grotei. However, the position of L. insularis within the clade formed by L. insularis, L. nyaneka, L. capensis sensu stricto and six L. aff. capensis groups is not clearly resolved. Lygodactylus insularis is endemic on Juan de Nova Island, an old low elevation atoll. That all L. insularis mitochondrial sequences are very similar to each other and together form a monophyletic lineage is in agreement with the hypothesis of a single dispersal event to the island. For the L. verticillatus population from Europa Island our mitochondrial data suggest close relationships to conspecific samples from the coastal regions of south-western Madagascar. As we found no relevant morphological or genetic differences between the insular and the Malagasy populations of L. verticillatus, and no remarkable genetic variation within the monophyletic lineage on Europa, we suggest a single, very recent dispersal event, perhaps human-mediated. Although the genus Lygodactylus colonised Africa, islands in the Gulf of Guinea, South America and some islands in the Western Indian Ocean, it seems-compared to other lizard genera-to be only moderately successful in transoceanic long-distance dispersal.</t>
  </si>
  <si>
    <t>Gippner, Sven/KZU-6135-2024; Vences, Miguel/E-5573-2010</t>
  </si>
  <si>
    <t>Gippner, Sven/0000-0003-2621-1001; Travers, Scott/0000-0003-4656-4613; Bauer, Aaron/0000-0001-6839-8025; Sanchez, Mickael/0000-0001-5137-9629</t>
  </si>
  <si>
    <t>JUN 29</t>
  </si>
  <si>
    <t>10.11646/zootaxa.5311.2.4</t>
  </si>
  <si>
    <t>WOS:001030714500003</t>
  </si>
  <si>
    <t>Kirby, AV; Bilder, DA; Wiggins, LD; Hughes, MM; Davis, J; Hall-Lande, JA; Lee, LC; McMahon, WM; Bakian, A</t>
  </si>
  <si>
    <t>Kirby, Anne, V; Bilder, Deborah A.; Wiggins, Lisa D.; Hughes, Michelle M.; Davis, John; Hall-Lande, Jennifer A.; Lee, Li-Ching; McMahon, William M.; Bakian, Amanda, V</t>
  </si>
  <si>
    <t>Sensory features in autism: Findings from a large population-based surveillance system</t>
  </si>
  <si>
    <t>AUTISM RESEARCH</t>
  </si>
  <si>
    <t>Sensory features (i.e., atypical responses to sensory stimuli) are included in the current diagnostic criteria for autism spectrum disorder. Yet, large population-based studies have not examined these features. This study aimed to determine the prevalence of sensory features among autistic children, and examine associations between sensory features, demographics, and co-occurring problems in other areas. Analysis for this study included a sample comprised of 25,627 four- or eight-year-old autistic children identified through the multistate Autism and Developmental Disabilities Monitoring Network (2006-2014). We calculated the prevalence of sensory features and applied multilevel logistic regression modeling. The majority (74%; 95% confidence interval: 73.5%-74.5%) of the children studied had documented sensory features. In a multivariable model, children who were male and those whose mothers had more years of education had higher odds of documented sensory features. Children from several racial and ethnic minority groups had lower odds of documented sensory features than White, non-Hispanic children. Cognitive problems were not significantly related to sensory features. Problems related to adaptive behavior, emotional states, aggression, attention, fear, motor development, eating, and sleeping were associated with higher odds of having documented sensory features. Results from a large, population-based sample indicate a high prevalence of sensory features in autistic children, as well as relationships between sensory features and co-occurring problems. This study also pointed to potential disparities in the identification of sensory features, which should be examined in future research. Disparities should also be considered clinically to avoid reduced access to supports for sensory features and related functional problems. Lay Summary In a large, population-based sample of 25,627 autistic children, 74% had documented differences in how they respond to sensation. We also identified significant associations of sensory features with adaptive behavior and problems in other domains. Sensory features were less common among girls, children of color, and children of mothers with fewer years of education, suggesting potential disparities in identification.</t>
  </si>
  <si>
    <t>Davis, John Lockett/JOK-2336-2023; Hughes, Michelle/H-8604-2019; Hughes, Michelle/AHC-5043-2022</t>
  </si>
  <si>
    <t>Davis, John Lockett/0000-0002-4394-2503; Hughes, Michelle/0000-0002-4436-2236; Kirby, Anne/0000-0003-0395-6684</t>
  </si>
  <si>
    <t>1939-3792</t>
  </si>
  <si>
    <t>1939-3806</t>
  </si>
  <si>
    <t>10.1002/aur.2670</t>
  </si>
  <si>
    <t>WOS:000743515200001</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</si>
  <si>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</si>
  <si>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</si>
  <si>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</si>
  <si>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</si>
  <si>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</si>
  <si>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</si>
  <si>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</si>
  <si>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</si>
  <si>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</si>
  <si>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</si>
  <si>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José/AAV-1687-2020</t>
  </si>
  <si>
    <t>10.1007/s002650050299</t>
  </si>
  <si>
    <t>WOS:A1996VW21300009</t>
  </si>
  <si>
    <t>MAGURRAN, AE; SEGHERS, BH; CARVALHO, GR; SHAW, PW</t>
  </si>
  <si>
    <t>EVOLUTION OF ADAPTIVE VARIATION IN ANTIPREDATOR BEHAVIOR</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</si>
  <si>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</si>
  <si>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</si>
  <si>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</si>
  <si>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</si>
  <si>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</si>
  <si>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</si>
  <si>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10.1080/10236249309378855</t>
  </si>
  <si>
    <t>WOS:A1993MN22500006</t>
  </si>
  <si>
    <t>Jolly, MT; Rogers, AD; Sheader, M</t>
  </si>
  <si>
    <t>Microgeographic genetic variation of populations of Idotea chelipes (Crustacea: Isopoda) in lagoons of the southern English coast.</t>
  </si>
  <si>
    <t>CAHIERS DE BIOLOGIE MARINE</t>
  </si>
  <si>
    <t>Allozyme variability was examined using starch-gel electrophoresis between sub-populations of Idotea chelipes over a small geographic distance (approx. 104 km), in lagoons within the Solent area (Fort Gilkicker Moat; Ashlett Pond) and at one site in Dorset (the Fleet Lagoon). Genetic identity values indicate that all three populations are conspecific (I = 0.967 to 0.995), and mean heterozygosity per locus for all three populations was 8%. Significant levels of genetic differentiation (mean F-ST = 0.119***; p &lt; 0.001) were detected over this small spatial scale, but this mainly resulted from the slow esterase locus (mean F-ST (no esterase) = 0.072***; p &lt; 0.001). Genetic differentiation was moderate given the low geographic distances between populations with only one to two migrants per deme per generation (N(e)m(F-ST) = 1.85) from the Fleet to Gilkicker. There was no significant deviation from the genotypes expected under the Hardy-Weinberg equilibrium despite an overall slight excess of heterozygotes (mean F-IS = -0.01). Pairwise F-ST values indicated that there was limited genetically effective migration between the sampled lagoons. This genetic differentiation may have been promoted by the presence of the Southampton Water and Solent estuarine system that may act as a physical barrier to gene flow for this species. The previous use of the esterase (ET2) locus as a sub-specific biochemical marker for Idotea chelipes is placed in doubt by this study.</t>
  </si>
  <si>
    <t>Rogers, Alex David/0000-0002-4864-2980</t>
  </si>
  <si>
    <t>0007-9723</t>
  </si>
  <si>
    <t>WOS:000188352000002</t>
  </si>
  <si>
    <t>Shulman, MJ</t>
  </si>
  <si>
    <t>Shulman, M. J.</t>
  </si>
  <si>
    <t>Echinometra sea urchins on Caribbean coral reefs: Diel and lunar cycles of movement and feeding, densities, and morphology</t>
  </si>
  <si>
    <t>Two species of Echinometra are found on tropical western Atlantic reefs. E. viridis and E. lucunter. Both are grazers and bioeroders, and on some disturbed reefs E. viridis has become the dominant herbivore, particularly since the disease-caused decline of the much larger echinoid Diadema antillarum. Thus, it is critical to understand factors affecting herbivory by Echinometra, including foraging behaviors and distances, did and lunar cycles of foraging, and densities of Echinometra, particularly E. viridis, across habitats and locations. Twenty-four hour tracking studies undertaken in the San Blas Islands of Panama, conducted at different times in the lunar cycle, revealed that on new moons both species of Echinometra primarily moved and fed at night, but the pattern reversed on full moons. These data suggest that vulnerability to predators and/or aggression by damselfishes during the night on full moons may be a significant selective force affecting did foraging behavior. Daily distances moved (minimum estimate) averaged 19 cm for E. viridis and 11 cm for E. lucunter. The average foraging range for E. viridis was estimated to be 0.3-5% the size of that of D. antillarum, while per capita daily algal consumption by E. viridis is 20% that of D. antillarum.These results suggest more intense, localized grazing by E. viridis compared to D. antillarum. A review of published densities of E. viridis show that 50% of studied sites (location/habitat combination) have densities less than 5 m(-2), a level unlikely to produce a strong herbivory effect. Densities greater than 15 m(-2) were found at 25% of sites, including the San Blas Islands, Panama patch reefs in this study, which averaged 26 m(-2). Where high densities are combined with low predator numbers due to fishing, E. viridis can have strong direct effects on algal assemblages, with potential indirect effects on corals and other benthic invertebrates. However, available published data indicate E. viridis has strong regional variation in abundance, as yet unexplained, that limits its potential Caribbean-wide role as a reef herbivore. Morphological traits of E. viridis that are likely related to vulnerability to predation varied across habitats. A newly-described melanic color morph comprised 4-16% of the population, with significant variation in frequency across habitat types. Body sizes (test diameter) also varied among habitats, with larger individuals much more common in habitats with fewer shelter sites. Similarly, in habitats offering less protection from predators, spine lengths were longer relative to test diameter. Morphological traits that reduce predator detection or vulnerability to predation, as well as the refuges afforded by habitat, will ultimately affect both the number of E. viridis on a particular reef and their ability to forage in the presence of predators.</t>
  </si>
  <si>
    <t>10.1016/j.jembe.2020.151430</t>
  </si>
  <si>
    <t>WOS:000562582100021</t>
  </si>
  <si>
    <t>Bischoff, M; Campbell, DR; Lord, JM; Robertson, AW</t>
  </si>
  <si>
    <t>Bischoff, Mascha; Campbell, Diane R.; Lord, Janice M.; Robertson, Alastair W.</t>
  </si>
  <si>
    <t>The relative importance of solitary bees and syrphid flies as pollinators of two outcrossing plant species in the New Zealand alpine</t>
  </si>
  <si>
    <t>Pollinators vary in their relative contribution to the conspecific pollen deposited onto receptive stigmas, because of variation in both visitation rate and effectiveness of pollen transfer. Syrphid flies and short-tongued solitary bees are common flower visitors in alpine New Zealand, yet their relative importance as pollinators is unknown. We measured pollinator performance of the New Zealand alpine endemics Hylaeus matamoko (Hymenoptera: Colletidae) and Allograpta spp. (Diptera: Syrphidae) on two New Zealand alpine herbs, Ourisia glandulosa (Plantaginaceae) and Wahlenbergia albomarginata (Campanulaceae). Ourisia glandulosa received visits by solitary bees and syrphid flies at equal frequencies, whereas W.albomarginata was mostly visited by H.matamoko. Based on single-visit pollen deposition to virgin stigmas, H.matamoko was a much more effective pollinator than Allograpta spp., delivering 10 times as much pollen per visit to O.glandulosa stigmas and 3 times as much to W.albomarginata stigmas. By multiplying visitation frequency by single-visit pollen deposition, we estimated that H.matamoko performed 90% and 95% of the pollination of O.glandulosa and W.albomarginata, respectively. Although H.matamoko bees are short-tongued and small in size, they are critically important to plant reproductive success in the New Zealand alpine. These bees contributed most of the pollination, even to a species that received just as many visits by flies, underscoring the need to consider per-visit effectiveness as well as visitation rate in assessing the importance of different pollinators.</t>
  </si>
  <si>
    <t>Robertson, Alastair W/A-7808-2008; Lord, Janice Marjorie/A-8869-2012; Campbell, Diane/A-1653-2012</t>
  </si>
  <si>
    <t>Robertson, Alastair W/0000-0001-6894-2158; Lord, Janice Marjorie/0000-0001-8314-0428; Campbell, Diane/0000-0002-1147-846X</t>
  </si>
  <si>
    <t>10.1111/j.1442-9993.2012.02389.x</t>
  </si>
  <si>
    <t>WOS:000316623400006</t>
  </si>
  <si>
    <t>Batista, A; Hertz, A; Köhler, G; Mebert, K; Vesely, M</t>
  </si>
  <si>
    <t>Batista, Abel; Hertz, Andreas; Koehler, Gunther; Mebert, Konrad; Vesely, Milan</t>
  </si>
  <si>
    <t>Morphological variation and phylogeography of frogs related to Pristimantis caryophyllaceus (Anura: Terrarana: Craugastoridae) in Panama</t>
  </si>
  <si>
    <t>New World direct-developing frogs (Terrarana) are among the most diverse vertebrate groups in the world. Many Terrarana species are highly variable in colouration and morphology, often rendering it difficult to delineate species. Modern molecular and bioacoustic techniques are a relatively recent tool for understanding the various taxonomic entities. This affects also Pristimantis caryophyllaceus, a complex on which. little research has previously been done. We examined the variation of morphology genetics, and colouration in specimens affiliated to P. caryophyllaceus from Panama, using different Molecular Operational Taxonomic Units (MOTUs) based on molecular phylogenetic lineages. Phylogeny, ecology, and distributional information for this species shed light on the position and species delineation of P. caryophyllaceus and its congeners in Panama. Our results demonstrate a high level of genetic diversity in P caryophyllaceus-like populations from Panama, which in fact comprise three main lineages that are geographically separated. Specimens from eastern Panama tend to be larger, with more expanded finger disks and toe pads than specimens from western Panama. However, aside from the significant morphological differences between MOTUs, the extent of variation within each MOTU is very large. Based on our extensive and integrative analysis, we suggest treating the three MOTUs of P. caryophyllaceus populations as a single polymorphic species with very deep conspecific lineages as a result of the dynamic geological history of the Isthmus of Panama. The validity of the recently described P. educatoris is not supported by our results and we therefore synonymize it with P. caryophyllaceus.</t>
  </si>
  <si>
    <t>Batista, Abel/S-2610-2019; Hertz, Andreas/ABA-1277-2020; Mebert, Konrad/H-7419-2016</t>
  </si>
  <si>
    <t>Batista, Abel/0000-0001-8053-3373; Hertz, Andreas/0000-0003-1128-6684; Mebert, Konrad/0000-0003-4892-2912; Vesely, Milan/0000-0001-6315-8583</t>
  </si>
  <si>
    <t>OCT 30</t>
  </si>
  <si>
    <t>WOS:000344312600005</t>
  </si>
  <si>
    <t>Schama, R; Solé-Cava, AM; Thorpe, JP</t>
  </si>
  <si>
    <t>Genetic divergence between east and west Atlantic populations of Actinia spp. sea anemones (Cnidaria: Actiniidae)</t>
  </si>
  <si>
    <t>The sea anemone Actinia equina was considered a highly variable species with a wide geographical distribution, but molecular systematic studies have shown that this wide distribution may be the result of the lumping of cryptic species. In this work enzyme electrophoresis was used to analyse the genetic variability of A. equina from the Atlantic coasts of Europe and Africa, as well as the relationships between those populations and other species of the genus. Samples of A. equina from the United Kingdom and France were compared with supposedly conspecific populations from South Africa and a recently described species from Madeira, Actinia nigropunctata. The South African and Madeiran populations were genetically very divergent from each other (genetic identity, I=0.15), as well as from the A. equina population from the United Kingdom and from the other species studied (I between 0.23 and 0.78), indicating that the African population of A. equina belongs to a different species. High genetic similarities were found between west Atlantic A. bermudensis and east Atlantic A. sali, in spite of the great geographical distance between them, and between the European A. equina and A. prasina. The results confirm the presence of the new species A. nigropunctata from Madeira and suggest a new species within the A. equina species group, from South Africa.</t>
  </si>
  <si>
    <t>Schama, Renata/E-1855-2013; Sole-Cava, Antonio/G-4209-2011</t>
  </si>
  <si>
    <t>Schama, Renata/0000-0003-1978-3757; Sole-Cava, Antonio/0000-0003-0363-5821</t>
  </si>
  <si>
    <t>10.1007/s00227-004-1462-z</t>
  </si>
  <si>
    <t>WOS:000226810300002</t>
  </si>
  <si>
    <t>Rahman, MA; Uehara, T</t>
  </si>
  <si>
    <t>Interspecific hybridization and backcrosses between two sibling species of Pacific sea urchins (Genus Echinometra) on Okinawan Intertidal Reefs</t>
  </si>
  <si>
    <t>Interspecific hybridization and backcrosses between two sibling species of Pacific sea urchins (genus Echinometra) on Okinawan Intertidal Reefs. Zoological Studies 43(1): 93-111. Four genetically divergent Pacific sea urchins belonging to the genus Echinometra occur sympatrically and abundantly along the coast of Okinawa Island. Among them, the 2 most distinct species, Echinometra mathaei (Em) and Echinometra sp. C (Ec), were examined for potential hybridization. A series of cross-fertilization experiments was conducted, and the resulting hybrids were reared. The percentage of successful heterogametic fertilization was high when egg of Ec and sperm of Em were involved, whereas it was significantly lower with eggs of Em and sperm of Ec, even at higher concentrations of sperm, suggesting that gamete incompatibility may be a prezygotic barrier that at least partially maintains reproductive isolation. Moreover, different exposure times of eggs and sperm showed that conspecific crosses reached asymptotic fertilization much sooner than did heterospecific crosses, indicating that affinity of the Em's sperm to its egg during fertilization is higher than that of Ec. Hybrids from both crosses developed normally through the larval and juvenile stages to sexually mature adults. In adults, Em x Em crosses produced the largest values of live weight, followed by Ec (ova) x Em (sperm), Em (ova) x Ec (sperm), and Ec x Ec in that order. Other indicators of growth performance such as metamorphosis, survival, and recovery of hybrids and their conspecifics also followed the same trends as live weight. Phenotypic color patterns of the hybrids were closer to the maternal coloration, whereas other characters such as test size, spine length, morphology of tubefeet and gonad spicules, pedicellaria valve length, and gamete sizes were intermediate. Fertilization rates as well as larval and juvenile performances from backcrosses using the gametes of F, progeny were high, eliminating the possibility that hybrid inviability is a postzygotic mechanism of reproductive isolation. On the other hand, intensive surveys by our team and other colleagues have failed to find individuals with such hybrid characteristics in the field, suggesting a lack of natural hybridization between the 2 species despite their physiological potential for hybridization. This strongly suggests that Em and Ec have been able to maintain their genetic distinctness due to the presence of some sort of prezygotic isolating mechanism(s) (e.g., habitat segregation, gametic incompatibility, gamete competition, and probably gamete aging) between them.</t>
  </si>
  <si>
    <t>WOS:000189267400008</t>
  </si>
  <si>
    <t>Cavagnaro, J; Ossip-Drahos, AG; Martins, EP</t>
  </si>
  <si>
    <t>Cavagnaro, John; Ossip-Drahos, Alison G.; Martins, Emilia P.</t>
  </si>
  <si>
    <t>Fashion or function? Relaxed selection and stasis are key features of the evolution of stripes, bands and collars in Sceloporus lizards (Squamata: Phrynosomatidae)</t>
  </si>
  <si>
    <t>Dorsal markings are common, and can function in predator evasion, as sexual signals, or be the remnants of developmental or physiological processes. We used phylogenetic comparative analyses to test whether black dorsal markings (stripes, bands or collars) on Sceloporus lizards reflect responses to different selective pressures over evolutionary time, or whether these markings have been linked in an integrated phenotype. We found that longitudinal striping evolved in small-bodied, terrestrial and egg-laying species, consistent with an antipredator function, especially when sexual selection was weak. Transverse bands evolved more slowly, and primarily in arboreal species, where they may enhance crypsis. Evolutionary shifts in collars were strongly linked to sexual size dimorphism, suggesting a function as sexual signals, and were tightly linked to parity mode. In two viviparous lineages, collars have been retained without loss for more than 12 Myr. Future studies are needed to determine whether this stasis is due to hormone transfer between females and their offspring or to other underlying physiological mechanisms. Our findings emphasize relaxed selection and stasis as important forces shaping the evolution of animal colours and signals.</t>
  </si>
  <si>
    <t>10.1093/biolinnean/blad051</t>
  </si>
  <si>
    <t>WOS:001004104800001</t>
  </si>
  <si>
    <t>Romero-González, JE; Royka, AL; MaBouDi, H; Solvi, C; Seppänen, JT; Loukola, OJ</t>
  </si>
  <si>
    <t>Romero-Gonzalez, Jose E.; Royka, Amanda L.; MaBouDi, HaDi; Solvi, Cwyn; Seppanen, Janne-Tuomas; Loukola, Olli J.</t>
  </si>
  <si>
    <t>Foraging Bumblebees Selectively Attend to Other Types of Bees Based on Their Reward-Predictive Value</t>
  </si>
  <si>
    <t>Simple Summary Social information use is a widespread phenomenon in animals affecting various important aspects of behavior. Animals observe and copy the behavioral patterns of conspecifics and other species on the same trophic level in their own decision-making. Copying others is adaptive only when it is selective, otherwise running the risk of copying bad behavior. Thus, it would be important to know when and which individuals should be copied. We showed that bumblebees Bombus terrestris learn to attend to specific types of bees based on their learned value as information-providers about reward. Learned information was transferred across foraging contexts, representing a useful pathway for bees to acquire relevant information about unfamiliar floral resources that goes beyond conspecific social information use, extending to heterospecifics. Our findings indicate that the transmission of social information across species can be highly selective in response to learned value of the information provider, plausibly making the phenomenon adaptive. Using social information can be an efficient strategy for learning in a new environment while reducing the risks associated with trial-and-error learning. Whereas social information from conspecifics has long been assumed to be preferentially attended by animals, heterospecifics can also provide relevant information. Because different species may vary in their informative value, using heterospecific social information indiscriminately can be ineffective and even detrimental. Here, we evaluated how selective use of social information might arise at a proximate level in bumblebees (Bombus terrestris) as a result of experience with demonstrators differing in their visual appearance and in their informative value as reward predictors. Bumblebees were first trained to discriminate rewarding from unrewarding flowers based on which type of heterospecific (one of two differently painted model bees) was next to each flower. Subsequently, these bumblebees were exposed to a novel foraging context with two live painted bees. In this novel context, observer bumblebees showed significantly more social information-seeking behavior towards the type of bees that had predicted reward during training. Bumblebees were not attracted by paint-marked small wooden balls (moved via magnets) or paint-marked non-pollinating heterospecifics (woodlice; Porcellio laevis) in the novel context, indicating that bees did not simply respond to conditioned color cues nor to irrelevant social cues, but rather had a search image of what previously constituted a valuable, versus invaluable, information provider. The behavior of our bumblebees suggests that their use of social information is governed by learning, is selective, and extends beyond conspecifics.</t>
  </si>
  <si>
    <t>MaBouDi, HaDi/AAX-6294-2020</t>
  </si>
  <si>
    <t>MaBouDi, HaDi/0000-0002-7612-6465; Loukola, Olli/0000-0002-9094-2004; Solvi, Cwyn/0000-0003-2517-6179; Seppanen, Janne-Tuomas/0000-0002-5132-6268</t>
  </si>
  <si>
    <t>10.3390/insects11110800</t>
  </si>
  <si>
    <t>WOS:000593180700001</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</si>
  <si>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</si>
  <si>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</si>
  <si>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</si>
  <si>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</si>
  <si>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</si>
  <si>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</si>
  <si>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Besnier, F; Glover, KA; Lien, S; Kent, M; Hansen, MM; Shen, X; Skaala, O</t>
  </si>
  <si>
    <t>Besnier, F.; Glover, K. A.; Lien, S.; Kent, M.; Hansen, M. M.; Shen, X.; Skaala, O.</t>
  </si>
  <si>
    <t>Identification of quantitative genetic components of fitness variation in farmed, hybrid and native salmon in the wild</t>
  </si>
  <si>
    <t>Feral animals represent an important problem in many ecosystems due to interbreeding with wild conspecifics. Hybrid offspring from wild and domestic parents are often less adapted to local environment and ultimately, can reduce the fitness of the native population. This problem is an important concern in Norway, where each year, hundreds of thousands of farm Atlantic salmon escape from fish farms. Feral fish outnumber wild populations, leading to a possible loss of local adaptive genetic variation and erosion of genetic structure in wild populations. Studying the genetic factors underlying relative performance between wild and domesticated conspecific can help to better understand how domestication modifies the genetic background of populations, and how it may alter their ability to adapt to the natural environment. Here, based upon a large-scale release of wild, farm and wild x farm salmon crosses into a natural river system, a genome-wide quantitative trait locus (QTL) scan was performed on the offspring of 50 full-sib families, for traits related to fitness (length, weight, condition factor and survival). Six QTLs were detected as significant contributors to the phenotypic variation of the first three traits, explaining collectively between 9.8 and 14.8% of the phenotypic variation. The seventh QTL had a significant contribution to the variation in survival, and is regarded as a key factor to understand the fitness variability observed among salmon in the river. Interestingly, strong allelic correlation within one of the QTL regions in farmed salmon might reflect a recent selective sweep due to artificial selection.</t>
  </si>
  <si>
    <t>Hansen, Michael/I-5979-2013; Shen, Xia/AAO-4233-2020; Hansen, Michael M./Z-5047-2019</t>
  </si>
  <si>
    <t>Hansen, Michael/0000-0001-5372-4828; Shen, Xia/0000-0003-4390-1979; Hansen, Michael M./0000-0001-5372-4828</t>
  </si>
  <si>
    <t>10.1038/hdy.2015.15</t>
  </si>
  <si>
    <t>WOS:000356024900007</t>
  </si>
  <si>
    <t>Williams, PH; Berezin, MV; Cannings, SG; Cederberg, B; Odegaard, F; Rasmussen, C; Richardson, LL; Rykken, J; Sheffield, CS; Thanoosing, C; Byvaltsev, AM</t>
  </si>
  <si>
    <t>Williams, Paul H.; Berezin, Mikhail V.; Cannings, Sydney G.; Cederberg, Bjorn; Odegaard, Frode; Rasmussen, Claus; Richardson, Leif L.; Rykken, Jessica; Sheffield, Cory S.; Thanoosing, Chawatat; Byvaltsev, Alexandr M.</t>
  </si>
  <si>
    <t>The arctic and alpine bumblebees of the subgenus Alpinobombus revised from integrative assessment of species' gene coalescents and morphology (Hymenoptera, Apidae, Bombus)</t>
  </si>
  <si>
    <t>The bumblebees of the subgenus Alpinobombus of the genus Bombus are unusual among bees for specialising in many of the most northerly vegetated arctic habitats on Earth. Most named taxa in this group (37 available names from a total of 67 names) were described originally from differences in the colour patterns of the hair. Previous revisions have shown unusually little agreement, recognising a range of 6.9 species, in part because of pronounced intraspecific variation in both skeletal morphology and in the colour patterns of the hair. Here we examine variation among 4622 specimens from throughout the group's global range. Bayesian inference of the gene tree for the fast evolving mitochondrial COI gene combined with Poisson-tree-process analysis of this tree shows support for 10 gene lineages as candidates for being putative species lineages. Integrative assessment shows that the interpretation of these results is not straightforward. Evidence from the fast evolving mitochondrial 16S ribosomal RNA gene supports two of the COI gene alleles (from the samples B. kluanensis s. str. and 'unnamed2') as being associated with just one 16S allele. Double COI bands on the PCR gels for these individuals and double peaks on sequence traces (in one case with both COI alleles sequenced from one individual) identifies this as a likely case of COI paralogy that has resulted in mitochondrial heteroplasmy. Evidence from morphology also supports only the remaining nine lineages as separate. Evidence from extracts of cephalic labial gland secretions (CLGS, with components believed to function as sex pheromones) reported by others shows small diagnostic differences between all of the candidate species examined (although B. kluanensis s. l. was not examined) and shows larger differences between all of the species pairs that we find are likely to have co-occurred at least in the past, revealing a likely limitation to the CLGS approach in cases of recent and continuously allopatric species. Consequently we infer nine species in the subgenus Alpinobombus (so that B. kluanensis s. str. and 'unnamed2' are interpreted as conspecific, as B. kluanensis s. l.). We provide distribution maps and identification keys for the nine species. The morphology of the male of B. kluanensis is described for the first time, including a unique, unusually dense pad of short hair on the mandible that may have a function involving CLGS in mate-searching behaviour. In seeking to identify the valid names for these species, seven new lectotypes are designated and support is provided for synonymizing 10 names as proposed in a recent summary table of names. The prevailing usage of Bombus balteatus Dahlbom is maintained as valid by proposing Bombus nivalis Dahlbom and Bombus tricolor Dahlbom as nomina oblita and by proposing Bombus balteatus Dahlbom as a nomen protectum. The prevailing usage of Bombus hyperboreus Schonherr is maintained as valid by supporting Apis arctica Quensel as a nomen oblitum and by supporting Bombus hyperboreus Schonherr as a nomen protectum. We then use sequence data from COI and 16S together with nuclear PEPCK and opsin genes to estimate dated phylogenetic relationships among the nine species, allowing for incongruent gene trees with *BEAST. If crown-group divergence within the subgenus Alpinobombus coincided with the global climate cooling and with the growth of the northern ice sheets at the end of the Miocene at ca 7. 2 Ma, then divergences between each of the three pairs of sister species are likely to have coincided with fluctuations in vegetated land connections across the Bering Strait after ca 2.5 Ma.</t>
  </si>
  <si>
    <t>Thanoosing, Chawatat/AAN-4570-2021; Rasmussen, Claus/J-6714-2012; Sheffield, Cory/I-4812-2019; Byvaltsev, Alexandr M/B-9961-2017</t>
  </si>
  <si>
    <t>Thanoosing, Chawatat/0000-0002-4228-748X; Rasmussen, Claus/0000-0003-1529-6548; Sheffield, Cory/0000-0003-0603-7333; Rykken, Jessica/0009-0006-1427-2623; Byvaltsev, Alexandr/0000-0001-6555-5646</t>
  </si>
  <si>
    <t>10.11646/zootaxa.4625.1.1</t>
  </si>
  <si>
    <t>WOS:000473734300001</t>
  </si>
  <si>
    <t>Levy, K; Lerner, A; Shashar, N</t>
  </si>
  <si>
    <t>Levy, Keren; Lerner, Amit; Shashar, Nadav</t>
  </si>
  <si>
    <t>Mate choice and body pattern variations in the Crown Butterfly fish Chaetodon paucifasciatus (Chaetodontidae)</t>
  </si>
  <si>
    <t>Mate choice is an important ecological behavior in fish, and is often based on visual cues of body patterns. The Crown Butterfly fish Chaetodon paucifasciatus (Chaetodontidae) is a monogamist, territorial species; it swims in close proximity to its partner throughout most of its life. This species is characterized by a pattern of 6-8 vertical black stripes on a white background, on both sides of its body. Our aim was to define spatial features (variations) in body patterns by evaluating the level of dissimilarity between both sides of each individual fish, and the level of dissimilarity between patterns of different individuals. In addition, we tested whether the fish are attracted to or reject specific features of the body patterns. Features were defined and counted using photographs of body patterns. Attraction to or rejection of specific features were tested behaviorally using a dual-choice experiment of video animations of individuals swimming over a coral-reef background. We found that the patterns of each fish and sides of the body were no less dissimilar, compared intraspecificly to other fish, and that each side pattern was unique and distinguishable. Variations in the patterns occurred mostly in the last three posterior stripes. Individuals were mainly attracted to conspecifics with multiple crossing patterns (two or more consecutive crossings), and rejected patterns with holes. Our results suggest that in this species the unique body pattern of each fish is used for conspecific identification of mates and intruders.</t>
  </si>
  <si>
    <t>Levy, Keren/KCJ-7587-2024; Shashar, Nadav/Y-8552-2019</t>
  </si>
  <si>
    <t>Levy, Keren/0000-0002-0747-4992; Shashar, Nadav/0000-0002-8312-154X</t>
  </si>
  <si>
    <t>10.1242/bio.20149175</t>
  </si>
  <si>
    <t>WOS:000348098800012</t>
  </si>
  <si>
    <t>Dunn, AM; Zann, RA</t>
  </si>
  <si>
    <t>Effects of pair bond and presence of conspecifics on singing in captive zebra finches</t>
  </si>
  <si>
    <t>Undirected Song is commonly performed in wild and captive zebra finches and is typically given by males partly isolated from other members of the flock or colony. It has no territorial function nor it is used during precoital courtship; its frequency varies strongly among individuals. However, its rate of performance is severely limited by the close proximity of conspecifics, and this study investigated what social factors are responsible for this constraint in first-generation offspring of wild-caught zebra finches. The close presence of females caused a greater reduction in singing than did that of males. Familiarity between companions and the singer was also a factor that reduced the rate of singing. The more familiar the singer became with a female the more often he would sing in her presence, whereas the opposite occurred with males - singing was more prevalent with strangers than with familiar companions. Pair formation reduced a singer's sensitivity to inhibitory factors associated with the close proximity of conspecifics. Simple visual and auditory contact with a conspecific was not sufficient to constrain Undirected Singing, but intense, close range interactions appear to be necessary. It is hypothesised that Undirected Singing is used to attract females for pair formation or extra-pair mating, but the close proximity of male companions and/or the mate hampers this. However, in a competitive mate choice experiment there was no significant correlation between the rate at which a male gave Undirected Song and order of the pair formation. This suggests that Undirected Singing may nor be crucial in the ultimate choice of a mate, but it may still be a useful cue at the outset of pair formation.</t>
  </si>
  <si>
    <t>10.1163/156853997X00313</t>
  </si>
  <si>
    <t>WOS:A1997WJ21600007</t>
  </si>
  <si>
    <t>Lendvai, AZ; Giraudeau, M; Németh, J; Bakó, V; McGraw, KJ</t>
  </si>
  <si>
    <t>Lendvai, A. Z.; Giraudeau, M.; Nemeth, J.; Bako, V.; McGraw, K. J.</t>
  </si>
  <si>
    <t>Carotenoid-based plumage coloration reflects feather corticosterone levels in male house finches (Haemorhous mexicanus)</t>
  </si>
  <si>
    <t>Indicator models of sexual selection predict that exaggerated traits communicate information about sender condition or quality to conspecific receivers. Environmental challenges have often been considered as one such condition that could be encoded in an ornamental trait, and there is now extensive evidence showing how different stressors (e.g., nutritional, parasitological, and environmental) impact sexual signal elaboration. One of the primary means of assessing stress is by quantifying glucocorticoid (corticosterone or cortisol (CORT)) levels. For many ornaments, CORT impairs trait expression; however, the evidence is limited and mixed for one of the classic honest signals in animals, ornamental carotenoid coloration. In a model species for studies of carotenoid ornamentation (the house finch, Haemorhous mexicanus), we examined the relationship between male plumage redness and feather CORT levels, which serve as an integrated measure of hormone concentration during feather growth. We measured CORT in both tail (melanin-containing) and breast (carotenoid-containing) feathers and found that CORT levels were not different between body regions, but they were negatively correlated with plumage hue, with redder birds having more CORT in feathers. Despite opposing traditional views on stress and ornamentation, our results actually corroborate three other studies showing positive relationships between carotenoid coloration and CORT levels. Though the molecular mechanisms underlying such a relationship are still unclear, our results suggest that CORT should not be considered as a simple indicator of individual quality but rather as a mediator of complex allocation decisions or signals of metabolic activity that could link up with more elaborate expression of ornamental traits.</t>
  </si>
  <si>
    <t>Lendvai, Adam Z/B-8546-2008</t>
  </si>
  <si>
    <t>Lendvai, Adam Z/0000-0002-8953-920X</t>
  </si>
  <si>
    <t>10.1007/s00265-013-1591-9</t>
  </si>
  <si>
    <t>WOS:000325765800010</t>
  </si>
  <si>
    <t>Muñoz, AR; Altamirano, M; Takasu, F; Nakamura, H</t>
  </si>
  <si>
    <t>Munoz, A. Roman; Altamirano, Maria; Takasu, Fugo; Nakamura, Hiroshi</t>
  </si>
  <si>
    <t>Nest light environment and the potential risk of common cuckoo (Cuculus canorus) parasitism</t>
  </si>
  <si>
    <t>Brood parasitism represents a significant cost in reproduction; thus, natural selection should favor the evolution of host defenses, which in turn may favor evolution of more sophisticated techniques by the parasite to overcome host defenses. These host defenses include egg rejection, attacking parasites near the nest, and avoiding parasitism by concealing nest sites. In all these antiparasitism strategies, nest light environment may play an important role. In the present study, the risk of Common Cuckoo (Cuculus canorus) parasitism for the Great Reed Warbler (Acrocephalus arundinaceus) was modeled in relation to the in situ nest light environment, from far ultraviolet (UV) to infrared (IR) radiation (280-1,100 nm), and nest situation and structure. The percentage of photosynthetically active radiation (PAR) plus IR radiation (400-1,100 nm) falling on the nest, maximum nest width, and distance between the nest and the nearest active conspecific neighbor were significantly related to the risk of parasitism. Photosynthetically active radiation alone explained 65% of variation in parasitism risk in the final model. Although solar radiation levels in nests were low (&lt;4%. for UV-B and UV-A radiation, 5% for PAR, and 22% for PAR plus IR radiation when cloudless), UV-B, UV-A, and visible-plus-IR radiation levels were significantly lower in nonparasitized nests. These findings provide the first evidence of a relationship between parasitism risk and nest concealment related to microhabitat light environment, with brighter nests suffering a higher risk of parasitism.</t>
  </si>
  <si>
    <t>MUÑOZ, Antonio Román/K-8259-2014; Altamirano, María/L-2084-2017</t>
  </si>
  <si>
    <t>MUÑOZ, Antonio Román/0000-0002-0253-7632; Altamirano Jeschke, Maria/0000-0003-0912-3704</t>
  </si>
  <si>
    <t>10.1093/auk/124.2.619</t>
  </si>
  <si>
    <t>WOS:000246596400020</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</si>
  <si>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</si>
  <si>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</si>
  <si>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</si>
  <si>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</si>
  <si>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</si>
  <si>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</si>
  <si>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</si>
  <si>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</si>
  <si>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</si>
  <si>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</si>
  <si>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</si>
  <si>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Donatelli, Cassandra/ABA-8718-2021</t>
  </si>
  <si>
    <t>Franklin, Amanda/0000-0002-8650-8344</t>
  </si>
  <si>
    <t>0006-3185</t>
  </si>
  <si>
    <t>1939-8697</t>
  </si>
  <si>
    <t>10.1086/700836</t>
  </si>
  <si>
    <t>WOS:000457792100004</t>
  </si>
  <si>
    <t>Cronin, TW; Järvilehto, M; Weckström, M; Lall, AB</t>
  </si>
  <si>
    <t>Tuning of photoreceptor spectral sensitivity in fireflies (Coleoptera: Lampyridae)</t>
  </si>
  <si>
    <t>JOURNAL OF COMPARATIVE PHYSIOLOGY A-SENSORY NEURAL AND BEHAVIORAL PHYSIOLOGY</t>
  </si>
  <si>
    <t>Sexual communication between male and female fireflies involves the visual detection of species-specific bioluminescent signals. Firefly species vary spectrally in both their emitted light and in the sensitivity of the eye, depending on the time when each is active. Tuning of spectral sensitivity in three firefly species that occupy different photic niches was investigated using light and electron microscopy, microspectrophotometry, and intracellular recording to characterize the location and spectral absorption of the screening pigments that filter incoming light, the visual pigments that receive this filtered light, and the visual spectral sensitivity. Twilight-active species had similar pink screening pigments, but the visual pigment of Photinus pyralis peaked near 545 nm, while that of P. scintillans had a lambda(max) near 557 nm. The night-active Photuris versicolor had a yellow screening pigment that was uniquely localized, while its visual pigment was similar to that of P. pyralis. These results show that both screening and visual pigments vary among species. Modeling of spectral tuning indicates that the combination of screening and visual pigments found in the retina of each species provides the best possible match of sensitivity to bioluminescent emission. This combination also produced model sensitivity spectra that closely resemble sensitivities measured either with electroretinographic or intracellular techniques. Vision in both species of Photinus appears to be evolutionarily tuned for maximum discrimination of conspecific signals from spectrally broader backgrounds. Ph. versicolor, on the other hand, appears to have a visual system that offers a compromise between maximum sensitivity to, and maximum discrimination of, their signals.</t>
  </si>
  <si>
    <t>Lall, Abner/0000-0001-6114-3177</t>
  </si>
  <si>
    <t>10.1007/s003590050001</t>
  </si>
  <si>
    <t>WOS:000084937600001</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</si>
  <si>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</si>
  <si>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</si>
  <si>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</si>
  <si>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</si>
  <si>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</si>
  <si>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</si>
  <si>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NEMTZOV, SC</t>
  </si>
  <si>
    <t>INTRASPECIFIC VARIATION IN SAND-DIVING AND PREDATOR AVOIDANCE-BEHAVIOR OF GREEN RAZORFISH, XYRICHTYS SPLENDENS (PISCES, LABRIDAE) - EFFECT ON COURTSHIP AND MATING SUCCESS</t>
  </si>
  <si>
    <t>Green razorfish are Caribbean wrasses that live in harems on shallow sand or seagrass beds, which offer little cover for predator avoidance (PA). Field observations showed that non-conspecific fishes that intruded were either attacked, ignored, or actively avoided. Food competitors and small piscivores were attacked by male razorfish. Razorfish PA behaviors varied among three habitats with different substratum compositions, suggesting that these fish possess phenotypic plasticity for PA behavior. In a rocky-rubble habitat, razorfish dove into the coarse sand for PA, but most sand dives observed there were to soften a small site for future PA. In a sandbed habitat, they hid among coral branches and dove into the sand when attacked; few maintenance dives were observed as soft sand was widespread. In a seagrass habitat, they hid among blades of grass for PA, and dove into the sand less frequently than at the other sites. Some female razorfish that were transferred among habitats adopted PA behaviors similar to those of females in the new site, while others did not, suggesting that behavioral plasticity is not universal in this species. Razorfish spawned lower in the water column in the presence of natural predators and a predator model, than when these were absent. When the predator model was introduced into a male's territory during spawning periods, there was a reduction in his courtship rate, but not in the number of spawns he achieved. Predation pressure may reduce males' long-term fitness by causing decreased courtship rates which can facilitate sex change in harem females.</t>
  </si>
  <si>
    <t>WOS:A1994QE85200028</t>
  </si>
  <si>
    <t>Swart, RC; Geerts, S; Pryke, JS; Coetzee, A</t>
  </si>
  <si>
    <t>Swart, Rudi Crispin; Geerts, Sjirk; Pryke, James Stephen; Coetzee, Anina</t>
  </si>
  <si>
    <t>Generalist southern African temperate forest canopy tree species have distinct pollinator communities partially predicted by floral traits</t>
  </si>
  <si>
    <t>Forest canopies provide important resources for insect communities via flowers. Yet, pollination systems of tall forest trees are poorly studied, resulting from the difficulties in observing pollinator activity at the canopy level and great temporal variation in flower production. In temperate forest canopies of the southern hemisphere, small, whitish and generalist flowers seem to dominate. Here, we observed insect flower visitors, at the canopy level, to four southern Afrotemperate forest tree species bearing small, white to green flowers in a large, indigenous forest. Additionally, we quantified flower traits and collected pollen from representative insect visitors. A total of 105 insect species, from 48 families and 7 orders, were observed visiting flowers. In terms of total flower visits, the generalist Cape honey bee (Apis mellifera capensis) made up ca. 57% of all flower visits. A third of the total observation time covered crepuscular to nocturnal flower visits; yet only 12.68% of total visits took place during this time. Interestingly, despite both trees and insects being largely generalist in their interactions with one another (supported by the presence of conspecific and heterospecific pollen on most flower visitors), some insect species showed strong preferences for specific species of tree, driving dissimilar, interspecific assemblages of flower visitors. The pollinator community disparity may be explained through the unique and dissimilar floral traits for each tree species, both in flower size and in petal reflectance. We conclude that within generalist pollination systems, distinct and non-random mutualisms can develop between different species of plants and a diverse suite of pollinators, and that floral traits could partially predict such interactions.</t>
  </si>
  <si>
    <t>Geerts, Sjirk/AAQ-6375-2021; Pryke, James/A-6644-2008</t>
  </si>
  <si>
    <t>Geerts, Sjirk/0000-0003-0149-2783; Coetzee, Anina/0000-0002-1646-557X; Swart, Rudi/0000-0001-8629-1299; Pryke, James/0000-0003-3148-5744</t>
  </si>
  <si>
    <t>e13523</t>
  </si>
  <si>
    <t>10.1111/aec.13523</t>
  </si>
  <si>
    <t>WOS:001223578900001</t>
  </si>
  <si>
    <t>Green, JM; Scharf, ME; Bennett, GW</t>
  </si>
  <si>
    <t>Agonism and resource partitioning of subterranean termites (Isoptera: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</si>
  <si>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</si>
  <si>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</si>
  <si>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</si>
  <si>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</si>
  <si>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Reichert, MS; Galante, H; Höbel, G</t>
  </si>
  <si>
    <t>Reichert, Michael S.; Galante, Holland; Hoebel, Gerlinde</t>
  </si>
  <si>
    <t>Female gray treefrogs, Hyla versicolor, are responsive to visual stimuli but unselective of stimulus characteristics</t>
  </si>
  <si>
    <t>The visual ecology of nocturnal anurans is poorly understood, but there is growing evidence that vision plays a role in important behaviors such as mate choice. While several recent studies have demonstrated that females are responsive to visual cues when selecting mates, the forces responsible for these preferences are unknown. We investigated the responsiveness of female gray treefrogs, Hyla versicolor, to video playbacks of calling conspecific males in which we varied attributes of the vocal sac, a conspicuous visual characteristic of calling males and a target of female choice in other species. Females responded surprisingly strongly to the video playbacks, but did so indiscriminately with respect to variation in vocal sac characteristics. We followed up on these results with a series of additional tests that examined female responses to abstract stimuli. Females continued to respond to such stimuli, leading us to conclude that their behavior was related to a generalized phototactic response. Because of this, we were unable to make conclusions regarding female preferences for vocal sac characteristics. Nonetheless, our results are significant in two respects. First, we illustrate that despite much effort into improving video playback methodologies, challenges remain, and we offer our experimental design as a method to ensure that appropriate conclusions can be drawn from such studies. Second, we argue that the female phototactic response has potentially significant behavioral implications and in general the consequences of anuran visual preferences deserve further investigation.</t>
  </si>
  <si>
    <t>Hoebel, Gerlinde/JQI-9377-2023; Reichert, Michael/A-5034-2010</t>
  </si>
  <si>
    <t>10.1242/jeb.106666</t>
  </si>
  <si>
    <t>WOS:000342506100016</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</si>
  <si>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</si>
  <si>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</si>
  <si>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</si>
  <si>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</si>
  <si>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</si>
  <si>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</si>
  <si>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Wilson, BC; Ramos, JA; Peters, RA</t>
  </si>
  <si>
    <t>Wilson, Benjamin Carl; Ramos, Jose Antonio; Peters, Richard Anthony</t>
  </si>
  <si>
    <t>Intraspecific variation in behaviour and ecology in a territorial agamid, Ctenophorus fionni</t>
  </si>
  <si>
    <t>Intraspecific variation as a way to explore factors affecting the evolution of species traits in natural environments is well documented, and also important in the context of preserving biodiversity. In this study, we investigated the extent of behavioural, morphological and ecological variation in the peninsula dragon (Ctenophorus fionni), an endemic Australian agamid that displays extensive variation in colour across three allopatric populations. The aims of the study were to quantify variation across the different populations in terms of the environment, morphometric characteristics and behaviour. We found population level differences in habitat structure and encounter rates. Adult body size of C. fionni, as well as a range of morphometric traits, differed between populations, as well as the frequency of social interactions, which appears to be related to population density and abundance. Analysis of communicative signals showed differences between the southern and central populations, which appear consistent with variations in response to environmental differences between study sites. The findings of the present study, coupled with previous work examining colour variation in this species, show that the three populations of C. fionni have likely undergone substantial differentiation, and would make an interesting study system to explore trait variation in more detail.</t>
  </si>
  <si>
    <t>10.1071/ZO20091</t>
  </si>
  <si>
    <t>WOS:000657370700001</t>
  </si>
  <si>
    <t>Daniels, JD; Arceo-Gómez, G</t>
  </si>
  <si>
    <t>Daniels, Jesse D.; Arceo-Gomez, Gerardo</t>
  </si>
  <si>
    <t>Effects of invasive Cirsium arvense on pollination in a southern Appalachian floral community vary with spatial scale and floral symmetry</t>
  </si>
  <si>
    <t>BIOLOGICAL INVASIONS</t>
  </si>
  <si>
    <t>Invasive plants can alter pollination dynamics by disrupting pollinator visitation and pollen transfer dynamics. However, a consensus regarding the direction of their overall effects (competitive vs. facilitative) remains elusive. Here, we evaluate the role of floral traits and spatial scale (community vs. floral neighborhood) in mediating invasive Cirsium arvense effects on resident plant species at multiple stages of the pollination process. C. arvense decreased pollinator visitation rate at the community level only for species with radial floral symmetry. At the floral neighborhood scale, pollinator visitation rate to all resident species was lower in the presence of C. arvense regardless of symmetry. C. arvense altered patterns of conspecific pollen receipt at the floral neighborhood scale, but the direction of the effect varied by plant species. We argue that these scale-dependent effects may be mediated by differences in foraging range and behavior of the main pollinators in the community. C. arvense, however, did not affect the overall reproductive success of resident species at either scale, suggesting that plants at our study sites may not be pollen limited. We further show evidence suggesting that C. arvense may alter the structure of community-level plant-plant interactions via heterospecific pollen transfer by subverting the roles of resident pollen donors within the pollen transfer network. Overall, our results suggest that generalized species (with radial flowers) may be more susceptible to invasive species' effects than specialized ones (bilateral flowers) and highlight the need to consider scale-dependent effects in order to develop a more predictive understanding of invasive species effects in nature.</t>
  </si>
  <si>
    <t>1387-3547</t>
  </si>
  <si>
    <t>1573-1464</t>
  </si>
  <si>
    <t>10.1007/s10530-019-02130-6</t>
  </si>
  <si>
    <t>WOS:000498741600005</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</si>
  <si>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</si>
  <si>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</si>
  <si>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</si>
  <si>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Díaz, José A./H-5559-2015</t>
  </si>
  <si>
    <t>Díaz, José A./0000-0001-6047-5065</t>
  </si>
  <si>
    <t>10.1139/z93-150</t>
  </si>
  <si>
    <t>WOS:A1993LU73200006</t>
  </si>
  <si>
    <t>Russell, AL; Sanders, SR; Wilson, LA; Papaj, DR</t>
  </si>
  <si>
    <t>Russell, Avery L.; Sanders, Stephanie R.; Wilson, Liam A.; Papaj, Daniel R.</t>
  </si>
  <si>
    <t>The Size of it: Scant Evidence That Flower Size Variation Affects Deception in Intersexual Floral Mimicry</t>
  </si>
  <si>
    <t>Mutualisms involve cooperation, but also frequently involve conflict. Plant-pollinator mutualisms are no exception. To facilitate animal pollination, flowering plants often offer pollen (their male gametes) as a food reward. Since plants benefit by maximizing pollen export to conspecific flowers, we might expect plants to cheat on pollen rewards. In intersexual floral mimicry, rewarding pollen-bearing male flowers (models) are mimicked by rewardless female flowers (mimics) on the same plant. Pollinators should therefore learn to avoid the unrewarding mimics. Plants might impede such learning by producing phenotypically variable flowers that cause bees to generalize among models and mimics during learning. In this laboratory study, we used partially artificial flowers (artificial petals, live reproductive parts) modeled after Begonia odorata to test whether variation in the size of rewarding male flowers (models) and unrewarding female flowers (mimics) affected how quickly bees learned both to recognize models and to reject mimics. Live unrewarding female flowers have 33% longer petals and have 31% greater surface area than live rewarding male flowers, which bees should easily discriminate. Yet while bees rapidly learned to reduce foraging effort on mimics, learning was not significantly affected by the degree to which flower size varied. Additionally, we found scant evidence that this was a result of bees altering response speed to maintain decision accuracy. Our study failed to provide evidence that flower size variation in intersexual floral mimicry systems exploits pollinator cognition, though we cannot rule out that other floral traits that are variable may be important. Furthermore, we propose that contrary to expectation, phenotypic variability in a Batesian mimicry system may not necessarily have significant effects on whether receivers effectively learn to discriminate models and mimics.</t>
  </si>
  <si>
    <t>AUG 25</t>
  </si>
  <si>
    <t>10.3389/fevo.2021.724712</t>
  </si>
  <si>
    <t>WOS:000707224100001</t>
  </si>
  <si>
    <t>Gabor, C</t>
  </si>
  <si>
    <t>Association patterns of sailfin mollies (Poecilia latipinna):: alternative hypotheses</t>
  </si>
  <si>
    <t>Individuals may associate with each other due to a variety of selective forces, such as intra- and intersexual selection, and conspecific recognition. Previous studies have concluded that mate choice governs association behavior in polygynous species of fish. I examined whether mate choice underlies the preference for larger individuals by examining preference for association (time spent in proximity to a fish) not only between opposite-sex individuals but also between same-sex individuals of the live-bearing sailfin molly (Poecilia latipinna). Males and females from three size classes were tested with a large and a small object fish of the same and opposite sex. Females preferred to associate with larger over smaller males. Males also preferred to associate with larger over smaller females, as expected. The same female and male test fish also preferred to associate with larger over smaller fish of the same sex. Moreover, females demonstrated no significant difference in their strength of preference (large-small) when offered males or females. The same held true for males. When males and females were subsequently tested with one large male and one large female, females tended to prefer large males while males showed no significant preference for association based on sex. In another experiment, females were tested with a large female and a small male, and significantly preferred the former. These findings suggest that association patterns :may have arisen under a variety of conditions, such as predation pressures, shoaling behavior, and associative preference behavior. The assumption that association behavior Is a uniformly sufficient predictor of mate choice in fish needs to be re-examined for P. latipinna and other species.</t>
  </si>
  <si>
    <t>Gabor, Caitlin/AAK-8369-2020</t>
  </si>
  <si>
    <t>Gabor, Caitlin/0000-0001-7584-1451</t>
  </si>
  <si>
    <t>10.1007/s002650050627</t>
  </si>
  <si>
    <t>WOS:000083089800006</t>
  </si>
  <si>
    <t>Ryan, MJ; Bernal, XE; Rand, AS</t>
  </si>
  <si>
    <t>Ryan, Michael J.; Bernal, Ximena E.; Rand, A. Stanley</t>
  </si>
  <si>
    <t>Female mate choice and the potential for ornament evolution in tungara frogs Physalaemus pustulosus</t>
  </si>
  <si>
    <t>The potential for ornament evolution in response to sexual selection rests on the interaction between the permissiveness or selectivity of female preferences and the constraints on male development of signaling related traits. We investigate the former by determining how latent female preferences either exaggerate the magnitude of current traits (i.e. elaborations) or favor novel traits (i.e. innovations). In tungara frogs, females prefer complex mating calls (whine-chucks) to simple calls (whine only). The whine is critical for mate recognition while the chuck further enhances the attractiveness of the call. Here we use a combination of synthetic and natural stimuli to examine latent female preferences. Our results show that a diversity of stimuli, including conspecific and heterospecific calls as well as predator-produced and human-made sounds, increase the attractiveness of a call when added to a whine. These stimuli do not make simple calls more attractive than a whine-chuck, however. In rare cases we found stimuli that added to the whine decrease the attractiveness of the call. Overall, females show strong preferences for both elaborations and innovations of the chuck. We argue that the emancipation of these acoustic adornments from mate recognition allows such female permissiveness, and that male constraints on signal evolution are probably more important in explaining why males evolved their specific adornment. Experimentally probing latent female preferences for stimuli out of the species' range is a useful means to gain insights about the potential of female choice to influence signal evolution and thus the astounding diversity in male sexually-selected traits [Current Zoology 56 (3): 343-357, 2010].</t>
  </si>
  <si>
    <t>10.1093/czoolo/56.3.343</t>
  </si>
  <si>
    <t>WOS:000278715600009</t>
  </si>
  <si>
    <t>WINEMILLER, KO</t>
  </si>
  <si>
    <t>SEASONALITY OF REPRODUCTION BY LIVEBEARING FISHES IN TROPICAL RAIN-FOREST STREAMS</t>
  </si>
  <si>
    <t>Reproductive ecology, population structure, and diets of three common livebearing poeciliid fishes (Alfaro cultratus, Phallichthys amates, Poecilia gilli) from rainforest streams in Costa Rica were investigated over ten continuous months. The region experiences little annual temperature variation, and although monthly rainfall is continuous each year, two brief dry seasons typically occur. Monthly changes in indices of ovarian condition, percentages of females with developing embryos, and population size structure revealed that reproductive output by females of all three species varied seasonally. Based on testicular condition, males were reproductively active year-round, however the mean gonadal index for males of two algivorous species showed low levels of seasonal cycling that largely coincided with female variation in reproductive effort. All three species had seasonal differences in the female size-brood size relationship, whereby larger females tended to carry more embryos during the wet season. Several important adult and neonate food resources are more available in the flooded forest during the wet season, which is also the period when conspecifics and predators are at their lowest per-area densities. Three hypotheses are discussed: (1) brood size in relation to conspecific density-mating frequency, (2) reproductive allocation in response to variation in adult food resources, and (3) selection for greater reproductive effort during conditions optimal for juvenile growth and survival. Data for Alfaro were consistent with the latter two hypotheses. In Phallichthys and Poecilia, diets were poorer during wet seasons, indicating that reproductive effort does not coincide with availability of adult food resources, and that selection probably favors greater reproductive effort during periods optimal for juvenile growth and survival.</t>
  </si>
  <si>
    <t>Winemiller, Kirk/0000-0003-0236-5129</t>
  </si>
  <si>
    <t>10.1007/BF00323499</t>
  </si>
  <si>
    <t>WOS:A1993LV56400015</t>
  </si>
  <si>
    <t>Campbell, DR; Waser, NM; Wolf, PG</t>
  </si>
  <si>
    <t>Pollen transfer by natural hybrids and parental species in an Ipomopsis hybrid zone</t>
  </si>
  <si>
    <t>Models of hybrid zones differ in their assumptions about the relative fitnesses of hybrids and the parental species. These fitness relationships determine the form of selection across the hybrid zone and, along with gene flow, the evolutionary dynamics and eventual outcome of natural hybridization. We measured a component of Fitness, export and receipt of pollen in single pollinator visits, for hybrids between the herbaceous plants Ipomopsis aggregata and I. tenuituba and for both parental species. In aviary experiments with captive hummingbirds, hybrid flowers outperformed flowers of both parental species by receiving more pollen on the stigma. Although hummingbirds were more effective at removing pollen from anthers of I. aggregata, hybrid flowers matched both parental species in the amount of pollen exported to stigmas of other flowers. These patterns of pollen transfer led to phenotypic stabilizing selection, during that stage of the life cycle, for a stigma position intermediate between that of the two species and to directional selection for exserted anthers. Pollen transfer between the species was high, with flowers of I. aggregata exporting pollen equally successfully to conspecific and I. tenuituba flowers. Although this study showed that natural hybrids enjoy the highest quality of pollinator visits, a previous study found that I. aggregata receives the highest quantity of pollinator visits. Thus, the relative fitness of hybrids changes over the life cycle. By combining the results of both studies, pollinator-mediated selection in this hybrid zone is predicted to be strong and directional, with hybrid fitness intermediate between that of the parental species.</t>
  </si>
  <si>
    <t>Campbell, Diane/A-1653-2012; Wolf, Paul/F-7664-2010</t>
  </si>
  <si>
    <t>Campbell, Diane/0000-0002-1147-846X; Wolf, Paul/0000-0002-4317-6976</t>
  </si>
  <si>
    <t>10.1111/j.1558-5646.1998.tb02241.x</t>
  </si>
  <si>
    <t>WOS:000078076700007</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</si>
  <si>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</si>
  <si>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</si>
  <si>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</si>
  <si>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</si>
  <si>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</si>
  <si>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</si>
  <si>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</si>
  <si>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</si>
  <si>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</si>
  <si>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Kruse, AA; Stripling, R; Clayton, DF</t>
  </si>
  <si>
    <t>Context-specific habituation of the zenk gene response to song in adult zebra finches</t>
  </si>
  <si>
    <t>NEUROBIOLOGY OF LEARNING AND MEMORY</t>
  </si>
  <si>
    <t>Zebra finches show a multifaceted response to playback of tape-recorded birdsong. A novel song induces an overt listening behavior, accompanied by a distinct electrophysiological signature and a wave of gene expression in the auditory telencephalon. With repetition of the same song these responses all habituate; habituation can persist for a day or more and is specific for the repeated song. This habituation is a form of selective memory. Here we describe four experiments to probe the nature of the information stored in that memory, using habituation of the genomic response as a physiological assay for stimulus recognition. Adult male zebra finches (awake and unrestrained) were exposed to repetitions of a test song to habituate the genomic response. The same song was then presented in one of four different contexts: (1) from a speaker on the opposite side of the cage; (2) at a reduced sound pressure level; (3) paired with constant illumination of colored lights next to the speaker; (4) paired with colored lights that were turned on and off in synchrony with each song bout. In all cases except the third, a familiar (habituated) song re-induced a new wave of gene expression in the auditory telencephalon when presented in the new context. These results reveal that memory for a specific song, as indicated by the initial gene habituation, incorporates more than just an acoustic description of the song. We suggest that habituation in the auditory telencephalon is controlled in part by an extrinsic system that allows detection of synchronous activity in different sensory or representational modalities. (C) 2004 Elsevier Inc. All rights reserved.</t>
  </si>
  <si>
    <t>Clayton, David/B-2190-2008</t>
  </si>
  <si>
    <t>Clayton, David/0000-0002-6395-3488</t>
  </si>
  <si>
    <t>1074-7427</t>
  </si>
  <si>
    <t>1095-9564</t>
  </si>
  <si>
    <t>10.1016/j.nlm.2004.05.001</t>
  </si>
  <si>
    <t>WOS:000223495300006</t>
  </si>
  <si>
    <t>Yang, CC; Chen, XY; Wang, LW; Liang, W</t>
  </si>
  <si>
    <t>Yang, Canchao; Chen, Xiangyang; Wang, Longwu; Liang, Wei</t>
  </si>
  <si>
    <t>Defensive adaptations to cuckoo parasitism in the black-browed reed warbler (Acrocephalus bistrigiceps): recognition and mechanism</t>
  </si>
  <si>
    <t>Hosts of avian brood parasites suffer a high cost of reproductive loss due to parasitism, driving them to evolve a variety of anti-parasitic defenses. These defenses comprise a series of components, including the recognition of brood parasites and the eggs laid by the parasites, cues used for recognition, and the mechanisms on which these behaviors are based. In this study, we conducted egg recognition and nest intruder experiments to examine these components of anti-parasitic behavior in the black-browed reed warbler (Acrocephalus bistrigiceps), a rare host of the common cuckoo (Cuculus canorus). We found that the host possessed strong recognition capacity, rejecting 100% of parasitic eggs, and used a template-based mechanism for egg recognition. The host birds also rejected 80% of their own eggs on which artificial markings were added to the blunt pole; however, they accepted all eggs with the same manipulation on the sharp pole, implying that the blunt pole was an important recognition cue. Furthermore, the host exhibited stronger aggression to cuckoos than to harmless controls; a behavior specific to the incubation stage rather than the nestling stage. Therefore, the host was able to distinguish the cuckoo from other nest intruders as being a brood parasite. These results together help explain the near absence of cuckoo parasitism in black-browed reed warblers and provide new information concerning anti-parasitic defenses in this host species.</t>
  </si>
  <si>
    <t>chen, shuo bing/KHV-7129-2024; Guo, Li/KCK-9540-2024</t>
  </si>
  <si>
    <t>10.1007/s10071-022-01613-9</t>
  </si>
  <si>
    <t>WOS:000772345800001</t>
  </si>
  <si>
    <t>Vergara, RC; Torres-Araneda, A; Villagra, DA; Raguso, RA; Arroyo, MTK; Villagra, CA</t>
  </si>
  <si>
    <t>Vergara, Rodrigo C.; Torres-Araneda, Alejandra; Villagra, Diego A.; Raguso, Robert A.; Arroyo, Mary T. K.; Villagra, Cristian A.</t>
  </si>
  <si>
    <t>Are eavesdroppers multimodal? Sensory exploitation of floral signals by a non-native cockroach Blatta orientalis</t>
  </si>
  <si>
    <t>The study of multi-modal communication has only recently been extended to innate and learned interactions between flowers and their animal visitors, and usually only to pollinators. Here we studied the relevance of floral scent and visual display of a night blooming, putatively hawkmoth-pollinated plant Oenothera acaulis (Onagraceae) in the attraction of non-native cockroaches Blatta orientalis (Blattodea: Blattidae), which function as facultative floral larcenists in coastal habitats of central Chile. We experimentally decoupled visual (corolla) and olfactory (fragrance) stimuli by presenting paper corollas and green mesh bags, with or without a freshly-picked natural flower inside. We then contrasted the behavioral responses of roaches in these treatments with those to the natural combination of traits in actual flowers and their respective control treatments, measuring the roaches' frequency of first visits, mean and total residence time spent in each treatment. The roaches primarily used olfactory cues when approaching O. acaulis flowers at two biologically relevant spatial scales. In addition, the presence of conspecific roaches had a strong influence on recruitment to the experimental arena, increasing the statistical differences among treatments. Our results suggest a primacy of floral fragrance over visual stimuli in the foraging responses of B. orientalis. Olfactory cues were necessary and sufficient to attract the roaches, and the visual cues presented in our manipulations only marginally increased their attraction within a 20 cm diameter of the stimulus. The full spectrum of floral visitation behavior was not elicited by the artificial flowers, suggesting the need for additional tactile or contact chemosensory stimuli not provided by paper. Although the nitrogenous scent compounds that we found in O. acaulis flowers are almost exclusively found in hawkmoth-pollinated flowers, the attractiveness of these compounds to a non-native, facultative flower-visiting insect indicates that they do not function as pollinator-specific signals for hawkmoth attraction [Current Zoology 57 (2): 162-174, 2011].</t>
  </si>
  <si>
    <t>Villagra, Diego/H-6694-2013</t>
  </si>
  <si>
    <t>Vergara, Rodrigo Clemente/0000-0002-1943-2060; Villagra, Cristian/0000-0002-6921-597X</t>
  </si>
  <si>
    <t>10.1093/czoolo/57.2.162</t>
  </si>
  <si>
    <t>WOS:000288848200005</t>
  </si>
  <si>
    <t>Prescott, MJ; Buchanan-Smith, HM; Smith, AC</t>
  </si>
  <si>
    <t>Social interaction with non-averse group-mates modifies a learned food aversion in single- and mixed-species groups of Tamarins (Saguinus fuscicollis and S-labiatus)</t>
  </si>
  <si>
    <t>For social species, being a member of a cohesive group and performing activities as a coordinated unit appear to provide a mechanism for the efficient transmission of information about food. Social learning about food palatability was investigated in two captive primates, Saguinus fuscicollis and S. labiatus, which form stable and cohesive mixed-species groups in the wild. We explored whether an induced food aversion toward a preferred food is modified during and after social interaction with non-averse conspecifics or congeners. Sets of intra- and interspecific pairs were presented with two foods, one of which was considered distasteful by one of the pairs (the other was palatable), and their behavior was compared pre-interaction, during interaction, and post-interaction. For the aversely-conditioned individuals of both species, the change in social context corresponded to a change in their preference for the food that they considered unpalatable, regardless of whether they had interacted with a conspecific or congeneric pair, and the change in food preference was maintained post-interaction. In a control condition, in which averse individuals did not have the opportunity to interact with non-averse animals, S. fuscicollis sampled the preferred food, but not as quickly as when given the opportunity to interact. We conclude that the social learning demonstrated here may allow individual tamarins to track environmental change, such as fruit ripening, more efficiently than asocial learning alone, because social learners can more quickly and safely focus on appropriate behavior by sharing up-to-date foraging information. Furthermore, since the behavior of congeners, as well as conspecifics, acts to influence food choice in a more adaptive direction, social learning about food palatability may be an advantage of mixed-species group formation to tamarins of both species. (c) 2005 Wiley-Liss, Inc.</t>
  </si>
  <si>
    <t>Prescott, Mark/E-4184-2010; Buchanan-Smith, Hannah/A-5350-2009</t>
  </si>
  <si>
    <t>Prescott, Mark/0000-0002-8814-0512; Smith, Andrew/0000-0002-8521-5558; Buchanan-Smith, Hannah/0000-0002-2516-7734</t>
  </si>
  <si>
    <t>10.1002/ajp.20118</t>
  </si>
  <si>
    <t>WOS:000228842400002</t>
  </si>
  <si>
    <t>Campos, SM; Erley, A; Ashraf, Z; Wilczynski, W</t>
  </si>
  <si>
    <t>Campos, Stephanie M.; Erley, Anastasia; Ashraf, Zoha; Wilczynski, Walter</t>
  </si>
  <si>
    <t>Signaler's Vasotocin Alters the Relationship between the Responder's Forebrain Catecholamines and Communication Behavior in Lizards (Anolis carolinensis)</t>
  </si>
  <si>
    <t>Dynamic fluctuations in the distribution of catecholamines across the brain modulate the responsiveness of vertebrates to social stimuli. Previous work demonstrates that green anoles (Anolis carolinensis) increase chemosensory behavior in response to males treated with exogenous arginine vasotocin (AVT), but the neurochemical mechanisms underlying this behavioral shift remains unclear. Since central catecholamine systems, including dopamine, rapidly activate in response to social stimuli, we tested whether exogenous AVT in signalers (stimulus animals) impacts catecholamine concentrations in the forebrain (where olfactory and visual information are integrated and processed) of untreated lizard responders. We also tested whether AVT influences the relationship between forebrain catecholamine concentrations and communication behavior in untreated receivers. We measured global catecholamine (dopamine = DA, epinephrine = Epi, and norepinephrine = NE) concentrations in the forebrain of untreated responders using high-performance liquid chromatography-mass spectrometry following either a 30-min social interaction with a stimulus male or a period of social isolation. Stimulus males were injected with exogenous AVT or vehicle saline (SAL). We found that global DA, but not Epi or NE, concentrations were elevated in lizards responding to SAL-males relative to isolated lizards. Lizards interacting with AVT-males had DA, Epi and NE concentrations that were not significantly different from SAL or isolated groups. For behavior, we found a significant effect of social treatment (AVT vs. SAL) on the relationships between (1) DA concentrations and the motivation to perform a chemical display (latency to tongue flick) and (2) Epi concentrations and time spent displaying mostly green body coloration. We also found a significant negative correlation between DA concentrations and the latency to perform a visual display but found no effect of social treatment on this relationship. These data suggest that catecholamine concentrations in the forebrain of untreated responders are associated with chemical and visual communication in lizards and that signaler AVT alters this relationship for some, but not all, aspects of social communication. (C) 2022 S. Karger AG, Basel</t>
  </si>
  <si>
    <t>10.1159/000524217</t>
  </si>
  <si>
    <t>WOS:000840266300008</t>
  </si>
  <si>
    <t>Warburton, K; Lees, N</t>
  </si>
  <si>
    <t>Species discrimination in guppies: Learned responses to visual cues</t>
  </si>
  <si>
    <t>The possibility that animals can discriminate conspecifics and heterospecifics by integrating multiple-cue information obtained by a single sensory modality was tested using guppies, Poecilia reticulata. The influence of familiarity on guppy discrimination was examined through binary-choice experiments in which juvenile guppies were allowed to associate with familiar or unfamiliar siblings, unrelated conspecifics or heterospecifics (swordtails, Xiphothurus helleri). Stimulus and subject (test) individuals were separated by partitions made of clear Perspex or plastic mesh, and the results of trials using the two partition types were compared to provide insight into the sensory modalities involved in recognition. Guppies associated more readily with familiar than unfamiliar conspecifics. The trials with the Perspex partition revealed that visual cues were involved in conspecific discrimination. Guppies were also visually attracted to familiar swordtails, and to unfamiliar swordtails as long as the guppies were originally reared with swordtails, showing that the formation of a recognition template in early life is flexible and not controlled by a closed genetic programme. However, there was evidence that attractive long-range swordtail cues were overridden by those permitting more detailed species discrimination at close range. In the trials with the mesh partition, attraction to siblings was apparent only at close range, suggesting that the mesh impaired the visual discrimination abilities evident from the Perspex trials. Heterospecific attraction to swordtails increased when the mesh partition was used, possibly for the same reason. It is likely that guppies integrate responses to distance-dependent visual (and possibly mechanical) stimuli to permit recognition of individuals, kin members or species. With regard to discrimination studies on aquatic vertebrates, the potential advantages to be obtained from the use of complementary behavioural assay techniques, and from analyses that take into account inter-brood variation and the length of the experimental acclimation period, are stressed. (C) 1996 The Association for the Study of Animal Behaviour</t>
  </si>
  <si>
    <t>10.1006/anbe.1996.0181</t>
  </si>
  <si>
    <t>WOS:A1996VH71700013</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</si>
  <si>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</si>
  <si>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</si>
  <si>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</si>
  <si>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</si>
  <si>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</si>
  <si>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</si>
  <si>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</si>
  <si>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</si>
  <si>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</si>
  <si>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</si>
  <si>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Perrin, MC; Thorpe, JP; Solé-Cava,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</si>
  <si>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</si>
  <si>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</si>
  <si>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</si>
  <si>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</si>
  <si>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</si>
  <si>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</si>
  <si>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0078-3218</t>
  </si>
  <si>
    <t>0-7484-0919-X</t>
  </si>
  <si>
    <t>WOS:000089737800004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</si>
  <si>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</si>
  <si>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</si>
  <si>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</si>
  <si>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</si>
  <si>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Donny, Alexandra/0000-0002-1412-9118; Gilbertson, Erin/0000-0002-2426-9966</t>
  </si>
  <si>
    <t>10.1093/biolinnean/blz162</t>
  </si>
  <si>
    <t>WOS:000506800100011</t>
  </si>
  <si>
    <t>Heise, SR; Rozenfeld, FM</t>
  </si>
  <si>
    <t>Reproduction and urine marking in laboratory groups of female common voles Microtus arvalis</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</si>
  <si>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</si>
  <si>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10.1023/A:1020853303321</t>
  </si>
  <si>
    <t>WOS:000081611500016</t>
  </si>
  <si>
    <t>Gómez-Laplaza, LM</t>
  </si>
  <si>
    <t>The influence of social status on shoaling preferences in the freshwater angelfish (Pterophyllum scalare)</t>
  </si>
  <si>
    <t>Shoal choice studies have revealed that fish have cognitive abilities to discriminate between groups of different composition. In this work, the role of social status (based on aggressive acts) of both the test fish and the fish in the stimulus shoals was examined because of the fitness-related consequences that group association may have for the test individual. Single angelfish of high and low social status (dominant and subordinate) were presented with a choice between two stimulus shoals composed of three conspecifics of equal size and familiarity but of social status equal to, and different from that of the test fish in the same dominance hierarchy. Test fish, irrespective of the social status, spent significantly more time shoaling with subordinates than with dominants. They also initiated shoaling behaviour with subordinates more readily and the number of visits to the preference zone close to the subordinates was greater than that to dominants. The tendency was greater in subordinate fish, which showed longer latency in approaching the shoals of dominants, and spent more time in proximity to the subordinates per visit than did dominant fish. A replicate preference test indicated that this general pattern was relatively stable for at least 2(1)/(2) hr. A possible factor mediating this association preference, that of familiarity, was then tested. The same protocol as before was used but unfamiliar conspecific dominants and subordinates served as stimulus shoals. In this second experiment, generally test fish did not show any significant shoaling preference. The results indicate that angelfish are capable of distinguishing the social status of conspecifics and can discriminate between shoals composed of dominants and subordinates on the basis of previous interactions. It is suggested that the tendency to avoid shoals of dominant companions may be due to the disadvantage of enhanced competition, subordinates being more affected.</t>
  </si>
  <si>
    <t>Laplaza, Luis M. Gómez/ABF-6852-2021</t>
  </si>
  <si>
    <t>Laplaza, Luis M. Gómez/0000-0003-1572-0580</t>
  </si>
  <si>
    <t>10.1163/1568539054729141</t>
  </si>
  <si>
    <t>WOS:000231869400008</t>
  </si>
  <si>
    <t>Prieto, MT; Campo, JL; Dávila,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</si>
  <si>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</si>
  <si>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</si>
  <si>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</si>
  <si>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</si>
  <si>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DÁVILA, SARA GARCÍA/AAA-1672-2020</t>
  </si>
  <si>
    <t>GARCIA-GIL, MARIA/0000-0003-2856-277X; DÁVILA, SARA GARCÍA/0000-0003-4152-8373</t>
  </si>
  <si>
    <t>1612-9199</t>
  </si>
  <si>
    <t>10.1399/eps.2013.1</t>
  </si>
  <si>
    <t>WOS:000343648600001</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</si>
  <si>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</si>
  <si>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</si>
  <si>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</si>
  <si>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</si>
  <si>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 Seehausen, Ole/C-8272-2011</t>
  </si>
  <si>
    <t>Feller, Anna Fiona/0000-0001-5786-7658; Seehausen, Ole/0000-0001-6598-1434; Peichel, Catherine/0000-0002-7731-8944</t>
  </si>
  <si>
    <t>APR 8</t>
  </si>
  <si>
    <t>10.1098/rspb.2020.0270</t>
  </si>
  <si>
    <t>WOS:000546947600014</t>
  </si>
  <si>
    <t>Perez, DM; Backwell, PRY</t>
  </si>
  <si>
    <t>Perez, Daniela Malgarini; Backwell, P. R. Y.</t>
  </si>
  <si>
    <t>Selection for conspicuous visual signals in a fiddler crab</t>
  </si>
  <si>
    <t>Sexual selection has an undeniable influence in the evolution of the spectacular diversity of courtship signals in the animal kingdom. A long history of study has pointed to mechanisms through which sexual selection can act: it can favor signals that are reliable indicators of species identity or effectively transfer mate quality information. In some species, these mechanisms have the potential to shape signal evolution. This is the case in fiddler crabs. Males court females by waving their sexually dimorphic claw. Females recognize conspecific males by the species-specific display, while intraspecific variants of the display appear to be indicators of male quality. We investigated which of these mechanisms prevail by using robotics to test female responses to waves of different heights in the fiddler crab, Austruca mjoebergi. We reveal that, although the studied species shares a sympatric habitat, females did not significantly more often approach the species' average signal. We found evidence that more conspicuous, higher signals were more likely to attract females, although the effect was not particularly strong. We discuss our results in the light of other possible scenarios from which sexual selection can act in the evolution of signals.Significance statementSexual selection has strong role in the evolution of courtship signals. A large body of evidence has revealed that mating preferences may favor signals that indicate species identity or mate quality. We study which of these mechanisms is predominant in fiddler crabs. We use robotics to investigate female preference for a highly conspicuous and diverse characteristic of courtship signals. We found that females most likely do not use the signal for species recognition, but instead favor signals that stand out and indicate mate quality. Our results advocate that directional selection is likely to be predominant, but we suggest that a more complex mosaic of selective forces may influence the evolution of the high interspecific signal diversity in fiddler crabs.</t>
  </si>
  <si>
    <t>M. Perez, Daniela/0000-0002-8560-0368</t>
  </si>
  <si>
    <t>10.1007/s00265-019-2670-3</t>
  </si>
  <si>
    <t>WOS:000465553400001</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</si>
  <si>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</si>
  <si>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</si>
  <si>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</si>
  <si>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</si>
  <si>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</si>
  <si>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Parra-Tabla, V; Alonso, C; Ashman, TL; Raguso, RA; Albor, C; Sosenski, P; Carmona, D; Arceo-Gómez, G</t>
  </si>
  <si>
    <t>Parra-Tabla, Victor; Alonso, Conchita; Ashman, Tia-Lynn; Raguso, Robert A.; Albor, Cristopher; Sosenski, Paula; Carmona, Diego; Arceo-Gomez, Gerardo</t>
  </si>
  <si>
    <t>Pollen transfer networks reveal alien species as main heterospecific pollen donors with fitness consequences for natives</t>
  </si>
  <si>
    <t>The ecological dynamics of co-flowering communities are largely mediated by pollinators. However, current understanding of pollinator-mediated interactions primarily relies on how co-flowering plants influence attraction of shared pollinators, and much less is known about plant-plant interactions that occur via heterospecific pollen (HP) transfer. Invaded communities in particular can be highly affected by the transfer of alien pollen, but the strength, drivers and fitness consequences of these interactions at a community scale are not well understood. Here we analyse HP transfer networks in nine coastal communities in the Yucatan Mexico that vary in the relative abundance of invasive flowers to evaluate how HP donation and receipt varies between native and alien plants. We further evaluate whether HP donation and receipt are mediated by floral traits (e.g. display, flower size) or pollinator visitation rate. Finally, we evaluated whether post-pollination success (proportion of pollen tubes produced) was affected by alien HP receipt and whether the effect varied between native and alien recipients. HP transfer networks exhibit relatively high connectance (c. 15%), suggesting high HP transfer within the studied communities. Significant network nestedness further suggests the existence of species that predominantly act as HP donors or recipients in the community. Species-level analyses showed that natives receive 80% more HP compared to alien species, and that alien plants donate 40% more HP than natives. HP receipt and donation were mediated by different floral traits and such effects were independent of plant origin (native or alien). The proportion of alien HP received significantly affected conspecific pollen tube success in natives, but not that of alien species. Synthesis. Our results suggest that HP transfer in invaded communities is widespread, and that native and alien species play different roles within HP transfer networks, which are mediated by a different suite of floral traits. Alien species, in particular, play a central role as HP donors and are more tolerant to HP receipt than natives-a finding that points to two overlooked mechanisms facilitating alien plant invasion and success within native co-flowering communities.</t>
  </si>
  <si>
    <t>Alonso, Conchita/L-6957-2014; Parra-Tabla, Victor/H-7320-2015</t>
  </si>
  <si>
    <t>Alonso, Conchita/0000-0002-7418-3204; Parra-Tabla, Victor/0000-0001-5920-0881; Albor, Cristopher/0000-0002-9870-4094</t>
  </si>
  <si>
    <t>10.1111/1365-2745.13520</t>
  </si>
  <si>
    <t>OCT 2020</t>
  </si>
  <si>
    <t>WOS:000583496000001</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</si>
  <si>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</si>
  <si>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</si>
  <si>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</si>
  <si>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</si>
  <si>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</si>
  <si>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Schroeder, JL; Worm, AJ; Sweet, AD; Rolland, V</t>
  </si>
  <si>
    <t>Schroeder, Joseph L.; Worm, Alexander J.; Sweet, Andrew D.; Rolland, Virginie</t>
  </si>
  <si>
    <t>Genomic data reveal unexpected relatedness between a brown female Eastern Bluebird and her brood</t>
  </si>
  <si>
    <t>Because plumage coloration is frequently involved in sexual selection, for both male and female mate choice, birds with aberrant plumage should have fewer mating opportunities and thus lower reproductive output. Here we report an Eastern Bluebird (Sialia sialis) female with a brown phenotype that raised a brood of four chicks to fledging. The brown female and her mate were only related to their social offspring to the second degree and one of the offspring was a half-sibling. We propose four family tree scenarios and discuss their implications (e.g., extra-pair paternity, conspecific brood parasitism). Regardless of the tree, the brown female was able to find a mate, which may have been facilitated by the bottleneck created by the severe snowstorms in February 2021. Parce que la coloration du plumage est frequemment impliquee dans la selection sexuelle, tant pour le choix du partenaire male que femelle, les oiseaux avec un plumage aberrant devraient avoir moins d'opportunites d'accouplement et donc un rendement de reproduction reduit. Nous rapportons ici le cas d'une femelle Merlebleu de l'Est (Sialia sialis) avec un phenotype brun qui a eleve une nichee de quatre poussins jusqu'a l'envol. La femelle brune et son partenaire n'etaient lies a leur progeniture sociale qu'au second degre et l'un des poussins etait un demi-frere ou une demi-s oe ur. Nous proposons quatre scenarios d'arbre genealogique et discutons de leurs implications (par exemple, paternite hors couple, parasitisme conspecifique), mais quel que soit l'arbre, la femelle brune a pu trouver un partenaire, ce qui a peut-etre ete facilite par le goulot d'etranglement cree par les fortes tempetes de neige en fevrier 2021. We report on a female bluebird (Sialia sialis) with a brown phenotype that successfully found a mate and raised a brood of four chicks, which goes against expectations under sexual selection. The brown female and her mate were only related to their social offspring to the second degree and one of the offspring was a half-sibling. We explored four possible family trees and surrounding circumstances (e.g., kin selection, population bottleneck) that could have led to this observation.image</t>
  </si>
  <si>
    <t>e10851</t>
  </si>
  <si>
    <t>10.1002/ece3.10851</t>
  </si>
  <si>
    <t>WOS:001148034400001</t>
  </si>
  <si>
    <t>Rinkevich, B; Sakai, K</t>
  </si>
  <si>
    <t>Interspecific interactions among species of the coral genus Porites from Okinawa, Japan</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</si>
  <si>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</si>
  <si>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Sakai, Kazuhiko/0000-0003-1905-5952</t>
  </si>
  <si>
    <t>10.1078/0944-2006-00014</t>
  </si>
  <si>
    <t>WOS:000172786700002</t>
  </si>
  <si>
    <t>Gartner, GEA; Gamble, T; Jaffe, AL; Harrison, A; Losos, JB</t>
  </si>
  <si>
    <t>Gartner, Gabriel E. A.; Gamble, Tony; Jaffe, Alexander L.; Harrison, Alexis; Losos, Jonathan B.</t>
  </si>
  <si>
    <t>Left-right dewlap asymmetry and phylogeography of Anolis lineatus on Aruba and Curacao</t>
  </si>
  <si>
    <t>Anolis lizards exhibit a remarkable degree of diversity in the shape, colour, pattern and size of their dewlaps. Asymmetry, where one side of the dewlap differs in pattern or colour from the other, has only been reported in one species, Anolis lineatus, and then on only one of the two islands from which it occurs. Given the importance of the dewlap in intra- and interspecific signalling, we expanded on previous work by (1) investigating whether the reported asymmetry actually occurs and, if so, whether it occurs on animals from both Aruba and Curacao; (2) examining whether populations differ in other aspects of their morphology or ecology; and (3) resolving the evolutionary relationships and the history of the two populations. We confirmed the presence of the asymmetrical dewlap on Curacao and found that the asymmetry extends to populations on Aruba as well. Animals on Curacao were smaller overall than populations from Aruba with relatively shorter metatarsals, radii, and tibias but relatively deeper heads, longer jaws, and wider and more numerous toepads on fore and hind feet. Habitat use did not differ significantly between the islands. We found populations on Aruba and Curacao to be reciprocally monophyletic with an early Pleistocene divergence of populations on the two islands. Neutrality tests indicate that neither population has seen any recent reduction in population size, making it unlikely that the asymmetry is a result of founder effects or is some other consequence of reduced genetic variation. A variety of factors likely account for the remarkable and unique dewlap morphology exhibited by this species, although more detailed field studies are required to test these hypotheses.(c) 2013 The Linnean Society of London, Biological Journal of the Linnean Society, 2013, 110, 409-426.</t>
  </si>
  <si>
    <t>Gamble, Tony/AAT-4463-2020</t>
  </si>
  <si>
    <t>Gamble, Tony/0000-0002-0204-8003</t>
  </si>
  <si>
    <t>10.1111/bij.12131</t>
  </si>
  <si>
    <t>WOS:000324302400012</t>
  </si>
  <si>
    <t>Perryman, RJY; Carpenter, M; Lie, E; Sofronov, G; Marshall, AD; Brown, C</t>
  </si>
  <si>
    <t>Perryman, Robert J. Y.; Carpenter, Michelle; Lie, Eric; Sofronov, Georgy; Marshall, Andrea D.; Brown, Culum</t>
  </si>
  <si>
    <t>Reef manta ray cephalic lobe movements are modulated during social interactions</t>
  </si>
  <si>
    <t>Reef manta rays (Mobula alfredi) are social elasmobranchs that have structured societies and actively interact with preferred social partners. Being able to detect cues and signals produced by conspecifics is vital in enabling social behavior. Many elasmobranch species communicate via body and fin postures, but it is not yet known if or how mobulid rays communicate or respond to cues produced by conspecifics. These rays have specialized cephalic lobes that are highly flexible and used in feeding, but may have other functions such as gestural communication. In this study, we developed a standardized method to assess manta ray behavior in the wild via focal sampling and frame-by-frame video analysis. From observations recorded at cleaning stations in Raja Ampat, West Papua, we described various types of cephalic lobe positioning and movements made by free-ranging M. alfredi and investigated these in different behavioral contexts. We found that cephalic lobe curls were modulated when approaching both conspecifics and human divers, as well as during interactions with cleaner fish, suggesting that these lobes may be used in sensing water movements, olfactory sensing, and/or gestural communication. Cephalic lobes were moved independently of one another, but we found no evidence of individual laterality. The lack of chemosensory capacity on the lobes suggests that gestural communication is the most likely function, but further research is required to determine this. These results are informative in understanding the function of gestural communication in manta ray social interactions and add to our growing understanding of elasmobranchs' sophisticated social behavior.Significance statementSocial animals rely on communication and cues produced by conspecifics to respond to opportunities and threats. Many elasmobranch species use body and fin postures as gestural signals during competitive, courtship, and other social interactions. Reef manta rays (Mobula alfredi) are social elasmobranchs that form groups in near-shore, shallow water habitats. They possess paired, flexible cephalic lobes positioned on the side of the head which are specialized for feeding but may have a variety of functions. Here, we describe, quantify, and suggest likely explanations for the movement and positioning of cephalic lobes during various manta ray social behaviors, including conspecific, human, and cleaner fish interactions. Our results suggest that lobe movements may be used in detecting water movements, olfactory sensing, and/or gestural communication, and are an important aspect of social behavior in this species.</t>
  </si>
  <si>
    <t>Brown, Culum/S-9826-2017</t>
  </si>
  <si>
    <t>Brown, Culum/0000-0002-0210-1820; Sofronov, Georgy/0000-0001-5342-7559; Perryman, Robert/0000-0001-7632-0041</t>
  </si>
  <si>
    <t>10.1007/s00265-021-02973-x</t>
  </si>
  <si>
    <t>WOS:000620172500001</t>
  </si>
  <si>
    <t>Bogale, BA; Aoyama, M; Sugita, S</t>
  </si>
  <si>
    <t>Bogale, Bezawork Afework; Aoyama, Masao; Sugita, Shoei</t>
  </si>
  <si>
    <t>Categorical learning between 'male' and 'female' photographic human faces in jungle crows (Corvus macrorhynchos)</t>
  </si>
  <si>
    <t>We trained jungle crows to discriminate among photographs of human face according to their sex in a simultaneous two-alternative task to study their categorical learning ability. Once the crows reached a discrimination criterion (greater than or equal to 80% correct choices in two consecutive sessions; binomial probability test, p &lt; .05), they next received generalization and transfer tests (i.e., greyscale, contour, and 'full' occlusion) in Experiment 1 followed by a 'partial' occlusion test in Experiment 2 and random stimuli pair test in Experiment 3. Jungle crows learned the discrimination task in a few trials and successfully generalized to novel stimuli sets. However, all crows failed the greyscale test and half of them the contour test. Neither occlusion of internal features of the face, nor randomly pairing of exemplars affected discrimination performance of most, if not all crows. We suggest that jungle crows categorize human face photographs based on perceptual similarities as other non-human animals do, and colour appears to be the most salient feature controlling discriminative behaviour. However, the variability in the use of facial contours among individuals suggests an exploitation of multiple features and individual differences in visual information processing among jungle crows. (C) 2010 Elsevier B.V. All rights reserved.</t>
  </si>
  <si>
    <t>10.1016/j.beproc.2010.10.002</t>
  </si>
  <si>
    <t>WOS:000286861200015</t>
  </si>
  <si>
    <t>Safran, RJ</t>
  </si>
  <si>
    <t>Safran, Rebecca J.</t>
  </si>
  <si>
    <t>Settlement patterns of female barn swallows Hirundo rustica across different group sizes:: access to colorful males or favored nests?</t>
  </si>
  <si>
    <t>In most avian species, individuals are faced with two critical decisions at the start of a breeding season: choosing a breeding site and a mate. An analysis of these decisions in light of population-level patterns, such as group size variation in social breeders, can illuminate the causes and patterns of habitat selection behavior. Group sizes are variable in barn swallows; however, no clear and consistent benefits of group breeding have been found in this species, and it is puzzling as to why individuals breed socially. Previous analyses demonstrated that individuals aggregate to gain access to nests that were constructed during previous seasons; however extra-pair matings are also prevalent in this species, raising questions about the mate-selection strategies of females across different group sizes. In this paper, I address the question of how females make their first site-selection decisions in terms of two features known to be causally related to seasonal reproductive success: (1) colorful males or (2) old nests. Using experimental and observational data, I tested, but found no support for, the hypotheses that propose female settlement decisions are a function of (1) the prevalence of colorful males or (2) the increased opportunity for extra-pair matings at group sites. Instead, it is apparent that female settlement patterns are strongly tied to the availability of old nests at a site. Extra-pair fertilizations are equally common across all group sizes in this population, suggesting that females do not face a trade-off between old nests and the possibility of extra-pair mating decisions when making settlement decisions.</t>
  </si>
  <si>
    <t>10.1007/s00265-007-0366-6</t>
  </si>
  <si>
    <t>WOS:000247256000005</t>
  </si>
  <si>
    <t>Zarske, A</t>
  </si>
  <si>
    <t>Zarske, Axel</t>
  </si>
  <si>
    <t>On Systematics of some Blutsalmler or Rosy Tetra Rosy Tetras (Teleostei: Ostariophysi: Characidae)</t>
  </si>
  <si>
    <t>The species Hyphessobrycon bentosi DURBIN in EIGENMANN, 1908, Hyph. jackrobertsi spec. nov., Hyph. paepkei spec. nov., Hyph. sweglesi (GERY, 1961) and Hyphessobrycon dorsalis spec. nov. are described after a short historical introduction. Hyph. bentosi and Hyph. robertsi are treated as valid species contrary to WEITZMAN &amp; PALMER (1997 if) and Hyph. robertsi is scientifically described for the first time as Hyph. jackrobertsi spec. nov. The name Hyph. robertsi is broadly distributed in the literature but no valid description was found. Hyphessobrycon bentosi from the surroundings of Obidos (type-locality) is characterized by its (1) relatively low body. The body depth is 2.85 (2.67 to 3.17) times in SL. (2) Maxillary bone with three to eight (to ten; (X) over barR=5.25) conical or tricuspid teeth. (3) Anal-fin with 23 to 26 branched fin rays ((X) over bar =24.71). (4) 30 to 32 longitudinal scales ((X) over bar =31.54). (5) 5/1/4 transversal scales before the dorsal-fin. (6) The fin rays of the dorsal-fin reach not to the adipose-fin in adults. (7) An sexual dimorphism in the dorsal- and anal-fin as in Hyph. jackrobertsi spec. nov. and Hyph. paepkei spec. nov. is not developed. (8) The basic coloration of the body is plain olive brown and not so intensive red as in Hyph. jackrobertsi spec. nov. Hyph. jackrobertsi spec. nov. from the rio Pastaza basin of Peru is characterized by (1) a relatively high body (body depth 2.48 (2.31 to 2.73) time in SL) and (2) a longer anal- and dorsal-fin rays. There are intersects between Hyph. jackrobertsi spec. nov. and Hyph. bentosi in the body depth in juvenile specimens, adults are well differentiated. Hyph. jackrobertsi spec. nov. is similar to Hyph. bentosi in the number of maxillary teeth (five to nine conical or tricuspid teeth ((X) over bar =6.95)). Hyphessobrycon paepkei spec. nov. from the rio Demini basin of Brazil if differentiated by all known members of the rosy-tetra-group (except Hyph. melanopterus (EIGENMANN, 1915)) by its (1) higher number of maxillary teeth (14 to 21 conical to tricuspid teeth ((X) over bar =15.98) and (2) the shape of anal-fin. There are two color forms of Hyph. sweglesi (GERY, 1961), which are conspecific, similar to Hyph roseus (GERY, 1960). Hyphessobrycon dorsalis spec. nov. from the rio Caures basin of Brazil is characterized by the following combination of features (1) a relatively elongated body (body depth 3,59 (3.41 to 3.76) times in SL), (2) basis of caudal-fin with two large scales, (3) praemaxillary bone with two rows of teeth (two tricuspid teeth, seldom one tricuspid tooth in the external row and six tricuspid teeth in the internal row), (4) maxillary bone with three to four tricuspid teeth, (5) anal-fin with iii 21 to 23 rays, (6) scales: 4-51(5-7)31-32/3, (7) a distinctly developed pseudotympanum, (8) a black spot in the dorsal-fin and (9) no humeral spot.</t>
  </si>
  <si>
    <t>WOS:000341406400001</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</si>
  <si>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</si>
  <si>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</si>
  <si>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</si>
  <si>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</si>
  <si>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Pérez-Rodríguez, Lorenzo/G-1811-2011; Mougeot, Francois/B-1894-2009; Mougeot, Francois/Y-9569-2019; Martinez-Padilla, Jesus/C-6446-2008; Redpath, Stephen/B-4640-2012</t>
  </si>
  <si>
    <t>Pérez-Rodríguez, Lorenzo/0000-0002-5926-1438; Mougeot, Francois/0000-0002-5819-6275; Mougeot, Francois/0000-0002-5819-6275; Martinez-Padilla, Jesus/0000-0003-2956-5163; Redpath, Stephen/0000-0001-5399-9477</t>
  </si>
  <si>
    <t>10.1111/j.1365-2435.2007.01302.x</t>
  </si>
  <si>
    <t>WOS:000249165000008</t>
  </si>
  <si>
    <t>Jiang, YG; Sheng, F; Belkaya, N; Platt, ML</t>
  </si>
  <si>
    <t>Jiang, Yaoguang; Sheng, Feng; Belkaya, Naz; Platt, Michael L.</t>
  </si>
  <si>
    <t>Oxytocin and testosterone administration amplify viewing preferences for sexual images in male rhesus macaques</t>
  </si>
  <si>
    <t>Social stimuli, like faces, and sexual stimuli, like genitalia, spontaneously attract visual attention in both human and non-human primates. Social orienting behaviour is thought to be modulated by neuropeptides as well as sex hormones. Using a free viewing task in which paired images of monkey faces and anogenital regions were presented simultaneously, we found that male rhesus macaques overwhelmingly preferred to view images of anogenital regions over faces. They were more likely to make an initial gaze shift towards, and spent more time viewing, anogenital regions compared with faces, and this preference was accompanied by relatively constricted pupils. On face images, monkeys mostly fixated on the forehead and eyes. These viewing preferences were found for images of both males and females. Both oxytocin (OT), a neuropeptide linked to social bonding and affiliation, and testosterone (TE), a sex hormone implicated in mating and aggression, amplified the pre-existing orienting bias for female genitalia over female faces; neither treatment altered the viewing preference for male anogenital regions over male faces. Testosterone but not OT increased the probability of monkeys making the first gaze shift towards female anogenital rather than face pictures, with the strongest effects on anogenital images of young and unfamiliar females. Finally, both OT and TE promoted viewing of the forehead region of both female and male faces, which display sexual skins, but decreased the relative salience of the eyes of older males. Together, these results invite the hypothesis that both OT and TE regulate reproductive behaviours by acting as a gain control on the visual orienting network to increase attention to mating-relevant signals in the environment.This article is part of the theme issue 'Interplays between oxytocin and other neuromodulators in shaping complex social behaviours'.</t>
  </si>
  <si>
    <t>PLATT, MICHAEL/0000-0003-3912-8821; Jiang, Yaoguang/0000-0002-4354-3019</t>
  </si>
  <si>
    <t>AUG 29</t>
  </si>
  <si>
    <t>10.1098/rstb.2021.0133</t>
  </si>
  <si>
    <t>WOS:000823209300013</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</si>
  <si>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</si>
  <si>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</si>
  <si>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</si>
  <si>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Lopez, Pilar/K-6221-2014; Veiga, José/AAV-1687-2020; Salvador, Alfredo/K-1670-2014; martin, jose/B-1073-2014</t>
  </si>
  <si>
    <t>10.1093/beheco/7.2.145</t>
  </si>
  <si>
    <t>WOS:A1996UK92900006</t>
  </si>
  <si>
    <t>Fornazari, GA; Saldanha, A; Lange, RR; Froes, T; Klem, D; Moore, BA; Montiani-Ferreira, F</t>
  </si>
  <si>
    <t>Fornazari, Gabrielle Adad; Saldanha, Andre; Lange, Rogerio Ribas; Froes, Tilde; Klem, Daniel, Jr.; Moore, Bret A.; Montiani-Ferreira, Fabiano</t>
  </si>
  <si>
    <t>Window Collisions by Birds in Brazil: Epidemiologic Factors and Radiographic and Necropsy Assessments</t>
  </si>
  <si>
    <t>JOURNAL OF AVIAN MEDICINE AND SURGERY</t>
  </si>
  <si>
    <t>Birds are among the most visually proficient group of animals on the planet; however, their inability to visualize and discriminate translucent glass structures results in an extreme number of deaths worldwide from high-speed collisions. Despite reports of avian glass collisions in North America, only a few studies have been developed to understand this problem in South America, and none evaluated radiographic and postmortem findings. One hundred cadavers were examined radiographically and postmortem, and data from 186 collision reports were analyzed for seasonality (website and manual reports and cadavers). A total of 34 different species of birds within 22 families were evaluated for this study, with the rufous-bellied thrush (Turdus rufiventris; n = 12), eared dove (Zenaida auriculata; n = 12), and ruddy ground dove (Columbina talpacoti; n = 10) being the most common species. Only 6 (27.7%) migratory species were reported: Sick's swift (Chaetura meridionalis), small-billed elaenia (Elaenia parvirostris), Black Jacobin (Florisuga fusca), Great kiskadee (Pitangus sulphuratus), Double- collared seedeater (Sporophila caerulescens), and Creamy-bellied thrush (Turdus amaurochalinus). Males (51) were more frequently reported than females (5), and 50.1% of the males had active gonads. Sex was unable to be determined in 44 birds. The most common radiographic lesion, noted in 16 of 82 (19.5%) animals, was loss of coelomic definition, suggestive of hemorrhage. Prevalent postmortem findings included skull hemorrhages (58/75, 77.3%) and encephalic contusions (47/73, 64.4%), followed by coelomic hemorrhages (33/81, 40.7%). Most of the window collisions (61/186, 32.8%) occurred during spring, the most common breeding season of avian species in Brazil. Cranioencephalic trauma was identified as the primary cause of mortality associated with birds flying into glass windows. Migration does not appear to be the main predisposing factor for window collisions by birds in Brazil. Increased activity and aggression related to breeding season, especially in males, may be a more important predisposing factor for window collision accidents.</t>
  </si>
  <si>
    <t>Montiani-Ferreira, Fabiano/D-8888-2015; Froes, Tilde Rodrigues/HGU-5422-2022</t>
  </si>
  <si>
    <t>Froes, Tilde Rodrigues/0000-0002-7802-2598</t>
  </si>
  <si>
    <t>1082-6742</t>
  </si>
  <si>
    <t>1938-2871</t>
  </si>
  <si>
    <t>10.1647/20-00009</t>
  </si>
  <si>
    <t>WOS:000704164200007</t>
  </si>
  <si>
    <t>Barcelo-Serra, M; Gordo, O; Gonser, RA; Tuttle, EM</t>
  </si>
  <si>
    <t>Barcelo-Serra, Margarida; Gordo, Oscar; Gonser, Rusty A.; Tuttle, Elaina M.</t>
  </si>
  <si>
    <t>Behavioural polymorphism in wintering white-throated sparrows, Zonotrichia albicollis</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</si>
  <si>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</si>
  <si>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Barcelo-Serra, Margarida/M-7048-2019; Tuttle, Elaina M/A-1485-2016; Gordo, Oscar/A-4701-2013</t>
  </si>
  <si>
    <t>Barcelo-Serra, Margarida/0000-0002-2752-0896; Gordo, Oscar/0000-0003-3766-0566</t>
  </si>
  <si>
    <t>10.1016/j.anbehav.2020.04.002</t>
  </si>
  <si>
    <t>WOS:000539211900009</t>
  </si>
  <si>
    <t>Cong, Q; Zhang, J; Shen, JH; Cao, XL; Brévignon, C; Grishin, NV</t>
  </si>
  <si>
    <t>Cong, Qian; Zhang, Jing; Shen, Jinhui; Cao, Xiaolong; Brevignon, Christian; Grishin, Nick, V</t>
  </si>
  <si>
    <t>Speciation in North American Junonia from a genomic perspective</t>
  </si>
  <si>
    <t>Delineating species boundaries in phylogenetic groups undergoing recent radiation is a daunting challenge akin to discretizing continuity. Here, we propose a general approach exemplified by American butterflies from the genus Junonia Hubner notorious for the variety of similar phenotypes, ease of hybridization, and the lack of consensus about their classification. We obtain whole-genome shotgun sequences of about 200 specimens. We reason that discreteness emerges from continuity by means of a small number of key players, and search for the proteins that diverged markedly between sympatric populations of different species, while keeping low polymorphism within these species. Being 0.25% of the total number, these three dozen 'speciation' proteins indeed partition pairs of Junonia populations into two clusters with a prominent break in between, while all proteins taken together fail to reveal this discontinuity. Populations with larger divergence from each other, comparable to that between two sympatric species, form the first cluster and correspond to different species. The other cluster is characterized by smaller divergence, similar to that between allopatric populations of the same species and comprise conspecific pairs. Using this method, we conclude that J. genoveva (Cramer), J. litoralis Brevignon, J. evarete (Cramer), and J. divaricata C. &amp; R. Felder are restricted to South America. We find that six species of Junonia are present in the United States, one of which is new: Junonia stemosa Grishin, sp.n. (i), found in south Texas and phenotypically closest to J. nigrosuffusa W. Barnes &amp; McDunnough (ii) in its dark appearance. In the pale nudum of the antennal club, these two species resemble J. zonalis C. &amp; R. Felder (iii) from Florida and the Caribbean Islands. The pair of sister species, J. grisea Austin &amp; J. Emmel (iv) and J. coenia Hubner (v), represent the classic west/east U.S.A. split. The mangrove feeder (as caterpillar), dark nudum J. neildi Brevignon (vi) enters south Texas as a new subspecies Junonia neildi varia Grishin ssp.n. characterized by more extensive hybridization with and introgression from J. coenia, and, as a consequence, more variable wing patterns compared with the nominal J. n. neildi in Florida. Furthermore, a new mangrove-feeding species from the Pacific Coast of Mexico is described as Junonia pacoma Grishin sp.n. Finally, genomic analysis suggests that J. nigrosuffusa may be a hybrid species formed by the ancestors of J. grisea and J. stemosa sp.n. This published work has been registered on Zoobank, .</t>
  </si>
  <si>
    <t>Zhang, Jing/0000-0003-4190-3065; Cong, Qian/0000-0002-8909-0414</t>
  </si>
  <si>
    <t>10.1111/syen.12428</t>
  </si>
  <si>
    <t>FEB 2020</t>
  </si>
  <si>
    <t>WOS:000516977500001</t>
  </si>
  <si>
    <t>Loader, A; Rose, P</t>
  </si>
  <si>
    <t>Loader, Abbie; Rose, Paul</t>
  </si>
  <si>
    <t>Age-Related Change in the Association Choices of Two Species of Juvenile Flamingos</t>
  </si>
  <si>
    <t>Simple Summary: Flamingos are highly social birds that live in large flocks. Flamingos are commonly housed in zoological collections but can be challenging to breed regularly. The characteristic bright pink plumage colour of adult birds develops over time. Anecdotally, young flamingos have been observed to appear on the edges of flamingo flocks. Therefore, this project aimed to measure the social behaviour of juvenile flamingos and record where they were found in two zoo enclosures for two species of flamingo. This project identified that juvenile flamingos prefer to spend time with birds of their own age and are most commonly seen on the periphery of their flock. However, this can be dependent on species and situation (e.g., management impacts on flock structure). We suggest improvements to flamingo enclosures to provide quality, accessible resources for all individuals of all ages that are housed under human care. Flamingos are colonial species commonly kept in zoos, well known for their bright plumage and elaborate courtship displays. This project aimed to determine the differences in flock position and association preferences of juvenile Greater Flamingos (Phoenicopterus roseus) and Caribbean Flamingos (P. ruber) housed in the same zoological collection. Little research has been conducted on the association preferences of juvenile flamingos, especially in captive flocks, and therefore this study collected data using photographs taken throughout 2014 and 2015 to further understand association patterns. Data were collected on the age category of each juvenile flamingo observed, the age of their nearest neighbour and their position within the flock, and the location within an enclosure zone at different times of the day. The results showed that Greater Flamingo juveniles mainly associated with individuals of their own age and were most likely positioned at the periphery of their flock significantly more of the time until approximately 24 months of age. Sub-adult Greater Flamingos spent significantly more time associating with adult flamingos at the centre of the flock. In contrast, data collected on Caribbean Flamingos indicated that juveniles did not segregate themselves from the adults as distinctively. Birds aged 13-24 months were observed significantly more at the centre of the flock and had more associations with adult flamingos, in a similar manner to that observed in Greater Flamingos. Due to population management needs, juvenile Caribbean Flamingos were removed from the flock at the start of 2015 and this may have influenced the association and location preferences of the remaining young flamingos. In conclusion, these results indicated that captive juvenile flamingos were often seen away from adult birds and that sub-adult flamingos returned to the heart of their natal flock to associate significantly more with other adult individuals, potentially preparing for mate selection and breeding. Captive enclosure should therefore be spacious enough to enable young flamingos to remove themselves from adult birds so that behavioural development can be unaffected by artificially high rates of aggression.</t>
  </si>
  <si>
    <t>10.3390/ani13162623</t>
  </si>
  <si>
    <t>WOS:001055601600001</t>
  </si>
  <si>
    <t>Mondaca, J</t>
  </si>
  <si>
    <t>Mondaca, Jose</t>
  </si>
  <si>
    <t>A checklist of the Scarabaeoidea (Coleoptera) of Chile with exemplar live- photographed</t>
  </si>
  <si>
    <t>An updated list of the Scarabaeoidea (Coleoptera) species registered in Chile is given, which includes current names, synonyms, and photographs of live specimens of 88 species. The photographs cover 35% of the species present in the country, with all families represented except for Glaresidae and Ochodaeidae. For each species, the geographical distribution is presented from north to south by administrative regions of the country. For species shared with neighboring countries, the distribution by provinces or departments is indicated, while for those that have a worldwide distribution, the countries, or regions where they have been reported are cited. This list includes species whose presence in continental and insular Chile has been verified and confirmed by studying specimens from collections, excluding all records considered erroneous. The systematic ordering is carried out at the family, subfamily, and tribe level following the current classification of the group; genera and species are presented in alphabetical order. Paranimbus peruanus (Erichson) (Aphodiinae) is recorded for the first time in Chile based on specimens collected in the locality of Visviri (Arica and Parinacota Region). The known distribution is extended for the following species: Allidiostoma landbecki (Philippi), A. simplicifrons (Fairmaire), Archophileurus chaconus Kolbe, Brachysternus germaini (Ohaus), Chiasognathus beneshi Lacroix, Cyclocephala modesta Burmeister, Frickius costulatus Germain, Martinezostes posticus (Germar), Martinezostes ruizi Gutierrez, Megathopa villosa Eschscholtz, Oogenius chilensis Ohaus, O. kuscheli Gutierrez, Oryctomorphus maculicollis Guerin-Meneville, Paranimbus zoai Dellacasa, Paranomala undulata peruviana (Guerin-Meneville), Phytholaema fenestra Smith &amp; Mondaca, Tesserodoniella meridionalis Vaz-de-Mello &amp; Halffter, Macrodactylus farinosus Philippi, and Ulata argentina Saylor. Considering the great morphological variability and differences in the color pattern of the integument, Chiasognathus grantii holometallicus Rataj, 2012 and Chiasognathus megalodon Rataj, 2013 are considered new synonyms of Chiasognathus grantii Stephens, 1831. The study of the syntype of Copris punctatissima Curtis, 1844 confirms that this species belongs to the genus Homocopris Burmeister, 1846 and that is not conspecific with H. torulosus (Eschscholtz, 1822), therefore, the combination Homocopris punctatissimus (Curtis, 1844) new combination is established. The study of the syntype of Copris valdiviana Philippi, 1859 confirms that this species is a synonymy of Homocopris torulosus and not of H. puntatissimus. The morphological study of specimens of the genus Germarostes Paulian, 1982 and the comparison with Chilean specimens of Germarostes posticus (Germar, 1843), confirms that this last species really belongs to the genus Martinezostes Paulian, 1982, therefore, the combination Martinezostes posticus (Curtis, 1843) new combination is established. Based on the inconsistencies that exist with the current definition of the subfamily Melolonthinae, and on the results of a previous phylogenetic analysis, Lichniini is elevated to the category of subfamily, placing Lichniinae new status very close to Aclopinae. There are 79 genera, 251 species and 10 subspecies of Scarabaeoidea in Chile, belonging to the families Geotrupidae (three genera, 10 species), Glaresidae (one genus, one species), Hybosoridae (one genus, six species), Trogidae (one genus, 11 species), Lucanidae (nine genera, 31 species, nine subspecies), Ochodaeidae (one genus, one species), and Scarabaeidae (63 genera, 191 species, one subspecies). In addition, Onthophagus pilauco Tello, Verdu, Rossini, &amp; Zunino, 2021, the first fossil scarab from Chile, is included. Approximately 58% of the listed species are endemic to the country, 39% are native to South America and 3% correspond to introduced species with a wide global distribution.</t>
  </si>
  <si>
    <t>Mondaca, José/HHM-3924-2022; Mondaca, José Gerardo/GRJ-9860-2022</t>
  </si>
  <si>
    <t>Mondaca, José Gerardo/0000-0002-6398-476X; Mondaca, Jose/0000-0003-0478-3877</t>
  </si>
  <si>
    <t>MAY 16</t>
  </si>
  <si>
    <t>10.11646/zootaxa.5285.2.1</t>
  </si>
  <si>
    <t>WOS:000996486900001</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</si>
  <si>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</si>
  <si>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</si>
  <si>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</si>
  <si>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</si>
  <si>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Arnedo Pozuelo, Maria Teresa/0000-0002-7582-160X; Salvador, Alicia/0000-0002-8686-8083; GONZALEZ-BONO, ESPERANZA/0000-0001-8835-4505</t>
  </si>
  <si>
    <t>10.1016/S0091-3057(99)00189-6</t>
  </si>
  <si>
    <t>WOS:000084842500018</t>
  </si>
  <si>
    <t>Vasdal, G; Kittelsen, KE; Tahamtani, F</t>
  </si>
  <si>
    <t>Vasdal, G.; Kittelsen, K. E.; Tahamtani, F.</t>
  </si>
  <si>
    <t>Effect of light sources with and without UVA on selected behavior and health indicators in commercial broiler breeder flocks</t>
  </si>
  <si>
    <t>As new light sources are being developed for poultry houses, systematic investigations on how these influence behavior and health in commercial broiler breeders are needed. Therefore, the aim of this study was to investigate the effects of 2 light sources (Evolys with UVA (LED) and Biolux 965 (CFL)) on the behavior and health of 2 broiler breeder hybrids during the production period. Eight commercial breeder flocks (Ross 308 n = 4, Hubbard JA757 n = 4) with Evolys (Ross n = 2, Hub-bard n = 2) or Biolux (Ross n = 2, Hubbard n = 2) were visited at 25 and 50 wk of age to record behavior and health. Behaviors included resting, locomotion, explora-tion, comfort, feather pecking, aggression, and mating, while health was recorded by a transect walk, scoring the number of birds observed with: feather loss (FL) on head, back/wings, breast, and tail, wounds on head, back/wings, and tail, dirty plumage, lameness, sickness, and dead birds. The most common behaviors were rest-ing, locomotion, comfort, and exploration, and these were influenced by a 3-way interaction between light source, hybrid, and age. Light source did not affect behavior in Hubbard birds at any age. In contrast, Ross birds housed in Evolys rested less at 50 wk compared to Biolux (P = 0.04) and showed more locomotion at 25 wk in Bio-lux compared to Evolys (P &lt; 0.0001). Ross birds at 25 wk explored more in Biolux compared to Evolys (P = 0.0007). More comfort behavior was performed in Evolys in 25-wk-old Ross (P = 0.002), but not at 50 wk. These inconsistencies might be due to low sample size, which is a limitation in the study. The most common health indicators were FL on back/wings (mean 3.9%), wounds on back/wings (mean 0.22%), and FL head (mean 0.18%), with no effect of light source, hybrid, or age on FL back/wings, breast, or tail, but with increased FL on the head with increased age (P = 0.0008). In con-clusion, the behavior of Ross birds seemed to be affected by light source, while the Hubbard birds were not. Light source had minor effects on the selected health indicators in the 2 hybrids.</t>
  </si>
  <si>
    <t>10.1016/j.psj.2023.102927</t>
  </si>
  <si>
    <t>WOS:001046665000001</t>
  </si>
  <si>
    <t>Lahti, DC; Lahti, AR</t>
  </si>
  <si>
    <t>How precise is egg discrimination in weaverbirds?</t>
  </si>
  <si>
    <t>The village weaverbird, Ploceus cucullatus, lays eggs of an extremely broad range of appearance between individuals. This variation is thought to have evolved as a counteradaptation to brood parasitism by the diederik cuckoo Chrysococcyx caprius. The primary objective of our study was to characterize the relationship between egg appearance and egg. rejection in the African village weaverbird. We test predictions of three hypotheses, in a study in. The Gambia, West Africa: (1) interindividual egg variability permits individuals to discriminate between own and foreign eggs by rejecting eggs in proportion to the difference in appearance from their own; (2) village weavers remember the appearance of their own eggs and do not require a discordancy within their clutch, nor even the presence of one of their own eggs, in order to distinguish a foreign egg as such; and (3) colour and speckling contain the signature information by which village weavers can distinguish their eggs from foreign ones; whereas shape and mass, being less reliable, do not. We analysed rejection behaviour according to egg appearance differences by logistic regression. Results supported all three hypotheses. We estimated the predictive efficacy of our model, the amount of explained variation and the relative contribution of various egg appearance factors to discrimination by the host. These results are consistent with the hypothesis that. interindividual egg variation in this species facilitates offspring recognition and is a counteradaptation to either interspecific or intraspecific brood parasitism. (C) 2002 The. Association. for the Study of Animal Behaviour. Published by Elsevier Science Ltd. All rights reserved.</t>
  </si>
  <si>
    <t>10.1006/anbe.2002.3009</t>
  </si>
  <si>
    <t>WOS:000177715700012</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</si>
  <si>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</si>
  <si>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</si>
  <si>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</si>
  <si>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</si>
  <si>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</si>
  <si>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Schwarzová, L; Fuchs, R; Frynta, D</t>
  </si>
  <si>
    <t>Schwarzova, Lucie; Fuchs, Roman; Frynta, Daniel</t>
  </si>
  <si>
    <t>Delayed plumage maturation correlates with testosterone levels in Black Redstart Phoenicurus ochruros males</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</si>
  <si>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</si>
  <si>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Fuchs, Roman/AFT-2379-2022; Schwarzova, Lucie/B-4635-2017; Frynta, Daniel/L-7350-2016</t>
  </si>
  <si>
    <t>Fuchs, Roman/0000-0001-6511-3207; Schwarzova, Lucie/0000-0001-5773-859X; Frynta, Daniel/0000-0002-1375-7972</t>
  </si>
  <si>
    <t>10.3161/000164510X516146</t>
  </si>
  <si>
    <t>WOS:000280387600010</t>
  </si>
  <si>
    <t>Mulvihill, RS; Cunkelman, A; Quattrini, L; O'Connell, TJ; Masters, TL</t>
  </si>
  <si>
    <t>Opportunistic polygyny in the Louisiana Waterthrush</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</si>
  <si>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</si>
  <si>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t>
  </si>
  <si>
    <t>O'Connell, Timothy/0000-0001-8215-2670</t>
  </si>
  <si>
    <t>10.1676/0043-5643(2002)114[0106:OPITLW]2.0.CO;2</t>
  </si>
  <si>
    <t>WOS:000178580800010</t>
  </si>
  <si>
    <t>OTTAWAY, JR; CARRICK, R; MURRAY, MD</t>
  </si>
  <si>
    <t>REPRODUCTIVE ECOLOGY OF SILVER GULLS, LARUS-NOVAEHOLLANDIAE STEPHENS, IN SOUTH-AUSTRALIA</t>
  </si>
  <si>
    <t>AUSTRALIAN WILDLIFE RESEARCH</t>
  </si>
  <si>
    <t>Aspects of the reproductive ecology of silver gulls, Larus novaehollandiae Stephens, were studied in South Australia during 1968-78. Some 15950 pulli and 597 breeding adults were banded on 15 colonies, using numbered and coloured leg bands designed for identification of free-living individuals without the necessity of recapture. Nine colonies were on marine islands, four were on lacustrine islands, one was on a port breakwater, and one was on causeways in a saltworks complex. Fidelity to colony, mate and nest-site, and timing of breeding are considered in detail. The spatial relationship of adult and immature gulls, on the colony studied in greatest detail, and reproductive longevity of the gulls are also discussed. The gulls nested from June to December inclusive, although the commencement and length of breeding seasons varied between colonies and between years. There was a marked absence of 1-year-old gulls on breeding colonies. Of 3550 pulli banded on the major study colony, Penguin Island (37.degree.30''S., 140.degree.01''E.) at Beachport, in 1968, 950 were known to be alive in the 1970 breeding season. Almost 40% of these 2-year-olds were seen on breeding colonies, and mostly on the natal colony; however, only 0.3% were known to raise pulli, and a further 0.7% to produce eggs. Significant breeding activity therefore did not commence until the end of the third year, or later. The older, previously established breeders on Penguin Island were significantly more successful, and had significantly earlier laying dates, than younger birds. Potential reproductive longevity appears to be at least 11 breeding seasons. In this study, silver gulls showed considerably less fidelity to nest-sites and colonies than has been suggested previously. Significant shifts of nest-site, or change of colony, with or without the previous mate, were not uncommon. Of gulls banded on nests as established breeding adults, 7-44% of gulls found breeding in subsequent years were at colonies other than the one where banded. In 1970, over 80% of 2-year-old gulls recorded present on any colony were only recorded on the natal one. Of the pulli banded on Penguin Island in 1968 and 1969 and later found actually nesting or breeding, 18% were recorded on other colonies. A small percentage of gulls were seen to have high fidelity to nest-site and to mate over 3 or 4 seasons, but it is suggested that, for some colonies, over 50% of silver gulls which eventually breed may do at colonies other than natal. Significant spatial separation was found on Penguin Island between areas generally occupied by established breeders, which were known to be at least 4-year-olds, and by the 2-year-olds. The older birds may select and hold the territories most suitable for nesting, where vegetation or topography minimise intraspecific aggression which often leads to high mortality rates of eggs and pulli, and assist protection and eggs and pulli from extreme weather. Non-breeding gulls associating with the colonies occasionally move into the nesting areas, but are aggressively forced away and tend to congregate on the periphery of the colony or on exposed areas not suitable for successful breeding.</t>
  </si>
  <si>
    <t>0310-7833</t>
  </si>
  <si>
    <t>WOS:A1988U589900008</t>
  </si>
  <si>
    <t>Seifert, B</t>
  </si>
  <si>
    <t>Seifert, Bernhard</t>
  </si>
  <si>
    <t>Analyzing large-scale and intranidal phenotype distributions in eusocial Hymenoptera - a taxonomic tool to distinguish intraspecific dimorphism from heterospecificity</t>
  </si>
  <si>
    <t>MYRMECOLOGICAL NEWS</t>
  </si>
  <si>
    <t>Ant and termite nests are long-term stable, semi-closed systems constantly producing conspecific worker populations of related individuals over many generations. Accordingly, nests of these eusocial insects, as they are found in nature, offer free of cost an analysis situation that has to be generated in other groups of organisms by controlled rearing experiments. A test system based on analyzing intranidal and large-scale phenotype distributions and comparing the observed distributions with predictions for different scenarios of heterospecificity and intraspecific dimorphism is introduced by a case study on ants. The test system, named DIMORPH test, allows a taxonomist to distinguish if discrete character syndromes represent separate species or an intraspecific phenomenon. One of the most important parameters within the test system is the abundance and distribution of phenotypically mixed nest populations. Five biological explanations are possible for ant nests with a mixture of discrete phenotypes: They may represent (1) genetically determined intraspecific morphs, (2) intraspecific modifications induced by environmental factors, (3) the association of a temporary social parasite with a host species, (4) the association of a permanent social parasite with a host species, and (5) a parabiotic association of two basically independent (self-sustaining) species. The paper explains the biological background of the scenarios (1) to (5) and presents mathematical models and generalizations from empirical data to predict phenotype distributions for each scenario under variable conditions. Four cases of intraspecific dimorphism and five cases of taxonomically recognized pairs of cryptic or similar species are presented and analyzed. The observed intranidal phenotype distribution was most similar to the predicted scenario of intraspecific dimorphism in Camponotus lateralis (OLIVIER, 1792), Lasius umbratus (NYLANDER, 1846), Formica lugubris ZETTERSTEDT, 1838, and Cardiocondyla elegans EMERY, 1869. In three of these examples, intraspecific morphs had been considered previously as different species. Heterospecificity was confirmed for four pairs of cryptic species and one pair of closely related species: Formica pressilabris NYLANDER, 1846 vs. F. foreli BONDROIT, 1918, Temnothorax crassispinus (KARAVAJEV, 1926) vs. T. crasecundus SEIFERT &amp; CSOSZ, 2015, Temnothorax luteus (FOREL, 1874) vs. T. racovitzai (BONDROIT, 1918), two cryptic species of the Pheidole pallidula (NYLANDER, 1849) complex, and Myrmica vandeli BONDROIT, 1920 vs. M. scabrinodis NYLANDER, 1846. The phenotype-based DIMORPH test can be applied to the large worldwide collections of mounted museum material or private collections of ants independent from age or DNA degradation and can thus operate in fields where genetic investigation faces analytical and logistic problems and where controlled rearing experiments are not possible. The system can be adapted, with some modification, to other groups of eusocial organisms.</t>
  </si>
  <si>
    <t>1994-4136</t>
  </si>
  <si>
    <t>WOS:000383924400005</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</si>
  <si>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</si>
  <si>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</si>
  <si>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</si>
  <si>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</si>
  <si>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</si>
  <si>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</si>
  <si>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</si>
  <si>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</si>
  <si>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</si>
  <si>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</si>
  <si>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</si>
  <si>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</si>
  <si>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</si>
  <si>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</si>
  <si>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</si>
  <si>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</si>
  <si>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Niels/ABE-6880-2020</t>
  </si>
  <si>
    <t>Dingemanse, Niels/0000-0003-3320-0861</t>
  </si>
  <si>
    <t>10.1093/beheco/arh115</t>
  </si>
  <si>
    <t>WOS:000224482000019</t>
  </si>
  <si>
    <t>Lyon, BE</t>
  </si>
  <si>
    <t>Spatial patterns of shiny cowbird brood parasitism on chestnut-capped blackbirds</t>
  </si>
  <si>
    <t>Shiny cowbirds, Molothrus bonariensis, parasitized a high frequency (average 48%) of nests in five colonies of chestnut-capped blackbirds, Agelaius ruficapillus, in Argentina. Two distinct egg morphs occurred, spotted and immaculate white eggs, as well as a few very lightly spotted intermediate eggs. The clear differences between morphs, combined with considerable-variation in spotting pattern between spotted morph eggs, made it possible to visually match eggs into groups that were probably laid by single females. Eggs attributed to a single female were more similar in size and shape than eggs attributed to different females. Using egg dimensions and colour patterns to infer spatial patterns of laying by individual females indicated that: (1) individual brood parasites often-laid several eggs in the same colony, (2) females also laid eggs in more than one colony, and (3) several females laid eggs in each colony, and often in the same host nests, ruling out the notion that parasites defend exclusive territories with respect to host nests. Multiple cowbird eggs per host nest invariable resulted from several females laying in the same host nest: egg morphs and visual comparisons of spotting patterns at 14 nests indicated that individual females never laid more than a single egg in the same host nest. Experimental parasitism of nests with spotted and white morph eggs, combined with observations of naturally parasitized nests, demonstrated that chestnut-capped blackbirds accept all morphs of cowbird eggs. Since other important host species reject white eggs, however, the adaptive maintenance of the white morph is difficult to explain. (C) 1997 The Association for the Study of Animal Behaviour.</t>
  </si>
  <si>
    <t>10.1006/anbe.1997.0476</t>
  </si>
  <si>
    <t>WOS:A1997YE30600016</t>
  </si>
  <si>
    <t>Brown, JL; Twomey, E; Amézquita, A; De Souza, MB; Caldwell, JP; Lötters, S; Von May, R; Melo-Sampaio, PR; Mejía-Vargas, D; Perez-Peña, P; Pepper, M; Poelman, EH; Sanchez-Rodriguez, M; Summers, K</t>
  </si>
  <si>
    <t>Brown, Jason L.; Twomey, Evan; Amezquita, Adolfo; De Souza, Moises Barbosa; Caldwell, Janalee P.; Loetters, Stefan; Von May, Rudolf; Melo-Sampaio, Paulo Roberto; Mejia-Vargas, Daniel; Perez-Pena, Pedro; Pepper, Mark; Poelman, Erik H.; Sanchez-Rodriguez, Manuel; Summers, Kyle</t>
  </si>
  <si>
    <t>A taxonomic revision of the Neotropical poison frog genus Ranitomeya (Amphibia: Dendrobatidae)</t>
  </si>
  <si>
    <t>The Neotropical poison frog genus Ranitomeya is revised, resulting in one new genus, one new species, five synonymies and one species classified as nomen dubium. We present an expanded molecular phylogeny that contains 235 terminals, 104 of which are new to this study. Notable additions to this phylogeny include seven of the 12 species in the minuta group, 15 Ranitomeya amazonica, 20 R. lamasi, two R. sirensis, 30 R. ventrimaculata and seven R. uakarii. Previous researchers have long recognized two distinct, reciprocally monophyletic species groups contained within Ranitomeya, sensu Grant et al. 2006: the ventrimaculata group, which is distributed throughout much of the Amazon, and the minuta group of the northern Andes and Central America. We restrict Ranitomeya to the former group and erect a new genus, Andinobates Twomey, Brown, Amezquita &amp; Mejia-Vargas gen. nov., for members of the minuta group. Other major taxonomic results of the current revision include the following: (i) A new species, Ranitomeya toraro Brown, Caldwell, Twomey, Melo-Sampaio &amp; Souza sp. nov., is described from western Brazil. This species has long been referred to as R. ventrimaculata but new morphological and phylogenetic data place it sister to R. defleri. (ii) Examination of the holotype of R. ventrimaculata revealed that this specimen is in fact a member of what is currently referred to as R. duellmani, therefore, Dendrobates duellmani Schulte 1999 is considered herein a junior synonym of D. ventrimaculatus Shreve 1935 (= R. ventrimaculata). (iii) For the frogs that were being called R. ventrimaculata prior to this revision, the oldest available and therefore applicable name is R. variabilis. Whereas previous definitions of R. variabilis were restricted to spotted highland frogs near Tarapoto, Peru, our data suggest that this color morph is conspecific with lowland striped counterparts. Therefore, the definition of R. variabilis is greatly expanded to include most frogs which were (prior to this revision) referred to as R. ventrimaculata. (iv) Phylogenetic and bioacoustic evidence support the retention of R. amazonica as a valid species related to R. variabilis as defined in this paper. Based on phylogenetic data, R. amazonica appears to be distributed throughout much of the lower Amazon, as far east as French Guiana and the Amazon Delta and as far west as Iquitos, Peru. (v) Behavioral and morphological data, as well as phylogenetic data which includes topotypic material of R. sirensis and numerous samples of R. lamasi, suggest that the names sirensis, lamasi and biolat are applicable to a single, widespread species that displays considerable morphological variation throughout its range. The oldest available name for this group is sirensis Aichinger; therefore, we expand the definition of R. sirensis. (vi) Ranitomeya ignea and R. intermedia, elevated to the species status in a previous revision, are placed as junior synonyms of R. reticulata and R. imitator, respectively. (vii) Ranitomeya rubrocephala is designated as nomen dubium. In addition to taxonomic changes, this revision includes the following: (i) Explicit definitions of species groups that are consistent with our proposed taxonomy. (ii) A comprehensive dichotomous key for identification of 'small' aposematic poison frogs of South and Central America. (iii) Detailed distribution maps of all Ranitomeya species, including unpublished localities for most species. In some cases, these records result in substantial range extensions (e. g., R. uakarii, R. fantastica). (iv) Tadpole descriptions for R. amazonica, R. flavovittata, R. imitator, R. toraro sp. nov., R. uakarii and R. variabilis; plus a summary of tadpole morphological data for Andinobates and Ranitomeya species. (v) A summary of call data on most members of Andinobates and Ranitomeya, including call data of several species that have not been published before. (vi) A discussion on the continued impacts of the pet trade on poison frogs (vii) A discussion on several cases of potential Mullerian mimicry within the genus Ranitomeya. We also give opinions regarding the current debate on recent taxonomic changes and the use of the name Ranitomeya.</t>
  </si>
  <si>
    <t>Melo-Sampaio, Paulo Roberto/T-5269-2019; Melo-Sampaio, Paulo Roberto/GXF-0434-2022; Melo-Sampaio, Paulo Roberto/J-6390-2013</t>
  </si>
  <si>
    <t>Melo-Sampaio, Paulo Roberto/0000-0003-1858-1643; Poelman, Erik/0000-0003-3285-613X</t>
  </si>
  <si>
    <t>WOS:000296876100001</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</si>
  <si>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</si>
  <si>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</si>
  <si>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</si>
  <si>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</si>
  <si>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</si>
  <si>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</si>
  <si>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</si>
  <si>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</si>
  <si>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</si>
  <si>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</si>
  <si>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</si>
  <si>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Qvarnstrom, Anna/0000-0002-1178-4053; Part, Tomas/0000-0001-7388-6672</t>
  </si>
  <si>
    <t>10.1006/anbe.1997.0514</t>
  </si>
  <si>
    <t>WOS:A1997YE30600013</t>
  </si>
  <si>
    <t>Neri, P</t>
  </si>
  <si>
    <t>Neri, Peter</t>
  </si>
  <si>
    <t>Complex visual analysis of ecologically relevant signals in Siamese fighting fish</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</si>
  <si>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</si>
  <si>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Peter/G-1066-2012</t>
  </si>
  <si>
    <t>Neri, Peter/0000-0003-1981-5309</t>
  </si>
  <si>
    <t>10.1007/s10071-019-01313-x</t>
  </si>
  <si>
    <t>WOS:000488937600001</t>
  </si>
  <si>
    <t>Rémy, A; Grégoire,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</si>
  <si>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</si>
  <si>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</si>
  <si>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</si>
  <si>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</si>
  <si>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 Doutrelant, Claire/0000-0003-1893-3960</t>
  </si>
  <si>
    <t>10.1007/s00265-010-0995-z</t>
  </si>
  <si>
    <t>WOS:000282823800011</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</si>
  <si>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</si>
  <si>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</si>
  <si>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</si>
  <si>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</si>
  <si>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</si>
  <si>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</si>
  <si>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</si>
  <si>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</si>
  <si>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</si>
  <si>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</si>
  <si>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</si>
  <si>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</si>
  <si>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</si>
  <si>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</si>
  <si>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</si>
  <si>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</si>
  <si>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Eller, AR; Pobiner, B; Friend, S; Austin, RM; Hofman, CA; Sholts, SB</t>
  </si>
  <si>
    <t>Eller, Andrea R.; Pobiner, Briana; Friend, Sadie; Austin, Rita M.; Hofman, Courtney A.; Sholts, Sabrina B.</t>
  </si>
  <si>
    <t>A chomped chimp: New evidence of tooth marks on an adult chimpanzee (Pan troglodytes verus)</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</si>
  <si>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</si>
  <si>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Hofman, Courtney/0000-0002-6808-3370; Austin, Rita M./0000-0002-9315-517X; Sholts, Sabrina/0000-0003-4168-0578; Pobiner, Briana/0000-0001-5051-9175; Eller, Andrea/0000-0001-8940-7568</t>
  </si>
  <si>
    <t>10.1002/ajpa.24049</t>
  </si>
  <si>
    <t>WOS:000527838500012</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</si>
  <si>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</si>
  <si>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</si>
  <si>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</si>
  <si>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Lopez, Pilar/K-6221-2014; Salvador, Alicia/B-6045-2011; Salvador, Alfredo/K-1670-2014; Veiga, José/AAV-1687-2020; martin, jose/B-1073-2014</t>
  </si>
  <si>
    <t>10.1007/s002650050376</t>
  </si>
  <si>
    <t>WOS:A1997XY71100004</t>
  </si>
  <si>
    <t>The presence of substrate as a means of environmental enrichment in intensively reared gilthead seabream Sparus aurata: Growth and behavioral effects</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</si>
  <si>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</si>
  <si>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DEC 11</t>
  </si>
  <si>
    <t>10.1016/j.aquaculture.2012.10.005</t>
  </si>
  <si>
    <t>WOS:000311215700008</t>
  </si>
  <si>
    <t>Miller, SJ; Dykstra, CR; Hays, JEL; Simon, MM</t>
  </si>
  <si>
    <t>Miller, Sara J.; Dykstra, Cheryl R.; Hays, J. Effrey L.; Simon, Melinda M.</t>
  </si>
  <si>
    <t>PARTIAL INCUBATION AND HATCHING ASYNCHRONY IN THE RED-SHOULDERED HAWK (BUTEO LINEATUS)</t>
  </si>
  <si>
    <t>Like many raptors, Red-shouldered Hawks (Buteo lineatus) exhibit asynchronous hatching, which is thought to be a parental strategy for rearing the maximum number of offspring under conditions of unpredictable prey availability. Current knowledge of incubation patterns and the associated behavioral mechanisms by which as Itronous hatching occurs in raptors is limited, and few detailed quantitative studies are available for ally species of Accipiniformes. We investigated the effects of egg-laying intervals and parental behavioral incubation patterns during egg-laying on hatching asynchrony in the Red-shouldered I latck. We used 24-hr/d digital color/infrared video cameras at 15 Red-shouldered Hawk nests to record egglaying and hatching, and to quantify the proportion of time parents spent incubating, standing, or absent from the nest. The mean egg-laying interval was 2.9 +/- 0.1 d or 69.8 +/- 2.2 hr (range =65.8-74.2 hr), and the mean duration of incubation (from the onset of full incubation to hatch) for last-laid eggs was 33 d (32-34 d, n= 15). Red-shouldered Hawks exhibited partial incubation behavior, with the delay in the onset of full incubation varying by clutch size and among individuals; full incubation generally began with or just after the laying of the penultimate egg of the clutch. The mean interval between the hatching of the first and second egg was 0.56 +/- 0.49 d; between the second and third eggs, 1.24 +/- 0.71 d (P= 0.0215); and between the third and fourth eggs, 2.42 +/- 0.38 d (P &lt; 0.0004). The total amount of time parents at each nest spent incubating during the egg-laying period explained most of the variation in the amount of time between the hatching of their first and last egg (the hatching span; r = 0.83, P &lt; 0.0001). Hatching patterns were the result of both the egg-laying intervals and the pattern of partial incubation, which may represent an adaptive mechanism to reduce the hatching interval while maintaining the hatching asynchrony.</t>
  </si>
  <si>
    <t>Dykstra, Cheryl R/IAN-1402-2023</t>
  </si>
  <si>
    <t>Dykstra, Cheryl R/0000-0002-9089-3847</t>
  </si>
  <si>
    <t>10.3356/0892-1016-54.4.364</t>
  </si>
  <si>
    <t>WOS:000604780200003</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</si>
  <si>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</si>
  <si>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</si>
  <si>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</si>
  <si>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</si>
  <si>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</si>
  <si>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</si>
  <si>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</si>
  <si>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</si>
  <si>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Odén,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</si>
  <si>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</si>
  <si>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</si>
  <si>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</si>
  <si>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APR 19</t>
  </si>
  <si>
    <t>10.1016/S0168-1591(99)00123-9</t>
  </si>
  <si>
    <t>WOS:000086528100004</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</si>
  <si>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</si>
  <si>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</si>
  <si>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</si>
  <si>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Hoegh-Guldberg, Ove/HJP-1821-2023; Hoegh-Guldberg, Ove/H-6169-2011; Dove, Sophie/I-7873-2013; Hoegh-Guldberg, Ove/ABA-5420-2020; Dove, Sophie/G-7339-2012</t>
  </si>
  <si>
    <t>Hoegh-Guldberg, Ove/0000-0001-7510-6713; Hoegh-Guldberg, Ove/0000-0001-7510-6713; Dove, Sophie/0000-0003-1823-8634</t>
  </si>
  <si>
    <t>10.2307/1542146</t>
  </si>
  <si>
    <t>WOS:A1995TL76800004</t>
  </si>
  <si>
    <t>Jowett, SL; Barker, ZE; Amory, JR</t>
  </si>
  <si>
    <t>Jowett, Sarah L.; Barker, Zoe Elizabeth; Amory, Jonathan R.</t>
  </si>
  <si>
    <t>Preferential associations in an unstable social network: applying social network analysis to a dynamic sow herd</t>
  </si>
  <si>
    <t>Preferential associations are fitness-enhancing ties between individuals, documented in a range of taxa. Despite this, research into preferential associations remains underrepresented in commercial species, particularly pigs. This study investigates the development of preferential associations in a dynamic sow herd. Preferential associations were defined as approaching a resting sow and then sitting or lying with physical contact with the selected sow, separated by &lt; 1 m from the head or directly next to her, with interaction tolerated for &gt; 60 s. For individual identification, each sow was marked with colored dots, stripes, or both, corresponding to their ear-tag number. Preferential associations were measured over one production cycle of 21 days. Behavioral observations took place on 7 days of the study, with 3 h of behavior per day recorded during peak activity times (08:00-09:00, 15:00-16:00, 20:00-21:00 h). Behaviors were recorded using five cameras, each positioned within the barn to provide coverage of the functional areas. The network metrics applied included in-degree centrality (received ties), out-degree centrality (initiated ties), centralization (the extent to which an individual is central within the network), clustering coefficient (a measure of tie strength), and the E-I Index (a measure of assortment by trait: parity, familiarity, and sociality). Individuals were added and removed during the study, so the centrality metrics of missing sows were weighted. To describe the structure of the network, brokerage typologies were applied. Brokerage typologies include five positions, including coordinators, gatekeepers, representatives, consultants, and liaisons. The results revealed social discrimination in assortment by connectedness even when ties were not reciprocal, and the most connected sows were significantly more likely to be approached than less connected individuals. The most connected sows had significantly higher in-degree and out-degree centrality. With the application of brokerage typologies, the results showed a relationship between connectedness and brokering type, with the most connected sows predominantly engaging in coordinating behavior. The results suggest that the motivation for discrimination in the unstable preferential association network was not founded upon bidirectional interactions. These findings highlight the complexities involved when forming social preferences and present a platform for further exploring the motivations for preferential associations among intensively farmed pigs.</t>
  </si>
  <si>
    <t>Jowett, Sarah/HKM-8559-2023</t>
  </si>
  <si>
    <t>Barker, Zoe/0000-0002-8512-0831</t>
  </si>
  <si>
    <t>10.3389/fvets.2023.1166632</t>
  </si>
  <si>
    <t>WOS:001007647700001</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</si>
  <si>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</si>
  <si>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</si>
  <si>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</si>
  <si>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</si>
  <si>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Webster, Michael/AAB-7151-2020; Karubian, Jordan/A-4364-2015</t>
  </si>
  <si>
    <t>Webster, Michael/0000-0001-7585-4578; Karubian, Jordan/0000-0001-8201-9992</t>
  </si>
  <si>
    <t>10.1111/j.1600-048X.2009.04572.x</t>
  </si>
  <si>
    <t>WOS:000270179100011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</si>
  <si>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</si>
  <si>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</si>
  <si>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</si>
  <si>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</si>
  <si>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10.1006/anbe.1996.0128</t>
  </si>
  <si>
    <t>WOS:A1996UX10100004</t>
  </si>
  <si>
    <t>Baracchi, D; Giurfa, M; d'Ettorre, P</t>
  </si>
  <si>
    <t>Baracchi, David; Giurfa, Martin; d'Ettorre, Patrizia</t>
  </si>
  <si>
    <t>Formic acid modulates latency and accuracy of nestmate recognition in carpenter ants</t>
  </si>
  <si>
    <t>Decision-making processes face the dilemma of being accurate or faster, a phenomenon that has been described as speed-accuracy trade-off in numerous studies on animal behaviour. In social insects, discriminating between colony members and aliens is subject to this trade-off as rapid and accurate rejection of enemies is of primary importance for the maintenance and ecological success of insect societies. Recognition cues distinguishing aliens from nestmates are embedded in the cuticular hydrocarbon (CHC) layer and vary among colonies. In walking carpenter ants, exposure to formic acid (FA), an alarm pheromone, improves the accuracy of nestmate recognition by decreasing both alien acceptance and nestmate rejection. Here, we studied the effect of FA exposure on the spontaneous aggressive mandible opening response (MOR) of harnessed Camponotus aethiops ants presented with either nestmate or alien CHCs. FA modulated both MOR accuracy and the latency to respond to odours of conspecifics. In particular, FA decreased the MOR towards nestmates but increased it towards aliens. Furthermore, FA decreased MOR latency towards aliens but not towards nestmates. As response latency can be used as a proxy of response speed, we conclude that contrary to the prediction of the speed-accuracy trade-off theory, ants did not trade off speed against accuracy in the process of nestmate recognition.</t>
  </si>
  <si>
    <t>Baracchi, David/I-5228-2017; Giurfa, Martin/H-5140-2016</t>
  </si>
  <si>
    <t>Baracchi, David/0000-0003-1308-0612; Giurfa, Martin/0000-0001-7173-769X</t>
  </si>
  <si>
    <t>jeb242784</t>
  </si>
  <si>
    <t>10.1242/jeb.242784</t>
  </si>
  <si>
    <t>WOS:000715883300008</t>
  </si>
  <si>
    <t>Leroux, M; Monday, G; Chandia, B; Akankwasa, JW; Zuberbühler, K; Hobaiter, C; Crockford, C; Townsend, SW; Asiimwe, C; Fedurek, P</t>
  </si>
  <si>
    <t>Leroux, Mael; Monday, Gideon; Chandia, Bosco; Akankwasa, John W.; Zuberbuehler, Klaus; Hobaiter, Catherine; Crockford, Catherine; Townsend, Simon W.; Asiimwe, Caroline; Fedurek, Pawel</t>
  </si>
  <si>
    <t>First observation of a chimpanzee with albinism in the wild: Social interactions and subsequent infanticide</t>
  </si>
  <si>
    <t>Albinism-the congenital absence of pigmentation-is a very rare phenomenon in animals due to the significant costs to fitness of this condition. Both humans and non-human individuals with albinism face a number of challenges, such as reduced vision, increased exposure to ultraviolet radiation, or compromised crypticity resulting in an elevated vulnerability to predation. However, while observations of social interactions involving individuals with albinism have been observed in wild non-primate animals, such interactions have not been described in detail in non-human primates (hereafter, primates). Here, we report, to our knowledge, the first sighting of an infant with albinism in wild chimpanzees (Pan troglodytes schweinfurthii), including social interactions between the infant, its mother, and group members. We also describe the subsequent killing of the infant by conspecifics as well as their behavior towards the corpse following the infanticide. Finally, we discuss our observations in relation to our understanding of chimpanzee behavior or attitudes towards individuals with very conspicuous appearances.</t>
  </si>
  <si>
    <t>Crockford, Catherine/A-5410-2011; Leroux, Maël/GVS-1622-2022; Zuberbuhler, Klaus/A-9053-2011</t>
  </si>
  <si>
    <t>Leroux, Maël/0000-0001-7087-449X; Fedurek, Pawel/0000-0002-6902-708X; Hobaiter, Cat/0000-0002-3893-0524; Zuberbuhler, Klaus/0000-0001-8378-088X</t>
  </si>
  <si>
    <t>e23305</t>
  </si>
  <si>
    <t>10.1002/ajp.23305</t>
  </si>
  <si>
    <t>WOS:000673989800001</t>
  </si>
  <si>
    <t>Kostál, V; Baur, R; Städler, E</t>
  </si>
  <si>
    <t>Exploration and assessment of the oviposition substrate by the cabbage root fly, Delia radicum (Diptera: Anthomyiidae)</t>
  </si>
  <si>
    <t>Oviposition behaviour of Delia radicum is not only influenced by host plant duality but also by the duality of the substrate in which the plant grows. Direct behavioural observations showed that the females partition their visits to a host plant (cauliflower) into ovipositional bouts separated by exploration of the host plant surface. Ovipositional bouts were further partitioned into acts of egg deposition separated by exploration of the substrate. While the mean number of ovipositional bouts per visit (2.6), and eggs laid per egg deposition event (1.4) were stable, the mean number of egg deposition events per ovipositional bout significantly varied (from 2.1 to 7.3) with the duality of the substrate and the physiological state of the female (egg load). Ovipositing females adjusted the final number of eggs laid around the plant during the behavioural stage of substrate exploration. Additional experiments using plant surrogates treated with methanolic extract of Brassica leaves mounted in different substrates showed that: (a) the presence of living Brassica, Hordeum or Allium roots in a substrate enhances the number of eggs laid into this substrate, but females do not discriminate between the different plants; (b) females avoid both wet and dry substrates and prefer the substrates with a dry surface and moist particles directly accessible at a depth of about 5 mm; (c) substrates rich in organic matter are preferred to sand; (d) olfactory perception of volatile chemicals from the substrate must at least partially be responsible for the differences in oviposition in various substrates.</t>
  </si>
  <si>
    <t>Kostal, Vladimir/G-6688-2014</t>
  </si>
  <si>
    <t>Kostal, Vladimir/0000-0002-4994-5123</t>
  </si>
  <si>
    <t>1210-5759</t>
  </si>
  <si>
    <t>10.14411/eje.2000.009</t>
  </si>
  <si>
    <t>WOS:000087497200006</t>
  </si>
  <si>
    <t>Carling, B; Gentle, LK; Ray, ND</t>
  </si>
  <si>
    <t>Carling, Bryony; Gentle, Louise K.; Ray, Nicholas D.</t>
  </si>
  <si>
    <t>Several parameters that influence body size in the sea anemone Actinia equina in rock pools on the Yorkshire coast</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</si>
  <si>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</si>
  <si>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</si>
  <si>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</si>
  <si>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PII S0025315419000171</t>
  </si>
  <si>
    <t>10.1017/S0025315419000171</t>
  </si>
  <si>
    <t>WOS:000482975700004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</si>
  <si>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</si>
  <si>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</si>
  <si>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</si>
  <si>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</si>
  <si>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Charter, Motti/AAQ-9529-2021; Bowie, Rauri/H-9165-2019; Nathan, Ran/A-9380-2008; Kamath, Pauline/H-1358-2013; Turjeman, Sondra/AAY-4149-2021</t>
  </si>
  <si>
    <t>Charter, Motti/0000-0003-3861-6356; Bowie, Rauri/0000-0001-8328-6021; Nathan, Ran/0000-0002-5733-6715; Kamath, Pauline/0000-0002-6458-4514; Turjeman, Sondra/0000-0002-5224-1215</t>
  </si>
  <si>
    <t>10.1111/mec.15398</t>
  </si>
  <si>
    <t>WOS:000524283300001</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</si>
  <si>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</si>
  <si>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</si>
  <si>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</si>
  <si>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</si>
  <si>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</si>
  <si>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</si>
  <si>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</si>
  <si>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</si>
  <si>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</si>
  <si>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</si>
  <si>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</si>
  <si>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Penteriani, V; Delgado, MM; Clavero, M; Ivanc, M</t>
  </si>
  <si>
    <t>Penteriani, V.; Delgado, M. M.; Clavero, M.; Ivanc, M.</t>
  </si>
  <si>
    <t>Spottiness of European graylings (Actinopterygii, Salmonidae) correlates with environmental features and could signal the status of individuals</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</si>
  <si>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</si>
  <si>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 Clavero, Miguel/A-9040-2015; Penteriani, Vincenzo/H-1463-2015</t>
  </si>
  <si>
    <t>Delgado, Maria del Mar/0000-0002-3009-738X; Clavero, Miguel/0000-0002-5186-0153; Penteriani, Vincenzo/0000-0002-9333-7846</t>
  </si>
  <si>
    <t>10.1080/11250003.2015.1018852</t>
  </si>
  <si>
    <t>WOS:000353501900009</t>
  </si>
  <si>
    <t>Mendonça, FZ; Gonçalves-de-Freitas,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</si>
  <si>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</si>
  <si>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</si>
  <si>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</si>
  <si>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</si>
  <si>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</si>
  <si>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</si>
  <si>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</si>
  <si>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</si>
  <si>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</si>
  <si>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Hennemann, FH; Conle, OV; Brock, PD; Seow-Choen, F</t>
  </si>
  <si>
    <t>Hennemann, Frank H.; Conle, Oskar V.; Brock, Paul D.; Seow-Choen, Francis</t>
  </si>
  <si>
    <t>Revision of the Oriental subfamily Heteropteryginae Kirby, 1896, with a re-arrangement of the family Heteropterygidae and the descriptions of five new species of Haaniella Kirby, 1904. (Phasmatodea: Areolatae: Heteropterygidae)</t>
  </si>
  <si>
    <t>The areolate Oriental family Heteropterygidae Kirby, 1893 is critically reviewed and the results of the present study contradict the arrangement suggested by Zompro (2004), but in most aspects agree with a molecular study presented by Whiting et al (2003) and a phylogenetic study presented by Bradler (2009). The family is critically discussed and new hypotheses are presented for the phylogeny and intra-familiar relationships, placing the subfamily Dataminae Rehn &amp; Rehn, 1939 as the basalmost clade of Heteropterygidae. The subfamilies Obriminae Brunner v. Wattenwyl, 1893 and Heteropteryginae Kirby, 1893 together represent the sister-group of Dataminae. Arguments and a tree are presented to support this hypothesis. New diagnoses and lists of genera are provided for all three subfamilies contained in Heteropterygidae, along with keys to distinguish between them. The subfamily Obriminae is critically reviewed and the distinction between the three tribes Obrimini Brunner v. Wattenwyl, 1893, Eubulidini Zompro, 2004 and Miroceramiini Zompro, 2004 introduced by Zompro (2004) is shown to be poorly supported. While Obrimini sensu Zompro, 2004 is generally accepted (but now also contains genera that were placed in Eubulidini or Miroceramiini by Zompro (2004)), the tribes Eubulidini and Miroceramiini are not supported. A new arrangement is introduced, which is based on morphological characters neglected or overlooked by Zompro (2004) but were partly discussed by Bradler (2009). The genus Mearnsiana Rehn &amp; Rehn, 1939 is removed from Miroceramiini and transferred to Obrimini. The genera Eubulides Stal, 1877, Heterocopus Redtenbacher, 1906, Theramenes Stal, 1875 and Stenobrimus Redtenbacher, 1906 are removed from Eubulidini and also transferred to Obrimini. Consequently, Eubulidini is synonymised with Obrimini (n. syn.). Miroceramiini is a monotypical tribe and only includes the Wallacean genus Miroceramia Gunther, 1934. The new tribe Tisamenini n. trib. is established for the three basal genera Tisamenus Stal, 1875, Ilocano Rehn &amp; Rehn, 1939 and Hoploclonia Stal, 1875 all of which were placed in Eubulidini by Zompro (2004). The latter genus differs from the other two genera by the morphology of the female genitalia, which is unique amongst the entire family. Three generic groups are recognized within Obrimini, the Obrimus-group, Stenobrimus-group and Theramenes-group. Keys are presented to distinguish between the three tribes now contained in the Obriminae, i.e. Obrimini, Tisamenini n. trib. and Miroceramiini. The genus Hennobrimus Conle, 2006 is synonymised with Mearnsiana Rehn &amp; Rehn, 1939, based on the fact that the type-species of both genera are conspecific (n. syn.). Hennobrimus hennemanni Conle, 2006, the type-species of Hennobrimus, and Trachyaretaon manobo Lit &amp; Eusebio, 2005 are synonymised with Mearnsiana bullosa Rehn &amp; Rehn, 1939, the type-species of Mearnsiana (n. syn.). Theramenes dromedarius Stal, 1877 from the Philippines is removed from synonymy with the Wallacean Theramenes olivaceus (Westwood, 1859) and re-established as a valid species (rev. stat.). The subfamily Heteropteryginae Kirby, 1896 is revised at the species-level and a new diagnosis is presented. Keys to the two genera and all 16 known species are provided along with new descriptions, differential diagnoses, lists of examined material, detailed information on the known distributions, measurements and illustrations of the insects and eggs. The intra-subfamiliar and intra-generic relationships are discussed and a cladogram is presented. Heteropteryginae contains two genera: Heteropteryx Gray, 1835 (Type-species: Phasma dilatatum Parkinson, 1798) and Haaniella Kirby, 1896 (Type-species: Phasma (Heteropteryx) muelleri de Haan, 1842). The distribution of this subfamily is restricted to Sundaland with the exception of a single species that is found in Vietnam. All other species are distributed in Borneo, Sumatra, the Mentawai Islands, Singapore, Peninsular Malaysia and Thailand. Heteropteryginae contains the largest and most striking members of the entire family Heteropteryginae, some of which are amongst the heaviest insects known. The subfamily is characterized by apomorphies such as the presence of wings, having a tympanal area (= stridulatory organ) in the basal portion of the alae, straight profemora, strongly shortened tarsi, lack of rough sensory-areas on the prosternum and typically X-shaped micropylar plate of the eggs. The sister-group of Heteropteryginae is represented by the Obriminae, with which it shares a beak-like secondary ovipositor in the females and presence of a medio-apical spine on the area apicalis. Both features are synapomorphies of Heteropteryginae + Obriminae. The genus Haaniella Kirby, 1904 contains 16 known species, five of which are newly described herein. The genus Miniopteryx Zompro, 2004 (Type-species: Haaniella parva Gunther, 1944) is synonymised with Haaniella on the basis that the distinguishing feature mentioned in the original description is a character that is frequently found throughout the genus (n. syn.). The type-species H. parva Gunther, 1944 is automatically retransferred to Haaniella (rev. stat.). Haaniella aculeata n. sp. from western Sumatra is described from the male. Haaniella macroptera n. sp. from Singapore and the Johor state in southern Peninsular Malaysia is described from both sexes and the eggs. Haaniella gintingi n. sp. from Central Sumatra is described from both sexes and the eggs and Haaniella kerincia n. sp. from Western Sumatra is described from the insects only, the eggs being still unknown. One new species, Haaniella gorochovi n. sp., is the only representative of the genus and subfamily Heteropteryginae known from Vietnam and both sexes as well as the eggs are described. Haaniella erringtoniae (Redtenbacher, 1906) is endemic in Peninsular Malaysia, here removed from synonymy with H. muelleri (de Haan, 1842) and re-established as a valid species (rev. stat.). The Sumatran Haaniella glaber (Redtenbacher, 1906) is removed from synonymy with H. muelleri (Haan, 1842) and re-established as a valid species (rev. stat.). Leocrates glaber Redtenbacher, 1906 and Haaniella muelleri simplex Gunther, 1944 are removed from synonymy with H. muelleri (Haan, 1842) (rev. stat.) and synonymised with H. glaber. Haaniella mecheli (Redtenbacher, 1906) and H. rosenbergii (Kaup, 1871) are removed from synonymy with H. muelleri (Haan, 1842) and re-established as valid species (rev. stat.). Haaniella erringtoniae novaeguineae Gunther, 1934 and Haaniella muelleri var. b. (Haan, 1842) are synonymized with H. rosenbergii (Kaup, 1871) (n. syn.). The type-species Haaniella muelleri( Haan, 1842) is shown to be a fairly rare species that is restricted to Sumatra. All subsequent records of H. muelleri from outside Sumatra and references to captive breeding of stock originating from Peninsular Malaysia in Europe relate to H. erringtoniae (Redtenbacher, 1906). The previously unknown males and eggs of H. rosenbergii (Kaup, 1871) as well as the previously unknown females and eggs of H. parva Gunther, 1944 are described and illustrated for the first time. Based on morphological characters of the insects and eggs three distinct species-groups are recognized within Haaniella. The muelleri species-group contains nine species that are distributed throughout Sumatra, the Mentawei Islands, Singapore and Peninsular Malaysia. These are characterized by the smooth ventral surface of the meso-and metafemora and lemon-shaped eggs which entirely lack the setae seen in the two other species-groups. The grayii species-group comprises four species, two of which are endemic in Borneo, one endemic in Sumatra and the fourth species being the only known representative of the subfamily in Vietnam. These species are characteristic for the prominent pair of spines on the abdominal tergites II-IV of males and long apically multidentate epiproct of females. The echinata species-group contains three exceptionally Bornean species, which are characterized by the long and apically pointed subgenital plate of females, which clearly projects beyond the epiproct, as well as the sub-basal lateral tooth of the anal segment of males. The muelleri species-group is sister to the remainder two species-groups. Heteropteryx Gray, 1853 is a monotypical genus and only contains the type-species H. dilatata (Parkinson, 1798), which is found throughout Peninsular Malaysia, Thailand, Sumatra and Northeastern Borneo. This genus differs from Haaniella by the strongly conically elevated head, which posteriorly projects over the anterior margin of the pronotum, females being bright green or yellow in colour with plain and translucent pink alae and having distinct spines on the abdominal tergites, and males having a strongly shortened mesothorax and dull pink alae. Lectotypes are designated for Haaniella parva Gunther, 1944, Heteropteryx echinata Redtenbacher, 1906, Heteropteryx saussurei Redtenbacher, 1906 and Heteropteryx scabra Redtenbacher, 1906 to guarantee stability of these names.</t>
  </si>
  <si>
    <t>Brock, Paul/HKW-3979-2023</t>
  </si>
  <si>
    <t>Hennemann, Frank/0000-0002-6547-4704</t>
  </si>
  <si>
    <t>10.11646/zootaxa.4159.1.1</t>
  </si>
  <si>
    <t>WOS:000382724900001</t>
  </si>
  <si>
    <t>Fernandez-Duque, F; Miller, ET; Fernandez-Duque, M; Falk, J; Venable, G; Rabinowicz, S; Becker, CD; Hauber, ME</t>
  </si>
  <si>
    <t>Fernandez-Duque, Facundo; Miller, Eliot T.; Fernandez-Duque, Matias; Falk, Jay; Venable, Gabriela; Rabinowicz, Sophie; Becker, C. Dustin; Hauber, Mark E.</t>
  </si>
  <si>
    <t>Phenotype predicts interspecific dominance hierarchies in a cloud-forest hummingbird guild</t>
  </si>
  <si>
    <t>Competition over resources often leads to intra- and interspecific interactions, which can be detrimental to the individuals involved. Thus, natural selection should favor communication systems that reliably convey information regarding the relative competitive abilities of an individual, reducing the need for physically damaging confrontation. Body size, sex, age, relatedness, and ornamentation are important factors determining dominance across diverse taxa in intraspecific interactions. These traits, when perceptible, may serve as signals across species in guilds that have frequent interspecific interactions. Hummingbirds provide a tractable system to study such community dynamics due to their high frequency of interactions, variable ornamentation, diverse body sizes, fast metabolism, and large overlap in resource utilization. Even in this system, potential interactions between morphology and coloration are rarely accounted for together when analyzing dominance between species. We take a novel approach to understanding interspecific dominance by assessing behavior, morphology, and coloration across different types of behavioral interactions. Across 11 tropical montane hummingbird species, we find that dominance is predicted by wing size and some metrics of plumage coloration. However, the biological significance of these factors varies between the different dominance behaviors performed. These results inform our understanding of interspecific signaling and its role in the evolution of intraguild communication and resource competition.</t>
  </si>
  <si>
    <t>10.1111/eth.13410</t>
  </si>
  <si>
    <t>WOS:001084830100001</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</si>
  <si>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</si>
  <si>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</si>
  <si>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</si>
  <si>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</si>
  <si>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 Du, Zhiyong/JXL-3327-2024</t>
  </si>
  <si>
    <t>Li, Jianqiang/0000-0002-0029-1747; Zhang, Zhengwang/0000-0003-1063-7198</t>
  </si>
  <si>
    <t>MAY 26</t>
  </si>
  <si>
    <t>19-20</t>
  </si>
  <si>
    <t>10.1080/00222933.2015.1105318</t>
  </si>
  <si>
    <t>WOS:000373297600001</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</si>
  <si>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</si>
  <si>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</si>
  <si>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</si>
  <si>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</si>
  <si>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Landsberg, Gary/0000-0003-0501-6397; Niel, Lee/0000-0002-0536-1003; Moody, Carly/0000-0003-3444-5932</t>
  </si>
  <si>
    <t>10.1016/j.applanim.2018.10.011</t>
  </si>
  <si>
    <t>WOS:000457661700010</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</si>
  <si>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</si>
  <si>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</si>
  <si>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</si>
  <si>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</si>
  <si>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</si>
  <si>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</si>
  <si>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</si>
  <si>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</si>
  <si>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Vallin, N; Rice, AM; Bailey, RI; Husby, A; Qvarnström,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</si>
  <si>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</si>
  <si>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</si>
  <si>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</si>
  <si>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Bailey, Richard/HHM-4964-2022; Husby, Arild/E-9821-2010; Rice, Amber/AHB-1530-2022</t>
  </si>
  <si>
    <t>Bailey, Richard/0000-0001-9870-410X; Rice, Amber/0000-0002-5475-8226; Husby, Arild/0000-0003-1911-8351; Qvarnstrom, Anna/0000-0002-1178-4053</t>
  </si>
  <si>
    <t>10.1111/j.1558-5646.2011.01518.x</t>
  </si>
  <si>
    <t>WOS:000302546700016</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</si>
  <si>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</si>
  <si>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</si>
  <si>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</si>
  <si>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</si>
  <si>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</si>
  <si>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</si>
  <si>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</si>
  <si>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</si>
  <si>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</si>
  <si>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Kilner, RM; Drummond, H</t>
  </si>
  <si>
    <t>Kilner, R. M.; Drummond, H.</t>
  </si>
  <si>
    <t>Parent-offspring conflict in avian families</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</si>
  <si>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</si>
  <si>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</si>
  <si>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</si>
  <si>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</si>
  <si>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</si>
  <si>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</si>
  <si>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</si>
  <si>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</si>
  <si>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</si>
  <si>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</si>
  <si>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</si>
  <si>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</si>
  <si>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</si>
  <si>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</si>
  <si>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t>
  </si>
  <si>
    <t>10.1016/j.beproc.2009.03.005</t>
  </si>
  <si>
    <t>WOS:000268954900005</t>
  </si>
  <si>
    <t>Delayed plumage signals social status in a mutually ornamented bird - not against conspecific even sex</t>
  </si>
  <si>
    <t>DESCRIPTION OF THE SOCIAL-BEHAVIOR OF THE MAGPIE (PICA-PICA) - no stats</t>
  </si>
  <si>
    <t>Linking vgll3 genotype and aggressive behaviour in juvenile Atlantic salmon (Salmo salar)  - not really pigment variaton</t>
  </si>
  <si>
    <t>Colorful facial markings are associated with foraging rates and affiliative relationships in a wild group-living cichlid fish - not against conspecifics just whatever they did against anyone</t>
  </si>
  <si>
    <t>A MELANIN- AND CAROTENOID-BASED COLORATION AND AGGRESSIVENESS: RELATIONSHIPS BETWEEN THESE TRAITS IN THE GREENFINCH (CHLORIS CHLORIS, PASSERIFORMES, FRINGILLIDAE) - not really conspecifics? And no stats</t>
  </si>
  <si>
    <t>Phenotype predicts interspecific dominance hierarchies in a cloud-forest hummingbird guild - between species</t>
  </si>
  <si>
    <t>DIFFERENTIAL AGGRESSION IN GENETICALLY DIFFERENT MORPHS OF WHITE-THROATED SPARROW (ZONOTRICHIA-ALBICOLLIS) - no TS</t>
  </si>
  <si>
    <t>Subjective resource value affects aggressive behavior independently of resource-holding-potential and color morphs in male common wall lizard - wrong stats</t>
  </si>
  <si>
    <t xml:space="preserve">Behavioral threat and appeasement signals take precedence over static colors in lizard contests - not against conspecifics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</si>
</sst>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Arial"/>
      <family val="2"/>
    </font>
    <font>
      <sz val="10"/>
      <name val="Arial"/>
      <family val="2"/>
    </font>
  </fonts>
  <fills count="5">
    <fill>
      <patternFill patternType="none"/>
    </fill>
    <fill>
      <patternFill patternType="gray125"/>
    </fill>
    <fill>
      <patternFill patternType="solid">
        <fgColor theme="9" tint="0.79998168889431442"/>
        <bgColor indexed="64"/>
      </patternFill>
    </fill>
    <fill>
      <patternFill patternType="solid">
        <fgColor rgb="FFFF7C80"/>
        <bgColor indexed="64"/>
      </patternFill>
    </fill>
    <fill>
      <patternFill patternType="solid">
        <fgColor rgb="FFFFFF99"/>
        <bgColor indexed="64"/>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0" fontId="0" fillId="3" borderId="0" xfId="0" applyFill="1"/>
    <xf numFmtId="0" fontId="1" fillId="0" borderId="0" xfId="0" applyFont="1"/>
    <xf numFmtId="0" fontId="1" fillId="2" borderId="0" xfId="0" applyFont="1" applyFill="1"/>
    <xf numFmtId="0" fontId="1" fillId="3" borderId="0" xfId="0" applyFont="1" applyFill="1"/>
    <xf numFmtId="0" fontId="1" fillId="4" borderId="0" xfId="0" applyFont="1" applyFill="1"/>
    <xf numFmtId="0" fontId="0" fillId="4" borderId="0" xfId="0" applyFill="1"/>
    <xf numFmtId="0" fontId="2" fillId="2" borderId="0" xfId="0" applyFont="1" applyFill="1"/>
  </cellXfs>
  <cellStyles count="1">
    <cellStyle name="Normal" xfId="0" builtinId="0"/>
  </cellStyles>
  <dxfs count="2">
    <dxf>
      <fill>
        <patternFill patternType="solid">
          <fgColor rgb="FFFF7C80"/>
          <bgColor rgb="FF000000"/>
        </patternFill>
      </fill>
    </dxf>
    <dxf>
      <fill>
        <patternFill patternType="solid">
          <fgColor rgb="FFDAF2D0"/>
          <bgColor rgb="FF000000"/>
        </patternFill>
      </fill>
    </dxf>
  </dxfs>
  <tableStyles count="0" defaultTableStyle="TableStyleMedium2" defaultPivotStyle="PivotStyleLight16"/>
  <colors>
    <mruColors>
      <color rgb="FFFF7C8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83F8F-4503-4CF4-B497-31621D764833}">
  <dimension ref="A1:BT1163"/>
  <sheetViews>
    <sheetView topLeftCell="F1" zoomScaleNormal="100" workbookViewId="0">
      <selection activeCell="F1" sqref="A1:XFD1048576"/>
    </sheetView>
  </sheetViews>
  <sheetFormatPr defaultRowHeight="15" x14ac:dyDescent="0.4"/>
  <cols>
    <col min="1" max="5" width="0" hidden="1" customWidth="1"/>
    <col min="6" max="6" width="19.06640625" customWidth="1"/>
    <col min="7" max="8" width="0" hidden="1" customWidth="1"/>
    <col min="9" max="9" width="245.73046875" bestFit="1" customWidth="1"/>
    <col min="11" max="21" width="0" hidden="1" customWidth="1"/>
    <col min="22" max="22" width="255.59765625" style="3" bestFit="1" customWidth="1"/>
    <col min="23" max="45" width="0" hidden="1" customWidth="1"/>
    <col min="59" max="73" width="0" hidden="1" customWidth="1"/>
  </cols>
  <sheetData>
    <row r="1" spans="1:72"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3"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4">
      <c r="A2" t="s">
        <v>72</v>
      </c>
      <c r="B2" t="s">
        <v>1614</v>
      </c>
      <c r="C2" t="s">
        <v>74</v>
      </c>
      <c r="D2" t="s">
        <v>74</v>
      </c>
      <c r="E2" t="s">
        <v>74</v>
      </c>
      <c r="F2" t="s">
        <v>1615</v>
      </c>
      <c r="G2" t="s">
        <v>74</v>
      </c>
      <c r="H2" t="s">
        <v>74</v>
      </c>
      <c r="I2" t="s">
        <v>1616</v>
      </c>
      <c r="J2" t="s">
        <v>333</v>
      </c>
      <c r="K2" t="s">
        <v>74</v>
      </c>
      <c r="L2" t="s">
        <v>74</v>
      </c>
      <c r="M2" t="s">
        <v>74</v>
      </c>
      <c r="N2" t="s">
        <v>74</v>
      </c>
      <c r="O2" t="s">
        <v>74</v>
      </c>
      <c r="P2" t="s">
        <v>74</v>
      </c>
      <c r="Q2" t="s">
        <v>74</v>
      </c>
      <c r="R2" t="s">
        <v>74</v>
      </c>
      <c r="S2" t="s">
        <v>74</v>
      </c>
      <c r="T2" t="s">
        <v>74</v>
      </c>
      <c r="U2" t="s">
        <v>74</v>
      </c>
      <c r="V2" s="3" t="s">
        <v>1617</v>
      </c>
      <c r="W2" t="s">
        <v>74</v>
      </c>
      <c r="X2" t="s">
        <v>74</v>
      </c>
      <c r="Y2" t="s">
        <v>74</v>
      </c>
      <c r="Z2" t="s">
        <v>74</v>
      </c>
      <c r="AA2" t="s">
        <v>1618</v>
      </c>
      <c r="AB2" t="s">
        <v>1619</v>
      </c>
      <c r="AC2" t="s">
        <v>74</v>
      </c>
      <c r="AD2" t="s">
        <v>74</v>
      </c>
      <c r="AE2" t="s">
        <v>74</v>
      </c>
      <c r="AF2" t="s">
        <v>74</v>
      </c>
      <c r="AG2" t="s">
        <v>74</v>
      </c>
      <c r="AH2" t="s">
        <v>74</v>
      </c>
      <c r="AI2" t="s">
        <v>74</v>
      </c>
      <c r="AJ2" t="s">
        <v>74</v>
      </c>
      <c r="AK2" t="s">
        <v>74</v>
      </c>
      <c r="AL2" t="s">
        <v>74</v>
      </c>
      <c r="AM2" t="s">
        <v>74</v>
      </c>
      <c r="AN2" t="s">
        <v>74</v>
      </c>
      <c r="AO2" t="s">
        <v>337</v>
      </c>
      <c r="AP2" t="s">
        <v>338</v>
      </c>
      <c r="AQ2" t="s">
        <v>74</v>
      </c>
      <c r="AR2" t="s">
        <v>74</v>
      </c>
      <c r="AS2" t="s">
        <v>74</v>
      </c>
      <c r="AT2" t="s">
        <v>1620</v>
      </c>
      <c r="AU2">
        <v>2024</v>
      </c>
      <c r="AV2">
        <v>35</v>
      </c>
      <c r="AW2">
        <v>4</v>
      </c>
      <c r="AX2" t="s">
        <v>74</v>
      </c>
      <c r="AY2" t="s">
        <v>74</v>
      </c>
      <c r="AZ2" t="s">
        <v>74</v>
      </c>
      <c r="BA2" t="s">
        <v>74</v>
      </c>
      <c r="BB2" t="s">
        <v>74</v>
      </c>
      <c r="BC2" t="s">
        <v>74</v>
      </c>
      <c r="BD2" t="s">
        <v>1621</v>
      </c>
      <c r="BE2" t="s">
        <v>1622</v>
      </c>
      <c r="BF2" t="str">
        <f>HYPERLINK("http://dx.doi.org/10.1093/beheco/arae045","http://dx.doi.org/10.1093/beheco/arae045")</f>
        <v>http://dx.doi.org/10.1093/beheco/arae045</v>
      </c>
      <c r="BG2" t="s">
        <v>74</v>
      </c>
      <c r="BH2" t="s">
        <v>74</v>
      </c>
      <c r="BI2" t="s">
        <v>74</v>
      </c>
      <c r="BJ2" t="s">
        <v>74</v>
      </c>
      <c r="BK2" t="s">
        <v>74</v>
      </c>
      <c r="BL2" t="s">
        <v>74</v>
      </c>
      <c r="BM2" t="s">
        <v>74</v>
      </c>
      <c r="BN2" t="s">
        <v>74</v>
      </c>
      <c r="BO2" t="s">
        <v>74</v>
      </c>
      <c r="BP2" t="s">
        <v>74</v>
      </c>
      <c r="BQ2" t="s">
        <v>74</v>
      </c>
      <c r="BR2" t="s">
        <v>74</v>
      </c>
      <c r="BS2" t="s">
        <v>1623</v>
      </c>
      <c r="BT2" t="str">
        <f>HYPERLINK("https%3A%2F%2Fwww.webofscience.com%2Fwos%2Fwoscc%2Ffull-record%2FWOS:001258741000002","View Full Record in Web of Science")</f>
        <v>View Full Record in Web of Science</v>
      </c>
    </row>
    <row r="3" spans="1:72" x14ac:dyDescent="0.4">
      <c r="A3" t="s">
        <v>72</v>
      </c>
      <c r="B3" t="s">
        <v>3562</v>
      </c>
      <c r="C3" t="s">
        <v>74</v>
      </c>
      <c r="D3" t="s">
        <v>74</v>
      </c>
      <c r="E3" t="s">
        <v>74</v>
      </c>
      <c r="F3" t="s">
        <v>3563</v>
      </c>
      <c r="G3" t="s">
        <v>74</v>
      </c>
      <c r="H3" t="s">
        <v>74</v>
      </c>
      <c r="I3" t="s">
        <v>3564</v>
      </c>
      <c r="J3" t="s">
        <v>129</v>
      </c>
      <c r="K3" t="s">
        <v>74</v>
      </c>
      <c r="L3" t="s">
        <v>74</v>
      </c>
      <c r="M3" t="s">
        <v>74</v>
      </c>
      <c r="N3" t="s">
        <v>74</v>
      </c>
      <c r="O3" t="s">
        <v>74</v>
      </c>
      <c r="P3" t="s">
        <v>74</v>
      </c>
      <c r="Q3" t="s">
        <v>74</v>
      </c>
      <c r="R3" t="s">
        <v>74</v>
      </c>
      <c r="S3" t="s">
        <v>74</v>
      </c>
      <c r="T3" t="s">
        <v>74</v>
      </c>
      <c r="U3" t="s">
        <v>74</v>
      </c>
      <c r="V3" s="3" t="s">
        <v>3565</v>
      </c>
      <c r="W3" t="s">
        <v>74</v>
      </c>
      <c r="X3" t="s">
        <v>74</v>
      </c>
      <c r="Y3" t="s">
        <v>74</v>
      </c>
      <c r="Z3" t="s">
        <v>74</v>
      </c>
      <c r="AA3" t="s">
        <v>3566</v>
      </c>
      <c r="AB3" t="s">
        <v>3567</v>
      </c>
      <c r="AC3" t="s">
        <v>74</v>
      </c>
      <c r="AD3" t="s">
        <v>74</v>
      </c>
      <c r="AE3" t="s">
        <v>74</v>
      </c>
      <c r="AF3" t="s">
        <v>74</v>
      </c>
      <c r="AG3" t="s">
        <v>74</v>
      </c>
      <c r="AH3" t="s">
        <v>74</v>
      </c>
      <c r="AI3" t="s">
        <v>74</v>
      </c>
      <c r="AJ3" t="s">
        <v>74</v>
      </c>
      <c r="AK3" t="s">
        <v>74</v>
      </c>
      <c r="AL3" t="s">
        <v>74</v>
      </c>
      <c r="AM3" t="s">
        <v>74</v>
      </c>
      <c r="AN3" t="s">
        <v>74</v>
      </c>
      <c r="AO3" t="s">
        <v>132</v>
      </c>
      <c r="AP3" t="s">
        <v>133</v>
      </c>
      <c r="AQ3" t="s">
        <v>74</v>
      </c>
      <c r="AR3" t="s">
        <v>74</v>
      </c>
      <c r="AS3" t="s">
        <v>74</v>
      </c>
      <c r="AT3" t="s">
        <v>204</v>
      </c>
      <c r="AU3">
        <v>2018</v>
      </c>
      <c r="AV3">
        <v>72</v>
      </c>
      <c r="AW3">
        <v>7</v>
      </c>
      <c r="AX3" t="s">
        <v>74</v>
      </c>
      <c r="AY3" t="s">
        <v>74</v>
      </c>
      <c r="AZ3" t="s">
        <v>74</v>
      </c>
      <c r="BA3" t="s">
        <v>74</v>
      </c>
      <c r="BB3" t="s">
        <v>74</v>
      </c>
      <c r="BC3" t="s">
        <v>74</v>
      </c>
      <c r="BD3">
        <v>122</v>
      </c>
      <c r="BE3" t="s">
        <v>3568</v>
      </c>
      <c r="BF3" t="str">
        <f>HYPERLINK("http://dx.doi.org/10.1007/s00265-018-2537-z","http://dx.doi.org/10.1007/s00265-018-2537-z")</f>
        <v>http://dx.doi.org/10.1007/s00265-018-2537-z</v>
      </c>
      <c r="BG3" t="s">
        <v>74</v>
      </c>
      <c r="BH3" t="s">
        <v>74</v>
      </c>
      <c r="BI3" t="s">
        <v>74</v>
      </c>
      <c r="BJ3" t="s">
        <v>74</v>
      </c>
      <c r="BK3" t="s">
        <v>74</v>
      </c>
      <c r="BL3" t="s">
        <v>74</v>
      </c>
      <c r="BM3" t="s">
        <v>74</v>
      </c>
      <c r="BN3" t="s">
        <v>74</v>
      </c>
      <c r="BO3" t="s">
        <v>74</v>
      </c>
      <c r="BP3" t="s">
        <v>74</v>
      </c>
      <c r="BQ3" t="s">
        <v>74</v>
      </c>
      <c r="BR3" t="s">
        <v>74</v>
      </c>
      <c r="BS3" t="s">
        <v>3569</v>
      </c>
      <c r="BT3" t="str">
        <f>HYPERLINK("https%3A%2F%2Fwww.webofscience.com%2Fwos%2Fwoscc%2Ffull-record%2FWOS:000437169600001","View Full Record in Web of Science")</f>
        <v>View Full Record in Web of Science</v>
      </c>
    </row>
    <row r="4" spans="1:72" x14ac:dyDescent="0.4">
      <c r="A4" t="s">
        <v>72</v>
      </c>
      <c r="B4" t="s">
        <v>5798</v>
      </c>
      <c r="C4" t="s">
        <v>74</v>
      </c>
      <c r="D4" t="s">
        <v>74</v>
      </c>
      <c r="E4" t="s">
        <v>74</v>
      </c>
      <c r="F4" t="s">
        <v>5799</v>
      </c>
      <c r="G4" t="s">
        <v>74</v>
      </c>
      <c r="H4" t="s">
        <v>74</v>
      </c>
      <c r="I4" t="s">
        <v>5800</v>
      </c>
      <c r="J4" t="s">
        <v>763</v>
      </c>
      <c r="K4" t="s">
        <v>74</v>
      </c>
      <c r="L4" t="s">
        <v>74</v>
      </c>
      <c r="M4" t="s">
        <v>74</v>
      </c>
      <c r="N4" t="s">
        <v>74</v>
      </c>
      <c r="O4" t="s">
        <v>74</v>
      </c>
      <c r="P4" t="s">
        <v>74</v>
      </c>
      <c r="Q4" t="s">
        <v>74</v>
      </c>
      <c r="R4" t="s">
        <v>74</v>
      </c>
      <c r="S4" t="s">
        <v>74</v>
      </c>
      <c r="T4" t="s">
        <v>74</v>
      </c>
      <c r="U4" t="s">
        <v>74</v>
      </c>
      <c r="V4" s="3" t="s">
        <v>5801</v>
      </c>
      <c r="W4" t="s">
        <v>74</v>
      </c>
      <c r="X4" t="s">
        <v>74</v>
      </c>
      <c r="Y4" t="s">
        <v>74</v>
      </c>
      <c r="Z4" t="s">
        <v>74</v>
      </c>
      <c r="AA4" t="s">
        <v>74</v>
      </c>
      <c r="AB4" t="s">
        <v>5802</v>
      </c>
      <c r="AC4" t="s">
        <v>74</v>
      </c>
      <c r="AD4" t="s">
        <v>74</v>
      </c>
      <c r="AE4" t="s">
        <v>74</v>
      </c>
      <c r="AF4" t="s">
        <v>74</v>
      </c>
      <c r="AG4" t="s">
        <v>74</v>
      </c>
      <c r="AH4" t="s">
        <v>74</v>
      </c>
      <c r="AI4" t="s">
        <v>74</v>
      </c>
      <c r="AJ4" t="s">
        <v>74</v>
      </c>
      <c r="AK4" t="s">
        <v>74</v>
      </c>
      <c r="AL4" t="s">
        <v>74</v>
      </c>
      <c r="AM4" t="s">
        <v>74</v>
      </c>
      <c r="AN4" t="s">
        <v>74</v>
      </c>
      <c r="AO4" t="s">
        <v>767</v>
      </c>
      <c r="AP4" t="s">
        <v>768</v>
      </c>
      <c r="AQ4" t="s">
        <v>74</v>
      </c>
      <c r="AR4" t="s">
        <v>74</v>
      </c>
      <c r="AS4" t="s">
        <v>74</v>
      </c>
      <c r="AT4" t="s">
        <v>145</v>
      </c>
      <c r="AU4">
        <v>2019</v>
      </c>
      <c r="AV4">
        <v>222</v>
      </c>
      <c r="AW4">
        <v>16</v>
      </c>
      <c r="AX4" t="s">
        <v>74</v>
      </c>
      <c r="AY4" t="s">
        <v>74</v>
      </c>
      <c r="AZ4" t="s">
        <v>74</v>
      </c>
      <c r="BA4" t="s">
        <v>74</v>
      </c>
      <c r="BB4" t="s">
        <v>74</v>
      </c>
      <c r="BC4" t="s">
        <v>74</v>
      </c>
      <c r="BD4" t="s">
        <v>5803</v>
      </c>
      <c r="BE4" t="s">
        <v>5804</v>
      </c>
      <c r="BF4" t="str">
        <f>HYPERLINK("http://dx.doi.org/10.1242/jeb.203414","http://dx.doi.org/10.1242/jeb.203414")</f>
        <v>http://dx.doi.org/10.1242/jeb.203414</v>
      </c>
      <c r="BG4" t="s">
        <v>74</v>
      </c>
      <c r="BH4" t="s">
        <v>74</v>
      </c>
      <c r="BI4" t="s">
        <v>74</v>
      </c>
      <c r="BJ4" t="s">
        <v>74</v>
      </c>
      <c r="BK4" t="s">
        <v>74</v>
      </c>
      <c r="BL4" t="s">
        <v>74</v>
      </c>
      <c r="BM4" t="s">
        <v>74</v>
      </c>
      <c r="BN4">
        <v>31315932</v>
      </c>
      <c r="BO4" t="s">
        <v>74</v>
      </c>
      <c r="BP4" t="s">
        <v>74</v>
      </c>
      <c r="BQ4" t="s">
        <v>74</v>
      </c>
      <c r="BR4" t="s">
        <v>74</v>
      </c>
      <c r="BS4" t="s">
        <v>5805</v>
      </c>
      <c r="BT4" t="str">
        <f>HYPERLINK("https%3A%2F%2Fwww.webofscience.com%2Fwos%2Fwoscc%2Ffull-record%2FWOS:000484368200006","View Full Record in Web of Science")</f>
        <v>View Full Record in Web of Science</v>
      </c>
    </row>
    <row r="5" spans="1:72" x14ac:dyDescent="0.4">
      <c r="A5" t="s">
        <v>72</v>
      </c>
      <c r="B5" t="s">
        <v>6731</v>
      </c>
      <c r="C5" t="s">
        <v>74</v>
      </c>
      <c r="D5" t="s">
        <v>74</v>
      </c>
      <c r="E5" t="s">
        <v>74</v>
      </c>
      <c r="F5" t="s">
        <v>6732</v>
      </c>
      <c r="G5" t="s">
        <v>74</v>
      </c>
      <c r="H5" t="s">
        <v>74</v>
      </c>
      <c r="I5" t="s">
        <v>6733</v>
      </c>
      <c r="J5" t="s">
        <v>1656</v>
      </c>
      <c r="K5" t="s">
        <v>74</v>
      </c>
      <c r="L5" t="s">
        <v>74</v>
      </c>
      <c r="M5" t="s">
        <v>74</v>
      </c>
      <c r="N5" t="s">
        <v>74</v>
      </c>
      <c r="O5" t="s">
        <v>74</v>
      </c>
      <c r="P5" t="s">
        <v>74</v>
      </c>
      <c r="Q5" t="s">
        <v>74</v>
      </c>
      <c r="R5" t="s">
        <v>74</v>
      </c>
      <c r="S5" t="s">
        <v>74</v>
      </c>
      <c r="T5" t="s">
        <v>74</v>
      </c>
      <c r="U5" t="s">
        <v>74</v>
      </c>
      <c r="V5" s="3" t="s">
        <v>6734</v>
      </c>
      <c r="W5" t="s">
        <v>74</v>
      </c>
      <c r="X5" t="s">
        <v>74</v>
      </c>
      <c r="Y5" t="s">
        <v>74</v>
      </c>
      <c r="Z5" t="s">
        <v>74</v>
      </c>
      <c r="AA5" t="s">
        <v>6735</v>
      </c>
      <c r="AB5" t="s">
        <v>6736</v>
      </c>
      <c r="AC5" t="s">
        <v>74</v>
      </c>
      <c r="AD5" t="s">
        <v>74</v>
      </c>
      <c r="AE5" t="s">
        <v>74</v>
      </c>
      <c r="AF5" t="s">
        <v>74</v>
      </c>
      <c r="AG5" t="s">
        <v>74</v>
      </c>
      <c r="AH5" t="s">
        <v>74</v>
      </c>
      <c r="AI5" t="s">
        <v>74</v>
      </c>
      <c r="AJ5" t="s">
        <v>74</v>
      </c>
      <c r="AK5" t="s">
        <v>74</v>
      </c>
      <c r="AL5" t="s">
        <v>74</v>
      </c>
      <c r="AM5" t="s">
        <v>74</v>
      </c>
      <c r="AN5" t="s">
        <v>74</v>
      </c>
      <c r="AO5" t="s">
        <v>1658</v>
      </c>
      <c r="AP5" t="s">
        <v>1659</v>
      </c>
      <c r="AQ5" t="s">
        <v>74</v>
      </c>
      <c r="AR5" t="s">
        <v>74</v>
      </c>
      <c r="AS5" t="s">
        <v>74</v>
      </c>
      <c r="AT5" t="s">
        <v>4744</v>
      </c>
      <c r="AU5">
        <v>2017</v>
      </c>
      <c r="AV5">
        <v>4317</v>
      </c>
      <c r="AW5">
        <v>1</v>
      </c>
      <c r="AX5" t="s">
        <v>74</v>
      </c>
      <c r="AY5" t="s">
        <v>74</v>
      </c>
      <c r="AZ5" t="s">
        <v>74</v>
      </c>
      <c r="BA5" t="s">
        <v>74</v>
      </c>
      <c r="BB5">
        <v>1</v>
      </c>
      <c r="BC5">
        <v>44</v>
      </c>
      <c r="BD5" t="s">
        <v>74</v>
      </c>
      <c r="BE5" t="s">
        <v>6737</v>
      </c>
      <c r="BF5" t="str">
        <f>HYPERLINK("http://dx.doi.org/10.11646/zootaxa.4317.1.1","http://dx.doi.org/10.11646/zootaxa.4317.1.1")</f>
        <v>http://dx.doi.org/10.11646/zootaxa.4317.1.1</v>
      </c>
      <c r="BG5" t="s">
        <v>74</v>
      </c>
      <c r="BH5" t="s">
        <v>74</v>
      </c>
      <c r="BI5" t="s">
        <v>74</v>
      </c>
      <c r="BJ5" t="s">
        <v>74</v>
      </c>
      <c r="BK5" t="s">
        <v>74</v>
      </c>
      <c r="BL5" t="s">
        <v>74</v>
      </c>
      <c r="BM5" t="s">
        <v>74</v>
      </c>
      <c r="BN5" t="s">
        <v>74</v>
      </c>
      <c r="BO5" t="s">
        <v>74</v>
      </c>
      <c r="BP5" t="s">
        <v>74</v>
      </c>
      <c r="BQ5" t="s">
        <v>74</v>
      </c>
      <c r="BR5" t="s">
        <v>74</v>
      </c>
      <c r="BS5" t="s">
        <v>6738</v>
      </c>
      <c r="BT5" t="str">
        <f>HYPERLINK("https%3A%2F%2Fwww.webofscience.com%2Fwos%2Fwoscc%2Ffull-record%2FWOS:000408796800001","View Full Record in Web of Science")</f>
        <v>View Full Record in Web of Science</v>
      </c>
    </row>
    <row r="6" spans="1:72" x14ac:dyDescent="0.4">
      <c r="A6" t="s">
        <v>72</v>
      </c>
      <c r="B6" t="s">
        <v>2386</v>
      </c>
      <c r="C6" t="s">
        <v>74</v>
      </c>
      <c r="D6" t="s">
        <v>74</v>
      </c>
      <c r="E6" t="s">
        <v>74</v>
      </c>
      <c r="F6" t="s">
        <v>2387</v>
      </c>
      <c r="G6" t="s">
        <v>74</v>
      </c>
      <c r="H6" t="s">
        <v>74</v>
      </c>
      <c r="I6" t="s">
        <v>2388</v>
      </c>
      <c r="J6" t="s">
        <v>1755</v>
      </c>
      <c r="K6" t="s">
        <v>74</v>
      </c>
      <c r="L6" t="s">
        <v>74</v>
      </c>
      <c r="M6" t="s">
        <v>74</v>
      </c>
      <c r="N6" t="s">
        <v>74</v>
      </c>
      <c r="O6" t="s">
        <v>74</v>
      </c>
      <c r="P6" t="s">
        <v>74</v>
      </c>
      <c r="Q6" t="s">
        <v>74</v>
      </c>
      <c r="R6" t="s">
        <v>74</v>
      </c>
      <c r="S6" t="s">
        <v>74</v>
      </c>
      <c r="T6" t="s">
        <v>74</v>
      </c>
      <c r="U6" t="s">
        <v>74</v>
      </c>
      <c r="V6" s="3" t="s">
        <v>2389</v>
      </c>
      <c r="W6" t="s">
        <v>74</v>
      </c>
      <c r="X6" t="s">
        <v>74</v>
      </c>
      <c r="Y6" t="s">
        <v>74</v>
      </c>
      <c r="Z6" t="s">
        <v>74</v>
      </c>
      <c r="AA6" t="s">
        <v>74</v>
      </c>
      <c r="AB6" t="s">
        <v>2390</v>
      </c>
      <c r="AC6" t="s">
        <v>74</v>
      </c>
      <c r="AD6" t="s">
        <v>74</v>
      </c>
      <c r="AE6" t="s">
        <v>74</v>
      </c>
      <c r="AF6" t="s">
        <v>74</v>
      </c>
      <c r="AG6" t="s">
        <v>74</v>
      </c>
      <c r="AH6" t="s">
        <v>74</v>
      </c>
      <c r="AI6" t="s">
        <v>74</v>
      </c>
      <c r="AJ6" t="s">
        <v>74</v>
      </c>
      <c r="AK6" t="s">
        <v>74</v>
      </c>
      <c r="AL6" t="s">
        <v>74</v>
      </c>
      <c r="AM6" t="s">
        <v>74</v>
      </c>
      <c r="AN6" t="s">
        <v>74</v>
      </c>
      <c r="AO6" t="s">
        <v>1759</v>
      </c>
      <c r="AP6" t="s">
        <v>1760</v>
      </c>
      <c r="AQ6" t="s">
        <v>74</v>
      </c>
      <c r="AR6" t="s">
        <v>74</v>
      </c>
      <c r="AS6" t="s">
        <v>74</v>
      </c>
      <c r="AT6" t="s">
        <v>123</v>
      </c>
      <c r="AU6">
        <v>2023</v>
      </c>
      <c r="AV6">
        <v>36</v>
      </c>
      <c r="AW6">
        <v>1</v>
      </c>
      <c r="AX6" t="s">
        <v>74</v>
      </c>
      <c r="AY6" t="s">
        <v>74</v>
      </c>
      <c r="AZ6" t="s">
        <v>74</v>
      </c>
      <c r="BA6" t="s">
        <v>74</v>
      </c>
      <c r="BB6">
        <v>33</v>
      </c>
      <c r="BC6">
        <v>44</v>
      </c>
      <c r="BD6" t="s">
        <v>74</v>
      </c>
      <c r="BE6" t="s">
        <v>2391</v>
      </c>
      <c r="BF6" t="str">
        <f>HYPERLINK("http://dx.doi.org/10.1007/s10905-023-09817-8","http://dx.doi.org/10.1007/s10905-023-09817-8")</f>
        <v>http://dx.doi.org/10.1007/s10905-023-09817-8</v>
      </c>
      <c r="BG6" t="s">
        <v>74</v>
      </c>
      <c r="BH6" t="s">
        <v>2392</v>
      </c>
      <c r="BI6" t="s">
        <v>74</v>
      </c>
      <c r="BJ6" t="s">
        <v>74</v>
      </c>
      <c r="BK6" t="s">
        <v>74</v>
      </c>
      <c r="BL6" t="s">
        <v>74</v>
      </c>
      <c r="BM6" t="s">
        <v>74</v>
      </c>
      <c r="BN6" t="s">
        <v>74</v>
      </c>
      <c r="BO6" t="s">
        <v>74</v>
      </c>
      <c r="BP6" t="s">
        <v>74</v>
      </c>
      <c r="BQ6" t="s">
        <v>74</v>
      </c>
      <c r="BR6" t="s">
        <v>74</v>
      </c>
      <c r="BS6" t="s">
        <v>2393</v>
      </c>
      <c r="BT6" t="str">
        <f>HYPERLINK("https%3A%2F%2Fwww.webofscience.com%2Fwos%2Fwoscc%2Ffull-record%2FWOS:000922274000001","View Full Record in Web of Science")</f>
        <v>View Full Record in Web of Science</v>
      </c>
    </row>
    <row r="7" spans="1:72" x14ac:dyDescent="0.4">
      <c r="A7" t="s">
        <v>72</v>
      </c>
      <c r="B7" t="s">
        <v>3866</v>
      </c>
      <c r="C7" t="s">
        <v>74</v>
      </c>
      <c r="D7" t="s">
        <v>74</v>
      </c>
      <c r="E7" t="s">
        <v>74</v>
      </c>
      <c r="F7" t="s">
        <v>3867</v>
      </c>
      <c r="G7" t="s">
        <v>74</v>
      </c>
      <c r="H7" t="s">
        <v>74</v>
      </c>
      <c r="I7" t="s">
        <v>3868</v>
      </c>
      <c r="J7" t="s">
        <v>129</v>
      </c>
      <c r="K7" t="s">
        <v>74</v>
      </c>
      <c r="L7" t="s">
        <v>74</v>
      </c>
      <c r="M7" t="s">
        <v>74</v>
      </c>
      <c r="N7" t="s">
        <v>74</v>
      </c>
      <c r="O7" t="s">
        <v>74</v>
      </c>
      <c r="P7" t="s">
        <v>74</v>
      </c>
      <c r="Q7" t="s">
        <v>74</v>
      </c>
      <c r="R7" t="s">
        <v>74</v>
      </c>
      <c r="S7" t="s">
        <v>74</v>
      </c>
      <c r="T7" t="s">
        <v>74</v>
      </c>
      <c r="U7" t="s">
        <v>74</v>
      </c>
      <c r="V7" s="3" t="s">
        <v>3869</v>
      </c>
      <c r="W7" t="s">
        <v>74</v>
      </c>
      <c r="X7" t="s">
        <v>74</v>
      </c>
      <c r="Y7" t="s">
        <v>74</v>
      </c>
      <c r="Z7" t="s">
        <v>74</v>
      </c>
      <c r="AA7" t="s">
        <v>3870</v>
      </c>
      <c r="AB7" t="s">
        <v>3871</v>
      </c>
      <c r="AC7" t="s">
        <v>74</v>
      </c>
      <c r="AD7" t="s">
        <v>74</v>
      </c>
      <c r="AE7" t="s">
        <v>74</v>
      </c>
      <c r="AF7" t="s">
        <v>74</v>
      </c>
      <c r="AG7" t="s">
        <v>74</v>
      </c>
      <c r="AH7" t="s">
        <v>74</v>
      </c>
      <c r="AI7" t="s">
        <v>74</v>
      </c>
      <c r="AJ7" t="s">
        <v>74</v>
      </c>
      <c r="AK7" t="s">
        <v>74</v>
      </c>
      <c r="AL7" t="s">
        <v>74</v>
      </c>
      <c r="AM7" t="s">
        <v>74</v>
      </c>
      <c r="AN7" t="s">
        <v>74</v>
      </c>
      <c r="AO7" t="s">
        <v>132</v>
      </c>
      <c r="AP7" t="s">
        <v>133</v>
      </c>
      <c r="AQ7" t="s">
        <v>74</v>
      </c>
      <c r="AR7" t="s">
        <v>74</v>
      </c>
      <c r="AS7" t="s">
        <v>74</v>
      </c>
      <c r="AT7" t="s">
        <v>134</v>
      </c>
      <c r="AU7">
        <v>2023</v>
      </c>
      <c r="AV7">
        <v>77</v>
      </c>
      <c r="AW7">
        <v>5</v>
      </c>
      <c r="AX7" t="s">
        <v>74</v>
      </c>
      <c r="AY7" t="s">
        <v>74</v>
      </c>
      <c r="AZ7" t="s">
        <v>74</v>
      </c>
      <c r="BA7" t="s">
        <v>74</v>
      </c>
      <c r="BB7" t="s">
        <v>74</v>
      </c>
      <c r="BC7" t="s">
        <v>74</v>
      </c>
      <c r="BD7">
        <v>57</v>
      </c>
      <c r="BE7" t="s">
        <v>3872</v>
      </c>
      <c r="BF7" t="str">
        <f>HYPERLINK("http://dx.doi.org/10.1007/s00265-023-03336-4","http://dx.doi.org/10.1007/s00265-023-03336-4")</f>
        <v>http://dx.doi.org/10.1007/s00265-023-03336-4</v>
      </c>
      <c r="BG7" t="s">
        <v>74</v>
      </c>
      <c r="BH7" t="s">
        <v>74</v>
      </c>
      <c r="BI7" t="s">
        <v>74</v>
      </c>
      <c r="BJ7" t="s">
        <v>74</v>
      </c>
      <c r="BK7" t="s">
        <v>74</v>
      </c>
      <c r="BL7" t="s">
        <v>74</v>
      </c>
      <c r="BM7" t="s">
        <v>74</v>
      </c>
      <c r="BN7" t="s">
        <v>74</v>
      </c>
      <c r="BO7" t="s">
        <v>74</v>
      </c>
      <c r="BP7" t="s">
        <v>74</v>
      </c>
      <c r="BQ7" t="s">
        <v>74</v>
      </c>
      <c r="BR7" t="s">
        <v>74</v>
      </c>
      <c r="BS7" t="s">
        <v>3873</v>
      </c>
      <c r="BT7" t="str">
        <f>HYPERLINK("https%3A%2F%2Fwww.webofscience.com%2Fwos%2Fwoscc%2Ffull-record%2FWOS:000993946500002","View Full Record in Web of Science")</f>
        <v>View Full Record in Web of Science</v>
      </c>
    </row>
    <row r="8" spans="1:72" x14ac:dyDescent="0.4">
      <c r="A8" t="s">
        <v>72</v>
      </c>
      <c r="B8" t="s">
        <v>5314</v>
      </c>
      <c r="C8" t="s">
        <v>74</v>
      </c>
      <c r="D8" t="s">
        <v>74</v>
      </c>
      <c r="E8" t="s">
        <v>74</v>
      </c>
      <c r="F8" t="s">
        <v>5314</v>
      </c>
      <c r="G8" t="s">
        <v>74</v>
      </c>
      <c r="H8" t="s">
        <v>74</v>
      </c>
      <c r="I8" t="s">
        <v>5315</v>
      </c>
      <c r="J8" t="s">
        <v>108</v>
      </c>
      <c r="K8" t="s">
        <v>74</v>
      </c>
      <c r="L8" t="s">
        <v>74</v>
      </c>
      <c r="M8" t="s">
        <v>74</v>
      </c>
      <c r="N8" t="s">
        <v>74</v>
      </c>
      <c r="O8" t="s">
        <v>74</v>
      </c>
      <c r="P8" t="s">
        <v>74</v>
      </c>
      <c r="Q8" t="s">
        <v>74</v>
      </c>
      <c r="R8" t="s">
        <v>74</v>
      </c>
      <c r="S8" t="s">
        <v>74</v>
      </c>
      <c r="T8" t="s">
        <v>74</v>
      </c>
      <c r="U8" t="s">
        <v>74</v>
      </c>
      <c r="V8" s="3" t="s">
        <v>5316</v>
      </c>
      <c r="W8" t="s">
        <v>74</v>
      </c>
      <c r="X8" t="s">
        <v>74</v>
      </c>
      <c r="Y8" t="s">
        <v>74</v>
      </c>
      <c r="Z8" t="s">
        <v>74</v>
      </c>
      <c r="AA8" t="s">
        <v>5317</v>
      </c>
      <c r="AB8" t="s">
        <v>5318</v>
      </c>
      <c r="AC8" t="s">
        <v>74</v>
      </c>
      <c r="AD8" t="s">
        <v>74</v>
      </c>
      <c r="AE8" t="s">
        <v>74</v>
      </c>
      <c r="AF8" t="s">
        <v>74</v>
      </c>
      <c r="AG8" t="s">
        <v>74</v>
      </c>
      <c r="AH8" t="s">
        <v>74</v>
      </c>
      <c r="AI8" t="s">
        <v>74</v>
      </c>
      <c r="AJ8" t="s">
        <v>74</v>
      </c>
      <c r="AK8" t="s">
        <v>74</v>
      </c>
      <c r="AL8" t="s">
        <v>74</v>
      </c>
      <c r="AM8" t="s">
        <v>74</v>
      </c>
      <c r="AN8" t="s">
        <v>74</v>
      </c>
      <c r="AO8" t="s">
        <v>111</v>
      </c>
      <c r="AP8" t="s">
        <v>74</v>
      </c>
      <c r="AQ8" t="s">
        <v>74</v>
      </c>
      <c r="AR8" t="s">
        <v>74</v>
      </c>
      <c r="AS8" t="s">
        <v>74</v>
      </c>
      <c r="AT8" t="s">
        <v>5319</v>
      </c>
      <c r="AU8">
        <v>1994</v>
      </c>
      <c r="AV8">
        <v>256</v>
      </c>
      <c r="AW8">
        <v>1346</v>
      </c>
      <c r="AX8" t="s">
        <v>74</v>
      </c>
      <c r="AY8" t="s">
        <v>74</v>
      </c>
      <c r="AZ8" t="s">
        <v>74</v>
      </c>
      <c r="BA8" t="s">
        <v>74</v>
      </c>
      <c r="BB8">
        <v>113</v>
      </c>
      <c r="BC8">
        <v>118</v>
      </c>
      <c r="BD8" t="s">
        <v>74</v>
      </c>
      <c r="BE8" t="s">
        <v>5320</v>
      </c>
      <c r="BF8" t="str">
        <f>HYPERLINK("http://dx.doi.org/10.1098/rspb.1994.0057","http://dx.doi.org/10.1098/rspb.1994.0057")</f>
        <v>http://dx.doi.org/10.1098/rspb.1994.0057</v>
      </c>
      <c r="BG8" t="s">
        <v>74</v>
      </c>
      <c r="BH8" t="s">
        <v>74</v>
      </c>
      <c r="BI8" t="s">
        <v>74</v>
      </c>
      <c r="BJ8" t="s">
        <v>74</v>
      </c>
      <c r="BK8" t="s">
        <v>74</v>
      </c>
      <c r="BL8" t="s">
        <v>74</v>
      </c>
      <c r="BM8" t="s">
        <v>74</v>
      </c>
      <c r="BN8" t="s">
        <v>74</v>
      </c>
      <c r="BO8" t="s">
        <v>74</v>
      </c>
      <c r="BP8" t="s">
        <v>74</v>
      </c>
      <c r="BQ8" t="s">
        <v>74</v>
      </c>
      <c r="BR8" t="s">
        <v>74</v>
      </c>
      <c r="BS8" t="s">
        <v>5321</v>
      </c>
      <c r="BT8" t="str">
        <f>HYPERLINK("https%3A%2F%2Fwww.webofscience.com%2Fwos%2Fwoscc%2Ffull-record%2FWOS:A1994NN67200002","View Full Record in Web of Science")</f>
        <v>View Full Record in Web of Science</v>
      </c>
    </row>
    <row r="9" spans="1:72" x14ac:dyDescent="0.4">
      <c r="A9" t="s">
        <v>72</v>
      </c>
      <c r="B9" t="s">
        <v>3645</v>
      </c>
      <c r="C9" t="s">
        <v>74</v>
      </c>
      <c r="D9" t="s">
        <v>74</v>
      </c>
      <c r="E9" t="s">
        <v>74</v>
      </c>
      <c r="F9" t="s">
        <v>3646</v>
      </c>
      <c r="G9" t="s">
        <v>74</v>
      </c>
      <c r="H9" t="s">
        <v>74</v>
      </c>
      <c r="I9" t="s">
        <v>3647</v>
      </c>
      <c r="J9" t="s">
        <v>140</v>
      </c>
      <c r="K9" t="s">
        <v>74</v>
      </c>
      <c r="L9" t="s">
        <v>74</v>
      </c>
      <c r="M9" t="s">
        <v>74</v>
      </c>
      <c r="N9" t="s">
        <v>74</v>
      </c>
      <c r="O9" t="s">
        <v>74</v>
      </c>
      <c r="P9" t="s">
        <v>74</v>
      </c>
      <c r="Q9" t="s">
        <v>74</v>
      </c>
      <c r="R9" t="s">
        <v>74</v>
      </c>
      <c r="S9" t="s">
        <v>74</v>
      </c>
      <c r="T9" t="s">
        <v>74</v>
      </c>
      <c r="U9" t="s">
        <v>74</v>
      </c>
      <c r="V9" s="3" t="s">
        <v>3648</v>
      </c>
      <c r="W9" t="s">
        <v>74</v>
      </c>
      <c r="X9" t="s">
        <v>74</v>
      </c>
      <c r="Y9" t="s">
        <v>74</v>
      </c>
      <c r="Z9" t="s">
        <v>74</v>
      </c>
      <c r="AA9" t="s">
        <v>74</v>
      </c>
      <c r="AB9" t="s">
        <v>3649</v>
      </c>
      <c r="AC9" t="s">
        <v>74</v>
      </c>
      <c r="AD9" t="s">
        <v>74</v>
      </c>
      <c r="AE9" t="s">
        <v>74</v>
      </c>
      <c r="AF9" t="s">
        <v>74</v>
      </c>
      <c r="AG9" t="s">
        <v>74</v>
      </c>
      <c r="AH9" t="s">
        <v>74</v>
      </c>
      <c r="AI9" t="s">
        <v>74</v>
      </c>
      <c r="AJ9" t="s">
        <v>74</v>
      </c>
      <c r="AK9" t="s">
        <v>74</v>
      </c>
      <c r="AL9" t="s">
        <v>74</v>
      </c>
      <c r="AM9" t="s">
        <v>74</v>
      </c>
      <c r="AN9" t="s">
        <v>74</v>
      </c>
      <c r="AO9" t="s">
        <v>143</v>
      </c>
      <c r="AP9" t="s">
        <v>144</v>
      </c>
      <c r="AQ9" t="s">
        <v>74</v>
      </c>
      <c r="AR9" t="s">
        <v>74</v>
      </c>
      <c r="AS9" t="s">
        <v>74</v>
      </c>
      <c r="AT9" t="s">
        <v>352</v>
      </c>
      <c r="AU9">
        <v>2022</v>
      </c>
      <c r="AV9">
        <v>191</v>
      </c>
      <c r="AW9" t="s">
        <v>74</v>
      </c>
      <c r="AX9" t="s">
        <v>74</v>
      </c>
      <c r="AY9" t="s">
        <v>74</v>
      </c>
      <c r="AZ9" t="s">
        <v>74</v>
      </c>
      <c r="BA9" t="s">
        <v>74</v>
      </c>
      <c r="BB9">
        <v>1</v>
      </c>
      <c r="BC9">
        <v>13</v>
      </c>
      <c r="BD9" t="s">
        <v>74</v>
      </c>
      <c r="BE9" t="s">
        <v>3650</v>
      </c>
      <c r="BF9" t="str">
        <f>HYPERLINK("http://dx.doi.org/10.1016/j.anbehav.2022.06.013","http://dx.doi.org/10.1016/j.anbehav.2022.06.013")</f>
        <v>http://dx.doi.org/10.1016/j.anbehav.2022.06.013</v>
      </c>
      <c r="BG9" t="s">
        <v>74</v>
      </c>
      <c r="BH9" t="s">
        <v>2832</v>
      </c>
      <c r="BI9" t="s">
        <v>74</v>
      </c>
      <c r="BJ9" t="s">
        <v>74</v>
      </c>
      <c r="BK9" t="s">
        <v>74</v>
      </c>
      <c r="BL9" t="s">
        <v>74</v>
      </c>
      <c r="BM9" t="s">
        <v>74</v>
      </c>
      <c r="BN9" t="s">
        <v>74</v>
      </c>
      <c r="BO9" t="s">
        <v>74</v>
      </c>
      <c r="BP9" t="s">
        <v>74</v>
      </c>
      <c r="BQ9" t="s">
        <v>74</v>
      </c>
      <c r="BR9" t="s">
        <v>74</v>
      </c>
      <c r="BS9" t="s">
        <v>3651</v>
      </c>
      <c r="BT9" t="str">
        <f>HYPERLINK("https%3A%2F%2Fwww.webofscience.com%2Fwos%2Fwoscc%2Ffull-record%2FWOS:000860712600001","View Full Record in Web of Science")</f>
        <v>View Full Record in Web of Science</v>
      </c>
    </row>
    <row r="10" spans="1:72" x14ac:dyDescent="0.4">
      <c r="A10" t="s">
        <v>72</v>
      </c>
      <c r="B10" t="s">
        <v>2740</v>
      </c>
      <c r="C10" t="s">
        <v>74</v>
      </c>
      <c r="D10" t="s">
        <v>74</v>
      </c>
      <c r="E10" t="s">
        <v>74</v>
      </c>
      <c r="F10" t="s">
        <v>2741</v>
      </c>
      <c r="G10" t="s">
        <v>74</v>
      </c>
      <c r="H10" t="s">
        <v>74</v>
      </c>
      <c r="I10" t="s">
        <v>2742</v>
      </c>
      <c r="J10" t="s">
        <v>408</v>
      </c>
      <c r="K10" t="s">
        <v>74</v>
      </c>
      <c r="L10" t="s">
        <v>74</v>
      </c>
      <c r="M10" t="s">
        <v>74</v>
      </c>
      <c r="N10" t="s">
        <v>74</v>
      </c>
      <c r="O10" t="s">
        <v>74</v>
      </c>
      <c r="P10" t="s">
        <v>74</v>
      </c>
      <c r="Q10" t="s">
        <v>74</v>
      </c>
      <c r="R10" t="s">
        <v>74</v>
      </c>
      <c r="S10" t="s">
        <v>74</v>
      </c>
      <c r="T10" t="s">
        <v>74</v>
      </c>
      <c r="U10" t="s">
        <v>74</v>
      </c>
      <c r="V10" s="3" t="s">
        <v>2743</v>
      </c>
      <c r="W10" t="s">
        <v>74</v>
      </c>
      <c r="X10" t="s">
        <v>74</v>
      </c>
      <c r="Y10" t="s">
        <v>74</v>
      </c>
      <c r="Z10" t="s">
        <v>74</v>
      </c>
      <c r="AA10" t="s">
        <v>2744</v>
      </c>
      <c r="AB10" t="s">
        <v>2745</v>
      </c>
      <c r="AC10" t="s">
        <v>74</v>
      </c>
      <c r="AD10" t="s">
        <v>74</v>
      </c>
      <c r="AE10" t="s">
        <v>74</v>
      </c>
      <c r="AF10" t="s">
        <v>74</v>
      </c>
      <c r="AG10" t="s">
        <v>74</v>
      </c>
      <c r="AH10" t="s">
        <v>74</v>
      </c>
      <c r="AI10" t="s">
        <v>74</v>
      </c>
      <c r="AJ10" t="s">
        <v>74</v>
      </c>
      <c r="AK10" t="s">
        <v>74</v>
      </c>
      <c r="AL10" t="s">
        <v>74</v>
      </c>
      <c r="AM10" t="s">
        <v>74</v>
      </c>
      <c r="AN10" t="s">
        <v>74</v>
      </c>
      <c r="AO10" t="s">
        <v>412</v>
      </c>
      <c r="AP10" t="s">
        <v>413</v>
      </c>
      <c r="AQ10" t="s">
        <v>74</v>
      </c>
      <c r="AR10" t="s">
        <v>74</v>
      </c>
      <c r="AS10" t="s">
        <v>74</v>
      </c>
      <c r="AT10" t="s">
        <v>134</v>
      </c>
      <c r="AU10">
        <v>2007</v>
      </c>
      <c r="AV10">
        <v>91</v>
      </c>
      <c r="AW10">
        <v>1</v>
      </c>
      <c r="AX10" t="s">
        <v>74</v>
      </c>
      <c r="AY10" t="s">
        <v>74</v>
      </c>
      <c r="AZ10" t="s">
        <v>74</v>
      </c>
      <c r="BA10" t="s">
        <v>74</v>
      </c>
      <c r="BB10">
        <v>37</v>
      </c>
      <c r="BC10">
        <v>48</v>
      </c>
      <c r="BD10" t="s">
        <v>74</v>
      </c>
      <c r="BE10" t="s">
        <v>2746</v>
      </c>
      <c r="BF10" t="str">
        <f>HYPERLINK("http://dx.doi.org/10.1111/j.1095-8312.2007.00777.x","http://dx.doi.org/10.1111/j.1095-8312.2007.00777.x")</f>
        <v>http://dx.doi.org/10.1111/j.1095-8312.2007.00777.x</v>
      </c>
      <c r="BG10" t="s">
        <v>74</v>
      </c>
      <c r="BH10" t="s">
        <v>74</v>
      </c>
      <c r="BI10" t="s">
        <v>74</v>
      </c>
      <c r="BJ10" t="s">
        <v>74</v>
      </c>
      <c r="BK10" t="s">
        <v>74</v>
      </c>
      <c r="BL10" t="s">
        <v>74</v>
      </c>
      <c r="BM10" t="s">
        <v>74</v>
      </c>
      <c r="BN10" t="s">
        <v>74</v>
      </c>
      <c r="BO10" t="s">
        <v>74</v>
      </c>
      <c r="BP10" t="s">
        <v>74</v>
      </c>
      <c r="BQ10" t="s">
        <v>74</v>
      </c>
      <c r="BR10" t="s">
        <v>74</v>
      </c>
      <c r="BS10" t="s">
        <v>2747</v>
      </c>
      <c r="BT10" t="str">
        <f>HYPERLINK("https%3A%2F%2Fwww.webofscience.com%2Fwos%2Fwoscc%2Ffull-record%2FWOS:000245938100004","View Full Record in Web of Science")</f>
        <v>View Full Record in Web of Science</v>
      </c>
    </row>
    <row r="11" spans="1:72" x14ac:dyDescent="0.4">
      <c r="A11" t="s">
        <v>72</v>
      </c>
      <c r="B11" t="s">
        <v>7390</v>
      </c>
      <c r="C11" t="s">
        <v>74</v>
      </c>
      <c r="D11" t="s">
        <v>74</v>
      </c>
      <c r="E11" t="s">
        <v>74</v>
      </c>
      <c r="F11" t="s">
        <v>7391</v>
      </c>
      <c r="G11" t="s">
        <v>74</v>
      </c>
      <c r="H11" t="s">
        <v>74</v>
      </c>
      <c r="I11" t="s">
        <v>7392</v>
      </c>
      <c r="J11" t="s">
        <v>7393</v>
      </c>
      <c r="K11" t="s">
        <v>74</v>
      </c>
      <c r="L11" t="s">
        <v>74</v>
      </c>
      <c r="M11" t="s">
        <v>74</v>
      </c>
      <c r="N11" t="s">
        <v>74</v>
      </c>
      <c r="O11" t="s">
        <v>74</v>
      </c>
      <c r="P11" t="s">
        <v>74</v>
      </c>
      <c r="Q11" t="s">
        <v>74</v>
      </c>
      <c r="R11" t="s">
        <v>74</v>
      </c>
      <c r="S11" t="s">
        <v>74</v>
      </c>
      <c r="T11" t="s">
        <v>74</v>
      </c>
      <c r="U11" t="s">
        <v>74</v>
      </c>
      <c r="V11" s="3" t="s">
        <v>7394</v>
      </c>
      <c r="W11" t="s">
        <v>74</v>
      </c>
      <c r="X11" t="s">
        <v>74</v>
      </c>
      <c r="Y11" t="s">
        <v>74</v>
      </c>
      <c r="Z11" t="s">
        <v>74</v>
      </c>
      <c r="AA11" t="s">
        <v>7395</v>
      </c>
      <c r="AB11" t="s">
        <v>7396</v>
      </c>
      <c r="AC11" t="s">
        <v>74</v>
      </c>
      <c r="AD11" t="s">
        <v>74</v>
      </c>
      <c r="AE11" t="s">
        <v>74</v>
      </c>
      <c r="AF11" t="s">
        <v>74</v>
      </c>
      <c r="AG11" t="s">
        <v>74</v>
      </c>
      <c r="AH11" t="s">
        <v>74</v>
      </c>
      <c r="AI11" t="s">
        <v>74</v>
      </c>
      <c r="AJ11" t="s">
        <v>74</v>
      </c>
      <c r="AK11" t="s">
        <v>74</v>
      </c>
      <c r="AL11" t="s">
        <v>74</v>
      </c>
      <c r="AM11" t="s">
        <v>74</v>
      </c>
      <c r="AN11" t="s">
        <v>74</v>
      </c>
      <c r="AO11" t="s">
        <v>7397</v>
      </c>
      <c r="AP11" t="s">
        <v>7398</v>
      </c>
      <c r="AQ11" t="s">
        <v>74</v>
      </c>
      <c r="AR11" t="s">
        <v>74</v>
      </c>
      <c r="AS11" t="s">
        <v>74</v>
      </c>
      <c r="AT11" t="s">
        <v>352</v>
      </c>
      <c r="AU11">
        <v>2019</v>
      </c>
      <c r="AV11">
        <v>107</v>
      </c>
      <c r="AW11">
        <v>5</v>
      </c>
      <c r="AX11" t="s">
        <v>74</v>
      </c>
      <c r="AY11" t="s">
        <v>74</v>
      </c>
      <c r="AZ11" t="s">
        <v>74</v>
      </c>
      <c r="BA11" t="s">
        <v>74</v>
      </c>
      <c r="BB11">
        <v>2167</v>
      </c>
      <c r="BC11">
        <v>2181</v>
      </c>
      <c r="BD11" t="s">
        <v>74</v>
      </c>
      <c r="BE11" t="s">
        <v>7399</v>
      </c>
      <c r="BF11" t="str">
        <f>HYPERLINK("http://dx.doi.org/10.1111/1365-2745.13183","http://dx.doi.org/10.1111/1365-2745.13183")</f>
        <v>http://dx.doi.org/10.1111/1365-2745.13183</v>
      </c>
      <c r="BG11" t="s">
        <v>74</v>
      </c>
      <c r="BH11" t="s">
        <v>74</v>
      </c>
      <c r="BI11" t="s">
        <v>74</v>
      </c>
      <c r="BJ11" t="s">
        <v>74</v>
      </c>
      <c r="BK11" t="s">
        <v>74</v>
      </c>
      <c r="BL11" t="s">
        <v>74</v>
      </c>
      <c r="BM11" t="s">
        <v>74</v>
      </c>
      <c r="BN11" t="s">
        <v>74</v>
      </c>
      <c r="BO11" t="s">
        <v>74</v>
      </c>
      <c r="BP11" t="s">
        <v>74</v>
      </c>
      <c r="BQ11" t="s">
        <v>74</v>
      </c>
      <c r="BR11" t="s">
        <v>74</v>
      </c>
      <c r="BS11" t="s">
        <v>7400</v>
      </c>
      <c r="BT11" t="str">
        <f>HYPERLINK("https%3A%2F%2Fwww.webofscience.com%2Fwos%2Fwoscc%2Ffull-record%2FWOS:000484311000012","View Full Record in Web of Science")</f>
        <v>View Full Record in Web of Science</v>
      </c>
    </row>
    <row r="12" spans="1:72" x14ac:dyDescent="0.4">
      <c r="A12" t="s">
        <v>72</v>
      </c>
      <c r="B12" t="s">
        <v>4653</v>
      </c>
      <c r="C12" t="s">
        <v>74</v>
      </c>
      <c r="D12" t="s">
        <v>74</v>
      </c>
      <c r="E12" t="s">
        <v>74</v>
      </c>
      <c r="F12" t="s">
        <v>4653</v>
      </c>
      <c r="G12" t="s">
        <v>74</v>
      </c>
      <c r="H12" t="s">
        <v>74</v>
      </c>
      <c r="I12" t="s">
        <v>4654</v>
      </c>
      <c r="J12" t="s">
        <v>4655</v>
      </c>
      <c r="K12" t="s">
        <v>74</v>
      </c>
      <c r="L12" t="s">
        <v>74</v>
      </c>
      <c r="M12" t="s">
        <v>74</v>
      </c>
      <c r="N12" t="s">
        <v>74</v>
      </c>
      <c r="O12" t="s">
        <v>74</v>
      </c>
      <c r="P12" t="s">
        <v>74</v>
      </c>
      <c r="Q12" t="s">
        <v>74</v>
      </c>
      <c r="R12" t="s">
        <v>74</v>
      </c>
      <c r="S12" t="s">
        <v>74</v>
      </c>
      <c r="T12" t="s">
        <v>74</v>
      </c>
      <c r="U12" t="s">
        <v>74</v>
      </c>
      <c r="V12" s="3" t="s">
        <v>4656</v>
      </c>
      <c r="W12" t="s">
        <v>74</v>
      </c>
      <c r="X12" t="s">
        <v>74</v>
      </c>
      <c r="Y12" t="s">
        <v>74</v>
      </c>
      <c r="Z12" t="s">
        <v>74</v>
      </c>
      <c r="AA12" t="s">
        <v>74</v>
      </c>
      <c r="AB12" t="s">
        <v>74</v>
      </c>
      <c r="AC12" t="s">
        <v>74</v>
      </c>
      <c r="AD12" t="s">
        <v>74</v>
      </c>
      <c r="AE12" t="s">
        <v>74</v>
      </c>
      <c r="AF12" t="s">
        <v>74</v>
      </c>
      <c r="AG12" t="s">
        <v>74</v>
      </c>
      <c r="AH12" t="s">
        <v>74</v>
      </c>
      <c r="AI12" t="s">
        <v>74</v>
      </c>
      <c r="AJ12" t="s">
        <v>74</v>
      </c>
      <c r="AK12" t="s">
        <v>74</v>
      </c>
      <c r="AL12" t="s">
        <v>74</v>
      </c>
      <c r="AM12" t="s">
        <v>74</v>
      </c>
      <c r="AN12" t="s">
        <v>74</v>
      </c>
      <c r="AO12" t="s">
        <v>4657</v>
      </c>
      <c r="AP12" t="s">
        <v>74</v>
      </c>
      <c r="AQ12" t="s">
        <v>74</v>
      </c>
      <c r="AR12" t="s">
        <v>74</v>
      </c>
      <c r="AS12" t="s">
        <v>74</v>
      </c>
      <c r="AT12" t="s">
        <v>74</v>
      </c>
      <c r="AU12">
        <v>1984</v>
      </c>
      <c r="AV12">
        <v>96</v>
      </c>
      <c r="AW12">
        <v>4</v>
      </c>
      <c r="AX12" t="s">
        <v>74</v>
      </c>
      <c r="AY12" t="s">
        <v>74</v>
      </c>
      <c r="AZ12" t="s">
        <v>74</v>
      </c>
      <c r="BA12" t="s">
        <v>74</v>
      </c>
      <c r="BB12">
        <v>603</v>
      </c>
      <c r="BC12">
        <v>618</v>
      </c>
      <c r="BD12" t="s">
        <v>74</v>
      </c>
      <c r="BE12" t="s">
        <v>74</v>
      </c>
      <c r="BF12" t="s">
        <v>74</v>
      </c>
      <c r="BG12" t="s">
        <v>74</v>
      </c>
      <c r="BH12" t="s">
        <v>74</v>
      </c>
      <c r="BI12" t="s">
        <v>74</v>
      </c>
      <c r="BJ12" t="s">
        <v>74</v>
      </c>
      <c r="BK12" t="s">
        <v>74</v>
      </c>
      <c r="BL12" t="s">
        <v>74</v>
      </c>
      <c r="BM12" t="s">
        <v>74</v>
      </c>
      <c r="BN12" t="s">
        <v>74</v>
      </c>
      <c r="BO12" t="s">
        <v>74</v>
      </c>
      <c r="BP12" t="s">
        <v>74</v>
      </c>
      <c r="BQ12" t="s">
        <v>74</v>
      </c>
      <c r="BR12" t="s">
        <v>74</v>
      </c>
      <c r="BS12" t="s">
        <v>4658</v>
      </c>
      <c r="BT12" t="str">
        <f>HYPERLINK("https%3A%2F%2Fwww.webofscience.com%2Fwos%2Fwoscc%2Ffull-record%2FWOS:A1984ACX3700007","View Full Record in Web of Science")</f>
        <v>View Full Record in Web of Science</v>
      </c>
    </row>
    <row r="13" spans="1:72" x14ac:dyDescent="0.4">
      <c r="A13" t="s">
        <v>72</v>
      </c>
      <c r="B13" t="s">
        <v>5607</v>
      </c>
      <c r="C13" t="s">
        <v>74</v>
      </c>
      <c r="D13" t="s">
        <v>74</v>
      </c>
      <c r="E13" t="s">
        <v>74</v>
      </c>
      <c r="F13" t="s">
        <v>5608</v>
      </c>
      <c r="G13" t="s">
        <v>74</v>
      </c>
      <c r="H13" t="s">
        <v>74</v>
      </c>
      <c r="I13" t="s">
        <v>5609</v>
      </c>
      <c r="J13" t="s">
        <v>140</v>
      </c>
      <c r="K13" t="s">
        <v>74</v>
      </c>
      <c r="L13" t="s">
        <v>74</v>
      </c>
      <c r="M13" t="s">
        <v>74</v>
      </c>
      <c r="N13" t="s">
        <v>74</v>
      </c>
      <c r="O13" t="s">
        <v>74</v>
      </c>
      <c r="P13" t="s">
        <v>74</v>
      </c>
      <c r="Q13" t="s">
        <v>74</v>
      </c>
      <c r="R13" t="s">
        <v>74</v>
      </c>
      <c r="S13" t="s">
        <v>74</v>
      </c>
      <c r="T13" t="s">
        <v>74</v>
      </c>
      <c r="U13" t="s">
        <v>74</v>
      </c>
      <c r="V13" s="3" t="s">
        <v>5610</v>
      </c>
      <c r="W13" t="s">
        <v>74</v>
      </c>
      <c r="X13" t="s">
        <v>74</v>
      </c>
      <c r="Y13" t="s">
        <v>74</v>
      </c>
      <c r="Z13" t="s">
        <v>74</v>
      </c>
      <c r="AA13" t="s">
        <v>74</v>
      </c>
      <c r="AB13" t="s">
        <v>5611</v>
      </c>
      <c r="AC13" t="s">
        <v>74</v>
      </c>
      <c r="AD13" t="s">
        <v>74</v>
      </c>
      <c r="AE13" t="s">
        <v>74</v>
      </c>
      <c r="AF13" t="s">
        <v>74</v>
      </c>
      <c r="AG13" t="s">
        <v>74</v>
      </c>
      <c r="AH13" t="s">
        <v>74</v>
      </c>
      <c r="AI13" t="s">
        <v>74</v>
      </c>
      <c r="AJ13" t="s">
        <v>74</v>
      </c>
      <c r="AK13" t="s">
        <v>74</v>
      </c>
      <c r="AL13" t="s">
        <v>74</v>
      </c>
      <c r="AM13" t="s">
        <v>74</v>
      </c>
      <c r="AN13" t="s">
        <v>74</v>
      </c>
      <c r="AO13" t="s">
        <v>143</v>
      </c>
      <c r="AP13" t="s">
        <v>144</v>
      </c>
      <c r="AQ13" t="s">
        <v>74</v>
      </c>
      <c r="AR13" t="s">
        <v>74</v>
      </c>
      <c r="AS13" t="s">
        <v>74</v>
      </c>
      <c r="AT13" t="s">
        <v>175</v>
      </c>
      <c r="AU13">
        <v>2021</v>
      </c>
      <c r="AV13">
        <v>180</v>
      </c>
      <c r="AW13" t="s">
        <v>74</v>
      </c>
      <c r="AX13" t="s">
        <v>74</v>
      </c>
      <c r="AY13" t="s">
        <v>74</v>
      </c>
      <c r="AZ13" t="s">
        <v>74</v>
      </c>
      <c r="BA13" t="s">
        <v>74</v>
      </c>
      <c r="BB13">
        <v>337</v>
      </c>
      <c r="BC13">
        <v>361</v>
      </c>
      <c r="BD13" t="s">
        <v>74</v>
      </c>
      <c r="BE13" t="s">
        <v>5612</v>
      </c>
      <c r="BF13" t="str">
        <f>HYPERLINK("http://dx.doi.org/10.1016/j.anbehav.2021.08.018","http://dx.doi.org/10.1016/j.anbehav.2021.08.018")</f>
        <v>http://dx.doi.org/10.1016/j.anbehav.2021.08.018</v>
      </c>
      <c r="BG13" t="s">
        <v>74</v>
      </c>
      <c r="BH13" t="s">
        <v>675</v>
      </c>
      <c r="BI13" t="s">
        <v>74</v>
      </c>
      <c r="BJ13" t="s">
        <v>74</v>
      </c>
      <c r="BK13" t="s">
        <v>74</v>
      </c>
      <c r="BL13" t="s">
        <v>74</v>
      </c>
      <c r="BM13" t="s">
        <v>74</v>
      </c>
      <c r="BN13" t="s">
        <v>74</v>
      </c>
      <c r="BO13" t="s">
        <v>74</v>
      </c>
      <c r="BP13" t="s">
        <v>74</v>
      </c>
      <c r="BQ13" t="s">
        <v>74</v>
      </c>
      <c r="BR13" t="s">
        <v>74</v>
      </c>
      <c r="BS13" t="s">
        <v>5613</v>
      </c>
      <c r="BT13" t="str">
        <f>HYPERLINK("https%3A%2F%2Fwww.webofscience.com%2Fwos%2Fwoscc%2Ffull-record%2FWOS:000707744600009","View Full Record in Web of Science")</f>
        <v>View Full Record in Web of Science</v>
      </c>
    </row>
    <row r="14" spans="1:72" x14ac:dyDescent="0.4">
      <c r="A14" t="s">
        <v>72</v>
      </c>
      <c r="B14" t="s">
        <v>6318</v>
      </c>
      <c r="C14" t="s">
        <v>74</v>
      </c>
      <c r="D14" t="s">
        <v>74</v>
      </c>
      <c r="E14" t="s">
        <v>74</v>
      </c>
      <c r="F14" t="s">
        <v>6319</v>
      </c>
      <c r="G14" t="s">
        <v>74</v>
      </c>
      <c r="H14" t="s">
        <v>74</v>
      </c>
      <c r="I14" t="s">
        <v>6320</v>
      </c>
      <c r="J14" t="s">
        <v>2207</v>
      </c>
      <c r="K14" t="s">
        <v>74</v>
      </c>
      <c r="L14" t="s">
        <v>74</v>
      </c>
      <c r="M14" t="s">
        <v>74</v>
      </c>
      <c r="N14" t="s">
        <v>74</v>
      </c>
      <c r="O14" t="s">
        <v>74</v>
      </c>
      <c r="P14" t="s">
        <v>74</v>
      </c>
      <c r="Q14" t="s">
        <v>74</v>
      </c>
      <c r="R14" t="s">
        <v>74</v>
      </c>
      <c r="S14" t="s">
        <v>74</v>
      </c>
      <c r="T14" t="s">
        <v>74</v>
      </c>
      <c r="U14" t="s">
        <v>74</v>
      </c>
      <c r="V14" s="3" t="s">
        <v>6321</v>
      </c>
      <c r="W14" t="s">
        <v>74</v>
      </c>
      <c r="X14" t="s">
        <v>74</v>
      </c>
      <c r="Y14" t="s">
        <v>74</v>
      </c>
      <c r="Z14" t="s">
        <v>74</v>
      </c>
      <c r="AA14" t="s">
        <v>6322</v>
      </c>
      <c r="AB14" t="s">
        <v>6323</v>
      </c>
      <c r="AC14" t="s">
        <v>74</v>
      </c>
      <c r="AD14" t="s">
        <v>74</v>
      </c>
      <c r="AE14" t="s">
        <v>74</v>
      </c>
      <c r="AF14" t="s">
        <v>74</v>
      </c>
      <c r="AG14" t="s">
        <v>74</v>
      </c>
      <c r="AH14" t="s">
        <v>74</v>
      </c>
      <c r="AI14" t="s">
        <v>74</v>
      </c>
      <c r="AJ14" t="s">
        <v>74</v>
      </c>
      <c r="AK14" t="s">
        <v>74</v>
      </c>
      <c r="AL14" t="s">
        <v>74</v>
      </c>
      <c r="AM14" t="s">
        <v>74</v>
      </c>
      <c r="AN14" t="s">
        <v>74</v>
      </c>
      <c r="AO14" t="s">
        <v>2211</v>
      </c>
      <c r="AP14" t="s">
        <v>2461</v>
      </c>
      <c r="AQ14" t="s">
        <v>74</v>
      </c>
      <c r="AR14" t="s">
        <v>74</v>
      </c>
      <c r="AS14" t="s">
        <v>74</v>
      </c>
      <c r="AT14" t="s">
        <v>255</v>
      </c>
      <c r="AU14">
        <v>2018</v>
      </c>
      <c r="AV14">
        <v>49</v>
      </c>
      <c r="AW14">
        <v>1</v>
      </c>
      <c r="AX14" t="s">
        <v>74</v>
      </c>
      <c r="AY14" t="s">
        <v>74</v>
      </c>
      <c r="AZ14" t="s">
        <v>74</v>
      </c>
      <c r="BA14" t="s">
        <v>74</v>
      </c>
      <c r="BB14" t="s">
        <v>74</v>
      </c>
      <c r="BC14" t="s">
        <v>74</v>
      </c>
      <c r="BD14" t="s">
        <v>6324</v>
      </c>
      <c r="BE14" t="s">
        <v>6325</v>
      </c>
      <c r="BF14" t="str">
        <f>HYPERLINK("http://dx.doi.org/10.1111/jav.01467","http://dx.doi.org/10.1111/jav.01467")</f>
        <v>http://dx.doi.org/10.1111/jav.01467</v>
      </c>
      <c r="BG14" t="s">
        <v>74</v>
      </c>
      <c r="BH14" t="s">
        <v>74</v>
      </c>
      <c r="BI14" t="s">
        <v>74</v>
      </c>
      <c r="BJ14" t="s">
        <v>74</v>
      </c>
      <c r="BK14" t="s">
        <v>74</v>
      </c>
      <c r="BL14" t="s">
        <v>74</v>
      </c>
      <c r="BM14" t="s">
        <v>74</v>
      </c>
      <c r="BN14" t="s">
        <v>74</v>
      </c>
      <c r="BO14" t="s">
        <v>74</v>
      </c>
      <c r="BP14" t="s">
        <v>74</v>
      </c>
      <c r="BQ14" t="s">
        <v>74</v>
      </c>
      <c r="BR14" t="s">
        <v>74</v>
      </c>
      <c r="BS14" t="s">
        <v>6326</v>
      </c>
      <c r="BT14" t="str">
        <f>HYPERLINK("https%3A%2F%2Fwww.webofscience.com%2Fwos%2Fwoscc%2Ffull-record%2FWOS:000425085000003","View Full Record in Web of Science")</f>
        <v>View Full Record in Web of Science</v>
      </c>
    </row>
    <row r="15" spans="1:72" x14ac:dyDescent="0.4">
      <c r="A15" t="s">
        <v>72</v>
      </c>
      <c r="B15" t="s">
        <v>4111</v>
      </c>
      <c r="C15" t="s">
        <v>74</v>
      </c>
      <c r="D15" t="s">
        <v>74</v>
      </c>
      <c r="E15" t="s">
        <v>74</v>
      </c>
      <c r="F15" t="s">
        <v>4112</v>
      </c>
      <c r="G15" t="s">
        <v>74</v>
      </c>
      <c r="H15" t="s">
        <v>74</v>
      </c>
      <c r="I15" t="s">
        <v>4113</v>
      </c>
      <c r="J15" t="s">
        <v>4114</v>
      </c>
      <c r="K15" t="s">
        <v>74</v>
      </c>
      <c r="L15" t="s">
        <v>74</v>
      </c>
      <c r="M15" t="s">
        <v>74</v>
      </c>
      <c r="N15" t="s">
        <v>74</v>
      </c>
      <c r="O15" t="s">
        <v>74</v>
      </c>
      <c r="P15" t="s">
        <v>74</v>
      </c>
      <c r="Q15" t="s">
        <v>74</v>
      </c>
      <c r="R15" t="s">
        <v>74</v>
      </c>
      <c r="S15" t="s">
        <v>74</v>
      </c>
      <c r="T15" t="s">
        <v>74</v>
      </c>
      <c r="U15" t="s">
        <v>74</v>
      </c>
      <c r="V15" s="3" t="s">
        <v>4115</v>
      </c>
      <c r="W15" t="s">
        <v>74</v>
      </c>
      <c r="X15" t="s">
        <v>74</v>
      </c>
      <c r="Y15" t="s">
        <v>74</v>
      </c>
      <c r="Z15" t="s">
        <v>74</v>
      </c>
      <c r="AA15" t="s">
        <v>74</v>
      </c>
      <c r="AB15" t="s">
        <v>74</v>
      </c>
      <c r="AC15" t="s">
        <v>74</v>
      </c>
      <c r="AD15" t="s">
        <v>74</v>
      </c>
      <c r="AE15" t="s">
        <v>74</v>
      </c>
      <c r="AF15" t="s">
        <v>74</v>
      </c>
      <c r="AG15" t="s">
        <v>74</v>
      </c>
      <c r="AH15" t="s">
        <v>74</v>
      </c>
      <c r="AI15" t="s">
        <v>74</v>
      </c>
      <c r="AJ15" t="s">
        <v>74</v>
      </c>
      <c r="AK15" t="s">
        <v>74</v>
      </c>
      <c r="AL15" t="s">
        <v>74</v>
      </c>
      <c r="AM15" t="s">
        <v>74</v>
      </c>
      <c r="AN15" t="s">
        <v>74</v>
      </c>
      <c r="AO15" t="s">
        <v>4116</v>
      </c>
      <c r="AP15" t="s">
        <v>4117</v>
      </c>
      <c r="AQ15" t="s">
        <v>74</v>
      </c>
      <c r="AR15" t="s">
        <v>74</v>
      </c>
      <c r="AS15" t="s">
        <v>74</v>
      </c>
      <c r="AT15" t="s">
        <v>633</v>
      </c>
      <c r="AU15">
        <v>2022</v>
      </c>
      <c r="AV15">
        <v>47</v>
      </c>
      <c r="AW15">
        <v>2</v>
      </c>
      <c r="AX15" t="s">
        <v>74</v>
      </c>
      <c r="AY15" t="s">
        <v>74</v>
      </c>
      <c r="AZ15" t="s">
        <v>74</v>
      </c>
      <c r="BA15" t="s">
        <v>74</v>
      </c>
      <c r="BB15">
        <v>158</v>
      </c>
      <c r="BC15">
        <v>169</v>
      </c>
      <c r="BD15" t="s">
        <v>74</v>
      </c>
      <c r="BE15" t="s">
        <v>4118</v>
      </c>
      <c r="BF15" t="str">
        <f>HYPERLINK("http://dx.doi.org/10.1111/een.13098","http://dx.doi.org/10.1111/een.13098")</f>
        <v>http://dx.doi.org/10.1111/een.13098</v>
      </c>
      <c r="BG15" t="s">
        <v>74</v>
      </c>
      <c r="BH15" t="s">
        <v>4119</v>
      </c>
      <c r="BI15" t="s">
        <v>74</v>
      </c>
      <c r="BJ15" t="s">
        <v>74</v>
      </c>
      <c r="BK15" t="s">
        <v>74</v>
      </c>
      <c r="BL15" t="s">
        <v>74</v>
      </c>
      <c r="BM15" t="s">
        <v>74</v>
      </c>
      <c r="BN15" t="s">
        <v>74</v>
      </c>
      <c r="BO15" t="s">
        <v>74</v>
      </c>
      <c r="BP15" t="s">
        <v>74</v>
      </c>
      <c r="BQ15" t="s">
        <v>74</v>
      </c>
      <c r="BR15" t="s">
        <v>74</v>
      </c>
      <c r="BS15" t="s">
        <v>4120</v>
      </c>
      <c r="BT15" t="str">
        <f>HYPERLINK("https%3A%2F%2Fwww.webofscience.com%2Fwos%2Fwoscc%2Ffull-record%2FWOS:000711895800001","View Full Record in Web of Science")</f>
        <v>View Full Record in Web of Science</v>
      </c>
    </row>
    <row r="16" spans="1:72" x14ac:dyDescent="0.4">
      <c r="A16" t="s">
        <v>72</v>
      </c>
      <c r="B16" t="s">
        <v>5521</v>
      </c>
      <c r="C16" t="s">
        <v>74</v>
      </c>
      <c r="D16" t="s">
        <v>74</v>
      </c>
      <c r="E16" t="s">
        <v>74</v>
      </c>
      <c r="F16" t="s">
        <v>5522</v>
      </c>
      <c r="G16" t="s">
        <v>74</v>
      </c>
      <c r="H16" t="s">
        <v>74</v>
      </c>
      <c r="I16" t="s">
        <v>5523</v>
      </c>
      <c r="J16" t="s">
        <v>218</v>
      </c>
      <c r="K16" t="s">
        <v>74</v>
      </c>
      <c r="L16" t="s">
        <v>74</v>
      </c>
      <c r="M16" t="s">
        <v>74</v>
      </c>
      <c r="N16" t="s">
        <v>74</v>
      </c>
      <c r="O16" t="s">
        <v>74</v>
      </c>
      <c r="P16" t="s">
        <v>74</v>
      </c>
      <c r="Q16" t="s">
        <v>74</v>
      </c>
      <c r="R16" t="s">
        <v>74</v>
      </c>
      <c r="S16" t="s">
        <v>74</v>
      </c>
      <c r="T16" t="s">
        <v>74</v>
      </c>
      <c r="U16" t="s">
        <v>74</v>
      </c>
      <c r="V16" s="3" t="s">
        <v>5524</v>
      </c>
      <c r="W16" t="s">
        <v>74</v>
      </c>
      <c r="X16" t="s">
        <v>74</v>
      </c>
      <c r="Y16" t="s">
        <v>74</v>
      </c>
      <c r="Z16" t="s">
        <v>74</v>
      </c>
      <c r="AA16" t="s">
        <v>5525</v>
      </c>
      <c r="AB16" t="s">
        <v>5526</v>
      </c>
      <c r="AC16" t="s">
        <v>74</v>
      </c>
      <c r="AD16" t="s">
        <v>74</v>
      </c>
      <c r="AE16" t="s">
        <v>74</v>
      </c>
      <c r="AF16" t="s">
        <v>74</v>
      </c>
      <c r="AG16" t="s">
        <v>74</v>
      </c>
      <c r="AH16" t="s">
        <v>74</v>
      </c>
      <c r="AI16" t="s">
        <v>74</v>
      </c>
      <c r="AJ16" t="s">
        <v>74</v>
      </c>
      <c r="AK16" t="s">
        <v>74</v>
      </c>
      <c r="AL16" t="s">
        <v>74</v>
      </c>
      <c r="AM16" t="s">
        <v>74</v>
      </c>
      <c r="AN16" t="s">
        <v>74</v>
      </c>
      <c r="AO16" t="s">
        <v>221</v>
      </c>
      <c r="AP16" t="s">
        <v>222</v>
      </c>
      <c r="AQ16" t="s">
        <v>74</v>
      </c>
      <c r="AR16" t="s">
        <v>74</v>
      </c>
      <c r="AS16" t="s">
        <v>74</v>
      </c>
      <c r="AT16" t="s">
        <v>213</v>
      </c>
      <c r="AU16">
        <v>2008</v>
      </c>
      <c r="AV16">
        <v>21</v>
      </c>
      <c r="AW16">
        <v>6</v>
      </c>
      <c r="AX16" t="s">
        <v>74</v>
      </c>
      <c r="AY16" t="s">
        <v>74</v>
      </c>
      <c r="AZ16" t="s">
        <v>74</v>
      </c>
      <c r="BA16" t="s">
        <v>74</v>
      </c>
      <c r="BB16">
        <v>1789</v>
      </c>
      <c r="BC16">
        <v>1797</v>
      </c>
      <c r="BD16" t="s">
        <v>74</v>
      </c>
      <c r="BE16" t="s">
        <v>5527</v>
      </c>
      <c r="BF16" t="str">
        <f>HYPERLINK("http://dx.doi.org/10.1111/j.1420-9101.2008.01591.x","http://dx.doi.org/10.1111/j.1420-9101.2008.01591.x")</f>
        <v>http://dx.doi.org/10.1111/j.1420-9101.2008.01591.x</v>
      </c>
      <c r="BG16" t="s">
        <v>74</v>
      </c>
      <c r="BH16" t="s">
        <v>74</v>
      </c>
      <c r="BI16" t="s">
        <v>74</v>
      </c>
      <c r="BJ16" t="s">
        <v>74</v>
      </c>
      <c r="BK16" t="s">
        <v>74</v>
      </c>
      <c r="BL16" t="s">
        <v>74</v>
      </c>
      <c r="BM16" t="s">
        <v>74</v>
      </c>
      <c r="BN16">
        <v>18713241</v>
      </c>
      <c r="BO16" t="s">
        <v>74</v>
      </c>
      <c r="BP16" t="s">
        <v>74</v>
      </c>
      <c r="BQ16" t="s">
        <v>74</v>
      </c>
      <c r="BR16" t="s">
        <v>74</v>
      </c>
      <c r="BS16" t="s">
        <v>5528</v>
      </c>
      <c r="BT16" t="str">
        <f>HYPERLINK("https%3A%2F%2Fwww.webofscience.com%2Fwos%2Fwoscc%2Ffull-record%2FWOS:000260108900032","View Full Record in Web of Science")</f>
        <v>View Full Record in Web of Science</v>
      </c>
    </row>
    <row r="17" spans="1:72" x14ac:dyDescent="0.4">
      <c r="A17" t="s">
        <v>72</v>
      </c>
      <c r="B17" t="s">
        <v>2128</v>
      </c>
      <c r="C17" t="s">
        <v>74</v>
      </c>
      <c r="D17" t="s">
        <v>74</v>
      </c>
      <c r="E17" t="s">
        <v>74</v>
      </c>
      <c r="F17" t="s">
        <v>2128</v>
      </c>
      <c r="G17" t="s">
        <v>74</v>
      </c>
      <c r="H17" t="s">
        <v>74</v>
      </c>
      <c r="I17" t="s">
        <v>2129</v>
      </c>
      <c r="J17" t="s">
        <v>1526</v>
      </c>
      <c r="K17" t="s">
        <v>74</v>
      </c>
      <c r="L17" t="s">
        <v>74</v>
      </c>
      <c r="M17" t="s">
        <v>74</v>
      </c>
      <c r="N17" t="s">
        <v>74</v>
      </c>
      <c r="O17" t="s">
        <v>74</v>
      </c>
      <c r="P17" t="s">
        <v>74</v>
      </c>
      <c r="Q17" t="s">
        <v>74</v>
      </c>
      <c r="R17" t="s">
        <v>74</v>
      </c>
      <c r="S17" t="s">
        <v>74</v>
      </c>
      <c r="T17" t="s">
        <v>74</v>
      </c>
      <c r="U17" t="s">
        <v>74</v>
      </c>
      <c r="V17" s="3" t="s">
        <v>2130</v>
      </c>
      <c r="W17" t="s">
        <v>74</v>
      </c>
      <c r="X17" t="s">
        <v>74</v>
      </c>
      <c r="Y17" t="s">
        <v>74</v>
      </c>
      <c r="Z17" t="s">
        <v>74</v>
      </c>
      <c r="AA17" t="s">
        <v>74</v>
      </c>
      <c r="AB17" t="s">
        <v>74</v>
      </c>
      <c r="AC17" t="s">
        <v>74</v>
      </c>
      <c r="AD17" t="s">
        <v>74</v>
      </c>
      <c r="AE17" t="s">
        <v>74</v>
      </c>
      <c r="AF17" t="s">
        <v>74</v>
      </c>
      <c r="AG17" t="s">
        <v>74</v>
      </c>
      <c r="AH17" t="s">
        <v>74</v>
      </c>
      <c r="AI17" t="s">
        <v>74</v>
      </c>
      <c r="AJ17" t="s">
        <v>74</v>
      </c>
      <c r="AK17" t="s">
        <v>74</v>
      </c>
      <c r="AL17" t="s">
        <v>74</v>
      </c>
      <c r="AM17" t="s">
        <v>74</v>
      </c>
      <c r="AN17" t="s">
        <v>74</v>
      </c>
      <c r="AO17" t="s">
        <v>1528</v>
      </c>
      <c r="AP17" t="s">
        <v>2131</v>
      </c>
      <c r="AQ17" t="s">
        <v>74</v>
      </c>
      <c r="AR17" t="s">
        <v>74</v>
      </c>
      <c r="AS17" t="s">
        <v>74</v>
      </c>
      <c r="AT17" t="s">
        <v>145</v>
      </c>
      <c r="AU17">
        <v>2000</v>
      </c>
      <c r="AV17">
        <v>102</v>
      </c>
      <c r="AW17">
        <v>3</v>
      </c>
      <c r="AX17" t="s">
        <v>74</v>
      </c>
      <c r="AY17" t="s">
        <v>74</v>
      </c>
      <c r="AZ17" t="s">
        <v>74</v>
      </c>
      <c r="BA17" t="s">
        <v>74</v>
      </c>
      <c r="BB17">
        <v>708</v>
      </c>
      <c r="BC17">
        <v>712</v>
      </c>
      <c r="BD17" t="s">
        <v>74</v>
      </c>
      <c r="BE17" t="s">
        <v>2132</v>
      </c>
      <c r="BF17" t="str">
        <f>HYPERLINK("http://dx.doi.org/10.1650/0010-5422(2000)102[0708:RBTCPA]2.0.CO;2","http://dx.doi.org/10.1650/0010-5422(2000)102[0708:RBTCPA]2.0.CO;2")</f>
        <v>http://dx.doi.org/10.1650/0010-5422(2000)102[0708:RBTCPA]2.0.CO;2</v>
      </c>
      <c r="BG17" t="s">
        <v>74</v>
      </c>
      <c r="BH17" t="s">
        <v>74</v>
      </c>
      <c r="BI17" t="s">
        <v>74</v>
      </c>
      <c r="BJ17" t="s">
        <v>74</v>
      </c>
      <c r="BK17" t="s">
        <v>74</v>
      </c>
      <c r="BL17" t="s">
        <v>74</v>
      </c>
      <c r="BM17" t="s">
        <v>74</v>
      </c>
      <c r="BN17" t="s">
        <v>74</v>
      </c>
      <c r="BO17" t="s">
        <v>74</v>
      </c>
      <c r="BP17" t="s">
        <v>74</v>
      </c>
      <c r="BQ17" t="s">
        <v>74</v>
      </c>
      <c r="BR17" t="s">
        <v>74</v>
      </c>
      <c r="BS17" t="s">
        <v>2133</v>
      </c>
      <c r="BT17" t="str">
        <f>HYPERLINK("https%3A%2F%2Fwww.webofscience.com%2Fwos%2Fwoscc%2Ffull-record%2FWOS:000088716300031","View Full Record in Web of Science")</f>
        <v>View Full Record in Web of Science</v>
      </c>
    </row>
    <row r="18" spans="1:72" x14ac:dyDescent="0.4">
      <c r="A18" t="s">
        <v>72</v>
      </c>
      <c r="B18" t="s">
        <v>1963</v>
      </c>
      <c r="C18" t="s">
        <v>74</v>
      </c>
      <c r="D18" t="s">
        <v>74</v>
      </c>
      <c r="E18" t="s">
        <v>74</v>
      </c>
      <c r="F18" t="s">
        <v>1964</v>
      </c>
      <c r="G18" t="s">
        <v>74</v>
      </c>
      <c r="H18" t="s">
        <v>74</v>
      </c>
      <c r="I18" t="s">
        <v>1965</v>
      </c>
      <c r="J18" t="s">
        <v>803</v>
      </c>
      <c r="K18" t="s">
        <v>74</v>
      </c>
      <c r="L18" t="s">
        <v>74</v>
      </c>
      <c r="M18" t="s">
        <v>74</v>
      </c>
      <c r="N18" t="s">
        <v>74</v>
      </c>
      <c r="O18" t="s">
        <v>74</v>
      </c>
      <c r="P18" t="s">
        <v>74</v>
      </c>
      <c r="Q18" t="s">
        <v>74</v>
      </c>
      <c r="R18" t="s">
        <v>74</v>
      </c>
      <c r="S18" t="s">
        <v>74</v>
      </c>
      <c r="T18" t="s">
        <v>74</v>
      </c>
      <c r="U18" t="s">
        <v>74</v>
      </c>
      <c r="V18" s="3" t="s">
        <v>1966</v>
      </c>
      <c r="W18" t="s">
        <v>74</v>
      </c>
      <c r="X18" t="s">
        <v>74</v>
      </c>
      <c r="Y18" t="s">
        <v>74</v>
      </c>
      <c r="Z18" t="s">
        <v>74</v>
      </c>
      <c r="AA18" t="s">
        <v>1967</v>
      </c>
      <c r="AB18" t="s">
        <v>1968</v>
      </c>
      <c r="AC18" t="s">
        <v>74</v>
      </c>
      <c r="AD18" t="s">
        <v>74</v>
      </c>
      <c r="AE18" t="s">
        <v>74</v>
      </c>
      <c r="AF18" t="s">
        <v>74</v>
      </c>
      <c r="AG18" t="s">
        <v>74</v>
      </c>
      <c r="AH18" t="s">
        <v>74</v>
      </c>
      <c r="AI18" t="s">
        <v>74</v>
      </c>
      <c r="AJ18" t="s">
        <v>74</v>
      </c>
      <c r="AK18" t="s">
        <v>74</v>
      </c>
      <c r="AL18" t="s">
        <v>74</v>
      </c>
      <c r="AM18" t="s">
        <v>74</v>
      </c>
      <c r="AN18" t="s">
        <v>74</v>
      </c>
      <c r="AO18" t="s">
        <v>806</v>
      </c>
      <c r="AP18" t="s">
        <v>807</v>
      </c>
      <c r="AQ18" t="s">
        <v>74</v>
      </c>
      <c r="AR18" t="s">
        <v>74</v>
      </c>
      <c r="AS18" t="s">
        <v>74</v>
      </c>
      <c r="AT18" t="s">
        <v>808</v>
      </c>
      <c r="AU18">
        <v>2009</v>
      </c>
      <c r="AV18">
        <v>4</v>
      </c>
      <c r="AW18">
        <v>3</v>
      </c>
      <c r="AX18" t="s">
        <v>74</v>
      </c>
      <c r="AY18" t="s">
        <v>74</v>
      </c>
      <c r="AZ18" t="s">
        <v>74</v>
      </c>
      <c r="BA18" t="s">
        <v>74</v>
      </c>
      <c r="BB18">
        <v>111</v>
      </c>
      <c r="BC18">
        <v>117</v>
      </c>
      <c r="BD18" t="s">
        <v>74</v>
      </c>
      <c r="BE18" t="s">
        <v>1969</v>
      </c>
      <c r="BF18" t="str">
        <f>HYPERLINK("http://dx.doi.org/10.1016/j.jveb.2008.08.010","http://dx.doi.org/10.1016/j.jveb.2008.08.010")</f>
        <v>http://dx.doi.org/10.1016/j.jveb.2008.08.010</v>
      </c>
      <c r="BG18" t="s">
        <v>74</v>
      </c>
      <c r="BH18" t="s">
        <v>74</v>
      </c>
      <c r="BI18" t="s">
        <v>74</v>
      </c>
      <c r="BJ18" t="s">
        <v>74</v>
      </c>
      <c r="BK18" t="s">
        <v>74</v>
      </c>
      <c r="BL18" t="s">
        <v>74</v>
      </c>
      <c r="BM18" t="s">
        <v>74</v>
      </c>
      <c r="BN18" t="s">
        <v>74</v>
      </c>
      <c r="BO18" t="s">
        <v>74</v>
      </c>
      <c r="BP18" t="s">
        <v>74</v>
      </c>
      <c r="BQ18" t="s">
        <v>74</v>
      </c>
      <c r="BR18" t="s">
        <v>74</v>
      </c>
      <c r="BS18" t="s">
        <v>1970</v>
      </c>
      <c r="BT18" t="str">
        <f>HYPERLINK("https%3A%2F%2Fwww.webofscience.com%2Fwos%2Fwoscc%2Ffull-record%2FWOS:000266574100002","View Full Record in Web of Science")</f>
        <v>View Full Record in Web of Science</v>
      </c>
    </row>
    <row r="19" spans="1:72" x14ac:dyDescent="0.4">
      <c r="A19" t="s">
        <v>72</v>
      </c>
      <c r="B19" t="s">
        <v>1565</v>
      </c>
      <c r="C19" t="s">
        <v>74</v>
      </c>
      <c r="D19" t="s">
        <v>74</v>
      </c>
      <c r="E19" t="s">
        <v>74</v>
      </c>
      <c r="F19" t="s">
        <v>1566</v>
      </c>
      <c r="G19" t="s">
        <v>74</v>
      </c>
      <c r="H19" t="s">
        <v>74</v>
      </c>
      <c r="I19" t="s">
        <v>1567</v>
      </c>
      <c r="J19" t="s">
        <v>88</v>
      </c>
      <c r="K19" t="s">
        <v>74</v>
      </c>
      <c r="L19" t="s">
        <v>74</v>
      </c>
      <c r="M19" t="s">
        <v>74</v>
      </c>
      <c r="N19" t="s">
        <v>74</v>
      </c>
      <c r="O19" t="s">
        <v>74</v>
      </c>
      <c r="P19" t="s">
        <v>74</v>
      </c>
      <c r="Q19" t="s">
        <v>74</v>
      </c>
      <c r="R19" t="s">
        <v>74</v>
      </c>
      <c r="S19" t="s">
        <v>74</v>
      </c>
      <c r="T19" t="s">
        <v>74</v>
      </c>
      <c r="U19" t="s">
        <v>74</v>
      </c>
      <c r="V19" s="3" t="s">
        <v>1568</v>
      </c>
      <c r="W19" t="s">
        <v>74</v>
      </c>
      <c r="X19" t="s">
        <v>74</v>
      </c>
      <c r="Y19" t="s">
        <v>74</v>
      </c>
      <c r="Z19" t="s">
        <v>74</v>
      </c>
      <c r="AA19" t="s">
        <v>74</v>
      </c>
      <c r="AB19" t="s">
        <v>1569</v>
      </c>
      <c r="AC19" t="s">
        <v>74</v>
      </c>
      <c r="AD19" t="s">
        <v>74</v>
      </c>
      <c r="AE19" t="s">
        <v>74</v>
      </c>
      <c r="AF19" t="s">
        <v>74</v>
      </c>
      <c r="AG19" t="s">
        <v>74</v>
      </c>
      <c r="AH19" t="s">
        <v>74</v>
      </c>
      <c r="AI19" t="s">
        <v>74</v>
      </c>
      <c r="AJ19" t="s">
        <v>74</v>
      </c>
      <c r="AK19" t="s">
        <v>74</v>
      </c>
      <c r="AL19" t="s">
        <v>74</v>
      </c>
      <c r="AM19" t="s">
        <v>74</v>
      </c>
      <c r="AN19" t="s">
        <v>74</v>
      </c>
      <c r="AO19" t="s">
        <v>91</v>
      </c>
      <c r="AP19" t="s">
        <v>92</v>
      </c>
      <c r="AQ19" t="s">
        <v>74</v>
      </c>
      <c r="AR19" t="s">
        <v>74</v>
      </c>
      <c r="AS19" t="s">
        <v>74</v>
      </c>
      <c r="AT19" t="s">
        <v>361</v>
      </c>
      <c r="AU19">
        <v>2019</v>
      </c>
      <c r="AV19">
        <v>15</v>
      </c>
      <c r="AW19">
        <v>5</v>
      </c>
      <c r="AX19" t="s">
        <v>74</v>
      </c>
      <c r="AY19" t="s">
        <v>74</v>
      </c>
      <c r="AZ19" t="s">
        <v>74</v>
      </c>
      <c r="BA19" t="s">
        <v>74</v>
      </c>
      <c r="BB19" t="s">
        <v>74</v>
      </c>
      <c r="BC19" t="s">
        <v>74</v>
      </c>
      <c r="BD19">
        <v>20190207</v>
      </c>
      <c r="BE19" t="s">
        <v>1570</v>
      </c>
      <c r="BF19" t="str">
        <f>HYPERLINK("http://dx.doi.org/10.1098/rsbl.2019.0207","http://dx.doi.org/10.1098/rsbl.2019.0207")</f>
        <v>http://dx.doi.org/10.1098/rsbl.2019.0207</v>
      </c>
      <c r="BG19" t="s">
        <v>74</v>
      </c>
      <c r="BH19" t="s">
        <v>74</v>
      </c>
      <c r="BI19" t="s">
        <v>74</v>
      </c>
      <c r="BJ19" t="s">
        <v>74</v>
      </c>
      <c r="BK19" t="s">
        <v>74</v>
      </c>
      <c r="BL19" t="s">
        <v>74</v>
      </c>
      <c r="BM19" t="s">
        <v>74</v>
      </c>
      <c r="BN19">
        <v>31088284</v>
      </c>
      <c r="BO19" t="s">
        <v>74</v>
      </c>
      <c r="BP19" t="s">
        <v>74</v>
      </c>
      <c r="BQ19" t="s">
        <v>74</v>
      </c>
      <c r="BR19" t="s">
        <v>74</v>
      </c>
      <c r="BS19" t="s">
        <v>1571</v>
      </c>
      <c r="BT19" t="str">
        <f>HYPERLINK("https%3A%2F%2Fwww.webofscience.com%2Fwos%2Fwoscc%2Ffull-record%2FWOS:000470116400022","View Full Record in Web of Science")</f>
        <v>View Full Record in Web of Science</v>
      </c>
    </row>
    <row r="20" spans="1:72" x14ac:dyDescent="0.4">
      <c r="A20" t="s">
        <v>72</v>
      </c>
      <c r="B20" t="s">
        <v>1565</v>
      </c>
      <c r="C20" t="s">
        <v>74</v>
      </c>
      <c r="D20" t="s">
        <v>74</v>
      </c>
      <c r="E20" t="s">
        <v>74</v>
      </c>
      <c r="F20" t="s">
        <v>1566</v>
      </c>
      <c r="G20" t="s">
        <v>74</v>
      </c>
      <c r="H20" t="s">
        <v>74</v>
      </c>
      <c r="I20" t="s">
        <v>1694</v>
      </c>
      <c r="J20" t="s">
        <v>509</v>
      </c>
      <c r="K20" t="s">
        <v>74</v>
      </c>
      <c r="L20" t="s">
        <v>74</v>
      </c>
      <c r="M20" t="s">
        <v>74</v>
      </c>
      <c r="N20" t="s">
        <v>74</v>
      </c>
      <c r="O20" t="s">
        <v>74</v>
      </c>
      <c r="P20" t="s">
        <v>74</v>
      </c>
      <c r="Q20" t="s">
        <v>74</v>
      </c>
      <c r="R20" t="s">
        <v>74</v>
      </c>
      <c r="S20" t="s">
        <v>74</v>
      </c>
      <c r="T20" t="s">
        <v>74</v>
      </c>
      <c r="U20" t="s">
        <v>74</v>
      </c>
      <c r="V20" s="3" t="s">
        <v>1695</v>
      </c>
      <c r="W20" t="s">
        <v>74</v>
      </c>
      <c r="X20" t="s">
        <v>74</v>
      </c>
      <c r="Y20" t="s">
        <v>74</v>
      </c>
      <c r="Z20" t="s">
        <v>74</v>
      </c>
      <c r="AA20" t="s">
        <v>74</v>
      </c>
      <c r="AB20" t="s">
        <v>1696</v>
      </c>
      <c r="AC20" t="s">
        <v>74</v>
      </c>
      <c r="AD20" t="s">
        <v>74</v>
      </c>
      <c r="AE20" t="s">
        <v>74</v>
      </c>
      <c r="AF20" t="s">
        <v>74</v>
      </c>
      <c r="AG20" t="s">
        <v>74</v>
      </c>
      <c r="AH20" t="s">
        <v>74</v>
      </c>
      <c r="AI20" t="s">
        <v>74</v>
      </c>
      <c r="AJ20" t="s">
        <v>74</v>
      </c>
      <c r="AK20" t="s">
        <v>74</v>
      </c>
      <c r="AL20" t="s">
        <v>74</v>
      </c>
      <c r="AM20" t="s">
        <v>74</v>
      </c>
      <c r="AN20" t="s">
        <v>74</v>
      </c>
      <c r="AO20" t="s">
        <v>511</v>
      </c>
      <c r="AP20" t="s">
        <v>512</v>
      </c>
      <c r="AQ20" t="s">
        <v>74</v>
      </c>
      <c r="AR20" t="s">
        <v>74</v>
      </c>
      <c r="AS20" t="s">
        <v>74</v>
      </c>
      <c r="AT20" t="s">
        <v>145</v>
      </c>
      <c r="AU20">
        <v>2022</v>
      </c>
      <c r="AV20">
        <v>144</v>
      </c>
      <c r="AW20" t="s">
        <v>74</v>
      </c>
      <c r="AX20" t="s">
        <v>74</v>
      </c>
      <c r="AY20" t="s">
        <v>74</v>
      </c>
      <c r="AZ20" t="s">
        <v>74</v>
      </c>
      <c r="BA20" t="s">
        <v>74</v>
      </c>
      <c r="BB20" t="s">
        <v>74</v>
      </c>
      <c r="BC20" t="s">
        <v>74</v>
      </c>
      <c r="BD20">
        <v>105214</v>
      </c>
      <c r="BE20" t="s">
        <v>1697</v>
      </c>
      <c r="BF20" t="str">
        <f>HYPERLINK("http://dx.doi.org/10.1016/j.yhbeh.2022.105214","http://dx.doi.org/10.1016/j.yhbeh.2022.105214")</f>
        <v>http://dx.doi.org/10.1016/j.yhbeh.2022.105214</v>
      </c>
      <c r="BG20" t="s">
        <v>74</v>
      </c>
      <c r="BH20" t="s">
        <v>1698</v>
      </c>
      <c r="BI20" t="s">
        <v>74</v>
      </c>
      <c r="BJ20" t="s">
        <v>74</v>
      </c>
      <c r="BK20" t="s">
        <v>74</v>
      </c>
      <c r="BL20" t="s">
        <v>74</v>
      </c>
      <c r="BM20" t="s">
        <v>74</v>
      </c>
      <c r="BN20">
        <v>35696781</v>
      </c>
      <c r="BO20" t="s">
        <v>74</v>
      </c>
      <c r="BP20" t="s">
        <v>74</v>
      </c>
      <c r="BQ20" t="s">
        <v>74</v>
      </c>
      <c r="BR20" t="s">
        <v>74</v>
      </c>
      <c r="BS20" t="s">
        <v>1699</v>
      </c>
      <c r="BT20" t="str">
        <f>HYPERLINK("https%3A%2F%2Fwww.webofscience.com%2Fwos%2Fwoscc%2Ffull-record%2FWOS:000815736500002","View Full Record in Web of Science")</f>
        <v>View Full Record in Web of Science</v>
      </c>
    </row>
    <row r="21" spans="1:72" x14ac:dyDescent="0.4">
      <c r="A21" t="s">
        <v>72</v>
      </c>
      <c r="B21" t="s">
        <v>7495</v>
      </c>
      <c r="C21" t="s">
        <v>74</v>
      </c>
      <c r="D21" t="s">
        <v>74</v>
      </c>
      <c r="E21" t="s">
        <v>74</v>
      </c>
      <c r="F21" t="s">
        <v>7496</v>
      </c>
      <c r="G21" t="s">
        <v>74</v>
      </c>
      <c r="H21" t="s">
        <v>74</v>
      </c>
      <c r="I21" t="s">
        <v>7497</v>
      </c>
      <c r="J21" t="s">
        <v>775</v>
      </c>
      <c r="K21" t="s">
        <v>74</v>
      </c>
      <c r="L21" t="s">
        <v>74</v>
      </c>
      <c r="M21" t="s">
        <v>74</v>
      </c>
      <c r="N21" t="s">
        <v>74</v>
      </c>
      <c r="O21" t="s">
        <v>74</v>
      </c>
      <c r="P21" t="s">
        <v>74</v>
      </c>
      <c r="Q21" t="s">
        <v>74</v>
      </c>
      <c r="R21" t="s">
        <v>74</v>
      </c>
      <c r="S21" t="s">
        <v>74</v>
      </c>
      <c r="T21" t="s">
        <v>74</v>
      </c>
      <c r="U21" t="s">
        <v>74</v>
      </c>
      <c r="V21" s="3" t="s">
        <v>7498</v>
      </c>
      <c r="W21" t="s">
        <v>74</v>
      </c>
      <c r="X21" t="s">
        <v>74</v>
      </c>
      <c r="Y21" t="s">
        <v>74</v>
      </c>
      <c r="Z21" t="s">
        <v>74</v>
      </c>
      <c r="AA21" t="s">
        <v>74</v>
      </c>
      <c r="AB21" t="s">
        <v>7499</v>
      </c>
      <c r="AC21" t="s">
        <v>74</v>
      </c>
      <c r="AD21" t="s">
        <v>74</v>
      </c>
      <c r="AE21" t="s">
        <v>74</v>
      </c>
      <c r="AF21" t="s">
        <v>74</v>
      </c>
      <c r="AG21" t="s">
        <v>74</v>
      </c>
      <c r="AH21" t="s">
        <v>74</v>
      </c>
      <c r="AI21" t="s">
        <v>74</v>
      </c>
      <c r="AJ21" t="s">
        <v>74</v>
      </c>
      <c r="AK21" t="s">
        <v>74</v>
      </c>
      <c r="AL21" t="s">
        <v>74</v>
      </c>
      <c r="AM21" t="s">
        <v>74</v>
      </c>
      <c r="AN21" t="s">
        <v>74</v>
      </c>
      <c r="AO21" t="s">
        <v>778</v>
      </c>
      <c r="AP21" t="s">
        <v>779</v>
      </c>
      <c r="AQ21" t="s">
        <v>74</v>
      </c>
      <c r="AR21" t="s">
        <v>74</v>
      </c>
      <c r="AS21" t="s">
        <v>74</v>
      </c>
      <c r="AT21" t="s">
        <v>102</v>
      </c>
      <c r="AU21">
        <v>2018</v>
      </c>
      <c r="AV21">
        <v>64</v>
      </c>
      <c r="AW21">
        <v>3</v>
      </c>
      <c r="AX21" t="s">
        <v>74</v>
      </c>
      <c r="AY21" t="s">
        <v>74</v>
      </c>
      <c r="AZ21" t="s">
        <v>74</v>
      </c>
      <c r="BA21" t="s">
        <v>74</v>
      </c>
      <c r="BB21">
        <v>363</v>
      </c>
      <c r="BC21">
        <v>392</v>
      </c>
      <c r="BD21" t="s">
        <v>74</v>
      </c>
      <c r="BE21" t="s">
        <v>7500</v>
      </c>
      <c r="BF21" t="str">
        <f>HYPERLINK("http://dx.doi.org/10.1093/cz/zoy036","http://dx.doi.org/10.1093/cz/zoy036")</f>
        <v>http://dx.doi.org/10.1093/cz/zoy036</v>
      </c>
      <c r="BG21" t="s">
        <v>74</v>
      </c>
      <c r="BH21" t="s">
        <v>74</v>
      </c>
      <c r="BI21" t="s">
        <v>74</v>
      </c>
      <c r="BJ21" t="s">
        <v>74</v>
      </c>
      <c r="BK21" t="s">
        <v>74</v>
      </c>
      <c r="BL21" t="s">
        <v>74</v>
      </c>
      <c r="BM21" t="s">
        <v>74</v>
      </c>
      <c r="BN21">
        <v>30402079</v>
      </c>
      <c r="BO21" t="s">
        <v>74</v>
      </c>
      <c r="BP21" t="s">
        <v>74</v>
      </c>
      <c r="BQ21" t="s">
        <v>74</v>
      </c>
      <c r="BR21" t="s">
        <v>74</v>
      </c>
      <c r="BS21" t="s">
        <v>7501</v>
      </c>
      <c r="BT21" t="str">
        <f>HYPERLINK("https%3A%2F%2Fwww.webofscience.com%2Fwos%2Fwoscc%2Ffull-record%2FWOS:000436421000013","View Full Record in Web of Science")</f>
        <v>View Full Record in Web of Science</v>
      </c>
    </row>
    <row r="22" spans="1:72" x14ac:dyDescent="0.4">
      <c r="A22" t="s">
        <v>72</v>
      </c>
      <c r="B22" t="s">
        <v>126</v>
      </c>
      <c r="C22" t="s">
        <v>74</v>
      </c>
      <c r="D22" t="s">
        <v>74</v>
      </c>
      <c r="E22" t="s">
        <v>74</v>
      </c>
      <c r="F22" t="s">
        <v>127</v>
      </c>
      <c r="G22" t="s">
        <v>74</v>
      </c>
      <c r="H22" t="s">
        <v>74</v>
      </c>
      <c r="I22" t="s">
        <v>128</v>
      </c>
      <c r="J22" t="s">
        <v>129</v>
      </c>
      <c r="K22" t="s">
        <v>74</v>
      </c>
      <c r="L22" t="s">
        <v>74</v>
      </c>
      <c r="M22" t="s">
        <v>74</v>
      </c>
      <c r="N22" t="s">
        <v>74</v>
      </c>
      <c r="O22" t="s">
        <v>74</v>
      </c>
      <c r="P22" t="s">
        <v>74</v>
      </c>
      <c r="Q22" t="s">
        <v>74</v>
      </c>
      <c r="R22" t="s">
        <v>74</v>
      </c>
      <c r="S22" t="s">
        <v>74</v>
      </c>
      <c r="T22" t="s">
        <v>74</v>
      </c>
      <c r="U22" t="s">
        <v>74</v>
      </c>
      <c r="V22" s="3" t="s">
        <v>130</v>
      </c>
      <c r="W22" t="s">
        <v>74</v>
      </c>
      <c r="X22" t="s">
        <v>74</v>
      </c>
      <c r="Y22" t="s">
        <v>74</v>
      </c>
      <c r="Z22" t="s">
        <v>74</v>
      </c>
      <c r="AA22" t="s">
        <v>74</v>
      </c>
      <c r="AB22" t="s">
        <v>131</v>
      </c>
      <c r="AC22" t="s">
        <v>74</v>
      </c>
      <c r="AD22" t="s">
        <v>74</v>
      </c>
      <c r="AE22" t="s">
        <v>74</v>
      </c>
      <c r="AF22" t="s">
        <v>74</v>
      </c>
      <c r="AG22" t="s">
        <v>74</v>
      </c>
      <c r="AH22" t="s">
        <v>74</v>
      </c>
      <c r="AI22" t="s">
        <v>74</v>
      </c>
      <c r="AJ22" t="s">
        <v>74</v>
      </c>
      <c r="AK22" t="s">
        <v>74</v>
      </c>
      <c r="AL22" t="s">
        <v>74</v>
      </c>
      <c r="AM22" t="s">
        <v>74</v>
      </c>
      <c r="AN22" t="s">
        <v>74</v>
      </c>
      <c r="AO22" t="s">
        <v>132</v>
      </c>
      <c r="AP22" t="s">
        <v>133</v>
      </c>
      <c r="AQ22" t="s">
        <v>74</v>
      </c>
      <c r="AR22" t="s">
        <v>74</v>
      </c>
      <c r="AS22" t="s">
        <v>74</v>
      </c>
      <c r="AT22" t="s">
        <v>134</v>
      </c>
      <c r="AU22">
        <v>2016</v>
      </c>
      <c r="AV22">
        <v>70</v>
      </c>
      <c r="AW22">
        <v>5</v>
      </c>
      <c r="AX22" t="s">
        <v>74</v>
      </c>
      <c r="AY22" t="s">
        <v>74</v>
      </c>
      <c r="AZ22" t="s">
        <v>74</v>
      </c>
      <c r="BA22" t="s">
        <v>74</v>
      </c>
      <c r="BB22">
        <v>647</v>
      </c>
      <c r="BC22">
        <v>657</v>
      </c>
      <c r="BD22" t="s">
        <v>74</v>
      </c>
      <c r="BE22" t="s">
        <v>135</v>
      </c>
      <c r="BF22" t="str">
        <f>HYPERLINK("http://dx.doi.org/10.1007/s00265-016-2085-3","http://dx.doi.org/10.1007/s00265-016-2085-3")</f>
        <v>http://dx.doi.org/10.1007/s00265-016-2085-3</v>
      </c>
      <c r="BG22" t="s">
        <v>74</v>
      </c>
      <c r="BH22" t="s">
        <v>74</v>
      </c>
      <c r="BI22" t="s">
        <v>74</v>
      </c>
      <c r="BJ22" t="s">
        <v>74</v>
      </c>
      <c r="BK22" t="s">
        <v>74</v>
      </c>
      <c r="BL22" t="s">
        <v>74</v>
      </c>
      <c r="BM22" t="s">
        <v>74</v>
      </c>
      <c r="BN22" t="s">
        <v>74</v>
      </c>
      <c r="BO22" t="s">
        <v>74</v>
      </c>
      <c r="BP22" t="s">
        <v>74</v>
      </c>
      <c r="BQ22" t="s">
        <v>74</v>
      </c>
      <c r="BR22" t="s">
        <v>74</v>
      </c>
      <c r="BS22" t="s">
        <v>136</v>
      </c>
      <c r="BT22" t="str">
        <f>HYPERLINK("https%3A%2F%2Fwww.webofscience.com%2Fwos%2Fwoscc%2Ffull-record%2FWOS:000374563600001","View Full Record in Web of Science")</f>
        <v>View Full Record in Web of Science</v>
      </c>
    </row>
    <row r="23" spans="1:72" x14ac:dyDescent="0.4">
      <c r="A23" t="s">
        <v>72</v>
      </c>
      <c r="B23" t="s">
        <v>7325</v>
      </c>
      <c r="C23" t="s">
        <v>74</v>
      </c>
      <c r="D23" t="s">
        <v>74</v>
      </c>
      <c r="E23" t="s">
        <v>74</v>
      </c>
      <c r="F23" t="s">
        <v>7326</v>
      </c>
      <c r="G23" t="s">
        <v>74</v>
      </c>
      <c r="H23" t="s">
        <v>74</v>
      </c>
      <c r="I23" t="s">
        <v>7327</v>
      </c>
      <c r="J23" t="s">
        <v>129</v>
      </c>
      <c r="K23" t="s">
        <v>74</v>
      </c>
      <c r="L23" t="s">
        <v>74</v>
      </c>
      <c r="M23" t="s">
        <v>74</v>
      </c>
      <c r="N23" t="s">
        <v>74</v>
      </c>
      <c r="O23" t="s">
        <v>74</v>
      </c>
      <c r="P23" t="s">
        <v>74</v>
      </c>
      <c r="Q23" t="s">
        <v>74</v>
      </c>
      <c r="R23" t="s">
        <v>74</v>
      </c>
      <c r="S23" t="s">
        <v>74</v>
      </c>
      <c r="T23" t="s">
        <v>74</v>
      </c>
      <c r="U23" t="s">
        <v>74</v>
      </c>
      <c r="V23" s="3" t="s">
        <v>7328</v>
      </c>
      <c r="W23" t="s">
        <v>74</v>
      </c>
      <c r="X23" t="s">
        <v>74</v>
      </c>
      <c r="Y23" t="s">
        <v>74</v>
      </c>
      <c r="Z23" t="s">
        <v>74</v>
      </c>
      <c r="AA23" t="s">
        <v>74</v>
      </c>
      <c r="AB23" t="s">
        <v>7329</v>
      </c>
      <c r="AC23" t="s">
        <v>74</v>
      </c>
      <c r="AD23" t="s">
        <v>74</v>
      </c>
      <c r="AE23" t="s">
        <v>74</v>
      </c>
      <c r="AF23" t="s">
        <v>74</v>
      </c>
      <c r="AG23" t="s">
        <v>74</v>
      </c>
      <c r="AH23" t="s">
        <v>74</v>
      </c>
      <c r="AI23" t="s">
        <v>74</v>
      </c>
      <c r="AJ23" t="s">
        <v>74</v>
      </c>
      <c r="AK23" t="s">
        <v>74</v>
      </c>
      <c r="AL23" t="s">
        <v>74</v>
      </c>
      <c r="AM23" t="s">
        <v>74</v>
      </c>
      <c r="AN23" t="s">
        <v>74</v>
      </c>
      <c r="AO23" t="s">
        <v>132</v>
      </c>
      <c r="AP23" t="s">
        <v>133</v>
      </c>
      <c r="AQ23" t="s">
        <v>74</v>
      </c>
      <c r="AR23" t="s">
        <v>74</v>
      </c>
      <c r="AS23" t="s">
        <v>74</v>
      </c>
      <c r="AT23" t="s">
        <v>213</v>
      </c>
      <c r="AU23">
        <v>2022</v>
      </c>
      <c r="AV23">
        <v>76</v>
      </c>
      <c r="AW23">
        <v>11</v>
      </c>
      <c r="AX23" t="s">
        <v>74</v>
      </c>
      <c r="AY23" t="s">
        <v>74</v>
      </c>
      <c r="AZ23" t="s">
        <v>74</v>
      </c>
      <c r="BA23" t="s">
        <v>74</v>
      </c>
      <c r="BB23" t="s">
        <v>74</v>
      </c>
      <c r="BC23" t="s">
        <v>74</v>
      </c>
      <c r="BD23">
        <v>153</v>
      </c>
      <c r="BE23" t="s">
        <v>7330</v>
      </c>
      <c r="BF23" t="str">
        <f>HYPERLINK("http://dx.doi.org/10.1007/s00265-022-03256-9","http://dx.doi.org/10.1007/s00265-022-03256-9")</f>
        <v>http://dx.doi.org/10.1007/s00265-022-03256-9</v>
      </c>
      <c r="BG23" t="s">
        <v>74</v>
      </c>
      <c r="BH23" t="s">
        <v>74</v>
      </c>
      <c r="BI23" t="s">
        <v>74</v>
      </c>
      <c r="BJ23" t="s">
        <v>74</v>
      </c>
      <c r="BK23" t="s">
        <v>74</v>
      </c>
      <c r="BL23" t="s">
        <v>74</v>
      </c>
      <c r="BM23" t="s">
        <v>74</v>
      </c>
      <c r="BN23" t="s">
        <v>74</v>
      </c>
      <c r="BO23" t="s">
        <v>74</v>
      </c>
      <c r="BP23" t="s">
        <v>74</v>
      </c>
      <c r="BQ23" t="s">
        <v>74</v>
      </c>
      <c r="BR23" t="s">
        <v>74</v>
      </c>
      <c r="BS23" t="s">
        <v>7331</v>
      </c>
      <c r="BT23" t="str">
        <f>HYPERLINK("https%3A%2F%2Fwww.webofscience.com%2Fwos%2Fwoscc%2Ffull-record%2FWOS:000878648300001","View Full Record in Web of Science")</f>
        <v>View Full Record in Web of Science</v>
      </c>
    </row>
    <row r="24" spans="1:72" x14ac:dyDescent="0.4">
      <c r="A24" t="s">
        <v>72</v>
      </c>
      <c r="B24" t="s">
        <v>935</v>
      </c>
      <c r="C24" t="s">
        <v>74</v>
      </c>
      <c r="D24" t="s">
        <v>74</v>
      </c>
      <c r="E24" t="s">
        <v>74</v>
      </c>
      <c r="F24" t="s">
        <v>936</v>
      </c>
      <c r="G24" t="s">
        <v>74</v>
      </c>
      <c r="H24" t="s">
        <v>74</v>
      </c>
      <c r="I24" t="s">
        <v>937</v>
      </c>
      <c r="J24" t="s">
        <v>108</v>
      </c>
      <c r="K24" t="s">
        <v>74</v>
      </c>
      <c r="L24" t="s">
        <v>74</v>
      </c>
      <c r="M24" t="s">
        <v>74</v>
      </c>
      <c r="N24" t="s">
        <v>74</v>
      </c>
      <c r="O24" t="s">
        <v>74</v>
      </c>
      <c r="P24" t="s">
        <v>74</v>
      </c>
      <c r="Q24" t="s">
        <v>74</v>
      </c>
      <c r="R24" t="s">
        <v>74</v>
      </c>
      <c r="S24" t="s">
        <v>74</v>
      </c>
      <c r="T24" t="s">
        <v>74</v>
      </c>
      <c r="U24" t="s">
        <v>74</v>
      </c>
      <c r="V24" s="3" t="s">
        <v>938</v>
      </c>
      <c r="W24" t="s">
        <v>74</v>
      </c>
      <c r="X24" t="s">
        <v>74</v>
      </c>
      <c r="Y24" t="s">
        <v>74</v>
      </c>
      <c r="Z24" t="s">
        <v>74</v>
      </c>
      <c r="AA24" t="s">
        <v>623</v>
      </c>
      <c r="AB24" t="s">
        <v>624</v>
      </c>
      <c r="AC24" t="s">
        <v>74</v>
      </c>
      <c r="AD24" t="s">
        <v>74</v>
      </c>
      <c r="AE24" t="s">
        <v>74</v>
      </c>
      <c r="AF24" t="s">
        <v>74</v>
      </c>
      <c r="AG24" t="s">
        <v>74</v>
      </c>
      <c r="AH24" t="s">
        <v>74</v>
      </c>
      <c r="AI24" t="s">
        <v>74</v>
      </c>
      <c r="AJ24" t="s">
        <v>74</v>
      </c>
      <c r="AK24" t="s">
        <v>74</v>
      </c>
      <c r="AL24" t="s">
        <v>74</v>
      </c>
      <c r="AM24" t="s">
        <v>74</v>
      </c>
      <c r="AN24" t="s">
        <v>74</v>
      </c>
      <c r="AO24" t="s">
        <v>111</v>
      </c>
      <c r="AP24" t="s">
        <v>112</v>
      </c>
      <c r="AQ24" t="s">
        <v>74</v>
      </c>
      <c r="AR24" t="s">
        <v>74</v>
      </c>
      <c r="AS24" t="s">
        <v>74</v>
      </c>
      <c r="AT24" t="s">
        <v>939</v>
      </c>
      <c r="AU24">
        <v>2010</v>
      </c>
      <c r="AV24">
        <v>277</v>
      </c>
      <c r="AW24">
        <v>1700</v>
      </c>
      <c r="AX24" t="s">
        <v>74</v>
      </c>
      <c r="AY24" t="s">
        <v>74</v>
      </c>
      <c r="AZ24" t="s">
        <v>74</v>
      </c>
      <c r="BA24" t="s">
        <v>74</v>
      </c>
      <c r="BB24">
        <v>3669</v>
      </c>
      <c r="BC24">
        <v>3675</v>
      </c>
      <c r="BD24" t="s">
        <v>74</v>
      </c>
      <c r="BE24" t="s">
        <v>940</v>
      </c>
      <c r="BF24" t="str">
        <f>HYPERLINK("http://dx.doi.org/10.1098/rspb.2010.0935","http://dx.doi.org/10.1098/rspb.2010.0935")</f>
        <v>http://dx.doi.org/10.1098/rspb.2010.0935</v>
      </c>
      <c r="BG24" t="s">
        <v>74</v>
      </c>
      <c r="BH24" t="s">
        <v>74</v>
      </c>
      <c r="BI24" t="s">
        <v>74</v>
      </c>
      <c r="BJ24" t="s">
        <v>74</v>
      </c>
      <c r="BK24" t="s">
        <v>74</v>
      </c>
      <c r="BL24" t="s">
        <v>74</v>
      </c>
      <c r="BM24" t="s">
        <v>74</v>
      </c>
      <c r="BN24">
        <v>20591870</v>
      </c>
      <c r="BO24" t="s">
        <v>74</v>
      </c>
      <c r="BP24" t="s">
        <v>74</v>
      </c>
      <c r="BQ24" t="s">
        <v>74</v>
      </c>
      <c r="BR24" t="s">
        <v>74</v>
      </c>
      <c r="BS24" t="s">
        <v>941</v>
      </c>
      <c r="BT24" t="str">
        <f>HYPERLINK("https%3A%2F%2Fwww.webofscience.com%2Fwos%2Fwoscc%2Ffull-record%2FWOS:000283450100017","View Full Record in Web of Science")</f>
        <v>View Full Record in Web of Science</v>
      </c>
    </row>
    <row r="25" spans="1:72" x14ac:dyDescent="0.4">
      <c r="A25" t="s">
        <v>72</v>
      </c>
      <c r="B25" t="s">
        <v>1539</v>
      </c>
      <c r="C25" t="s">
        <v>74</v>
      </c>
      <c r="D25" t="s">
        <v>74</v>
      </c>
      <c r="E25" t="s">
        <v>74</v>
      </c>
      <c r="F25" t="s">
        <v>1539</v>
      </c>
      <c r="G25" t="s">
        <v>74</v>
      </c>
      <c r="H25" t="s">
        <v>74</v>
      </c>
      <c r="I25" t="s">
        <v>1540</v>
      </c>
      <c r="J25" t="s">
        <v>1541</v>
      </c>
      <c r="K25" t="s">
        <v>74</v>
      </c>
      <c r="L25" t="s">
        <v>74</v>
      </c>
      <c r="M25" t="s">
        <v>74</v>
      </c>
      <c r="N25" t="s">
        <v>74</v>
      </c>
      <c r="O25" t="s">
        <v>74</v>
      </c>
      <c r="P25" t="s">
        <v>74</v>
      </c>
      <c r="Q25" t="s">
        <v>74</v>
      </c>
      <c r="R25" t="s">
        <v>74</v>
      </c>
      <c r="S25" t="s">
        <v>74</v>
      </c>
      <c r="T25" t="s">
        <v>74</v>
      </c>
      <c r="U25" t="s">
        <v>74</v>
      </c>
      <c r="V25" s="3" t="s">
        <v>1542</v>
      </c>
      <c r="W25" t="s">
        <v>74</v>
      </c>
      <c r="X25" t="s">
        <v>74</v>
      </c>
      <c r="Y25" t="s">
        <v>74</v>
      </c>
      <c r="Z25" t="s">
        <v>74</v>
      </c>
      <c r="AA25" t="s">
        <v>74</v>
      </c>
      <c r="AB25" t="s">
        <v>74</v>
      </c>
      <c r="AC25" t="s">
        <v>74</v>
      </c>
      <c r="AD25" t="s">
        <v>74</v>
      </c>
      <c r="AE25" t="s">
        <v>74</v>
      </c>
      <c r="AF25" t="s">
        <v>74</v>
      </c>
      <c r="AG25" t="s">
        <v>74</v>
      </c>
      <c r="AH25" t="s">
        <v>74</v>
      </c>
      <c r="AI25" t="s">
        <v>74</v>
      </c>
      <c r="AJ25" t="s">
        <v>74</v>
      </c>
      <c r="AK25" t="s">
        <v>74</v>
      </c>
      <c r="AL25" t="s">
        <v>74</v>
      </c>
      <c r="AM25" t="s">
        <v>74</v>
      </c>
      <c r="AN25" t="s">
        <v>74</v>
      </c>
      <c r="AO25" t="s">
        <v>1543</v>
      </c>
      <c r="AP25" t="s">
        <v>1544</v>
      </c>
      <c r="AQ25" t="s">
        <v>74</v>
      </c>
      <c r="AR25" t="s">
        <v>74</v>
      </c>
      <c r="AS25" t="s">
        <v>74</v>
      </c>
      <c r="AT25" t="s">
        <v>134</v>
      </c>
      <c r="AU25">
        <v>2001</v>
      </c>
      <c r="AV25">
        <v>82</v>
      </c>
      <c r="AW25">
        <v>5</v>
      </c>
      <c r="AX25" t="s">
        <v>74</v>
      </c>
      <c r="AY25" t="s">
        <v>74</v>
      </c>
      <c r="AZ25" t="s">
        <v>74</v>
      </c>
      <c r="BA25" t="s">
        <v>74</v>
      </c>
      <c r="BB25">
        <v>1433</v>
      </c>
      <c r="BC25">
        <v>1442</v>
      </c>
      <c r="BD25" t="s">
        <v>74</v>
      </c>
      <c r="BE25" t="s">
        <v>1545</v>
      </c>
      <c r="BF25" t="str">
        <f>HYPERLINK("http://dx.doi.org/10.1890/0012-9658(2001)082[1433:PFANTR]2.0.CO;2","http://dx.doi.org/10.1890/0012-9658(2001)082[1433:PFANTR]2.0.CO;2")</f>
        <v>http://dx.doi.org/10.1890/0012-9658(2001)082[1433:PFANTR]2.0.CO;2</v>
      </c>
      <c r="BG25" t="s">
        <v>74</v>
      </c>
      <c r="BH25" t="s">
        <v>74</v>
      </c>
      <c r="BI25" t="s">
        <v>74</v>
      </c>
      <c r="BJ25" t="s">
        <v>74</v>
      </c>
      <c r="BK25" t="s">
        <v>74</v>
      </c>
      <c r="BL25" t="s">
        <v>74</v>
      </c>
      <c r="BM25" t="s">
        <v>74</v>
      </c>
      <c r="BN25" t="s">
        <v>74</v>
      </c>
      <c r="BO25" t="s">
        <v>74</v>
      </c>
      <c r="BP25" t="s">
        <v>74</v>
      </c>
      <c r="BQ25" t="s">
        <v>74</v>
      </c>
      <c r="BR25" t="s">
        <v>74</v>
      </c>
      <c r="BS25" t="s">
        <v>1546</v>
      </c>
      <c r="BT25" t="str">
        <f>HYPERLINK("https%3A%2F%2Fwww.webofscience.com%2Fwos%2Fwoscc%2Ffull-record%2FWOS:000168844200018","View Full Record in Web of Science")</f>
        <v>View Full Record in Web of Science</v>
      </c>
    </row>
    <row r="26" spans="1:72" x14ac:dyDescent="0.4">
      <c r="A26" t="s">
        <v>72</v>
      </c>
      <c r="B26" t="s">
        <v>4561</v>
      </c>
      <c r="C26" t="s">
        <v>74</v>
      </c>
      <c r="D26" t="s">
        <v>74</v>
      </c>
      <c r="E26" t="s">
        <v>74</v>
      </c>
      <c r="F26" t="s">
        <v>4562</v>
      </c>
      <c r="G26" t="s">
        <v>74</v>
      </c>
      <c r="H26" t="s">
        <v>74</v>
      </c>
      <c r="I26" t="s">
        <v>4563</v>
      </c>
      <c r="J26" t="s">
        <v>129</v>
      </c>
      <c r="K26" t="s">
        <v>74</v>
      </c>
      <c r="L26" t="s">
        <v>74</v>
      </c>
      <c r="M26" t="s">
        <v>74</v>
      </c>
      <c r="N26" t="s">
        <v>74</v>
      </c>
      <c r="O26" t="s">
        <v>74</v>
      </c>
      <c r="P26" t="s">
        <v>74</v>
      </c>
      <c r="Q26" t="s">
        <v>74</v>
      </c>
      <c r="R26" t="s">
        <v>74</v>
      </c>
      <c r="S26" t="s">
        <v>74</v>
      </c>
      <c r="T26" t="s">
        <v>74</v>
      </c>
      <c r="U26" t="s">
        <v>74</v>
      </c>
      <c r="V26" s="3" t="s">
        <v>4564</v>
      </c>
      <c r="W26" t="s">
        <v>74</v>
      </c>
      <c r="X26" t="s">
        <v>74</v>
      </c>
      <c r="Y26" t="s">
        <v>74</v>
      </c>
      <c r="Z26" t="s">
        <v>74</v>
      </c>
      <c r="AA26" t="s">
        <v>74</v>
      </c>
      <c r="AB26" t="s">
        <v>74</v>
      </c>
      <c r="AC26" t="s">
        <v>74</v>
      </c>
      <c r="AD26" t="s">
        <v>74</v>
      </c>
      <c r="AE26" t="s">
        <v>74</v>
      </c>
      <c r="AF26" t="s">
        <v>74</v>
      </c>
      <c r="AG26" t="s">
        <v>74</v>
      </c>
      <c r="AH26" t="s">
        <v>74</v>
      </c>
      <c r="AI26" t="s">
        <v>74</v>
      </c>
      <c r="AJ26" t="s">
        <v>74</v>
      </c>
      <c r="AK26" t="s">
        <v>74</v>
      </c>
      <c r="AL26" t="s">
        <v>74</v>
      </c>
      <c r="AM26" t="s">
        <v>74</v>
      </c>
      <c r="AN26" t="s">
        <v>74</v>
      </c>
      <c r="AO26" t="s">
        <v>132</v>
      </c>
      <c r="AP26" t="s">
        <v>133</v>
      </c>
      <c r="AQ26" t="s">
        <v>74</v>
      </c>
      <c r="AR26" t="s">
        <v>74</v>
      </c>
      <c r="AS26" t="s">
        <v>74</v>
      </c>
      <c r="AT26" t="s">
        <v>633</v>
      </c>
      <c r="AU26">
        <v>2015</v>
      </c>
      <c r="AV26">
        <v>69</v>
      </c>
      <c r="AW26">
        <v>4</v>
      </c>
      <c r="AX26" t="s">
        <v>74</v>
      </c>
      <c r="AY26" t="s">
        <v>74</v>
      </c>
      <c r="AZ26" t="s">
        <v>74</v>
      </c>
      <c r="BA26" t="s">
        <v>74</v>
      </c>
      <c r="BB26">
        <v>571</v>
      </c>
      <c r="BC26">
        <v>581</v>
      </c>
      <c r="BD26" t="s">
        <v>74</v>
      </c>
      <c r="BE26" t="s">
        <v>4565</v>
      </c>
      <c r="BF26" t="str">
        <f>HYPERLINK("http://dx.doi.org/10.1007/s00265-014-1868-7","http://dx.doi.org/10.1007/s00265-014-1868-7")</f>
        <v>http://dx.doi.org/10.1007/s00265-014-1868-7</v>
      </c>
      <c r="BG26" t="s">
        <v>74</v>
      </c>
      <c r="BH26" t="s">
        <v>74</v>
      </c>
      <c r="BI26" t="s">
        <v>74</v>
      </c>
      <c r="BJ26" t="s">
        <v>74</v>
      </c>
      <c r="BK26" t="s">
        <v>74</v>
      </c>
      <c r="BL26" t="s">
        <v>74</v>
      </c>
      <c r="BM26" t="s">
        <v>74</v>
      </c>
      <c r="BN26" t="s">
        <v>74</v>
      </c>
      <c r="BO26" t="s">
        <v>74</v>
      </c>
      <c r="BP26" t="s">
        <v>74</v>
      </c>
      <c r="BQ26" t="s">
        <v>74</v>
      </c>
      <c r="BR26" t="s">
        <v>74</v>
      </c>
      <c r="BS26" t="s">
        <v>4566</v>
      </c>
      <c r="BT26" t="str">
        <f>HYPERLINK("https%3A%2F%2Fwww.webofscience.com%2Fwos%2Fwoscc%2Ffull-record%2FWOS:000351235100007","View Full Record in Web of Science")</f>
        <v>View Full Record in Web of Science</v>
      </c>
    </row>
    <row r="27" spans="1:72" x14ac:dyDescent="0.4">
      <c r="A27" t="s">
        <v>72</v>
      </c>
      <c r="B27" t="s">
        <v>1435</v>
      </c>
      <c r="C27" t="s">
        <v>74</v>
      </c>
      <c r="D27" t="s">
        <v>74</v>
      </c>
      <c r="E27" t="s">
        <v>74</v>
      </c>
      <c r="F27" t="s">
        <v>1435</v>
      </c>
      <c r="G27" t="s">
        <v>74</v>
      </c>
      <c r="H27" t="s">
        <v>74</v>
      </c>
      <c r="I27" t="s">
        <v>1436</v>
      </c>
      <c r="J27" t="s">
        <v>1437</v>
      </c>
      <c r="K27" t="s">
        <v>74</v>
      </c>
      <c r="L27" t="s">
        <v>74</v>
      </c>
      <c r="M27" t="s">
        <v>74</v>
      </c>
      <c r="N27" t="s">
        <v>74</v>
      </c>
      <c r="O27" t="s">
        <v>74</v>
      </c>
      <c r="P27" t="s">
        <v>74</v>
      </c>
      <c r="Q27" t="s">
        <v>74</v>
      </c>
      <c r="R27" t="s">
        <v>74</v>
      </c>
      <c r="S27" t="s">
        <v>74</v>
      </c>
      <c r="T27" t="s">
        <v>74</v>
      </c>
      <c r="U27" t="s">
        <v>74</v>
      </c>
      <c r="V27" s="3" t="s">
        <v>1438</v>
      </c>
      <c r="W27" t="s">
        <v>74</v>
      </c>
      <c r="X27" t="s">
        <v>74</v>
      </c>
      <c r="Y27" t="s">
        <v>74</v>
      </c>
      <c r="Z27" t="s">
        <v>74</v>
      </c>
      <c r="AA27" t="s">
        <v>1439</v>
      </c>
      <c r="AB27" t="s">
        <v>74</v>
      </c>
      <c r="AC27" t="s">
        <v>74</v>
      </c>
      <c r="AD27" t="s">
        <v>74</v>
      </c>
      <c r="AE27" t="s">
        <v>74</v>
      </c>
      <c r="AF27" t="s">
        <v>74</v>
      </c>
      <c r="AG27" t="s">
        <v>74</v>
      </c>
      <c r="AH27" t="s">
        <v>74</v>
      </c>
      <c r="AI27" t="s">
        <v>74</v>
      </c>
      <c r="AJ27" t="s">
        <v>74</v>
      </c>
      <c r="AK27" t="s">
        <v>74</v>
      </c>
      <c r="AL27" t="s">
        <v>74</v>
      </c>
      <c r="AM27" t="s">
        <v>74</v>
      </c>
      <c r="AN27" t="s">
        <v>74</v>
      </c>
      <c r="AO27" t="s">
        <v>1440</v>
      </c>
      <c r="AP27" t="s">
        <v>74</v>
      </c>
      <c r="AQ27" t="s">
        <v>74</v>
      </c>
      <c r="AR27" t="s">
        <v>74</v>
      </c>
      <c r="AS27" t="s">
        <v>74</v>
      </c>
      <c r="AT27" t="s">
        <v>123</v>
      </c>
      <c r="AU27">
        <v>1999</v>
      </c>
      <c r="AV27">
        <v>82</v>
      </c>
      <c r="AW27" t="s">
        <v>74</v>
      </c>
      <c r="AX27">
        <v>3</v>
      </c>
      <c r="AY27" t="s">
        <v>74</v>
      </c>
      <c r="AZ27" t="s">
        <v>74</v>
      </c>
      <c r="BA27" t="s">
        <v>74</v>
      </c>
      <c r="BB27">
        <v>328</v>
      </c>
      <c r="BC27">
        <v>335</v>
      </c>
      <c r="BD27" t="s">
        <v>74</v>
      </c>
      <c r="BE27" t="s">
        <v>1441</v>
      </c>
      <c r="BF27" t="str">
        <f>HYPERLINK("http://dx.doi.org/10.1038/sj.hdy.6884930","http://dx.doi.org/10.1038/sj.hdy.6884930")</f>
        <v>http://dx.doi.org/10.1038/sj.hdy.6884930</v>
      </c>
      <c r="BG27" t="s">
        <v>74</v>
      </c>
      <c r="BH27" t="s">
        <v>74</v>
      </c>
      <c r="BI27" t="s">
        <v>74</v>
      </c>
      <c r="BJ27" t="s">
        <v>74</v>
      </c>
      <c r="BK27" t="s">
        <v>74</v>
      </c>
      <c r="BL27" t="s">
        <v>74</v>
      </c>
      <c r="BM27" t="s">
        <v>74</v>
      </c>
      <c r="BN27">
        <v>10336708</v>
      </c>
      <c r="BO27" t="s">
        <v>74</v>
      </c>
      <c r="BP27" t="s">
        <v>74</v>
      </c>
      <c r="BQ27" t="s">
        <v>74</v>
      </c>
      <c r="BR27" t="s">
        <v>74</v>
      </c>
      <c r="BS27" t="s">
        <v>1442</v>
      </c>
      <c r="BT27" t="str">
        <f>HYPERLINK("https%3A%2F%2Fwww.webofscience.com%2Fwos%2Fwoscc%2Ffull-record%2FWOS:000080078300013","View Full Record in Web of Science")</f>
        <v>View Full Record in Web of Science</v>
      </c>
    </row>
    <row r="28" spans="1:72" x14ac:dyDescent="0.4">
      <c r="A28" t="s">
        <v>72</v>
      </c>
      <c r="B28" t="s">
        <v>3477</v>
      </c>
      <c r="C28" t="s">
        <v>74</v>
      </c>
      <c r="D28" t="s">
        <v>74</v>
      </c>
      <c r="E28" t="s">
        <v>74</v>
      </c>
      <c r="F28" t="s">
        <v>3477</v>
      </c>
      <c r="G28" t="s">
        <v>74</v>
      </c>
      <c r="H28" t="s">
        <v>74</v>
      </c>
      <c r="I28" t="s">
        <v>3478</v>
      </c>
      <c r="J28" t="s">
        <v>77</v>
      </c>
      <c r="K28" t="s">
        <v>74</v>
      </c>
      <c r="L28" t="s">
        <v>74</v>
      </c>
      <c r="M28" t="s">
        <v>74</v>
      </c>
      <c r="N28" t="s">
        <v>74</v>
      </c>
      <c r="O28" t="s">
        <v>74</v>
      </c>
      <c r="P28" t="s">
        <v>74</v>
      </c>
      <c r="Q28" t="s">
        <v>74</v>
      </c>
      <c r="R28" t="s">
        <v>74</v>
      </c>
      <c r="S28" t="s">
        <v>74</v>
      </c>
      <c r="T28" t="s">
        <v>74</v>
      </c>
      <c r="U28" t="s">
        <v>74</v>
      </c>
      <c r="V28" s="3" t="s">
        <v>3479</v>
      </c>
      <c r="W28" t="s">
        <v>74</v>
      </c>
      <c r="X28" t="s">
        <v>74</v>
      </c>
      <c r="Y28" t="s">
        <v>74</v>
      </c>
      <c r="Z28" t="s">
        <v>74</v>
      </c>
      <c r="AA28" t="s">
        <v>74</v>
      </c>
      <c r="AB28" t="s">
        <v>1774</v>
      </c>
      <c r="AC28" t="s">
        <v>74</v>
      </c>
      <c r="AD28" t="s">
        <v>74</v>
      </c>
      <c r="AE28" t="s">
        <v>74</v>
      </c>
      <c r="AF28" t="s">
        <v>74</v>
      </c>
      <c r="AG28" t="s">
        <v>74</v>
      </c>
      <c r="AH28" t="s">
        <v>74</v>
      </c>
      <c r="AI28" t="s">
        <v>74</v>
      </c>
      <c r="AJ28" t="s">
        <v>74</v>
      </c>
      <c r="AK28" t="s">
        <v>74</v>
      </c>
      <c r="AL28" t="s">
        <v>74</v>
      </c>
      <c r="AM28" t="s">
        <v>74</v>
      </c>
      <c r="AN28" t="s">
        <v>74</v>
      </c>
      <c r="AO28" t="s">
        <v>81</v>
      </c>
      <c r="AP28" t="s">
        <v>74</v>
      </c>
      <c r="AQ28" t="s">
        <v>74</v>
      </c>
      <c r="AR28" t="s">
        <v>74</v>
      </c>
      <c r="AS28" t="s">
        <v>74</v>
      </c>
      <c r="AT28" t="s">
        <v>305</v>
      </c>
      <c r="AU28">
        <v>1996</v>
      </c>
      <c r="AV28">
        <v>133</v>
      </c>
      <c r="AW28" t="s">
        <v>74</v>
      </c>
      <c r="AX28" t="s">
        <v>3480</v>
      </c>
      <c r="AY28" t="s">
        <v>74</v>
      </c>
      <c r="AZ28" t="s">
        <v>74</v>
      </c>
      <c r="BA28" t="s">
        <v>74</v>
      </c>
      <c r="BB28">
        <v>1265</v>
      </c>
      <c r="BC28">
        <v>1279</v>
      </c>
      <c r="BD28" t="s">
        <v>74</v>
      </c>
      <c r="BE28" t="s">
        <v>3481</v>
      </c>
      <c r="BF28" t="str">
        <f>HYPERLINK("http://dx.doi.org/10.1163/156853996X00396","http://dx.doi.org/10.1163/156853996X00396")</f>
        <v>http://dx.doi.org/10.1163/156853996X00396</v>
      </c>
      <c r="BG28" t="s">
        <v>74</v>
      </c>
      <c r="BH28" t="s">
        <v>74</v>
      </c>
      <c r="BI28" t="s">
        <v>74</v>
      </c>
      <c r="BJ28" t="s">
        <v>74</v>
      </c>
      <c r="BK28" t="s">
        <v>74</v>
      </c>
      <c r="BL28" t="s">
        <v>74</v>
      </c>
      <c r="BM28" t="s">
        <v>74</v>
      </c>
      <c r="BN28" t="s">
        <v>74</v>
      </c>
      <c r="BO28" t="s">
        <v>74</v>
      </c>
      <c r="BP28" t="s">
        <v>74</v>
      </c>
      <c r="BQ28" t="s">
        <v>74</v>
      </c>
      <c r="BR28" t="s">
        <v>74</v>
      </c>
      <c r="BS28" t="s">
        <v>3482</v>
      </c>
      <c r="BT28" t="str">
        <f>HYPERLINK("https%3A%2F%2Fwww.webofscience.com%2Fwos%2Fwoscc%2Ffull-record%2FWOS:A1996WF81400008","View Full Record in Web of Science")</f>
        <v>View Full Record in Web of Science</v>
      </c>
    </row>
    <row r="29" spans="1:72" x14ac:dyDescent="0.4">
      <c r="A29" t="s">
        <v>72</v>
      </c>
      <c r="B29" t="s">
        <v>2993</v>
      </c>
      <c r="C29" t="s">
        <v>74</v>
      </c>
      <c r="D29" t="s">
        <v>74</v>
      </c>
      <c r="E29" t="s">
        <v>74</v>
      </c>
      <c r="F29" t="s">
        <v>2993</v>
      </c>
      <c r="G29" t="s">
        <v>74</v>
      </c>
      <c r="H29" t="s">
        <v>74</v>
      </c>
      <c r="I29" t="s">
        <v>2994</v>
      </c>
      <c r="J29" t="s">
        <v>2995</v>
      </c>
      <c r="K29" t="s">
        <v>74</v>
      </c>
      <c r="L29" t="s">
        <v>74</v>
      </c>
      <c r="M29" t="s">
        <v>74</v>
      </c>
      <c r="N29" t="s">
        <v>74</v>
      </c>
      <c r="O29" t="s">
        <v>74</v>
      </c>
      <c r="P29" t="s">
        <v>74</v>
      </c>
      <c r="Q29" t="s">
        <v>74</v>
      </c>
      <c r="R29" t="s">
        <v>74</v>
      </c>
      <c r="S29" t="s">
        <v>74</v>
      </c>
      <c r="T29" t="s">
        <v>74</v>
      </c>
      <c r="U29" t="s">
        <v>74</v>
      </c>
      <c r="V29" s="3" t="s">
        <v>2996</v>
      </c>
      <c r="W29" t="s">
        <v>74</v>
      </c>
      <c r="X29" t="s">
        <v>74</v>
      </c>
      <c r="Y29" t="s">
        <v>74</v>
      </c>
      <c r="Z29" t="s">
        <v>74</v>
      </c>
      <c r="AA29" t="s">
        <v>74</v>
      </c>
      <c r="AB29" t="s">
        <v>74</v>
      </c>
      <c r="AC29" t="s">
        <v>74</v>
      </c>
      <c r="AD29" t="s">
        <v>74</v>
      </c>
      <c r="AE29" t="s">
        <v>74</v>
      </c>
      <c r="AF29" t="s">
        <v>74</v>
      </c>
      <c r="AG29" t="s">
        <v>74</v>
      </c>
      <c r="AH29" t="s">
        <v>74</v>
      </c>
      <c r="AI29" t="s">
        <v>74</v>
      </c>
      <c r="AJ29" t="s">
        <v>74</v>
      </c>
      <c r="AK29" t="s">
        <v>74</v>
      </c>
      <c r="AL29" t="s">
        <v>74</v>
      </c>
      <c r="AM29" t="s">
        <v>74</v>
      </c>
      <c r="AN29" t="s">
        <v>74</v>
      </c>
      <c r="AO29" t="s">
        <v>2997</v>
      </c>
      <c r="AP29" t="s">
        <v>2998</v>
      </c>
      <c r="AQ29" t="s">
        <v>74</v>
      </c>
      <c r="AR29" t="s">
        <v>74</v>
      </c>
      <c r="AS29" t="s">
        <v>74</v>
      </c>
      <c r="AT29" t="s">
        <v>305</v>
      </c>
      <c r="AU29">
        <v>1990</v>
      </c>
      <c r="AV29">
        <v>120</v>
      </c>
      <c r="AW29">
        <v>2</v>
      </c>
      <c r="AX29" t="s">
        <v>74</v>
      </c>
      <c r="AY29" t="s">
        <v>74</v>
      </c>
      <c r="AZ29" t="s">
        <v>74</v>
      </c>
      <c r="BA29" t="s">
        <v>74</v>
      </c>
      <c r="BB29">
        <v>165</v>
      </c>
      <c r="BC29">
        <v>193</v>
      </c>
      <c r="BD29" t="s">
        <v>74</v>
      </c>
      <c r="BE29" t="s">
        <v>74</v>
      </c>
      <c r="BF29" t="s">
        <v>74</v>
      </c>
      <c r="BG29" t="s">
        <v>74</v>
      </c>
      <c r="BH29" t="s">
        <v>74</v>
      </c>
      <c r="BI29" t="s">
        <v>74</v>
      </c>
      <c r="BJ29" t="s">
        <v>74</v>
      </c>
      <c r="BK29" t="s">
        <v>74</v>
      </c>
      <c r="BL29" t="s">
        <v>74</v>
      </c>
      <c r="BM29" t="s">
        <v>74</v>
      </c>
      <c r="BN29" t="s">
        <v>74</v>
      </c>
      <c r="BO29" t="s">
        <v>74</v>
      </c>
      <c r="BP29" t="s">
        <v>74</v>
      </c>
      <c r="BQ29" t="s">
        <v>74</v>
      </c>
      <c r="BR29" t="s">
        <v>74</v>
      </c>
      <c r="BS29" t="s">
        <v>2999</v>
      </c>
      <c r="BT29" t="str">
        <f>HYPERLINK("https%3A%2F%2Fwww.webofscience.com%2Fwos%2Fwoscc%2Ffull-record%2FWOS:A1990EQ64700004","View Full Record in Web of Science")</f>
        <v>View Full Record in Web of Science</v>
      </c>
    </row>
    <row r="30" spans="1:72" x14ac:dyDescent="0.4">
      <c r="A30" t="s">
        <v>72</v>
      </c>
      <c r="B30" t="s">
        <v>3517</v>
      </c>
      <c r="C30" t="s">
        <v>74</v>
      </c>
      <c r="D30" t="s">
        <v>74</v>
      </c>
      <c r="E30" t="s">
        <v>74</v>
      </c>
      <c r="F30" t="s">
        <v>3518</v>
      </c>
      <c r="G30" t="s">
        <v>74</v>
      </c>
      <c r="H30" t="s">
        <v>74</v>
      </c>
      <c r="I30" t="s">
        <v>3519</v>
      </c>
      <c r="J30" t="s">
        <v>610</v>
      </c>
      <c r="K30" t="s">
        <v>74</v>
      </c>
      <c r="L30" t="s">
        <v>74</v>
      </c>
      <c r="M30" t="s">
        <v>74</v>
      </c>
      <c r="N30" t="s">
        <v>74</v>
      </c>
      <c r="O30" t="s">
        <v>74</v>
      </c>
      <c r="P30" t="s">
        <v>74</v>
      </c>
      <c r="Q30" t="s">
        <v>74</v>
      </c>
      <c r="R30" t="s">
        <v>74</v>
      </c>
      <c r="S30" t="s">
        <v>74</v>
      </c>
      <c r="T30" t="s">
        <v>74</v>
      </c>
      <c r="U30" t="s">
        <v>74</v>
      </c>
      <c r="V30" s="3" t="s">
        <v>3520</v>
      </c>
      <c r="W30" t="s">
        <v>74</v>
      </c>
      <c r="X30" t="s">
        <v>74</v>
      </c>
      <c r="Y30" t="s">
        <v>74</v>
      </c>
      <c r="Z30" t="s">
        <v>74</v>
      </c>
      <c r="AA30" t="s">
        <v>3521</v>
      </c>
      <c r="AB30" t="s">
        <v>3522</v>
      </c>
      <c r="AC30" t="s">
        <v>74</v>
      </c>
      <c r="AD30" t="s">
        <v>74</v>
      </c>
      <c r="AE30" t="s">
        <v>74</v>
      </c>
      <c r="AF30" t="s">
        <v>74</v>
      </c>
      <c r="AG30" t="s">
        <v>74</v>
      </c>
      <c r="AH30" t="s">
        <v>74</v>
      </c>
      <c r="AI30" t="s">
        <v>74</v>
      </c>
      <c r="AJ30" t="s">
        <v>74</v>
      </c>
      <c r="AK30" t="s">
        <v>74</v>
      </c>
      <c r="AL30" t="s">
        <v>74</v>
      </c>
      <c r="AM30" t="s">
        <v>74</v>
      </c>
      <c r="AN30" t="s">
        <v>74</v>
      </c>
      <c r="AO30" t="s">
        <v>614</v>
      </c>
      <c r="AP30" t="s">
        <v>74</v>
      </c>
      <c r="AQ30" t="s">
        <v>74</v>
      </c>
      <c r="AR30" t="s">
        <v>74</v>
      </c>
      <c r="AS30" t="s">
        <v>74</v>
      </c>
      <c r="AT30" t="s">
        <v>305</v>
      </c>
      <c r="AU30">
        <v>2011</v>
      </c>
      <c r="AV30">
        <v>117</v>
      </c>
      <c r="AW30">
        <v>12</v>
      </c>
      <c r="AX30" t="s">
        <v>74</v>
      </c>
      <c r="AY30" t="s">
        <v>74</v>
      </c>
      <c r="AZ30" t="s">
        <v>74</v>
      </c>
      <c r="BA30" t="s">
        <v>74</v>
      </c>
      <c r="BB30">
        <v>1128</v>
      </c>
      <c r="BC30">
        <v>1137</v>
      </c>
      <c r="BD30" t="s">
        <v>74</v>
      </c>
      <c r="BE30" t="s">
        <v>3523</v>
      </c>
      <c r="BF30" t="str">
        <f>HYPERLINK("http://dx.doi.org/10.1111/j.1439-0310.2011.01969.x","http://dx.doi.org/10.1111/j.1439-0310.2011.01969.x")</f>
        <v>http://dx.doi.org/10.1111/j.1439-0310.2011.01969.x</v>
      </c>
      <c r="BG30" t="s">
        <v>74</v>
      </c>
      <c r="BH30" t="s">
        <v>74</v>
      </c>
      <c r="BI30" t="s">
        <v>74</v>
      </c>
      <c r="BJ30" t="s">
        <v>74</v>
      </c>
      <c r="BK30" t="s">
        <v>74</v>
      </c>
      <c r="BL30" t="s">
        <v>74</v>
      </c>
      <c r="BM30" t="s">
        <v>74</v>
      </c>
      <c r="BN30" t="s">
        <v>74</v>
      </c>
      <c r="BO30" t="s">
        <v>74</v>
      </c>
      <c r="BP30" t="s">
        <v>74</v>
      </c>
      <c r="BQ30" t="s">
        <v>74</v>
      </c>
      <c r="BR30" t="s">
        <v>74</v>
      </c>
      <c r="BS30" t="s">
        <v>3524</v>
      </c>
      <c r="BT30" t="str">
        <f>HYPERLINK("https%3A%2F%2Fwww.webofscience.com%2Fwos%2Fwoscc%2Ffull-record%2FWOS:000297151600008","View Full Record in Web of Science")</f>
        <v>View Full Record in Web of Science</v>
      </c>
    </row>
    <row r="31" spans="1:72" x14ac:dyDescent="0.4">
      <c r="A31" t="s">
        <v>72</v>
      </c>
      <c r="B31" t="s">
        <v>4158</v>
      </c>
      <c r="C31" t="s">
        <v>74</v>
      </c>
      <c r="D31" t="s">
        <v>74</v>
      </c>
      <c r="E31" t="s">
        <v>74</v>
      </c>
      <c r="F31" t="s">
        <v>4159</v>
      </c>
      <c r="G31" t="s">
        <v>74</v>
      </c>
      <c r="H31" t="s">
        <v>74</v>
      </c>
      <c r="I31" t="s">
        <v>4160</v>
      </c>
      <c r="J31" t="s">
        <v>1375</v>
      </c>
      <c r="K31" t="s">
        <v>74</v>
      </c>
      <c r="L31" t="s">
        <v>74</v>
      </c>
      <c r="M31" t="s">
        <v>74</v>
      </c>
      <c r="N31" t="s">
        <v>74</v>
      </c>
      <c r="O31" t="s">
        <v>74</v>
      </c>
      <c r="P31" t="s">
        <v>74</v>
      </c>
      <c r="Q31" t="s">
        <v>74</v>
      </c>
      <c r="R31" t="s">
        <v>74</v>
      </c>
      <c r="S31" t="s">
        <v>74</v>
      </c>
      <c r="T31" t="s">
        <v>74</v>
      </c>
      <c r="U31" t="s">
        <v>74</v>
      </c>
      <c r="V31" s="3" t="s">
        <v>4161</v>
      </c>
      <c r="W31" t="s">
        <v>74</v>
      </c>
      <c r="X31" t="s">
        <v>74</v>
      </c>
      <c r="Y31" t="s">
        <v>74</v>
      </c>
      <c r="Z31" t="s">
        <v>74</v>
      </c>
      <c r="AA31" t="s">
        <v>4162</v>
      </c>
      <c r="AB31" t="s">
        <v>4163</v>
      </c>
      <c r="AC31" t="s">
        <v>74</v>
      </c>
      <c r="AD31" t="s">
        <v>74</v>
      </c>
      <c r="AE31" t="s">
        <v>74</v>
      </c>
      <c r="AF31" t="s">
        <v>74</v>
      </c>
      <c r="AG31" t="s">
        <v>74</v>
      </c>
      <c r="AH31" t="s">
        <v>74</v>
      </c>
      <c r="AI31" t="s">
        <v>74</v>
      </c>
      <c r="AJ31" t="s">
        <v>74</v>
      </c>
      <c r="AK31" t="s">
        <v>74</v>
      </c>
      <c r="AL31" t="s">
        <v>74</v>
      </c>
      <c r="AM31" t="s">
        <v>74</v>
      </c>
      <c r="AN31" t="s">
        <v>74</v>
      </c>
      <c r="AO31" t="s">
        <v>1378</v>
      </c>
      <c r="AP31" t="s">
        <v>74</v>
      </c>
      <c r="AQ31" t="s">
        <v>74</v>
      </c>
      <c r="AR31" t="s">
        <v>74</v>
      </c>
      <c r="AS31" t="s">
        <v>74</v>
      </c>
      <c r="AT31" t="s">
        <v>4164</v>
      </c>
      <c r="AU31">
        <v>2021</v>
      </c>
      <c r="AV31">
        <v>12</v>
      </c>
      <c r="AW31">
        <v>1</v>
      </c>
      <c r="AX31" t="s">
        <v>74</v>
      </c>
      <c r="AY31" t="s">
        <v>74</v>
      </c>
      <c r="AZ31" t="s">
        <v>74</v>
      </c>
      <c r="BA31" t="s">
        <v>74</v>
      </c>
      <c r="BB31" t="s">
        <v>74</v>
      </c>
      <c r="BC31" t="s">
        <v>74</v>
      </c>
      <c r="BD31">
        <v>45</v>
      </c>
      <c r="BE31" t="s">
        <v>4165</v>
      </c>
      <c r="BF31" t="str">
        <f>HYPERLINK("http://dx.doi.org/10.1186/s40657-021-00280-7","http://dx.doi.org/10.1186/s40657-021-00280-7")</f>
        <v>http://dx.doi.org/10.1186/s40657-021-00280-7</v>
      </c>
      <c r="BG31" t="s">
        <v>74</v>
      </c>
      <c r="BH31" t="s">
        <v>74</v>
      </c>
      <c r="BI31" t="s">
        <v>74</v>
      </c>
      <c r="BJ31" t="s">
        <v>74</v>
      </c>
      <c r="BK31" t="s">
        <v>74</v>
      </c>
      <c r="BL31" t="s">
        <v>74</v>
      </c>
      <c r="BM31" t="s">
        <v>74</v>
      </c>
      <c r="BN31" t="s">
        <v>74</v>
      </c>
      <c r="BO31" t="s">
        <v>74</v>
      </c>
      <c r="BP31" t="s">
        <v>74</v>
      </c>
      <c r="BQ31" t="s">
        <v>74</v>
      </c>
      <c r="BR31" t="s">
        <v>74</v>
      </c>
      <c r="BS31" t="s">
        <v>4166</v>
      </c>
      <c r="BT31" t="str">
        <f>HYPERLINK("https%3A%2F%2Fwww.webofscience.com%2Fwos%2Fwoscc%2Ffull-record%2FWOS:000695827100001","View Full Record in Web of Science")</f>
        <v>View Full Record in Web of Science</v>
      </c>
    </row>
    <row r="32" spans="1:72" x14ac:dyDescent="0.4">
      <c r="A32" t="s">
        <v>72</v>
      </c>
      <c r="B32" t="s">
        <v>6550</v>
      </c>
      <c r="C32" t="s">
        <v>74</v>
      </c>
      <c r="D32" t="s">
        <v>74</v>
      </c>
      <c r="E32" t="s">
        <v>74</v>
      </c>
      <c r="F32" t="s">
        <v>6551</v>
      </c>
      <c r="G32" t="s">
        <v>74</v>
      </c>
      <c r="H32" t="s">
        <v>74</v>
      </c>
      <c r="I32" t="s">
        <v>6552</v>
      </c>
      <c r="J32" t="s">
        <v>6553</v>
      </c>
      <c r="K32" t="s">
        <v>74</v>
      </c>
      <c r="L32" t="s">
        <v>74</v>
      </c>
      <c r="M32" t="s">
        <v>74</v>
      </c>
      <c r="N32" t="s">
        <v>74</v>
      </c>
      <c r="O32" t="s">
        <v>74</v>
      </c>
      <c r="P32" t="s">
        <v>74</v>
      </c>
      <c r="Q32" t="s">
        <v>74</v>
      </c>
      <c r="R32" t="s">
        <v>74</v>
      </c>
      <c r="S32" t="s">
        <v>74</v>
      </c>
      <c r="T32" t="s">
        <v>74</v>
      </c>
      <c r="U32" t="s">
        <v>74</v>
      </c>
      <c r="V32" s="3" t="s">
        <v>6554</v>
      </c>
      <c r="W32" t="s">
        <v>74</v>
      </c>
      <c r="X32" t="s">
        <v>74</v>
      </c>
      <c r="Y32" t="s">
        <v>74</v>
      </c>
      <c r="Z32" t="s">
        <v>74</v>
      </c>
      <c r="AA32" t="s">
        <v>74</v>
      </c>
      <c r="AB32" t="s">
        <v>74</v>
      </c>
      <c r="AC32" t="s">
        <v>74</v>
      </c>
      <c r="AD32" t="s">
        <v>74</v>
      </c>
      <c r="AE32" t="s">
        <v>74</v>
      </c>
      <c r="AF32" t="s">
        <v>74</v>
      </c>
      <c r="AG32" t="s">
        <v>74</v>
      </c>
      <c r="AH32" t="s">
        <v>74</v>
      </c>
      <c r="AI32" t="s">
        <v>74</v>
      </c>
      <c r="AJ32" t="s">
        <v>74</v>
      </c>
      <c r="AK32" t="s">
        <v>74</v>
      </c>
      <c r="AL32" t="s">
        <v>74</v>
      </c>
      <c r="AM32" t="s">
        <v>74</v>
      </c>
      <c r="AN32" t="s">
        <v>74</v>
      </c>
      <c r="AO32" t="s">
        <v>6555</v>
      </c>
      <c r="AP32" t="s">
        <v>6556</v>
      </c>
      <c r="AQ32" t="s">
        <v>74</v>
      </c>
      <c r="AR32" t="s">
        <v>74</v>
      </c>
      <c r="AS32" t="s">
        <v>74</v>
      </c>
      <c r="AT32" t="s">
        <v>74</v>
      </c>
      <c r="AU32">
        <v>2024</v>
      </c>
      <c r="AV32">
        <v>35</v>
      </c>
      <c r="AW32">
        <v>2</v>
      </c>
      <c r="AX32" t="s">
        <v>74</v>
      </c>
      <c r="AY32" t="s">
        <v>74</v>
      </c>
      <c r="AZ32" t="s">
        <v>74</v>
      </c>
      <c r="BA32" t="s">
        <v>74</v>
      </c>
      <c r="BB32" t="s">
        <v>74</v>
      </c>
      <c r="BC32" t="s">
        <v>74</v>
      </c>
      <c r="BD32" t="s">
        <v>74</v>
      </c>
      <c r="BE32" t="s">
        <v>6557</v>
      </c>
      <c r="BF32" t="str">
        <f>HYPERLINK("http://dx.doi.org/10.21315/tlsr2024.35.2.15","http://dx.doi.org/10.21315/tlsr2024.35.2.15")</f>
        <v>http://dx.doi.org/10.21315/tlsr2024.35.2.15</v>
      </c>
      <c r="BG32" t="s">
        <v>74</v>
      </c>
      <c r="BH32" t="s">
        <v>74</v>
      </c>
      <c r="BI32" t="s">
        <v>74</v>
      </c>
      <c r="BJ32" t="s">
        <v>74</v>
      </c>
      <c r="BK32" t="s">
        <v>74</v>
      </c>
      <c r="BL32" t="s">
        <v>74</v>
      </c>
      <c r="BM32" t="s">
        <v>74</v>
      </c>
      <c r="BN32" t="s">
        <v>74</v>
      </c>
      <c r="BO32" t="s">
        <v>74</v>
      </c>
      <c r="BP32" t="s">
        <v>74</v>
      </c>
      <c r="BQ32" t="s">
        <v>74</v>
      </c>
      <c r="BR32" t="s">
        <v>74</v>
      </c>
      <c r="BS32" t="s">
        <v>6558</v>
      </c>
      <c r="BT32" t="str">
        <f>HYPERLINK("https%3A%2F%2Fwww.webofscience.com%2Fwos%2Fwoscc%2Ffull-record%2FWOS:001292721100013","View Full Record in Web of Science")</f>
        <v>View Full Record in Web of Science</v>
      </c>
    </row>
    <row r="33" spans="1:72" x14ac:dyDescent="0.4">
      <c r="A33" t="s">
        <v>72</v>
      </c>
      <c r="B33" t="s">
        <v>6707</v>
      </c>
      <c r="C33" t="s">
        <v>74</v>
      </c>
      <c r="D33" t="s">
        <v>74</v>
      </c>
      <c r="E33" t="s">
        <v>74</v>
      </c>
      <c r="F33" t="s">
        <v>6708</v>
      </c>
      <c r="G33" t="s">
        <v>74</v>
      </c>
      <c r="H33" t="s">
        <v>74</v>
      </c>
      <c r="I33" t="s">
        <v>6709</v>
      </c>
      <c r="J33" t="s">
        <v>970</v>
      </c>
      <c r="K33" t="s">
        <v>74</v>
      </c>
      <c r="L33" t="s">
        <v>74</v>
      </c>
      <c r="M33" t="s">
        <v>74</v>
      </c>
      <c r="N33" t="s">
        <v>74</v>
      </c>
      <c r="O33" t="s">
        <v>74</v>
      </c>
      <c r="P33" t="s">
        <v>74</v>
      </c>
      <c r="Q33" t="s">
        <v>74</v>
      </c>
      <c r="R33" t="s">
        <v>74</v>
      </c>
      <c r="S33" t="s">
        <v>74</v>
      </c>
      <c r="T33" t="s">
        <v>74</v>
      </c>
      <c r="U33" t="s">
        <v>74</v>
      </c>
      <c r="V33" s="3" t="s">
        <v>6710</v>
      </c>
      <c r="W33" t="s">
        <v>74</v>
      </c>
      <c r="X33" t="s">
        <v>74</v>
      </c>
      <c r="Y33" t="s">
        <v>74</v>
      </c>
      <c r="Z33" t="s">
        <v>74</v>
      </c>
      <c r="AA33" t="s">
        <v>6711</v>
      </c>
      <c r="AB33" t="s">
        <v>6712</v>
      </c>
      <c r="AC33" t="s">
        <v>74</v>
      </c>
      <c r="AD33" t="s">
        <v>74</v>
      </c>
      <c r="AE33" t="s">
        <v>74</v>
      </c>
      <c r="AF33" t="s">
        <v>74</v>
      </c>
      <c r="AG33" t="s">
        <v>74</v>
      </c>
      <c r="AH33" t="s">
        <v>74</v>
      </c>
      <c r="AI33" t="s">
        <v>74</v>
      </c>
      <c r="AJ33" t="s">
        <v>74</v>
      </c>
      <c r="AK33" t="s">
        <v>74</v>
      </c>
      <c r="AL33" t="s">
        <v>74</v>
      </c>
      <c r="AM33" t="s">
        <v>74</v>
      </c>
      <c r="AN33" t="s">
        <v>74</v>
      </c>
      <c r="AO33" t="s">
        <v>974</v>
      </c>
      <c r="AP33" t="s">
        <v>975</v>
      </c>
      <c r="AQ33" t="s">
        <v>74</v>
      </c>
      <c r="AR33" t="s">
        <v>74</v>
      </c>
      <c r="AS33" t="s">
        <v>74</v>
      </c>
      <c r="AT33" t="s">
        <v>633</v>
      </c>
      <c r="AU33">
        <v>2023</v>
      </c>
      <c r="AV33">
        <v>164</v>
      </c>
      <c r="AW33">
        <v>2</v>
      </c>
      <c r="AX33" t="s">
        <v>74</v>
      </c>
      <c r="AY33" t="s">
        <v>74</v>
      </c>
      <c r="AZ33" t="s">
        <v>74</v>
      </c>
      <c r="BA33" t="s">
        <v>74</v>
      </c>
      <c r="BB33">
        <v>417</v>
      </c>
      <c r="BC33">
        <v>431</v>
      </c>
      <c r="BD33" t="s">
        <v>74</v>
      </c>
      <c r="BE33" t="s">
        <v>6713</v>
      </c>
      <c r="BF33" t="str">
        <f>HYPERLINK("http://dx.doi.org/10.1007/s10336-022-02035-7","http://dx.doi.org/10.1007/s10336-022-02035-7")</f>
        <v>http://dx.doi.org/10.1007/s10336-022-02035-7</v>
      </c>
      <c r="BG33" t="s">
        <v>74</v>
      </c>
      <c r="BH33" t="s">
        <v>2298</v>
      </c>
      <c r="BI33" t="s">
        <v>74</v>
      </c>
      <c r="BJ33" t="s">
        <v>74</v>
      </c>
      <c r="BK33" t="s">
        <v>74</v>
      </c>
      <c r="BL33" t="s">
        <v>74</v>
      </c>
      <c r="BM33" t="s">
        <v>74</v>
      </c>
      <c r="BN33" t="s">
        <v>74</v>
      </c>
      <c r="BO33" t="s">
        <v>74</v>
      </c>
      <c r="BP33" t="s">
        <v>74</v>
      </c>
      <c r="BQ33" t="s">
        <v>74</v>
      </c>
      <c r="BR33" t="s">
        <v>74</v>
      </c>
      <c r="BS33" t="s">
        <v>6714</v>
      </c>
      <c r="BT33" t="str">
        <f>HYPERLINK("https%3A%2F%2Fwww.webofscience.com%2Fwos%2Fwoscc%2Ffull-record%2FWOS:000890108600001","View Full Record in Web of Science")</f>
        <v>View Full Record in Web of Science</v>
      </c>
    </row>
    <row r="34" spans="1:72" x14ac:dyDescent="0.4">
      <c r="A34" t="s">
        <v>72</v>
      </c>
      <c r="B34" t="s">
        <v>506</v>
      </c>
      <c r="C34" t="s">
        <v>74</v>
      </c>
      <c r="D34" t="s">
        <v>74</v>
      </c>
      <c r="E34" t="s">
        <v>74</v>
      </c>
      <c r="F34" t="s">
        <v>507</v>
      </c>
      <c r="G34" t="s">
        <v>74</v>
      </c>
      <c r="H34" t="s">
        <v>74</v>
      </c>
      <c r="I34" t="s">
        <v>508</v>
      </c>
      <c r="J34" t="s">
        <v>509</v>
      </c>
      <c r="K34" t="s">
        <v>74</v>
      </c>
      <c r="L34" t="s">
        <v>74</v>
      </c>
      <c r="M34" t="s">
        <v>74</v>
      </c>
      <c r="N34" t="s">
        <v>74</v>
      </c>
      <c r="O34" t="s">
        <v>74</v>
      </c>
      <c r="P34" t="s">
        <v>74</v>
      </c>
      <c r="Q34" t="s">
        <v>74</v>
      </c>
      <c r="R34" t="s">
        <v>74</v>
      </c>
      <c r="S34" t="s">
        <v>74</v>
      </c>
      <c r="T34" t="s">
        <v>74</v>
      </c>
      <c r="U34" t="s">
        <v>74</v>
      </c>
      <c r="V34" s="3" t="s">
        <v>510</v>
      </c>
      <c r="W34" t="s">
        <v>74</v>
      </c>
      <c r="X34" t="s">
        <v>74</v>
      </c>
      <c r="Y34" t="s">
        <v>74</v>
      </c>
      <c r="Z34" t="s">
        <v>74</v>
      </c>
      <c r="AA34" t="s">
        <v>74</v>
      </c>
      <c r="AB34" t="s">
        <v>74</v>
      </c>
      <c r="AC34" t="s">
        <v>74</v>
      </c>
      <c r="AD34" t="s">
        <v>74</v>
      </c>
      <c r="AE34" t="s">
        <v>74</v>
      </c>
      <c r="AF34" t="s">
        <v>74</v>
      </c>
      <c r="AG34" t="s">
        <v>74</v>
      </c>
      <c r="AH34" t="s">
        <v>74</v>
      </c>
      <c r="AI34" t="s">
        <v>74</v>
      </c>
      <c r="AJ34" t="s">
        <v>74</v>
      </c>
      <c r="AK34" t="s">
        <v>74</v>
      </c>
      <c r="AL34" t="s">
        <v>74</v>
      </c>
      <c r="AM34" t="s">
        <v>74</v>
      </c>
      <c r="AN34" t="s">
        <v>74</v>
      </c>
      <c r="AO34" t="s">
        <v>511</v>
      </c>
      <c r="AP34" t="s">
        <v>512</v>
      </c>
      <c r="AQ34" t="s">
        <v>74</v>
      </c>
      <c r="AR34" t="s">
        <v>74</v>
      </c>
      <c r="AS34" t="s">
        <v>74</v>
      </c>
      <c r="AT34" t="s">
        <v>145</v>
      </c>
      <c r="AU34">
        <v>2010</v>
      </c>
      <c r="AV34">
        <v>58</v>
      </c>
      <c r="AW34">
        <v>3</v>
      </c>
      <c r="AX34" t="s">
        <v>74</v>
      </c>
      <c r="AY34" t="s">
        <v>74</v>
      </c>
      <c r="AZ34" t="s">
        <v>74</v>
      </c>
      <c r="BA34" t="s">
        <v>74</v>
      </c>
      <c r="BB34">
        <v>526</v>
      </c>
      <c r="BC34">
        <v>532</v>
      </c>
      <c r="BD34" t="s">
        <v>74</v>
      </c>
      <c r="BE34" t="s">
        <v>513</v>
      </c>
      <c r="BF34" t="str">
        <f>HYPERLINK("http://dx.doi.org/10.1016/j.yhbeh.2010.04.004","http://dx.doi.org/10.1016/j.yhbeh.2010.04.004")</f>
        <v>http://dx.doi.org/10.1016/j.yhbeh.2010.04.004</v>
      </c>
      <c r="BG34" t="s">
        <v>74</v>
      </c>
      <c r="BH34" t="s">
        <v>74</v>
      </c>
      <c r="BI34" t="s">
        <v>74</v>
      </c>
      <c r="BJ34" t="s">
        <v>74</v>
      </c>
      <c r="BK34" t="s">
        <v>74</v>
      </c>
      <c r="BL34" t="s">
        <v>74</v>
      </c>
      <c r="BM34" t="s">
        <v>74</v>
      </c>
      <c r="BN34">
        <v>20406643</v>
      </c>
      <c r="BO34" t="s">
        <v>74</v>
      </c>
      <c r="BP34" t="s">
        <v>74</v>
      </c>
      <c r="BQ34" t="s">
        <v>74</v>
      </c>
      <c r="BR34" t="s">
        <v>74</v>
      </c>
      <c r="BS34" t="s">
        <v>514</v>
      </c>
      <c r="BT34" t="str">
        <f>HYPERLINK("https%3A%2F%2Fwww.webofscience.com%2Fwos%2Fwoscc%2Ffull-record%2FWOS:000280933600025","View Full Record in Web of Science")</f>
        <v>View Full Record in Web of Science</v>
      </c>
    </row>
    <row r="35" spans="1:72" x14ac:dyDescent="0.4">
      <c r="A35" t="s">
        <v>72</v>
      </c>
      <c r="B35" t="s">
        <v>3619</v>
      </c>
      <c r="C35" t="s">
        <v>74</v>
      </c>
      <c r="D35" t="s">
        <v>74</v>
      </c>
      <c r="E35" t="s">
        <v>74</v>
      </c>
      <c r="F35" t="s">
        <v>3620</v>
      </c>
      <c r="G35" t="s">
        <v>74</v>
      </c>
      <c r="H35" t="s">
        <v>74</v>
      </c>
      <c r="I35" t="s">
        <v>3621</v>
      </c>
      <c r="J35" t="s">
        <v>763</v>
      </c>
      <c r="K35" t="s">
        <v>74</v>
      </c>
      <c r="L35" t="s">
        <v>74</v>
      </c>
      <c r="M35" t="s">
        <v>74</v>
      </c>
      <c r="N35" t="s">
        <v>74</v>
      </c>
      <c r="O35" t="s">
        <v>74</v>
      </c>
      <c r="P35" t="s">
        <v>74</v>
      </c>
      <c r="Q35" t="s">
        <v>74</v>
      </c>
      <c r="R35" t="s">
        <v>74</v>
      </c>
      <c r="S35" t="s">
        <v>74</v>
      </c>
      <c r="T35" t="s">
        <v>74</v>
      </c>
      <c r="U35" t="s">
        <v>74</v>
      </c>
      <c r="V35" s="3" t="s">
        <v>3622</v>
      </c>
      <c r="W35" t="s">
        <v>74</v>
      </c>
      <c r="X35" t="s">
        <v>74</v>
      </c>
      <c r="Y35" t="s">
        <v>74</v>
      </c>
      <c r="Z35" t="s">
        <v>74</v>
      </c>
      <c r="AA35" t="s">
        <v>74</v>
      </c>
      <c r="AB35" t="s">
        <v>3623</v>
      </c>
      <c r="AC35" t="s">
        <v>74</v>
      </c>
      <c r="AD35" t="s">
        <v>74</v>
      </c>
      <c r="AE35" t="s">
        <v>74</v>
      </c>
      <c r="AF35" t="s">
        <v>74</v>
      </c>
      <c r="AG35" t="s">
        <v>74</v>
      </c>
      <c r="AH35" t="s">
        <v>74</v>
      </c>
      <c r="AI35" t="s">
        <v>74</v>
      </c>
      <c r="AJ35" t="s">
        <v>74</v>
      </c>
      <c r="AK35" t="s">
        <v>74</v>
      </c>
      <c r="AL35" t="s">
        <v>74</v>
      </c>
      <c r="AM35" t="s">
        <v>74</v>
      </c>
      <c r="AN35" t="s">
        <v>74</v>
      </c>
      <c r="AO35" t="s">
        <v>767</v>
      </c>
      <c r="AP35" t="s">
        <v>768</v>
      </c>
      <c r="AQ35" t="s">
        <v>74</v>
      </c>
      <c r="AR35" t="s">
        <v>74</v>
      </c>
      <c r="AS35" t="s">
        <v>74</v>
      </c>
      <c r="AT35" t="s">
        <v>123</v>
      </c>
      <c r="AU35">
        <v>2019</v>
      </c>
      <c r="AV35">
        <v>222</v>
      </c>
      <c r="AW35">
        <v>5</v>
      </c>
      <c r="AX35" t="s">
        <v>74</v>
      </c>
      <c r="AY35" t="s">
        <v>74</v>
      </c>
      <c r="AZ35" t="s">
        <v>74</v>
      </c>
      <c r="BA35" t="s">
        <v>74</v>
      </c>
      <c r="BB35" t="s">
        <v>74</v>
      </c>
      <c r="BC35" t="s">
        <v>74</v>
      </c>
      <c r="BD35" t="s">
        <v>3624</v>
      </c>
      <c r="BE35" t="s">
        <v>3625</v>
      </c>
      <c r="BF35" t="str">
        <f>HYPERLINK("http://dx.doi.org/10.1242/jeb.191544","http://dx.doi.org/10.1242/jeb.191544")</f>
        <v>http://dx.doi.org/10.1242/jeb.191544</v>
      </c>
      <c r="BG35" t="s">
        <v>74</v>
      </c>
      <c r="BH35" t="s">
        <v>74</v>
      </c>
      <c r="BI35" t="s">
        <v>74</v>
      </c>
      <c r="BJ35" t="s">
        <v>74</v>
      </c>
      <c r="BK35" t="s">
        <v>74</v>
      </c>
      <c r="BL35" t="s">
        <v>74</v>
      </c>
      <c r="BM35" t="s">
        <v>74</v>
      </c>
      <c r="BN35">
        <v>30659081</v>
      </c>
      <c r="BO35" t="s">
        <v>74</v>
      </c>
      <c r="BP35" t="s">
        <v>74</v>
      </c>
      <c r="BQ35" t="s">
        <v>74</v>
      </c>
      <c r="BR35" t="s">
        <v>74</v>
      </c>
      <c r="BS35" t="s">
        <v>3626</v>
      </c>
      <c r="BT35" t="str">
        <f>HYPERLINK("https%3A%2F%2Fwww.webofscience.com%2Fwos%2Fwoscc%2Ffull-record%2FWOS:000461414600010","View Full Record in Web of Science")</f>
        <v>View Full Record in Web of Science</v>
      </c>
    </row>
    <row r="36" spans="1:72" x14ac:dyDescent="0.4">
      <c r="A36" t="s">
        <v>72</v>
      </c>
      <c r="B36" t="s">
        <v>7888</v>
      </c>
      <c r="C36" t="s">
        <v>74</v>
      </c>
      <c r="D36" t="s">
        <v>74</v>
      </c>
      <c r="E36" t="s">
        <v>74</v>
      </c>
      <c r="F36" t="s">
        <v>7889</v>
      </c>
      <c r="G36" t="s">
        <v>74</v>
      </c>
      <c r="H36" t="s">
        <v>74</v>
      </c>
      <c r="I36" t="s">
        <v>7890</v>
      </c>
      <c r="J36" t="s">
        <v>814</v>
      </c>
      <c r="K36" t="s">
        <v>74</v>
      </c>
      <c r="L36" t="s">
        <v>74</v>
      </c>
      <c r="M36" t="s">
        <v>74</v>
      </c>
      <c r="N36" t="s">
        <v>74</v>
      </c>
      <c r="O36" t="s">
        <v>74</v>
      </c>
      <c r="P36" t="s">
        <v>74</v>
      </c>
      <c r="Q36" t="s">
        <v>74</v>
      </c>
      <c r="R36" t="s">
        <v>74</v>
      </c>
      <c r="S36" t="s">
        <v>74</v>
      </c>
      <c r="T36" t="s">
        <v>74</v>
      </c>
      <c r="U36" t="s">
        <v>74</v>
      </c>
      <c r="V36" s="3" t="s">
        <v>7891</v>
      </c>
      <c r="W36" t="s">
        <v>74</v>
      </c>
      <c r="X36" t="s">
        <v>74</v>
      </c>
      <c r="Y36" t="s">
        <v>74</v>
      </c>
      <c r="Z36" t="s">
        <v>74</v>
      </c>
      <c r="AA36" t="s">
        <v>7892</v>
      </c>
      <c r="AB36" t="s">
        <v>7893</v>
      </c>
      <c r="AC36" t="s">
        <v>74</v>
      </c>
      <c r="AD36" t="s">
        <v>74</v>
      </c>
      <c r="AE36" t="s">
        <v>74</v>
      </c>
      <c r="AF36" t="s">
        <v>74</v>
      </c>
      <c r="AG36" t="s">
        <v>74</v>
      </c>
      <c r="AH36" t="s">
        <v>74</v>
      </c>
      <c r="AI36" t="s">
        <v>74</v>
      </c>
      <c r="AJ36" t="s">
        <v>74</v>
      </c>
      <c r="AK36" t="s">
        <v>74</v>
      </c>
      <c r="AL36" t="s">
        <v>74</v>
      </c>
      <c r="AM36" t="s">
        <v>74</v>
      </c>
      <c r="AN36" t="s">
        <v>74</v>
      </c>
      <c r="AO36" t="s">
        <v>818</v>
      </c>
      <c r="AP36" t="s">
        <v>1505</v>
      </c>
      <c r="AQ36" t="s">
        <v>74</v>
      </c>
      <c r="AR36" t="s">
        <v>74</v>
      </c>
      <c r="AS36" t="s">
        <v>74</v>
      </c>
      <c r="AT36" t="s">
        <v>633</v>
      </c>
      <c r="AU36">
        <v>2022</v>
      </c>
      <c r="AV36">
        <v>151</v>
      </c>
      <c r="AW36" t="s">
        <v>74</v>
      </c>
      <c r="AX36" t="s">
        <v>74</v>
      </c>
      <c r="AY36" t="s">
        <v>74</v>
      </c>
      <c r="AZ36" t="s">
        <v>74</v>
      </c>
      <c r="BA36" t="s">
        <v>74</v>
      </c>
      <c r="BB36" t="s">
        <v>74</v>
      </c>
      <c r="BC36" t="s">
        <v>74</v>
      </c>
      <c r="BD36">
        <v>125992</v>
      </c>
      <c r="BE36" t="s">
        <v>7894</v>
      </c>
      <c r="BF36" t="str">
        <f>HYPERLINK("http://dx.doi.org/10.1016/j.zool.2021.125992","http://dx.doi.org/10.1016/j.zool.2021.125992")</f>
        <v>http://dx.doi.org/10.1016/j.zool.2021.125992</v>
      </c>
      <c r="BG36" t="s">
        <v>74</v>
      </c>
      <c r="BH36" t="s">
        <v>7438</v>
      </c>
      <c r="BI36" t="s">
        <v>74</v>
      </c>
      <c r="BJ36" t="s">
        <v>74</v>
      </c>
      <c r="BK36" t="s">
        <v>74</v>
      </c>
      <c r="BL36" t="s">
        <v>74</v>
      </c>
      <c r="BM36" t="s">
        <v>74</v>
      </c>
      <c r="BN36">
        <v>35228128</v>
      </c>
      <c r="BO36" t="s">
        <v>74</v>
      </c>
      <c r="BP36" t="s">
        <v>74</v>
      </c>
      <c r="BQ36" t="s">
        <v>74</v>
      </c>
      <c r="BR36" t="s">
        <v>74</v>
      </c>
      <c r="BS36" t="s">
        <v>7895</v>
      </c>
      <c r="BT36" t="str">
        <f>HYPERLINK("https%3A%2F%2Fwww.webofscience.com%2Fwos%2Fwoscc%2Ffull-record%2FWOS:000776690400002","View Full Record in Web of Science")</f>
        <v>View Full Record in Web of Science</v>
      </c>
    </row>
    <row r="37" spans="1:72" x14ac:dyDescent="0.4">
      <c r="A37" t="s">
        <v>72</v>
      </c>
      <c r="B37" t="s">
        <v>8421</v>
      </c>
      <c r="C37" t="s">
        <v>74</v>
      </c>
      <c r="D37" t="s">
        <v>74</v>
      </c>
      <c r="E37" t="s">
        <v>74</v>
      </c>
      <c r="F37" t="s">
        <v>8421</v>
      </c>
      <c r="G37" t="s">
        <v>74</v>
      </c>
      <c r="H37" t="s">
        <v>74</v>
      </c>
      <c r="I37" t="s">
        <v>8422</v>
      </c>
      <c r="J37" t="s">
        <v>1878</v>
      </c>
      <c r="K37" t="s">
        <v>74</v>
      </c>
      <c r="L37" t="s">
        <v>74</v>
      </c>
      <c r="M37" t="s">
        <v>74</v>
      </c>
      <c r="N37" t="s">
        <v>74</v>
      </c>
      <c r="O37" t="s">
        <v>74</v>
      </c>
      <c r="P37" t="s">
        <v>74</v>
      </c>
      <c r="Q37" t="s">
        <v>74</v>
      </c>
      <c r="R37" t="s">
        <v>74</v>
      </c>
      <c r="S37" t="s">
        <v>74</v>
      </c>
      <c r="T37" t="s">
        <v>74</v>
      </c>
      <c r="U37" t="s">
        <v>74</v>
      </c>
      <c r="V37" s="3" t="s">
        <v>8423</v>
      </c>
      <c r="W37" t="s">
        <v>74</v>
      </c>
      <c r="X37" t="s">
        <v>74</v>
      </c>
      <c r="Y37" t="s">
        <v>74</v>
      </c>
      <c r="Z37" t="s">
        <v>74</v>
      </c>
      <c r="AA37" t="s">
        <v>8424</v>
      </c>
      <c r="AB37" t="s">
        <v>8425</v>
      </c>
      <c r="AC37" t="s">
        <v>74</v>
      </c>
      <c r="AD37" t="s">
        <v>74</v>
      </c>
      <c r="AE37" t="s">
        <v>74</v>
      </c>
      <c r="AF37" t="s">
        <v>74</v>
      </c>
      <c r="AG37" t="s">
        <v>74</v>
      </c>
      <c r="AH37" t="s">
        <v>74</v>
      </c>
      <c r="AI37" t="s">
        <v>74</v>
      </c>
      <c r="AJ37" t="s">
        <v>74</v>
      </c>
      <c r="AK37" t="s">
        <v>74</v>
      </c>
      <c r="AL37" t="s">
        <v>74</v>
      </c>
      <c r="AM37" t="s">
        <v>74</v>
      </c>
      <c r="AN37" t="s">
        <v>74</v>
      </c>
      <c r="AO37" t="s">
        <v>1882</v>
      </c>
      <c r="AP37" t="s">
        <v>74</v>
      </c>
      <c r="AQ37" t="s">
        <v>74</v>
      </c>
      <c r="AR37" t="s">
        <v>74</v>
      </c>
      <c r="AS37" t="s">
        <v>74</v>
      </c>
      <c r="AT37" t="s">
        <v>964</v>
      </c>
      <c r="AU37">
        <v>2000</v>
      </c>
      <c r="AV37">
        <v>65</v>
      </c>
      <c r="AW37">
        <v>2</v>
      </c>
      <c r="AX37" t="s">
        <v>74</v>
      </c>
      <c r="AY37" t="s">
        <v>74</v>
      </c>
      <c r="AZ37" t="s">
        <v>74</v>
      </c>
      <c r="BA37" t="s">
        <v>74</v>
      </c>
      <c r="BB37">
        <v>327</v>
      </c>
      <c r="BC37">
        <v>332</v>
      </c>
      <c r="BD37" t="s">
        <v>74</v>
      </c>
      <c r="BE37" t="s">
        <v>8426</v>
      </c>
      <c r="BF37" t="str">
        <f>HYPERLINK("http://dx.doi.org/10.1016/S0091-3057(99)00189-6","http://dx.doi.org/10.1016/S0091-3057(99)00189-6")</f>
        <v>http://dx.doi.org/10.1016/S0091-3057(99)00189-6</v>
      </c>
      <c r="BG37" t="s">
        <v>74</v>
      </c>
      <c r="BH37" t="s">
        <v>74</v>
      </c>
      <c r="BI37" t="s">
        <v>74</v>
      </c>
      <c r="BJ37" t="s">
        <v>74</v>
      </c>
      <c r="BK37" t="s">
        <v>74</v>
      </c>
      <c r="BL37" t="s">
        <v>74</v>
      </c>
      <c r="BM37" t="s">
        <v>74</v>
      </c>
      <c r="BN37">
        <v>10672986</v>
      </c>
      <c r="BO37" t="s">
        <v>74</v>
      </c>
      <c r="BP37" t="s">
        <v>74</v>
      </c>
      <c r="BQ37" t="s">
        <v>74</v>
      </c>
      <c r="BR37" t="s">
        <v>74</v>
      </c>
      <c r="BS37" t="s">
        <v>8427</v>
      </c>
      <c r="BT37" t="str">
        <f>HYPERLINK("https%3A%2F%2Fwww.webofscience.com%2Fwos%2Fwoscc%2Ffull-record%2FWOS:000084842500018","View Full Record in Web of Science")</f>
        <v>View Full Record in Web of Science</v>
      </c>
    </row>
    <row r="38" spans="1:72" x14ac:dyDescent="0.4">
      <c r="A38" t="s">
        <v>72</v>
      </c>
      <c r="B38" t="s">
        <v>5452</v>
      </c>
      <c r="C38" t="s">
        <v>74</v>
      </c>
      <c r="D38" t="s">
        <v>74</v>
      </c>
      <c r="E38" t="s">
        <v>74</v>
      </c>
      <c r="F38" t="s">
        <v>5452</v>
      </c>
      <c r="G38" t="s">
        <v>74</v>
      </c>
      <c r="H38" t="s">
        <v>74</v>
      </c>
      <c r="I38" t="s">
        <v>5453</v>
      </c>
      <c r="J38" t="s">
        <v>5454</v>
      </c>
      <c r="K38" t="s">
        <v>74</v>
      </c>
      <c r="L38" t="s">
        <v>74</v>
      </c>
      <c r="M38" t="s">
        <v>74</v>
      </c>
      <c r="N38" t="s">
        <v>74</v>
      </c>
      <c r="O38" t="s">
        <v>74</v>
      </c>
      <c r="P38" t="s">
        <v>74</v>
      </c>
      <c r="Q38" t="s">
        <v>74</v>
      </c>
      <c r="R38" t="s">
        <v>74</v>
      </c>
      <c r="S38" t="s">
        <v>74</v>
      </c>
      <c r="T38" t="s">
        <v>74</v>
      </c>
      <c r="U38" t="s">
        <v>74</v>
      </c>
      <c r="V38" s="3" t="s">
        <v>5455</v>
      </c>
      <c r="W38" t="s">
        <v>74</v>
      </c>
      <c r="X38" t="s">
        <v>74</v>
      </c>
      <c r="Y38" t="s">
        <v>74</v>
      </c>
      <c r="Z38" t="s">
        <v>74</v>
      </c>
      <c r="AA38" t="s">
        <v>5456</v>
      </c>
      <c r="AB38" t="s">
        <v>5457</v>
      </c>
      <c r="AC38" t="s">
        <v>74</v>
      </c>
      <c r="AD38" t="s">
        <v>74</v>
      </c>
      <c r="AE38" t="s">
        <v>74</v>
      </c>
      <c r="AF38" t="s">
        <v>74</v>
      </c>
      <c r="AG38" t="s">
        <v>74</v>
      </c>
      <c r="AH38" t="s">
        <v>74</v>
      </c>
      <c r="AI38" t="s">
        <v>74</v>
      </c>
      <c r="AJ38" t="s">
        <v>74</v>
      </c>
      <c r="AK38" t="s">
        <v>74</v>
      </c>
      <c r="AL38" t="s">
        <v>74</v>
      </c>
      <c r="AM38" t="s">
        <v>74</v>
      </c>
      <c r="AN38" t="s">
        <v>74</v>
      </c>
      <c r="AO38" t="s">
        <v>5458</v>
      </c>
      <c r="AP38" t="s">
        <v>74</v>
      </c>
      <c r="AQ38" t="s">
        <v>74</v>
      </c>
      <c r="AR38" t="s">
        <v>74</v>
      </c>
      <c r="AS38" t="s">
        <v>74</v>
      </c>
      <c r="AT38" t="s">
        <v>74</v>
      </c>
      <c r="AU38">
        <v>1991</v>
      </c>
      <c r="AV38">
        <v>19</v>
      </c>
      <c r="AW38">
        <v>4</v>
      </c>
      <c r="AX38" t="s">
        <v>74</v>
      </c>
      <c r="AY38" t="s">
        <v>74</v>
      </c>
      <c r="AZ38" t="s">
        <v>74</v>
      </c>
      <c r="BA38" t="s">
        <v>74</v>
      </c>
      <c r="BB38">
        <v>271</v>
      </c>
      <c r="BC38">
        <v>276</v>
      </c>
      <c r="BD38" t="s">
        <v>74</v>
      </c>
      <c r="BE38" t="s">
        <v>5459</v>
      </c>
      <c r="BF38" t="str">
        <f>HYPERLINK("http://dx.doi.org/10.1016/0305-1978(91)90014-Q","http://dx.doi.org/10.1016/0305-1978(91)90014-Q")</f>
        <v>http://dx.doi.org/10.1016/0305-1978(91)90014-Q</v>
      </c>
      <c r="BG38" t="s">
        <v>74</v>
      </c>
      <c r="BH38" t="s">
        <v>74</v>
      </c>
      <c r="BI38" t="s">
        <v>74</v>
      </c>
      <c r="BJ38" t="s">
        <v>74</v>
      </c>
      <c r="BK38" t="s">
        <v>74</v>
      </c>
      <c r="BL38" t="s">
        <v>74</v>
      </c>
      <c r="BM38" t="s">
        <v>74</v>
      </c>
      <c r="BN38" t="s">
        <v>74</v>
      </c>
      <c r="BO38" t="s">
        <v>74</v>
      </c>
      <c r="BP38" t="s">
        <v>74</v>
      </c>
      <c r="BQ38" t="s">
        <v>74</v>
      </c>
      <c r="BR38" t="s">
        <v>74</v>
      </c>
      <c r="BS38" t="s">
        <v>5460</v>
      </c>
      <c r="BT38" t="str">
        <f>HYPERLINK("https%3A%2F%2Fwww.webofscience.com%2Fwos%2Fwoscc%2Ffull-record%2FWOS:A1991HA68300002","View Full Record in Web of Science")</f>
        <v>View Full Record in Web of Science</v>
      </c>
    </row>
    <row r="39" spans="1:72" x14ac:dyDescent="0.4">
      <c r="A39" t="s">
        <v>72</v>
      </c>
      <c r="B39" t="s">
        <v>7761</v>
      </c>
      <c r="C39" t="s">
        <v>74</v>
      </c>
      <c r="D39" t="s">
        <v>74</v>
      </c>
      <c r="E39" t="s">
        <v>74</v>
      </c>
      <c r="F39" t="s">
        <v>7762</v>
      </c>
      <c r="G39" t="s">
        <v>74</v>
      </c>
      <c r="H39" t="s">
        <v>74</v>
      </c>
      <c r="I39" t="s">
        <v>7763</v>
      </c>
      <c r="J39" t="s">
        <v>129</v>
      </c>
      <c r="K39" t="s">
        <v>74</v>
      </c>
      <c r="L39" t="s">
        <v>74</v>
      </c>
      <c r="M39" t="s">
        <v>74</v>
      </c>
      <c r="N39" t="s">
        <v>74</v>
      </c>
      <c r="O39" t="s">
        <v>74</v>
      </c>
      <c r="P39" t="s">
        <v>74</v>
      </c>
      <c r="Q39" t="s">
        <v>74</v>
      </c>
      <c r="R39" t="s">
        <v>74</v>
      </c>
      <c r="S39" t="s">
        <v>74</v>
      </c>
      <c r="T39" t="s">
        <v>74</v>
      </c>
      <c r="U39" t="s">
        <v>74</v>
      </c>
      <c r="V39" s="3" t="s">
        <v>7764</v>
      </c>
      <c r="W39" t="s">
        <v>74</v>
      </c>
      <c r="X39" t="s">
        <v>74</v>
      </c>
      <c r="Y39" t="s">
        <v>74</v>
      </c>
      <c r="Z39" t="s">
        <v>74</v>
      </c>
      <c r="AA39" t="s">
        <v>74</v>
      </c>
      <c r="AB39" t="s">
        <v>7765</v>
      </c>
      <c r="AC39" t="s">
        <v>74</v>
      </c>
      <c r="AD39" t="s">
        <v>74</v>
      </c>
      <c r="AE39" t="s">
        <v>74</v>
      </c>
      <c r="AF39" t="s">
        <v>74</v>
      </c>
      <c r="AG39" t="s">
        <v>74</v>
      </c>
      <c r="AH39" t="s">
        <v>74</v>
      </c>
      <c r="AI39" t="s">
        <v>74</v>
      </c>
      <c r="AJ39" t="s">
        <v>74</v>
      </c>
      <c r="AK39" t="s">
        <v>74</v>
      </c>
      <c r="AL39" t="s">
        <v>74</v>
      </c>
      <c r="AM39" t="s">
        <v>74</v>
      </c>
      <c r="AN39" t="s">
        <v>74</v>
      </c>
      <c r="AO39" t="s">
        <v>132</v>
      </c>
      <c r="AP39" t="s">
        <v>133</v>
      </c>
      <c r="AQ39" t="s">
        <v>74</v>
      </c>
      <c r="AR39" t="s">
        <v>74</v>
      </c>
      <c r="AS39" t="s">
        <v>74</v>
      </c>
      <c r="AT39" t="s">
        <v>213</v>
      </c>
      <c r="AU39">
        <v>2022</v>
      </c>
      <c r="AV39">
        <v>76</v>
      </c>
      <c r="AW39">
        <v>11</v>
      </c>
      <c r="AX39" t="s">
        <v>74</v>
      </c>
      <c r="AY39" t="s">
        <v>74</v>
      </c>
      <c r="AZ39" t="s">
        <v>74</v>
      </c>
      <c r="BA39" t="s">
        <v>74</v>
      </c>
      <c r="BB39" t="s">
        <v>74</v>
      </c>
      <c r="BC39" t="s">
        <v>74</v>
      </c>
      <c r="BD39">
        <v>147</v>
      </c>
      <c r="BE39" t="s">
        <v>7766</v>
      </c>
      <c r="BF39" t="str">
        <f>HYPERLINK("http://dx.doi.org/10.1007/s00265-022-03253-y","http://dx.doi.org/10.1007/s00265-022-03253-y")</f>
        <v>http://dx.doi.org/10.1007/s00265-022-03253-y</v>
      </c>
      <c r="BG39" t="s">
        <v>74</v>
      </c>
      <c r="BH39" t="s">
        <v>74</v>
      </c>
      <c r="BI39" t="s">
        <v>74</v>
      </c>
      <c r="BJ39" t="s">
        <v>74</v>
      </c>
      <c r="BK39" t="s">
        <v>74</v>
      </c>
      <c r="BL39" t="s">
        <v>74</v>
      </c>
      <c r="BM39" t="s">
        <v>74</v>
      </c>
      <c r="BN39" t="s">
        <v>74</v>
      </c>
      <c r="BO39" t="s">
        <v>74</v>
      </c>
      <c r="BP39" t="s">
        <v>74</v>
      </c>
      <c r="BQ39" t="s">
        <v>74</v>
      </c>
      <c r="BR39" t="s">
        <v>74</v>
      </c>
      <c r="BS39" t="s">
        <v>7767</v>
      </c>
      <c r="BT39" t="str">
        <f>HYPERLINK("https%3A%2F%2Fwww.webofscience.com%2Fwos%2Fwoscc%2Ffull-record%2FWOS:000867664700001","View Full Record in Web of Science")</f>
        <v>View Full Record in Web of Science</v>
      </c>
    </row>
    <row r="40" spans="1:72" x14ac:dyDescent="0.4">
      <c r="A40" t="s">
        <v>72</v>
      </c>
      <c r="B40" t="s">
        <v>7587</v>
      </c>
      <c r="C40" t="s">
        <v>74</v>
      </c>
      <c r="D40" t="s">
        <v>74</v>
      </c>
      <c r="E40" t="s">
        <v>74</v>
      </c>
      <c r="F40" t="s">
        <v>7587</v>
      </c>
      <c r="G40" t="s">
        <v>74</v>
      </c>
      <c r="H40" t="s">
        <v>74</v>
      </c>
      <c r="I40" t="s">
        <v>7588</v>
      </c>
      <c r="J40" t="s">
        <v>140</v>
      </c>
      <c r="K40" t="s">
        <v>74</v>
      </c>
      <c r="L40" t="s">
        <v>74</v>
      </c>
      <c r="M40" t="s">
        <v>74</v>
      </c>
      <c r="N40" t="s">
        <v>74</v>
      </c>
      <c r="O40" t="s">
        <v>74</v>
      </c>
      <c r="P40" t="s">
        <v>74</v>
      </c>
      <c r="Q40" t="s">
        <v>74</v>
      </c>
      <c r="R40" t="s">
        <v>74</v>
      </c>
      <c r="S40" t="s">
        <v>74</v>
      </c>
      <c r="T40" t="s">
        <v>74</v>
      </c>
      <c r="U40" t="s">
        <v>74</v>
      </c>
      <c r="V40" s="3" t="s">
        <v>7589</v>
      </c>
      <c r="W40" t="s">
        <v>74</v>
      </c>
      <c r="X40" t="s">
        <v>74</v>
      </c>
      <c r="Y40" t="s">
        <v>74</v>
      </c>
      <c r="Z40" t="s">
        <v>74</v>
      </c>
      <c r="AA40" t="s">
        <v>74</v>
      </c>
      <c r="AB40" t="s">
        <v>74</v>
      </c>
      <c r="AC40" t="s">
        <v>74</v>
      </c>
      <c r="AD40" t="s">
        <v>74</v>
      </c>
      <c r="AE40" t="s">
        <v>74</v>
      </c>
      <c r="AF40" t="s">
        <v>74</v>
      </c>
      <c r="AG40" t="s">
        <v>74</v>
      </c>
      <c r="AH40" t="s">
        <v>74</v>
      </c>
      <c r="AI40" t="s">
        <v>74</v>
      </c>
      <c r="AJ40" t="s">
        <v>74</v>
      </c>
      <c r="AK40" t="s">
        <v>74</v>
      </c>
      <c r="AL40" t="s">
        <v>74</v>
      </c>
      <c r="AM40" t="s">
        <v>74</v>
      </c>
      <c r="AN40" t="s">
        <v>74</v>
      </c>
      <c r="AO40" t="s">
        <v>143</v>
      </c>
      <c r="AP40" t="s">
        <v>144</v>
      </c>
      <c r="AQ40" t="s">
        <v>74</v>
      </c>
      <c r="AR40" t="s">
        <v>74</v>
      </c>
      <c r="AS40" t="s">
        <v>74</v>
      </c>
      <c r="AT40" t="s">
        <v>102</v>
      </c>
      <c r="AU40">
        <v>2004</v>
      </c>
      <c r="AV40">
        <v>67</v>
      </c>
      <c r="AW40" t="s">
        <v>74</v>
      </c>
      <c r="AX40">
        <v>6</v>
      </c>
      <c r="AY40" t="s">
        <v>74</v>
      </c>
      <c r="AZ40" t="s">
        <v>74</v>
      </c>
      <c r="BA40" t="s">
        <v>74</v>
      </c>
      <c r="BB40">
        <v>1127</v>
      </c>
      <c r="BC40">
        <v>1132</v>
      </c>
      <c r="BD40" t="s">
        <v>74</v>
      </c>
      <c r="BE40" t="s">
        <v>7590</v>
      </c>
      <c r="BF40" t="str">
        <f>HYPERLINK("http://dx.doi.org/10.1016/j.anbehav.2003.06.021","http://dx.doi.org/10.1016/j.anbehav.2003.06.021")</f>
        <v>http://dx.doi.org/10.1016/j.anbehav.2003.06.021</v>
      </c>
      <c r="BG40" t="s">
        <v>74</v>
      </c>
      <c r="BH40" t="s">
        <v>74</v>
      </c>
      <c r="BI40" t="s">
        <v>74</v>
      </c>
      <c r="BJ40" t="s">
        <v>74</v>
      </c>
      <c r="BK40" t="s">
        <v>74</v>
      </c>
      <c r="BL40" t="s">
        <v>74</v>
      </c>
      <c r="BM40" t="s">
        <v>74</v>
      </c>
      <c r="BN40" t="s">
        <v>74</v>
      </c>
      <c r="BO40" t="s">
        <v>74</v>
      </c>
      <c r="BP40" t="s">
        <v>74</v>
      </c>
      <c r="BQ40" t="s">
        <v>74</v>
      </c>
      <c r="BR40" t="s">
        <v>74</v>
      </c>
      <c r="BS40" t="s">
        <v>7591</v>
      </c>
      <c r="BT40" t="str">
        <f>HYPERLINK("https%3A%2F%2Fwww.webofscience.com%2Fwos%2Fwoscc%2Ffull-record%2FWOS:000222591300017","View Full Record in Web of Science")</f>
        <v>View Full Record in Web of Science</v>
      </c>
    </row>
    <row r="41" spans="1:72" x14ac:dyDescent="0.4">
      <c r="A41" t="s">
        <v>72</v>
      </c>
      <c r="B41" t="s">
        <v>6476</v>
      </c>
      <c r="C41" t="s">
        <v>74</v>
      </c>
      <c r="D41" t="s">
        <v>74</v>
      </c>
      <c r="E41" t="s">
        <v>74</v>
      </c>
      <c r="F41" t="s">
        <v>6477</v>
      </c>
      <c r="G41" t="s">
        <v>74</v>
      </c>
      <c r="H41" t="s">
        <v>74</v>
      </c>
      <c r="I41" t="s">
        <v>6478</v>
      </c>
      <c r="J41" t="s">
        <v>140</v>
      </c>
      <c r="K41" t="s">
        <v>74</v>
      </c>
      <c r="L41" t="s">
        <v>74</v>
      </c>
      <c r="M41" t="s">
        <v>74</v>
      </c>
      <c r="N41" t="s">
        <v>74</v>
      </c>
      <c r="O41" t="s">
        <v>74</v>
      </c>
      <c r="P41" t="s">
        <v>74</v>
      </c>
      <c r="Q41" t="s">
        <v>74</v>
      </c>
      <c r="R41" t="s">
        <v>74</v>
      </c>
      <c r="S41" t="s">
        <v>74</v>
      </c>
      <c r="T41" t="s">
        <v>74</v>
      </c>
      <c r="U41" t="s">
        <v>74</v>
      </c>
      <c r="V41" s="3" t="s">
        <v>6479</v>
      </c>
      <c r="W41" t="s">
        <v>74</v>
      </c>
      <c r="X41" t="s">
        <v>74</v>
      </c>
      <c r="Y41" t="s">
        <v>74</v>
      </c>
      <c r="Z41" t="s">
        <v>74</v>
      </c>
      <c r="AA41" t="s">
        <v>6480</v>
      </c>
      <c r="AB41" t="s">
        <v>6481</v>
      </c>
      <c r="AC41" t="s">
        <v>74</v>
      </c>
      <c r="AD41" t="s">
        <v>74</v>
      </c>
      <c r="AE41" t="s">
        <v>74</v>
      </c>
      <c r="AF41" t="s">
        <v>74</v>
      </c>
      <c r="AG41" t="s">
        <v>74</v>
      </c>
      <c r="AH41" t="s">
        <v>74</v>
      </c>
      <c r="AI41" t="s">
        <v>74</v>
      </c>
      <c r="AJ41" t="s">
        <v>74</v>
      </c>
      <c r="AK41" t="s">
        <v>74</v>
      </c>
      <c r="AL41" t="s">
        <v>74</v>
      </c>
      <c r="AM41" t="s">
        <v>74</v>
      </c>
      <c r="AN41" t="s">
        <v>74</v>
      </c>
      <c r="AO41" t="s">
        <v>143</v>
      </c>
      <c r="AP41" t="s">
        <v>144</v>
      </c>
      <c r="AQ41" t="s">
        <v>74</v>
      </c>
      <c r="AR41" t="s">
        <v>74</v>
      </c>
      <c r="AS41" t="s">
        <v>74</v>
      </c>
      <c r="AT41" t="s">
        <v>255</v>
      </c>
      <c r="AU41">
        <v>2018</v>
      </c>
      <c r="AV41">
        <v>135</v>
      </c>
      <c r="AW41" t="s">
        <v>74</v>
      </c>
      <c r="AX41" t="s">
        <v>74</v>
      </c>
      <c r="AY41" t="s">
        <v>74</v>
      </c>
      <c r="AZ41" t="s">
        <v>74</v>
      </c>
      <c r="BA41" t="s">
        <v>74</v>
      </c>
      <c r="BB41">
        <v>209</v>
      </c>
      <c r="BC41">
        <v>214</v>
      </c>
      <c r="BD41" t="s">
        <v>74</v>
      </c>
      <c r="BE41" t="s">
        <v>6482</v>
      </c>
      <c r="BF41" t="str">
        <f>HYPERLINK("http://dx.doi.org/10.1016/j.anbehav.2017.11.022","http://dx.doi.org/10.1016/j.anbehav.2017.11.022")</f>
        <v>http://dx.doi.org/10.1016/j.anbehav.2017.11.022</v>
      </c>
      <c r="BG41" t="s">
        <v>74</v>
      </c>
      <c r="BH41" t="s">
        <v>74</v>
      </c>
      <c r="BI41" t="s">
        <v>74</v>
      </c>
      <c r="BJ41" t="s">
        <v>74</v>
      </c>
      <c r="BK41" t="s">
        <v>74</v>
      </c>
      <c r="BL41" t="s">
        <v>74</v>
      </c>
      <c r="BM41" t="s">
        <v>74</v>
      </c>
      <c r="BN41" t="s">
        <v>74</v>
      </c>
      <c r="BO41" t="s">
        <v>74</v>
      </c>
      <c r="BP41" t="s">
        <v>74</v>
      </c>
      <c r="BQ41" t="s">
        <v>74</v>
      </c>
      <c r="BR41" t="s">
        <v>74</v>
      </c>
      <c r="BS41" t="s">
        <v>6483</v>
      </c>
      <c r="BT41" t="str">
        <f>HYPERLINK("https%3A%2F%2Fwww.webofscience.com%2Fwos%2Fwoscc%2Ffull-record%2FWOS:000419600500022","View Full Record in Web of Science")</f>
        <v>View Full Record in Web of Science</v>
      </c>
    </row>
    <row r="42" spans="1:72" x14ac:dyDescent="0.4">
      <c r="A42" t="s">
        <v>72</v>
      </c>
      <c r="B42" t="s">
        <v>7930</v>
      </c>
      <c r="C42" t="s">
        <v>74</v>
      </c>
      <c r="D42" t="s">
        <v>74</v>
      </c>
      <c r="E42" t="s">
        <v>74</v>
      </c>
      <c r="F42" t="s">
        <v>7931</v>
      </c>
      <c r="G42" t="s">
        <v>74</v>
      </c>
      <c r="H42" t="s">
        <v>74</v>
      </c>
      <c r="I42" t="s">
        <v>7932</v>
      </c>
      <c r="J42" t="s">
        <v>1112</v>
      </c>
      <c r="K42" t="s">
        <v>74</v>
      </c>
      <c r="L42" t="s">
        <v>74</v>
      </c>
      <c r="M42" t="s">
        <v>74</v>
      </c>
      <c r="N42" t="s">
        <v>74</v>
      </c>
      <c r="O42" t="s">
        <v>74</v>
      </c>
      <c r="P42" t="s">
        <v>74</v>
      </c>
      <c r="Q42" t="s">
        <v>74</v>
      </c>
      <c r="R42" t="s">
        <v>74</v>
      </c>
      <c r="S42" t="s">
        <v>74</v>
      </c>
      <c r="T42" t="s">
        <v>74</v>
      </c>
      <c r="U42" t="s">
        <v>74</v>
      </c>
      <c r="V42" s="3" t="s">
        <v>7933</v>
      </c>
      <c r="W42" t="s">
        <v>74</v>
      </c>
      <c r="X42" t="s">
        <v>74</v>
      </c>
      <c r="Y42" t="s">
        <v>74</v>
      </c>
      <c r="Z42" t="s">
        <v>74</v>
      </c>
      <c r="AA42" t="s">
        <v>74</v>
      </c>
      <c r="AB42" t="s">
        <v>7934</v>
      </c>
      <c r="AC42" t="s">
        <v>74</v>
      </c>
      <c r="AD42" t="s">
        <v>74</v>
      </c>
      <c r="AE42" t="s">
        <v>74</v>
      </c>
      <c r="AF42" t="s">
        <v>74</v>
      </c>
      <c r="AG42" t="s">
        <v>74</v>
      </c>
      <c r="AH42" t="s">
        <v>74</v>
      </c>
      <c r="AI42" t="s">
        <v>74</v>
      </c>
      <c r="AJ42" t="s">
        <v>74</v>
      </c>
      <c r="AK42" t="s">
        <v>74</v>
      </c>
      <c r="AL42" t="s">
        <v>74</v>
      </c>
      <c r="AM42" t="s">
        <v>74</v>
      </c>
      <c r="AN42" t="s">
        <v>74</v>
      </c>
      <c r="AO42" t="s">
        <v>1114</v>
      </c>
      <c r="AP42" t="s">
        <v>1115</v>
      </c>
      <c r="AQ42" t="s">
        <v>74</v>
      </c>
      <c r="AR42" t="s">
        <v>74</v>
      </c>
      <c r="AS42" t="s">
        <v>74</v>
      </c>
      <c r="AT42" t="s">
        <v>352</v>
      </c>
      <c r="AU42">
        <v>2017</v>
      </c>
      <c r="AV42">
        <v>194</v>
      </c>
      <c r="AW42" t="s">
        <v>74</v>
      </c>
      <c r="AX42" t="s">
        <v>74</v>
      </c>
      <c r="AY42" t="s">
        <v>74</v>
      </c>
      <c r="AZ42" t="s">
        <v>74</v>
      </c>
      <c r="BA42" t="s">
        <v>74</v>
      </c>
      <c r="BB42">
        <v>112</v>
      </c>
      <c r="BC42">
        <v>119</v>
      </c>
      <c r="BD42" t="s">
        <v>74</v>
      </c>
      <c r="BE42" t="s">
        <v>7935</v>
      </c>
      <c r="BF42" t="str">
        <f>HYPERLINK("http://dx.doi.org/10.1016/j.applanim.2017.05.008","http://dx.doi.org/10.1016/j.applanim.2017.05.008")</f>
        <v>http://dx.doi.org/10.1016/j.applanim.2017.05.008</v>
      </c>
      <c r="BG42" t="s">
        <v>74</v>
      </c>
      <c r="BH42" t="s">
        <v>74</v>
      </c>
      <c r="BI42" t="s">
        <v>74</v>
      </c>
      <c r="BJ42" t="s">
        <v>74</v>
      </c>
      <c r="BK42" t="s">
        <v>74</v>
      </c>
      <c r="BL42" t="s">
        <v>74</v>
      </c>
      <c r="BM42" t="s">
        <v>74</v>
      </c>
      <c r="BN42" t="s">
        <v>74</v>
      </c>
      <c r="BO42" t="s">
        <v>74</v>
      </c>
      <c r="BP42" t="s">
        <v>74</v>
      </c>
      <c r="BQ42" t="s">
        <v>74</v>
      </c>
      <c r="BR42" t="s">
        <v>74</v>
      </c>
      <c r="BS42" t="s">
        <v>7936</v>
      </c>
      <c r="BT42" t="str">
        <f>HYPERLINK("https%3A%2F%2Fwww.webofscience.com%2Fwos%2Fwoscc%2Ffull-record%2FWOS:000408179000015","View Full Record in Web of Science")</f>
        <v>View Full Record in Web of Science</v>
      </c>
    </row>
    <row r="43" spans="1:72" x14ac:dyDescent="0.4">
      <c r="A43" t="s">
        <v>72</v>
      </c>
      <c r="B43" t="s">
        <v>8614</v>
      </c>
      <c r="C43" t="s">
        <v>74</v>
      </c>
      <c r="D43" t="s">
        <v>74</v>
      </c>
      <c r="E43" t="s">
        <v>74</v>
      </c>
      <c r="F43" t="s">
        <v>8614</v>
      </c>
      <c r="G43" t="s">
        <v>74</v>
      </c>
      <c r="H43" t="s">
        <v>74</v>
      </c>
      <c r="I43" t="s">
        <v>8615</v>
      </c>
      <c r="J43" t="s">
        <v>140</v>
      </c>
      <c r="K43" t="s">
        <v>74</v>
      </c>
      <c r="L43" t="s">
        <v>74</v>
      </c>
      <c r="M43" t="s">
        <v>74</v>
      </c>
      <c r="N43" t="s">
        <v>74</v>
      </c>
      <c r="O43" t="s">
        <v>74</v>
      </c>
      <c r="P43" t="s">
        <v>74</v>
      </c>
      <c r="Q43" t="s">
        <v>74</v>
      </c>
      <c r="R43" t="s">
        <v>74</v>
      </c>
      <c r="S43" t="s">
        <v>74</v>
      </c>
      <c r="T43" t="s">
        <v>74</v>
      </c>
      <c r="U43" t="s">
        <v>74</v>
      </c>
      <c r="V43" s="3" t="s">
        <v>8616</v>
      </c>
      <c r="W43" t="s">
        <v>74</v>
      </c>
      <c r="X43" t="s">
        <v>74</v>
      </c>
      <c r="Y43" t="s">
        <v>74</v>
      </c>
      <c r="Z43" t="s">
        <v>74</v>
      </c>
      <c r="AA43" t="s">
        <v>8617</v>
      </c>
      <c r="AB43" t="s">
        <v>74</v>
      </c>
      <c r="AC43" t="s">
        <v>74</v>
      </c>
      <c r="AD43" t="s">
        <v>74</v>
      </c>
      <c r="AE43" t="s">
        <v>74</v>
      </c>
      <c r="AF43" t="s">
        <v>74</v>
      </c>
      <c r="AG43" t="s">
        <v>74</v>
      </c>
      <c r="AH43" t="s">
        <v>74</v>
      </c>
      <c r="AI43" t="s">
        <v>74</v>
      </c>
      <c r="AJ43" t="s">
        <v>74</v>
      </c>
      <c r="AK43" t="s">
        <v>74</v>
      </c>
      <c r="AL43" t="s">
        <v>74</v>
      </c>
      <c r="AM43" t="s">
        <v>74</v>
      </c>
      <c r="AN43" t="s">
        <v>74</v>
      </c>
      <c r="AO43" t="s">
        <v>143</v>
      </c>
      <c r="AP43" t="s">
        <v>144</v>
      </c>
      <c r="AQ43" t="s">
        <v>74</v>
      </c>
      <c r="AR43" t="s">
        <v>74</v>
      </c>
      <c r="AS43" t="s">
        <v>74</v>
      </c>
      <c r="AT43" t="s">
        <v>102</v>
      </c>
      <c r="AU43">
        <v>1996</v>
      </c>
      <c r="AV43">
        <v>51</v>
      </c>
      <c r="AW43" t="s">
        <v>74</v>
      </c>
      <c r="AX43">
        <v>6</v>
      </c>
      <c r="AY43" t="s">
        <v>74</v>
      </c>
      <c r="AZ43" t="s">
        <v>74</v>
      </c>
      <c r="BA43" t="s">
        <v>74</v>
      </c>
      <c r="BB43">
        <v>1233</v>
      </c>
      <c r="BC43">
        <v>1245</v>
      </c>
      <c r="BD43" t="s">
        <v>74</v>
      </c>
      <c r="BE43" t="s">
        <v>8618</v>
      </c>
      <c r="BF43" t="str">
        <f>HYPERLINK("http://dx.doi.org/10.1006/anbe.1996.0128","http://dx.doi.org/10.1006/anbe.1996.0128")</f>
        <v>http://dx.doi.org/10.1006/anbe.1996.0128</v>
      </c>
      <c r="BG43" t="s">
        <v>74</v>
      </c>
      <c r="BH43" t="s">
        <v>74</v>
      </c>
      <c r="BI43" t="s">
        <v>74</v>
      </c>
      <c r="BJ43" t="s">
        <v>74</v>
      </c>
      <c r="BK43" t="s">
        <v>74</v>
      </c>
      <c r="BL43" t="s">
        <v>74</v>
      </c>
      <c r="BM43" t="s">
        <v>74</v>
      </c>
      <c r="BN43" t="s">
        <v>74</v>
      </c>
      <c r="BO43" t="s">
        <v>74</v>
      </c>
      <c r="BP43" t="s">
        <v>74</v>
      </c>
      <c r="BQ43" t="s">
        <v>74</v>
      </c>
      <c r="BR43" t="s">
        <v>74</v>
      </c>
      <c r="BS43" t="s">
        <v>8619</v>
      </c>
      <c r="BT43" t="str">
        <f>HYPERLINK("https%3A%2F%2Fwww.webofscience.com%2Fwos%2Fwoscc%2Ffull-record%2FWOS:A1996UX10100004","View Full Record in Web of Science")</f>
        <v>View Full Record in Web of Science</v>
      </c>
    </row>
    <row r="44" spans="1:72" x14ac:dyDescent="0.4">
      <c r="A44" t="s">
        <v>72</v>
      </c>
      <c r="B44" t="s">
        <v>2076</v>
      </c>
      <c r="C44" t="s">
        <v>74</v>
      </c>
      <c r="D44" t="s">
        <v>74</v>
      </c>
      <c r="E44" t="s">
        <v>74</v>
      </c>
      <c r="F44" t="s">
        <v>2077</v>
      </c>
      <c r="G44" t="s">
        <v>74</v>
      </c>
      <c r="H44" t="s">
        <v>74</v>
      </c>
      <c r="I44" t="s">
        <v>2078</v>
      </c>
      <c r="J44" t="s">
        <v>140</v>
      </c>
      <c r="K44" t="s">
        <v>74</v>
      </c>
      <c r="L44" t="s">
        <v>74</v>
      </c>
      <c r="M44" t="s">
        <v>74</v>
      </c>
      <c r="N44" t="s">
        <v>74</v>
      </c>
      <c r="O44" t="s">
        <v>74</v>
      </c>
      <c r="P44" t="s">
        <v>74</v>
      </c>
      <c r="Q44" t="s">
        <v>74</v>
      </c>
      <c r="R44" t="s">
        <v>74</v>
      </c>
      <c r="S44" t="s">
        <v>74</v>
      </c>
      <c r="T44" t="s">
        <v>74</v>
      </c>
      <c r="U44" t="s">
        <v>74</v>
      </c>
      <c r="V44" s="3" t="s">
        <v>2079</v>
      </c>
      <c r="W44" t="s">
        <v>74</v>
      </c>
      <c r="X44" t="s">
        <v>74</v>
      </c>
      <c r="Y44" t="s">
        <v>74</v>
      </c>
      <c r="Z44" t="s">
        <v>74</v>
      </c>
      <c r="AA44" t="s">
        <v>2080</v>
      </c>
      <c r="AB44" t="s">
        <v>2081</v>
      </c>
      <c r="AC44" t="s">
        <v>74</v>
      </c>
      <c r="AD44" t="s">
        <v>74</v>
      </c>
      <c r="AE44" t="s">
        <v>74</v>
      </c>
      <c r="AF44" t="s">
        <v>74</v>
      </c>
      <c r="AG44" t="s">
        <v>74</v>
      </c>
      <c r="AH44" t="s">
        <v>74</v>
      </c>
      <c r="AI44" t="s">
        <v>74</v>
      </c>
      <c r="AJ44" t="s">
        <v>74</v>
      </c>
      <c r="AK44" t="s">
        <v>74</v>
      </c>
      <c r="AL44" t="s">
        <v>74</v>
      </c>
      <c r="AM44" t="s">
        <v>74</v>
      </c>
      <c r="AN44" t="s">
        <v>74</v>
      </c>
      <c r="AO44" t="s">
        <v>143</v>
      </c>
      <c r="AP44" t="s">
        <v>144</v>
      </c>
      <c r="AQ44" t="s">
        <v>74</v>
      </c>
      <c r="AR44" t="s">
        <v>74</v>
      </c>
      <c r="AS44" t="s">
        <v>74</v>
      </c>
      <c r="AT44" t="s">
        <v>145</v>
      </c>
      <c r="AU44">
        <v>2020</v>
      </c>
      <c r="AV44">
        <v>166</v>
      </c>
      <c r="AW44" t="s">
        <v>74</v>
      </c>
      <c r="AX44" t="s">
        <v>74</v>
      </c>
      <c r="AY44" t="s">
        <v>74</v>
      </c>
      <c r="AZ44" t="s">
        <v>74</v>
      </c>
      <c r="BA44" t="s">
        <v>74</v>
      </c>
      <c r="BB44">
        <v>33</v>
      </c>
      <c r="BC44">
        <v>39</v>
      </c>
      <c r="BD44" t="s">
        <v>74</v>
      </c>
      <c r="BE44" t="s">
        <v>2082</v>
      </c>
      <c r="BF44" t="str">
        <f>HYPERLINK("http://dx.doi.org/10.1016/j.anbehav.2020.05.017","http://dx.doi.org/10.1016/j.anbehav.2020.05.017")</f>
        <v>http://dx.doi.org/10.1016/j.anbehav.2020.05.017</v>
      </c>
      <c r="BG44" t="s">
        <v>74</v>
      </c>
      <c r="BH44" t="s">
        <v>74</v>
      </c>
      <c r="BI44" t="s">
        <v>74</v>
      </c>
      <c r="BJ44" t="s">
        <v>74</v>
      </c>
      <c r="BK44" t="s">
        <v>74</v>
      </c>
      <c r="BL44" t="s">
        <v>74</v>
      </c>
      <c r="BM44" t="s">
        <v>74</v>
      </c>
      <c r="BN44" t="s">
        <v>74</v>
      </c>
      <c r="BO44" t="s">
        <v>74</v>
      </c>
      <c r="BP44" t="s">
        <v>74</v>
      </c>
      <c r="BQ44" t="s">
        <v>74</v>
      </c>
      <c r="BR44" t="s">
        <v>74</v>
      </c>
      <c r="BS44" t="s">
        <v>2083</v>
      </c>
      <c r="BT44" t="str">
        <f>HYPERLINK("https%3A%2F%2Fwww.webofscience.com%2Fwos%2Fwoscc%2Ffull-record%2FWOS:000555887500004","View Full Record in Web of Science")</f>
        <v>View Full Record in Web of Science</v>
      </c>
    </row>
    <row r="45" spans="1:72" x14ac:dyDescent="0.4">
      <c r="A45" t="s">
        <v>72</v>
      </c>
      <c r="B45" t="s">
        <v>2263</v>
      </c>
      <c r="C45" t="s">
        <v>74</v>
      </c>
      <c r="D45" t="s">
        <v>74</v>
      </c>
      <c r="E45" t="s">
        <v>74</v>
      </c>
      <c r="F45" t="s">
        <v>2263</v>
      </c>
      <c r="G45" t="s">
        <v>74</v>
      </c>
      <c r="H45" t="s">
        <v>74</v>
      </c>
      <c r="I45" t="s">
        <v>2264</v>
      </c>
      <c r="J45" t="s">
        <v>2265</v>
      </c>
      <c r="K45" t="s">
        <v>74</v>
      </c>
      <c r="L45" t="s">
        <v>74</v>
      </c>
      <c r="M45" t="s">
        <v>74</v>
      </c>
      <c r="N45" t="s">
        <v>74</v>
      </c>
      <c r="O45" t="s">
        <v>74</v>
      </c>
      <c r="P45" t="s">
        <v>74</v>
      </c>
      <c r="Q45" t="s">
        <v>74</v>
      </c>
      <c r="R45" t="s">
        <v>74</v>
      </c>
      <c r="S45" t="s">
        <v>74</v>
      </c>
      <c r="T45" t="s">
        <v>74</v>
      </c>
      <c r="U45" t="s">
        <v>74</v>
      </c>
      <c r="V45" s="3" t="s">
        <v>2266</v>
      </c>
      <c r="W45" t="s">
        <v>74</v>
      </c>
      <c r="X45" t="s">
        <v>74</v>
      </c>
      <c r="Y45" t="s">
        <v>74</v>
      </c>
      <c r="Z45" t="s">
        <v>74</v>
      </c>
      <c r="AA45" t="s">
        <v>2267</v>
      </c>
      <c r="AB45" t="s">
        <v>2268</v>
      </c>
      <c r="AC45" t="s">
        <v>74</v>
      </c>
      <c r="AD45" t="s">
        <v>74</v>
      </c>
      <c r="AE45" t="s">
        <v>74</v>
      </c>
      <c r="AF45" t="s">
        <v>74</v>
      </c>
      <c r="AG45" t="s">
        <v>74</v>
      </c>
      <c r="AH45" t="s">
        <v>74</v>
      </c>
      <c r="AI45" t="s">
        <v>74</v>
      </c>
      <c r="AJ45" t="s">
        <v>74</v>
      </c>
      <c r="AK45" t="s">
        <v>74</v>
      </c>
      <c r="AL45" t="s">
        <v>74</v>
      </c>
      <c r="AM45" t="s">
        <v>74</v>
      </c>
      <c r="AN45" t="s">
        <v>74</v>
      </c>
      <c r="AO45" t="s">
        <v>2269</v>
      </c>
      <c r="AP45" t="s">
        <v>2270</v>
      </c>
      <c r="AQ45" t="s">
        <v>74</v>
      </c>
      <c r="AR45" t="s">
        <v>74</v>
      </c>
      <c r="AS45" t="s">
        <v>74</v>
      </c>
      <c r="AT45" t="s">
        <v>74</v>
      </c>
      <c r="AU45">
        <v>2004</v>
      </c>
      <c r="AV45">
        <v>28</v>
      </c>
      <c r="AW45">
        <v>1</v>
      </c>
      <c r="AX45" t="s">
        <v>74</v>
      </c>
      <c r="AY45" t="s">
        <v>74</v>
      </c>
      <c r="AZ45" t="s">
        <v>74</v>
      </c>
      <c r="BA45" t="s">
        <v>74</v>
      </c>
      <c r="BB45">
        <v>93</v>
      </c>
      <c r="BC45">
        <v>103</v>
      </c>
      <c r="BD45" t="s">
        <v>74</v>
      </c>
      <c r="BE45" t="s">
        <v>74</v>
      </c>
      <c r="BF45" t="s">
        <v>74</v>
      </c>
      <c r="BG45" t="s">
        <v>74</v>
      </c>
      <c r="BH45" t="s">
        <v>74</v>
      </c>
      <c r="BI45" t="s">
        <v>74</v>
      </c>
      <c r="BJ45" t="s">
        <v>74</v>
      </c>
      <c r="BK45" t="s">
        <v>74</v>
      </c>
      <c r="BL45" t="s">
        <v>74</v>
      </c>
      <c r="BM45" t="s">
        <v>74</v>
      </c>
      <c r="BN45" t="s">
        <v>74</v>
      </c>
      <c r="BO45" t="s">
        <v>74</v>
      </c>
      <c r="BP45" t="s">
        <v>74</v>
      </c>
      <c r="BQ45" t="s">
        <v>74</v>
      </c>
      <c r="BR45" t="s">
        <v>74</v>
      </c>
      <c r="BS45" t="s">
        <v>2271</v>
      </c>
      <c r="BT45" t="str">
        <f>HYPERLINK("https%3A%2F%2Fwww.webofscience.com%2Fwos%2Fwoscc%2Ffull-record%2FWOS:000223581700009","View Full Record in Web of Science")</f>
        <v>View Full Record in Web of Science</v>
      </c>
    </row>
    <row r="46" spans="1:72" x14ac:dyDescent="0.4">
      <c r="A46" t="s">
        <v>72</v>
      </c>
      <c r="B46" t="s">
        <v>3775</v>
      </c>
      <c r="C46" t="s">
        <v>74</v>
      </c>
      <c r="D46" t="s">
        <v>74</v>
      </c>
      <c r="E46" t="s">
        <v>74</v>
      </c>
      <c r="F46" t="s">
        <v>3776</v>
      </c>
      <c r="G46" t="s">
        <v>74</v>
      </c>
      <c r="H46" t="s">
        <v>74</v>
      </c>
      <c r="I46" t="s">
        <v>3777</v>
      </c>
      <c r="J46" t="s">
        <v>691</v>
      </c>
      <c r="K46" t="s">
        <v>74</v>
      </c>
      <c r="L46" t="s">
        <v>74</v>
      </c>
      <c r="M46" t="s">
        <v>74</v>
      </c>
      <c r="N46" t="s">
        <v>74</v>
      </c>
      <c r="O46" t="s">
        <v>74</v>
      </c>
      <c r="P46" t="s">
        <v>74</v>
      </c>
      <c r="Q46" t="s">
        <v>74</v>
      </c>
      <c r="R46" t="s">
        <v>74</v>
      </c>
      <c r="S46" t="s">
        <v>74</v>
      </c>
      <c r="T46" t="s">
        <v>74</v>
      </c>
      <c r="U46" t="s">
        <v>74</v>
      </c>
      <c r="V46" s="3" t="s">
        <v>3778</v>
      </c>
      <c r="W46" t="s">
        <v>74</v>
      </c>
      <c r="X46" t="s">
        <v>74</v>
      </c>
      <c r="Y46" t="s">
        <v>74</v>
      </c>
      <c r="Z46" t="s">
        <v>74</v>
      </c>
      <c r="AA46" t="s">
        <v>3779</v>
      </c>
      <c r="AB46" t="s">
        <v>3780</v>
      </c>
      <c r="AC46" t="s">
        <v>74</v>
      </c>
      <c r="AD46" t="s">
        <v>74</v>
      </c>
      <c r="AE46" t="s">
        <v>74</v>
      </c>
      <c r="AF46" t="s">
        <v>74</v>
      </c>
      <c r="AG46" t="s">
        <v>74</v>
      </c>
      <c r="AH46" t="s">
        <v>74</v>
      </c>
      <c r="AI46" t="s">
        <v>74</v>
      </c>
      <c r="AJ46" t="s">
        <v>74</v>
      </c>
      <c r="AK46" t="s">
        <v>74</v>
      </c>
      <c r="AL46" t="s">
        <v>74</v>
      </c>
      <c r="AM46" t="s">
        <v>74</v>
      </c>
      <c r="AN46" t="s">
        <v>74</v>
      </c>
      <c r="AO46" t="s">
        <v>695</v>
      </c>
      <c r="AP46" t="s">
        <v>74</v>
      </c>
      <c r="AQ46" t="s">
        <v>74</v>
      </c>
      <c r="AR46" t="s">
        <v>74</v>
      </c>
      <c r="AS46" t="s">
        <v>74</v>
      </c>
      <c r="AT46" t="s">
        <v>255</v>
      </c>
      <c r="AU46">
        <v>2015</v>
      </c>
      <c r="AV46">
        <v>138</v>
      </c>
      <c r="AW46" t="s">
        <v>74</v>
      </c>
      <c r="AX46" t="s">
        <v>74</v>
      </c>
      <c r="AY46" t="s">
        <v>74</v>
      </c>
      <c r="AZ46" t="s">
        <v>74</v>
      </c>
      <c r="BA46" t="s">
        <v>74</v>
      </c>
      <c r="BB46">
        <v>52</v>
      </c>
      <c r="BC46">
        <v>57</v>
      </c>
      <c r="BD46" t="s">
        <v>74</v>
      </c>
      <c r="BE46" t="s">
        <v>3781</v>
      </c>
      <c r="BF46" t="str">
        <f>HYPERLINK("http://dx.doi.org/10.1016/j.physbeh.2014.10.003","http://dx.doi.org/10.1016/j.physbeh.2014.10.003")</f>
        <v>http://dx.doi.org/10.1016/j.physbeh.2014.10.003</v>
      </c>
      <c r="BG46" t="s">
        <v>74</v>
      </c>
      <c r="BH46" t="s">
        <v>74</v>
      </c>
      <c r="BI46" t="s">
        <v>74</v>
      </c>
      <c r="BJ46" t="s">
        <v>74</v>
      </c>
      <c r="BK46" t="s">
        <v>74</v>
      </c>
      <c r="BL46" t="s">
        <v>74</v>
      </c>
      <c r="BM46" t="s">
        <v>74</v>
      </c>
      <c r="BN46">
        <v>25447479</v>
      </c>
      <c r="BO46" t="s">
        <v>74</v>
      </c>
      <c r="BP46" t="s">
        <v>74</v>
      </c>
      <c r="BQ46" t="s">
        <v>74</v>
      </c>
      <c r="BR46" t="s">
        <v>74</v>
      </c>
      <c r="BS46" t="s">
        <v>3782</v>
      </c>
      <c r="BT46" t="str">
        <f>HYPERLINK("https%3A%2F%2Fwww.webofscience.com%2Fwos%2Fwoscc%2Ffull-record%2FWOS:000348882900007","View Full Record in Web of Science")</f>
        <v>View Full Record in Web of Science</v>
      </c>
    </row>
    <row r="47" spans="1:72" x14ac:dyDescent="0.4">
      <c r="A47" t="s">
        <v>72</v>
      </c>
      <c r="B47" t="s">
        <v>3544</v>
      </c>
      <c r="C47" t="s">
        <v>74</v>
      </c>
      <c r="D47" t="s">
        <v>74</v>
      </c>
      <c r="E47" t="s">
        <v>74</v>
      </c>
      <c r="F47" t="s">
        <v>3545</v>
      </c>
      <c r="G47" t="s">
        <v>74</v>
      </c>
      <c r="H47" t="s">
        <v>74</v>
      </c>
      <c r="I47" t="s">
        <v>3546</v>
      </c>
      <c r="J47" t="s">
        <v>731</v>
      </c>
      <c r="K47" t="s">
        <v>74</v>
      </c>
      <c r="L47" t="s">
        <v>74</v>
      </c>
      <c r="M47" t="s">
        <v>74</v>
      </c>
      <c r="N47" t="s">
        <v>74</v>
      </c>
      <c r="O47" t="s">
        <v>74</v>
      </c>
      <c r="P47" t="s">
        <v>74</v>
      </c>
      <c r="Q47" t="s">
        <v>74</v>
      </c>
      <c r="R47" t="s">
        <v>74</v>
      </c>
      <c r="S47" t="s">
        <v>74</v>
      </c>
      <c r="T47" t="s">
        <v>74</v>
      </c>
      <c r="U47" t="s">
        <v>74</v>
      </c>
      <c r="V47" s="3" t="s">
        <v>3547</v>
      </c>
      <c r="W47" t="s">
        <v>74</v>
      </c>
      <c r="X47" t="s">
        <v>74</v>
      </c>
      <c r="Y47" t="s">
        <v>74</v>
      </c>
      <c r="Z47" t="s">
        <v>74</v>
      </c>
      <c r="AA47" t="s">
        <v>3548</v>
      </c>
      <c r="AB47" t="s">
        <v>3549</v>
      </c>
      <c r="AC47" t="s">
        <v>74</v>
      </c>
      <c r="AD47" t="s">
        <v>74</v>
      </c>
      <c r="AE47" t="s">
        <v>74</v>
      </c>
      <c r="AF47" t="s">
        <v>74</v>
      </c>
      <c r="AG47" t="s">
        <v>74</v>
      </c>
      <c r="AH47" t="s">
        <v>74</v>
      </c>
      <c r="AI47" t="s">
        <v>74</v>
      </c>
      <c r="AJ47" t="s">
        <v>74</v>
      </c>
      <c r="AK47" t="s">
        <v>74</v>
      </c>
      <c r="AL47" t="s">
        <v>74</v>
      </c>
      <c r="AM47" t="s">
        <v>74</v>
      </c>
      <c r="AN47" t="s">
        <v>74</v>
      </c>
      <c r="AO47" t="s">
        <v>733</v>
      </c>
      <c r="AP47" t="s">
        <v>734</v>
      </c>
      <c r="AQ47" t="s">
        <v>74</v>
      </c>
      <c r="AR47" t="s">
        <v>74</v>
      </c>
      <c r="AS47" t="s">
        <v>74</v>
      </c>
      <c r="AT47" t="s">
        <v>3445</v>
      </c>
      <c r="AU47">
        <v>2015</v>
      </c>
      <c r="AV47">
        <v>291</v>
      </c>
      <c r="AW47" t="s">
        <v>74</v>
      </c>
      <c r="AX47" t="s">
        <v>74</v>
      </c>
      <c r="AY47" t="s">
        <v>74</v>
      </c>
      <c r="AZ47" t="s">
        <v>74</v>
      </c>
      <c r="BA47" t="s">
        <v>74</v>
      </c>
      <c r="BB47">
        <v>103</v>
      </c>
      <c r="BC47">
        <v>107</v>
      </c>
      <c r="BD47" t="s">
        <v>74</v>
      </c>
      <c r="BE47" t="s">
        <v>3550</v>
      </c>
      <c r="BF47" t="str">
        <f>HYPERLINK("http://dx.doi.org/10.1016/j.bbr.2015.05.011","http://dx.doi.org/10.1016/j.bbr.2015.05.011")</f>
        <v>http://dx.doi.org/10.1016/j.bbr.2015.05.011</v>
      </c>
      <c r="BG47" t="s">
        <v>74</v>
      </c>
      <c r="BH47" t="s">
        <v>74</v>
      </c>
      <c r="BI47" t="s">
        <v>74</v>
      </c>
      <c r="BJ47" t="s">
        <v>74</v>
      </c>
      <c r="BK47" t="s">
        <v>74</v>
      </c>
      <c r="BL47" t="s">
        <v>74</v>
      </c>
      <c r="BM47" t="s">
        <v>74</v>
      </c>
      <c r="BN47">
        <v>25997582</v>
      </c>
      <c r="BO47" t="s">
        <v>74</v>
      </c>
      <c r="BP47" t="s">
        <v>74</v>
      </c>
      <c r="BQ47" t="s">
        <v>74</v>
      </c>
      <c r="BR47" t="s">
        <v>74</v>
      </c>
      <c r="BS47" t="s">
        <v>3551</v>
      </c>
      <c r="BT47" t="str">
        <f>HYPERLINK("https%3A%2F%2Fwww.webofscience.com%2Fwos%2Fwoscc%2Ffull-record%2FWOS:000358454800012","View Full Record in Web of Science")</f>
        <v>View Full Record in Web of Science</v>
      </c>
    </row>
    <row r="48" spans="1:72" x14ac:dyDescent="0.4">
      <c r="A48" t="s">
        <v>72</v>
      </c>
      <c r="B48" t="s">
        <v>6961</v>
      </c>
      <c r="C48" t="s">
        <v>74</v>
      </c>
      <c r="D48" t="s">
        <v>74</v>
      </c>
      <c r="E48" t="s">
        <v>74</v>
      </c>
      <c r="F48" t="s">
        <v>6961</v>
      </c>
      <c r="G48" t="s">
        <v>74</v>
      </c>
      <c r="H48" t="s">
        <v>74</v>
      </c>
      <c r="I48" t="s">
        <v>6962</v>
      </c>
      <c r="J48" t="s">
        <v>5129</v>
      </c>
      <c r="K48" t="s">
        <v>74</v>
      </c>
      <c r="L48" t="s">
        <v>74</v>
      </c>
      <c r="M48" t="s">
        <v>74</v>
      </c>
      <c r="N48" t="s">
        <v>74</v>
      </c>
      <c r="O48" t="s">
        <v>74</v>
      </c>
      <c r="P48" t="s">
        <v>74</v>
      </c>
      <c r="Q48" t="s">
        <v>74</v>
      </c>
      <c r="R48" t="s">
        <v>74</v>
      </c>
      <c r="S48" t="s">
        <v>74</v>
      </c>
      <c r="T48" t="s">
        <v>74</v>
      </c>
      <c r="U48" t="s">
        <v>74</v>
      </c>
      <c r="V48" s="3" t="s">
        <v>6963</v>
      </c>
      <c r="W48" t="s">
        <v>74</v>
      </c>
      <c r="X48" t="s">
        <v>74</v>
      </c>
      <c r="Y48" t="s">
        <v>74</v>
      </c>
      <c r="Z48" t="s">
        <v>74</v>
      </c>
      <c r="AA48" t="s">
        <v>74</v>
      </c>
      <c r="AB48" t="s">
        <v>74</v>
      </c>
      <c r="AC48" t="s">
        <v>74</v>
      </c>
      <c r="AD48" t="s">
        <v>74</v>
      </c>
      <c r="AE48" t="s">
        <v>74</v>
      </c>
      <c r="AF48" t="s">
        <v>74</v>
      </c>
      <c r="AG48" t="s">
        <v>74</v>
      </c>
      <c r="AH48" t="s">
        <v>74</v>
      </c>
      <c r="AI48" t="s">
        <v>74</v>
      </c>
      <c r="AJ48" t="s">
        <v>74</v>
      </c>
      <c r="AK48" t="s">
        <v>74</v>
      </c>
      <c r="AL48" t="s">
        <v>74</v>
      </c>
      <c r="AM48" t="s">
        <v>74</v>
      </c>
      <c r="AN48" t="s">
        <v>74</v>
      </c>
      <c r="AO48" t="s">
        <v>5131</v>
      </c>
      <c r="AP48" t="s">
        <v>5132</v>
      </c>
      <c r="AQ48" t="s">
        <v>74</v>
      </c>
      <c r="AR48" t="s">
        <v>74</v>
      </c>
      <c r="AS48" t="s">
        <v>74</v>
      </c>
      <c r="AT48" t="s">
        <v>74</v>
      </c>
      <c r="AU48">
        <v>1979</v>
      </c>
      <c r="AV48">
        <v>67</v>
      </c>
      <c r="AW48" t="s">
        <v>548</v>
      </c>
      <c r="AX48" t="s">
        <v>74</v>
      </c>
      <c r="AY48" t="s">
        <v>74</v>
      </c>
      <c r="AZ48" t="s">
        <v>74</v>
      </c>
      <c r="BA48" t="s">
        <v>74</v>
      </c>
      <c r="BB48">
        <v>28</v>
      </c>
      <c r="BC48">
        <v>41</v>
      </c>
      <c r="BD48" t="s">
        <v>74</v>
      </c>
      <c r="BE48" t="s">
        <v>74</v>
      </c>
      <c r="BF48" t="s">
        <v>74</v>
      </c>
      <c r="BG48" t="s">
        <v>74</v>
      </c>
      <c r="BH48" t="s">
        <v>74</v>
      </c>
      <c r="BI48" t="s">
        <v>74</v>
      </c>
      <c r="BJ48" t="s">
        <v>74</v>
      </c>
      <c r="BK48" t="s">
        <v>74</v>
      </c>
      <c r="BL48" t="s">
        <v>74</v>
      </c>
      <c r="BM48" t="s">
        <v>74</v>
      </c>
      <c r="BN48" t="s">
        <v>74</v>
      </c>
      <c r="BO48" t="s">
        <v>74</v>
      </c>
      <c r="BP48" t="s">
        <v>74</v>
      </c>
      <c r="BQ48" t="s">
        <v>74</v>
      </c>
      <c r="BR48" t="s">
        <v>74</v>
      </c>
      <c r="BS48" t="s">
        <v>6964</v>
      </c>
      <c r="BT48" t="str">
        <f>HYPERLINK("https%3A%2F%2Fwww.webofscience.com%2Fwos%2Fwoscc%2Ffull-record%2FWOS:A1979JH79300004","View Full Record in Web of Science")</f>
        <v>View Full Record in Web of Science</v>
      </c>
    </row>
    <row r="49" spans="1:72" x14ac:dyDescent="0.4">
      <c r="A49" t="s">
        <v>72</v>
      </c>
      <c r="B49" t="s">
        <v>289</v>
      </c>
      <c r="C49" t="s">
        <v>74</v>
      </c>
      <c r="D49" t="s">
        <v>74</v>
      </c>
      <c r="E49" t="s">
        <v>74</v>
      </c>
      <c r="F49" t="s">
        <v>290</v>
      </c>
      <c r="G49" t="s">
        <v>74</v>
      </c>
      <c r="H49" t="s">
        <v>74</v>
      </c>
      <c r="I49" t="s">
        <v>291</v>
      </c>
      <c r="J49" t="s">
        <v>140</v>
      </c>
      <c r="K49" t="s">
        <v>74</v>
      </c>
      <c r="L49" t="s">
        <v>74</v>
      </c>
      <c r="M49" t="s">
        <v>74</v>
      </c>
      <c r="N49" t="s">
        <v>74</v>
      </c>
      <c r="O49" t="s">
        <v>74</v>
      </c>
      <c r="P49" t="s">
        <v>74</v>
      </c>
      <c r="Q49" t="s">
        <v>74</v>
      </c>
      <c r="R49" t="s">
        <v>74</v>
      </c>
      <c r="S49" t="s">
        <v>74</v>
      </c>
      <c r="T49" t="s">
        <v>74</v>
      </c>
      <c r="U49" t="s">
        <v>74</v>
      </c>
      <c r="V49" s="3" t="s">
        <v>292</v>
      </c>
      <c r="W49" t="s">
        <v>74</v>
      </c>
      <c r="X49" t="s">
        <v>74</v>
      </c>
      <c r="Y49" t="s">
        <v>74</v>
      </c>
      <c r="Z49" t="s">
        <v>74</v>
      </c>
      <c r="AA49" t="s">
        <v>74</v>
      </c>
      <c r="AB49" t="s">
        <v>293</v>
      </c>
      <c r="AC49" t="s">
        <v>74</v>
      </c>
      <c r="AD49" t="s">
        <v>74</v>
      </c>
      <c r="AE49" t="s">
        <v>74</v>
      </c>
      <c r="AF49" t="s">
        <v>74</v>
      </c>
      <c r="AG49" t="s">
        <v>74</v>
      </c>
      <c r="AH49" t="s">
        <v>74</v>
      </c>
      <c r="AI49" t="s">
        <v>74</v>
      </c>
      <c r="AJ49" t="s">
        <v>74</v>
      </c>
      <c r="AK49" t="s">
        <v>74</v>
      </c>
      <c r="AL49" t="s">
        <v>74</v>
      </c>
      <c r="AM49" t="s">
        <v>74</v>
      </c>
      <c r="AN49" t="s">
        <v>74</v>
      </c>
      <c r="AO49" t="s">
        <v>143</v>
      </c>
      <c r="AP49" t="s">
        <v>144</v>
      </c>
      <c r="AQ49" t="s">
        <v>74</v>
      </c>
      <c r="AR49" t="s">
        <v>74</v>
      </c>
      <c r="AS49" t="s">
        <v>74</v>
      </c>
      <c r="AT49" t="s">
        <v>175</v>
      </c>
      <c r="AU49">
        <v>2015</v>
      </c>
      <c r="AV49">
        <v>108</v>
      </c>
      <c r="AW49" t="s">
        <v>74</v>
      </c>
      <c r="AX49" t="s">
        <v>74</v>
      </c>
      <c r="AY49" t="s">
        <v>74</v>
      </c>
      <c r="AZ49" t="s">
        <v>74</v>
      </c>
      <c r="BA49" t="s">
        <v>74</v>
      </c>
      <c r="BB49">
        <v>199</v>
      </c>
      <c r="BC49">
        <v>206</v>
      </c>
      <c r="BD49" t="s">
        <v>74</v>
      </c>
      <c r="BE49" t="s">
        <v>294</v>
      </c>
      <c r="BF49" t="str">
        <f>HYPERLINK("http://dx.doi.org/10.1016/j.anbehav.2015.07.026","http://dx.doi.org/10.1016/j.anbehav.2015.07.026")</f>
        <v>http://dx.doi.org/10.1016/j.anbehav.2015.07.026</v>
      </c>
      <c r="BG49" t="s">
        <v>74</v>
      </c>
      <c r="BH49" t="s">
        <v>74</v>
      </c>
      <c r="BI49" t="s">
        <v>74</v>
      </c>
      <c r="BJ49" t="s">
        <v>74</v>
      </c>
      <c r="BK49" t="s">
        <v>74</v>
      </c>
      <c r="BL49" t="s">
        <v>74</v>
      </c>
      <c r="BM49" t="s">
        <v>74</v>
      </c>
      <c r="BN49">
        <v>29657330</v>
      </c>
      <c r="BO49" t="s">
        <v>74</v>
      </c>
      <c r="BP49" t="s">
        <v>74</v>
      </c>
      <c r="BQ49" t="s">
        <v>74</v>
      </c>
      <c r="BR49" t="s">
        <v>74</v>
      </c>
      <c r="BS49" t="s">
        <v>295</v>
      </c>
      <c r="BT49" t="str">
        <f>HYPERLINK("https%3A%2F%2Fwww.webofscience.com%2Fwos%2Fwoscc%2Ffull-record%2FWOS:000361570000024","View Full Record in Web of Science")</f>
        <v>View Full Record in Web of Science</v>
      </c>
    </row>
    <row r="50" spans="1:72" x14ac:dyDescent="0.4">
      <c r="A50" t="s">
        <v>72</v>
      </c>
      <c r="B50" t="s">
        <v>5991</v>
      </c>
      <c r="C50" t="s">
        <v>74</v>
      </c>
      <c r="D50" t="s">
        <v>74</v>
      </c>
      <c r="E50" t="s">
        <v>74</v>
      </c>
      <c r="F50" t="s">
        <v>5992</v>
      </c>
      <c r="G50" t="s">
        <v>74</v>
      </c>
      <c r="H50" t="s">
        <v>74</v>
      </c>
      <c r="I50" t="s">
        <v>5993</v>
      </c>
      <c r="J50" t="s">
        <v>5994</v>
      </c>
      <c r="K50" t="s">
        <v>74</v>
      </c>
      <c r="L50" t="s">
        <v>74</v>
      </c>
      <c r="M50" t="s">
        <v>74</v>
      </c>
      <c r="N50" t="s">
        <v>74</v>
      </c>
      <c r="O50" t="s">
        <v>74</v>
      </c>
      <c r="P50" t="s">
        <v>74</v>
      </c>
      <c r="Q50" t="s">
        <v>74</v>
      </c>
      <c r="R50" t="s">
        <v>74</v>
      </c>
      <c r="S50" t="s">
        <v>74</v>
      </c>
      <c r="T50" t="s">
        <v>74</v>
      </c>
      <c r="U50" t="s">
        <v>74</v>
      </c>
      <c r="V50" s="3" t="s">
        <v>5995</v>
      </c>
      <c r="W50" t="s">
        <v>74</v>
      </c>
      <c r="X50" t="s">
        <v>74</v>
      </c>
      <c r="Y50" t="s">
        <v>74</v>
      </c>
      <c r="Z50" t="s">
        <v>74</v>
      </c>
      <c r="AA50" t="s">
        <v>74</v>
      </c>
      <c r="AB50" t="s">
        <v>74</v>
      </c>
      <c r="AC50" t="s">
        <v>74</v>
      </c>
      <c r="AD50" t="s">
        <v>74</v>
      </c>
      <c r="AE50" t="s">
        <v>74</v>
      </c>
      <c r="AF50" t="s">
        <v>74</v>
      </c>
      <c r="AG50" t="s">
        <v>74</v>
      </c>
      <c r="AH50" t="s">
        <v>74</v>
      </c>
      <c r="AI50" t="s">
        <v>74</v>
      </c>
      <c r="AJ50" t="s">
        <v>74</v>
      </c>
      <c r="AK50" t="s">
        <v>74</v>
      </c>
      <c r="AL50" t="s">
        <v>74</v>
      </c>
      <c r="AM50" t="s">
        <v>74</v>
      </c>
      <c r="AN50" t="s">
        <v>74</v>
      </c>
      <c r="AO50" t="s">
        <v>5996</v>
      </c>
      <c r="AP50" t="s">
        <v>5997</v>
      </c>
      <c r="AQ50" t="s">
        <v>74</v>
      </c>
      <c r="AR50" t="s">
        <v>74</v>
      </c>
      <c r="AS50" t="s">
        <v>74</v>
      </c>
      <c r="AT50" t="s">
        <v>305</v>
      </c>
      <c r="AU50">
        <v>2022</v>
      </c>
      <c r="AV50">
        <v>45</v>
      </c>
      <c r="AW50">
        <v>4</v>
      </c>
      <c r="AX50" t="s">
        <v>74</v>
      </c>
      <c r="AY50" t="s">
        <v>74</v>
      </c>
      <c r="AZ50" t="s">
        <v>74</v>
      </c>
      <c r="BA50" t="s">
        <v>74</v>
      </c>
      <c r="BB50">
        <v>461</v>
      </c>
      <c r="BC50">
        <v>466</v>
      </c>
      <c r="BD50" t="s">
        <v>74</v>
      </c>
      <c r="BE50" t="s">
        <v>5998</v>
      </c>
      <c r="BF50" t="str">
        <f>HYPERLINK("http://dx.doi.org/10.1675/063.045.0410","http://dx.doi.org/10.1675/063.045.0410")</f>
        <v>http://dx.doi.org/10.1675/063.045.0410</v>
      </c>
      <c r="BG50" t="s">
        <v>74</v>
      </c>
      <c r="BH50" t="s">
        <v>74</v>
      </c>
      <c r="BI50" t="s">
        <v>74</v>
      </c>
      <c r="BJ50" t="s">
        <v>74</v>
      </c>
      <c r="BK50" t="s">
        <v>74</v>
      </c>
      <c r="BL50" t="s">
        <v>74</v>
      </c>
      <c r="BM50" t="s">
        <v>74</v>
      </c>
      <c r="BN50" t="s">
        <v>74</v>
      </c>
      <c r="BO50" t="s">
        <v>74</v>
      </c>
      <c r="BP50" t="s">
        <v>74</v>
      </c>
      <c r="BQ50" t="s">
        <v>74</v>
      </c>
      <c r="BR50" t="s">
        <v>74</v>
      </c>
      <c r="BS50" t="s">
        <v>5999</v>
      </c>
      <c r="BT50" t="str">
        <f>HYPERLINK("https%3A%2F%2Fwww.webofscience.com%2Fwos%2Fwoscc%2Ffull-record%2FWOS:001075551200010","View Full Record in Web of Science")</f>
        <v>View Full Record in Web of Science</v>
      </c>
    </row>
    <row r="51" spans="1:72" x14ac:dyDescent="0.4">
      <c r="A51" t="s">
        <v>72</v>
      </c>
      <c r="B51" t="s">
        <v>4386</v>
      </c>
      <c r="C51" t="s">
        <v>74</v>
      </c>
      <c r="D51" t="s">
        <v>74</v>
      </c>
      <c r="E51" t="s">
        <v>74</v>
      </c>
      <c r="F51" t="s">
        <v>4386</v>
      </c>
      <c r="G51" t="s">
        <v>74</v>
      </c>
      <c r="H51" t="s">
        <v>74</v>
      </c>
      <c r="I51" t="s">
        <v>4387</v>
      </c>
      <c r="J51" t="s">
        <v>333</v>
      </c>
      <c r="K51" t="s">
        <v>74</v>
      </c>
      <c r="L51" t="s">
        <v>74</v>
      </c>
      <c r="M51" t="s">
        <v>74</v>
      </c>
      <c r="N51" t="s">
        <v>74</v>
      </c>
      <c r="O51" t="s">
        <v>74</v>
      </c>
      <c r="P51" t="s">
        <v>74</v>
      </c>
      <c r="Q51" t="s">
        <v>74</v>
      </c>
      <c r="R51" t="s">
        <v>74</v>
      </c>
      <c r="S51" t="s">
        <v>74</v>
      </c>
      <c r="T51" t="s">
        <v>74</v>
      </c>
      <c r="U51" t="s">
        <v>74</v>
      </c>
      <c r="V51" s="3" t="s">
        <v>4388</v>
      </c>
      <c r="W51" t="s">
        <v>74</v>
      </c>
      <c r="X51" t="s">
        <v>74</v>
      </c>
      <c r="Y51" t="s">
        <v>74</v>
      </c>
      <c r="Z51" t="s">
        <v>74</v>
      </c>
      <c r="AA51" t="s">
        <v>74</v>
      </c>
      <c r="AB51" t="s">
        <v>74</v>
      </c>
      <c r="AC51" t="s">
        <v>74</v>
      </c>
      <c r="AD51" t="s">
        <v>74</v>
      </c>
      <c r="AE51" t="s">
        <v>74</v>
      </c>
      <c r="AF51" t="s">
        <v>74</v>
      </c>
      <c r="AG51" t="s">
        <v>74</v>
      </c>
      <c r="AH51" t="s">
        <v>74</v>
      </c>
      <c r="AI51" t="s">
        <v>74</v>
      </c>
      <c r="AJ51" t="s">
        <v>74</v>
      </c>
      <c r="AK51" t="s">
        <v>74</v>
      </c>
      <c r="AL51" t="s">
        <v>74</v>
      </c>
      <c r="AM51" t="s">
        <v>74</v>
      </c>
      <c r="AN51" t="s">
        <v>74</v>
      </c>
      <c r="AO51" t="s">
        <v>337</v>
      </c>
      <c r="AP51" t="s">
        <v>338</v>
      </c>
      <c r="AQ51" t="s">
        <v>74</v>
      </c>
      <c r="AR51" t="s">
        <v>74</v>
      </c>
      <c r="AS51" t="s">
        <v>74</v>
      </c>
      <c r="AT51" t="s">
        <v>1013</v>
      </c>
      <c r="AU51">
        <v>1997</v>
      </c>
      <c r="AV51">
        <v>8</v>
      </c>
      <c r="AW51">
        <v>5</v>
      </c>
      <c r="AX51" t="s">
        <v>74</v>
      </c>
      <c r="AY51" t="s">
        <v>74</v>
      </c>
      <c r="AZ51" t="s">
        <v>74</v>
      </c>
      <c r="BA51" t="s">
        <v>74</v>
      </c>
      <c r="BB51">
        <v>506</v>
      </c>
      <c r="BC51">
        <v>517</v>
      </c>
      <c r="BD51" t="s">
        <v>74</v>
      </c>
      <c r="BE51" t="s">
        <v>4389</v>
      </c>
      <c r="BF51" t="str">
        <f>HYPERLINK("http://dx.doi.org/10.1093/beheco/8.5.506","http://dx.doi.org/10.1093/beheco/8.5.506")</f>
        <v>http://dx.doi.org/10.1093/beheco/8.5.506</v>
      </c>
      <c r="BG51" t="s">
        <v>74</v>
      </c>
      <c r="BH51" t="s">
        <v>74</v>
      </c>
      <c r="BI51" t="s">
        <v>74</v>
      </c>
      <c r="BJ51" t="s">
        <v>74</v>
      </c>
      <c r="BK51" t="s">
        <v>74</v>
      </c>
      <c r="BL51" t="s">
        <v>74</v>
      </c>
      <c r="BM51" t="s">
        <v>74</v>
      </c>
      <c r="BN51" t="s">
        <v>74</v>
      </c>
      <c r="BO51" t="s">
        <v>74</v>
      </c>
      <c r="BP51" t="s">
        <v>74</v>
      </c>
      <c r="BQ51" t="s">
        <v>74</v>
      </c>
      <c r="BR51" t="s">
        <v>74</v>
      </c>
      <c r="BS51" t="s">
        <v>4390</v>
      </c>
      <c r="BT51" t="str">
        <f>HYPERLINK("https%3A%2F%2Fwww.webofscience.com%2Fwos%2Fwoscc%2Ffull-record%2FWOS:A1997XX33800006","View Full Record in Web of Science")</f>
        <v>View Full Record in Web of Science</v>
      </c>
    </row>
    <row r="52" spans="1:72" x14ac:dyDescent="0.4">
      <c r="A52" t="s">
        <v>72</v>
      </c>
      <c r="B52" t="s">
        <v>5001</v>
      </c>
      <c r="C52" t="s">
        <v>74</v>
      </c>
      <c r="D52" t="s">
        <v>74</v>
      </c>
      <c r="E52" t="s">
        <v>74</v>
      </c>
      <c r="F52" t="s">
        <v>5001</v>
      </c>
      <c r="G52" t="s">
        <v>74</v>
      </c>
      <c r="H52" t="s">
        <v>74</v>
      </c>
      <c r="I52" t="s">
        <v>5002</v>
      </c>
      <c r="J52" t="s">
        <v>1673</v>
      </c>
      <c r="K52" t="s">
        <v>74</v>
      </c>
      <c r="L52" t="s">
        <v>74</v>
      </c>
      <c r="M52" t="s">
        <v>74</v>
      </c>
      <c r="N52" t="s">
        <v>74</v>
      </c>
      <c r="O52" t="s">
        <v>74</v>
      </c>
      <c r="P52" t="s">
        <v>74</v>
      </c>
      <c r="Q52" t="s">
        <v>74</v>
      </c>
      <c r="R52" t="s">
        <v>74</v>
      </c>
      <c r="S52" t="s">
        <v>74</v>
      </c>
      <c r="T52" t="s">
        <v>74</v>
      </c>
      <c r="U52" t="s">
        <v>74</v>
      </c>
      <c r="V52" s="3" t="s">
        <v>5003</v>
      </c>
      <c r="W52" t="s">
        <v>74</v>
      </c>
      <c r="X52" t="s">
        <v>74</v>
      </c>
      <c r="Y52" t="s">
        <v>74</v>
      </c>
      <c r="Z52" t="s">
        <v>74</v>
      </c>
      <c r="AA52" t="s">
        <v>5004</v>
      </c>
      <c r="AB52" t="s">
        <v>5005</v>
      </c>
      <c r="AC52" t="s">
        <v>74</v>
      </c>
      <c r="AD52" t="s">
        <v>74</v>
      </c>
      <c r="AE52" t="s">
        <v>74</v>
      </c>
      <c r="AF52" t="s">
        <v>74</v>
      </c>
      <c r="AG52" t="s">
        <v>74</v>
      </c>
      <c r="AH52" t="s">
        <v>74</v>
      </c>
      <c r="AI52" t="s">
        <v>74</v>
      </c>
      <c r="AJ52" t="s">
        <v>74</v>
      </c>
      <c r="AK52" t="s">
        <v>74</v>
      </c>
      <c r="AL52" t="s">
        <v>74</v>
      </c>
      <c r="AM52" t="s">
        <v>74</v>
      </c>
      <c r="AN52" t="s">
        <v>74</v>
      </c>
      <c r="AO52" t="s">
        <v>1239</v>
      </c>
      <c r="AP52" t="s">
        <v>1675</v>
      </c>
      <c r="AQ52" t="s">
        <v>74</v>
      </c>
      <c r="AR52" t="s">
        <v>74</v>
      </c>
      <c r="AS52" t="s">
        <v>74</v>
      </c>
      <c r="AT52" t="s">
        <v>213</v>
      </c>
      <c r="AU52">
        <v>2003</v>
      </c>
      <c r="AV52">
        <v>81</v>
      </c>
      <c r="AW52">
        <v>11</v>
      </c>
      <c r="AX52" t="s">
        <v>74</v>
      </c>
      <c r="AY52" t="s">
        <v>74</v>
      </c>
      <c r="AZ52" t="s">
        <v>74</v>
      </c>
      <c r="BA52" t="s">
        <v>74</v>
      </c>
      <c r="BB52">
        <v>1781</v>
      </c>
      <c r="BC52">
        <v>1790</v>
      </c>
      <c r="BD52" t="s">
        <v>74</v>
      </c>
      <c r="BE52" t="s">
        <v>5006</v>
      </c>
      <c r="BF52" t="str">
        <f>HYPERLINK("http://dx.doi.org/10.1139/Z03-178","http://dx.doi.org/10.1139/Z03-178")</f>
        <v>http://dx.doi.org/10.1139/Z03-178</v>
      </c>
      <c r="BG52" t="s">
        <v>74</v>
      </c>
      <c r="BH52" t="s">
        <v>74</v>
      </c>
      <c r="BI52" t="s">
        <v>74</v>
      </c>
      <c r="BJ52" t="s">
        <v>74</v>
      </c>
      <c r="BK52" t="s">
        <v>74</v>
      </c>
      <c r="BL52" t="s">
        <v>74</v>
      </c>
      <c r="BM52" t="s">
        <v>74</v>
      </c>
      <c r="BN52" t="s">
        <v>74</v>
      </c>
      <c r="BO52" t="s">
        <v>74</v>
      </c>
      <c r="BP52" t="s">
        <v>74</v>
      </c>
      <c r="BQ52" t="s">
        <v>74</v>
      </c>
      <c r="BR52" t="s">
        <v>74</v>
      </c>
      <c r="BS52" t="s">
        <v>5007</v>
      </c>
      <c r="BT52" t="str">
        <f>HYPERLINK("https%3A%2F%2Fwww.webofscience.com%2Fwos%2Fwoscc%2Ffull-record%2FWOS:000188730300001","View Full Record in Web of Science")</f>
        <v>View Full Record in Web of Science</v>
      </c>
    </row>
    <row r="53" spans="1:72" x14ac:dyDescent="0.4">
      <c r="A53" t="s">
        <v>72</v>
      </c>
      <c r="B53" t="s">
        <v>6990</v>
      </c>
      <c r="C53" t="s">
        <v>74</v>
      </c>
      <c r="D53" t="s">
        <v>74</v>
      </c>
      <c r="E53" t="s">
        <v>74</v>
      </c>
      <c r="F53" t="s">
        <v>6991</v>
      </c>
      <c r="G53" t="s">
        <v>74</v>
      </c>
      <c r="H53" t="s">
        <v>74</v>
      </c>
      <c r="I53" t="s">
        <v>6992</v>
      </c>
      <c r="J53" t="s">
        <v>408</v>
      </c>
      <c r="K53" t="s">
        <v>74</v>
      </c>
      <c r="L53" t="s">
        <v>74</v>
      </c>
      <c r="M53" t="s">
        <v>74</v>
      </c>
      <c r="N53" t="s">
        <v>74</v>
      </c>
      <c r="O53" t="s">
        <v>74</v>
      </c>
      <c r="P53" t="s">
        <v>74</v>
      </c>
      <c r="Q53" t="s">
        <v>74</v>
      </c>
      <c r="R53" t="s">
        <v>74</v>
      </c>
      <c r="S53" t="s">
        <v>74</v>
      </c>
      <c r="T53" t="s">
        <v>74</v>
      </c>
      <c r="U53" t="s">
        <v>74</v>
      </c>
      <c r="V53" s="3" t="s">
        <v>6993</v>
      </c>
      <c r="W53" t="s">
        <v>74</v>
      </c>
      <c r="X53" t="s">
        <v>74</v>
      </c>
      <c r="Y53" t="s">
        <v>74</v>
      </c>
      <c r="Z53" t="s">
        <v>74</v>
      </c>
      <c r="AA53" t="s">
        <v>74</v>
      </c>
      <c r="AB53" t="s">
        <v>74</v>
      </c>
      <c r="AC53" t="s">
        <v>74</v>
      </c>
      <c r="AD53" t="s">
        <v>74</v>
      </c>
      <c r="AE53" t="s">
        <v>74</v>
      </c>
      <c r="AF53" t="s">
        <v>74</v>
      </c>
      <c r="AG53" t="s">
        <v>74</v>
      </c>
      <c r="AH53" t="s">
        <v>74</v>
      </c>
      <c r="AI53" t="s">
        <v>74</v>
      </c>
      <c r="AJ53" t="s">
        <v>74</v>
      </c>
      <c r="AK53" t="s">
        <v>74</v>
      </c>
      <c r="AL53" t="s">
        <v>74</v>
      </c>
      <c r="AM53" t="s">
        <v>74</v>
      </c>
      <c r="AN53" t="s">
        <v>74</v>
      </c>
      <c r="AO53" t="s">
        <v>412</v>
      </c>
      <c r="AP53" t="s">
        <v>413</v>
      </c>
      <c r="AQ53" t="s">
        <v>74</v>
      </c>
      <c r="AR53" t="s">
        <v>74</v>
      </c>
      <c r="AS53" t="s">
        <v>74</v>
      </c>
      <c r="AT53" t="s">
        <v>123</v>
      </c>
      <c r="AU53">
        <v>2013</v>
      </c>
      <c r="AV53">
        <v>108</v>
      </c>
      <c r="AW53">
        <v>3</v>
      </c>
      <c r="AX53" t="s">
        <v>74</v>
      </c>
      <c r="AY53" t="s">
        <v>74</v>
      </c>
      <c r="AZ53" t="s">
        <v>74</v>
      </c>
      <c r="BA53" t="s">
        <v>74</v>
      </c>
      <c r="BB53">
        <v>636</v>
      </c>
      <c r="BC53">
        <v>646</v>
      </c>
      <c r="BD53" t="s">
        <v>74</v>
      </c>
      <c r="BE53" t="s">
        <v>6994</v>
      </c>
      <c r="BF53" t="str">
        <f>HYPERLINK("http://dx.doi.org/10.1111/bij.12003","http://dx.doi.org/10.1111/bij.12003")</f>
        <v>http://dx.doi.org/10.1111/bij.12003</v>
      </c>
      <c r="BG53" t="s">
        <v>74</v>
      </c>
      <c r="BH53" t="s">
        <v>74</v>
      </c>
      <c r="BI53" t="s">
        <v>74</v>
      </c>
      <c r="BJ53" t="s">
        <v>74</v>
      </c>
      <c r="BK53" t="s">
        <v>74</v>
      </c>
      <c r="BL53" t="s">
        <v>74</v>
      </c>
      <c r="BM53" t="s">
        <v>74</v>
      </c>
      <c r="BN53" t="s">
        <v>74</v>
      </c>
      <c r="BO53" t="s">
        <v>74</v>
      </c>
      <c r="BP53" t="s">
        <v>74</v>
      </c>
      <c r="BQ53" t="s">
        <v>74</v>
      </c>
      <c r="BR53" t="s">
        <v>74</v>
      </c>
      <c r="BS53" t="s">
        <v>6995</v>
      </c>
      <c r="BT53" t="str">
        <f>HYPERLINK("https%3A%2F%2Fwww.webofscience.com%2Fwos%2Fwoscc%2Ffull-record%2FWOS:000315120300013","View Full Record in Web of Science")</f>
        <v>View Full Record in Web of Science</v>
      </c>
    </row>
    <row r="54" spans="1:72" x14ac:dyDescent="0.4">
      <c r="A54" t="s">
        <v>72</v>
      </c>
      <c r="B54" t="s">
        <v>3525</v>
      </c>
      <c r="C54" t="s">
        <v>74</v>
      </c>
      <c r="D54" t="s">
        <v>74</v>
      </c>
      <c r="E54" t="s">
        <v>74</v>
      </c>
      <c r="F54" t="s">
        <v>3526</v>
      </c>
      <c r="G54" t="s">
        <v>74</v>
      </c>
      <c r="H54" t="s">
        <v>74</v>
      </c>
      <c r="I54" t="s">
        <v>3527</v>
      </c>
      <c r="J54" t="s">
        <v>1198</v>
      </c>
      <c r="K54" t="s">
        <v>74</v>
      </c>
      <c r="L54" t="s">
        <v>74</v>
      </c>
      <c r="M54" t="s">
        <v>74</v>
      </c>
      <c r="N54" t="s">
        <v>74</v>
      </c>
      <c r="O54" t="s">
        <v>74</v>
      </c>
      <c r="P54" t="s">
        <v>74</v>
      </c>
      <c r="Q54" t="s">
        <v>74</v>
      </c>
      <c r="R54" t="s">
        <v>74</v>
      </c>
      <c r="S54" t="s">
        <v>74</v>
      </c>
      <c r="T54" t="s">
        <v>74</v>
      </c>
      <c r="U54" t="s">
        <v>74</v>
      </c>
      <c r="V54" s="3" t="s">
        <v>3528</v>
      </c>
      <c r="W54" t="s">
        <v>74</v>
      </c>
      <c r="X54" t="s">
        <v>74</v>
      </c>
      <c r="Y54" t="s">
        <v>74</v>
      </c>
      <c r="Z54" t="s">
        <v>74</v>
      </c>
      <c r="AA54" t="s">
        <v>74</v>
      </c>
      <c r="AB54" t="s">
        <v>74</v>
      </c>
      <c r="AC54" t="s">
        <v>74</v>
      </c>
      <c r="AD54" t="s">
        <v>74</v>
      </c>
      <c r="AE54" t="s">
        <v>74</v>
      </c>
      <c r="AF54" t="s">
        <v>74</v>
      </c>
      <c r="AG54" t="s">
        <v>74</v>
      </c>
      <c r="AH54" t="s">
        <v>74</v>
      </c>
      <c r="AI54" t="s">
        <v>74</v>
      </c>
      <c r="AJ54" t="s">
        <v>74</v>
      </c>
      <c r="AK54" t="s">
        <v>74</v>
      </c>
      <c r="AL54" t="s">
        <v>74</v>
      </c>
      <c r="AM54" t="s">
        <v>74</v>
      </c>
      <c r="AN54" t="s">
        <v>74</v>
      </c>
      <c r="AO54" t="s">
        <v>1202</v>
      </c>
      <c r="AP54" t="s">
        <v>1203</v>
      </c>
      <c r="AQ54" t="s">
        <v>74</v>
      </c>
      <c r="AR54" t="s">
        <v>74</v>
      </c>
      <c r="AS54" t="s">
        <v>74</v>
      </c>
      <c r="AT54" t="s">
        <v>305</v>
      </c>
      <c r="AU54">
        <v>2013</v>
      </c>
      <c r="AV54">
        <v>69</v>
      </c>
      <c r="AW54">
        <v>4</v>
      </c>
      <c r="AX54" t="s">
        <v>74</v>
      </c>
      <c r="AY54" t="s">
        <v>74</v>
      </c>
      <c r="AZ54" t="s">
        <v>74</v>
      </c>
      <c r="BA54" t="s">
        <v>74</v>
      </c>
      <c r="BB54">
        <v>436</v>
      </c>
      <c r="BC54">
        <v>444</v>
      </c>
      <c r="BD54" t="s">
        <v>74</v>
      </c>
      <c r="BE54" t="s">
        <v>74</v>
      </c>
      <c r="BF54" t="s">
        <v>74</v>
      </c>
      <c r="BG54" t="s">
        <v>74</v>
      </c>
      <c r="BH54" t="s">
        <v>74</v>
      </c>
      <c r="BI54" t="s">
        <v>74</v>
      </c>
      <c r="BJ54" t="s">
        <v>74</v>
      </c>
      <c r="BK54" t="s">
        <v>74</v>
      </c>
      <c r="BL54" t="s">
        <v>74</v>
      </c>
      <c r="BM54" t="s">
        <v>74</v>
      </c>
      <c r="BN54" t="s">
        <v>74</v>
      </c>
      <c r="BO54" t="s">
        <v>74</v>
      </c>
      <c r="BP54" t="s">
        <v>74</v>
      </c>
      <c r="BQ54" t="s">
        <v>74</v>
      </c>
      <c r="BR54" t="s">
        <v>74</v>
      </c>
      <c r="BS54" t="s">
        <v>3529</v>
      </c>
      <c r="BT54" t="str">
        <f>HYPERLINK("https%3A%2F%2Fwww.webofscience.com%2Fwos%2Fwoscc%2Ffull-record%2FWOS:000328539300005","View Full Record in Web of Science")</f>
        <v>View Full Record in Web of Science</v>
      </c>
    </row>
    <row r="55" spans="1:72" x14ac:dyDescent="0.4">
      <c r="A55" t="s">
        <v>72</v>
      </c>
      <c r="B55" t="s">
        <v>7502</v>
      </c>
      <c r="C55" t="s">
        <v>74</v>
      </c>
      <c r="D55" t="s">
        <v>74</v>
      </c>
      <c r="E55" t="s">
        <v>74</v>
      </c>
      <c r="F55" t="s">
        <v>7503</v>
      </c>
      <c r="G55" t="s">
        <v>74</v>
      </c>
      <c r="H55" t="s">
        <v>74</v>
      </c>
      <c r="I55" t="s">
        <v>7504</v>
      </c>
      <c r="J55" t="s">
        <v>1755</v>
      </c>
      <c r="K55" t="s">
        <v>74</v>
      </c>
      <c r="L55" t="s">
        <v>74</v>
      </c>
      <c r="M55" t="s">
        <v>74</v>
      </c>
      <c r="N55" t="s">
        <v>74</v>
      </c>
      <c r="O55" t="s">
        <v>74</v>
      </c>
      <c r="P55" t="s">
        <v>74</v>
      </c>
      <c r="Q55" t="s">
        <v>74</v>
      </c>
      <c r="R55" t="s">
        <v>74</v>
      </c>
      <c r="S55" t="s">
        <v>74</v>
      </c>
      <c r="T55" t="s">
        <v>74</v>
      </c>
      <c r="U55" t="s">
        <v>74</v>
      </c>
      <c r="V55" s="3" t="s">
        <v>7505</v>
      </c>
      <c r="W55" t="s">
        <v>74</v>
      </c>
      <c r="X55" t="s">
        <v>74</v>
      </c>
      <c r="Y55" t="s">
        <v>74</v>
      </c>
      <c r="Z55" t="s">
        <v>74</v>
      </c>
      <c r="AA55" t="s">
        <v>7506</v>
      </c>
      <c r="AB55" t="s">
        <v>7507</v>
      </c>
      <c r="AC55" t="s">
        <v>74</v>
      </c>
      <c r="AD55" t="s">
        <v>74</v>
      </c>
      <c r="AE55" t="s">
        <v>74</v>
      </c>
      <c r="AF55" t="s">
        <v>74</v>
      </c>
      <c r="AG55" t="s">
        <v>74</v>
      </c>
      <c r="AH55" t="s">
        <v>74</v>
      </c>
      <c r="AI55" t="s">
        <v>74</v>
      </c>
      <c r="AJ55" t="s">
        <v>74</v>
      </c>
      <c r="AK55" t="s">
        <v>74</v>
      </c>
      <c r="AL55" t="s">
        <v>74</v>
      </c>
      <c r="AM55" t="s">
        <v>74</v>
      </c>
      <c r="AN55" t="s">
        <v>74</v>
      </c>
      <c r="AO55" t="s">
        <v>1759</v>
      </c>
      <c r="AP55" t="s">
        <v>1760</v>
      </c>
      <c r="AQ55" t="s">
        <v>74</v>
      </c>
      <c r="AR55" t="s">
        <v>74</v>
      </c>
      <c r="AS55" t="s">
        <v>74</v>
      </c>
      <c r="AT55" t="s">
        <v>255</v>
      </c>
      <c r="AU55">
        <v>2007</v>
      </c>
      <c r="AV55">
        <v>20</v>
      </c>
      <c r="AW55">
        <v>1</v>
      </c>
      <c r="AX55" t="s">
        <v>74</v>
      </c>
      <c r="AY55" t="s">
        <v>74</v>
      </c>
      <c r="AZ55" t="s">
        <v>74</v>
      </c>
      <c r="BA55" t="s">
        <v>74</v>
      </c>
      <c r="BB55">
        <v>87</v>
      </c>
      <c r="BC55">
        <v>98</v>
      </c>
      <c r="BD55" t="s">
        <v>74</v>
      </c>
      <c r="BE55" t="s">
        <v>7508</v>
      </c>
      <c r="BF55" t="str">
        <f>HYPERLINK("http://dx.doi.org/10.1007/s10905-006-9065-9","http://dx.doi.org/10.1007/s10905-006-9065-9")</f>
        <v>http://dx.doi.org/10.1007/s10905-006-9065-9</v>
      </c>
      <c r="BG55" t="s">
        <v>74</v>
      </c>
      <c r="BH55" t="s">
        <v>74</v>
      </c>
      <c r="BI55" t="s">
        <v>74</v>
      </c>
      <c r="BJ55" t="s">
        <v>74</v>
      </c>
      <c r="BK55" t="s">
        <v>74</v>
      </c>
      <c r="BL55" t="s">
        <v>74</v>
      </c>
      <c r="BM55" t="s">
        <v>74</v>
      </c>
      <c r="BN55" t="s">
        <v>74</v>
      </c>
      <c r="BO55" t="s">
        <v>74</v>
      </c>
      <c r="BP55" t="s">
        <v>74</v>
      </c>
      <c r="BQ55" t="s">
        <v>74</v>
      </c>
      <c r="BR55" t="s">
        <v>74</v>
      </c>
      <c r="BS55" t="s">
        <v>7509</v>
      </c>
      <c r="BT55" t="str">
        <f>HYPERLINK("https%3A%2F%2Fwww.webofscience.com%2Fwos%2Fwoscc%2Ffull-record%2FWOS:000243906500008","View Full Record in Web of Science")</f>
        <v>View Full Record in Web of Science</v>
      </c>
    </row>
    <row r="56" spans="1:72" x14ac:dyDescent="0.4">
      <c r="A56" t="s">
        <v>72</v>
      </c>
      <c r="B56" t="s">
        <v>6952</v>
      </c>
      <c r="C56" t="s">
        <v>74</v>
      </c>
      <c r="D56" t="s">
        <v>74</v>
      </c>
      <c r="E56" t="s">
        <v>74</v>
      </c>
      <c r="F56" t="s">
        <v>6953</v>
      </c>
      <c r="G56" t="s">
        <v>74</v>
      </c>
      <c r="H56" t="s">
        <v>74</v>
      </c>
      <c r="I56" t="s">
        <v>6954</v>
      </c>
      <c r="J56" t="s">
        <v>1396</v>
      </c>
      <c r="K56" t="s">
        <v>74</v>
      </c>
      <c r="L56" t="s">
        <v>74</v>
      </c>
      <c r="M56" t="s">
        <v>74</v>
      </c>
      <c r="N56" t="s">
        <v>74</v>
      </c>
      <c r="O56" t="s">
        <v>74</v>
      </c>
      <c r="P56" t="s">
        <v>74</v>
      </c>
      <c r="Q56" t="s">
        <v>74</v>
      </c>
      <c r="R56" t="s">
        <v>74</v>
      </c>
      <c r="S56" t="s">
        <v>74</v>
      </c>
      <c r="T56" t="s">
        <v>74</v>
      </c>
      <c r="U56" t="s">
        <v>74</v>
      </c>
      <c r="V56" s="3" t="s">
        <v>6955</v>
      </c>
      <c r="W56" t="s">
        <v>74</v>
      </c>
      <c r="X56" t="s">
        <v>74</v>
      </c>
      <c r="Y56" t="s">
        <v>74</v>
      </c>
      <c r="Z56" t="s">
        <v>74</v>
      </c>
      <c r="AA56" t="s">
        <v>6956</v>
      </c>
      <c r="AB56" t="s">
        <v>6957</v>
      </c>
      <c r="AC56" t="s">
        <v>74</v>
      </c>
      <c r="AD56" t="s">
        <v>74</v>
      </c>
      <c r="AE56" t="s">
        <v>74</v>
      </c>
      <c r="AF56" t="s">
        <v>74</v>
      </c>
      <c r="AG56" t="s">
        <v>74</v>
      </c>
      <c r="AH56" t="s">
        <v>74</v>
      </c>
      <c r="AI56" t="s">
        <v>74</v>
      </c>
      <c r="AJ56" t="s">
        <v>74</v>
      </c>
      <c r="AK56" t="s">
        <v>74</v>
      </c>
      <c r="AL56" t="s">
        <v>74</v>
      </c>
      <c r="AM56" t="s">
        <v>74</v>
      </c>
      <c r="AN56" t="s">
        <v>74</v>
      </c>
      <c r="AO56" t="s">
        <v>1400</v>
      </c>
      <c r="AP56" t="s">
        <v>5422</v>
      </c>
      <c r="AQ56" t="s">
        <v>74</v>
      </c>
      <c r="AR56" t="s">
        <v>74</v>
      </c>
      <c r="AS56" t="s">
        <v>74</v>
      </c>
      <c r="AT56" t="s">
        <v>6958</v>
      </c>
      <c r="AU56">
        <v>2022</v>
      </c>
      <c r="AV56">
        <v>2022</v>
      </c>
      <c r="AW56" t="s">
        <v>74</v>
      </c>
      <c r="AX56" t="s">
        <v>74</v>
      </c>
      <c r="AY56" t="s">
        <v>74</v>
      </c>
      <c r="AZ56" t="s">
        <v>74</v>
      </c>
      <c r="BA56" t="s">
        <v>74</v>
      </c>
      <c r="BB56" t="s">
        <v>74</v>
      </c>
      <c r="BC56" t="s">
        <v>74</v>
      </c>
      <c r="BD56">
        <v>8378483</v>
      </c>
      <c r="BE56" t="s">
        <v>6959</v>
      </c>
      <c r="BF56" t="str">
        <f>HYPERLINK("http://dx.doi.org/10.1155/2022/8378483","http://dx.doi.org/10.1155/2022/8378483")</f>
        <v>http://dx.doi.org/10.1155/2022/8378483</v>
      </c>
      <c r="BG56" t="s">
        <v>74</v>
      </c>
      <c r="BH56" t="s">
        <v>74</v>
      </c>
      <c r="BI56" t="s">
        <v>74</v>
      </c>
      <c r="BJ56" t="s">
        <v>74</v>
      </c>
      <c r="BK56" t="s">
        <v>74</v>
      </c>
      <c r="BL56" t="s">
        <v>74</v>
      </c>
      <c r="BM56" t="s">
        <v>74</v>
      </c>
      <c r="BN56" t="s">
        <v>74</v>
      </c>
      <c r="BO56" t="s">
        <v>74</v>
      </c>
      <c r="BP56" t="s">
        <v>74</v>
      </c>
      <c r="BQ56" t="s">
        <v>74</v>
      </c>
      <c r="BR56" t="s">
        <v>74</v>
      </c>
      <c r="BS56" t="s">
        <v>6960</v>
      </c>
      <c r="BT56" t="str">
        <f>HYPERLINK("https%3A%2F%2Fwww.webofscience.com%2Fwos%2Fwoscc%2Ffull-record%2FWOS:000903811100001","View Full Record in Web of Science")</f>
        <v>View Full Record in Web of Science</v>
      </c>
    </row>
    <row r="57" spans="1:72" x14ac:dyDescent="0.4">
      <c r="A57" t="s">
        <v>72</v>
      </c>
      <c r="B57" t="s">
        <v>7738</v>
      </c>
      <c r="C57" t="s">
        <v>74</v>
      </c>
      <c r="D57" t="s">
        <v>74</v>
      </c>
      <c r="E57" t="s">
        <v>74</v>
      </c>
      <c r="F57" t="s">
        <v>7739</v>
      </c>
      <c r="G57" t="s">
        <v>74</v>
      </c>
      <c r="H57" t="s">
        <v>74</v>
      </c>
      <c r="I57" t="s">
        <v>7740</v>
      </c>
      <c r="J57" t="s">
        <v>1541</v>
      </c>
      <c r="K57" t="s">
        <v>74</v>
      </c>
      <c r="L57" t="s">
        <v>74</v>
      </c>
      <c r="M57" t="s">
        <v>74</v>
      </c>
      <c r="N57" t="s">
        <v>74</v>
      </c>
      <c r="O57" t="s">
        <v>74</v>
      </c>
      <c r="P57" t="s">
        <v>74</v>
      </c>
      <c r="Q57" t="s">
        <v>74</v>
      </c>
      <c r="R57" t="s">
        <v>74</v>
      </c>
      <c r="S57" t="s">
        <v>74</v>
      </c>
      <c r="T57" t="s">
        <v>74</v>
      </c>
      <c r="U57" t="s">
        <v>74</v>
      </c>
      <c r="V57" s="3" t="s">
        <v>7741</v>
      </c>
      <c r="W57" t="s">
        <v>74</v>
      </c>
      <c r="X57" t="s">
        <v>74</v>
      </c>
      <c r="Y57" t="s">
        <v>74</v>
      </c>
      <c r="Z57" t="s">
        <v>74</v>
      </c>
      <c r="AA57" t="s">
        <v>7742</v>
      </c>
      <c r="AB57" t="s">
        <v>7743</v>
      </c>
      <c r="AC57" t="s">
        <v>74</v>
      </c>
      <c r="AD57" t="s">
        <v>74</v>
      </c>
      <c r="AE57" t="s">
        <v>74</v>
      </c>
      <c r="AF57" t="s">
        <v>74</v>
      </c>
      <c r="AG57" t="s">
        <v>74</v>
      </c>
      <c r="AH57" t="s">
        <v>74</v>
      </c>
      <c r="AI57" t="s">
        <v>74</v>
      </c>
      <c r="AJ57" t="s">
        <v>74</v>
      </c>
      <c r="AK57" t="s">
        <v>74</v>
      </c>
      <c r="AL57" t="s">
        <v>74</v>
      </c>
      <c r="AM57" t="s">
        <v>74</v>
      </c>
      <c r="AN57" t="s">
        <v>74</v>
      </c>
      <c r="AO57" t="s">
        <v>1543</v>
      </c>
      <c r="AP57" t="s">
        <v>1544</v>
      </c>
      <c r="AQ57" t="s">
        <v>74</v>
      </c>
      <c r="AR57" t="s">
        <v>74</v>
      </c>
      <c r="AS57" t="s">
        <v>74</v>
      </c>
      <c r="AT57" t="s">
        <v>305</v>
      </c>
      <c r="AU57">
        <v>2009</v>
      </c>
      <c r="AV57">
        <v>90</v>
      </c>
      <c r="AW57">
        <v>12</v>
      </c>
      <c r="AX57" t="s">
        <v>74</v>
      </c>
      <c r="AY57" t="s">
        <v>74</v>
      </c>
      <c r="AZ57" t="s">
        <v>74</v>
      </c>
      <c r="BA57" t="s">
        <v>74</v>
      </c>
      <c r="BB57">
        <v>3367</v>
      </c>
      <c r="BC57">
        <v>3378</v>
      </c>
      <c r="BD57" t="s">
        <v>74</v>
      </c>
      <c r="BE57" t="s">
        <v>7744</v>
      </c>
      <c r="BF57" t="str">
        <f>HYPERLINK("http://dx.doi.org/10.1890/08-2291.1","http://dx.doi.org/10.1890/08-2291.1")</f>
        <v>http://dx.doi.org/10.1890/08-2291.1</v>
      </c>
      <c r="BG57" t="s">
        <v>74</v>
      </c>
      <c r="BH57" t="s">
        <v>74</v>
      </c>
      <c r="BI57" t="s">
        <v>74</v>
      </c>
      <c r="BJ57" t="s">
        <v>74</v>
      </c>
      <c r="BK57" t="s">
        <v>74</v>
      </c>
      <c r="BL57" t="s">
        <v>74</v>
      </c>
      <c r="BM57" t="s">
        <v>74</v>
      </c>
      <c r="BN57">
        <v>20120806</v>
      </c>
      <c r="BO57" t="s">
        <v>74</v>
      </c>
      <c r="BP57" t="s">
        <v>74</v>
      </c>
      <c r="BQ57" t="s">
        <v>74</v>
      </c>
      <c r="BR57" t="s">
        <v>74</v>
      </c>
      <c r="BS57" t="s">
        <v>7745</v>
      </c>
      <c r="BT57" t="str">
        <f>HYPERLINK("https%3A%2F%2Fwww.webofscience.com%2Fwos%2Fwoscc%2Ffull-record%2FWOS:000272700800009","View Full Record in Web of Science")</f>
        <v>View Full Record in Web of Science</v>
      </c>
    </row>
    <row r="58" spans="1:72" x14ac:dyDescent="0.4">
      <c r="A58" t="s">
        <v>72</v>
      </c>
      <c r="B58" t="s">
        <v>1585</v>
      </c>
      <c r="C58" t="s">
        <v>74</v>
      </c>
      <c r="D58" t="s">
        <v>74</v>
      </c>
      <c r="E58" t="s">
        <v>74</v>
      </c>
      <c r="F58" t="s">
        <v>1586</v>
      </c>
      <c r="G58" t="s">
        <v>74</v>
      </c>
      <c r="H58" t="s">
        <v>74</v>
      </c>
      <c r="I58" t="s">
        <v>1587</v>
      </c>
      <c r="J58" t="s">
        <v>775</v>
      </c>
      <c r="K58" t="s">
        <v>74</v>
      </c>
      <c r="L58" t="s">
        <v>74</v>
      </c>
      <c r="M58" t="s">
        <v>74</v>
      </c>
      <c r="N58" t="s">
        <v>74</v>
      </c>
      <c r="O58" t="s">
        <v>74</v>
      </c>
      <c r="P58" t="s">
        <v>74</v>
      </c>
      <c r="Q58" t="s">
        <v>74</v>
      </c>
      <c r="R58" t="s">
        <v>74</v>
      </c>
      <c r="S58" t="s">
        <v>74</v>
      </c>
      <c r="T58" t="s">
        <v>74</v>
      </c>
      <c r="U58" t="s">
        <v>74</v>
      </c>
      <c r="V58" s="3" t="s">
        <v>1588</v>
      </c>
      <c r="W58" t="s">
        <v>74</v>
      </c>
      <c r="X58" t="s">
        <v>74</v>
      </c>
      <c r="Y58" t="s">
        <v>74</v>
      </c>
      <c r="Z58" t="s">
        <v>74</v>
      </c>
      <c r="AA58" t="s">
        <v>1589</v>
      </c>
      <c r="AB58" t="s">
        <v>1590</v>
      </c>
      <c r="AC58" t="s">
        <v>74</v>
      </c>
      <c r="AD58" t="s">
        <v>74</v>
      </c>
      <c r="AE58" t="s">
        <v>74</v>
      </c>
      <c r="AF58" t="s">
        <v>74</v>
      </c>
      <c r="AG58" t="s">
        <v>74</v>
      </c>
      <c r="AH58" t="s">
        <v>74</v>
      </c>
      <c r="AI58" t="s">
        <v>74</v>
      </c>
      <c r="AJ58" t="s">
        <v>74</v>
      </c>
      <c r="AK58" t="s">
        <v>74</v>
      </c>
      <c r="AL58" t="s">
        <v>74</v>
      </c>
      <c r="AM58" t="s">
        <v>74</v>
      </c>
      <c r="AN58" t="s">
        <v>74</v>
      </c>
      <c r="AO58" t="s">
        <v>778</v>
      </c>
      <c r="AP58" t="s">
        <v>779</v>
      </c>
      <c r="AQ58" t="s">
        <v>74</v>
      </c>
      <c r="AR58" t="s">
        <v>74</v>
      </c>
      <c r="AS58" t="s">
        <v>74</v>
      </c>
      <c r="AT58" t="s">
        <v>964</v>
      </c>
      <c r="AU58">
        <v>2017</v>
      </c>
      <c r="AV58">
        <v>63</v>
      </c>
      <c r="AW58">
        <v>1</v>
      </c>
      <c r="AX58" t="s">
        <v>74</v>
      </c>
      <c r="AY58" t="s">
        <v>74</v>
      </c>
      <c r="AZ58" t="s">
        <v>74</v>
      </c>
      <c r="BA58" t="s">
        <v>74</v>
      </c>
      <c r="BB58">
        <v>45</v>
      </c>
      <c r="BC58">
        <v>54</v>
      </c>
      <c r="BD58" t="s">
        <v>74</v>
      </c>
      <c r="BE58" t="s">
        <v>1591</v>
      </c>
      <c r="BF58" t="str">
        <f>HYPERLINK("http://dx.doi.org/10.1093/cz/zow086","http://dx.doi.org/10.1093/cz/zow086")</f>
        <v>http://dx.doi.org/10.1093/cz/zow086</v>
      </c>
      <c r="BG58" t="s">
        <v>74</v>
      </c>
      <c r="BH58" t="s">
        <v>74</v>
      </c>
      <c r="BI58" t="s">
        <v>74</v>
      </c>
      <c r="BJ58" t="s">
        <v>74</v>
      </c>
      <c r="BK58" t="s">
        <v>74</v>
      </c>
      <c r="BL58" t="s">
        <v>74</v>
      </c>
      <c r="BM58" t="s">
        <v>74</v>
      </c>
      <c r="BN58">
        <v>29491962</v>
      </c>
      <c r="BO58" t="s">
        <v>74</v>
      </c>
      <c r="BP58" t="s">
        <v>74</v>
      </c>
      <c r="BQ58" t="s">
        <v>74</v>
      </c>
      <c r="BR58" t="s">
        <v>74</v>
      </c>
      <c r="BS58" t="s">
        <v>1592</v>
      </c>
      <c r="BT58" t="str">
        <f>HYPERLINK("https%3A%2F%2Fwww.webofscience.com%2Fwos%2Fwoscc%2Ffull-record%2FWOS:000396213400006","View Full Record in Web of Science")</f>
        <v>View Full Record in Web of Science</v>
      </c>
    </row>
    <row r="59" spans="1:72" x14ac:dyDescent="0.4">
      <c r="A59" t="s">
        <v>72</v>
      </c>
      <c r="B59" t="s">
        <v>4593</v>
      </c>
      <c r="C59" t="s">
        <v>74</v>
      </c>
      <c r="D59" t="s">
        <v>74</v>
      </c>
      <c r="E59" t="s">
        <v>74</v>
      </c>
      <c r="F59" t="s">
        <v>4594</v>
      </c>
      <c r="G59" t="s">
        <v>74</v>
      </c>
      <c r="H59" t="s">
        <v>74</v>
      </c>
      <c r="I59" t="s">
        <v>4595</v>
      </c>
      <c r="J59" t="s">
        <v>201</v>
      </c>
      <c r="K59" t="s">
        <v>74</v>
      </c>
      <c r="L59" t="s">
        <v>74</v>
      </c>
      <c r="M59" t="s">
        <v>74</v>
      </c>
      <c r="N59" t="s">
        <v>74</v>
      </c>
      <c r="O59" t="s">
        <v>74</v>
      </c>
      <c r="P59" t="s">
        <v>74</v>
      </c>
      <c r="Q59" t="s">
        <v>74</v>
      </c>
      <c r="R59" t="s">
        <v>74</v>
      </c>
      <c r="S59" t="s">
        <v>74</v>
      </c>
      <c r="T59" t="s">
        <v>74</v>
      </c>
      <c r="U59" t="s">
        <v>74</v>
      </c>
      <c r="V59" s="3" t="s">
        <v>4596</v>
      </c>
      <c r="W59" t="s">
        <v>74</v>
      </c>
      <c r="X59" t="s">
        <v>74</v>
      </c>
      <c r="Y59" t="s">
        <v>74</v>
      </c>
      <c r="Z59" t="s">
        <v>74</v>
      </c>
      <c r="AA59" t="s">
        <v>4597</v>
      </c>
      <c r="AB59" t="s">
        <v>4598</v>
      </c>
      <c r="AC59" t="s">
        <v>74</v>
      </c>
      <c r="AD59" t="s">
        <v>74</v>
      </c>
      <c r="AE59" t="s">
        <v>74</v>
      </c>
      <c r="AF59" t="s">
        <v>74</v>
      </c>
      <c r="AG59" t="s">
        <v>74</v>
      </c>
      <c r="AH59" t="s">
        <v>74</v>
      </c>
      <c r="AI59" t="s">
        <v>74</v>
      </c>
      <c r="AJ59" t="s">
        <v>74</v>
      </c>
      <c r="AK59" t="s">
        <v>74</v>
      </c>
      <c r="AL59" t="s">
        <v>74</v>
      </c>
      <c r="AM59" t="s">
        <v>74</v>
      </c>
      <c r="AN59" t="s">
        <v>74</v>
      </c>
      <c r="AO59" t="s">
        <v>203</v>
      </c>
      <c r="AP59" t="s">
        <v>1192</v>
      </c>
      <c r="AQ59" t="s">
        <v>74</v>
      </c>
      <c r="AR59" t="s">
        <v>74</v>
      </c>
      <c r="AS59" t="s">
        <v>74</v>
      </c>
      <c r="AT59" t="s">
        <v>134</v>
      </c>
      <c r="AU59">
        <v>2022</v>
      </c>
      <c r="AV59">
        <v>100</v>
      </c>
      <c r="AW59">
        <v>5</v>
      </c>
      <c r="AX59" t="s">
        <v>74</v>
      </c>
      <c r="AY59" t="s">
        <v>74</v>
      </c>
      <c r="AZ59" t="s">
        <v>74</v>
      </c>
      <c r="BA59" t="s">
        <v>74</v>
      </c>
      <c r="BB59">
        <v>1264</v>
      </c>
      <c r="BC59">
        <v>1271</v>
      </c>
      <c r="BD59" t="s">
        <v>74</v>
      </c>
      <c r="BE59" t="s">
        <v>4599</v>
      </c>
      <c r="BF59" t="str">
        <f>HYPERLINK("http://dx.doi.org/10.1111/jfb.15040","http://dx.doi.org/10.1111/jfb.15040")</f>
        <v>http://dx.doi.org/10.1111/jfb.15040</v>
      </c>
      <c r="BG59" t="s">
        <v>74</v>
      </c>
      <c r="BH59" t="s">
        <v>415</v>
      </c>
      <c r="BI59" t="s">
        <v>74</v>
      </c>
      <c r="BJ59" t="s">
        <v>74</v>
      </c>
      <c r="BK59" t="s">
        <v>74</v>
      </c>
      <c r="BL59" t="s">
        <v>74</v>
      </c>
      <c r="BM59" t="s">
        <v>74</v>
      </c>
      <c r="BN59">
        <v>35289932</v>
      </c>
      <c r="BO59" t="s">
        <v>74</v>
      </c>
      <c r="BP59" t="s">
        <v>74</v>
      </c>
      <c r="BQ59" t="s">
        <v>74</v>
      </c>
      <c r="BR59" t="s">
        <v>74</v>
      </c>
      <c r="BS59" t="s">
        <v>4600</v>
      </c>
      <c r="BT59" t="str">
        <f>HYPERLINK("https%3A%2F%2Fwww.webofscience.com%2Fwos%2Fwoscc%2Ffull-record%2FWOS:000774829300001","View Full Record in Web of Science")</f>
        <v>View Full Record in Web of Science</v>
      </c>
    </row>
    <row r="60" spans="1:72" x14ac:dyDescent="0.4">
      <c r="A60" t="s">
        <v>72</v>
      </c>
      <c r="B60" t="s">
        <v>2402</v>
      </c>
      <c r="C60" t="s">
        <v>74</v>
      </c>
      <c r="D60" t="s">
        <v>74</v>
      </c>
      <c r="E60" t="s">
        <v>74</v>
      </c>
      <c r="F60" t="s">
        <v>2403</v>
      </c>
      <c r="G60" t="s">
        <v>74</v>
      </c>
      <c r="H60" t="s">
        <v>74</v>
      </c>
      <c r="I60" t="s">
        <v>2404</v>
      </c>
      <c r="J60" t="s">
        <v>2405</v>
      </c>
      <c r="K60" t="s">
        <v>74</v>
      </c>
      <c r="L60" t="s">
        <v>74</v>
      </c>
      <c r="M60" t="s">
        <v>74</v>
      </c>
      <c r="N60" t="s">
        <v>74</v>
      </c>
      <c r="O60" t="s">
        <v>74</v>
      </c>
      <c r="P60" t="s">
        <v>74</v>
      </c>
      <c r="Q60" t="s">
        <v>74</v>
      </c>
      <c r="R60" t="s">
        <v>74</v>
      </c>
      <c r="S60" t="s">
        <v>74</v>
      </c>
      <c r="T60" t="s">
        <v>74</v>
      </c>
      <c r="U60" t="s">
        <v>74</v>
      </c>
      <c r="V60" s="3" t="s">
        <v>2406</v>
      </c>
      <c r="W60" t="s">
        <v>74</v>
      </c>
      <c r="X60" t="s">
        <v>74</v>
      </c>
      <c r="Y60" t="s">
        <v>74</v>
      </c>
      <c r="Z60" t="s">
        <v>74</v>
      </c>
      <c r="AA60" t="s">
        <v>2407</v>
      </c>
      <c r="AB60" t="s">
        <v>74</v>
      </c>
      <c r="AC60" t="s">
        <v>74</v>
      </c>
      <c r="AD60" t="s">
        <v>74</v>
      </c>
      <c r="AE60" t="s">
        <v>74</v>
      </c>
      <c r="AF60" t="s">
        <v>74</v>
      </c>
      <c r="AG60" t="s">
        <v>74</v>
      </c>
      <c r="AH60" t="s">
        <v>74</v>
      </c>
      <c r="AI60" t="s">
        <v>74</v>
      </c>
      <c r="AJ60" t="s">
        <v>74</v>
      </c>
      <c r="AK60" t="s">
        <v>74</v>
      </c>
      <c r="AL60" t="s">
        <v>74</v>
      </c>
      <c r="AM60" t="s">
        <v>74</v>
      </c>
      <c r="AN60" t="s">
        <v>74</v>
      </c>
      <c r="AO60" t="s">
        <v>2408</v>
      </c>
      <c r="AP60" t="s">
        <v>2409</v>
      </c>
      <c r="AQ60" t="s">
        <v>74</v>
      </c>
      <c r="AR60" t="s">
        <v>74</v>
      </c>
      <c r="AS60" t="s">
        <v>74</v>
      </c>
      <c r="AT60" t="s">
        <v>123</v>
      </c>
      <c r="AU60">
        <v>2021</v>
      </c>
      <c r="AV60">
        <v>40</v>
      </c>
      <c r="AW60">
        <v>2</v>
      </c>
      <c r="AX60" t="s">
        <v>74</v>
      </c>
      <c r="AY60" t="s">
        <v>74</v>
      </c>
      <c r="AZ60" t="s">
        <v>74</v>
      </c>
      <c r="BA60" t="s">
        <v>74</v>
      </c>
      <c r="BB60">
        <v>160</v>
      </c>
      <c r="BC60">
        <v>168</v>
      </c>
      <c r="BD60" t="s">
        <v>74</v>
      </c>
      <c r="BE60" t="s">
        <v>2410</v>
      </c>
      <c r="BF60" t="str">
        <f>HYPERLINK("http://dx.doi.org/10.1002/zoo.21583","http://dx.doi.org/10.1002/zoo.21583")</f>
        <v>http://dx.doi.org/10.1002/zoo.21583</v>
      </c>
      <c r="BG60" t="s">
        <v>74</v>
      </c>
      <c r="BH60" t="s">
        <v>2411</v>
      </c>
      <c r="BI60" t="s">
        <v>74</v>
      </c>
      <c r="BJ60" t="s">
        <v>74</v>
      </c>
      <c r="BK60" t="s">
        <v>74</v>
      </c>
      <c r="BL60" t="s">
        <v>74</v>
      </c>
      <c r="BM60" t="s">
        <v>74</v>
      </c>
      <c r="BN60">
        <v>33544907</v>
      </c>
      <c r="BO60" t="s">
        <v>74</v>
      </c>
      <c r="BP60" t="s">
        <v>74</v>
      </c>
      <c r="BQ60" t="s">
        <v>74</v>
      </c>
      <c r="BR60" t="s">
        <v>74</v>
      </c>
      <c r="BS60" t="s">
        <v>2412</v>
      </c>
      <c r="BT60" t="str">
        <f>HYPERLINK("https%3A%2F%2Fwww.webofscience.com%2Fwos%2Fwoscc%2Ffull-record%2FWOS:000614925000001","View Full Record in Web of Science")</f>
        <v>View Full Record in Web of Science</v>
      </c>
    </row>
    <row r="61" spans="1:72" x14ac:dyDescent="0.4">
      <c r="A61" t="s">
        <v>72</v>
      </c>
      <c r="B61" t="s">
        <v>5652</v>
      </c>
      <c r="C61" t="s">
        <v>74</v>
      </c>
      <c r="D61" t="s">
        <v>74</v>
      </c>
      <c r="E61" t="s">
        <v>74</v>
      </c>
      <c r="F61" t="s">
        <v>5653</v>
      </c>
      <c r="G61" t="s">
        <v>74</v>
      </c>
      <c r="H61" t="s">
        <v>74</v>
      </c>
      <c r="I61" t="s">
        <v>5654</v>
      </c>
      <c r="J61" t="s">
        <v>5655</v>
      </c>
      <c r="K61" t="s">
        <v>74</v>
      </c>
      <c r="L61" t="s">
        <v>74</v>
      </c>
      <c r="M61" t="s">
        <v>74</v>
      </c>
      <c r="N61" t="s">
        <v>74</v>
      </c>
      <c r="O61" t="s">
        <v>74</v>
      </c>
      <c r="P61" t="s">
        <v>74</v>
      </c>
      <c r="Q61" t="s">
        <v>74</v>
      </c>
      <c r="R61" t="s">
        <v>74</v>
      </c>
      <c r="S61" t="s">
        <v>74</v>
      </c>
      <c r="T61" t="s">
        <v>74</v>
      </c>
      <c r="U61" t="s">
        <v>74</v>
      </c>
      <c r="V61" s="3" t="s">
        <v>5656</v>
      </c>
      <c r="W61" t="s">
        <v>74</v>
      </c>
      <c r="X61" t="s">
        <v>74</v>
      </c>
      <c r="Y61" t="s">
        <v>74</v>
      </c>
      <c r="Z61" t="s">
        <v>74</v>
      </c>
      <c r="AA61" t="s">
        <v>74</v>
      </c>
      <c r="AB61" t="s">
        <v>74</v>
      </c>
      <c r="AC61" t="s">
        <v>74</v>
      </c>
      <c r="AD61" t="s">
        <v>74</v>
      </c>
      <c r="AE61" t="s">
        <v>74</v>
      </c>
      <c r="AF61" t="s">
        <v>74</v>
      </c>
      <c r="AG61" t="s">
        <v>74</v>
      </c>
      <c r="AH61" t="s">
        <v>74</v>
      </c>
      <c r="AI61" t="s">
        <v>74</v>
      </c>
      <c r="AJ61" t="s">
        <v>74</v>
      </c>
      <c r="AK61" t="s">
        <v>74</v>
      </c>
      <c r="AL61" t="s">
        <v>74</v>
      </c>
      <c r="AM61" t="s">
        <v>74</v>
      </c>
      <c r="AN61" t="s">
        <v>74</v>
      </c>
      <c r="AO61" t="s">
        <v>5657</v>
      </c>
      <c r="AP61" t="s">
        <v>74</v>
      </c>
      <c r="AQ61" t="s">
        <v>74</v>
      </c>
      <c r="AR61" t="s">
        <v>74</v>
      </c>
      <c r="AS61" t="s">
        <v>74</v>
      </c>
      <c r="AT61" t="s">
        <v>74</v>
      </c>
      <c r="AU61">
        <v>2020</v>
      </c>
      <c r="AV61">
        <v>19</v>
      </c>
      <c r="AW61">
        <v>6</v>
      </c>
      <c r="AX61" t="s">
        <v>74</v>
      </c>
      <c r="AY61" t="s">
        <v>74</v>
      </c>
      <c r="AZ61" t="s">
        <v>74</v>
      </c>
      <c r="BA61" t="s">
        <v>74</v>
      </c>
      <c r="BB61">
        <v>2770</v>
      </c>
      <c r="BC61">
        <v>2789</v>
      </c>
      <c r="BD61" t="s">
        <v>74</v>
      </c>
      <c r="BE61" t="s">
        <v>5658</v>
      </c>
      <c r="BF61" t="str">
        <f>HYPERLINK("http://dx.doi.org/10.22092/ijfs.2020.122739","http://dx.doi.org/10.22092/ijfs.2020.122739")</f>
        <v>http://dx.doi.org/10.22092/ijfs.2020.122739</v>
      </c>
      <c r="BG61" t="s">
        <v>74</v>
      </c>
      <c r="BH61" t="s">
        <v>74</v>
      </c>
      <c r="BI61" t="s">
        <v>74</v>
      </c>
      <c r="BJ61" t="s">
        <v>74</v>
      </c>
      <c r="BK61" t="s">
        <v>74</v>
      </c>
      <c r="BL61" t="s">
        <v>74</v>
      </c>
      <c r="BM61" t="s">
        <v>74</v>
      </c>
      <c r="BN61" t="s">
        <v>74</v>
      </c>
      <c r="BO61" t="s">
        <v>74</v>
      </c>
      <c r="BP61" t="s">
        <v>74</v>
      </c>
      <c r="BQ61" t="s">
        <v>74</v>
      </c>
      <c r="BR61" t="s">
        <v>74</v>
      </c>
      <c r="BS61" t="s">
        <v>5659</v>
      </c>
      <c r="BT61" t="str">
        <f>HYPERLINK("https%3A%2F%2Fwww.webofscience.com%2Fwos%2Fwoscc%2Ffull-record%2FWOS:000600344000002","View Full Record in Web of Science")</f>
        <v>View Full Record in Web of Science</v>
      </c>
    </row>
    <row r="62" spans="1:72" x14ac:dyDescent="0.4">
      <c r="A62" t="s">
        <v>72</v>
      </c>
      <c r="B62" t="s">
        <v>8620</v>
      </c>
      <c r="C62" t="s">
        <v>74</v>
      </c>
      <c r="D62" t="s">
        <v>74</v>
      </c>
      <c r="E62" t="s">
        <v>74</v>
      </c>
      <c r="F62" t="s">
        <v>8621</v>
      </c>
      <c r="G62" t="s">
        <v>74</v>
      </c>
      <c r="H62" t="s">
        <v>74</v>
      </c>
      <c r="I62" t="s">
        <v>8622</v>
      </c>
      <c r="J62" t="s">
        <v>763</v>
      </c>
      <c r="K62" t="s">
        <v>74</v>
      </c>
      <c r="L62" t="s">
        <v>74</v>
      </c>
      <c r="M62" t="s">
        <v>74</v>
      </c>
      <c r="N62" t="s">
        <v>74</v>
      </c>
      <c r="O62" t="s">
        <v>74</v>
      </c>
      <c r="P62" t="s">
        <v>74</v>
      </c>
      <c r="Q62" t="s">
        <v>74</v>
      </c>
      <c r="R62" t="s">
        <v>74</v>
      </c>
      <c r="S62" t="s">
        <v>74</v>
      </c>
      <c r="T62" t="s">
        <v>74</v>
      </c>
      <c r="U62" t="s">
        <v>74</v>
      </c>
      <c r="V62" s="3" t="s">
        <v>8623</v>
      </c>
      <c r="W62" t="s">
        <v>74</v>
      </c>
      <c r="X62" t="s">
        <v>74</v>
      </c>
      <c r="Y62" t="s">
        <v>74</v>
      </c>
      <c r="Z62" t="s">
        <v>74</v>
      </c>
      <c r="AA62" t="s">
        <v>8624</v>
      </c>
      <c r="AB62" t="s">
        <v>8625</v>
      </c>
      <c r="AC62" t="s">
        <v>74</v>
      </c>
      <c r="AD62" t="s">
        <v>74</v>
      </c>
      <c r="AE62" t="s">
        <v>74</v>
      </c>
      <c r="AF62" t="s">
        <v>74</v>
      </c>
      <c r="AG62" t="s">
        <v>74</v>
      </c>
      <c r="AH62" t="s">
        <v>74</v>
      </c>
      <c r="AI62" t="s">
        <v>74</v>
      </c>
      <c r="AJ62" t="s">
        <v>74</v>
      </c>
      <c r="AK62" t="s">
        <v>74</v>
      </c>
      <c r="AL62" t="s">
        <v>74</v>
      </c>
      <c r="AM62" t="s">
        <v>74</v>
      </c>
      <c r="AN62" t="s">
        <v>74</v>
      </c>
      <c r="AO62" t="s">
        <v>767</v>
      </c>
      <c r="AP62" t="s">
        <v>768</v>
      </c>
      <c r="AQ62" t="s">
        <v>74</v>
      </c>
      <c r="AR62" t="s">
        <v>74</v>
      </c>
      <c r="AS62" t="s">
        <v>74</v>
      </c>
      <c r="AT62" t="s">
        <v>175</v>
      </c>
      <c r="AU62">
        <v>2021</v>
      </c>
      <c r="AV62">
        <v>224</v>
      </c>
      <c r="AW62">
        <v>20</v>
      </c>
      <c r="AX62" t="s">
        <v>74</v>
      </c>
      <c r="AY62" t="s">
        <v>74</v>
      </c>
      <c r="AZ62" t="s">
        <v>74</v>
      </c>
      <c r="BA62" t="s">
        <v>74</v>
      </c>
      <c r="BB62" t="s">
        <v>74</v>
      </c>
      <c r="BC62" t="s">
        <v>74</v>
      </c>
      <c r="BD62" t="s">
        <v>8626</v>
      </c>
      <c r="BE62" t="s">
        <v>8627</v>
      </c>
      <c r="BF62" t="str">
        <f>HYPERLINK("http://dx.doi.org/10.1242/jeb.242784","http://dx.doi.org/10.1242/jeb.242784")</f>
        <v>http://dx.doi.org/10.1242/jeb.242784</v>
      </c>
      <c r="BG62" t="s">
        <v>74</v>
      </c>
      <c r="BH62" t="s">
        <v>74</v>
      </c>
      <c r="BI62" t="s">
        <v>74</v>
      </c>
      <c r="BJ62" t="s">
        <v>74</v>
      </c>
      <c r="BK62" t="s">
        <v>74</v>
      </c>
      <c r="BL62" t="s">
        <v>74</v>
      </c>
      <c r="BM62" t="s">
        <v>74</v>
      </c>
      <c r="BN62">
        <v>34605911</v>
      </c>
      <c r="BO62" t="s">
        <v>74</v>
      </c>
      <c r="BP62" t="s">
        <v>74</v>
      </c>
      <c r="BQ62" t="s">
        <v>74</v>
      </c>
      <c r="BR62" t="s">
        <v>74</v>
      </c>
      <c r="BS62" t="s">
        <v>8628</v>
      </c>
      <c r="BT62" t="str">
        <f>HYPERLINK("https%3A%2F%2Fwww.webofscience.com%2Fwos%2Fwoscc%2Ffull-record%2FWOS:000715883300008","View Full Record in Web of Science")</f>
        <v>View Full Record in Web of Science</v>
      </c>
    </row>
    <row r="63" spans="1:72" x14ac:dyDescent="0.4">
      <c r="A63" t="s">
        <v>72</v>
      </c>
      <c r="B63" t="s">
        <v>1403</v>
      </c>
      <c r="C63" t="s">
        <v>74</v>
      </c>
      <c r="D63" t="s">
        <v>74</v>
      </c>
      <c r="E63" t="s">
        <v>74</v>
      </c>
      <c r="F63" t="s">
        <v>1404</v>
      </c>
      <c r="G63" t="s">
        <v>74</v>
      </c>
      <c r="H63" t="s">
        <v>74</v>
      </c>
      <c r="I63" t="s">
        <v>1405</v>
      </c>
      <c r="J63" t="s">
        <v>397</v>
      </c>
      <c r="K63" t="s">
        <v>74</v>
      </c>
      <c r="L63" t="s">
        <v>74</v>
      </c>
      <c r="M63" t="s">
        <v>74</v>
      </c>
      <c r="N63" t="s">
        <v>74</v>
      </c>
      <c r="O63" t="s">
        <v>74</v>
      </c>
      <c r="P63" t="s">
        <v>74</v>
      </c>
      <c r="Q63" t="s">
        <v>74</v>
      </c>
      <c r="R63" t="s">
        <v>74</v>
      </c>
      <c r="S63" t="s">
        <v>74</v>
      </c>
      <c r="T63" t="s">
        <v>74</v>
      </c>
      <c r="U63" t="s">
        <v>74</v>
      </c>
      <c r="V63" s="3" t="s">
        <v>1406</v>
      </c>
      <c r="W63" t="s">
        <v>74</v>
      </c>
      <c r="X63" t="s">
        <v>74</v>
      </c>
      <c r="Y63" t="s">
        <v>74</v>
      </c>
      <c r="Z63" t="s">
        <v>74</v>
      </c>
      <c r="AA63" t="s">
        <v>74</v>
      </c>
      <c r="AB63" t="s">
        <v>1407</v>
      </c>
      <c r="AC63" t="s">
        <v>74</v>
      </c>
      <c r="AD63" t="s">
        <v>74</v>
      </c>
      <c r="AE63" t="s">
        <v>74</v>
      </c>
      <c r="AF63" t="s">
        <v>74</v>
      </c>
      <c r="AG63" t="s">
        <v>74</v>
      </c>
      <c r="AH63" t="s">
        <v>74</v>
      </c>
      <c r="AI63" t="s">
        <v>74</v>
      </c>
      <c r="AJ63" t="s">
        <v>74</v>
      </c>
      <c r="AK63" t="s">
        <v>74</v>
      </c>
      <c r="AL63" t="s">
        <v>74</v>
      </c>
      <c r="AM63" t="s">
        <v>74</v>
      </c>
      <c r="AN63" t="s">
        <v>74</v>
      </c>
      <c r="AO63" t="s">
        <v>401</v>
      </c>
      <c r="AP63" t="s">
        <v>402</v>
      </c>
      <c r="AQ63" t="s">
        <v>74</v>
      </c>
      <c r="AR63" t="s">
        <v>74</v>
      </c>
      <c r="AS63" t="s">
        <v>74</v>
      </c>
      <c r="AT63" t="s">
        <v>204</v>
      </c>
      <c r="AU63">
        <v>2020</v>
      </c>
      <c r="AV63">
        <v>19</v>
      </c>
      <c r="AW63">
        <v>6</v>
      </c>
      <c r="AX63" t="s">
        <v>74</v>
      </c>
      <c r="AY63" t="s">
        <v>74</v>
      </c>
      <c r="AZ63" t="s">
        <v>74</v>
      </c>
      <c r="BA63" t="s">
        <v>74</v>
      </c>
      <c r="BB63" t="s">
        <v>74</v>
      </c>
      <c r="BC63" t="s">
        <v>74</v>
      </c>
      <c r="BD63" t="s">
        <v>1408</v>
      </c>
      <c r="BE63" t="s">
        <v>1409</v>
      </c>
      <c r="BF63" t="str">
        <f>HYPERLINK("http://dx.doi.org/10.1111/gbb.12657","http://dx.doi.org/10.1111/gbb.12657")</f>
        <v>http://dx.doi.org/10.1111/gbb.12657</v>
      </c>
      <c r="BG63" t="s">
        <v>74</v>
      </c>
      <c r="BH63" t="s">
        <v>1410</v>
      </c>
      <c r="BI63" t="s">
        <v>74</v>
      </c>
      <c r="BJ63" t="s">
        <v>74</v>
      </c>
      <c r="BK63" t="s">
        <v>74</v>
      </c>
      <c r="BL63" t="s">
        <v>74</v>
      </c>
      <c r="BM63" t="s">
        <v>74</v>
      </c>
      <c r="BN63">
        <v>32323443</v>
      </c>
      <c r="BO63" t="s">
        <v>74</v>
      </c>
      <c r="BP63" t="s">
        <v>74</v>
      </c>
      <c r="BQ63" t="s">
        <v>74</v>
      </c>
      <c r="BR63" t="s">
        <v>74</v>
      </c>
      <c r="BS63" t="s">
        <v>1411</v>
      </c>
      <c r="BT63" t="str">
        <f>HYPERLINK("https%3A%2F%2Fwww.webofscience.com%2Fwos%2Fwoscc%2Ffull-record%2FWOS:000530887300001","View Full Record in Web of Science")</f>
        <v>View Full Record in Web of Science</v>
      </c>
    </row>
    <row r="64" spans="1:72" x14ac:dyDescent="0.4">
      <c r="A64" t="s">
        <v>72</v>
      </c>
      <c r="B64" t="s">
        <v>8390</v>
      </c>
      <c r="C64" t="s">
        <v>74</v>
      </c>
      <c r="D64" t="s">
        <v>74</v>
      </c>
      <c r="E64" t="s">
        <v>74</v>
      </c>
      <c r="F64" t="s">
        <v>8391</v>
      </c>
      <c r="G64" t="s">
        <v>74</v>
      </c>
      <c r="H64" t="s">
        <v>74</v>
      </c>
      <c r="I64" t="s">
        <v>8392</v>
      </c>
      <c r="J64" t="s">
        <v>140</v>
      </c>
      <c r="K64" t="s">
        <v>74</v>
      </c>
      <c r="L64" t="s">
        <v>74</v>
      </c>
      <c r="M64" t="s">
        <v>74</v>
      </c>
      <c r="N64" t="s">
        <v>74</v>
      </c>
      <c r="O64" t="s">
        <v>74</v>
      </c>
      <c r="P64" t="s">
        <v>74</v>
      </c>
      <c r="Q64" t="s">
        <v>74</v>
      </c>
      <c r="R64" t="s">
        <v>74</v>
      </c>
      <c r="S64" t="s">
        <v>74</v>
      </c>
      <c r="T64" t="s">
        <v>74</v>
      </c>
      <c r="U64" t="s">
        <v>74</v>
      </c>
      <c r="V64" s="3" t="s">
        <v>8393</v>
      </c>
      <c r="W64" t="s">
        <v>74</v>
      </c>
      <c r="X64" t="s">
        <v>74</v>
      </c>
      <c r="Y64" t="s">
        <v>74</v>
      </c>
      <c r="Z64" t="s">
        <v>74</v>
      </c>
      <c r="AA64" t="s">
        <v>8394</v>
      </c>
      <c r="AB64" t="s">
        <v>8395</v>
      </c>
      <c r="AC64" t="s">
        <v>74</v>
      </c>
      <c r="AD64" t="s">
        <v>74</v>
      </c>
      <c r="AE64" t="s">
        <v>74</v>
      </c>
      <c r="AF64" t="s">
        <v>74</v>
      </c>
      <c r="AG64" t="s">
        <v>74</v>
      </c>
      <c r="AH64" t="s">
        <v>74</v>
      </c>
      <c r="AI64" t="s">
        <v>74</v>
      </c>
      <c r="AJ64" t="s">
        <v>74</v>
      </c>
      <c r="AK64" t="s">
        <v>74</v>
      </c>
      <c r="AL64" t="s">
        <v>74</v>
      </c>
      <c r="AM64" t="s">
        <v>74</v>
      </c>
      <c r="AN64" t="s">
        <v>74</v>
      </c>
      <c r="AO64" t="s">
        <v>143</v>
      </c>
      <c r="AP64" t="s">
        <v>144</v>
      </c>
      <c r="AQ64" t="s">
        <v>74</v>
      </c>
      <c r="AR64" t="s">
        <v>74</v>
      </c>
      <c r="AS64" t="s">
        <v>74</v>
      </c>
      <c r="AT64" t="s">
        <v>102</v>
      </c>
      <c r="AU64">
        <v>2020</v>
      </c>
      <c r="AV64">
        <v>164</v>
      </c>
      <c r="AW64" t="s">
        <v>74</v>
      </c>
      <c r="AX64" t="s">
        <v>74</v>
      </c>
      <c r="AY64" t="s">
        <v>74</v>
      </c>
      <c r="AZ64" t="s">
        <v>74</v>
      </c>
      <c r="BA64" t="s">
        <v>74</v>
      </c>
      <c r="BB64">
        <v>91</v>
      </c>
      <c r="BC64">
        <v>98</v>
      </c>
      <c r="BD64" t="s">
        <v>74</v>
      </c>
      <c r="BE64" t="s">
        <v>8396</v>
      </c>
      <c r="BF64" t="str">
        <f>HYPERLINK("http://dx.doi.org/10.1016/j.anbehav.2020.04.002","http://dx.doi.org/10.1016/j.anbehav.2020.04.002")</f>
        <v>http://dx.doi.org/10.1016/j.anbehav.2020.04.002</v>
      </c>
      <c r="BG64" t="s">
        <v>74</v>
      </c>
      <c r="BH64" t="s">
        <v>74</v>
      </c>
      <c r="BI64" t="s">
        <v>74</v>
      </c>
      <c r="BJ64" t="s">
        <v>74</v>
      </c>
      <c r="BK64" t="s">
        <v>74</v>
      </c>
      <c r="BL64" t="s">
        <v>74</v>
      </c>
      <c r="BM64" t="s">
        <v>74</v>
      </c>
      <c r="BN64" t="s">
        <v>74</v>
      </c>
      <c r="BO64" t="s">
        <v>74</v>
      </c>
      <c r="BP64" t="s">
        <v>74</v>
      </c>
      <c r="BQ64" t="s">
        <v>74</v>
      </c>
      <c r="BR64" t="s">
        <v>74</v>
      </c>
      <c r="BS64" t="s">
        <v>8397</v>
      </c>
      <c r="BT64" t="str">
        <f>HYPERLINK("https%3A%2F%2Fwww.webofscience.com%2Fwos%2Fwoscc%2Ffull-record%2FWOS:000539211900009","View Full Record in Web of Science")</f>
        <v>View Full Record in Web of Science</v>
      </c>
    </row>
    <row r="65" spans="1:72" x14ac:dyDescent="0.4">
      <c r="A65" t="s">
        <v>72</v>
      </c>
      <c r="B65" t="s">
        <v>4137</v>
      </c>
      <c r="C65" t="s">
        <v>74</v>
      </c>
      <c r="D65" t="s">
        <v>74</v>
      </c>
      <c r="E65" t="s">
        <v>74</v>
      </c>
      <c r="F65" t="s">
        <v>4137</v>
      </c>
      <c r="G65" t="s">
        <v>74</v>
      </c>
      <c r="H65" t="s">
        <v>74</v>
      </c>
      <c r="I65" t="s">
        <v>4138</v>
      </c>
      <c r="J65" t="s">
        <v>4139</v>
      </c>
      <c r="K65" t="s">
        <v>74</v>
      </c>
      <c r="L65" t="s">
        <v>74</v>
      </c>
      <c r="M65" t="s">
        <v>74</v>
      </c>
      <c r="N65" t="s">
        <v>74</v>
      </c>
      <c r="O65" t="s">
        <v>74</v>
      </c>
      <c r="P65" t="s">
        <v>74</v>
      </c>
      <c r="Q65" t="s">
        <v>74</v>
      </c>
      <c r="R65" t="s">
        <v>74</v>
      </c>
      <c r="S65" t="s">
        <v>74</v>
      </c>
      <c r="T65" t="s">
        <v>74</v>
      </c>
      <c r="U65" t="s">
        <v>74</v>
      </c>
      <c r="V65" s="3" t="s">
        <v>4140</v>
      </c>
      <c r="W65" t="s">
        <v>74</v>
      </c>
      <c r="X65" t="s">
        <v>74</v>
      </c>
      <c r="Y65" t="s">
        <v>74</v>
      </c>
      <c r="Z65" t="s">
        <v>74</v>
      </c>
      <c r="AA65" t="s">
        <v>74</v>
      </c>
      <c r="AB65" t="s">
        <v>74</v>
      </c>
      <c r="AC65" t="s">
        <v>74</v>
      </c>
      <c r="AD65" t="s">
        <v>74</v>
      </c>
      <c r="AE65" t="s">
        <v>74</v>
      </c>
      <c r="AF65" t="s">
        <v>74</v>
      </c>
      <c r="AG65" t="s">
        <v>74</v>
      </c>
      <c r="AH65" t="s">
        <v>74</v>
      </c>
      <c r="AI65" t="s">
        <v>74</v>
      </c>
      <c r="AJ65" t="s">
        <v>74</v>
      </c>
      <c r="AK65" t="s">
        <v>74</v>
      </c>
      <c r="AL65" t="s">
        <v>74</v>
      </c>
      <c r="AM65" t="s">
        <v>74</v>
      </c>
      <c r="AN65" t="s">
        <v>74</v>
      </c>
      <c r="AO65" t="s">
        <v>4141</v>
      </c>
      <c r="AP65" t="s">
        <v>74</v>
      </c>
      <c r="AQ65" t="s">
        <v>74</v>
      </c>
      <c r="AR65" t="s">
        <v>74</v>
      </c>
      <c r="AS65" t="s">
        <v>74</v>
      </c>
      <c r="AT65" t="s">
        <v>74</v>
      </c>
      <c r="AU65">
        <v>1992</v>
      </c>
      <c r="AV65">
        <v>32</v>
      </c>
      <c r="AW65">
        <v>1</v>
      </c>
      <c r="AX65" t="s">
        <v>74</v>
      </c>
      <c r="AY65" t="s">
        <v>74</v>
      </c>
      <c r="AZ65" t="s">
        <v>74</v>
      </c>
      <c r="BA65" t="s">
        <v>74</v>
      </c>
      <c r="BB65">
        <v>91</v>
      </c>
      <c r="BC65">
        <v>99</v>
      </c>
      <c r="BD65" t="s">
        <v>74</v>
      </c>
      <c r="BE65" t="s">
        <v>74</v>
      </c>
      <c r="BF65" t="s">
        <v>74</v>
      </c>
      <c r="BG65" t="s">
        <v>74</v>
      </c>
      <c r="BH65" t="s">
        <v>74</v>
      </c>
      <c r="BI65" t="s">
        <v>74</v>
      </c>
      <c r="BJ65" t="s">
        <v>74</v>
      </c>
      <c r="BK65" t="s">
        <v>74</v>
      </c>
      <c r="BL65" t="s">
        <v>74</v>
      </c>
      <c r="BM65" t="s">
        <v>74</v>
      </c>
      <c r="BN65" t="s">
        <v>74</v>
      </c>
      <c r="BO65" t="s">
        <v>74</v>
      </c>
      <c r="BP65" t="s">
        <v>74</v>
      </c>
      <c r="BQ65" t="s">
        <v>74</v>
      </c>
      <c r="BR65" t="s">
        <v>74</v>
      </c>
      <c r="BS65" t="s">
        <v>4142</v>
      </c>
      <c r="BT65" t="str">
        <f>HYPERLINK("https%3A%2F%2Fwww.webofscience.com%2Fwos%2Fwoscc%2Ffull-record%2FWOS:A1992JK51200010","View Full Record in Web of Science")</f>
        <v>View Full Record in Web of Science</v>
      </c>
    </row>
    <row r="66" spans="1:72" x14ac:dyDescent="0.4">
      <c r="A66" t="s">
        <v>72</v>
      </c>
      <c r="B66" t="s">
        <v>4137</v>
      </c>
      <c r="C66" t="s">
        <v>74</v>
      </c>
      <c r="D66" t="s">
        <v>74</v>
      </c>
      <c r="E66" t="s">
        <v>74</v>
      </c>
      <c r="F66" t="s">
        <v>4137</v>
      </c>
      <c r="G66" t="s">
        <v>74</v>
      </c>
      <c r="H66" t="s">
        <v>74</v>
      </c>
      <c r="I66" t="s">
        <v>7408</v>
      </c>
      <c r="J66" t="s">
        <v>344</v>
      </c>
      <c r="K66" t="s">
        <v>74</v>
      </c>
      <c r="L66" t="s">
        <v>74</v>
      </c>
      <c r="M66" t="s">
        <v>74</v>
      </c>
      <c r="N66" t="s">
        <v>74</v>
      </c>
      <c r="O66" t="s">
        <v>74</v>
      </c>
      <c r="P66" t="s">
        <v>74</v>
      </c>
      <c r="Q66" t="s">
        <v>74</v>
      </c>
      <c r="R66" t="s">
        <v>74</v>
      </c>
      <c r="S66" t="s">
        <v>74</v>
      </c>
      <c r="T66" t="s">
        <v>74</v>
      </c>
      <c r="U66" t="s">
        <v>74</v>
      </c>
      <c r="V66" s="3" t="s">
        <v>7409</v>
      </c>
      <c r="W66" t="s">
        <v>74</v>
      </c>
      <c r="X66" t="s">
        <v>74</v>
      </c>
      <c r="Y66" t="s">
        <v>74</v>
      </c>
      <c r="Z66" t="s">
        <v>74</v>
      </c>
      <c r="AA66" t="s">
        <v>74</v>
      </c>
      <c r="AB66" t="s">
        <v>74</v>
      </c>
      <c r="AC66" t="s">
        <v>74</v>
      </c>
      <c r="AD66" t="s">
        <v>74</v>
      </c>
      <c r="AE66" t="s">
        <v>74</v>
      </c>
      <c r="AF66" t="s">
        <v>74</v>
      </c>
      <c r="AG66" t="s">
        <v>74</v>
      </c>
      <c r="AH66" t="s">
        <v>74</v>
      </c>
      <c r="AI66" t="s">
        <v>74</v>
      </c>
      <c r="AJ66" t="s">
        <v>74</v>
      </c>
      <c r="AK66" t="s">
        <v>74</v>
      </c>
      <c r="AL66" t="s">
        <v>74</v>
      </c>
      <c r="AM66" t="s">
        <v>74</v>
      </c>
      <c r="AN66" t="s">
        <v>74</v>
      </c>
      <c r="AO66" t="s">
        <v>346</v>
      </c>
      <c r="AP66" t="s">
        <v>6569</v>
      </c>
      <c r="AQ66" t="s">
        <v>74</v>
      </c>
      <c r="AR66" t="s">
        <v>74</v>
      </c>
      <c r="AS66" t="s">
        <v>74</v>
      </c>
      <c r="AT66" t="s">
        <v>213</v>
      </c>
      <c r="AU66">
        <v>1987</v>
      </c>
      <c r="AV66">
        <v>20</v>
      </c>
      <c r="AW66">
        <v>3</v>
      </c>
      <c r="AX66" t="s">
        <v>74</v>
      </c>
      <c r="AY66" t="s">
        <v>74</v>
      </c>
      <c r="AZ66" t="s">
        <v>74</v>
      </c>
      <c r="BA66" t="s">
        <v>74</v>
      </c>
      <c r="BB66">
        <v>183</v>
      </c>
      <c r="BC66">
        <v>194</v>
      </c>
      <c r="BD66" t="s">
        <v>74</v>
      </c>
      <c r="BE66" t="s">
        <v>7410</v>
      </c>
      <c r="BF66" t="str">
        <f>HYPERLINK("http://dx.doi.org/10.1007/BF00004953","http://dx.doi.org/10.1007/BF00004953")</f>
        <v>http://dx.doi.org/10.1007/BF00004953</v>
      </c>
      <c r="BG66" t="s">
        <v>74</v>
      </c>
      <c r="BH66" t="s">
        <v>74</v>
      </c>
      <c r="BI66" t="s">
        <v>74</v>
      </c>
      <c r="BJ66" t="s">
        <v>74</v>
      </c>
      <c r="BK66" t="s">
        <v>74</v>
      </c>
      <c r="BL66" t="s">
        <v>74</v>
      </c>
      <c r="BM66" t="s">
        <v>74</v>
      </c>
      <c r="BN66" t="s">
        <v>74</v>
      </c>
      <c r="BO66" t="s">
        <v>74</v>
      </c>
      <c r="BP66" t="s">
        <v>74</v>
      </c>
      <c r="BQ66" t="s">
        <v>74</v>
      </c>
      <c r="BR66" t="s">
        <v>74</v>
      </c>
      <c r="BS66" t="s">
        <v>7411</v>
      </c>
      <c r="BT66" t="str">
        <f>HYPERLINK("https%3A%2F%2Fwww.webofscience.com%2Fwos%2Fwoscc%2Ffull-record%2FWOS:A1987K628700003","View Full Record in Web of Science")</f>
        <v>View Full Record in Web of Science</v>
      </c>
    </row>
    <row r="67" spans="1:72" x14ac:dyDescent="0.4">
      <c r="A67" t="s">
        <v>72</v>
      </c>
      <c r="B67" t="s">
        <v>2808</v>
      </c>
      <c r="C67" t="s">
        <v>74</v>
      </c>
      <c r="D67" t="s">
        <v>74</v>
      </c>
      <c r="E67" t="s">
        <v>74</v>
      </c>
      <c r="F67" t="s">
        <v>2808</v>
      </c>
      <c r="G67" t="s">
        <v>74</v>
      </c>
      <c r="H67" t="s">
        <v>74</v>
      </c>
      <c r="I67" t="s">
        <v>2809</v>
      </c>
      <c r="J67" t="s">
        <v>77</v>
      </c>
      <c r="K67" t="s">
        <v>74</v>
      </c>
      <c r="L67" t="s">
        <v>74</v>
      </c>
      <c r="M67" t="s">
        <v>74</v>
      </c>
      <c r="N67" t="s">
        <v>74</v>
      </c>
      <c r="O67" t="s">
        <v>74</v>
      </c>
      <c r="P67" t="s">
        <v>74</v>
      </c>
      <c r="Q67" t="s">
        <v>74</v>
      </c>
      <c r="R67" t="s">
        <v>74</v>
      </c>
      <c r="S67" t="s">
        <v>74</v>
      </c>
      <c r="T67" t="s">
        <v>74</v>
      </c>
      <c r="U67" t="s">
        <v>74</v>
      </c>
      <c r="V67" s="3" t="s">
        <v>74</v>
      </c>
      <c r="W67" t="s">
        <v>74</v>
      </c>
      <c r="X67" t="s">
        <v>74</v>
      </c>
      <c r="Y67" t="s">
        <v>74</v>
      </c>
      <c r="Z67" t="s">
        <v>74</v>
      </c>
      <c r="AA67" t="s">
        <v>74</v>
      </c>
      <c r="AB67" t="s">
        <v>74</v>
      </c>
      <c r="AC67" t="s">
        <v>74</v>
      </c>
      <c r="AD67" t="s">
        <v>74</v>
      </c>
      <c r="AE67" t="s">
        <v>74</v>
      </c>
      <c r="AF67" t="s">
        <v>74</v>
      </c>
      <c r="AG67" t="s">
        <v>74</v>
      </c>
      <c r="AH67" t="s">
        <v>74</v>
      </c>
      <c r="AI67" t="s">
        <v>74</v>
      </c>
      <c r="AJ67" t="s">
        <v>74</v>
      </c>
      <c r="AK67" t="s">
        <v>74</v>
      </c>
      <c r="AL67" t="s">
        <v>74</v>
      </c>
      <c r="AM67" t="s">
        <v>74</v>
      </c>
      <c r="AN67" t="s">
        <v>74</v>
      </c>
      <c r="AO67" t="s">
        <v>81</v>
      </c>
      <c r="AP67" t="s">
        <v>74</v>
      </c>
      <c r="AQ67" t="s">
        <v>74</v>
      </c>
      <c r="AR67" t="s">
        <v>74</v>
      </c>
      <c r="AS67" t="s">
        <v>74</v>
      </c>
      <c r="AT67" t="s">
        <v>74</v>
      </c>
      <c r="AU67">
        <v>1975</v>
      </c>
      <c r="AV67">
        <v>54</v>
      </c>
      <c r="AW67" t="s">
        <v>74</v>
      </c>
      <c r="AX67" t="s">
        <v>74</v>
      </c>
      <c r="AY67" t="s">
        <v>74</v>
      </c>
      <c r="AZ67" t="s">
        <v>74</v>
      </c>
      <c r="BA67" t="s">
        <v>74</v>
      </c>
      <c r="BB67">
        <v>72</v>
      </c>
      <c r="BC67">
        <v>96</v>
      </c>
      <c r="BD67" t="s">
        <v>74</v>
      </c>
      <c r="BE67" t="s">
        <v>2810</v>
      </c>
      <c r="BF67" t="str">
        <f>HYPERLINK("http://dx.doi.org/10.1163/156853975X00344","http://dx.doi.org/10.1163/156853975X00344")</f>
        <v>http://dx.doi.org/10.1163/156853975X00344</v>
      </c>
      <c r="BG67" t="s">
        <v>74</v>
      </c>
      <c r="BH67" t="s">
        <v>74</v>
      </c>
      <c r="BI67" t="s">
        <v>74</v>
      </c>
      <c r="BJ67" t="s">
        <v>74</v>
      </c>
      <c r="BK67" t="s">
        <v>74</v>
      </c>
      <c r="BL67" t="s">
        <v>74</v>
      </c>
      <c r="BM67" t="s">
        <v>74</v>
      </c>
      <c r="BN67" t="s">
        <v>74</v>
      </c>
      <c r="BO67" t="s">
        <v>74</v>
      </c>
      <c r="BP67" t="s">
        <v>74</v>
      </c>
      <c r="BQ67" t="s">
        <v>74</v>
      </c>
      <c r="BR67" t="s">
        <v>74</v>
      </c>
      <c r="BS67" t="s">
        <v>2811</v>
      </c>
      <c r="BT67" t="str">
        <f>HYPERLINK("https%3A%2F%2Fwww.webofscience.com%2Fwos%2Fwoscc%2Ffull-record%2FWOS:A1975AN77800005","View Full Record in Web of Science")</f>
        <v>View Full Record in Web of Science</v>
      </c>
    </row>
    <row r="68" spans="1:72" x14ac:dyDescent="0.4">
      <c r="A68" t="s">
        <v>72</v>
      </c>
      <c r="B68" t="s">
        <v>1316</v>
      </c>
      <c r="C68" t="s">
        <v>74</v>
      </c>
      <c r="D68" t="s">
        <v>74</v>
      </c>
      <c r="E68" t="s">
        <v>74</v>
      </c>
      <c r="F68" t="s">
        <v>1316</v>
      </c>
      <c r="G68" t="s">
        <v>74</v>
      </c>
      <c r="H68" t="s">
        <v>74</v>
      </c>
      <c r="I68" t="s">
        <v>1317</v>
      </c>
      <c r="J68" t="s">
        <v>77</v>
      </c>
      <c r="K68" t="s">
        <v>74</v>
      </c>
      <c r="L68" t="s">
        <v>74</v>
      </c>
      <c r="M68" t="s">
        <v>74</v>
      </c>
      <c r="N68" t="s">
        <v>74</v>
      </c>
      <c r="O68" t="s">
        <v>74</v>
      </c>
      <c r="P68" t="s">
        <v>74</v>
      </c>
      <c r="Q68" t="s">
        <v>74</v>
      </c>
      <c r="R68" t="s">
        <v>74</v>
      </c>
      <c r="S68" t="s">
        <v>74</v>
      </c>
      <c r="T68" t="s">
        <v>74</v>
      </c>
      <c r="U68" t="s">
        <v>74</v>
      </c>
      <c r="V68" s="3" t="s">
        <v>1318</v>
      </c>
      <c r="W68" t="s">
        <v>74</v>
      </c>
      <c r="X68" t="s">
        <v>74</v>
      </c>
      <c r="Y68" t="s">
        <v>74</v>
      </c>
      <c r="Z68" t="s">
        <v>74</v>
      </c>
      <c r="AA68" t="s">
        <v>74</v>
      </c>
      <c r="AB68" t="s">
        <v>74</v>
      </c>
      <c r="AC68" t="s">
        <v>74</v>
      </c>
      <c r="AD68" t="s">
        <v>74</v>
      </c>
      <c r="AE68" t="s">
        <v>74</v>
      </c>
      <c r="AF68" t="s">
        <v>74</v>
      </c>
      <c r="AG68" t="s">
        <v>74</v>
      </c>
      <c r="AH68" t="s">
        <v>74</v>
      </c>
      <c r="AI68" t="s">
        <v>74</v>
      </c>
      <c r="AJ68" t="s">
        <v>74</v>
      </c>
      <c r="AK68" t="s">
        <v>74</v>
      </c>
      <c r="AL68" t="s">
        <v>74</v>
      </c>
      <c r="AM68" t="s">
        <v>74</v>
      </c>
      <c r="AN68" t="s">
        <v>74</v>
      </c>
      <c r="AO68" t="s">
        <v>81</v>
      </c>
      <c r="AP68" t="s">
        <v>82</v>
      </c>
      <c r="AQ68" t="s">
        <v>74</v>
      </c>
      <c r="AR68" t="s">
        <v>74</v>
      </c>
      <c r="AS68" t="s">
        <v>74</v>
      </c>
      <c r="AT68" t="s">
        <v>74</v>
      </c>
      <c r="AU68">
        <v>1982</v>
      </c>
      <c r="AV68">
        <v>80</v>
      </c>
      <c r="AW68" t="s">
        <v>74</v>
      </c>
      <c r="AX68" t="s">
        <v>1276</v>
      </c>
      <c r="AY68" t="s">
        <v>74</v>
      </c>
      <c r="AZ68" t="s">
        <v>74</v>
      </c>
      <c r="BA68" t="s">
        <v>74</v>
      </c>
      <c r="BB68">
        <v>127</v>
      </c>
      <c r="BC68">
        <v>142</v>
      </c>
      <c r="BD68" t="s">
        <v>74</v>
      </c>
      <c r="BE68" t="s">
        <v>1319</v>
      </c>
      <c r="BF68" t="str">
        <f>HYPERLINK("http://dx.doi.org/10.1163/156853982X00328","http://dx.doi.org/10.1163/156853982X00328")</f>
        <v>http://dx.doi.org/10.1163/156853982X00328</v>
      </c>
      <c r="BG68" t="s">
        <v>74</v>
      </c>
      <c r="BH68" t="s">
        <v>74</v>
      </c>
      <c r="BI68" t="s">
        <v>74</v>
      </c>
      <c r="BJ68" t="s">
        <v>74</v>
      </c>
      <c r="BK68" t="s">
        <v>74</v>
      </c>
      <c r="BL68" t="s">
        <v>74</v>
      </c>
      <c r="BM68" t="s">
        <v>74</v>
      </c>
      <c r="BN68" t="s">
        <v>74</v>
      </c>
      <c r="BO68" t="s">
        <v>74</v>
      </c>
      <c r="BP68" t="s">
        <v>74</v>
      </c>
      <c r="BQ68" t="s">
        <v>74</v>
      </c>
      <c r="BR68" t="s">
        <v>74</v>
      </c>
      <c r="BS68" t="s">
        <v>1320</v>
      </c>
      <c r="BT68" t="str">
        <f>HYPERLINK("https%3A%2F%2Fwww.webofscience.com%2Fwos%2Fwoscc%2Ffull-record%2FWOS:A1982PH83900001","View Full Record in Web of Science")</f>
        <v>View Full Record in Web of Science</v>
      </c>
    </row>
    <row r="69" spans="1:72" x14ac:dyDescent="0.4">
      <c r="A69" t="s">
        <v>72</v>
      </c>
      <c r="B69" t="s">
        <v>4331</v>
      </c>
      <c r="C69" t="s">
        <v>74</v>
      </c>
      <c r="D69" t="s">
        <v>74</v>
      </c>
      <c r="E69" t="s">
        <v>74</v>
      </c>
      <c r="F69" t="s">
        <v>4331</v>
      </c>
      <c r="G69" t="s">
        <v>74</v>
      </c>
      <c r="H69" t="s">
        <v>74</v>
      </c>
      <c r="I69" t="s">
        <v>4332</v>
      </c>
      <c r="J69" t="s">
        <v>4333</v>
      </c>
      <c r="K69" t="s">
        <v>74</v>
      </c>
      <c r="L69" t="s">
        <v>74</v>
      </c>
      <c r="M69" t="s">
        <v>74</v>
      </c>
      <c r="N69" t="s">
        <v>74</v>
      </c>
      <c r="O69" t="s">
        <v>74</v>
      </c>
      <c r="P69" t="s">
        <v>74</v>
      </c>
      <c r="Q69" t="s">
        <v>74</v>
      </c>
      <c r="R69" t="s">
        <v>74</v>
      </c>
      <c r="S69" t="s">
        <v>74</v>
      </c>
      <c r="T69" t="s">
        <v>74</v>
      </c>
      <c r="U69" t="s">
        <v>74</v>
      </c>
      <c r="V69" s="3" t="s">
        <v>4334</v>
      </c>
      <c r="W69" t="s">
        <v>74</v>
      </c>
      <c r="X69" t="s">
        <v>74</v>
      </c>
      <c r="Y69" t="s">
        <v>74</v>
      </c>
      <c r="Z69" t="s">
        <v>74</v>
      </c>
      <c r="AA69" t="s">
        <v>74</v>
      </c>
      <c r="AB69" t="s">
        <v>74</v>
      </c>
      <c r="AC69" t="s">
        <v>74</v>
      </c>
      <c r="AD69" t="s">
        <v>74</v>
      </c>
      <c r="AE69" t="s">
        <v>74</v>
      </c>
      <c r="AF69" t="s">
        <v>74</v>
      </c>
      <c r="AG69" t="s">
        <v>74</v>
      </c>
      <c r="AH69" t="s">
        <v>74</v>
      </c>
      <c r="AI69" t="s">
        <v>74</v>
      </c>
      <c r="AJ69" t="s">
        <v>74</v>
      </c>
      <c r="AK69" t="s">
        <v>74</v>
      </c>
      <c r="AL69" t="s">
        <v>74</v>
      </c>
      <c r="AM69" t="s">
        <v>74</v>
      </c>
      <c r="AN69" t="s">
        <v>74</v>
      </c>
      <c r="AO69" t="s">
        <v>4335</v>
      </c>
      <c r="AP69" t="s">
        <v>74</v>
      </c>
      <c r="AQ69" t="s">
        <v>74</v>
      </c>
      <c r="AR69" t="s">
        <v>74</v>
      </c>
      <c r="AS69" t="s">
        <v>74</v>
      </c>
      <c r="AT69" t="s">
        <v>74</v>
      </c>
      <c r="AU69">
        <v>1984</v>
      </c>
      <c r="AV69">
        <v>9</v>
      </c>
      <c r="AW69">
        <v>2</v>
      </c>
      <c r="AX69" t="s">
        <v>74</v>
      </c>
      <c r="AY69" t="s">
        <v>74</v>
      </c>
      <c r="AZ69" t="s">
        <v>74</v>
      </c>
      <c r="BA69" t="s">
        <v>74</v>
      </c>
      <c r="BB69">
        <v>115</v>
      </c>
      <c r="BC69">
        <v>130</v>
      </c>
      <c r="BD69" t="s">
        <v>74</v>
      </c>
      <c r="BE69" t="s">
        <v>74</v>
      </c>
      <c r="BF69" t="s">
        <v>74</v>
      </c>
      <c r="BG69" t="s">
        <v>74</v>
      </c>
      <c r="BH69" t="s">
        <v>74</v>
      </c>
      <c r="BI69" t="s">
        <v>74</v>
      </c>
      <c r="BJ69" t="s">
        <v>74</v>
      </c>
      <c r="BK69" t="s">
        <v>74</v>
      </c>
      <c r="BL69" t="s">
        <v>74</v>
      </c>
      <c r="BM69" t="s">
        <v>74</v>
      </c>
      <c r="BN69" t="s">
        <v>74</v>
      </c>
      <c r="BO69" t="s">
        <v>74</v>
      </c>
      <c r="BP69" t="s">
        <v>74</v>
      </c>
      <c r="BQ69" t="s">
        <v>74</v>
      </c>
      <c r="BR69" t="s">
        <v>74</v>
      </c>
      <c r="BS69" t="s">
        <v>4336</v>
      </c>
      <c r="BT69" t="str">
        <f>HYPERLINK("https%3A%2F%2Fwww.webofscience.com%2Fwos%2Fwoscc%2Ffull-record%2FWOS:A1984SS90700002","View Full Record in Web of Science")</f>
        <v>View Full Record in Web of Science</v>
      </c>
    </row>
    <row r="70" spans="1:72" x14ac:dyDescent="0.4">
      <c r="A70" t="s">
        <v>72</v>
      </c>
      <c r="B70" t="s">
        <v>6129</v>
      </c>
      <c r="C70" t="s">
        <v>74</v>
      </c>
      <c r="D70" t="s">
        <v>74</v>
      </c>
      <c r="E70" t="s">
        <v>74</v>
      </c>
      <c r="F70" t="s">
        <v>6129</v>
      </c>
      <c r="G70" t="s">
        <v>74</v>
      </c>
      <c r="H70" t="s">
        <v>74</v>
      </c>
      <c r="I70" t="s">
        <v>6130</v>
      </c>
      <c r="J70" t="s">
        <v>129</v>
      </c>
      <c r="K70" t="s">
        <v>74</v>
      </c>
      <c r="L70" t="s">
        <v>74</v>
      </c>
      <c r="M70" t="s">
        <v>74</v>
      </c>
      <c r="N70" t="s">
        <v>74</v>
      </c>
      <c r="O70" t="s">
        <v>74</v>
      </c>
      <c r="P70" t="s">
        <v>74</v>
      </c>
      <c r="Q70" t="s">
        <v>74</v>
      </c>
      <c r="R70" t="s">
        <v>74</v>
      </c>
      <c r="S70" t="s">
        <v>74</v>
      </c>
      <c r="T70" t="s">
        <v>74</v>
      </c>
      <c r="U70" t="s">
        <v>74</v>
      </c>
      <c r="V70" s="3" t="s">
        <v>6131</v>
      </c>
      <c r="W70" t="s">
        <v>74</v>
      </c>
      <c r="X70" t="s">
        <v>74</v>
      </c>
      <c r="Y70" t="s">
        <v>74</v>
      </c>
      <c r="Z70" t="s">
        <v>74</v>
      </c>
      <c r="AA70" t="s">
        <v>74</v>
      </c>
      <c r="AB70" t="s">
        <v>74</v>
      </c>
      <c r="AC70" t="s">
        <v>74</v>
      </c>
      <c r="AD70" t="s">
        <v>74</v>
      </c>
      <c r="AE70" t="s">
        <v>74</v>
      </c>
      <c r="AF70" t="s">
        <v>74</v>
      </c>
      <c r="AG70" t="s">
        <v>74</v>
      </c>
      <c r="AH70" t="s">
        <v>74</v>
      </c>
      <c r="AI70" t="s">
        <v>74</v>
      </c>
      <c r="AJ70" t="s">
        <v>74</v>
      </c>
      <c r="AK70" t="s">
        <v>74</v>
      </c>
      <c r="AL70" t="s">
        <v>74</v>
      </c>
      <c r="AM70" t="s">
        <v>74</v>
      </c>
      <c r="AN70" t="s">
        <v>74</v>
      </c>
      <c r="AO70" t="s">
        <v>132</v>
      </c>
      <c r="AP70" t="s">
        <v>133</v>
      </c>
      <c r="AQ70" t="s">
        <v>74</v>
      </c>
      <c r="AR70" t="s">
        <v>74</v>
      </c>
      <c r="AS70" t="s">
        <v>74</v>
      </c>
      <c r="AT70" t="s">
        <v>74</v>
      </c>
      <c r="AU70">
        <v>1986</v>
      </c>
      <c r="AV70">
        <v>19</v>
      </c>
      <c r="AW70">
        <v>1</v>
      </c>
      <c r="AX70" t="s">
        <v>74</v>
      </c>
      <c r="AY70" t="s">
        <v>74</v>
      </c>
      <c r="AZ70" t="s">
        <v>74</v>
      </c>
      <c r="BA70" t="s">
        <v>74</v>
      </c>
      <c r="BB70">
        <v>1</v>
      </c>
      <c r="BC70">
        <v>8</v>
      </c>
      <c r="BD70" t="s">
        <v>74</v>
      </c>
      <c r="BE70" t="s">
        <v>6132</v>
      </c>
      <c r="BF70" t="str">
        <f>HYPERLINK("http://dx.doi.org/10.1007/BF00303836","http://dx.doi.org/10.1007/BF00303836")</f>
        <v>http://dx.doi.org/10.1007/BF00303836</v>
      </c>
      <c r="BG70" t="s">
        <v>74</v>
      </c>
      <c r="BH70" t="s">
        <v>74</v>
      </c>
      <c r="BI70" t="s">
        <v>74</v>
      </c>
      <c r="BJ70" t="s">
        <v>74</v>
      </c>
      <c r="BK70" t="s">
        <v>74</v>
      </c>
      <c r="BL70" t="s">
        <v>74</v>
      </c>
      <c r="BM70" t="s">
        <v>74</v>
      </c>
      <c r="BN70" t="s">
        <v>74</v>
      </c>
      <c r="BO70" t="s">
        <v>74</v>
      </c>
      <c r="BP70" t="s">
        <v>74</v>
      </c>
      <c r="BQ70" t="s">
        <v>74</v>
      </c>
      <c r="BR70" t="s">
        <v>74</v>
      </c>
      <c r="BS70" t="s">
        <v>6133</v>
      </c>
      <c r="BT70" t="str">
        <f>HYPERLINK("https%3A%2F%2Fwww.webofscience.com%2Fwos%2Fwoscc%2Ffull-record%2FWOS:A1986C822500001","View Full Record in Web of Science")</f>
        <v>View Full Record in Web of Science</v>
      </c>
    </row>
    <row r="71" spans="1:72" x14ac:dyDescent="0.4">
      <c r="A71" t="s">
        <v>72</v>
      </c>
      <c r="B71" t="s">
        <v>3178</v>
      </c>
      <c r="C71" t="s">
        <v>74</v>
      </c>
      <c r="D71" t="s">
        <v>74</v>
      </c>
      <c r="E71" t="s">
        <v>74</v>
      </c>
      <c r="F71" t="s">
        <v>3178</v>
      </c>
      <c r="G71" t="s">
        <v>74</v>
      </c>
      <c r="H71" t="s">
        <v>74</v>
      </c>
      <c r="I71" t="s">
        <v>3179</v>
      </c>
      <c r="J71" t="s">
        <v>77</v>
      </c>
      <c r="K71" t="s">
        <v>74</v>
      </c>
      <c r="L71" t="s">
        <v>74</v>
      </c>
      <c r="M71" t="s">
        <v>74</v>
      </c>
      <c r="N71" t="s">
        <v>74</v>
      </c>
      <c r="O71" t="s">
        <v>74</v>
      </c>
      <c r="P71" t="s">
        <v>74</v>
      </c>
      <c r="Q71" t="s">
        <v>74</v>
      </c>
      <c r="R71" t="s">
        <v>74</v>
      </c>
      <c r="S71" t="s">
        <v>74</v>
      </c>
      <c r="T71" t="s">
        <v>74</v>
      </c>
      <c r="U71" t="s">
        <v>74</v>
      </c>
      <c r="V71" s="3" t="s">
        <v>3180</v>
      </c>
      <c r="W71" t="s">
        <v>74</v>
      </c>
      <c r="X71" t="s">
        <v>74</v>
      </c>
      <c r="Y71" t="s">
        <v>74</v>
      </c>
      <c r="Z71" t="s">
        <v>74</v>
      </c>
      <c r="AA71" t="s">
        <v>74</v>
      </c>
      <c r="AB71" t="s">
        <v>74</v>
      </c>
      <c r="AC71" t="s">
        <v>74</v>
      </c>
      <c r="AD71" t="s">
        <v>74</v>
      </c>
      <c r="AE71" t="s">
        <v>74</v>
      </c>
      <c r="AF71" t="s">
        <v>74</v>
      </c>
      <c r="AG71" t="s">
        <v>74</v>
      </c>
      <c r="AH71" t="s">
        <v>74</v>
      </c>
      <c r="AI71" t="s">
        <v>74</v>
      </c>
      <c r="AJ71" t="s">
        <v>74</v>
      </c>
      <c r="AK71" t="s">
        <v>74</v>
      </c>
      <c r="AL71" t="s">
        <v>74</v>
      </c>
      <c r="AM71" t="s">
        <v>74</v>
      </c>
      <c r="AN71" t="s">
        <v>74</v>
      </c>
      <c r="AO71" t="s">
        <v>81</v>
      </c>
      <c r="AP71" t="s">
        <v>74</v>
      </c>
      <c r="AQ71" t="s">
        <v>74</v>
      </c>
      <c r="AR71" t="s">
        <v>74</v>
      </c>
      <c r="AS71" t="s">
        <v>74</v>
      </c>
      <c r="AT71" t="s">
        <v>145</v>
      </c>
      <c r="AU71">
        <v>1994</v>
      </c>
      <c r="AV71">
        <v>130</v>
      </c>
      <c r="AW71" t="s">
        <v>74</v>
      </c>
      <c r="AX71" t="s">
        <v>548</v>
      </c>
      <c r="AY71" t="s">
        <v>74</v>
      </c>
      <c r="AZ71" t="s">
        <v>74</v>
      </c>
      <c r="BA71" t="s">
        <v>74</v>
      </c>
      <c r="BB71">
        <v>77</v>
      </c>
      <c r="BC71">
        <v>112</v>
      </c>
      <c r="BD71" t="s">
        <v>74</v>
      </c>
      <c r="BE71" t="s">
        <v>3181</v>
      </c>
      <c r="BF71" t="str">
        <f>HYPERLINK("http://dx.doi.org/10.1163/156853994X00154","http://dx.doi.org/10.1163/156853994X00154")</f>
        <v>http://dx.doi.org/10.1163/156853994X00154</v>
      </c>
      <c r="BG71" t="s">
        <v>74</v>
      </c>
      <c r="BH71" t="s">
        <v>74</v>
      </c>
      <c r="BI71" t="s">
        <v>74</v>
      </c>
      <c r="BJ71" t="s">
        <v>74</v>
      </c>
      <c r="BK71" t="s">
        <v>74</v>
      </c>
      <c r="BL71" t="s">
        <v>74</v>
      </c>
      <c r="BM71" t="s">
        <v>74</v>
      </c>
      <c r="BN71" t="s">
        <v>74</v>
      </c>
      <c r="BO71" t="s">
        <v>74</v>
      </c>
      <c r="BP71" t="s">
        <v>74</v>
      </c>
      <c r="BQ71" t="s">
        <v>74</v>
      </c>
      <c r="BR71" t="s">
        <v>74</v>
      </c>
      <c r="BS71" t="s">
        <v>3182</v>
      </c>
      <c r="BT71" t="str">
        <f>HYPERLINK("https%3A%2F%2Fwww.webofscience.com%2Fwos%2Fwoscc%2Ffull-record%2FWOS:A1994PR38500006","View Full Record in Web of Science")</f>
        <v>View Full Record in Web of Science</v>
      </c>
    </row>
    <row r="72" spans="1:72" x14ac:dyDescent="0.4">
      <c r="A72" t="s">
        <v>72</v>
      </c>
      <c r="B72" t="s">
        <v>325</v>
      </c>
      <c r="C72" t="s">
        <v>74</v>
      </c>
      <c r="D72" t="s">
        <v>74</v>
      </c>
      <c r="E72" t="s">
        <v>74</v>
      </c>
      <c r="F72" t="s">
        <v>325</v>
      </c>
      <c r="G72" t="s">
        <v>74</v>
      </c>
      <c r="H72" t="s">
        <v>74</v>
      </c>
      <c r="I72" t="s">
        <v>326</v>
      </c>
      <c r="J72" t="s">
        <v>140</v>
      </c>
      <c r="K72" t="s">
        <v>74</v>
      </c>
      <c r="L72" t="s">
        <v>74</v>
      </c>
      <c r="M72" t="s">
        <v>74</v>
      </c>
      <c r="N72" t="s">
        <v>74</v>
      </c>
      <c r="O72" t="s">
        <v>74</v>
      </c>
      <c r="P72" t="s">
        <v>74</v>
      </c>
      <c r="Q72" t="s">
        <v>74</v>
      </c>
      <c r="R72" t="s">
        <v>74</v>
      </c>
      <c r="S72" t="s">
        <v>74</v>
      </c>
      <c r="T72" t="s">
        <v>74</v>
      </c>
      <c r="U72" t="s">
        <v>74</v>
      </c>
      <c r="V72" s="3" t="s">
        <v>327</v>
      </c>
      <c r="W72" t="s">
        <v>74</v>
      </c>
      <c r="X72" t="s">
        <v>74</v>
      </c>
      <c r="Y72" t="s">
        <v>74</v>
      </c>
      <c r="Z72" t="s">
        <v>74</v>
      </c>
      <c r="AA72" t="s">
        <v>74</v>
      </c>
      <c r="AB72" t="s">
        <v>74</v>
      </c>
      <c r="AC72" t="s">
        <v>74</v>
      </c>
      <c r="AD72" t="s">
        <v>74</v>
      </c>
      <c r="AE72" t="s">
        <v>74</v>
      </c>
      <c r="AF72" t="s">
        <v>74</v>
      </c>
      <c r="AG72" t="s">
        <v>74</v>
      </c>
      <c r="AH72" t="s">
        <v>74</v>
      </c>
      <c r="AI72" t="s">
        <v>74</v>
      </c>
      <c r="AJ72" t="s">
        <v>74</v>
      </c>
      <c r="AK72" t="s">
        <v>74</v>
      </c>
      <c r="AL72" t="s">
        <v>74</v>
      </c>
      <c r="AM72" t="s">
        <v>74</v>
      </c>
      <c r="AN72" t="s">
        <v>74</v>
      </c>
      <c r="AO72" t="s">
        <v>143</v>
      </c>
      <c r="AP72" t="s">
        <v>144</v>
      </c>
      <c r="AQ72" t="s">
        <v>74</v>
      </c>
      <c r="AR72" t="s">
        <v>74</v>
      </c>
      <c r="AS72" t="s">
        <v>74</v>
      </c>
      <c r="AT72" t="s">
        <v>74</v>
      </c>
      <c r="AU72">
        <v>1976</v>
      </c>
      <c r="AV72">
        <v>24</v>
      </c>
      <c r="AW72" t="s">
        <v>213</v>
      </c>
      <c r="AX72" t="s">
        <v>74</v>
      </c>
      <c r="AY72" t="s">
        <v>74</v>
      </c>
      <c r="AZ72" t="s">
        <v>74</v>
      </c>
      <c r="BA72" t="s">
        <v>74</v>
      </c>
      <c r="BB72">
        <v>814</v>
      </c>
      <c r="BC72">
        <v>817</v>
      </c>
      <c r="BD72" t="s">
        <v>74</v>
      </c>
      <c r="BE72" t="s">
        <v>328</v>
      </c>
      <c r="BF72" t="str">
        <f>HYPERLINK("http://dx.doi.org/10.1016/S0003-3472(76)80011-5","http://dx.doi.org/10.1016/S0003-3472(76)80011-5")</f>
        <v>http://dx.doi.org/10.1016/S0003-3472(76)80011-5</v>
      </c>
      <c r="BG72" t="s">
        <v>74</v>
      </c>
      <c r="BH72" t="s">
        <v>74</v>
      </c>
      <c r="BI72" t="s">
        <v>74</v>
      </c>
      <c r="BJ72" t="s">
        <v>74</v>
      </c>
      <c r="BK72" t="s">
        <v>74</v>
      </c>
      <c r="BL72" t="s">
        <v>74</v>
      </c>
      <c r="BM72" t="s">
        <v>74</v>
      </c>
      <c r="BN72" t="s">
        <v>74</v>
      </c>
      <c r="BO72" t="s">
        <v>74</v>
      </c>
      <c r="BP72" t="s">
        <v>74</v>
      </c>
      <c r="BQ72" t="s">
        <v>74</v>
      </c>
      <c r="BR72" t="s">
        <v>74</v>
      </c>
      <c r="BS72" t="s">
        <v>329</v>
      </c>
      <c r="BT72" t="str">
        <f>HYPERLINK("https%3A%2F%2Fwww.webofscience.com%2Fwos%2Fwoscc%2Ffull-record%2FWOS:A1976CN83700010","View Full Record in Web of Science")</f>
        <v>View Full Record in Web of Science</v>
      </c>
    </row>
    <row r="73" spans="1:72" x14ac:dyDescent="0.4">
      <c r="A73" t="s">
        <v>72</v>
      </c>
      <c r="B73" t="s">
        <v>7190</v>
      </c>
      <c r="C73" t="s">
        <v>74</v>
      </c>
      <c r="D73" t="s">
        <v>74</v>
      </c>
      <c r="E73" t="s">
        <v>74</v>
      </c>
      <c r="F73" t="s">
        <v>7191</v>
      </c>
      <c r="G73" t="s">
        <v>74</v>
      </c>
      <c r="H73" t="s">
        <v>74</v>
      </c>
      <c r="I73" t="s">
        <v>7192</v>
      </c>
      <c r="J73" t="s">
        <v>4661</v>
      </c>
      <c r="K73" t="s">
        <v>74</v>
      </c>
      <c r="L73" t="s">
        <v>74</v>
      </c>
      <c r="M73" t="s">
        <v>74</v>
      </c>
      <c r="N73" t="s">
        <v>74</v>
      </c>
      <c r="O73" t="s">
        <v>74</v>
      </c>
      <c r="P73" t="s">
        <v>74</v>
      </c>
      <c r="Q73" t="s">
        <v>74</v>
      </c>
      <c r="R73" t="s">
        <v>74</v>
      </c>
      <c r="S73" t="s">
        <v>74</v>
      </c>
      <c r="T73" t="s">
        <v>74</v>
      </c>
      <c r="U73" t="s">
        <v>74</v>
      </c>
      <c r="V73" s="3" t="s">
        <v>7193</v>
      </c>
      <c r="W73" t="s">
        <v>74</v>
      </c>
      <c r="X73" t="s">
        <v>74</v>
      </c>
      <c r="Y73" t="s">
        <v>74</v>
      </c>
      <c r="Z73" t="s">
        <v>74</v>
      </c>
      <c r="AA73" t="s">
        <v>74</v>
      </c>
      <c r="AB73" t="s">
        <v>74</v>
      </c>
      <c r="AC73" t="s">
        <v>74</v>
      </c>
      <c r="AD73" t="s">
        <v>74</v>
      </c>
      <c r="AE73" t="s">
        <v>74</v>
      </c>
      <c r="AF73" t="s">
        <v>74</v>
      </c>
      <c r="AG73" t="s">
        <v>74</v>
      </c>
      <c r="AH73" t="s">
        <v>74</v>
      </c>
      <c r="AI73" t="s">
        <v>74</v>
      </c>
      <c r="AJ73" t="s">
        <v>74</v>
      </c>
      <c r="AK73" t="s">
        <v>74</v>
      </c>
      <c r="AL73" t="s">
        <v>74</v>
      </c>
      <c r="AM73" t="s">
        <v>74</v>
      </c>
      <c r="AN73" t="s">
        <v>74</v>
      </c>
      <c r="AO73" t="s">
        <v>4663</v>
      </c>
      <c r="AP73" t="s">
        <v>74</v>
      </c>
      <c r="AQ73" t="s">
        <v>74</v>
      </c>
      <c r="AR73" t="s">
        <v>74</v>
      </c>
      <c r="AS73" t="s">
        <v>74</v>
      </c>
      <c r="AT73" t="s">
        <v>74</v>
      </c>
      <c r="AU73">
        <v>2010</v>
      </c>
      <c r="AV73">
        <v>38</v>
      </c>
      <c r="AW73">
        <v>3</v>
      </c>
      <c r="AX73" t="s">
        <v>74</v>
      </c>
      <c r="AY73" t="s">
        <v>74</v>
      </c>
      <c r="AZ73" t="s">
        <v>74</v>
      </c>
      <c r="BA73" t="s">
        <v>74</v>
      </c>
      <c r="BB73">
        <v>485</v>
      </c>
      <c r="BC73">
        <v>494</v>
      </c>
      <c r="BD73" t="s">
        <v>74</v>
      </c>
      <c r="BE73" t="s">
        <v>7194</v>
      </c>
      <c r="BF73" t="str">
        <f>HYPERLINK("http://dx.doi.org/10.1636/B10-05.1","http://dx.doi.org/10.1636/B10-05.1")</f>
        <v>http://dx.doi.org/10.1636/B10-05.1</v>
      </c>
      <c r="BG73" t="s">
        <v>74</v>
      </c>
      <c r="BH73" t="s">
        <v>74</v>
      </c>
      <c r="BI73" t="s">
        <v>74</v>
      </c>
      <c r="BJ73" t="s">
        <v>74</v>
      </c>
      <c r="BK73" t="s">
        <v>74</v>
      </c>
      <c r="BL73" t="s">
        <v>74</v>
      </c>
      <c r="BM73" t="s">
        <v>74</v>
      </c>
      <c r="BN73" t="s">
        <v>74</v>
      </c>
      <c r="BO73" t="s">
        <v>74</v>
      </c>
      <c r="BP73" t="s">
        <v>74</v>
      </c>
      <c r="BQ73" t="s">
        <v>74</v>
      </c>
      <c r="BR73" t="s">
        <v>74</v>
      </c>
      <c r="BS73" t="s">
        <v>7195</v>
      </c>
      <c r="BT73" t="str">
        <f>HYPERLINK("https%3A%2F%2Fwww.webofscience.com%2Fwos%2Fwoscc%2Ffull-record%2FWOS:000297386000013","View Full Record in Web of Science")</f>
        <v>View Full Record in Web of Science</v>
      </c>
    </row>
    <row r="74" spans="1:72" x14ac:dyDescent="0.4">
      <c r="A74" t="s">
        <v>72</v>
      </c>
      <c r="B74" t="s">
        <v>4976</v>
      </c>
      <c r="C74" t="s">
        <v>74</v>
      </c>
      <c r="D74" t="s">
        <v>74</v>
      </c>
      <c r="E74" t="s">
        <v>74</v>
      </c>
      <c r="F74" t="s">
        <v>4977</v>
      </c>
      <c r="G74" t="s">
        <v>74</v>
      </c>
      <c r="H74" t="s">
        <v>74</v>
      </c>
      <c r="I74" t="s">
        <v>4978</v>
      </c>
      <c r="J74" t="s">
        <v>970</v>
      </c>
      <c r="K74" t="s">
        <v>74</v>
      </c>
      <c r="L74" t="s">
        <v>74</v>
      </c>
      <c r="M74" t="s">
        <v>74</v>
      </c>
      <c r="N74" t="s">
        <v>74</v>
      </c>
      <c r="O74" t="s">
        <v>74</v>
      </c>
      <c r="P74" t="s">
        <v>74</v>
      </c>
      <c r="Q74" t="s">
        <v>74</v>
      </c>
      <c r="R74" t="s">
        <v>74</v>
      </c>
      <c r="S74" t="s">
        <v>74</v>
      </c>
      <c r="T74" t="s">
        <v>74</v>
      </c>
      <c r="U74" t="s">
        <v>74</v>
      </c>
      <c r="V74" s="3" t="s">
        <v>4979</v>
      </c>
      <c r="W74" t="s">
        <v>74</v>
      </c>
      <c r="X74" t="s">
        <v>74</v>
      </c>
      <c r="Y74" t="s">
        <v>74</v>
      </c>
      <c r="Z74" t="s">
        <v>74</v>
      </c>
      <c r="AA74" t="s">
        <v>74</v>
      </c>
      <c r="AB74" t="s">
        <v>4980</v>
      </c>
      <c r="AC74" t="s">
        <v>74</v>
      </c>
      <c r="AD74" t="s">
        <v>74</v>
      </c>
      <c r="AE74" t="s">
        <v>74</v>
      </c>
      <c r="AF74" t="s">
        <v>74</v>
      </c>
      <c r="AG74" t="s">
        <v>74</v>
      </c>
      <c r="AH74" t="s">
        <v>74</v>
      </c>
      <c r="AI74" t="s">
        <v>74</v>
      </c>
      <c r="AJ74" t="s">
        <v>74</v>
      </c>
      <c r="AK74" t="s">
        <v>74</v>
      </c>
      <c r="AL74" t="s">
        <v>74</v>
      </c>
      <c r="AM74" t="s">
        <v>74</v>
      </c>
      <c r="AN74" t="s">
        <v>74</v>
      </c>
      <c r="AO74" t="s">
        <v>974</v>
      </c>
      <c r="AP74" t="s">
        <v>975</v>
      </c>
      <c r="AQ74" t="s">
        <v>74</v>
      </c>
      <c r="AR74" t="s">
        <v>74</v>
      </c>
      <c r="AS74" t="s">
        <v>74</v>
      </c>
      <c r="AT74" t="s">
        <v>204</v>
      </c>
      <c r="AU74">
        <v>2021</v>
      </c>
      <c r="AV74">
        <v>162</v>
      </c>
      <c r="AW74">
        <v>3</v>
      </c>
      <c r="AX74" t="s">
        <v>74</v>
      </c>
      <c r="AY74" t="s">
        <v>74</v>
      </c>
      <c r="AZ74" t="s">
        <v>74</v>
      </c>
      <c r="BA74" t="s">
        <v>74</v>
      </c>
      <c r="BB74">
        <v>737</v>
      </c>
      <c r="BC74">
        <v>748</v>
      </c>
      <c r="BD74" t="s">
        <v>74</v>
      </c>
      <c r="BE74" t="s">
        <v>4981</v>
      </c>
      <c r="BF74" t="str">
        <f>HYPERLINK("http://dx.doi.org/10.1007/s10336-021-01864-2","http://dx.doi.org/10.1007/s10336-021-01864-2")</f>
        <v>http://dx.doi.org/10.1007/s10336-021-01864-2</v>
      </c>
      <c r="BG74" t="s">
        <v>74</v>
      </c>
      <c r="BH74" t="s">
        <v>2411</v>
      </c>
      <c r="BI74" t="s">
        <v>74</v>
      </c>
      <c r="BJ74" t="s">
        <v>74</v>
      </c>
      <c r="BK74" t="s">
        <v>74</v>
      </c>
      <c r="BL74" t="s">
        <v>74</v>
      </c>
      <c r="BM74" t="s">
        <v>74</v>
      </c>
      <c r="BN74" t="s">
        <v>74</v>
      </c>
      <c r="BO74" t="s">
        <v>74</v>
      </c>
      <c r="BP74" t="s">
        <v>74</v>
      </c>
      <c r="BQ74" t="s">
        <v>74</v>
      </c>
      <c r="BR74" t="s">
        <v>74</v>
      </c>
      <c r="BS74" t="s">
        <v>4982</v>
      </c>
      <c r="BT74" t="str">
        <f>HYPERLINK("https%3A%2F%2Fwww.webofscience.com%2Fwos%2Fwoscc%2Ffull-record%2FWOS:000619907200001","View Full Record in Web of Science")</f>
        <v>View Full Record in Web of Science</v>
      </c>
    </row>
    <row r="75" spans="1:72" x14ac:dyDescent="0.4">
      <c r="A75" t="s">
        <v>72</v>
      </c>
      <c r="B75" t="s">
        <v>5056</v>
      </c>
      <c r="C75" t="s">
        <v>74</v>
      </c>
      <c r="D75" t="s">
        <v>74</v>
      </c>
      <c r="E75" t="s">
        <v>74</v>
      </c>
      <c r="F75" t="s">
        <v>5057</v>
      </c>
      <c r="G75" t="s">
        <v>74</v>
      </c>
      <c r="H75" t="s">
        <v>74</v>
      </c>
      <c r="I75" t="s">
        <v>5058</v>
      </c>
      <c r="J75" t="s">
        <v>431</v>
      </c>
      <c r="K75" t="s">
        <v>74</v>
      </c>
      <c r="L75" t="s">
        <v>74</v>
      </c>
      <c r="M75" t="s">
        <v>74</v>
      </c>
      <c r="N75" t="s">
        <v>74</v>
      </c>
      <c r="O75" t="s">
        <v>74</v>
      </c>
      <c r="P75" t="s">
        <v>74</v>
      </c>
      <c r="Q75" t="s">
        <v>74</v>
      </c>
      <c r="R75" t="s">
        <v>74</v>
      </c>
      <c r="S75" t="s">
        <v>74</v>
      </c>
      <c r="T75" t="s">
        <v>74</v>
      </c>
      <c r="U75" t="s">
        <v>74</v>
      </c>
      <c r="V75" s="3" t="s">
        <v>5059</v>
      </c>
      <c r="W75" t="s">
        <v>74</v>
      </c>
      <c r="X75" t="s">
        <v>74</v>
      </c>
      <c r="Y75" t="s">
        <v>74</v>
      </c>
      <c r="Z75" t="s">
        <v>74</v>
      </c>
      <c r="AA75" t="s">
        <v>74</v>
      </c>
      <c r="AB75" t="s">
        <v>5060</v>
      </c>
      <c r="AC75" t="s">
        <v>74</v>
      </c>
      <c r="AD75" t="s">
        <v>74</v>
      </c>
      <c r="AE75" t="s">
        <v>74</v>
      </c>
      <c r="AF75" t="s">
        <v>74</v>
      </c>
      <c r="AG75" t="s">
        <v>74</v>
      </c>
      <c r="AH75" t="s">
        <v>74</v>
      </c>
      <c r="AI75" t="s">
        <v>74</v>
      </c>
      <c r="AJ75" t="s">
        <v>74</v>
      </c>
      <c r="AK75" t="s">
        <v>74</v>
      </c>
      <c r="AL75" t="s">
        <v>74</v>
      </c>
      <c r="AM75" t="s">
        <v>74</v>
      </c>
      <c r="AN75" t="s">
        <v>74</v>
      </c>
      <c r="AO75" t="s">
        <v>74</v>
      </c>
      <c r="AP75" t="s">
        <v>435</v>
      </c>
      <c r="AQ75" t="s">
        <v>74</v>
      </c>
      <c r="AR75" t="s">
        <v>74</v>
      </c>
      <c r="AS75" t="s">
        <v>74</v>
      </c>
      <c r="AT75" t="s">
        <v>204</v>
      </c>
      <c r="AU75">
        <v>2016</v>
      </c>
      <c r="AV75">
        <v>133</v>
      </c>
      <c r="AW75">
        <v>3</v>
      </c>
      <c r="AX75" t="s">
        <v>74</v>
      </c>
      <c r="AY75" t="s">
        <v>74</v>
      </c>
      <c r="AZ75" t="s">
        <v>74</v>
      </c>
      <c r="BA75" t="s">
        <v>74</v>
      </c>
      <c r="BB75">
        <v>530</v>
      </c>
      <c r="BC75">
        <v>543</v>
      </c>
      <c r="BD75" t="s">
        <v>74</v>
      </c>
      <c r="BE75" t="s">
        <v>5061</v>
      </c>
      <c r="BF75" t="str">
        <f>HYPERLINK("http://dx.doi.org/10.1642/AUK-15-170.1","http://dx.doi.org/10.1642/AUK-15-170.1")</f>
        <v>http://dx.doi.org/10.1642/AUK-15-170.1</v>
      </c>
      <c r="BG75" t="s">
        <v>74</v>
      </c>
      <c r="BH75" t="s">
        <v>74</v>
      </c>
      <c r="BI75" t="s">
        <v>74</v>
      </c>
      <c r="BJ75" t="s">
        <v>74</v>
      </c>
      <c r="BK75" t="s">
        <v>74</v>
      </c>
      <c r="BL75" t="s">
        <v>74</v>
      </c>
      <c r="BM75" t="s">
        <v>74</v>
      </c>
      <c r="BN75" t="s">
        <v>74</v>
      </c>
      <c r="BO75" t="s">
        <v>74</v>
      </c>
      <c r="BP75" t="s">
        <v>74</v>
      </c>
      <c r="BQ75" t="s">
        <v>74</v>
      </c>
      <c r="BR75" t="s">
        <v>74</v>
      </c>
      <c r="BS75" t="s">
        <v>5062</v>
      </c>
      <c r="BT75" t="str">
        <f>HYPERLINK("https%3A%2F%2Fwww.webofscience.com%2Fwos%2Fwoscc%2Ffull-record%2FWOS:000379663400017","View Full Record in Web of Science")</f>
        <v>View Full Record in Web of Science</v>
      </c>
    </row>
    <row r="76" spans="1:72" x14ac:dyDescent="0.4">
      <c r="A76" t="s">
        <v>72</v>
      </c>
      <c r="B76" t="s">
        <v>4286</v>
      </c>
      <c r="C76" t="s">
        <v>74</v>
      </c>
      <c r="D76" t="s">
        <v>74</v>
      </c>
      <c r="E76" t="s">
        <v>74</v>
      </c>
      <c r="F76" t="s">
        <v>4287</v>
      </c>
      <c r="G76" t="s">
        <v>74</v>
      </c>
      <c r="H76" t="s">
        <v>74</v>
      </c>
      <c r="I76" t="s">
        <v>4288</v>
      </c>
      <c r="J76" t="s">
        <v>814</v>
      </c>
      <c r="K76" t="s">
        <v>74</v>
      </c>
      <c r="L76" t="s">
        <v>74</v>
      </c>
      <c r="M76" t="s">
        <v>74</v>
      </c>
      <c r="N76" t="s">
        <v>74</v>
      </c>
      <c r="O76" t="s">
        <v>74</v>
      </c>
      <c r="P76" t="s">
        <v>74</v>
      </c>
      <c r="Q76" t="s">
        <v>74</v>
      </c>
      <c r="R76" t="s">
        <v>74</v>
      </c>
      <c r="S76" t="s">
        <v>74</v>
      </c>
      <c r="T76" t="s">
        <v>74</v>
      </c>
      <c r="U76" t="s">
        <v>74</v>
      </c>
      <c r="V76" s="3" t="s">
        <v>4289</v>
      </c>
      <c r="W76" t="s">
        <v>74</v>
      </c>
      <c r="X76" t="s">
        <v>74</v>
      </c>
      <c r="Y76" t="s">
        <v>74</v>
      </c>
      <c r="Z76" t="s">
        <v>74</v>
      </c>
      <c r="AA76" t="s">
        <v>4290</v>
      </c>
      <c r="AB76" t="s">
        <v>4291</v>
      </c>
      <c r="AC76" t="s">
        <v>74</v>
      </c>
      <c r="AD76" t="s">
        <v>74</v>
      </c>
      <c r="AE76" t="s">
        <v>74</v>
      </c>
      <c r="AF76" t="s">
        <v>74</v>
      </c>
      <c r="AG76" t="s">
        <v>74</v>
      </c>
      <c r="AH76" t="s">
        <v>74</v>
      </c>
      <c r="AI76" t="s">
        <v>74</v>
      </c>
      <c r="AJ76" t="s">
        <v>74</v>
      </c>
      <c r="AK76" t="s">
        <v>74</v>
      </c>
      <c r="AL76" t="s">
        <v>74</v>
      </c>
      <c r="AM76" t="s">
        <v>74</v>
      </c>
      <c r="AN76" t="s">
        <v>74</v>
      </c>
      <c r="AO76" t="s">
        <v>818</v>
      </c>
      <c r="AP76" t="s">
        <v>74</v>
      </c>
      <c r="AQ76" t="s">
        <v>74</v>
      </c>
      <c r="AR76" t="s">
        <v>74</v>
      </c>
      <c r="AS76" t="s">
        <v>74</v>
      </c>
      <c r="AT76" t="s">
        <v>964</v>
      </c>
      <c r="AU76">
        <v>2011</v>
      </c>
      <c r="AV76">
        <v>114</v>
      </c>
      <c r="AW76">
        <v>1</v>
      </c>
      <c r="AX76" t="s">
        <v>74</v>
      </c>
      <c r="AY76" t="s">
        <v>74</v>
      </c>
      <c r="AZ76" t="s">
        <v>74</v>
      </c>
      <c r="BA76" t="s">
        <v>74</v>
      </c>
      <c r="BB76">
        <v>53</v>
      </c>
      <c r="BC76">
        <v>57</v>
      </c>
      <c r="BD76" t="s">
        <v>74</v>
      </c>
      <c r="BE76" t="s">
        <v>4292</v>
      </c>
      <c r="BF76" t="str">
        <f>HYPERLINK("http://dx.doi.org/10.1016/j.zool.2010.09.001","http://dx.doi.org/10.1016/j.zool.2010.09.001")</f>
        <v>http://dx.doi.org/10.1016/j.zool.2010.09.001</v>
      </c>
      <c r="BG76" t="s">
        <v>74</v>
      </c>
      <c r="BH76" t="s">
        <v>74</v>
      </c>
      <c r="BI76" t="s">
        <v>74</v>
      </c>
      <c r="BJ76" t="s">
        <v>74</v>
      </c>
      <c r="BK76" t="s">
        <v>74</v>
      </c>
      <c r="BL76" t="s">
        <v>74</v>
      </c>
      <c r="BM76" t="s">
        <v>74</v>
      </c>
      <c r="BN76">
        <v>21196103</v>
      </c>
      <c r="BO76" t="s">
        <v>74</v>
      </c>
      <c r="BP76" t="s">
        <v>74</v>
      </c>
      <c r="BQ76" t="s">
        <v>74</v>
      </c>
      <c r="BR76" t="s">
        <v>74</v>
      </c>
      <c r="BS76" t="s">
        <v>4293</v>
      </c>
      <c r="BT76" t="str">
        <f>HYPERLINK("https%3A%2F%2Fwww.webofscience.com%2Fwos%2Fwoscc%2Ffull-record%2FWOS:000289139000007","View Full Record in Web of Science")</f>
        <v>View Full Record in Web of Science</v>
      </c>
    </row>
    <row r="77" spans="1:72" x14ac:dyDescent="0.4">
      <c r="A77" t="s">
        <v>72</v>
      </c>
      <c r="B77" t="s">
        <v>6484</v>
      </c>
      <c r="C77" t="s">
        <v>74</v>
      </c>
      <c r="D77" t="s">
        <v>74</v>
      </c>
      <c r="E77" t="s">
        <v>74</v>
      </c>
      <c r="F77" t="s">
        <v>6485</v>
      </c>
      <c r="G77" t="s">
        <v>74</v>
      </c>
      <c r="H77" t="s">
        <v>74</v>
      </c>
      <c r="I77" t="s">
        <v>6486</v>
      </c>
      <c r="J77" t="s">
        <v>140</v>
      </c>
      <c r="K77" t="s">
        <v>74</v>
      </c>
      <c r="L77" t="s">
        <v>74</v>
      </c>
      <c r="M77" t="s">
        <v>74</v>
      </c>
      <c r="N77" t="s">
        <v>74</v>
      </c>
      <c r="O77" t="s">
        <v>74</v>
      </c>
      <c r="P77" t="s">
        <v>74</v>
      </c>
      <c r="Q77" t="s">
        <v>74</v>
      </c>
      <c r="R77" t="s">
        <v>74</v>
      </c>
      <c r="S77" t="s">
        <v>74</v>
      </c>
      <c r="T77" t="s">
        <v>74</v>
      </c>
      <c r="U77" t="s">
        <v>74</v>
      </c>
      <c r="V77" s="3" t="s">
        <v>6487</v>
      </c>
      <c r="W77" t="s">
        <v>74</v>
      </c>
      <c r="X77" t="s">
        <v>74</v>
      </c>
      <c r="Y77" t="s">
        <v>74</v>
      </c>
      <c r="Z77" t="s">
        <v>74</v>
      </c>
      <c r="AA77" t="s">
        <v>6488</v>
      </c>
      <c r="AB77" t="s">
        <v>6489</v>
      </c>
      <c r="AC77" t="s">
        <v>74</v>
      </c>
      <c r="AD77" t="s">
        <v>74</v>
      </c>
      <c r="AE77" t="s">
        <v>74</v>
      </c>
      <c r="AF77" t="s">
        <v>74</v>
      </c>
      <c r="AG77" t="s">
        <v>74</v>
      </c>
      <c r="AH77" t="s">
        <v>74</v>
      </c>
      <c r="AI77" t="s">
        <v>74</v>
      </c>
      <c r="AJ77" t="s">
        <v>74</v>
      </c>
      <c r="AK77" t="s">
        <v>74</v>
      </c>
      <c r="AL77" t="s">
        <v>74</v>
      </c>
      <c r="AM77" t="s">
        <v>74</v>
      </c>
      <c r="AN77" t="s">
        <v>74</v>
      </c>
      <c r="AO77" t="s">
        <v>143</v>
      </c>
      <c r="AP77" t="s">
        <v>144</v>
      </c>
      <c r="AQ77" t="s">
        <v>74</v>
      </c>
      <c r="AR77" t="s">
        <v>74</v>
      </c>
      <c r="AS77" t="s">
        <v>74</v>
      </c>
      <c r="AT77" t="s">
        <v>964</v>
      </c>
      <c r="AU77">
        <v>2015</v>
      </c>
      <c r="AV77">
        <v>100</v>
      </c>
      <c r="AW77" t="s">
        <v>74</v>
      </c>
      <c r="AX77" t="s">
        <v>74</v>
      </c>
      <c r="AY77" t="s">
        <v>74</v>
      </c>
      <c r="AZ77" t="s">
        <v>74</v>
      </c>
      <c r="BA77" t="s">
        <v>74</v>
      </c>
      <c r="BB77">
        <v>116</v>
      </c>
      <c r="BC77">
        <v>124</v>
      </c>
      <c r="BD77" t="s">
        <v>74</v>
      </c>
      <c r="BE77" t="s">
        <v>6490</v>
      </c>
      <c r="BF77" t="str">
        <f>HYPERLINK("http://dx.doi.org/10.1016/j.anbehav.2014.11.016","http://dx.doi.org/10.1016/j.anbehav.2014.11.016")</f>
        <v>http://dx.doi.org/10.1016/j.anbehav.2014.11.016</v>
      </c>
      <c r="BG77" t="s">
        <v>74</v>
      </c>
      <c r="BH77" t="s">
        <v>74</v>
      </c>
      <c r="BI77" t="s">
        <v>74</v>
      </c>
      <c r="BJ77" t="s">
        <v>74</v>
      </c>
      <c r="BK77" t="s">
        <v>74</v>
      </c>
      <c r="BL77" t="s">
        <v>74</v>
      </c>
      <c r="BM77" t="s">
        <v>74</v>
      </c>
      <c r="BN77" t="s">
        <v>74</v>
      </c>
      <c r="BO77" t="s">
        <v>74</v>
      </c>
      <c r="BP77" t="s">
        <v>74</v>
      </c>
      <c r="BQ77" t="s">
        <v>74</v>
      </c>
      <c r="BR77" t="s">
        <v>74</v>
      </c>
      <c r="BS77" t="s">
        <v>6491</v>
      </c>
      <c r="BT77" t="str">
        <f>HYPERLINK("https%3A%2F%2Fwww.webofscience.com%2Fwos%2Fwoscc%2Ffull-record%2FWOS:000348449000017","View Full Record in Web of Science")</f>
        <v>View Full Record in Web of Science</v>
      </c>
    </row>
    <row r="78" spans="1:72" x14ac:dyDescent="0.4">
      <c r="A78" t="s">
        <v>72</v>
      </c>
      <c r="B78" t="s">
        <v>1800</v>
      </c>
      <c r="C78" t="s">
        <v>74</v>
      </c>
      <c r="D78" t="s">
        <v>74</v>
      </c>
      <c r="E78" t="s">
        <v>74</v>
      </c>
      <c r="F78" t="s">
        <v>1801</v>
      </c>
      <c r="G78" t="s">
        <v>74</v>
      </c>
      <c r="H78" t="s">
        <v>74</v>
      </c>
      <c r="I78" t="s">
        <v>1802</v>
      </c>
      <c r="J78" t="s">
        <v>1803</v>
      </c>
      <c r="K78" t="s">
        <v>74</v>
      </c>
      <c r="L78" t="s">
        <v>74</v>
      </c>
      <c r="M78" t="s">
        <v>74</v>
      </c>
      <c r="N78" t="s">
        <v>74</v>
      </c>
      <c r="O78" t="s">
        <v>74</v>
      </c>
      <c r="P78" t="s">
        <v>74</v>
      </c>
      <c r="Q78" t="s">
        <v>74</v>
      </c>
      <c r="R78" t="s">
        <v>74</v>
      </c>
      <c r="S78" t="s">
        <v>74</v>
      </c>
      <c r="T78" t="s">
        <v>74</v>
      </c>
      <c r="U78" t="s">
        <v>74</v>
      </c>
      <c r="V78" s="3" t="s">
        <v>1804</v>
      </c>
      <c r="W78" t="s">
        <v>74</v>
      </c>
      <c r="X78" t="s">
        <v>74</v>
      </c>
      <c r="Y78" t="s">
        <v>74</v>
      </c>
      <c r="Z78" t="s">
        <v>74</v>
      </c>
      <c r="AA78" t="s">
        <v>1805</v>
      </c>
      <c r="AB78" t="s">
        <v>1806</v>
      </c>
      <c r="AC78" t="s">
        <v>74</v>
      </c>
      <c r="AD78" t="s">
        <v>74</v>
      </c>
      <c r="AE78" t="s">
        <v>74</v>
      </c>
      <c r="AF78" t="s">
        <v>74</v>
      </c>
      <c r="AG78" t="s">
        <v>74</v>
      </c>
      <c r="AH78" t="s">
        <v>74</v>
      </c>
      <c r="AI78" t="s">
        <v>74</v>
      </c>
      <c r="AJ78" t="s">
        <v>74</v>
      </c>
      <c r="AK78" t="s">
        <v>74</v>
      </c>
      <c r="AL78" t="s">
        <v>74</v>
      </c>
      <c r="AM78" t="s">
        <v>74</v>
      </c>
      <c r="AN78" t="s">
        <v>74</v>
      </c>
      <c r="AO78" t="s">
        <v>1807</v>
      </c>
      <c r="AP78" t="s">
        <v>1808</v>
      </c>
      <c r="AQ78" t="s">
        <v>74</v>
      </c>
      <c r="AR78" t="s">
        <v>74</v>
      </c>
      <c r="AS78" t="s">
        <v>74</v>
      </c>
      <c r="AT78" t="s">
        <v>633</v>
      </c>
      <c r="AU78">
        <v>2015</v>
      </c>
      <c r="AV78">
        <v>29</v>
      </c>
      <c r="AW78">
        <v>4</v>
      </c>
      <c r="AX78" t="s">
        <v>74</v>
      </c>
      <c r="AY78" t="s">
        <v>74</v>
      </c>
      <c r="AZ78" t="s">
        <v>74</v>
      </c>
      <c r="BA78" t="s">
        <v>74</v>
      </c>
      <c r="BB78">
        <v>531</v>
      </c>
      <c r="BC78">
        <v>539</v>
      </c>
      <c r="BD78" t="s">
        <v>74</v>
      </c>
      <c r="BE78" t="s">
        <v>1809</v>
      </c>
      <c r="BF78" t="str">
        <f>HYPERLINK("http://dx.doi.org/10.1111/1365-2435.12363","http://dx.doi.org/10.1111/1365-2435.12363")</f>
        <v>http://dx.doi.org/10.1111/1365-2435.12363</v>
      </c>
      <c r="BG78" t="s">
        <v>74</v>
      </c>
      <c r="BH78" t="s">
        <v>74</v>
      </c>
      <c r="BI78" t="s">
        <v>74</v>
      </c>
      <c r="BJ78" t="s">
        <v>74</v>
      </c>
      <c r="BK78" t="s">
        <v>74</v>
      </c>
      <c r="BL78" t="s">
        <v>74</v>
      </c>
      <c r="BM78" t="s">
        <v>74</v>
      </c>
      <c r="BN78" t="s">
        <v>74</v>
      </c>
      <c r="BO78" t="s">
        <v>74</v>
      </c>
      <c r="BP78" t="s">
        <v>74</v>
      </c>
      <c r="BQ78" t="s">
        <v>74</v>
      </c>
      <c r="BR78" t="s">
        <v>74</v>
      </c>
      <c r="BS78" t="s">
        <v>1810</v>
      </c>
      <c r="BT78" t="str">
        <f>HYPERLINK("https%3A%2F%2Fwww.webofscience.com%2Fwos%2Fwoscc%2Ffull-record%2FWOS:000353684800011","View Full Record in Web of Science")</f>
        <v>View Full Record in Web of Science</v>
      </c>
    </row>
    <row r="79" spans="1:72" x14ac:dyDescent="0.4">
      <c r="A79" t="s">
        <v>72</v>
      </c>
      <c r="B79" t="s">
        <v>2979</v>
      </c>
      <c r="C79" t="s">
        <v>74</v>
      </c>
      <c r="D79" t="s">
        <v>74</v>
      </c>
      <c r="E79" t="s">
        <v>74</v>
      </c>
      <c r="F79" t="s">
        <v>2979</v>
      </c>
      <c r="G79" t="s">
        <v>74</v>
      </c>
      <c r="H79" t="s">
        <v>74</v>
      </c>
      <c r="I79" t="s">
        <v>2980</v>
      </c>
      <c r="J79" t="s">
        <v>344</v>
      </c>
      <c r="K79" t="s">
        <v>74</v>
      </c>
      <c r="L79" t="s">
        <v>74</v>
      </c>
      <c r="M79" t="s">
        <v>74</v>
      </c>
      <c r="N79" t="s">
        <v>74</v>
      </c>
      <c r="O79" t="s">
        <v>74</v>
      </c>
      <c r="P79" t="s">
        <v>74</v>
      </c>
      <c r="Q79" t="s">
        <v>74</v>
      </c>
      <c r="R79" t="s">
        <v>74</v>
      </c>
      <c r="S79" t="s">
        <v>74</v>
      </c>
      <c r="T79" t="s">
        <v>74</v>
      </c>
      <c r="U79" t="s">
        <v>74</v>
      </c>
      <c r="V79" s="3" t="s">
        <v>2981</v>
      </c>
      <c r="W79" t="s">
        <v>74</v>
      </c>
      <c r="X79" t="s">
        <v>74</v>
      </c>
      <c r="Y79" t="s">
        <v>74</v>
      </c>
      <c r="Z79" t="s">
        <v>74</v>
      </c>
      <c r="AA79" t="s">
        <v>2982</v>
      </c>
      <c r="AB79" t="s">
        <v>74</v>
      </c>
      <c r="AC79" t="s">
        <v>74</v>
      </c>
      <c r="AD79" t="s">
        <v>74</v>
      </c>
      <c r="AE79" t="s">
        <v>74</v>
      </c>
      <c r="AF79" t="s">
        <v>74</v>
      </c>
      <c r="AG79" t="s">
        <v>74</v>
      </c>
      <c r="AH79" t="s">
        <v>74</v>
      </c>
      <c r="AI79" t="s">
        <v>74</v>
      </c>
      <c r="AJ79" t="s">
        <v>74</v>
      </c>
      <c r="AK79" t="s">
        <v>74</v>
      </c>
      <c r="AL79" t="s">
        <v>74</v>
      </c>
      <c r="AM79" t="s">
        <v>74</v>
      </c>
      <c r="AN79" t="s">
        <v>74</v>
      </c>
      <c r="AO79" t="s">
        <v>346</v>
      </c>
      <c r="AP79" t="s">
        <v>74</v>
      </c>
      <c r="AQ79" t="s">
        <v>74</v>
      </c>
      <c r="AR79" t="s">
        <v>74</v>
      </c>
      <c r="AS79" t="s">
        <v>74</v>
      </c>
      <c r="AT79" t="s">
        <v>305</v>
      </c>
      <c r="AU79">
        <v>1999</v>
      </c>
      <c r="AV79">
        <v>56</v>
      </c>
      <c r="AW79">
        <v>4</v>
      </c>
      <c r="AX79" t="s">
        <v>74</v>
      </c>
      <c r="AY79" t="s">
        <v>74</v>
      </c>
      <c r="AZ79" t="s">
        <v>74</v>
      </c>
      <c r="BA79" t="s">
        <v>74</v>
      </c>
      <c r="BB79">
        <v>429</v>
      </c>
      <c r="BC79">
        <v>442</v>
      </c>
      <c r="BD79" t="s">
        <v>74</v>
      </c>
      <c r="BE79" t="s">
        <v>2983</v>
      </c>
      <c r="BF79" t="str">
        <f>HYPERLINK("http://dx.doi.org/10.1023/A:1007556112449","http://dx.doi.org/10.1023/A:1007556112449")</f>
        <v>http://dx.doi.org/10.1023/A:1007556112449</v>
      </c>
      <c r="BG79" t="s">
        <v>74</v>
      </c>
      <c r="BH79" t="s">
        <v>74</v>
      </c>
      <c r="BI79" t="s">
        <v>74</v>
      </c>
      <c r="BJ79" t="s">
        <v>74</v>
      </c>
      <c r="BK79" t="s">
        <v>74</v>
      </c>
      <c r="BL79" t="s">
        <v>74</v>
      </c>
      <c r="BM79" t="s">
        <v>74</v>
      </c>
      <c r="BN79" t="s">
        <v>74</v>
      </c>
      <c r="BO79" t="s">
        <v>74</v>
      </c>
      <c r="BP79" t="s">
        <v>74</v>
      </c>
      <c r="BQ79" t="s">
        <v>74</v>
      </c>
      <c r="BR79" t="s">
        <v>74</v>
      </c>
      <c r="BS79" t="s">
        <v>2984</v>
      </c>
      <c r="BT79" t="str">
        <f>HYPERLINK("https%3A%2F%2Fwww.webofscience.com%2Fwos%2Fwoscc%2Ffull-record%2FWOS:000084346500010","View Full Record in Web of Science")</f>
        <v>View Full Record in Web of Science</v>
      </c>
    </row>
    <row r="80" spans="1:72" x14ac:dyDescent="0.4">
      <c r="A80" t="s">
        <v>72</v>
      </c>
      <c r="B80" t="s">
        <v>3592</v>
      </c>
      <c r="C80" t="s">
        <v>74</v>
      </c>
      <c r="D80" t="s">
        <v>74</v>
      </c>
      <c r="E80" t="s">
        <v>74</v>
      </c>
      <c r="F80" t="s">
        <v>3593</v>
      </c>
      <c r="G80" t="s">
        <v>74</v>
      </c>
      <c r="H80" t="s">
        <v>74</v>
      </c>
      <c r="I80" t="s">
        <v>3594</v>
      </c>
      <c r="J80" t="s">
        <v>3595</v>
      </c>
      <c r="K80" t="s">
        <v>74</v>
      </c>
      <c r="L80" t="s">
        <v>74</v>
      </c>
      <c r="M80" t="s">
        <v>74</v>
      </c>
      <c r="N80" t="s">
        <v>74</v>
      </c>
      <c r="O80" t="s">
        <v>74</v>
      </c>
      <c r="P80" t="s">
        <v>74</v>
      </c>
      <c r="Q80" t="s">
        <v>74</v>
      </c>
      <c r="R80" t="s">
        <v>74</v>
      </c>
      <c r="S80" t="s">
        <v>74</v>
      </c>
      <c r="T80" t="s">
        <v>74</v>
      </c>
      <c r="U80" t="s">
        <v>74</v>
      </c>
      <c r="V80" s="3" t="s">
        <v>3596</v>
      </c>
      <c r="W80" t="s">
        <v>74</v>
      </c>
      <c r="X80" t="s">
        <v>74</v>
      </c>
      <c r="Y80" t="s">
        <v>74</v>
      </c>
      <c r="Z80" t="s">
        <v>74</v>
      </c>
      <c r="AA80" t="s">
        <v>3597</v>
      </c>
      <c r="AB80" t="s">
        <v>3598</v>
      </c>
      <c r="AC80" t="s">
        <v>74</v>
      </c>
      <c r="AD80" t="s">
        <v>74</v>
      </c>
      <c r="AE80" t="s">
        <v>74</v>
      </c>
      <c r="AF80" t="s">
        <v>74</v>
      </c>
      <c r="AG80" t="s">
        <v>74</v>
      </c>
      <c r="AH80" t="s">
        <v>74</v>
      </c>
      <c r="AI80" t="s">
        <v>74</v>
      </c>
      <c r="AJ80" t="s">
        <v>74</v>
      </c>
      <c r="AK80" t="s">
        <v>74</v>
      </c>
      <c r="AL80" t="s">
        <v>74</v>
      </c>
      <c r="AM80" t="s">
        <v>74</v>
      </c>
      <c r="AN80" t="s">
        <v>74</v>
      </c>
      <c r="AO80" t="s">
        <v>3599</v>
      </c>
      <c r="AP80" t="s">
        <v>3600</v>
      </c>
      <c r="AQ80" t="s">
        <v>74</v>
      </c>
      <c r="AR80" t="s">
        <v>74</v>
      </c>
      <c r="AS80" t="s">
        <v>74</v>
      </c>
      <c r="AT80" t="s">
        <v>255</v>
      </c>
      <c r="AU80">
        <v>2009</v>
      </c>
      <c r="AV80">
        <v>138</v>
      </c>
      <c r="AW80">
        <v>1</v>
      </c>
      <c r="AX80" t="s">
        <v>74</v>
      </c>
      <c r="AY80" t="s">
        <v>74</v>
      </c>
      <c r="AZ80" t="s">
        <v>74</v>
      </c>
      <c r="BA80" t="s">
        <v>74</v>
      </c>
      <c r="BB80">
        <v>1</v>
      </c>
      <c r="BC80">
        <v>10</v>
      </c>
      <c r="BD80" t="s">
        <v>74</v>
      </c>
      <c r="BE80" t="s">
        <v>3601</v>
      </c>
      <c r="BF80" t="str">
        <f>HYPERLINK("http://dx.doi.org/10.1002/ajpa.20868","http://dx.doi.org/10.1002/ajpa.20868")</f>
        <v>http://dx.doi.org/10.1002/ajpa.20868</v>
      </c>
      <c r="BG80" t="s">
        <v>74</v>
      </c>
      <c r="BH80" t="s">
        <v>74</v>
      </c>
      <c r="BI80" t="s">
        <v>74</v>
      </c>
      <c r="BJ80" t="s">
        <v>74</v>
      </c>
      <c r="BK80" t="s">
        <v>74</v>
      </c>
      <c r="BL80" t="s">
        <v>74</v>
      </c>
      <c r="BM80" t="s">
        <v>74</v>
      </c>
      <c r="BN80">
        <v>18615575</v>
      </c>
      <c r="BO80" t="s">
        <v>74</v>
      </c>
      <c r="BP80" t="s">
        <v>74</v>
      </c>
      <c r="BQ80" t="s">
        <v>74</v>
      </c>
      <c r="BR80" t="s">
        <v>74</v>
      </c>
      <c r="BS80" t="s">
        <v>3602</v>
      </c>
      <c r="BT80" t="str">
        <f>HYPERLINK("https%3A%2F%2Fwww.webofscience.com%2Fwos%2Fwoscc%2Ffull-record%2FWOS:000261759100001","View Full Record in Web of Science")</f>
        <v>View Full Record in Web of Science</v>
      </c>
    </row>
    <row r="81" spans="1:72" x14ac:dyDescent="0.4">
      <c r="A81" t="s">
        <v>72</v>
      </c>
      <c r="B81" t="s">
        <v>330</v>
      </c>
      <c r="C81" t="s">
        <v>74</v>
      </c>
      <c r="D81" t="s">
        <v>74</v>
      </c>
      <c r="E81" t="s">
        <v>74</v>
      </c>
      <c r="F81" t="s">
        <v>331</v>
      </c>
      <c r="G81" t="s">
        <v>74</v>
      </c>
      <c r="H81" t="s">
        <v>74</v>
      </c>
      <c r="I81" t="s">
        <v>332</v>
      </c>
      <c r="J81" t="s">
        <v>333</v>
      </c>
      <c r="K81" t="s">
        <v>74</v>
      </c>
      <c r="L81" t="s">
        <v>74</v>
      </c>
      <c r="M81" t="s">
        <v>74</v>
      </c>
      <c r="N81" t="s">
        <v>74</v>
      </c>
      <c r="O81" t="s">
        <v>74</v>
      </c>
      <c r="P81" t="s">
        <v>74</v>
      </c>
      <c r="Q81" t="s">
        <v>74</v>
      </c>
      <c r="R81" t="s">
        <v>74</v>
      </c>
      <c r="S81" t="s">
        <v>74</v>
      </c>
      <c r="T81" t="s">
        <v>74</v>
      </c>
      <c r="U81" t="s">
        <v>74</v>
      </c>
      <c r="V81" s="3" t="s">
        <v>334</v>
      </c>
      <c r="W81" t="s">
        <v>74</v>
      </c>
      <c r="X81" t="s">
        <v>74</v>
      </c>
      <c r="Y81" t="s">
        <v>74</v>
      </c>
      <c r="Z81" t="s">
        <v>74</v>
      </c>
      <c r="AA81" t="s">
        <v>335</v>
      </c>
      <c r="AB81" t="s">
        <v>336</v>
      </c>
      <c r="AC81" t="s">
        <v>74</v>
      </c>
      <c r="AD81" t="s">
        <v>74</v>
      </c>
      <c r="AE81" t="s">
        <v>74</v>
      </c>
      <c r="AF81" t="s">
        <v>74</v>
      </c>
      <c r="AG81" t="s">
        <v>74</v>
      </c>
      <c r="AH81" t="s">
        <v>74</v>
      </c>
      <c r="AI81" t="s">
        <v>74</v>
      </c>
      <c r="AJ81" t="s">
        <v>74</v>
      </c>
      <c r="AK81" t="s">
        <v>74</v>
      </c>
      <c r="AL81" t="s">
        <v>74</v>
      </c>
      <c r="AM81" t="s">
        <v>74</v>
      </c>
      <c r="AN81" t="s">
        <v>74</v>
      </c>
      <c r="AO81" t="s">
        <v>337</v>
      </c>
      <c r="AP81" t="s">
        <v>338</v>
      </c>
      <c r="AQ81" t="s">
        <v>74</v>
      </c>
      <c r="AR81" t="s">
        <v>74</v>
      </c>
      <c r="AS81" t="s">
        <v>74</v>
      </c>
      <c r="AT81" t="s">
        <v>339</v>
      </c>
      <c r="AU81">
        <v>2013</v>
      </c>
      <c r="AV81">
        <v>24</v>
      </c>
      <c r="AW81">
        <v>4</v>
      </c>
      <c r="AX81" t="s">
        <v>74</v>
      </c>
      <c r="AY81" t="s">
        <v>74</v>
      </c>
      <c r="AZ81" t="s">
        <v>74</v>
      </c>
      <c r="BA81" t="s">
        <v>74</v>
      </c>
      <c r="BB81">
        <v>968</v>
      </c>
      <c r="BC81">
        <v>981</v>
      </c>
      <c r="BD81" t="s">
        <v>74</v>
      </c>
      <c r="BE81" t="s">
        <v>340</v>
      </c>
      <c r="BF81" t="str">
        <f>HYPERLINK("http://dx.doi.org/10.1093/beheco/art010","http://dx.doi.org/10.1093/beheco/art010")</f>
        <v>http://dx.doi.org/10.1093/beheco/art010</v>
      </c>
      <c r="BG81" t="s">
        <v>74</v>
      </c>
      <c r="BH81" t="s">
        <v>74</v>
      </c>
      <c r="BI81" t="s">
        <v>74</v>
      </c>
      <c r="BJ81" t="s">
        <v>74</v>
      </c>
      <c r="BK81" t="s">
        <v>74</v>
      </c>
      <c r="BL81" t="s">
        <v>74</v>
      </c>
      <c r="BM81" t="s">
        <v>74</v>
      </c>
      <c r="BN81" t="s">
        <v>74</v>
      </c>
      <c r="BO81" t="s">
        <v>74</v>
      </c>
      <c r="BP81" t="s">
        <v>74</v>
      </c>
      <c r="BQ81" t="s">
        <v>74</v>
      </c>
      <c r="BR81" t="s">
        <v>74</v>
      </c>
      <c r="BS81" t="s">
        <v>341</v>
      </c>
      <c r="BT81" t="str">
        <f>HYPERLINK("https%3A%2F%2Fwww.webofscience.com%2Fwos%2Fwoscc%2Ffull-record%2FWOS:000320409900028","View Full Record in Web of Science")</f>
        <v>View Full Record in Web of Science</v>
      </c>
    </row>
    <row r="82" spans="1:72" x14ac:dyDescent="0.4">
      <c r="A82" t="s">
        <v>72</v>
      </c>
      <c r="B82" t="s">
        <v>791</v>
      </c>
      <c r="C82" t="s">
        <v>74</v>
      </c>
      <c r="D82" t="s">
        <v>74</v>
      </c>
      <c r="E82" t="s">
        <v>74</v>
      </c>
      <c r="F82" t="s">
        <v>792</v>
      </c>
      <c r="G82" t="s">
        <v>74</v>
      </c>
      <c r="H82" t="s">
        <v>74</v>
      </c>
      <c r="I82" t="s">
        <v>793</v>
      </c>
      <c r="J82" t="s">
        <v>763</v>
      </c>
      <c r="K82" t="s">
        <v>74</v>
      </c>
      <c r="L82" t="s">
        <v>74</v>
      </c>
      <c r="M82" t="s">
        <v>74</v>
      </c>
      <c r="N82" t="s">
        <v>74</v>
      </c>
      <c r="O82" t="s">
        <v>74</v>
      </c>
      <c r="P82" t="s">
        <v>74</v>
      </c>
      <c r="Q82" t="s">
        <v>74</v>
      </c>
      <c r="R82" t="s">
        <v>74</v>
      </c>
      <c r="S82" t="s">
        <v>74</v>
      </c>
      <c r="T82" t="s">
        <v>74</v>
      </c>
      <c r="U82" t="s">
        <v>74</v>
      </c>
      <c r="V82" s="3" t="s">
        <v>794</v>
      </c>
      <c r="W82" t="s">
        <v>74</v>
      </c>
      <c r="X82" t="s">
        <v>74</v>
      </c>
      <c r="Y82" t="s">
        <v>74</v>
      </c>
      <c r="Z82" t="s">
        <v>74</v>
      </c>
      <c r="AA82" t="s">
        <v>795</v>
      </c>
      <c r="AB82" t="s">
        <v>796</v>
      </c>
      <c r="AC82" t="s">
        <v>74</v>
      </c>
      <c r="AD82" t="s">
        <v>74</v>
      </c>
      <c r="AE82" t="s">
        <v>74</v>
      </c>
      <c r="AF82" t="s">
        <v>74</v>
      </c>
      <c r="AG82" t="s">
        <v>74</v>
      </c>
      <c r="AH82" t="s">
        <v>74</v>
      </c>
      <c r="AI82" t="s">
        <v>74</v>
      </c>
      <c r="AJ82" t="s">
        <v>74</v>
      </c>
      <c r="AK82" t="s">
        <v>74</v>
      </c>
      <c r="AL82" t="s">
        <v>74</v>
      </c>
      <c r="AM82" t="s">
        <v>74</v>
      </c>
      <c r="AN82" t="s">
        <v>74</v>
      </c>
      <c r="AO82" t="s">
        <v>767</v>
      </c>
      <c r="AP82" t="s">
        <v>768</v>
      </c>
      <c r="AQ82" t="s">
        <v>74</v>
      </c>
      <c r="AR82" t="s">
        <v>74</v>
      </c>
      <c r="AS82" t="s">
        <v>74</v>
      </c>
      <c r="AT82" t="s">
        <v>123</v>
      </c>
      <c r="AU82">
        <v>2018</v>
      </c>
      <c r="AV82">
        <v>221</v>
      </c>
      <c r="AW82">
        <v>5</v>
      </c>
      <c r="AX82" t="s">
        <v>74</v>
      </c>
      <c r="AY82" t="s">
        <v>74</v>
      </c>
      <c r="AZ82" t="s">
        <v>74</v>
      </c>
      <c r="BA82" t="s">
        <v>74</v>
      </c>
      <c r="BB82" t="s">
        <v>74</v>
      </c>
      <c r="BC82" t="s">
        <v>74</v>
      </c>
      <c r="BD82" t="s">
        <v>797</v>
      </c>
      <c r="BE82" t="s">
        <v>798</v>
      </c>
      <c r="BF82" t="str">
        <f>HYPERLINK("http://dx.doi.org/10.1242/jeb.173252","http://dx.doi.org/10.1242/jeb.173252")</f>
        <v>http://dx.doi.org/10.1242/jeb.173252</v>
      </c>
      <c r="BG82" t="s">
        <v>74</v>
      </c>
      <c r="BH82" t="s">
        <v>74</v>
      </c>
      <c r="BI82" t="s">
        <v>74</v>
      </c>
      <c r="BJ82" t="s">
        <v>74</v>
      </c>
      <c r="BK82" t="s">
        <v>74</v>
      </c>
      <c r="BL82" t="s">
        <v>74</v>
      </c>
      <c r="BM82" t="s">
        <v>74</v>
      </c>
      <c r="BN82">
        <v>29361602</v>
      </c>
      <c r="BO82" t="s">
        <v>74</v>
      </c>
      <c r="BP82" t="s">
        <v>74</v>
      </c>
      <c r="BQ82" t="s">
        <v>74</v>
      </c>
      <c r="BR82" t="s">
        <v>74</v>
      </c>
      <c r="BS82" t="s">
        <v>799</v>
      </c>
      <c r="BT82" t="str">
        <f>HYPERLINK("https%3A%2F%2Fwww.webofscience.com%2Fwos%2Fwoscc%2Ffull-record%2FWOS:000427353100021","View Full Record in Web of Science")</f>
        <v>View Full Record in Web of Science</v>
      </c>
    </row>
    <row r="83" spans="1:72" x14ac:dyDescent="0.4">
      <c r="A83" t="s">
        <v>72</v>
      </c>
      <c r="B83" t="s">
        <v>791</v>
      </c>
      <c r="C83" t="s">
        <v>74</v>
      </c>
      <c r="D83" t="s">
        <v>74</v>
      </c>
      <c r="E83" t="s">
        <v>74</v>
      </c>
      <c r="F83" t="s">
        <v>792</v>
      </c>
      <c r="G83" t="s">
        <v>74</v>
      </c>
      <c r="H83" t="s">
        <v>74</v>
      </c>
      <c r="I83" t="s">
        <v>1172</v>
      </c>
      <c r="J83" t="s">
        <v>140</v>
      </c>
      <c r="K83" t="s">
        <v>74</v>
      </c>
      <c r="L83" t="s">
        <v>74</v>
      </c>
      <c r="M83" t="s">
        <v>74</v>
      </c>
      <c r="N83" t="s">
        <v>74</v>
      </c>
      <c r="O83" t="s">
        <v>74</v>
      </c>
      <c r="P83" t="s">
        <v>74</v>
      </c>
      <c r="Q83" t="s">
        <v>74</v>
      </c>
      <c r="R83" t="s">
        <v>74</v>
      </c>
      <c r="S83" t="s">
        <v>74</v>
      </c>
      <c r="T83" t="s">
        <v>74</v>
      </c>
      <c r="U83" t="s">
        <v>74</v>
      </c>
      <c r="V83" s="3" t="s">
        <v>1173</v>
      </c>
      <c r="W83" t="s">
        <v>74</v>
      </c>
      <c r="X83" t="s">
        <v>74</v>
      </c>
      <c r="Y83" t="s">
        <v>74</v>
      </c>
      <c r="Z83" t="s">
        <v>74</v>
      </c>
      <c r="AA83" t="s">
        <v>795</v>
      </c>
      <c r="AB83" t="s">
        <v>796</v>
      </c>
      <c r="AC83" t="s">
        <v>74</v>
      </c>
      <c r="AD83" t="s">
        <v>74</v>
      </c>
      <c r="AE83" t="s">
        <v>74</v>
      </c>
      <c r="AF83" t="s">
        <v>74</v>
      </c>
      <c r="AG83" t="s">
        <v>74</v>
      </c>
      <c r="AH83" t="s">
        <v>74</v>
      </c>
      <c r="AI83" t="s">
        <v>74</v>
      </c>
      <c r="AJ83" t="s">
        <v>74</v>
      </c>
      <c r="AK83" t="s">
        <v>74</v>
      </c>
      <c r="AL83" t="s">
        <v>74</v>
      </c>
      <c r="AM83" t="s">
        <v>74</v>
      </c>
      <c r="AN83" t="s">
        <v>74</v>
      </c>
      <c r="AO83" t="s">
        <v>143</v>
      </c>
      <c r="AP83" t="s">
        <v>144</v>
      </c>
      <c r="AQ83" t="s">
        <v>74</v>
      </c>
      <c r="AR83" t="s">
        <v>74</v>
      </c>
      <c r="AS83" t="s">
        <v>74</v>
      </c>
      <c r="AT83" t="s">
        <v>204</v>
      </c>
      <c r="AU83">
        <v>2017</v>
      </c>
      <c r="AV83">
        <v>129</v>
      </c>
      <c r="AW83" t="s">
        <v>74</v>
      </c>
      <c r="AX83" t="s">
        <v>74</v>
      </c>
      <c r="AY83" t="s">
        <v>74</v>
      </c>
      <c r="AZ83" t="s">
        <v>74</v>
      </c>
      <c r="BA83" t="s">
        <v>74</v>
      </c>
      <c r="BB83">
        <v>229</v>
      </c>
      <c r="BC83">
        <v>236</v>
      </c>
      <c r="BD83" t="s">
        <v>74</v>
      </c>
      <c r="BE83" t="s">
        <v>1174</v>
      </c>
      <c r="BF83" t="str">
        <f>HYPERLINK("http://dx.doi.org/10.1016/j.anbehav.2017.05.018","http://dx.doi.org/10.1016/j.anbehav.2017.05.018")</f>
        <v>http://dx.doi.org/10.1016/j.anbehav.2017.05.018</v>
      </c>
      <c r="BG83" t="s">
        <v>74</v>
      </c>
      <c r="BH83" t="s">
        <v>74</v>
      </c>
      <c r="BI83" t="s">
        <v>74</v>
      </c>
      <c r="BJ83" t="s">
        <v>74</v>
      </c>
      <c r="BK83" t="s">
        <v>74</v>
      </c>
      <c r="BL83" t="s">
        <v>74</v>
      </c>
      <c r="BM83" t="s">
        <v>74</v>
      </c>
      <c r="BN83" t="s">
        <v>74</v>
      </c>
      <c r="BO83" t="s">
        <v>74</v>
      </c>
      <c r="BP83" t="s">
        <v>74</v>
      </c>
      <c r="BQ83" t="s">
        <v>74</v>
      </c>
      <c r="BR83" t="s">
        <v>74</v>
      </c>
      <c r="BS83" t="s">
        <v>1175</v>
      </c>
      <c r="BT83" t="str">
        <f>HYPERLINK("https%3A%2F%2Fwww.webofscience.com%2Fwos%2Fwoscc%2Ffull-record%2FWOS:000405821200025","View Full Record in Web of Science")</f>
        <v>View Full Record in Web of Science</v>
      </c>
    </row>
    <row r="84" spans="1:72" x14ac:dyDescent="0.4">
      <c r="A84" t="s">
        <v>72</v>
      </c>
      <c r="B84" t="s">
        <v>7974</v>
      </c>
      <c r="C84" t="s">
        <v>74</v>
      </c>
      <c r="D84" t="s">
        <v>74</v>
      </c>
      <c r="E84" t="s">
        <v>74</v>
      </c>
      <c r="F84" t="s">
        <v>7975</v>
      </c>
      <c r="G84" t="s">
        <v>74</v>
      </c>
      <c r="H84" t="s">
        <v>74</v>
      </c>
      <c r="I84" t="s">
        <v>7976</v>
      </c>
      <c r="J84" t="s">
        <v>6427</v>
      </c>
      <c r="K84" t="s">
        <v>74</v>
      </c>
      <c r="L84" t="s">
        <v>74</v>
      </c>
      <c r="M84" t="s">
        <v>74</v>
      </c>
      <c r="N84" t="s">
        <v>74</v>
      </c>
      <c r="O84" t="s">
        <v>74</v>
      </c>
      <c r="P84" t="s">
        <v>74</v>
      </c>
      <c r="Q84" t="s">
        <v>74</v>
      </c>
      <c r="R84" t="s">
        <v>74</v>
      </c>
      <c r="S84" t="s">
        <v>74</v>
      </c>
      <c r="T84" t="s">
        <v>74</v>
      </c>
      <c r="U84" t="s">
        <v>74</v>
      </c>
      <c r="V84" s="3" t="s">
        <v>7977</v>
      </c>
      <c r="W84" t="s">
        <v>74</v>
      </c>
      <c r="X84" t="s">
        <v>74</v>
      </c>
      <c r="Y84" t="s">
        <v>74</v>
      </c>
      <c r="Z84" t="s">
        <v>74</v>
      </c>
      <c r="AA84" t="s">
        <v>7978</v>
      </c>
      <c r="AB84" t="s">
        <v>7979</v>
      </c>
      <c r="AC84" t="s">
        <v>74</v>
      </c>
      <c r="AD84" t="s">
        <v>74</v>
      </c>
      <c r="AE84" t="s">
        <v>74</v>
      </c>
      <c r="AF84" t="s">
        <v>74</v>
      </c>
      <c r="AG84" t="s">
        <v>74</v>
      </c>
      <c r="AH84" t="s">
        <v>74</v>
      </c>
      <c r="AI84" t="s">
        <v>74</v>
      </c>
      <c r="AJ84" t="s">
        <v>74</v>
      </c>
      <c r="AK84" t="s">
        <v>74</v>
      </c>
      <c r="AL84" t="s">
        <v>74</v>
      </c>
      <c r="AM84" t="s">
        <v>74</v>
      </c>
      <c r="AN84" t="s">
        <v>74</v>
      </c>
      <c r="AO84" t="s">
        <v>6431</v>
      </c>
      <c r="AP84" t="s">
        <v>74</v>
      </c>
      <c r="AQ84" t="s">
        <v>74</v>
      </c>
      <c r="AR84" t="s">
        <v>74</v>
      </c>
      <c r="AS84" t="s">
        <v>74</v>
      </c>
      <c r="AT84" t="s">
        <v>7980</v>
      </c>
      <c r="AU84">
        <v>2014</v>
      </c>
      <c r="AV84">
        <v>50</v>
      </c>
      <c r="AW84">
        <v>3</v>
      </c>
      <c r="AX84" t="s">
        <v>74</v>
      </c>
      <c r="AY84" t="s">
        <v>74</v>
      </c>
      <c r="AZ84" t="s">
        <v>74</v>
      </c>
      <c r="BA84" t="s">
        <v>74</v>
      </c>
      <c r="BB84">
        <v>155</v>
      </c>
      <c r="BC84">
        <v>171</v>
      </c>
      <c r="BD84" t="s">
        <v>74</v>
      </c>
      <c r="BE84" t="s">
        <v>74</v>
      </c>
      <c r="BF84" t="s">
        <v>74</v>
      </c>
      <c r="BG84" t="s">
        <v>74</v>
      </c>
      <c r="BH84" t="s">
        <v>74</v>
      </c>
      <c r="BI84" t="s">
        <v>74</v>
      </c>
      <c r="BJ84" t="s">
        <v>74</v>
      </c>
      <c r="BK84" t="s">
        <v>74</v>
      </c>
      <c r="BL84" t="s">
        <v>74</v>
      </c>
      <c r="BM84" t="s">
        <v>74</v>
      </c>
      <c r="BN84" t="s">
        <v>74</v>
      </c>
      <c r="BO84" t="s">
        <v>74</v>
      </c>
      <c r="BP84" t="s">
        <v>74</v>
      </c>
      <c r="BQ84" t="s">
        <v>74</v>
      </c>
      <c r="BR84" t="s">
        <v>74</v>
      </c>
      <c r="BS84" t="s">
        <v>7981</v>
      </c>
      <c r="BT84" t="str">
        <f>HYPERLINK("https%3A%2F%2Fwww.webofscience.com%2Fwos%2Fwoscc%2Ffull-record%2FWOS:000344312600005","View Full Record in Web of Science")</f>
        <v>View Full Record in Web of Science</v>
      </c>
    </row>
    <row r="85" spans="1:72" x14ac:dyDescent="0.4">
      <c r="A85" t="s">
        <v>72</v>
      </c>
      <c r="B85" t="s">
        <v>4626</v>
      </c>
      <c r="C85" t="s">
        <v>74</v>
      </c>
      <c r="D85" t="s">
        <v>74</v>
      </c>
      <c r="E85" t="s">
        <v>74</v>
      </c>
      <c r="F85" t="s">
        <v>4627</v>
      </c>
      <c r="G85" t="s">
        <v>74</v>
      </c>
      <c r="H85" t="s">
        <v>74</v>
      </c>
      <c r="I85" t="s">
        <v>4628</v>
      </c>
      <c r="J85" t="s">
        <v>119</v>
      </c>
      <c r="K85" t="s">
        <v>74</v>
      </c>
      <c r="L85" t="s">
        <v>74</v>
      </c>
      <c r="M85" t="s">
        <v>74</v>
      </c>
      <c r="N85" t="s">
        <v>74</v>
      </c>
      <c r="O85" t="s">
        <v>74</v>
      </c>
      <c r="P85" t="s">
        <v>74</v>
      </c>
      <c r="Q85" t="s">
        <v>74</v>
      </c>
      <c r="R85" t="s">
        <v>74</v>
      </c>
      <c r="S85" t="s">
        <v>74</v>
      </c>
      <c r="T85" t="s">
        <v>74</v>
      </c>
      <c r="U85" t="s">
        <v>74</v>
      </c>
      <c r="V85" s="3" t="s">
        <v>4629</v>
      </c>
      <c r="W85" t="s">
        <v>74</v>
      </c>
      <c r="X85" t="s">
        <v>74</v>
      </c>
      <c r="Y85" t="s">
        <v>74</v>
      </c>
      <c r="Z85" t="s">
        <v>74</v>
      </c>
      <c r="AA85" t="s">
        <v>4630</v>
      </c>
      <c r="AB85" t="s">
        <v>4631</v>
      </c>
      <c r="AC85" t="s">
        <v>74</v>
      </c>
      <c r="AD85" t="s">
        <v>74</v>
      </c>
      <c r="AE85" t="s">
        <v>74</v>
      </c>
      <c r="AF85" t="s">
        <v>74</v>
      </c>
      <c r="AG85" t="s">
        <v>74</v>
      </c>
      <c r="AH85" t="s">
        <v>74</v>
      </c>
      <c r="AI85" t="s">
        <v>74</v>
      </c>
      <c r="AJ85" t="s">
        <v>74</v>
      </c>
      <c r="AK85" t="s">
        <v>74</v>
      </c>
      <c r="AL85" t="s">
        <v>74</v>
      </c>
      <c r="AM85" t="s">
        <v>74</v>
      </c>
      <c r="AN85" t="s">
        <v>74</v>
      </c>
      <c r="AO85" t="s">
        <v>121</v>
      </c>
      <c r="AP85" t="s">
        <v>122</v>
      </c>
      <c r="AQ85" t="s">
        <v>74</v>
      </c>
      <c r="AR85" t="s">
        <v>74</v>
      </c>
      <c r="AS85" t="s">
        <v>74</v>
      </c>
      <c r="AT85" t="s">
        <v>134</v>
      </c>
      <c r="AU85">
        <v>2017</v>
      </c>
      <c r="AV85">
        <v>138</v>
      </c>
      <c r="AW85" t="s">
        <v>74</v>
      </c>
      <c r="AX85" t="s">
        <v>74</v>
      </c>
      <c r="AY85" t="s">
        <v>74</v>
      </c>
      <c r="AZ85" t="s">
        <v>74</v>
      </c>
      <c r="BA85" t="s">
        <v>74</v>
      </c>
      <c r="BB85">
        <v>123</v>
      </c>
      <c r="BC85">
        <v>126</v>
      </c>
      <c r="BD85" t="s">
        <v>74</v>
      </c>
      <c r="BE85" t="s">
        <v>4632</v>
      </c>
      <c r="BF85" t="str">
        <f>HYPERLINK("http://dx.doi.org/10.1016/j.beproc.2017.03.001","http://dx.doi.org/10.1016/j.beproc.2017.03.001")</f>
        <v>http://dx.doi.org/10.1016/j.beproc.2017.03.001</v>
      </c>
      <c r="BG85" t="s">
        <v>74</v>
      </c>
      <c r="BH85" t="s">
        <v>74</v>
      </c>
      <c r="BI85" t="s">
        <v>74</v>
      </c>
      <c r="BJ85" t="s">
        <v>74</v>
      </c>
      <c r="BK85" t="s">
        <v>74</v>
      </c>
      <c r="BL85" t="s">
        <v>74</v>
      </c>
      <c r="BM85" t="s">
        <v>74</v>
      </c>
      <c r="BN85">
        <v>28274764</v>
      </c>
      <c r="BO85" t="s">
        <v>74</v>
      </c>
      <c r="BP85" t="s">
        <v>74</v>
      </c>
      <c r="BQ85" t="s">
        <v>74</v>
      </c>
      <c r="BR85" t="s">
        <v>74</v>
      </c>
      <c r="BS85" t="s">
        <v>4633</v>
      </c>
      <c r="BT85" t="str">
        <f>HYPERLINK("https%3A%2F%2Fwww.webofscience.com%2Fwos%2Fwoscc%2Ffull-record%2FWOS:000400878800016","View Full Record in Web of Science")</f>
        <v>View Full Record in Web of Science</v>
      </c>
    </row>
    <row r="86" spans="1:72" x14ac:dyDescent="0.4">
      <c r="A86" t="s">
        <v>72</v>
      </c>
      <c r="B86" t="s">
        <v>6399</v>
      </c>
      <c r="C86" t="s">
        <v>74</v>
      </c>
      <c r="D86" t="s">
        <v>74</v>
      </c>
      <c r="E86" t="s">
        <v>74</v>
      </c>
      <c r="F86" t="s">
        <v>6400</v>
      </c>
      <c r="G86" t="s">
        <v>74</v>
      </c>
      <c r="H86" t="s">
        <v>74</v>
      </c>
      <c r="I86" t="s">
        <v>6401</v>
      </c>
      <c r="J86" t="s">
        <v>6402</v>
      </c>
      <c r="K86" t="s">
        <v>74</v>
      </c>
      <c r="L86" t="s">
        <v>74</v>
      </c>
      <c r="M86" t="s">
        <v>74</v>
      </c>
      <c r="N86" t="s">
        <v>74</v>
      </c>
      <c r="O86" t="s">
        <v>74</v>
      </c>
      <c r="P86" t="s">
        <v>74</v>
      </c>
      <c r="Q86" t="s">
        <v>74</v>
      </c>
      <c r="R86" t="s">
        <v>74</v>
      </c>
      <c r="S86" t="s">
        <v>74</v>
      </c>
      <c r="T86" t="s">
        <v>74</v>
      </c>
      <c r="U86" t="s">
        <v>74</v>
      </c>
      <c r="V86" s="3" t="s">
        <v>6403</v>
      </c>
      <c r="W86" t="s">
        <v>74</v>
      </c>
      <c r="X86" t="s">
        <v>74</v>
      </c>
      <c r="Y86" t="s">
        <v>74</v>
      </c>
      <c r="Z86" t="s">
        <v>74</v>
      </c>
      <c r="AA86" t="s">
        <v>6404</v>
      </c>
      <c r="AB86" t="s">
        <v>6405</v>
      </c>
      <c r="AC86" t="s">
        <v>74</v>
      </c>
      <c r="AD86" t="s">
        <v>74</v>
      </c>
      <c r="AE86" t="s">
        <v>74</v>
      </c>
      <c r="AF86" t="s">
        <v>74</v>
      </c>
      <c r="AG86" t="s">
        <v>74</v>
      </c>
      <c r="AH86" t="s">
        <v>74</v>
      </c>
      <c r="AI86" t="s">
        <v>74</v>
      </c>
      <c r="AJ86" t="s">
        <v>74</v>
      </c>
      <c r="AK86" t="s">
        <v>74</v>
      </c>
      <c r="AL86" t="s">
        <v>74</v>
      </c>
      <c r="AM86" t="s">
        <v>74</v>
      </c>
      <c r="AN86" t="s">
        <v>74</v>
      </c>
      <c r="AO86" t="s">
        <v>6406</v>
      </c>
      <c r="AP86" t="s">
        <v>6407</v>
      </c>
      <c r="AQ86" t="s">
        <v>74</v>
      </c>
      <c r="AR86" t="s">
        <v>74</v>
      </c>
      <c r="AS86" t="s">
        <v>74</v>
      </c>
      <c r="AT86" t="s">
        <v>123</v>
      </c>
      <c r="AU86">
        <v>2014</v>
      </c>
      <c r="AV86">
        <v>169</v>
      </c>
      <c r="AW86" t="s">
        <v>74</v>
      </c>
      <c r="AX86" t="s">
        <v>74</v>
      </c>
      <c r="AY86" t="s">
        <v>74</v>
      </c>
      <c r="AZ86" t="s">
        <v>74</v>
      </c>
      <c r="BA86" t="s">
        <v>74</v>
      </c>
      <c r="BB86">
        <v>25</v>
      </c>
      <c r="BC86">
        <v>32</v>
      </c>
      <c r="BD86" t="s">
        <v>74</v>
      </c>
      <c r="BE86" t="s">
        <v>6408</v>
      </c>
      <c r="BF86" t="str">
        <f>HYPERLINK("http://dx.doi.org/10.1016/j.cbpa.2013.12.001","http://dx.doi.org/10.1016/j.cbpa.2013.12.001")</f>
        <v>http://dx.doi.org/10.1016/j.cbpa.2013.12.001</v>
      </c>
      <c r="BG86" t="s">
        <v>74</v>
      </c>
      <c r="BH86" t="s">
        <v>74</v>
      </c>
      <c r="BI86" t="s">
        <v>74</v>
      </c>
      <c r="BJ86" t="s">
        <v>74</v>
      </c>
      <c r="BK86" t="s">
        <v>74</v>
      </c>
      <c r="BL86" t="s">
        <v>74</v>
      </c>
      <c r="BM86" t="s">
        <v>74</v>
      </c>
      <c r="BN86">
        <v>24326244</v>
      </c>
      <c r="BO86" t="s">
        <v>74</v>
      </c>
      <c r="BP86" t="s">
        <v>74</v>
      </c>
      <c r="BQ86" t="s">
        <v>74</v>
      </c>
      <c r="BR86" t="s">
        <v>74</v>
      </c>
      <c r="BS86" t="s">
        <v>6409</v>
      </c>
      <c r="BT86" t="str">
        <f>HYPERLINK("https%3A%2F%2Fwww.webofscience.com%2Fwos%2Fwoscc%2Ffull-record%2FWOS:000331428700005","View Full Record in Web of Science")</f>
        <v>View Full Record in Web of Science</v>
      </c>
    </row>
    <row r="87" spans="1:72" x14ac:dyDescent="0.4">
      <c r="A87" t="s">
        <v>72</v>
      </c>
      <c r="B87" t="s">
        <v>2188</v>
      </c>
      <c r="C87" t="s">
        <v>74</v>
      </c>
      <c r="D87" t="s">
        <v>74</v>
      </c>
      <c r="E87" t="s">
        <v>74</v>
      </c>
      <c r="F87" t="s">
        <v>2189</v>
      </c>
      <c r="G87" t="s">
        <v>74</v>
      </c>
      <c r="H87" t="s">
        <v>74</v>
      </c>
      <c r="I87" t="s">
        <v>2190</v>
      </c>
      <c r="J87" t="s">
        <v>2191</v>
      </c>
      <c r="K87" t="s">
        <v>74</v>
      </c>
      <c r="L87" t="s">
        <v>74</v>
      </c>
      <c r="M87" t="s">
        <v>74</v>
      </c>
      <c r="N87" t="s">
        <v>74</v>
      </c>
      <c r="O87" t="s">
        <v>74</v>
      </c>
      <c r="P87" t="s">
        <v>74</v>
      </c>
      <c r="Q87" t="s">
        <v>74</v>
      </c>
      <c r="R87" t="s">
        <v>74</v>
      </c>
      <c r="S87" t="s">
        <v>74</v>
      </c>
      <c r="T87" t="s">
        <v>74</v>
      </c>
      <c r="U87" t="s">
        <v>74</v>
      </c>
      <c r="V87" s="3" t="s">
        <v>2192</v>
      </c>
      <c r="W87" t="s">
        <v>74</v>
      </c>
      <c r="X87" t="s">
        <v>74</v>
      </c>
      <c r="Y87" t="s">
        <v>74</v>
      </c>
      <c r="Z87" t="s">
        <v>74</v>
      </c>
      <c r="AA87" t="s">
        <v>74</v>
      </c>
      <c r="AB87" t="s">
        <v>74</v>
      </c>
      <c r="AC87" t="s">
        <v>74</v>
      </c>
      <c r="AD87" t="s">
        <v>74</v>
      </c>
      <c r="AE87" t="s">
        <v>74</v>
      </c>
      <c r="AF87" t="s">
        <v>74</v>
      </c>
      <c r="AG87" t="s">
        <v>74</v>
      </c>
      <c r="AH87" t="s">
        <v>74</v>
      </c>
      <c r="AI87" t="s">
        <v>74</v>
      </c>
      <c r="AJ87" t="s">
        <v>74</v>
      </c>
      <c r="AK87" t="s">
        <v>74</v>
      </c>
      <c r="AL87" t="s">
        <v>74</v>
      </c>
      <c r="AM87" t="s">
        <v>74</v>
      </c>
      <c r="AN87" t="s">
        <v>74</v>
      </c>
      <c r="AO87" t="s">
        <v>2193</v>
      </c>
      <c r="AP87" t="s">
        <v>2194</v>
      </c>
      <c r="AQ87" t="s">
        <v>74</v>
      </c>
      <c r="AR87" t="s">
        <v>74</v>
      </c>
      <c r="AS87" t="s">
        <v>74</v>
      </c>
      <c r="AT87" t="s">
        <v>352</v>
      </c>
      <c r="AU87">
        <v>2014</v>
      </c>
      <c r="AV87">
        <v>62</v>
      </c>
      <c r="AW87" t="s">
        <v>74</v>
      </c>
      <c r="AX87" t="s">
        <v>74</v>
      </c>
      <c r="AY87" t="s">
        <v>74</v>
      </c>
      <c r="AZ87" t="s">
        <v>74</v>
      </c>
      <c r="BA87" t="s">
        <v>74</v>
      </c>
      <c r="BB87">
        <v>49</v>
      </c>
      <c r="BC87">
        <v>53</v>
      </c>
      <c r="BD87" t="s">
        <v>74</v>
      </c>
      <c r="BE87" t="s">
        <v>2195</v>
      </c>
      <c r="BF87" t="str">
        <f>HYPERLINK("http://dx.doi.org/10.1016/j.aquaeng.2014.06.004","http://dx.doi.org/10.1016/j.aquaeng.2014.06.004")</f>
        <v>http://dx.doi.org/10.1016/j.aquaeng.2014.06.004</v>
      </c>
      <c r="BG87" t="s">
        <v>74</v>
      </c>
      <c r="BH87" t="s">
        <v>74</v>
      </c>
      <c r="BI87" t="s">
        <v>74</v>
      </c>
      <c r="BJ87" t="s">
        <v>74</v>
      </c>
      <c r="BK87" t="s">
        <v>74</v>
      </c>
      <c r="BL87" t="s">
        <v>74</v>
      </c>
      <c r="BM87" t="s">
        <v>74</v>
      </c>
      <c r="BN87" t="s">
        <v>74</v>
      </c>
      <c r="BO87" t="s">
        <v>74</v>
      </c>
      <c r="BP87" t="s">
        <v>74</v>
      </c>
      <c r="BQ87" t="s">
        <v>74</v>
      </c>
      <c r="BR87" t="s">
        <v>74</v>
      </c>
      <c r="BS87" t="s">
        <v>2196</v>
      </c>
      <c r="BT87" t="str">
        <f>HYPERLINK("https%3A%2F%2Fwww.webofscience.com%2Fwos%2Fwoscc%2Ffull-record%2FWOS:000342263700007","View Full Record in Web of Science")</f>
        <v>View Full Record in Web of Science</v>
      </c>
    </row>
    <row r="88" spans="1:72" x14ac:dyDescent="0.4">
      <c r="A88" t="s">
        <v>72</v>
      </c>
      <c r="B88" t="s">
        <v>2188</v>
      </c>
      <c r="C88" t="s">
        <v>74</v>
      </c>
      <c r="D88" t="s">
        <v>74</v>
      </c>
      <c r="E88" t="s">
        <v>74</v>
      </c>
      <c r="F88" t="s">
        <v>2189</v>
      </c>
      <c r="G88" t="s">
        <v>74</v>
      </c>
      <c r="H88" t="s">
        <v>74</v>
      </c>
      <c r="I88" t="s">
        <v>8563</v>
      </c>
      <c r="J88" t="s">
        <v>4551</v>
      </c>
      <c r="K88" t="s">
        <v>74</v>
      </c>
      <c r="L88" t="s">
        <v>74</v>
      </c>
      <c r="M88" t="s">
        <v>74</v>
      </c>
      <c r="N88" t="s">
        <v>74</v>
      </c>
      <c r="O88" t="s">
        <v>74</v>
      </c>
      <c r="P88" t="s">
        <v>74</v>
      </c>
      <c r="Q88" t="s">
        <v>74</v>
      </c>
      <c r="R88" t="s">
        <v>74</v>
      </c>
      <c r="S88" t="s">
        <v>74</v>
      </c>
      <c r="T88" t="s">
        <v>74</v>
      </c>
      <c r="U88" t="s">
        <v>74</v>
      </c>
      <c r="V88" s="3" t="s">
        <v>8564</v>
      </c>
      <c r="W88" t="s">
        <v>74</v>
      </c>
      <c r="X88" t="s">
        <v>74</v>
      </c>
      <c r="Y88" t="s">
        <v>74</v>
      </c>
      <c r="Z88" t="s">
        <v>74</v>
      </c>
      <c r="AA88" t="s">
        <v>74</v>
      </c>
      <c r="AB88" t="s">
        <v>74</v>
      </c>
      <c r="AC88" t="s">
        <v>74</v>
      </c>
      <c r="AD88" t="s">
        <v>74</v>
      </c>
      <c r="AE88" t="s">
        <v>74</v>
      </c>
      <c r="AF88" t="s">
        <v>74</v>
      </c>
      <c r="AG88" t="s">
        <v>74</v>
      </c>
      <c r="AH88" t="s">
        <v>74</v>
      </c>
      <c r="AI88" t="s">
        <v>74</v>
      </c>
      <c r="AJ88" t="s">
        <v>74</v>
      </c>
      <c r="AK88" t="s">
        <v>74</v>
      </c>
      <c r="AL88" t="s">
        <v>74</v>
      </c>
      <c r="AM88" t="s">
        <v>74</v>
      </c>
      <c r="AN88" t="s">
        <v>74</v>
      </c>
      <c r="AO88" t="s">
        <v>4555</v>
      </c>
      <c r="AP88" t="s">
        <v>4556</v>
      </c>
      <c r="AQ88" t="s">
        <v>74</v>
      </c>
      <c r="AR88" t="s">
        <v>74</v>
      </c>
      <c r="AS88" t="s">
        <v>74</v>
      </c>
      <c r="AT88" t="s">
        <v>8565</v>
      </c>
      <c r="AU88">
        <v>2012</v>
      </c>
      <c r="AV88">
        <v>370</v>
      </c>
      <c r="AW88" t="s">
        <v>74</v>
      </c>
      <c r="AX88" t="s">
        <v>74</v>
      </c>
      <c r="AY88" t="s">
        <v>74</v>
      </c>
      <c r="AZ88" t="s">
        <v>74</v>
      </c>
      <c r="BA88" t="s">
        <v>74</v>
      </c>
      <c r="BB88">
        <v>54</v>
      </c>
      <c r="BC88">
        <v>60</v>
      </c>
      <c r="BD88" t="s">
        <v>74</v>
      </c>
      <c r="BE88" t="s">
        <v>8566</v>
      </c>
      <c r="BF88" t="str">
        <f>HYPERLINK("http://dx.doi.org/10.1016/j.aquaculture.2012.10.005","http://dx.doi.org/10.1016/j.aquaculture.2012.10.005")</f>
        <v>http://dx.doi.org/10.1016/j.aquaculture.2012.10.005</v>
      </c>
      <c r="BG88" t="s">
        <v>74</v>
      </c>
      <c r="BH88" t="s">
        <v>74</v>
      </c>
      <c r="BI88" t="s">
        <v>74</v>
      </c>
      <c r="BJ88" t="s">
        <v>74</v>
      </c>
      <c r="BK88" t="s">
        <v>74</v>
      </c>
      <c r="BL88" t="s">
        <v>74</v>
      </c>
      <c r="BM88" t="s">
        <v>74</v>
      </c>
      <c r="BN88" t="s">
        <v>74</v>
      </c>
      <c r="BO88" t="s">
        <v>74</v>
      </c>
      <c r="BP88" t="s">
        <v>74</v>
      </c>
      <c r="BQ88" t="s">
        <v>74</v>
      </c>
      <c r="BR88" t="s">
        <v>74</v>
      </c>
      <c r="BS88" t="s">
        <v>8567</v>
      </c>
      <c r="BT88" t="str">
        <f>HYPERLINK("https%3A%2F%2Fwww.webofscience.com%2Fwos%2Fwoscc%2Ffull-record%2FWOS:000311215700008","View Full Record in Web of Science")</f>
        <v>View Full Record in Web of Science</v>
      </c>
    </row>
    <row r="89" spans="1:72" x14ac:dyDescent="0.4">
      <c r="A89" t="s">
        <v>72</v>
      </c>
      <c r="B89" t="s">
        <v>7654</v>
      </c>
      <c r="C89" t="s">
        <v>74</v>
      </c>
      <c r="D89" t="s">
        <v>74</v>
      </c>
      <c r="E89" t="s">
        <v>74</v>
      </c>
      <c r="F89" t="s">
        <v>7654</v>
      </c>
      <c r="G89" t="s">
        <v>74</v>
      </c>
      <c r="H89" t="s">
        <v>74</v>
      </c>
      <c r="I89" t="s">
        <v>7655</v>
      </c>
      <c r="J89" t="s">
        <v>140</v>
      </c>
      <c r="K89" t="s">
        <v>74</v>
      </c>
      <c r="L89" t="s">
        <v>74</v>
      </c>
      <c r="M89" t="s">
        <v>74</v>
      </c>
      <c r="N89" t="s">
        <v>74</v>
      </c>
      <c r="O89" t="s">
        <v>74</v>
      </c>
      <c r="P89" t="s">
        <v>74</v>
      </c>
      <c r="Q89" t="s">
        <v>74</v>
      </c>
      <c r="R89" t="s">
        <v>74</v>
      </c>
      <c r="S89" t="s">
        <v>74</v>
      </c>
      <c r="T89" t="s">
        <v>74</v>
      </c>
      <c r="U89" t="s">
        <v>74</v>
      </c>
      <c r="V89" s="3" t="s">
        <v>7656</v>
      </c>
      <c r="W89" t="s">
        <v>74</v>
      </c>
      <c r="X89" t="s">
        <v>74</v>
      </c>
      <c r="Y89" t="s">
        <v>74</v>
      </c>
      <c r="Z89" t="s">
        <v>74</v>
      </c>
      <c r="AA89" t="s">
        <v>74</v>
      </c>
      <c r="AB89" t="s">
        <v>74</v>
      </c>
      <c r="AC89" t="s">
        <v>74</v>
      </c>
      <c r="AD89" t="s">
        <v>74</v>
      </c>
      <c r="AE89" t="s">
        <v>74</v>
      </c>
      <c r="AF89" t="s">
        <v>74</v>
      </c>
      <c r="AG89" t="s">
        <v>74</v>
      </c>
      <c r="AH89" t="s">
        <v>74</v>
      </c>
      <c r="AI89" t="s">
        <v>74</v>
      </c>
      <c r="AJ89" t="s">
        <v>74</v>
      </c>
      <c r="AK89" t="s">
        <v>74</v>
      </c>
      <c r="AL89" t="s">
        <v>74</v>
      </c>
      <c r="AM89" t="s">
        <v>74</v>
      </c>
      <c r="AN89" t="s">
        <v>74</v>
      </c>
      <c r="AO89" t="s">
        <v>143</v>
      </c>
      <c r="AP89" t="s">
        <v>144</v>
      </c>
      <c r="AQ89" t="s">
        <v>74</v>
      </c>
      <c r="AR89" t="s">
        <v>74</v>
      </c>
      <c r="AS89" t="s">
        <v>74</v>
      </c>
      <c r="AT89" t="s">
        <v>633</v>
      </c>
      <c r="AU89">
        <v>1997</v>
      </c>
      <c r="AV89">
        <v>53</v>
      </c>
      <c r="AW89" t="s">
        <v>74</v>
      </c>
      <c r="AX89">
        <v>4</v>
      </c>
      <c r="AY89" t="s">
        <v>74</v>
      </c>
      <c r="AZ89" t="s">
        <v>74</v>
      </c>
      <c r="BA89" t="s">
        <v>74</v>
      </c>
      <c r="BB89">
        <v>819</v>
      </c>
      <c r="BC89">
        <v>833</v>
      </c>
      <c r="BD89" t="s">
        <v>74</v>
      </c>
      <c r="BE89" t="s">
        <v>7657</v>
      </c>
      <c r="BF89" t="str">
        <f>HYPERLINK("http://dx.doi.org/10.1006/anbe.1996.0347","http://dx.doi.org/10.1006/anbe.1996.0347")</f>
        <v>http://dx.doi.org/10.1006/anbe.1996.0347</v>
      </c>
      <c r="BG89" t="s">
        <v>74</v>
      </c>
      <c r="BH89" t="s">
        <v>74</v>
      </c>
      <c r="BI89" t="s">
        <v>74</v>
      </c>
      <c r="BJ89" t="s">
        <v>74</v>
      </c>
      <c r="BK89" t="s">
        <v>74</v>
      </c>
      <c r="BL89" t="s">
        <v>74</v>
      </c>
      <c r="BM89" t="s">
        <v>74</v>
      </c>
      <c r="BN89" t="s">
        <v>74</v>
      </c>
      <c r="BO89" t="s">
        <v>74</v>
      </c>
      <c r="BP89" t="s">
        <v>74</v>
      </c>
      <c r="BQ89" t="s">
        <v>74</v>
      </c>
      <c r="BR89" t="s">
        <v>74</v>
      </c>
      <c r="BS89" t="s">
        <v>7658</v>
      </c>
      <c r="BT89" t="str">
        <f>HYPERLINK("https%3A%2F%2Fwww.webofscience.com%2Fwos%2Fwoscc%2Ffull-record%2FWOS:A1997WW45300013","View Full Record in Web of Science")</f>
        <v>View Full Record in Web of Science</v>
      </c>
    </row>
    <row r="90" spans="1:72" x14ac:dyDescent="0.4">
      <c r="A90" t="s">
        <v>72</v>
      </c>
      <c r="B90" t="s">
        <v>4103</v>
      </c>
      <c r="C90" t="s">
        <v>74</v>
      </c>
      <c r="D90" t="s">
        <v>74</v>
      </c>
      <c r="E90" t="s">
        <v>74</v>
      </c>
      <c r="F90" t="s">
        <v>4104</v>
      </c>
      <c r="G90" t="s">
        <v>74</v>
      </c>
      <c r="H90" t="s">
        <v>74</v>
      </c>
      <c r="I90" t="s">
        <v>4105</v>
      </c>
      <c r="J90" t="s">
        <v>108</v>
      </c>
      <c r="K90" t="s">
        <v>74</v>
      </c>
      <c r="L90" t="s">
        <v>74</v>
      </c>
      <c r="M90" t="s">
        <v>74</v>
      </c>
      <c r="N90" t="s">
        <v>74</v>
      </c>
      <c r="O90" t="s">
        <v>74</v>
      </c>
      <c r="P90" t="s">
        <v>74</v>
      </c>
      <c r="Q90" t="s">
        <v>74</v>
      </c>
      <c r="R90" t="s">
        <v>74</v>
      </c>
      <c r="S90" t="s">
        <v>74</v>
      </c>
      <c r="T90" t="s">
        <v>74</v>
      </c>
      <c r="U90" t="s">
        <v>74</v>
      </c>
      <c r="V90" s="3" t="s">
        <v>4106</v>
      </c>
      <c r="W90" t="s">
        <v>74</v>
      </c>
      <c r="X90" t="s">
        <v>74</v>
      </c>
      <c r="Y90" t="s">
        <v>74</v>
      </c>
      <c r="Z90" t="s">
        <v>74</v>
      </c>
      <c r="AA90" t="s">
        <v>4107</v>
      </c>
      <c r="AB90" t="s">
        <v>4108</v>
      </c>
      <c r="AC90" t="s">
        <v>74</v>
      </c>
      <c r="AD90" t="s">
        <v>74</v>
      </c>
      <c r="AE90" t="s">
        <v>74</v>
      </c>
      <c r="AF90" t="s">
        <v>74</v>
      </c>
      <c r="AG90" t="s">
        <v>74</v>
      </c>
      <c r="AH90" t="s">
        <v>74</v>
      </c>
      <c r="AI90" t="s">
        <v>74</v>
      </c>
      <c r="AJ90" t="s">
        <v>74</v>
      </c>
      <c r="AK90" t="s">
        <v>74</v>
      </c>
      <c r="AL90" t="s">
        <v>74</v>
      </c>
      <c r="AM90" t="s">
        <v>74</v>
      </c>
      <c r="AN90" t="s">
        <v>74</v>
      </c>
      <c r="AO90" t="s">
        <v>111</v>
      </c>
      <c r="AP90" t="s">
        <v>112</v>
      </c>
      <c r="AQ90" t="s">
        <v>74</v>
      </c>
      <c r="AR90" t="s">
        <v>74</v>
      </c>
      <c r="AS90" t="s">
        <v>74</v>
      </c>
      <c r="AT90" t="s">
        <v>165</v>
      </c>
      <c r="AU90">
        <v>2011</v>
      </c>
      <c r="AV90">
        <v>278</v>
      </c>
      <c r="AW90">
        <v>1719</v>
      </c>
      <c r="AX90" t="s">
        <v>74</v>
      </c>
      <c r="AY90" t="s">
        <v>74</v>
      </c>
      <c r="AZ90" t="s">
        <v>74</v>
      </c>
      <c r="BA90" t="s">
        <v>74</v>
      </c>
      <c r="BB90">
        <v>2806</v>
      </c>
      <c r="BC90">
        <v>2813</v>
      </c>
      <c r="BD90" t="s">
        <v>74</v>
      </c>
      <c r="BE90" t="s">
        <v>4109</v>
      </c>
      <c r="BF90" t="str">
        <f>HYPERLINK("http://dx.doi.org/10.1098/rspb.2010.2659","http://dx.doi.org/10.1098/rspb.2010.2659")</f>
        <v>http://dx.doi.org/10.1098/rspb.2010.2659</v>
      </c>
      <c r="BG90" t="s">
        <v>74</v>
      </c>
      <c r="BH90" t="s">
        <v>74</v>
      </c>
      <c r="BI90" t="s">
        <v>74</v>
      </c>
      <c r="BJ90" t="s">
        <v>74</v>
      </c>
      <c r="BK90" t="s">
        <v>74</v>
      </c>
      <c r="BL90" t="s">
        <v>74</v>
      </c>
      <c r="BM90" t="s">
        <v>74</v>
      </c>
      <c r="BN90">
        <v>21288951</v>
      </c>
      <c r="BO90" t="s">
        <v>74</v>
      </c>
      <c r="BP90" t="s">
        <v>74</v>
      </c>
      <c r="BQ90" t="s">
        <v>74</v>
      </c>
      <c r="BR90" t="s">
        <v>74</v>
      </c>
      <c r="BS90" t="s">
        <v>4110</v>
      </c>
      <c r="BT90" t="str">
        <f>HYPERLINK("https%3A%2F%2Fwww.webofscience.com%2Fwos%2Fwoscc%2Ffull-record%2FWOS:000293733600015","View Full Record in Web of Science")</f>
        <v>View Full Record in Web of Science</v>
      </c>
    </row>
    <row r="91" spans="1:72" x14ac:dyDescent="0.4">
      <c r="A91" t="s">
        <v>72</v>
      </c>
      <c r="B91" t="s">
        <v>7085</v>
      </c>
      <c r="C91" t="s">
        <v>74</v>
      </c>
      <c r="D91" t="s">
        <v>74</v>
      </c>
      <c r="E91" t="s">
        <v>74</v>
      </c>
      <c r="F91" t="s">
        <v>7086</v>
      </c>
      <c r="G91" t="s">
        <v>74</v>
      </c>
      <c r="H91" t="s">
        <v>74</v>
      </c>
      <c r="I91" t="s">
        <v>7087</v>
      </c>
      <c r="J91" t="s">
        <v>7088</v>
      </c>
      <c r="K91" t="s">
        <v>74</v>
      </c>
      <c r="L91" t="s">
        <v>74</v>
      </c>
      <c r="M91" t="s">
        <v>74</v>
      </c>
      <c r="N91" t="s">
        <v>74</v>
      </c>
      <c r="O91" t="s">
        <v>74</v>
      </c>
      <c r="P91" t="s">
        <v>74</v>
      </c>
      <c r="Q91" t="s">
        <v>74</v>
      </c>
      <c r="R91" t="s">
        <v>74</v>
      </c>
      <c r="S91" t="s">
        <v>74</v>
      </c>
      <c r="T91" t="s">
        <v>74</v>
      </c>
      <c r="U91" t="s">
        <v>74</v>
      </c>
      <c r="V91" s="3" t="s">
        <v>7089</v>
      </c>
      <c r="W91" t="s">
        <v>74</v>
      </c>
      <c r="X91" t="s">
        <v>74</v>
      </c>
      <c r="Y91" t="s">
        <v>74</v>
      </c>
      <c r="Z91" t="s">
        <v>74</v>
      </c>
      <c r="AA91" t="s">
        <v>74</v>
      </c>
      <c r="AB91" t="s">
        <v>74</v>
      </c>
      <c r="AC91" t="s">
        <v>74</v>
      </c>
      <c r="AD91" t="s">
        <v>74</v>
      </c>
      <c r="AE91" t="s">
        <v>74</v>
      </c>
      <c r="AF91" t="s">
        <v>74</v>
      </c>
      <c r="AG91" t="s">
        <v>74</v>
      </c>
      <c r="AH91" t="s">
        <v>74</v>
      </c>
      <c r="AI91" t="s">
        <v>74</v>
      </c>
      <c r="AJ91" t="s">
        <v>74</v>
      </c>
      <c r="AK91" t="s">
        <v>74</v>
      </c>
      <c r="AL91" t="s">
        <v>74</v>
      </c>
      <c r="AM91" t="s">
        <v>74</v>
      </c>
      <c r="AN91" t="s">
        <v>74</v>
      </c>
      <c r="AO91" t="s">
        <v>7090</v>
      </c>
      <c r="AP91" t="s">
        <v>74</v>
      </c>
      <c r="AQ91" t="s">
        <v>74</v>
      </c>
      <c r="AR91" t="s">
        <v>74</v>
      </c>
      <c r="AS91" t="s">
        <v>74</v>
      </c>
      <c r="AT91" t="s">
        <v>74</v>
      </c>
      <c r="AU91">
        <v>2020</v>
      </c>
      <c r="AV91">
        <v>14</v>
      </c>
      <c r="AW91">
        <v>3</v>
      </c>
      <c r="AX91" t="s">
        <v>74</v>
      </c>
      <c r="AY91" t="s">
        <v>74</v>
      </c>
      <c r="AZ91" t="s">
        <v>74</v>
      </c>
      <c r="BA91" t="s">
        <v>74</v>
      </c>
      <c r="BB91">
        <v>231</v>
      </c>
      <c r="BC91">
        <v>250</v>
      </c>
      <c r="BD91" t="s">
        <v>7091</v>
      </c>
      <c r="BE91" t="s">
        <v>74</v>
      </c>
      <c r="BF91" t="s">
        <v>74</v>
      </c>
      <c r="BG91" t="s">
        <v>74</v>
      </c>
      <c r="BH91" t="s">
        <v>74</v>
      </c>
      <c r="BI91" t="s">
        <v>74</v>
      </c>
      <c r="BJ91" t="s">
        <v>74</v>
      </c>
      <c r="BK91" t="s">
        <v>74</v>
      </c>
      <c r="BL91" t="s">
        <v>74</v>
      </c>
      <c r="BM91" t="s">
        <v>74</v>
      </c>
      <c r="BN91" t="s">
        <v>74</v>
      </c>
      <c r="BO91" t="s">
        <v>74</v>
      </c>
      <c r="BP91" t="s">
        <v>74</v>
      </c>
      <c r="BQ91" t="s">
        <v>74</v>
      </c>
      <c r="BR91" t="s">
        <v>74</v>
      </c>
      <c r="BS91" t="s">
        <v>7092</v>
      </c>
      <c r="BT91" t="str">
        <f>HYPERLINK("https%3A%2F%2Fwww.webofscience.com%2Fwos%2Fwoscc%2Ffull-record%2FWOS:000620656500007","View Full Record in Web of Science")</f>
        <v>View Full Record in Web of Science</v>
      </c>
    </row>
    <row r="92" spans="1:72" x14ac:dyDescent="0.4">
      <c r="A92" t="s">
        <v>72</v>
      </c>
      <c r="B92" t="s">
        <v>2495</v>
      </c>
      <c r="C92" t="s">
        <v>74</v>
      </c>
      <c r="D92" t="s">
        <v>74</v>
      </c>
      <c r="E92" t="s">
        <v>74</v>
      </c>
      <c r="F92" t="s">
        <v>2495</v>
      </c>
      <c r="G92" t="s">
        <v>74</v>
      </c>
      <c r="H92" t="s">
        <v>74</v>
      </c>
      <c r="I92" t="s">
        <v>2496</v>
      </c>
      <c r="J92" t="s">
        <v>77</v>
      </c>
      <c r="K92" t="s">
        <v>74</v>
      </c>
      <c r="L92" t="s">
        <v>74</v>
      </c>
      <c r="M92" t="s">
        <v>74</v>
      </c>
      <c r="N92" t="s">
        <v>74</v>
      </c>
      <c r="O92" t="s">
        <v>74</v>
      </c>
      <c r="P92" t="s">
        <v>74</v>
      </c>
      <c r="Q92" t="s">
        <v>74</v>
      </c>
      <c r="R92" t="s">
        <v>74</v>
      </c>
      <c r="S92" t="s">
        <v>74</v>
      </c>
      <c r="T92" t="s">
        <v>74</v>
      </c>
      <c r="U92" t="s">
        <v>74</v>
      </c>
      <c r="V92" s="3" t="s">
        <v>2497</v>
      </c>
      <c r="W92" t="s">
        <v>74</v>
      </c>
      <c r="X92" t="s">
        <v>74</v>
      </c>
      <c r="Y92" t="s">
        <v>74</v>
      </c>
      <c r="Z92" t="s">
        <v>74</v>
      </c>
      <c r="AA92" t="s">
        <v>74</v>
      </c>
      <c r="AB92" t="s">
        <v>74</v>
      </c>
      <c r="AC92" t="s">
        <v>74</v>
      </c>
      <c r="AD92" t="s">
        <v>74</v>
      </c>
      <c r="AE92" t="s">
        <v>74</v>
      </c>
      <c r="AF92" t="s">
        <v>74</v>
      </c>
      <c r="AG92" t="s">
        <v>74</v>
      </c>
      <c r="AH92" t="s">
        <v>74</v>
      </c>
      <c r="AI92" t="s">
        <v>74</v>
      </c>
      <c r="AJ92" t="s">
        <v>74</v>
      </c>
      <c r="AK92" t="s">
        <v>74</v>
      </c>
      <c r="AL92" t="s">
        <v>74</v>
      </c>
      <c r="AM92" t="s">
        <v>74</v>
      </c>
      <c r="AN92" t="s">
        <v>74</v>
      </c>
      <c r="AO92" t="s">
        <v>81</v>
      </c>
      <c r="AP92" t="s">
        <v>74</v>
      </c>
      <c r="AQ92" t="s">
        <v>74</v>
      </c>
      <c r="AR92" t="s">
        <v>74</v>
      </c>
      <c r="AS92" t="s">
        <v>74</v>
      </c>
      <c r="AT92" t="s">
        <v>305</v>
      </c>
      <c r="AU92">
        <v>1994</v>
      </c>
      <c r="AV92">
        <v>131</v>
      </c>
      <c r="AW92" t="s">
        <v>74</v>
      </c>
      <c r="AX92" t="s">
        <v>1276</v>
      </c>
      <c r="AY92" t="s">
        <v>74</v>
      </c>
      <c r="AZ92" t="s">
        <v>74</v>
      </c>
      <c r="BA92" t="s">
        <v>74</v>
      </c>
      <c r="BB92">
        <v>207</v>
      </c>
      <c r="BC92">
        <v>224</v>
      </c>
      <c r="BD92" t="s">
        <v>74</v>
      </c>
      <c r="BE92" t="s">
        <v>2498</v>
      </c>
      <c r="BF92" t="str">
        <f>HYPERLINK("http://dx.doi.org/10.1163/156853994X00442","http://dx.doi.org/10.1163/156853994X00442")</f>
        <v>http://dx.doi.org/10.1163/156853994X00442</v>
      </c>
      <c r="BG92" t="s">
        <v>74</v>
      </c>
      <c r="BH92" t="s">
        <v>74</v>
      </c>
      <c r="BI92" t="s">
        <v>74</v>
      </c>
      <c r="BJ92" t="s">
        <v>74</v>
      </c>
      <c r="BK92" t="s">
        <v>74</v>
      </c>
      <c r="BL92" t="s">
        <v>74</v>
      </c>
      <c r="BM92" t="s">
        <v>74</v>
      </c>
      <c r="BN92" t="s">
        <v>74</v>
      </c>
      <c r="BO92" t="s">
        <v>74</v>
      </c>
      <c r="BP92" t="s">
        <v>74</v>
      </c>
      <c r="BQ92" t="s">
        <v>74</v>
      </c>
      <c r="BR92" t="s">
        <v>74</v>
      </c>
      <c r="BS92" t="s">
        <v>2499</v>
      </c>
      <c r="BT92" t="str">
        <f>HYPERLINK("https%3A%2F%2Fwww.webofscience.com%2Fwos%2Fwoscc%2Ffull-record%2FWOS:A1994QT85100005","View Full Record in Web of Science")</f>
        <v>View Full Record in Web of Science</v>
      </c>
    </row>
    <row r="93" spans="1:72" x14ac:dyDescent="0.4">
      <c r="A93" t="s">
        <v>72</v>
      </c>
      <c r="B93" t="s">
        <v>1016</v>
      </c>
      <c r="C93" t="s">
        <v>74</v>
      </c>
      <c r="D93" t="s">
        <v>74</v>
      </c>
      <c r="E93" t="s">
        <v>74</v>
      </c>
      <c r="F93" t="s">
        <v>1017</v>
      </c>
      <c r="G93" t="s">
        <v>74</v>
      </c>
      <c r="H93" t="s">
        <v>74</v>
      </c>
      <c r="I93" t="s">
        <v>1018</v>
      </c>
      <c r="J93" t="s">
        <v>140</v>
      </c>
      <c r="K93" t="s">
        <v>74</v>
      </c>
      <c r="L93" t="s">
        <v>74</v>
      </c>
      <c r="M93" t="s">
        <v>74</v>
      </c>
      <c r="N93" t="s">
        <v>74</v>
      </c>
      <c r="O93" t="s">
        <v>74</v>
      </c>
      <c r="P93" t="s">
        <v>74</v>
      </c>
      <c r="Q93" t="s">
        <v>74</v>
      </c>
      <c r="R93" t="s">
        <v>74</v>
      </c>
      <c r="S93" t="s">
        <v>74</v>
      </c>
      <c r="T93" t="s">
        <v>74</v>
      </c>
      <c r="U93" t="s">
        <v>74</v>
      </c>
      <c r="V93" s="3" t="s">
        <v>1019</v>
      </c>
      <c r="W93" t="s">
        <v>74</v>
      </c>
      <c r="X93" t="s">
        <v>74</v>
      </c>
      <c r="Y93" t="s">
        <v>74</v>
      </c>
      <c r="Z93" t="s">
        <v>74</v>
      </c>
      <c r="AA93" t="s">
        <v>74</v>
      </c>
      <c r="AB93" t="s">
        <v>1020</v>
      </c>
      <c r="AC93" t="s">
        <v>74</v>
      </c>
      <c r="AD93" t="s">
        <v>74</v>
      </c>
      <c r="AE93" t="s">
        <v>74</v>
      </c>
      <c r="AF93" t="s">
        <v>74</v>
      </c>
      <c r="AG93" t="s">
        <v>74</v>
      </c>
      <c r="AH93" t="s">
        <v>74</v>
      </c>
      <c r="AI93" t="s">
        <v>74</v>
      </c>
      <c r="AJ93" t="s">
        <v>74</v>
      </c>
      <c r="AK93" t="s">
        <v>74</v>
      </c>
      <c r="AL93" t="s">
        <v>74</v>
      </c>
      <c r="AM93" t="s">
        <v>74</v>
      </c>
      <c r="AN93" t="s">
        <v>74</v>
      </c>
      <c r="AO93" t="s">
        <v>143</v>
      </c>
      <c r="AP93" t="s">
        <v>144</v>
      </c>
      <c r="AQ93" t="s">
        <v>74</v>
      </c>
      <c r="AR93" t="s">
        <v>74</v>
      </c>
      <c r="AS93" t="s">
        <v>74</v>
      </c>
      <c r="AT93" t="s">
        <v>145</v>
      </c>
      <c r="AU93">
        <v>2018</v>
      </c>
      <c r="AV93">
        <v>142</v>
      </c>
      <c r="AW93" t="s">
        <v>74</v>
      </c>
      <c r="AX93" t="s">
        <v>74</v>
      </c>
      <c r="AY93" t="s">
        <v>74</v>
      </c>
      <c r="AZ93" t="s">
        <v>74</v>
      </c>
      <c r="BA93" t="s">
        <v>74</v>
      </c>
      <c r="BB93">
        <v>119</v>
      </c>
      <c r="BC93">
        <v>128</v>
      </c>
      <c r="BD93" t="s">
        <v>74</v>
      </c>
      <c r="BE93" t="s">
        <v>1021</v>
      </c>
      <c r="BF93" t="str">
        <f>HYPERLINK("http://dx.doi.org/10.1016/j.anbehav.2018.06.012","http://dx.doi.org/10.1016/j.anbehav.2018.06.012")</f>
        <v>http://dx.doi.org/10.1016/j.anbehav.2018.06.012</v>
      </c>
      <c r="BG93" t="s">
        <v>74</v>
      </c>
      <c r="BH93" t="s">
        <v>74</v>
      </c>
      <c r="BI93" t="s">
        <v>74</v>
      </c>
      <c r="BJ93" t="s">
        <v>74</v>
      </c>
      <c r="BK93" t="s">
        <v>74</v>
      </c>
      <c r="BL93" t="s">
        <v>74</v>
      </c>
      <c r="BM93" t="s">
        <v>74</v>
      </c>
      <c r="BN93" t="s">
        <v>74</v>
      </c>
      <c r="BO93" t="s">
        <v>74</v>
      </c>
      <c r="BP93" t="s">
        <v>74</v>
      </c>
      <c r="BQ93" t="s">
        <v>74</v>
      </c>
      <c r="BR93" t="s">
        <v>74</v>
      </c>
      <c r="BS93" t="s">
        <v>1022</v>
      </c>
      <c r="BT93" t="str">
        <f>HYPERLINK("https%3A%2F%2Fwww.webofscience.com%2Fwos%2Fwoscc%2Ffull-record%2FWOS:000441515500014","View Full Record in Web of Science")</f>
        <v>View Full Record in Web of Science</v>
      </c>
    </row>
    <row r="94" spans="1:72" x14ac:dyDescent="0.4">
      <c r="A94" t="s">
        <v>72</v>
      </c>
      <c r="B94" t="s">
        <v>199</v>
      </c>
      <c r="C94" t="s">
        <v>74</v>
      </c>
      <c r="D94" t="s">
        <v>74</v>
      </c>
      <c r="E94" t="s">
        <v>74</v>
      </c>
      <c r="F94" t="s">
        <v>199</v>
      </c>
      <c r="G94" t="s">
        <v>74</v>
      </c>
      <c r="H94" t="s">
        <v>74</v>
      </c>
      <c r="I94" t="s">
        <v>200</v>
      </c>
      <c r="J94" t="s">
        <v>201</v>
      </c>
      <c r="K94" t="s">
        <v>74</v>
      </c>
      <c r="L94" t="s">
        <v>74</v>
      </c>
      <c r="M94" t="s">
        <v>74</v>
      </c>
      <c r="N94" t="s">
        <v>74</v>
      </c>
      <c r="O94" t="s">
        <v>74</v>
      </c>
      <c r="P94" t="s">
        <v>74</v>
      </c>
      <c r="Q94" t="s">
        <v>74</v>
      </c>
      <c r="R94" t="s">
        <v>74</v>
      </c>
      <c r="S94" t="s">
        <v>74</v>
      </c>
      <c r="T94" t="s">
        <v>74</v>
      </c>
      <c r="U94" t="s">
        <v>74</v>
      </c>
      <c r="V94" s="3" t="s">
        <v>202</v>
      </c>
      <c r="W94" t="s">
        <v>74</v>
      </c>
      <c r="X94" t="s">
        <v>74</v>
      </c>
      <c r="Y94" t="s">
        <v>74</v>
      </c>
      <c r="Z94" t="s">
        <v>74</v>
      </c>
      <c r="AA94" t="s">
        <v>74</v>
      </c>
      <c r="AB94" t="s">
        <v>74</v>
      </c>
      <c r="AC94" t="s">
        <v>74</v>
      </c>
      <c r="AD94" t="s">
        <v>74</v>
      </c>
      <c r="AE94" t="s">
        <v>74</v>
      </c>
      <c r="AF94" t="s">
        <v>74</v>
      </c>
      <c r="AG94" t="s">
        <v>74</v>
      </c>
      <c r="AH94" t="s">
        <v>74</v>
      </c>
      <c r="AI94" t="s">
        <v>74</v>
      </c>
      <c r="AJ94" t="s">
        <v>74</v>
      </c>
      <c r="AK94" t="s">
        <v>74</v>
      </c>
      <c r="AL94" t="s">
        <v>74</v>
      </c>
      <c r="AM94" t="s">
        <v>74</v>
      </c>
      <c r="AN94" t="s">
        <v>74</v>
      </c>
      <c r="AO94" t="s">
        <v>203</v>
      </c>
      <c r="AP94" t="s">
        <v>74</v>
      </c>
      <c r="AQ94" t="s">
        <v>74</v>
      </c>
      <c r="AR94" t="s">
        <v>74</v>
      </c>
      <c r="AS94" t="s">
        <v>74</v>
      </c>
      <c r="AT94" t="s">
        <v>204</v>
      </c>
      <c r="AU94">
        <v>1995</v>
      </c>
      <c r="AV94">
        <v>47</v>
      </c>
      <c r="AW94">
        <v>1</v>
      </c>
      <c r="AX94" t="s">
        <v>74</v>
      </c>
      <c r="AY94" t="s">
        <v>74</v>
      </c>
      <c r="AZ94" t="s">
        <v>74</v>
      </c>
      <c r="BA94" t="s">
        <v>74</v>
      </c>
      <c r="BB94">
        <v>50</v>
      </c>
      <c r="BC94">
        <v>58</v>
      </c>
      <c r="BD94" t="s">
        <v>74</v>
      </c>
      <c r="BE94" t="s">
        <v>205</v>
      </c>
      <c r="BF94" t="str">
        <f>HYPERLINK("http://dx.doi.org/10.1111/j.1095-8649.1995.tb01872.x","http://dx.doi.org/10.1111/j.1095-8649.1995.tb01872.x")</f>
        <v>http://dx.doi.org/10.1111/j.1095-8649.1995.tb01872.x</v>
      </c>
      <c r="BG94" t="s">
        <v>74</v>
      </c>
      <c r="BH94" t="s">
        <v>74</v>
      </c>
      <c r="BI94" t="s">
        <v>74</v>
      </c>
      <c r="BJ94" t="s">
        <v>74</v>
      </c>
      <c r="BK94" t="s">
        <v>74</v>
      </c>
      <c r="BL94" t="s">
        <v>74</v>
      </c>
      <c r="BM94" t="s">
        <v>74</v>
      </c>
      <c r="BN94" t="s">
        <v>74</v>
      </c>
      <c r="BO94" t="s">
        <v>74</v>
      </c>
      <c r="BP94" t="s">
        <v>74</v>
      </c>
      <c r="BQ94" t="s">
        <v>74</v>
      </c>
      <c r="BR94" t="s">
        <v>74</v>
      </c>
      <c r="BS94" t="s">
        <v>206</v>
      </c>
      <c r="BT94" t="str">
        <f>HYPERLINK("https%3A%2F%2Fwww.webofscience.com%2Fwos%2Fwoscc%2Ffull-record%2FWOS:A1995RK16500006","View Full Record in Web of Science")</f>
        <v>View Full Record in Web of Science</v>
      </c>
    </row>
    <row r="95" spans="1:72" x14ac:dyDescent="0.4">
      <c r="A95" t="s">
        <v>72</v>
      </c>
      <c r="B95" t="s">
        <v>3874</v>
      </c>
      <c r="C95" t="s">
        <v>74</v>
      </c>
      <c r="D95" t="s">
        <v>74</v>
      </c>
      <c r="E95" t="s">
        <v>74</v>
      </c>
      <c r="F95" t="s">
        <v>3874</v>
      </c>
      <c r="G95" t="s">
        <v>74</v>
      </c>
      <c r="H95" t="s">
        <v>74</v>
      </c>
      <c r="I95" t="s">
        <v>3875</v>
      </c>
      <c r="J95" t="s">
        <v>140</v>
      </c>
      <c r="K95" t="s">
        <v>74</v>
      </c>
      <c r="L95" t="s">
        <v>74</v>
      </c>
      <c r="M95" t="s">
        <v>74</v>
      </c>
      <c r="N95" t="s">
        <v>74</v>
      </c>
      <c r="O95" t="s">
        <v>74</v>
      </c>
      <c r="P95" t="s">
        <v>74</v>
      </c>
      <c r="Q95" t="s">
        <v>74</v>
      </c>
      <c r="R95" t="s">
        <v>74</v>
      </c>
      <c r="S95" t="s">
        <v>74</v>
      </c>
      <c r="T95" t="s">
        <v>74</v>
      </c>
      <c r="U95" t="s">
        <v>74</v>
      </c>
      <c r="V95" s="3" t="s">
        <v>3876</v>
      </c>
      <c r="W95" t="s">
        <v>74</v>
      </c>
      <c r="X95" t="s">
        <v>74</v>
      </c>
      <c r="Y95" t="s">
        <v>74</v>
      </c>
      <c r="Z95" t="s">
        <v>74</v>
      </c>
      <c r="AA95" t="s">
        <v>74</v>
      </c>
      <c r="AB95" t="s">
        <v>74</v>
      </c>
      <c r="AC95" t="s">
        <v>74</v>
      </c>
      <c r="AD95" t="s">
        <v>74</v>
      </c>
      <c r="AE95" t="s">
        <v>74</v>
      </c>
      <c r="AF95" t="s">
        <v>74</v>
      </c>
      <c r="AG95" t="s">
        <v>74</v>
      </c>
      <c r="AH95" t="s">
        <v>74</v>
      </c>
      <c r="AI95" t="s">
        <v>74</v>
      </c>
      <c r="AJ95" t="s">
        <v>74</v>
      </c>
      <c r="AK95" t="s">
        <v>74</v>
      </c>
      <c r="AL95" t="s">
        <v>74</v>
      </c>
      <c r="AM95" t="s">
        <v>74</v>
      </c>
      <c r="AN95" t="s">
        <v>74</v>
      </c>
      <c r="AO95" t="s">
        <v>143</v>
      </c>
      <c r="AP95" t="s">
        <v>74</v>
      </c>
      <c r="AQ95" t="s">
        <v>74</v>
      </c>
      <c r="AR95" t="s">
        <v>74</v>
      </c>
      <c r="AS95" t="s">
        <v>74</v>
      </c>
      <c r="AT95" t="s">
        <v>175</v>
      </c>
      <c r="AU95">
        <v>1998</v>
      </c>
      <c r="AV95">
        <v>56</v>
      </c>
      <c r="AW95" t="s">
        <v>74</v>
      </c>
      <c r="AX95">
        <v>4</v>
      </c>
      <c r="AY95" t="s">
        <v>74</v>
      </c>
      <c r="AZ95" t="s">
        <v>74</v>
      </c>
      <c r="BA95" t="s">
        <v>74</v>
      </c>
      <c r="BB95">
        <v>1021</v>
      </c>
      <c r="BC95">
        <v>1026</v>
      </c>
      <c r="BD95" t="s">
        <v>74</v>
      </c>
      <c r="BE95" t="s">
        <v>3877</v>
      </c>
      <c r="BF95" t="str">
        <f>HYPERLINK("http://dx.doi.org/10.1006/anbe.1998.0868","http://dx.doi.org/10.1006/anbe.1998.0868")</f>
        <v>http://dx.doi.org/10.1006/anbe.1998.0868</v>
      </c>
      <c r="BG95" t="s">
        <v>74</v>
      </c>
      <c r="BH95" t="s">
        <v>74</v>
      </c>
      <c r="BI95" t="s">
        <v>74</v>
      </c>
      <c r="BJ95" t="s">
        <v>74</v>
      </c>
      <c r="BK95" t="s">
        <v>74</v>
      </c>
      <c r="BL95" t="s">
        <v>74</v>
      </c>
      <c r="BM95" t="s">
        <v>74</v>
      </c>
      <c r="BN95">
        <v>9790714</v>
      </c>
      <c r="BO95" t="s">
        <v>74</v>
      </c>
      <c r="BP95" t="s">
        <v>74</v>
      </c>
      <c r="BQ95" t="s">
        <v>74</v>
      </c>
      <c r="BR95" t="s">
        <v>74</v>
      </c>
      <c r="BS95" t="s">
        <v>3878</v>
      </c>
      <c r="BT95" t="str">
        <f>HYPERLINK("https%3A%2F%2Fwww.webofscience.com%2Fwos%2Fwoscc%2Ffull-record%2FWOS:000076755700025","View Full Record in Web of Science")</f>
        <v>View Full Record in Web of Science</v>
      </c>
    </row>
    <row r="96" spans="1:72" x14ac:dyDescent="0.4">
      <c r="A96" t="s">
        <v>72</v>
      </c>
      <c r="B96" t="s">
        <v>2039</v>
      </c>
      <c r="C96" t="s">
        <v>74</v>
      </c>
      <c r="D96" t="s">
        <v>74</v>
      </c>
      <c r="E96" t="s">
        <v>74</v>
      </c>
      <c r="F96" t="s">
        <v>2040</v>
      </c>
      <c r="G96" t="s">
        <v>74</v>
      </c>
      <c r="H96" t="s">
        <v>74</v>
      </c>
      <c r="I96" t="s">
        <v>2041</v>
      </c>
      <c r="J96" t="s">
        <v>2042</v>
      </c>
      <c r="K96" t="s">
        <v>74</v>
      </c>
      <c r="L96" t="s">
        <v>74</v>
      </c>
      <c r="M96" t="s">
        <v>74</v>
      </c>
      <c r="N96" t="s">
        <v>74</v>
      </c>
      <c r="O96" t="s">
        <v>74</v>
      </c>
      <c r="P96" t="s">
        <v>74</v>
      </c>
      <c r="Q96" t="s">
        <v>74</v>
      </c>
      <c r="R96" t="s">
        <v>74</v>
      </c>
      <c r="S96" t="s">
        <v>74</v>
      </c>
      <c r="T96" t="s">
        <v>74</v>
      </c>
      <c r="U96" t="s">
        <v>74</v>
      </c>
      <c r="V96" s="3" t="s">
        <v>2043</v>
      </c>
      <c r="W96" t="s">
        <v>74</v>
      </c>
      <c r="X96" t="s">
        <v>74</v>
      </c>
      <c r="Y96" t="s">
        <v>74</v>
      </c>
      <c r="Z96" t="s">
        <v>74</v>
      </c>
      <c r="AA96" t="s">
        <v>74</v>
      </c>
      <c r="AB96" t="s">
        <v>2044</v>
      </c>
      <c r="AC96" t="s">
        <v>74</v>
      </c>
      <c r="AD96" t="s">
        <v>74</v>
      </c>
      <c r="AE96" t="s">
        <v>74</v>
      </c>
      <c r="AF96" t="s">
        <v>74</v>
      </c>
      <c r="AG96" t="s">
        <v>74</v>
      </c>
      <c r="AH96" t="s">
        <v>74</v>
      </c>
      <c r="AI96" t="s">
        <v>74</v>
      </c>
      <c r="AJ96" t="s">
        <v>74</v>
      </c>
      <c r="AK96" t="s">
        <v>74</v>
      </c>
      <c r="AL96" t="s">
        <v>74</v>
      </c>
      <c r="AM96" t="s">
        <v>74</v>
      </c>
      <c r="AN96" t="s">
        <v>74</v>
      </c>
      <c r="AO96" t="s">
        <v>2045</v>
      </c>
      <c r="AP96" t="s">
        <v>2046</v>
      </c>
      <c r="AQ96" t="s">
        <v>74</v>
      </c>
      <c r="AR96" t="s">
        <v>74</v>
      </c>
      <c r="AS96" t="s">
        <v>74</v>
      </c>
      <c r="AT96" t="s">
        <v>204</v>
      </c>
      <c r="AU96">
        <v>2017</v>
      </c>
      <c r="AV96">
        <v>64</v>
      </c>
      <c r="AW96">
        <v>3</v>
      </c>
      <c r="AX96" t="s">
        <v>74</v>
      </c>
      <c r="AY96" t="s">
        <v>74</v>
      </c>
      <c r="AZ96" t="s">
        <v>74</v>
      </c>
      <c r="BA96" t="s">
        <v>74</v>
      </c>
      <c r="BB96">
        <v>301</v>
      </c>
      <c r="BC96">
        <v>307</v>
      </c>
      <c r="BD96" t="s">
        <v>74</v>
      </c>
      <c r="BE96" t="s">
        <v>2047</v>
      </c>
      <c r="BF96" t="str">
        <f>HYPERLINK("http://dx.doi.org/10.1007/s10228-016-0567-y","http://dx.doi.org/10.1007/s10228-016-0567-y")</f>
        <v>http://dx.doi.org/10.1007/s10228-016-0567-y</v>
      </c>
      <c r="BG96" t="s">
        <v>74</v>
      </c>
      <c r="BH96" t="s">
        <v>74</v>
      </c>
      <c r="BI96" t="s">
        <v>74</v>
      </c>
      <c r="BJ96" t="s">
        <v>74</v>
      </c>
      <c r="BK96" t="s">
        <v>74</v>
      </c>
      <c r="BL96" t="s">
        <v>74</v>
      </c>
      <c r="BM96" t="s">
        <v>74</v>
      </c>
      <c r="BN96" t="s">
        <v>74</v>
      </c>
      <c r="BO96" t="s">
        <v>74</v>
      </c>
      <c r="BP96" t="s">
        <v>74</v>
      </c>
      <c r="BQ96" t="s">
        <v>74</v>
      </c>
      <c r="BR96" t="s">
        <v>74</v>
      </c>
      <c r="BS96" t="s">
        <v>2048</v>
      </c>
      <c r="BT96" t="str">
        <f>HYPERLINK("https%3A%2F%2Fwww.webofscience.com%2Fwos%2Fwoscc%2Ffull-record%2FWOS:000404661100003","View Full Record in Web of Science")</f>
        <v>View Full Record in Web of Science</v>
      </c>
    </row>
    <row r="97" spans="1:72" x14ac:dyDescent="0.4">
      <c r="A97" t="s">
        <v>72</v>
      </c>
      <c r="B97" t="s">
        <v>3097</v>
      </c>
      <c r="C97" t="s">
        <v>74</v>
      </c>
      <c r="D97" t="s">
        <v>74</v>
      </c>
      <c r="E97" t="s">
        <v>74</v>
      </c>
      <c r="F97" t="s">
        <v>3098</v>
      </c>
      <c r="G97" t="s">
        <v>74</v>
      </c>
      <c r="H97" t="s">
        <v>74</v>
      </c>
      <c r="I97" t="s">
        <v>3099</v>
      </c>
      <c r="J97" t="s">
        <v>3100</v>
      </c>
      <c r="K97" t="s">
        <v>74</v>
      </c>
      <c r="L97" t="s">
        <v>74</v>
      </c>
      <c r="M97" t="s">
        <v>74</v>
      </c>
      <c r="N97" t="s">
        <v>74</v>
      </c>
      <c r="O97" t="s">
        <v>74</v>
      </c>
      <c r="P97" t="s">
        <v>74</v>
      </c>
      <c r="Q97" t="s">
        <v>74</v>
      </c>
      <c r="R97" t="s">
        <v>74</v>
      </c>
      <c r="S97" t="s">
        <v>74</v>
      </c>
      <c r="T97" t="s">
        <v>74</v>
      </c>
      <c r="U97" t="s">
        <v>74</v>
      </c>
      <c r="V97" s="3" t="s">
        <v>3101</v>
      </c>
      <c r="W97" t="s">
        <v>74</v>
      </c>
      <c r="X97" t="s">
        <v>74</v>
      </c>
      <c r="Y97" t="s">
        <v>74</v>
      </c>
      <c r="Z97" t="s">
        <v>74</v>
      </c>
      <c r="AA97" t="s">
        <v>3102</v>
      </c>
      <c r="AB97" t="s">
        <v>3103</v>
      </c>
      <c r="AC97" t="s">
        <v>74</v>
      </c>
      <c r="AD97" t="s">
        <v>74</v>
      </c>
      <c r="AE97" t="s">
        <v>74</v>
      </c>
      <c r="AF97" t="s">
        <v>74</v>
      </c>
      <c r="AG97" t="s">
        <v>74</v>
      </c>
      <c r="AH97" t="s">
        <v>74</v>
      </c>
      <c r="AI97" t="s">
        <v>74</v>
      </c>
      <c r="AJ97" t="s">
        <v>74</v>
      </c>
      <c r="AK97" t="s">
        <v>74</v>
      </c>
      <c r="AL97" t="s">
        <v>74</v>
      </c>
      <c r="AM97" t="s">
        <v>74</v>
      </c>
      <c r="AN97" t="s">
        <v>74</v>
      </c>
      <c r="AO97" t="s">
        <v>74</v>
      </c>
      <c r="AP97" t="s">
        <v>3104</v>
      </c>
      <c r="AQ97" t="s">
        <v>74</v>
      </c>
      <c r="AR97" t="s">
        <v>74</v>
      </c>
      <c r="AS97" t="s">
        <v>74</v>
      </c>
      <c r="AT97" t="s">
        <v>3105</v>
      </c>
      <c r="AU97">
        <v>2017</v>
      </c>
      <c r="AV97">
        <v>4</v>
      </c>
      <c r="AW97" t="s">
        <v>74</v>
      </c>
      <c r="AX97" t="s">
        <v>74</v>
      </c>
      <c r="AY97" t="s">
        <v>74</v>
      </c>
      <c r="AZ97" t="s">
        <v>74</v>
      </c>
      <c r="BA97" t="s">
        <v>74</v>
      </c>
      <c r="BB97" t="s">
        <v>74</v>
      </c>
      <c r="BC97" t="s">
        <v>74</v>
      </c>
      <c r="BD97">
        <v>188</v>
      </c>
      <c r="BE97" t="s">
        <v>3106</v>
      </c>
      <c r="BF97" t="str">
        <f>HYPERLINK("http://dx.doi.org/10.3389/fvets.2017.00188","http://dx.doi.org/10.3389/fvets.2017.00188")</f>
        <v>http://dx.doi.org/10.3389/fvets.2017.00188</v>
      </c>
      <c r="BG97" t="s">
        <v>74</v>
      </c>
      <c r="BH97" t="s">
        <v>74</v>
      </c>
      <c r="BI97" t="s">
        <v>74</v>
      </c>
      <c r="BJ97" t="s">
        <v>74</v>
      </c>
      <c r="BK97" t="s">
        <v>74</v>
      </c>
      <c r="BL97" t="s">
        <v>74</v>
      </c>
      <c r="BM97" t="s">
        <v>74</v>
      </c>
      <c r="BN97">
        <v>29164143</v>
      </c>
      <c r="BO97" t="s">
        <v>74</v>
      </c>
      <c r="BP97" t="s">
        <v>74</v>
      </c>
      <c r="BQ97" t="s">
        <v>74</v>
      </c>
      <c r="BR97" t="s">
        <v>74</v>
      </c>
      <c r="BS97" t="s">
        <v>3107</v>
      </c>
      <c r="BT97" t="str">
        <f>HYPERLINK("https%3A%2F%2Fwww.webofscience.com%2Fwos%2Fwoscc%2Ffull-record%2FWOS:000451800800002","View Full Record in Web of Science")</f>
        <v>View Full Record in Web of Science</v>
      </c>
    </row>
    <row r="98" spans="1:72" x14ac:dyDescent="0.4">
      <c r="A98" t="s">
        <v>72</v>
      </c>
      <c r="B98" t="s">
        <v>4646</v>
      </c>
      <c r="C98" t="s">
        <v>74</v>
      </c>
      <c r="D98" t="s">
        <v>74</v>
      </c>
      <c r="E98" t="s">
        <v>74</v>
      </c>
      <c r="F98" t="s">
        <v>4646</v>
      </c>
      <c r="G98" t="s">
        <v>74</v>
      </c>
      <c r="H98" t="s">
        <v>74</v>
      </c>
      <c r="I98" t="s">
        <v>4647</v>
      </c>
      <c r="J98" t="s">
        <v>1526</v>
      </c>
      <c r="K98" t="s">
        <v>74</v>
      </c>
      <c r="L98" t="s">
        <v>74</v>
      </c>
      <c r="M98" t="s">
        <v>74</v>
      </c>
      <c r="N98" t="s">
        <v>74</v>
      </c>
      <c r="O98" t="s">
        <v>74</v>
      </c>
      <c r="P98" t="s">
        <v>74</v>
      </c>
      <c r="Q98" t="s">
        <v>74</v>
      </c>
      <c r="R98" t="s">
        <v>74</v>
      </c>
      <c r="S98" t="s">
        <v>74</v>
      </c>
      <c r="T98" t="s">
        <v>74</v>
      </c>
      <c r="U98" t="s">
        <v>74</v>
      </c>
      <c r="V98" s="3" t="s">
        <v>4648</v>
      </c>
      <c r="W98" t="s">
        <v>74</v>
      </c>
      <c r="X98" t="s">
        <v>74</v>
      </c>
      <c r="Y98" t="s">
        <v>74</v>
      </c>
      <c r="Z98" t="s">
        <v>74</v>
      </c>
      <c r="AA98" t="s">
        <v>4649</v>
      </c>
      <c r="AB98" t="s">
        <v>4650</v>
      </c>
      <c r="AC98" t="s">
        <v>74</v>
      </c>
      <c r="AD98" t="s">
        <v>74</v>
      </c>
      <c r="AE98" t="s">
        <v>74</v>
      </c>
      <c r="AF98" t="s">
        <v>74</v>
      </c>
      <c r="AG98" t="s">
        <v>74</v>
      </c>
      <c r="AH98" t="s">
        <v>74</v>
      </c>
      <c r="AI98" t="s">
        <v>74</v>
      </c>
      <c r="AJ98" t="s">
        <v>74</v>
      </c>
      <c r="AK98" t="s">
        <v>74</v>
      </c>
      <c r="AL98" t="s">
        <v>74</v>
      </c>
      <c r="AM98" t="s">
        <v>74</v>
      </c>
      <c r="AN98" t="s">
        <v>74</v>
      </c>
      <c r="AO98" t="s">
        <v>1528</v>
      </c>
      <c r="AP98" t="s">
        <v>74</v>
      </c>
      <c r="AQ98" t="s">
        <v>74</v>
      </c>
      <c r="AR98" t="s">
        <v>74</v>
      </c>
      <c r="AS98" t="s">
        <v>74</v>
      </c>
      <c r="AT98" t="s">
        <v>145</v>
      </c>
      <c r="AU98">
        <v>1994</v>
      </c>
      <c r="AV98">
        <v>96</v>
      </c>
      <c r="AW98">
        <v>3</v>
      </c>
      <c r="AX98" t="s">
        <v>74</v>
      </c>
      <c r="AY98" t="s">
        <v>74</v>
      </c>
      <c r="AZ98" t="s">
        <v>74</v>
      </c>
      <c r="BA98" t="s">
        <v>74</v>
      </c>
      <c r="BB98">
        <v>614</v>
      </c>
      <c r="BC98">
        <v>625</v>
      </c>
      <c r="BD98" t="s">
        <v>74</v>
      </c>
      <c r="BE98" t="s">
        <v>4651</v>
      </c>
      <c r="BF98" t="str">
        <f>HYPERLINK("http://dx.doi.org/10.2307/1369464","http://dx.doi.org/10.2307/1369464")</f>
        <v>http://dx.doi.org/10.2307/1369464</v>
      </c>
      <c r="BG98" t="s">
        <v>74</v>
      </c>
      <c r="BH98" t="s">
        <v>74</v>
      </c>
      <c r="BI98" t="s">
        <v>74</v>
      </c>
      <c r="BJ98" t="s">
        <v>74</v>
      </c>
      <c r="BK98" t="s">
        <v>74</v>
      </c>
      <c r="BL98" t="s">
        <v>74</v>
      </c>
      <c r="BM98" t="s">
        <v>74</v>
      </c>
      <c r="BN98" t="s">
        <v>74</v>
      </c>
      <c r="BO98" t="s">
        <v>74</v>
      </c>
      <c r="BP98" t="s">
        <v>74</v>
      </c>
      <c r="BQ98" t="s">
        <v>74</v>
      </c>
      <c r="BR98" t="s">
        <v>74</v>
      </c>
      <c r="BS98" t="s">
        <v>4652</v>
      </c>
      <c r="BT98" t="str">
        <f>HYPERLINK("https%3A%2F%2Fwww.webofscience.com%2Fwos%2Fwoscc%2Ffull-record%2FWOS:A1994PE53800005","View Full Record in Web of Science")</f>
        <v>View Full Record in Web of Science</v>
      </c>
    </row>
    <row r="99" spans="1:72" x14ac:dyDescent="0.4">
      <c r="A99" t="s">
        <v>72</v>
      </c>
      <c r="B99" t="s">
        <v>3570</v>
      </c>
      <c r="C99" t="s">
        <v>74</v>
      </c>
      <c r="D99" t="s">
        <v>74</v>
      </c>
      <c r="E99" t="s">
        <v>74</v>
      </c>
      <c r="F99" t="s">
        <v>3571</v>
      </c>
      <c r="G99" t="s">
        <v>74</v>
      </c>
      <c r="H99" t="s">
        <v>74</v>
      </c>
      <c r="I99" t="s">
        <v>3572</v>
      </c>
      <c r="J99" t="s">
        <v>140</v>
      </c>
      <c r="K99" t="s">
        <v>74</v>
      </c>
      <c r="L99" t="s">
        <v>74</v>
      </c>
      <c r="M99" t="s">
        <v>74</v>
      </c>
      <c r="N99" t="s">
        <v>74</v>
      </c>
      <c r="O99" t="s">
        <v>74</v>
      </c>
      <c r="P99" t="s">
        <v>74</v>
      </c>
      <c r="Q99" t="s">
        <v>74</v>
      </c>
      <c r="R99" t="s">
        <v>74</v>
      </c>
      <c r="S99" t="s">
        <v>74</v>
      </c>
      <c r="T99" t="s">
        <v>74</v>
      </c>
      <c r="U99" t="s">
        <v>74</v>
      </c>
      <c r="V99" s="3" t="s">
        <v>3573</v>
      </c>
      <c r="W99" t="s">
        <v>74</v>
      </c>
      <c r="X99" t="s">
        <v>74</v>
      </c>
      <c r="Y99" t="s">
        <v>74</v>
      </c>
      <c r="Z99" t="s">
        <v>74</v>
      </c>
      <c r="AA99" t="s">
        <v>3574</v>
      </c>
      <c r="AB99" t="s">
        <v>3575</v>
      </c>
      <c r="AC99" t="s">
        <v>74</v>
      </c>
      <c r="AD99" t="s">
        <v>74</v>
      </c>
      <c r="AE99" t="s">
        <v>74</v>
      </c>
      <c r="AF99" t="s">
        <v>74</v>
      </c>
      <c r="AG99" t="s">
        <v>74</v>
      </c>
      <c r="AH99" t="s">
        <v>74</v>
      </c>
      <c r="AI99" t="s">
        <v>74</v>
      </c>
      <c r="AJ99" t="s">
        <v>74</v>
      </c>
      <c r="AK99" t="s">
        <v>74</v>
      </c>
      <c r="AL99" t="s">
        <v>74</v>
      </c>
      <c r="AM99" t="s">
        <v>74</v>
      </c>
      <c r="AN99" t="s">
        <v>74</v>
      </c>
      <c r="AO99" t="s">
        <v>143</v>
      </c>
      <c r="AP99" t="s">
        <v>144</v>
      </c>
      <c r="AQ99" t="s">
        <v>74</v>
      </c>
      <c r="AR99" t="s">
        <v>74</v>
      </c>
      <c r="AS99" t="s">
        <v>74</v>
      </c>
      <c r="AT99" t="s">
        <v>305</v>
      </c>
      <c r="AU99">
        <v>2021</v>
      </c>
      <c r="AV99">
        <v>182</v>
      </c>
      <c r="AW99" t="s">
        <v>74</v>
      </c>
      <c r="AX99" t="s">
        <v>74</v>
      </c>
      <c r="AY99" t="s">
        <v>74</v>
      </c>
      <c r="AZ99" t="s">
        <v>74</v>
      </c>
      <c r="BA99" t="s">
        <v>74</v>
      </c>
      <c r="BB99">
        <v>239</v>
      </c>
      <c r="BC99">
        <v>250</v>
      </c>
      <c r="BD99" t="s">
        <v>74</v>
      </c>
      <c r="BE99" t="s">
        <v>3576</v>
      </c>
      <c r="BF99" t="str">
        <f>HYPERLINK("http://dx.doi.org/10.1016/j.anbehav.2021.09.011","http://dx.doi.org/10.1016/j.anbehav.2021.09.011")</f>
        <v>http://dx.doi.org/10.1016/j.anbehav.2021.09.011</v>
      </c>
      <c r="BG99" t="s">
        <v>74</v>
      </c>
      <c r="BH99" t="s">
        <v>74</v>
      </c>
      <c r="BI99" t="s">
        <v>74</v>
      </c>
      <c r="BJ99" t="s">
        <v>74</v>
      </c>
      <c r="BK99" t="s">
        <v>74</v>
      </c>
      <c r="BL99" t="s">
        <v>74</v>
      </c>
      <c r="BM99" t="s">
        <v>74</v>
      </c>
      <c r="BN99" t="s">
        <v>74</v>
      </c>
      <c r="BO99" t="s">
        <v>74</v>
      </c>
      <c r="BP99" t="s">
        <v>74</v>
      </c>
      <c r="BQ99" t="s">
        <v>74</v>
      </c>
      <c r="BR99" t="s">
        <v>74</v>
      </c>
      <c r="BS99" t="s">
        <v>3577</v>
      </c>
      <c r="BT99" t="str">
        <f>HYPERLINK("https%3A%2F%2Fwww.webofscience.com%2Fwos%2Fwoscc%2Ffull-record%2FWOS:000907004000003","View Full Record in Web of Science")</f>
        <v>View Full Record in Web of Science</v>
      </c>
    </row>
    <row r="100" spans="1:72" x14ac:dyDescent="0.4">
      <c r="A100" t="s">
        <v>72</v>
      </c>
      <c r="B100" t="s">
        <v>5369</v>
      </c>
      <c r="C100" t="s">
        <v>74</v>
      </c>
      <c r="D100" t="s">
        <v>74</v>
      </c>
      <c r="E100" t="s">
        <v>74</v>
      </c>
      <c r="F100" t="s">
        <v>5370</v>
      </c>
      <c r="G100" t="s">
        <v>74</v>
      </c>
      <c r="H100" t="s">
        <v>74</v>
      </c>
      <c r="I100" t="s">
        <v>5371</v>
      </c>
      <c r="J100" t="s">
        <v>140</v>
      </c>
      <c r="K100" t="s">
        <v>74</v>
      </c>
      <c r="L100" t="s">
        <v>74</v>
      </c>
      <c r="M100" t="s">
        <v>74</v>
      </c>
      <c r="N100" t="s">
        <v>74</v>
      </c>
      <c r="O100" t="s">
        <v>74</v>
      </c>
      <c r="P100" t="s">
        <v>74</v>
      </c>
      <c r="Q100" t="s">
        <v>74</v>
      </c>
      <c r="R100" t="s">
        <v>74</v>
      </c>
      <c r="S100" t="s">
        <v>74</v>
      </c>
      <c r="T100" t="s">
        <v>74</v>
      </c>
      <c r="U100" t="s">
        <v>74</v>
      </c>
      <c r="V100" s="3" t="s">
        <v>5372</v>
      </c>
      <c r="W100" t="s">
        <v>74</v>
      </c>
      <c r="X100" t="s">
        <v>74</v>
      </c>
      <c r="Y100" t="s">
        <v>74</v>
      </c>
      <c r="Z100" t="s">
        <v>74</v>
      </c>
      <c r="AA100" t="s">
        <v>5373</v>
      </c>
      <c r="AB100" t="s">
        <v>5374</v>
      </c>
      <c r="AC100" t="s">
        <v>74</v>
      </c>
      <c r="AD100" t="s">
        <v>74</v>
      </c>
      <c r="AE100" t="s">
        <v>74</v>
      </c>
      <c r="AF100" t="s">
        <v>74</v>
      </c>
      <c r="AG100" t="s">
        <v>74</v>
      </c>
      <c r="AH100" t="s">
        <v>74</v>
      </c>
      <c r="AI100" t="s">
        <v>74</v>
      </c>
      <c r="AJ100" t="s">
        <v>74</v>
      </c>
      <c r="AK100" t="s">
        <v>74</v>
      </c>
      <c r="AL100" t="s">
        <v>74</v>
      </c>
      <c r="AM100" t="s">
        <v>74</v>
      </c>
      <c r="AN100" t="s">
        <v>74</v>
      </c>
      <c r="AO100" t="s">
        <v>143</v>
      </c>
      <c r="AP100" t="s">
        <v>144</v>
      </c>
      <c r="AQ100" t="s">
        <v>74</v>
      </c>
      <c r="AR100" t="s">
        <v>74</v>
      </c>
      <c r="AS100" t="s">
        <v>74</v>
      </c>
      <c r="AT100" t="s">
        <v>352</v>
      </c>
      <c r="AU100">
        <v>2021</v>
      </c>
      <c r="AV100">
        <v>179</v>
      </c>
      <c r="AW100" t="s">
        <v>74</v>
      </c>
      <c r="AX100" t="s">
        <v>74</v>
      </c>
      <c r="AY100" t="s">
        <v>74</v>
      </c>
      <c r="AZ100" t="s">
        <v>74</v>
      </c>
      <c r="BA100" t="s">
        <v>74</v>
      </c>
      <c r="BB100">
        <v>307</v>
      </c>
      <c r="BC100">
        <v>315</v>
      </c>
      <c r="BD100" t="s">
        <v>74</v>
      </c>
      <c r="BE100" t="s">
        <v>5375</v>
      </c>
      <c r="BF100" t="str">
        <f>HYPERLINK("http://dx.doi.org/10.1016/j.anbehav.2021.07.016","http://dx.doi.org/10.1016/j.anbehav.2021.07.016")</f>
        <v>http://dx.doi.org/10.1016/j.anbehav.2021.07.016</v>
      </c>
      <c r="BG100" t="s">
        <v>74</v>
      </c>
      <c r="BH100" t="s">
        <v>4990</v>
      </c>
      <c r="BI100" t="s">
        <v>74</v>
      </c>
      <c r="BJ100" t="s">
        <v>74</v>
      </c>
      <c r="BK100" t="s">
        <v>74</v>
      </c>
      <c r="BL100" t="s">
        <v>74</v>
      </c>
      <c r="BM100" t="s">
        <v>74</v>
      </c>
      <c r="BN100" t="s">
        <v>74</v>
      </c>
      <c r="BO100" t="s">
        <v>74</v>
      </c>
      <c r="BP100" t="s">
        <v>74</v>
      </c>
      <c r="BQ100" t="s">
        <v>74</v>
      </c>
      <c r="BR100" t="s">
        <v>74</v>
      </c>
      <c r="BS100" t="s">
        <v>5376</v>
      </c>
      <c r="BT100" t="str">
        <f>HYPERLINK("https%3A%2F%2Fwww.webofscience.com%2Fwos%2Fwoscc%2Ffull-record%2FWOS:000693411000026","View Full Record in Web of Science")</f>
        <v>View Full Record in Web of Science</v>
      </c>
    </row>
    <row r="101" spans="1:72" x14ac:dyDescent="0.4">
      <c r="A101" t="s">
        <v>72</v>
      </c>
      <c r="B101" t="s">
        <v>1632</v>
      </c>
      <c r="C101" t="s">
        <v>74</v>
      </c>
      <c r="D101" t="s">
        <v>74</v>
      </c>
      <c r="E101" t="s">
        <v>74</v>
      </c>
      <c r="F101" t="s">
        <v>1633</v>
      </c>
      <c r="G101" t="s">
        <v>74</v>
      </c>
      <c r="H101" t="s">
        <v>74</v>
      </c>
      <c r="I101" t="s">
        <v>1634</v>
      </c>
      <c r="J101" t="s">
        <v>1635</v>
      </c>
      <c r="K101" t="s">
        <v>74</v>
      </c>
      <c r="L101" t="s">
        <v>74</v>
      </c>
      <c r="M101" t="s">
        <v>74</v>
      </c>
      <c r="N101" t="s">
        <v>74</v>
      </c>
      <c r="O101" t="s">
        <v>74</v>
      </c>
      <c r="P101" t="s">
        <v>74</v>
      </c>
      <c r="Q101" t="s">
        <v>74</v>
      </c>
      <c r="R101" t="s">
        <v>74</v>
      </c>
      <c r="S101" t="s">
        <v>74</v>
      </c>
      <c r="T101" t="s">
        <v>74</v>
      </c>
      <c r="U101" t="s">
        <v>74</v>
      </c>
      <c r="V101" s="3" t="s">
        <v>1636</v>
      </c>
      <c r="W101" t="s">
        <v>74</v>
      </c>
      <c r="X101" t="s">
        <v>74</v>
      </c>
      <c r="Y101" t="s">
        <v>74</v>
      </c>
      <c r="Z101" t="s">
        <v>74</v>
      </c>
      <c r="AA101" t="s">
        <v>1637</v>
      </c>
      <c r="AB101" t="s">
        <v>1638</v>
      </c>
      <c r="AC101" t="s">
        <v>74</v>
      </c>
      <c r="AD101" t="s">
        <v>74</v>
      </c>
      <c r="AE101" t="s">
        <v>74</v>
      </c>
      <c r="AF101" t="s">
        <v>74</v>
      </c>
      <c r="AG101" t="s">
        <v>74</v>
      </c>
      <c r="AH101" t="s">
        <v>74</v>
      </c>
      <c r="AI101" t="s">
        <v>74</v>
      </c>
      <c r="AJ101" t="s">
        <v>74</v>
      </c>
      <c r="AK101" t="s">
        <v>74</v>
      </c>
      <c r="AL101" t="s">
        <v>74</v>
      </c>
      <c r="AM101" t="s">
        <v>74</v>
      </c>
      <c r="AN101" t="s">
        <v>74</v>
      </c>
      <c r="AO101" t="s">
        <v>1639</v>
      </c>
      <c r="AP101" t="s">
        <v>1640</v>
      </c>
      <c r="AQ101" t="s">
        <v>74</v>
      </c>
      <c r="AR101" t="s">
        <v>74</v>
      </c>
      <c r="AS101" t="s">
        <v>74</v>
      </c>
      <c r="AT101" t="s">
        <v>1641</v>
      </c>
      <c r="AU101">
        <v>2021</v>
      </c>
      <c r="AV101">
        <v>376</v>
      </c>
      <c r="AW101">
        <v>1824</v>
      </c>
      <c r="AX101" t="s">
        <v>74</v>
      </c>
      <c r="AY101" t="s">
        <v>74</v>
      </c>
      <c r="AZ101" t="s">
        <v>74</v>
      </c>
      <c r="BA101" t="s">
        <v>74</v>
      </c>
      <c r="BB101" t="s">
        <v>74</v>
      </c>
      <c r="BC101" t="s">
        <v>74</v>
      </c>
      <c r="BD101">
        <v>20200188</v>
      </c>
      <c r="BE101" t="s">
        <v>1642</v>
      </c>
      <c r="BF101" t="str">
        <f>HYPERLINK("http://dx.doi.org/10.1098/rstb.2020.0188","http://dx.doi.org/10.1098/rstb.2020.0188")</f>
        <v>http://dx.doi.org/10.1098/rstb.2020.0188</v>
      </c>
      <c r="BG101" t="s">
        <v>74</v>
      </c>
      <c r="BH101" t="s">
        <v>74</v>
      </c>
      <c r="BI101" t="s">
        <v>74</v>
      </c>
      <c r="BJ101" t="s">
        <v>74</v>
      </c>
      <c r="BK101" t="s">
        <v>74</v>
      </c>
      <c r="BL101" t="s">
        <v>74</v>
      </c>
      <c r="BM101" t="s">
        <v>74</v>
      </c>
      <c r="BN101">
        <v>33745319</v>
      </c>
      <c r="BO101" t="s">
        <v>74</v>
      </c>
      <c r="BP101" t="s">
        <v>74</v>
      </c>
      <c r="BQ101" t="s">
        <v>74</v>
      </c>
      <c r="BR101" t="s">
        <v>74</v>
      </c>
      <c r="BS101" t="s">
        <v>1643</v>
      </c>
      <c r="BT101" t="str">
        <f>HYPERLINK("https%3A%2F%2Fwww.webofscience.com%2Fwos%2Fwoscc%2Ffull-record%2FWOS:000631504800001","View Full Record in Web of Science")</f>
        <v>View Full Record in Web of Science</v>
      </c>
    </row>
    <row r="102" spans="1:72" x14ac:dyDescent="0.4">
      <c r="A102" t="s">
        <v>72</v>
      </c>
      <c r="B102" t="s">
        <v>5226</v>
      </c>
      <c r="C102" t="s">
        <v>74</v>
      </c>
      <c r="D102" t="s">
        <v>74</v>
      </c>
      <c r="E102" t="s">
        <v>74</v>
      </c>
      <c r="F102" t="s">
        <v>5227</v>
      </c>
      <c r="G102" t="s">
        <v>74</v>
      </c>
      <c r="H102" t="s">
        <v>74</v>
      </c>
      <c r="I102" t="s">
        <v>5228</v>
      </c>
      <c r="J102" t="s">
        <v>119</v>
      </c>
      <c r="K102" t="s">
        <v>74</v>
      </c>
      <c r="L102" t="s">
        <v>74</v>
      </c>
      <c r="M102" t="s">
        <v>74</v>
      </c>
      <c r="N102" t="s">
        <v>74</v>
      </c>
      <c r="O102" t="s">
        <v>74</v>
      </c>
      <c r="P102" t="s">
        <v>74</v>
      </c>
      <c r="Q102" t="s">
        <v>74</v>
      </c>
      <c r="R102" t="s">
        <v>74</v>
      </c>
      <c r="S102" t="s">
        <v>74</v>
      </c>
      <c r="T102" t="s">
        <v>74</v>
      </c>
      <c r="U102" t="s">
        <v>74</v>
      </c>
      <c r="V102" s="3" t="s">
        <v>5229</v>
      </c>
      <c r="W102" t="s">
        <v>74</v>
      </c>
      <c r="X102" t="s">
        <v>74</v>
      </c>
      <c r="Y102" t="s">
        <v>74</v>
      </c>
      <c r="Z102" t="s">
        <v>74</v>
      </c>
      <c r="AA102" t="s">
        <v>5230</v>
      </c>
      <c r="AB102" t="s">
        <v>5231</v>
      </c>
      <c r="AC102" t="s">
        <v>74</v>
      </c>
      <c r="AD102" t="s">
        <v>74</v>
      </c>
      <c r="AE102" t="s">
        <v>74</v>
      </c>
      <c r="AF102" t="s">
        <v>74</v>
      </c>
      <c r="AG102" t="s">
        <v>74</v>
      </c>
      <c r="AH102" t="s">
        <v>74</v>
      </c>
      <c r="AI102" t="s">
        <v>74</v>
      </c>
      <c r="AJ102" t="s">
        <v>74</v>
      </c>
      <c r="AK102" t="s">
        <v>74</v>
      </c>
      <c r="AL102" t="s">
        <v>74</v>
      </c>
      <c r="AM102" t="s">
        <v>74</v>
      </c>
      <c r="AN102" t="s">
        <v>74</v>
      </c>
      <c r="AO102" t="s">
        <v>121</v>
      </c>
      <c r="AP102" t="s">
        <v>122</v>
      </c>
      <c r="AQ102" t="s">
        <v>74</v>
      </c>
      <c r="AR102" t="s">
        <v>74</v>
      </c>
      <c r="AS102" t="s">
        <v>74</v>
      </c>
      <c r="AT102" t="s">
        <v>213</v>
      </c>
      <c r="AU102">
        <v>2015</v>
      </c>
      <c r="AV102">
        <v>120</v>
      </c>
      <c r="AW102" t="s">
        <v>74</v>
      </c>
      <c r="AX102" t="s">
        <v>74</v>
      </c>
      <c r="AY102" t="s">
        <v>74</v>
      </c>
      <c r="AZ102" t="s">
        <v>74</v>
      </c>
      <c r="BA102" t="s">
        <v>74</v>
      </c>
      <c r="BB102">
        <v>128</v>
      </c>
      <c r="BC102">
        <v>134</v>
      </c>
      <c r="BD102" t="s">
        <v>74</v>
      </c>
      <c r="BE102" t="s">
        <v>5232</v>
      </c>
      <c r="BF102" t="str">
        <f>HYPERLINK("http://dx.doi.org/10.1016/j.beproc.2015.09.015","http://dx.doi.org/10.1016/j.beproc.2015.09.015")</f>
        <v>http://dx.doi.org/10.1016/j.beproc.2015.09.015</v>
      </c>
      <c r="BG102" t="s">
        <v>74</v>
      </c>
      <c r="BH102" t="s">
        <v>74</v>
      </c>
      <c r="BI102" t="s">
        <v>74</v>
      </c>
      <c r="BJ102" t="s">
        <v>74</v>
      </c>
      <c r="BK102" t="s">
        <v>74</v>
      </c>
      <c r="BL102" t="s">
        <v>74</v>
      </c>
      <c r="BM102" t="s">
        <v>74</v>
      </c>
      <c r="BN102">
        <v>26449315</v>
      </c>
      <c r="BO102" t="s">
        <v>74</v>
      </c>
      <c r="BP102" t="s">
        <v>74</v>
      </c>
      <c r="BQ102" t="s">
        <v>74</v>
      </c>
      <c r="BR102" t="s">
        <v>74</v>
      </c>
      <c r="BS102" t="s">
        <v>5233</v>
      </c>
      <c r="BT102" t="str">
        <f>HYPERLINK("https%3A%2F%2Fwww.webofscience.com%2Fwos%2Fwoscc%2Ffull-record%2FWOS:000364503300018","View Full Record in Web of Science")</f>
        <v>View Full Record in Web of Science</v>
      </c>
    </row>
    <row r="103" spans="1:72" x14ac:dyDescent="0.4">
      <c r="A103" t="s">
        <v>72</v>
      </c>
      <c r="B103" t="s">
        <v>7547</v>
      </c>
      <c r="C103" t="s">
        <v>74</v>
      </c>
      <c r="D103" t="s">
        <v>74</v>
      </c>
      <c r="E103" t="s">
        <v>74</v>
      </c>
      <c r="F103" t="s">
        <v>7548</v>
      </c>
      <c r="G103" t="s">
        <v>74</v>
      </c>
      <c r="H103" t="s">
        <v>74</v>
      </c>
      <c r="I103" t="s">
        <v>7549</v>
      </c>
      <c r="J103" t="s">
        <v>7550</v>
      </c>
      <c r="K103" t="s">
        <v>74</v>
      </c>
      <c r="L103" t="s">
        <v>74</v>
      </c>
      <c r="M103" t="s">
        <v>74</v>
      </c>
      <c r="N103" t="s">
        <v>74</v>
      </c>
      <c r="O103" t="s">
        <v>74</v>
      </c>
      <c r="P103" t="s">
        <v>74</v>
      </c>
      <c r="Q103" t="s">
        <v>74</v>
      </c>
      <c r="R103" t="s">
        <v>74</v>
      </c>
      <c r="S103" t="s">
        <v>74</v>
      </c>
      <c r="T103" t="s">
        <v>74</v>
      </c>
      <c r="U103" t="s">
        <v>74</v>
      </c>
      <c r="V103" s="3" t="s">
        <v>7551</v>
      </c>
      <c r="W103" t="s">
        <v>74</v>
      </c>
      <c r="X103" t="s">
        <v>74</v>
      </c>
      <c r="Y103" t="s">
        <v>74</v>
      </c>
      <c r="Z103" t="s">
        <v>74</v>
      </c>
      <c r="AA103" t="s">
        <v>74</v>
      </c>
      <c r="AB103" t="s">
        <v>74</v>
      </c>
      <c r="AC103" t="s">
        <v>74</v>
      </c>
      <c r="AD103" t="s">
        <v>74</v>
      </c>
      <c r="AE103" t="s">
        <v>74</v>
      </c>
      <c r="AF103" t="s">
        <v>74</v>
      </c>
      <c r="AG103" t="s">
        <v>74</v>
      </c>
      <c r="AH103" t="s">
        <v>74</v>
      </c>
      <c r="AI103" t="s">
        <v>74</v>
      </c>
      <c r="AJ103" t="s">
        <v>74</v>
      </c>
      <c r="AK103" t="s">
        <v>74</v>
      </c>
      <c r="AL103" t="s">
        <v>74</v>
      </c>
      <c r="AM103" t="s">
        <v>74</v>
      </c>
      <c r="AN103" t="s">
        <v>74</v>
      </c>
      <c r="AO103" t="s">
        <v>7552</v>
      </c>
      <c r="AP103" t="s">
        <v>7553</v>
      </c>
      <c r="AQ103" t="s">
        <v>74</v>
      </c>
      <c r="AR103" t="s">
        <v>74</v>
      </c>
      <c r="AS103" t="s">
        <v>74</v>
      </c>
      <c r="AT103" t="s">
        <v>74</v>
      </c>
      <c r="AU103">
        <v>2015</v>
      </c>
      <c r="AV103">
        <v>144</v>
      </c>
      <c r="AW103">
        <v>4</v>
      </c>
      <c r="AX103" t="s">
        <v>74</v>
      </c>
      <c r="AY103" t="s">
        <v>74</v>
      </c>
      <c r="AZ103" t="s">
        <v>74</v>
      </c>
      <c r="BA103" t="s">
        <v>74</v>
      </c>
      <c r="BB103">
        <v>717</v>
      </c>
      <c r="BC103">
        <v>723</v>
      </c>
      <c r="BD103" t="s">
        <v>74</v>
      </c>
      <c r="BE103" t="s">
        <v>7554</v>
      </c>
      <c r="BF103" t="str">
        <f>HYPERLINK("http://dx.doi.org/10.1080/00028487.2015.1037017","http://dx.doi.org/10.1080/00028487.2015.1037017")</f>
        <v>http://dx.doi.org/10.1080/00028487.2015.1037017</v>
      </c>
      <c r="BG103" t="s">
        <v>74</v>
      </c>
      <c r="BH103" t="s">
        <v>74</v>
      </c>
      <c r="BI103" t="s">
        <v>74</v>
      </c>
      <c r="BJ103" t="s">
        <v>74</v>
      </c>
      <c r="BK103" t="s">
        <v>74</v>
      </c>
      <c r="BL103" t="s">
        <v>74</v>
      </c>
      <c r="BM103" t="s">
        <v>74</v>
      </c>
      <c r="BN103" t="s">
        <v>74</v>
      </c>
      <c r="BO103" t="s">
        <v>74</v>
      </c>
      <c r="BP103" t="s">
        <v>74</v>
      </c>
      <c r="BQ103" t="s">
        <v>74</v>
      </c>
      <c r="BR103" t="s">
        <v>74</v>
      </c>
      <c r="BS103" t="s">
        <v>7555</v>
      </c>
      <c r="BT103" t="str">
        <f>HYPERLINK("https%3A%2F%2Fwww.webofscience.com%2Fwos%2Fwoscc%2Ffull-record%2FWOS:000358854700006","View Full Record in Web of Science")</f>
        <v>View Full Record in Web of Science</v>
      </c>
    </row>
    <row r="104" spans="1:72" x14ac:dyDescent="0.4">
      <c r="A104" t="s">
        <v>72</v>
      </c>
      <c r="B104" t="s">
        <v>5735</v>
      </c>
      <c r="C104" t="s">
        <v>74</v>
      </c>
      <c r="D104" t="s">
        <v>74</v>
      </c>
      <c r="E104" t="s">
        <v>74</v>
      </c>
      <c r="F104" t="s">
        <v>5736</v>
      </c>
      <c r="G104" t="s">
        <v>74</v>
      </c>
      <c r="H104" t="s">
        <v>74</v>
      </c>
      <c r="I104" t="s">
        <v>5737</v>
      </c>
      <c r="J104" t="s">
        <v>5738</v>
      </c>
      <c r="K104" t="s">
        <v>74</v>
      </c>
      <c r="L104" t="s">
        <v>74</v>
      </c>
      <c r="M104" t="s">
        <v>74</v>
      </c>
      <c r="N104" t="s">
        <v>74</v>
      </c>
      <c r="O104" t="s">
        <v>74</v>
      </c>
      <c r="P104" t="s">
        <v>74</v>
      </c>
      <c r="Q104" t="s">
        <v>74</v>
      </c>
      <c r="R104" t="s">
        <v>74</v>
      </c>
      <c r="S104" t="s">
        <v>74</v>
      </c>
      <c r="T104" t="s">
        <v>74</v>
      </c>
      <c r="U104" t="s">
        <v>74</v>
      </c>
      <c r="V104" s="3" t="s">
        <v>5739</v>
      </c>
      <c r="W104" t="s">
        <v>74</v>
      </c>
      <c r="X104" t="s">
        <v>74</v>
      </c>
      <c r="Y104" t="s">
        <v>74</v>
      </c>
      <c r="Z104" t="s">
        <v>74</v>
      </c>
      <c r="AA104" t="s">
        <v>74</v>
      </c>
      <c r="AB104" t="s">
        <v>74</v>
      </c>
      <c r="AC104" t="s">
        <v>74</v>
      </c>
      <c r="AD104" t="s">
        <v>74</v>
      </c>
      <c r="AE104" t="s">
        <v>74</v>
      </c>
      <c r="AF104" t="s">
        <v>74</v>
      </c>
      <c r="AG104" t="s">
        <v>74</v>
      </c>
      <c r="AH104" t="s">
        <v>74</v>
      </c>
      <c r="AI104" t="s">
        <v>74</v>
      </c>
      <c r="AJ104" t="s">
        <v>74</v>
      </c>
      <c r="AK104" t="s">
        <v>74</v>
      </c>
      <c r="AL104" t="s">
        <v>74</v>
      </c>
      <c r="AM104" t="s">
        <v>74</v>
      </c>
      <c r="AN104" t="s">
        <v>74</v>
      </c>
      <c r="AO104" t="s">
        <v>5740</v>
      </c>
      <c r="AP104" t="s">
        <v>74</v>
      </c>
      <c r="AQ104" t="s">
        <v>74</v>
      </c>
      <c r="AR104" t="s">
        <v>74</v>
      </c>
      <c r="AS104" t="s">
        <v>74</v>
      </c>
      <c r="AT104" t="s">
        <v>74</v>
      </c>
      <c r="AU104">
        <v>2016</v>
      </c>
      <c r="AV104">
        <v>33</v>
      </c>
      <c r="AW104">
        <v>2</v>
      </c>
      <c r="AX104" t="s">
        <v>74</v>
      </c>
      <c r="AY104" t="s">
        <v>74</v>
      </c>
      <c r="AZ104" t="s">
        <v>74</v>
      </c>
      <c r="BA104" t="s">
        <v>74</v>
      </c>
      <c r="BB104" t="s">
        <v>74</v>
      </c>
      <c r="BC104" t="s">
        <v>74</v>
      </c>
      <c r="BD104" t="s">
        <v>5741</v>
      </c>
      <c r="BE104" t="s">
        <v>5742</v>
      </c>
      <c r="BF104" t="str">
        <f>HYPERLINK("http://dx.doi.org/10.1590/S1984-4689zool-20150190","http://dx.doi.org/10.1590/S1984-4689zool-20150190")</f>
        <v>http://dx.doi.org/10.1590/S1984-4689zool-20150190</v>
      </c>
      <c r="BG104" t="s">
        <v>74</v>
      </c>
      <c r="BH104" t="s">
        <v>74</v>
      </c>
      <c r="BI104" t="s">
        <v>74</v>
      </c>
      <c r="BJ104" t="s">
        <v>74</v>
      </c>
      <c r="BK104" t="s">
        <v>74</v>
      </c>
      <c r="BL104" t="s">
        <v>74</v>
      </c>
      <c r="BM104" t="s">
        <v>74</v>
      </c>
      <c r="BN104" t="s">
        <v>74</v>
      </c>
      <c r="BO104" t="s">
        <v>74</v>
      </c>
      <c r="BP104" t="s">
        <v>74</v>
      </c>
      <c r="BQ104" t="s">
        <v>74</v>
      </c>
      <c r="BR104" t="s">
        <v>74</v>
      </c>
      <c r="BS104" t="s">
        <v>5743</v>
      </c>
      <c r="BT104" t="str">
        <f>HYPERLINK("https%3A%2F%2Fwww.webofscience.com%2Fwos%2Fwoscc%2Ffull-record%2FWOS:000376449900006","View Full Record in Web of Science")</f>
        <v>View Full Record in Web of Science</v>
      </c>
    </row>
    <row r="105" spans="1:72" x14ac:dyDescent="0.4">
      <c r="A105" t="s">
        <v>72</v>
      </c>
      <c r="B105" t="s">
        <v>8013</v>
      </c>
      <c r="C105" t="s">
        <v>74</v>
      </c>
      <c r="D105" t="s">
        <v>74</v>
      </c>
      <c r="E105" t="s">
        <v>74</v>
      </c>
      <c r="F105" t="s">
        <v>8014</v>
      </c>
      <c r="G105" t="s">
        <v>74</v>
      </c>
      <c r="H105" t="s">
        <v>74</v>
      </c>
      <c r="I105" t="s">
        <v>8015</v>
      </c>
      <c r="J105" t="s">
        <v>1437</v>
      </c>
      <c r="K105" t="s">
        <v>74</v>
      </c>
      <c r="L105" t="s">
        <v>74</v>
      </c>
      <c r="M105" t="s">
        <v>74</v>
      </c>
      <c r="N105" t="s">
        <v>74</v>
      </c>
      <c r="O105" t="s">
        <v>74</v>
      </c>
      <c r="P105" t="s">
        <v>74</v>
      </c>
      <c r="Q105" t="s">
        <v>74</v>
      </c>
      <c r="R105" t="s">
        <v>74</v>
      </c>
      <c r="S105" t="s">
        <v>74</v>
      </c>
      <c r="T105" t="s">
        <v>74</v>
      </c>
      <c r="U105" t="s">
        <v>74</v>
      </c>
      <c r="V105" s="3" t="s">
        <v>8016</v>
      </c>
      <c r="W105" t="s">
        <v>74</v>
      </c>
      <c r="X105" t="s">
        <v>74</v>
      </c>
      <c r="Y105" t="s">
        <v>74</v>
      </c>
      <c r="Z105" t="s">
        <v>74</v>
      </c>
      <c r="AA105" t="s">
        <v>8017</v>
      </c>
      <c r="AB105" t="s">
        <v>8018</v>
      </c>
      <c r="AC105" t="s">
        <v>74</v>
      </c>
      <c r="AD105" t="s">
        <v>74</v>
      </c>
      <c r="AE105" t="s">
        <v>74</v>
      </c>
      <c r="AF105" t="s">
        <v>74</v>
      </c>
      <c r="AG105" t="s">
        <v>74</v>
      </c>
      <c r="AH105" t="s">
        <v>74</v>
      </c>
      <c r="AI105" t="s">
        <v>74</v>
      </c>
      <c r="AJ105" t="s">
        <v>74</v>
      </c>
      <c r="AK105" t="s">
        <v>74</v>
      </c>
      <c r="AL105" t="s">
        <v>74</v>
      </c>
      <c r="AM105" t="s">
        <v>74</v>
      </c>
      <c r="AN105" t="s">
        <v>74</v>
      </c>
      <c r="AO105" t="s">
        <v>1440</v>
      </c>
      <c r="AP105" t="s">
        <v>3347</v>
      </c>
      <c r="AQ105" t="s">
        <v>74</v>
      </c>
      <c r="AR105" t="s">
        <v>74</v>
      </c>
      <c r="AS105" t="s">
        <v>74</v>
      </c>
      <c r="AT105" t="s">
        <v>204</v>
      </c>
      <c r="AU105">
        <v>2015</v>
      </c>
      <c r="AV105">
        <v>115</v>
      </c>
      <c r="AW105">
        <v>1</v>
      </c>
      <c r="AX105" t="s">
        <v>74</v>
      </c>
      <c r="AY105" t="s">
        <v>74</v>
      </c>
      <c r="AZ105" t="s">
        <v>74</v>
      </c>
      <c r="BA105" t="s">
        <v>74</v>
      </c>
      <c r="BB105">
        <v>47</v>
      </c>
      <c r="BC105">
        <v>55</v>
      </c>
      <c r="BD105" t="s">
        <v>74</v>
      </c>
      <c r="BE105" t="s">
        <v>8019</v>
      </c>
      <c r="BF105" t="str">
        <f>HYPERLINK("http://dx.doi.org/10.1038/hdy.2015.15","http://dx.doi.org/10.1038/hdy.2015.15")</f>
        <v>http://dx.doi.org/10.1038/hdy.2015.15</v>
      </c>
      <c r="BG105" t="s">
        <v>74</v>
      </c>
      <c r="BH105" t="s">
        <v>74</v>
      </c>
      <c r="BI105" t="s">
        <v>74</v>
      </c>
      <c r="BJ105" t="s">
        <v>74</v>
      </c>
      <c r="BK105" t="s">
        <v>74</v>
      </c>
      <c r="BL105" t="s">
        <v>74</v>
      </c>
      <c r="BM105" t="s">
        <v>74</v>
      </c>
      <c r="BN105">
        <v>26059968</v>
      </c>
      <c r="BO105" t="s">
        <v>74</v>
      </c>
      <c r="BP105" t="s">
        <v>74</v>
      </c>
      <c r="BQ105" t="s">
        <v>74</v>
      </c>
      <c r="BR105" t="s">
        <v>74</v>
      </c>
      <c r="BS105" t="s">
        <v>8020</v>
      </c>
      <c r="BT105" t="str">
        <f>HYPERLINK("https%3A%2F%2Fwww.webofscience.com%2Fwos%2Fwoscc%2Ffull-record%2FWOS:000356024900007","View Full Record in Web of Science")</f>
        <v>View Full Record in Web of Science</v>
      </c>
    </row>
    <row r="106" spans="1:72" x14ac:dyDescent="0.4">
      <c r="A106" t="s">
        <v>72</v>
      </c>
      <c r="B106" t="s">
        <v>1242</v>
      </c>
      <c r="C106" t="s">
        <v>74</v>
      </c>
      <c r="D106" t="s">
        <v>74</v>
      </c>
      <c r="E106" t="s">
        <v>74</v>
      </c>
      <c r="F106" t="s">
        <v>1242</v>
      </c>
      <c r="G106" t="s">
        <v>74</v>
      </c>
      <c r="H106" t="s">
        <v>74</v>
      </c>
      <c r="I106" t="s">
        <v>1243</v>
      </c>
      <c r="J106" t="s">
        <v>1244</v>
      </c>
      <c r="K106" t="s">
        <v>74</v>
      </c>
      <c r="L106" t="s">
        <v>74</v>
      </c>
      <c r="M106" t="s">
        <v>74</v>
      </c>
      <c r="N106" t="s">
        <v>74</v>
      </c>
      <c r="O106" t="s">
        <v>74</v>
      </c>
      <c r="P106" t="s">
        <v>74</v>
      </c>
      <c r="Q106" t="s">
        <v>74</v>
      </c>
      <c r="R106" t="s">
        <v>74</v>
      </c>
      <c r="S106" t="s">
        <v>74</v>
      </c>
      <c r="T106" t="s">
        <v>74</v>
      </c>
      <c r="U106" t="s">
        <v>74</v>
      </c>
      <c r="V106" s="3" t="s">
        <v>1245</v>
      </c>
      <c r="W106" t="s">
        <v>74</v>
      </c>
      <c r="X106" t="s">
        <v>74</v>
      </c>
      <c r="Y106" t="s">
        <v>74</v>
      </c>
      <c r="Z106" t="s">
        <v>74</v>
      </c>
      <c r="AA106" t="s">
        <v>74</v>
      </c>
      <c r="AB106" t="s">
        <v>74</v>
      </c>
      <c r="AC106" t="s">
        <v>74</v>
      </c>
      <c r="AD106" t="s">
        <v>74</v>
      </c>
      <c r="AE106" t="s">
        <v>74</v>
      </c>
      <c r="AF106" t="s">
        <v>74</v>
      </c>
      <c r="AG106" t="s">
        <v>74</v>
      </c>
      <c r="AH106" t="s">
        <v>74</v>
      </c>
      <c r="AI106" t="s">
        <v>74</v>
      </c>
      <c r="AJ106" t="s">
        <v>74</v>
      </c>
      <c r="AK106" t="s">
        <v>74</v>
      </c>
      <c r="AL106" t="s">
        <v>74</v>
      </c>
      <c r="AM106" t="s">
        <v>74</v>
      </c>
      <c r="AN106" t="s">
        <v>74</v>
      </c>
      <c r="AO106" t="s">
        <v>1246</v>
      </c>
      <c r="AP106" t="s">
        <v>74</v>
      </c>
      <c r="AQ106" t="s">
        <v>74</v>
      </c>
      <c r="AR106" t="s">
        <v>74</v>
      </c>
      <c r="AS106" t="s">
        <v>74</v>
      </c>
      <c r="AT106" t="s">
        <v>1247</v>
      </c>
      <c r="AU106">
        <v>2004</v>
      </c>
      <c r="AV106">
        <v>33</v>
      </c>
      <c r="AW106">
        <v>2</v>
      </c>
      <c r="AX106" t="s">
        <v>74</v>
      </c>
      <c r="AY106" t="s">
        <v>74</v>
      </c>
      <c r="AZ106" t="s">
        <v>74</v>
      </c>
      <c r="BA106" t="s">
        <v>74</v>
      </c>
      <c r="BB106">
        <v>147</v>
      </c>
      <c r="BC106">
        <v>156</v>
      </c>
      <c r="BD106" t="s">
        <v>74</v>
      </c>
      <c r="BE106" t="s">
        <v>74</v>
      </c>
      <c r="BF106" t="s">
        <v>74</v>
      </c>
      <c r="BG106" t="s">
        <v>74</v>
      </c>
      <c r="BH106" t="s">
        <v>74</v>
      </c>
      <c r="BI106" t="s">
        <v>74</v>
      </c>
      <c r="BJ106" t="s">
        <v>74</v>
      </c>
      <c r="BK106" t="s">
        <v>74</v>
      </c>
      <c r="BL106" t="s">
        <v>74</v>
      </c>
      <c r="BM106" t="s">
        <v>74</v>
      </c>
      <c r="BN106" t="s">
        <v>74</v>
      </c>
      <c r="BO106" t="s">
        <v>74</v>
      </c>
      <c r="BP106" t="s">
        <v>74</v>
      </c>
      <c r="BQ106" t="s">
        <v>74</v>
      </c>
      <c r="BR106" t="s">
        <v>74</v>
      </c>
      <c r="BS106" t="s">
        <v>1248</v>
      </c>
      <c r="BT106" t="str">
        <f>HYPERLINK("https%3A%2F%2Fwww.webofscience.com%2Fwos%2Fwoscc%2Ffull-record%2FWOS:000221702600002","View Full Record in Web of Science")</f>
        <v>View Full Record in Web of Science</v>
      </c>
    </row>
    <row r="107" spans="1:72" x14ac:dyDescent="0.4">
      <c r="A107" t="s">
        <v>72</v>
      </c>
      <c r="B107" t="s">
        <v>5707</v>
      </c>
      <c r="C107" t="s">
        <v>74</v>
      </c>
      <c r="D107" t="s">
        <v>74</v>
      </c>
      <c r="E107" t="s">
        <v>74</v>
      </c>
      <c r="F107" t="s">
        <v>5708</v>
      </c>
      <c r="G107" t="s">
        <v>74</v>
      </c>
      <c r="H107" t="s">
        <v>74</v>
      </c>
      <c r="I107" t="s">
        <v>5709</v>
      </c>
      <c r="J107" t="s">
        <v>5710</v>
      </c>
      <c r="K107" t="s">
        <v>74</v>
      </c>
      <c r="L107" t="s">
        <v>74</v>
      </c>
      <c r="M107" t="s">
        <v>74</v>
      </c>
      <c r="N107" t="s">
        <v>74</v>
      </c>
      <c r="O107" t="s">
        <v>74</v>
      </c>
      <c r="P107" t="s">
        <v>74</v>
      </c>
      <c r="Q107" t="s">
        <v>74</v>
      </c>
      <c r="R107" t="s">
        <v>74</v>
      </c>
      <c r="S107" t="s">
        <v>74</v>
      </c>
      <c r="T107" t="s">
        <v>74</v>
      </c>
      <c r="U107" t="s">
        <v>74</v>
      </c>
      <c r="V107" s="3" t="s">
        <v>5711</v>
      </c>
      <c r="W107" t="s">
        <v>74</v>
      </c>
      <c r="X107" t="s">
        <v>74</v>
      </c>
      <c r="Y107" t="s">
        <v>74</v>
      </c>
      <c r="Z107" t="s">
        <v>74</v>
      </c>
      <c r="AA107" t="s">
        <v>5712</v>
      </c>
      <c r="AB107" t="s">
        <v>5713</v>
      </c>
      <c r="AC107" t="s">
        <v>74</v>
      </c>
      <c r="AD107" t="s">
        <v>74</v>
      </c>
      <c r="AE107" t="s">
        <v>74</v>
      </c>
      <c r="AF107" t="s">
        <v>74</v>
      </c>
      <c r="AG107" t="s">
        <v>74</v>
      </c>
      <c r="AH107" t="s">
        <v>74</v>
      </c>
      <c r="AI107" t="s">
        <v>74</v>
      </c>
      <c r="AJ107" t="s">
        <v>74</v>
      </c>
      <c r="AK107" t="s">
        <v>74</v>
      </c>
      <c r="AL107" t="s">
        <v>74</v>
      </c>
      <c r="AM107" t="s">
        <v>74</v>
      </c>
      <c r="AN107" t="s">
        <v>74</v>
      </c>
      <c r="AO107" t="s">
        <v>5714</v>
      </c>
      <c r="AP107" t="s">
        <v>5715</v>
      </c>
      <c r="AQ107" t="s">
        <v>74</v>
      </c>
      <c r="AR107" t="s">
        <v>74</v>
      </c>
      <c r="AS107" t="s">
        <v>74</v>
      </c>
      <c r="AT107" t="s">
        <v>74</v>
      </c>
      <c r="AU107">
        <v>2015</v>
      </c>
      <c r="AV107">
        <v>65</v>
      </c>
      <c r="AW107">
        <v>1</v>
      </c>
      <c r="AX107" t="s">
        <v>74</v>
      </c>
      <c r="AY107" t="s">
        <v>74</v>
      </c>
      <c r="AZ107" t="s">
        <v>74</v>
      </c>
      <c r="BA107" t="s">
        <v>74</v>
      </c>
      <c r="BB107">
        <v>21</v>
      </c>
      <c r="BC107">
        <v>39</v>
      </c>
      <c r="BD107" t="s">
        <v>74</v>
      </c>
      <c r="BE107" t="s">
        <v>5716</v>
      </c>
      <c r="BF107" t="str">
        <f>HYPERLINK("http://dx.doi.org/10.3161/00034541ANZ2015.65.1.003","http://dx.doi.org/10.3161/00034541ANZ2015.65.1.003")</f>
        <v>http://dx.doi.org/10.3161/00034541ANZ2015.65.1.003</v>
      </c>
      <c r="BG107" t="s">
        <v>74</v>
      </c>
      <c r="BH107" t="s">
        <v>74</v>
      </c>
      <c r="BI107" t="s">
        <v>74</v>
      </c>
      <c r="BJ107" t="s">
        <v>74</v>
      </c>
      <c r="BK107" t="s">
        <v>74</v>
      </c>
      <c r="BL107" t="s">
        <v>74</v>
      </c>
      <c r="BM107" t="s">
        <v>74</v>
      </c>
      <c r="BN107" t="s">
        <v>74</v>
      </c>
      <c r="BO107" t="s">
        <v>74</v>
      </c>
      <c r="BP107" t="s">
        <v>74</v>
      </c>
      <c r="BQ107" t="s">
        <v>74</v>
      </c>
      <c r="BR107" t="s">
        <v>74</v>
      </c>
      <c r="BS107" t="s">
        <v>5717</v>
      </c>
      <c r="BT107" t="str">
        <f>HYPERLINK("https%3A%2F%2Fwww.webofscience.com%2Fwos%2Fwoscc%2Ffull-record%2FWOS:000353527500003","View Full Record in Web of Science")</f>
        <v>View Full Record in Web of Science</v>
      </c>
    </row>
    <row r="108" spans="1:72" x14ac:dyDescent="0.4">
      <c r="A108" t="s">
        <v>72</v>
      </c>
      <c r="B108" t="s">
        <v>573</v>
      </c>
      <c r="C108" t="s">
        <v>74</v>
      </c>
      <c r="D108" t="s">
        <v>74</v>
      </c>
      <c r="E108" t="s">
        <v>74</v>
      </c>
      <c r="F108" t="s">
        <v>574</v>
      </c>
      <c r="G108" t="s">
        <v>74</v>
      </c>
      <c r="H108" t="s">
        <v>74</v>
      </c>
      <c r="I108" t="s">
        <v>575</v>
      </c>
      <c r="J108" t="s">
        <v>576</v>
      </c>
      <c r="K108" t="s">
        <v>74</v>
      </c>
      <c r="L108" t="s">
        <v>74</v>
      </c>
      <c r="M108" t="s">
        <v>74</v>
      </c>
      <c r="N108" t="s">
        <v>74</v>
      </c>
      <c r="O108" t="s">
        <v>74</v>
      </c>
      <c r="P108" t="s">
        <v>74</v>
      </c>
      <c r="Q108" t="s">
        <v>74</v>
      </c>
      <c r="R108" t="s">
        <v>74</v>
      </c>
      <c r="S108" t="s">
        <v>74</v>
      </c>
      <c r="T108" t="s">
        <v>74</v>
      </c>
      <c r="U108" t="s">
        <v>74</v>
      </c>
      <c r="V108" s="3" t="s">
        <v>577</v>
      </c>
      <c r="W108" t="s">
        <v>74</v>
      </c>
      <c r="X108" t="s">
        <v>74</v>
      </c>
      <c r="Y108" t="s">
        <v>74</v>
      </c>
      <c r="Z108" t="s">
        <v>74</v>
      </c>
      <c r="AA108" t="s">
        <v>74</v>
      </c>
      <c r="AB108" t="s">
        <v>578</v>
      </c>
      <c r="AC108" t="s">
        <v>74</v>
      </c>
      <c r="AD108" t="s">
        <v>74</v>
      </c>
      <c r="AE108" t="s">
        <v>74</v>
      </c>
      <c r="AF108" t="s">
        <v>74</v>
      </c>
      <c r="AG108" t="s">
        <v>74</v>
      </c>
      <c r="AH108" t="s">
        <v>74</v>
      </c>
      <c r="AI108" t="s">
        <v>74</v>
      </c>
      <c r="AJ108" t="s">
        <v>74</v>
      </c>
      <c r="AK108" t="s">
        <v>74</v>
      </c>
      <c r="AL108" t="s">
        <v>74</v>
      </c>
      <c r="AM108" t="s">
        <v>74</v>
      </c>
      <c r="AN108" t="s">
        <v>74</v>
      </c>
      <c r="AO108" t="s">
        <v>579</v>
      </c>
      <c r="AP108" t="s">
        <v>580</v>
      </c>
      <c r="AQ108" t="s">
        <v>74</v>
      </c>
      <c r="AR108" t="s">
        <v>74</v>
      </c>
      <c r="AS108" t="s">
        <v>74</v>
      </c>
      <c r="AT108" t="s">
        <v>581</v>
      </c>
      <c r="AU108">
        <v>2024</v>
      </c>
      <c r="AV108" t="s">
        <v>74</v>
      </c>
      <c r="AW108" t="s">
        <v>74</v>
      </c>
      <c r="AX108" t="s">
        <v>74</v>
      </c>
      <c r="AY108" t="s">
        <v>74</v>
      </c>
      <c r="AZ108" t="s">
        <v>74</v>
      </c>
      <c r="BA108" t="s">
        <v>74</v>
      </c>
      <c r="BB108" t="s">
        <v>74</v>
      </c>
      <c r="BC108" t="s">
        <v>74</v>
      </c>
      <c r="BD108" t="s">
        <v>74</v>
      </c>
      <c r="BE108" t="s">
        <v>582</v>
      </c>
      <c r="BF108" t="str">
        <f>HYPERLINK("http://dx.doi.org/10.1007/s10682-023-10285-x","http://dx.doi.org/10.1007/s10682-023-10285-x")</f>
        <v>http://dx.doi.org/10.1007/s10682-023-10285-x</v>
      </c>
      <c r="BG108" t="s">
        <v>74</v>
      </c>
      <c r="BH108" t="s">
        <v>583</v>
      </c>
      <c r="BI108" t="s">
        <v>74</v>
      </c>
      <c r="BJ108" t="s">
        <v>74</v>
      </c>
      <c r="BK108" t="s">
        <v>74</v>
      </c>
      <c r="BL108" t="s">
        <v>74</v>
      </c>
      <c r="BM108" t="s">
        <v>74</v>
      </c>
      <c r="BN108" t="s">
        <v>74</v>
      </c>
      <c r="BO108" t="s">
        <v>74</v>
      </c>
      <c r="BP108" t="s">
        <v>74</v>
      </c>
      <c r="BQ108" t="s">
        <v>74</v>
      </c>
      <c r="BR108" t="s">
        <v>74</v>
      </c>
      <c r="BS108" t="s">
        <v>584</v>
      </c>
      <c r="BT108" t="str">
        <f>HYPERLINK("https%3A%2F%2Fwww.webofscience.com%2Fwos%2Fwoscc%2Ffull-record%2FWOS:001150340400001","View Full Record in Web of Science")</f>
        <v>View Full Record in Web of Science</v>
      </c>
    </row>
    <row r="109" spans="1:72" x14ac:dyDescent="0.4">
      <c r="A109" t="s">
        <v>72</v>
      </c>
      <c r="B109" t="s">
        <v>7966</v>
      </c>
      <c r="C109" t="s">
        <v>74</v>
      </c>
      <c r="D109" t="s">
        <v>74</v>
      </c>
      <c r="E109" t="s">
        <v>74</v>
      </c>
      <c r="F109" t="s">
        <v>7967</v>
      </c>
      <c r="G109" t="s">
        <v>74</v>
      </c>
      <c r="H109" t="s">
        <v>74</v>
      </c>
      <c r="I109" t="s">
        <v>7968</v>
      </c>
      <c r="J109" t="s">
        <v>3353</v>
      </c>
      <c r="K109" t="s">
        <v>74</v>
      </c>
      <c r="L109" t="s">
        <v>74</v>
      </c>
      <c r="M109" t="s">
        <v>74</v>
      </c>
      <c r="N109" t="s">
        <v>74</v>
      </c>
      <c r="O109" t="s">
        <v>74</v>
      </c>
      <c r="P109" t="s">
        <v>74</v>
      </c>
      <c r="Q109" t="s">
        <v>74</v>
      </c>
      <c r="R109" t="s">
        <v>74</v>
      </c>
      <c r="S109" t="s">
        <v>74</v>
      </c>
      <c r="T109" t="s">
        <v>74</v>
      </c>
      <c r="U109" t="s">
        <v>74</v>
      </c>
      <c r="V109" s="3" t="s">
        <v>7969</v>
      </c>
      <c r="W109" t="s">
        <v>74</v>
      </c>
      <c r="X109" t="s">
        <v>74</v>
      </c>
      <c r="Y109" t="s">
        <v>74</v>
      </c>
      <c r="Z109" t="s">
        <v>74</v>
      </c>
      <c r="AA109" t="s">
        <v>7970</v>
      </c>
      <c r="AB109" t="s">
        <v>7971</v>
      </c>
      <c r="AC109" t="s">
        <v>74</v>
      </c>
      <c r="AD109" t="s">
        <v>74</v>
      </c>
      <c r="AE109" t="s">
        <v>74</v>
      </c>
      <c r="AF109" t="s">
        <v>74</v>
      </c>
      <c r="AG109" t="s">
        <v>74</v>
      </c>
      <c r="AH109" t="s">
        <v>74</v>
      </c>
      <c r="AI109" t="s">
        <v>74</v>
      </c>
      <c r="AJ109" t="s">
        <v>74</v>
      </c>
      <c r="AK109" t="s">
        <v>74</v>
      </c>
      <c r="AL109" t="s">
        <v>74</v>
      </c>
      <c r="AM109" t="s">
        <v>74</v>
      </c>
      <c r="AN109" t="s">
        <v>74</v>
      </c>
      <c r="AO109" t="s">
        <v>3357</v>
      </c>
      <c r="AP109" t="s">
        <v>3358</v>
      </c>
      <c r="AQ109" t="s">
        <v>74</v>
      </c>
      <c r="AR109" t="s">
        <v>74</v>
      </c>
      <c r="AS109" t="s">
        <v>74</v>
      </c>
      <c r="AT109" t="s">
        <v>633</v>
      </c>
      <c r="AU109">
        <v>2013</v>
      </c>
      <c r="AV109">
        <v>38</v>
      </c>
      <c r="AW109">
        <v>2</v>
      </c>
      <c r="AX109" t="s">
        <v>74</v>
      </c>
      <c r="AY109" t="s">
        <v>74</v>
      </c>
      <c r="AZ109" t="s">
        <v>74</v>
      </c>
      <c r="BA109" t="s">
        <v>74</v>
      </c>
      <c r="BB109">
        <v>169</v>
      </c>
      <c r="BC109">
        <v>176</v>
      </c>
      <c r="BD109" t="s">
        <v>74</v>
      </c>
      <c r="BE109" t="s">
        <v>7972</v>
      </c>
      <c r="BF109" t="str">
        <f>HYPERLINK("http://dx.doi.org/10.1111/j.1442-9993.2012.02389.x","http://dx.doi.org/10.1111/j.1442-9993.2012.02389.x")</f>
        <v>http://dx.doi.org/10.1111/j.1442-9993.2012.02389.x</v>
      </c>
      <c r="BG109" t="s">
        <v>74</v>
      </c>
      <c r="BH109" t="s">
        <v>74</v>
      </c>
      <c r="BI109" t="s">
        <v>74</v>
      </c>
      <c r="BJ109" t="s">
        <v>74</v>
      </c>
      <c r="BK109" t="s">
        <v>74</v>
      </c>
      <c r="BL109" t="s">
        <v>74</v>
      </c>
      <c r="BM109" t="s">
        <v>74</v>
      </c>
      <c r="BN109" t="s">
        <v>74</v>
      </c>
      <c r="BO109" t="s">
        <v>74</v>
      </c>
      <c r="BP109" t="s">
        <v>74</v>
      </c>
      <c r="BQ109" t="s">
        <v>74</v>
      </c>
      <c r="BR109" t="s">
        <v>74</v>
      </c>
      <c r="BS109" t="s">
        <v>7973</v>
      </c>
      <c r="BT109" t="str">
        <f>HYPERLINK("https%3A%2F%2Fwww.webofscience.com%2Fwos%2Fwoscc%2Ffull-record%2FWOS:000316623400006","View Full Record in Web of Science")</f>
        <v>View Full Record in Web of Science</v>
      </c>
    </row>
    <row r="110" spans="1:72" x14ac:dyDescent="0.4">
      <c r="A110" t="s">
        <v>72</v>
      </c>
      <c r="B110" t="s">
        <v>682</v>
      </c>
      <c r="C110" t="s">
        <v>74</v>
      </c>
      <c r="D110" t="s">
        <v>74</v>
      </c>
      <c r="E110" t="s">
        <v>74</v>
      </c>
      <c r="F110" t="s">
        <v>683</v>
      </c>
      <c r="G110" t="s">
        <v>74</v>
      </c>
      <c r="H110" t="s">
        <v>74</v>
      </c>
      <c r="I110" t="s">
        <v>684</v>
      </c>
      <c r="J110" t="s">
        <v>140</v>
      </c>
      <c r="K110" t="s">
        <v>74</v>
      </c>
      <c r="L110" t="s">
        <v>74</v>
      </c>
      <c r="M110" t="s">
        <v>74</v>
      </c>
      <c r="N110" t="s">
        <v>74</v>
      </c>
      <c r="O110" t="s">
        <v>74</v>
      </c>
      <c r="P110" t="s">
        <v>74</v>
      </c>
      <c r="Q110" t="s">
        <v>74</v>
      </c>
      <c r="R110" t="s">
        <v>74</v>
      </c>
      <c r="S110" t="s">
        <v>74</v>
      </c>
      <c r="T110" t="s">
        <v>74</v>
      </c>
      <c r="U110" t="s">
        <v>74</v>
      </c>
      <c r="V110" s="3" t="s">
        <v>685</v>
      </c>
      <c r="W110" t="s">
        <v>74</v>
      </c>
      <c r="X110" t="s">
        <v>74</v>
      </c>
      <c r="Y110" t="s">
        <v>74</v>
      </c>
      <c r="Z110" t="s">
        <v>74</v>
      </c>
      <c r="AA110" t="s">
        <v>74</v>
      </c>
      <c r="AB110" t="s">
        <v>686</v>
      </c>
      <c r="AC110" t="s">
        <v>74</v>
      </c>
      <c r="AD110" t="s">
        <v>74</v>
      </c>
      <c r="AE110" t="s">
        <v>74</v>
      </c>
      <c r="AF110" t="s">
        <v>74</v>
      </c>
      <c r="AG110" t="s">
        <v>74</v>
      </c>
      <c r="AH110" t="s">
        <v>74</v>
      </c>
      <c r="AI110" t="s">
        <v>74</v>
      </c>
      <c r="AJ110" t="s">
        <v>74</v>
      </c>
      <c r="AK110" t="s">
        <v>74</v>
      </c>
      <c r="AL110" t="s">
        <v>74</v>
      </c>
      <c r="AM110" t="s">
        <v>74</v>
      </c>
      <c r="AN110" t="s">
        <v>74</v>
      </c>
      <c r="AO110" t="s">
        <v>143</v>
      </c>
      <c r="AP110" t="s">
        <v>144</v>
      </c>
      <c r="AQ110" t="s">
        <v>74</v>
      </c>
      <c r="AR110" t="s">
        <v>74</v>
      </c>
      <c r="AS110" t="s">
        <v>74</v>
      </c>
      <c r="AT110" t="s">
        <v>102</v>
      </c>
      <c r="AU110">
        <v>2016</v>
      </c>
      <c r="AV110">
        <v>116</v>
      </c>
      <c r="AW110" t="s">
        <v>74</v>
      </c>
      <c r="AX110" t="s">
        <v>74</v>
      </c>
      <c r="AY110" t="s">
        <v>74</v>
      </c>
      <c r="AZ110" t="s">
        <v>74</v>
      </c>
      <c r="BA110" t="s">
        <v>74</v>
      </c>
      <c r="BB110">
        <v>213</v>
      </c>
      <c r="BC110">
        <v>221</v>
      </c>
      <c r="BD110" t="s">
        <v>74</v>
      </c>
      <c r="BE110" t="s">
        <v>687</v>
      </c>
      <c r="BF110" t="str">
        <f>HYPERLINK("http://dx.doi.org/10.1016/j.anbehav.2016.03.035","http://dx.doi.org/10.1016/j.anbehav.2016.03.035")</f>
        <v>http://dx.doi.org/10.1016/j.anbehav.2016.03.035</v>
      </c>
      <c r="BG110" t="s">
        <v>74</v>
      </c>
      <c r="BH110" t="s">
        <v>74</v>
      </c>
      <c r="BI110" t="s">
        <v>74</v>
      </c>
      <c r="BJ110" t="s">
        <v>74</v>
      </c>
      <c r="BK110" t="s">
        <v>74</v>
      </c>
      <c r="BL110" t="s">
        <v>74</v>
      </c>
      <c r="BM110" t="s">
        <v>74</v>
      </c>
      <c r="BN110" t="s">
        <v>74</v>
      </c>
      <c r="BO110" t="s">
        <v>74</v>
      </c>
      <c r="BP110" t="s">
        <v>74</v>
      </c>
      <c r="BQ110" t="s">
        <v>74</v>
      </c>
      <c r="BR110" t="s">
        <v>74</v>
      </c>
      <c r="BS110" t="s">
        <v>688</v>
      </c>
      <c r="BT110" t="str">
        <f>HYPERLINK("https%3A%2F%2Fwww.webofscience.com%2Fwos%2Fwoscc%2Ffull-record%2FWOS:000377286700023","View Full Record in Web of Science")</f>
        <v>View Full Record in Web of Science</v>
      </c>
    </row>
    <row r="111" spans="1:72" x14ac:dyDescent="0.4">
      <c r="A111" t="s">
        <v>72</v>
      </c>
      <c r="B111" t="s">
        <v>2820</v>
      </c>
      <c r="C111" t="s">
        <v>74</v>
      </c>
      <c r="D111" t="s">
        <v>74</v>
      </c>
      <c r="E111" t="s">
        <v>74</v>
      </c>
      <c r="F111" t="s">
        <v>2821</v>
      </c>
      <c r="G111" t="s">
        <v>74</v>
      </c>
      <c r="H111" t="s">
        <v>74</v>
      </c>
      <c r="I111" t="s">
        <v>2822</v>
      </c>
      <c r="J111" t="s">
        <v>1656</v>
      </c>
      <c r="K111" t="s">
        <v>74</v>
      </c>
      <c r="L111" t="s">
        <v>74</v>
      </c>
      <c r="M111" t="s">
        <v>74</v>
      </c>
      <c r="N111" t="s">
        <v>74</v>
      </c>
      <c r="O111" t="s">
        <v>74</v>
      </c>
      <c r="P111" t="s">
        <v>74</v>
      </c>
      <c r="Q111" t="s">
        <v>74</v>
      </c>
      <c r="R111" t="s">
        <v>74</v>
      </c>
      <c r="S111" t="s">
        <v>74</v>
      </c>
      <c r="T111" t="s">
        <v>74</v>
      </c>
      <c r="U111" t="s">
        <v>74</v>
      </c>
      <c r="V111" s="3" t="s">
        <v>2823</v>
      </c>
      <c r="W111" t="s">
        <v>74</v>
      </c>
      <c r="X111" t="s">
        <v>74</v>
      </c>
      <c r="Y111" t="s">
        <v>74</v>
      </c>
      <c r="Z111" t="s">
        <v>74</v>
      </c>
      <c r="AA111" t="s">
        <v>74</v>
      </c>
      <c r="AB111" t="s">
        <v>74</v>
      </c>
      <c r="AC111" t="s">
        <v>74</v>
      </c>
      <c r="AD111" t="s">
        <v>74</v>
      </c>
      <c r="AE111" t="s">
        <v>74</v>
      </c>
      <c r="AF111" t="s">
        <v>74</v>
      </c>
      <c r="AG111" t="s">
        <v>74</v>
      </c>
      <c r="AH111" t="s">
        <v>74</v>
      </c>
      <c r="AI111" t="s">
        <v>74</v>
      </c>
      <c r="AJ111" t="s">
        <v>74</v>
      </c>
      <c r="AK111" t="s">
        <v>74</v>
      </c>
      <c r="AL111" t="s">
        <v>74</v>
      </c>
      <c r="AM111" t="s">
        <v>74</v>
      </c>
      <c r="AN111" t="s">
        <v>74</v>
      </c>
      <c r="AO111" t="s">
        <v>1658</v>
      </c>
      <c r="AP111" t="s">
        <v>1659</v>
      </c>
      <c r="AQ111" t="s">
        <v>74</v>
      </c>
      <c r="AR111" t="s">
        <v>74</v>
      </c>
      <c r="AS111" t="s">
        <v>74</v>
      </c>
      <c r="AT111" t="s">
        <v>2824</v>
      </c>
      <c r="AU111">
        <v>2011</v>
      </c>
      <c r="AV111" t="s">
        <v>74</v>
      </c>
      <c r="AW111">
        <v>3110</v>
      </c>
      <c r="AX111" t="s">
        <v>74</v>
      </c>
      <c r="AY111" t="s">
        <v>74</v>
      </c>
      <c r="AZ111" t="s">
        <v>74</v>
      </c>
      <c r="BA111" t="s">
        <v>74</v>
      </c>
      <c r="BB111">
        <v>53</v>
      </c>
      <c r="BC111">
        <v>60</v>
      </c>
      <c r="BD111" t="s">
        <v>74</v>
      </c>
      <c r="BE111" t="s">
        <v>74</v>
      </c>
      <c r="BF111" t="s">
        <v>74</v>
      </c>
      <c r="BG111" t="s">
        <v>74</v>
      </c>
      <c r="BH111" t="s">
        <v>74</v>
      </c>
      <c r="BI111" t="s">
        <v>74</v>
      </c>
      <c r="BJ111" t="s">
        <v>74</v>
      </c>
      <c r="BK111" t="s">
        <v>74</v>
      </c>
      <c r="BL111" t="s">
        <v>74</v>
      </c>
      <c r="BM111" t="s">
        <v>74</v>
      </c>
      <c r="BN111" t="s">
        <v>74</v>
      </c>
      <c r="BO111" t="s">
        <v>74</v>
      </c>
      <c r="BP111" t="s">
        <v>74</v>
      </c>
      <c r="BQ111" t="s">
        <v>74</v>
      </c>
      <c r="BR111" t="s">
        <v>74</v>
      </c>
      <c r="BS111" t="s">
        <v>2825</v>
      </c>
      <c r="BT111" t="str">
        <f>HYPERLINK("https%3A%2F%2Fwww.webofscience.com%2Fwos%2Fwoscc%2Ffull-record%2FWOS:000297328000005","View Full Record in Web of Science")</f>
        <v>View Full Record in Web of Science</v>
      </c>
    </row>
    <row r="112" spans="1:72" x14ac:dyDescent="0.4">
      <c r="A112" t="s">
        <v>72</v>
      </c>
      <c r="B112" t="s">
        <v>6352</v>
      </c>
      <c r="C112" t="s">
        <v>74</v>
      </c>
      <c r="D112" t="s">
        <v>74</v>
      </c>
      <c r="E112" t="s">
        <v>74</v>
      </c>
      <c r="F112" t="s">
        <v>6352</v>
      </c>
      <c r="G112" t="s">
        <v>74</v>
      </c>
      <c r="H112" t="s">
        <v>74</v>
      </c>
      <c r="I112" t="s">
        <v>6353</v>
      </c>
      <c r="J112" t="s">
        <v>3498</v>
      </c>
      <c r="K112" t="s">
        <v>74</v>
      </c>
      <c r="L112" t="s">
        <v>74</v>
      </c>
      <c r="M112" t="s">
        <v>74</v>
      </c>
      <c r="N112" t="s">
        <v>74</v>
      </c>
      <c r="O112" t="s">
        <v>74</v>
      </c>
      <c r="P112" t="s">
        <v>74</v>
      </c>
      <c r="Q112" t="s">
        <v>74</v>
      </c>
      <c r="R112" t="s">
        <v>74</v>
      </c>
      <c r="S112" t="s">
        <v>74</v>
      </c>
      <c r="T112" t="s">
        <v>74</v>
      </c>
      <c r="U112" t="s">
        <v>74</v>
      </c>
      <c r="V112" s="3" t="s">
        <v>6354</v>
      </c>
      <c r="W112" t="s">
        <v>74</v>
      </c>
      <c r="X112" t="s">
        <v>74</v>
      </c>
      <c r="Y112" t="s">
        <v>74</v>
      </c>
      <c r="Z112" t="s">
        <v>74</v>
      </c>
      <c r="AA112" t="s">
        <v>74</v>
      </c>
      <c r="AB112" t="s">
        <v>74</v>
      </c>
      <c r="AC112" t="s">
        <v>74</v>
      </c>
      <c r="AD112" t="s">
        <v>74</v>
      </c>
      <c r="AE112" t="s">
        <v>74</v>
      </c>
      <c r="AF112" t="s">
        <v>74</v>
      </c>
      <c r="AG112" t="s">
        <v>74</v>
      </c>
      <c r="AH112" t="s">
        <v>74</v>
      </c>
      <c r="AI112" t="s">
        <v>74</v>
      </c>
      <c r="AJ112" t="s">
        <v>74</v>
      </c>
      <c r="AK112" t="s">
        <v>74</v>
      </c>
      <c r="AL112" t="s">
        <v>74</v>
      </c>
      <c r="AM112" t="s">
        <v>74</v>
      </c>
      <c r="AN112" t="s">
        <v>74</v>
      </c>
      <c r="AO112" t="s">
        <v>3501</v>
      </c>
      <c r="AP112" t="s">
        <v>3502</v>
      </c>
      <c r="AQ112" t="s">
        <v>74</v>
      </c>
      <c r="AR112" t="s">
        <v>74</v>
      </c>
      <c r="AS112" t="s">
        <v>74</v>
      </c>
      <c r="AT112" t="s">
        <v>305</v>
      </c>
      <c r="AU112">
        <v>2005</v>
      </c>
      <c r="AV112">
        <v>34</v>
      </c>
      <c r="AW112">
        <v>6</v>
      </c>
      <c r="AX112" t="s">
        <v>74</v>
      </c>
      <c r="AY112" t="s">
        <v>74</v>
      </c>
      <c r="AZ112" t="s">
        <v>74</v>
      </c>
      <c r="BA112" t="s">
        <v>74</v>
      </c>
      <c r="BB112">
        <v>1524</v>
      </c>
      <c r="BC112">
        <v>1533</v>
      </c>
      <c r="BD112" t="s">
        <v>74</v>
      </c>
      <c r="BE112" t="s">
        <v>6355</v>
      </c>
      <c r="BF112" t="str">
        <f>HYPERLINK("http://dx.doi.org/10.1603/0046-225X-34.6.1524","http://dx.doi.org/10.1603/0046-225X-34.6.1524")</f>
        <v>http://dx.doi.org/10.1603/0046-225X-34.6.1524</v>
      </c>
      <c r="BG112" t="s">
        <v>74</v>
      </c>
      <c r="BH112" t="s">
        <v>74</v>
      </c>
      <c r="BI112" t="s">
        <v>74</v>
      </c>
      <c r="BJ112" t="s">
        <v>74</v>
      </c>
      <c r="BK112" t="s">
        <v>74</v>
      </c>
      <c r="BL112" t="s">
        <v>74</v>
      </c>
      <c r="BM112" t="s">
        <v>74</v>
      </c>
      <c r="BN112" t="s">
        <v>74</v>
      </c>
      <c r="BO112" t="s">
        <v>74</v>
      </c>
      <c r="BP112" t="s">
        <v>74</v>
      </c>
      <c r="BQ112" t="s">
        <v>74</v>
      </c>
      <c r="BR112" t="s">
        <v>74</v>
      </c>
      <c r="BS112" t="s">
        <v>6356</v>
      </c>
      <c r="BT112" t="str">
        <f>HYPERLINK("https%3A%2F%2Fwww.webofscience.com%2Fwos%2Fwoscc%2Ffull-record%2FWOS:000234031400020","View Full Record in Web of Science")</f>
        <v>View Full Record in Web of Science</v>
      </c>
    </row>
    <row r="113" spans="1:72" x14ac:dyDescent="0.4">
      <c r="A113" t="s">
        <v>72</v>
      </c>
      <c r="B113" t="s">
        <v>7711</v>
      </c>
      <c r="C113" t="s">
        <v>74</v>
      </c>
      <c r="D113" t="s">
        <v>74</v>
      </c>
      <c r="E113" t="s">
        <v>74</v>
      </c>
      <c r="F113" t="s">
        <v>7712</v>
      </c>
      <c r="G113" t="s">
        <v>74</v>
      </c>
      <c r="H113" t="s">
        <v>74</v>
      </c>
      <c r="I113" t="s">
        <v>7713</v>
      </c>
      <c r="J113" t="s">
        <v>108</v>
      </c>
      <c r="K113" t="s">
        <v>74</v>
      </c>
      <c r="L113" t="s">
        <v>74</v>
      </c>
      <c r="M113" t="s">
        <v>74</v>
      </c>
      <c r="N113" t="s">
        <v>74</v>
      </c>
      <c r="O113" t="s">
        <v>74</v>
      </c>
      <c r="P113" t="s">
        <v>74</v>
      </c>
      <c r="Q113" t="s">
        <v>74</v>
      </c>
      <c r="R113" t="s">
        <v>74</v>
      </c>
      <c r="S113" t="s">
        <v>74</v>
      </c>
      <c r="T113" t="s">
        <v>74</v>
      </c>
      <c r="U113" t="s">
        <v>74</v>
      </c>
      <c r="V113" s="3" t="s">
        <v>7714</v>
      </c>
      <c r="W113" t="s">
        <v>74</v>
      </c>
      <c r="X113" t="s">
        <v>74</v>
      </c>
      <c r="Y113" t="s">
        <v>74</v>
      </c>
      <c r="Z113" t="s">
        <v>74</v>
      </c>
      <c r="AA113" t="s">
        <v>7715</v>
      </c>
      <c r="AB113" t="s">
        <v>7716</v>
      </c>
      <c r="AC113" t="s">
        <v>74</v>
      </c>
      <c r="AD113" t="s">
        <v>74</v>
      </c>
      <c r="AE113" t="s">
        <v>74</v>
      </c>
      <c r="AF113" t="s">
        <v>74</v>
      </c>
      <c r="AG113" t="s">
        <v>74</v>
      </c>
      <c r="AH113" t="s">
        <v>74</v>
      </c>
      <c r="AI113" t="s">
        <v>74</v>
      </c>
      <c r="AJ113" t="s">
        <v>74</v>
      </c>
      <c r="AK113" t="s">
        <v>74</v>
      </c>
      <c r="AL113" t="s">
        <v>74</v>
      </c>
      <c r="AM113" t="s">
        <v>74</v>
      </c>
      <c r="AN113" t="s">
        <v>74</v>
      </c>
      <c r="AO113" t="s">
        <v>111</v>
      </c>
      <c r="AP113" t="s">
        <v>112</v>
      </c>
      <c r="AQ113" t="s">
        <v>74</v>
      </c>
      <c r="AR113" t="s">
        <v>74</v>
      </c>
      <c r="AS113" t="s">
        <v>74</v>
      </c>
      <c r="AT113" t="s">
        <v>7717</v>
      </c>
      <c r="AU113">
        <v>2023</v>
      </c>
      <c r="AV113">
        <v>290</v>
      </c>
      <c r="AW113">
        <v>1991</v>
      </c>
      <c r="AX113" t="s">
        <v>74</v>
      </c>
      <c r="AY113" t="s">
        <v>74</v>
      </c>
      <c r="AZ113" t="s">
        <v>74</v>
      </c>
      <c r="BA113" t="s">
        <v>74</v>
      </c>
      <c r="BB113" t="s">
        <v>74</v>
      </c>
      <c r="BC113" t="s">
        <v>74</v>
      </c>
      <c r="BD113">
        <v>20221862</v>
      </c>
      <c r="BE113" t="s">
        <v>7718</v>
      </c>
      <c r="BF113" t="str">
        <f>HYPERLINK("http://dx.doi.org/10.1098/rspb.2022.1862","http://dx.doi.org/10.1098/rspb.2022.1862")</f>
        <v>http://dx.doi.org/10.1098/rspb.2022.1862</v>
      </c>
      <c r="BG113" t="s">
        <v>74</v>
      </c>
      <c r="BH113" t="s">
        <v>74</v>
      </c>
      <c r="BI113" t="s">
        <v>74</v>
      </c>
      <c r="BJ113" t="s">
        <v>74</v>
      </c>
      <c r="BK113" t="s">
        <v>74</v>
      </c>
      <c r="BL113" t="s">
        <v>74</v>
      </c>
      <c r="BM113" t="s">
        <v>74</v>
      </c>
      <c r="BN113">
        <v>36651041</v>
      </c>
      <c r="BO113" t="s">
        <v>74</v>
      </c>
      <c r="BP113" t="s">
        <v>74</v>
      </c>
      <c r="BQ113" t="s">
        <v>74</v>
      </c>
      <c r="BR113" t="s">
        <v>74</v>
      </c>
      <c r="BS113" t="s">
        <v>7719</v>
      </c>
      <c r="BT113" t="str">
        <f>HYPERLINK("https%3A%2F%2Fwww.webofscience.com%2Fwos%2Fwoscc%2Ffull-record%2FWOS:000914748200003","View Full Record in Web of Science")</f>
        <v>View Full Record in Web of Science</v>
      </c>
    </row>
    <row r="114" spans="1:72" x14ac:dyDescent="0.4">
      <c r="A114" t="s">
        <v>72</v>
      </c>
      <c r="B114" t="s">
        <v>4992</v>
      </c>
      <c r="C114" t="s">
        <v>74</v>
      </c>
      <c r="D114" t="s">
        <v>74</v>
      </c>
      <c r="E114" t="s">
        <v>74</v>
      </c>
      <c r="F114" t="s">
        <v>4993</v>
      </c>
      <c r="G114" t="s">
        <v>74</v>
      </c>
      <c r="H114" t="s">
        <v>74</v>
      </c>
      <c r="I114" t="s">
        <v>4994</v>
      </c>
      <c r="J114" t="s">
        <v>108</v>
      </c>
      <c r="K114" t="s">
        <v>74</v>
      </c>
      <c r="L114" t="s">
        <v>74</v>
      </c>
      <c r="M114" t="s">
        <v>74</v>
      </c>
      <c r="N114" t="s">
        <v>74</v>
      </c>
      <c r="O114" t="s">
        <v>74</v>
      </c>
      <c r="P114" t="s">
        <v>74</v>
      </c>
      <c r="Q114" t="s">
        <v>74</v>
      </c>
      <c r="R114" t="s">
        <v>74</v>
      </c>
      <c r="S114" t="s">
        <v>74</v>
      </c>
      <c r="T114" t="s">
        <v>74</v>
      </c>
      <c r="U114" t="s">
        <v>74</v>
      </c>
      <c r="V114" s="3" t="s">
        <v>4995</v>
      </c>
      <c r="W114" t="s">
        <v>74</v>
      </c>
      <c r="X114" t="s">
        <v>74</v>
      </c>
      <c r="Y114" t="s">
        <v>74</v>
      </c>
      <c r="Z114" t="s">
        <v>74</v>
      </c>
      <c r="AA114" t="s">
        <v>4996</v>
      </c>
      <c r="AB114" t="s">
        <v>4997</v>
      </c>
      <c r="AC114" t="s">
        <v>74</v>
      </c>
      <c r="AD114" t="s">
        <v>74</v>
      </c>
      <c r="AE114" t="s">
        <v>74</v>
      </c>
      <c r="AF114" t="s">
        <v>74</v>
      </c>
      <c r="AG114" t="s">
        <v>74</v>
      </c>
      <c r="AH114" t="s">
        <v>74</v>
      </c>
      <c r="AI114" t="s">
        <v>74</v>
      </c>
      <c r="AJ114" t="s">
        <v>74</v>
      </c>
      <c r="AK114" t="s">
        <v>74</v>
      </c>
      <c r="AL114" t="s">
        <v>74</v>
      </c>
      <c r="AM114" t="s">
        <v>74</v>
      </c>
      <c r="AN114" t="s">
        <v>74</v>
      </c>
      <c r="AO114" t="s">
        <v>111</v>
      </c>
      <c r="AP114" t="s">
        <v>112</v>
      </c>
      <c r="AQ114" t="s">
        <v>74</v>
      </c>
      <c r="AR114" t="s">
        <v>74</v>
      </c>
      <c r="AS114" t="s">
        <v>74</v>
      </c>
      <c r="AT114" t="s">
        <v>4998</v>
      </c>
      <c r="AU114">
        <v>2015</v>
      </c>
      <c r="AV114">
        <v>282</v>
      </c>
      <c r="AW114">
        <v>1798</v>
      </c>
      <c r="AX114" t="s">
        <v>74</v>
      </c>
      <c r="AY114" t="s">
        <v>74</v>
      </c>
      <c r="AZ114" t="s">
        <v>74</v>
      </c>
      <c r="BA114" t="s">
        <v>74</v>
      </c>
      <c r="BB114" t="s">
        <v>74</v>
      </c>
      <c r="BC114" t="s">
        <v>74</v>
      </c>
      <c r="BD114">
        <v>20142321</v>
      </c>
      <c r="BE114" t="s">
        <v>4999</v>
      </c>
      <c r="BF114" t="str">
        <f>HYPERLINK("http://dx.doi.org/10.1098/rspb.2014.2321","http://dx.doi.org/10.1098/rspb.2014.2321")</f>
        <v>http://dx.doi.org/10.1098/rspb.2014.2321</v>
      </c>
      <c r="BG114" t="s">
        <v>74</v>
      </c>
      <c r="BH114" t="s">
        <v>74</v>
      </c>
      <c r="BI114" t="s">
        <v>74</v>
      </c>
      <c r="BJ114" t="s">
        <v>74</v>
      </c>
      <c r="BK114" t="s">
        <v>74</v>
      </c>
      <c r="BL114" t="s">
        <v>74</v>
      </c>
      <c r="BM114" t="s">
        <v>74</v>
      </c>
      <c r="BN114">
        <v>25429020</v>
      </c>
      <c r="BO114" t="s">
        <v>74</v>
      </c>
      <c r="BP114" t="s">
        <v>74</v>
      </c>
      <c r="BQ114" t="s">
        <v>74</v>
      </c>
      <c r="BR114" t="s">
        <v>74</v>
      </c>
      <c r="BS114" t="s">
        <v>5000</v>
      </c>
      <c r="BT114" t="str">
        <f>HYPERLINK("https%3A%2F%2Fwww.webofscience.com%2Fwos%2Fwoscc%2Ffull-record%2FWOS:000347160800015","View Full Record in Web of Science")</f>
        <v>View Full Record in Web of Science</v>
      </c>
    </row>
    <row r="115" spans="1:72" x14ac:dyDescent="0.4">
      <c r="A115" t="s">
        <v>72</v>
      </c>
      <c r="B115" t="s">
        <v>3652</v>
      </c>
      <c r="C115" t="s">
        <v>74</v>
      </c>
      <c r="D115" t="s">
        <v>74</v>
      </c>
      <c r="E115" t="s">
        <v>74</v>
      </c>
      <c r="F115" t="s">
        <v>3653</v>
      </c>
      <c r="G115" t="s">
        <v>74</v>
      </c>
      <c r="H115" t="s">
        <v>74</v>
      </c>
      <c r="I115" t="s">
        <v>3654</v>
      </c>
      <c r="J115" t="s">
        <v>229</v>
      </c>
      <c r="K115" t="s">
        <v>74</v>
      </c>
      <c r="L115" t="s">
        <v>74</v>
      </c>
      <c r="M115" t="s">
        <v>74</v>
      </c>
      <c r="N115" t="s">
        <v>74</v>
      </c>
      <c r="O115" t="s">
        <v>74</v>
      </c>
      <c r="P115" t="s">
        <v>74</v>
      </c>
      <c r="Q115" t="s">
        <v>74</v>
      </c>
      <c r="R115" t="s">
        <v>74</v>
      </c>
      <c r="S115" t="s">
        <v>74</v>
      </c>
      <c r="T115" t="s">
        <v>74</v>
      </c>
      <c r="U115" t="s">
        <v>74</v>
      </c>
      <c r="V115" s="3" t="s">
        <v>3655</v>
      </c>
      <c r="W115" t="s">
        <v>74</v>
      </c>
      <c r="X115" t="s">
        <v>74</v>
      </c>
      <c r="Y115" t="s">
        <v>74</v>
      </c>
      <c r="Z115" t="s">
        <v>74</v>
      </c>
      <c r="AA115" t="s">
        <v>3656</v>
      </c>
      <c r="AB115" t="s">
        <v>3657</v>
      </c>
      <c r="AC115" t="s">
        <v>74</v>
      </c>
      <c r="AD115" t="s">
        <v>74</v>
      </c>
      <c r="AE115" t="s">
        <v>74</v>
      </c>
      <c r="AF115" t="s">
        <v>74</v>
      </c>
      <c r="AG115" t="s">
        <v>74</v>
      </c>
      <c r="AH115" t="s">
        <v>74</v>
      </c>
      <c r="AI115" t="s">
        <v>74</v>
      </c>
      <c r="AJ115" t="s">
        <v>74</v>
      </c>
      <c r="AK115" t="s">
        <v>74</v>
      </c>
      <c r="AL115" t="s">
        <v>74</v>
      </c>
      <c r="AM115" t="s">
        <v>74</v>
      </c>
      <c r="AN115" t="s">
        <v>74</v>
      </c>
      <c r="AO115" t="s">
        <v>233</v>
      </c>
      <c r="AP115" t="s">
        <v>234</v>
      </c>
      <c r="AQ115" t="s">
        <v>74</v>
      </c>
      <c r="AR115" t="s">
        <v>74</v>
      </c>
      <c r="AS115" t="s">
        <v>74</v>
      </c>
      <c r="AT115" t="s">
        <v>1475</v>
      </c>
      <c r="AU115">
        <v>2010</v>
      </c>
      <c r="AV115">
        <v>36</v>
      </c>
      <c r="AW115">
        <v>1</v>
      </c>
      <c r="AX115" t="s">
        <v>74</v>
      </c>
      <c r="AY115" t="s">
        <v>74</v>
      </c>
      <c r="AZ115" t="s">
        <v>74</v>
      </c>
      <c r="BA115" t="s">
        <v>74</v>
      </c>
      <c r="BB115">
        <v>1</v>
      </c>
      <c r="BC115">
        <v>13</v>
      </c>
      <c r="BD115" t="s">
        <v>74</v>
      </c>
      <c r="BE115" t="s">
        <v>3658</v>
      </c>
      <c r="BF115" t="str">
        <f>HYPERLINK("http://dx.doi.org/10.1002/ab.20329","http://dx.doi.org/10.1002/ab.20329")</f>
        <v>http://dx.doi.org/10.1002/ab.20329</v>
      </c>
      <c r="BG115" t="s">
        <v>74</v>
      </c>
      <c r="BH115" t="s">
        <v>74</v>
      </c>
      <c r="BI115" t="s">
        <v>74</v>
      </c>
      <c r="BJ115" t="s">
        <v>74</v>
      </c>
      <c r="BK115" t="s">
        <v>74</v>
      </c>
      <c r="BL115" t="s">
        <v>74</v>
      </c>
      <c r="BM115" t="s">
        <v>74</v>
      </c>
      <c r="BN115">
        <v>19859912</v>
      </c>
      <c r="BO115" t="s">
        <v>74</v>
      </c>
      <c r="BP115" t="s">
        <v>74</v>
      </c>
      <c r="BQ115" t="s">
        <v>74</v>
      </c>
      <c r="BR115" t="s">
        <v>74</v>
      </c>
      <c r="BS115" t="s">
        <v>3659</v>
      </c>
      <c r="BT115" t="str">
        <f>HYPERLINK("https%3A%2F%2Fwww.webofscience.com%2Fwos%2Fwoscc%2Ffull-record%2FWOS:000272728400001","View Full Record in Web of Science")</f>
        <v>View Full Record in Web of Science</v>
      </c>
    </row>
    <row r="116" spans="1:72" x14ac:dyDescent="0.4">
      <c r="A116" t="s">
        <v>72</v>
      </c>
      <c r="B116" t="s">
        <v>1485</v>
      </c>
      <c r="C116" t="s">
        <v>74</v>
      </c>
      <c r="D116" t="s">
        <v>74</v>
      </c>
      <c r="E116" t="s">
        <v>74</v>
      </c>
      <c r="F116" t="s">
        <v>1486</v>
      </c>
      <c r="G116" t="s">
        <v>74</v>
      </c>
      <c r="H116" t="s">
        <v>74</v>
      </c>
      <c r="I116" t="s">
        <v>1487</v>
      </c>
      <c r="J116" t="s">
        <v>333</v>
      </c>
      <c r="K116" t="s">
        <v>74</v>
      </c>
      <c r="L116" t="s">
        <v>74</v>
      </c>
      <c r="M116" t="s">
        <v>74</v>
      </c>
      <c r="N116" t="s">
        <v>74</v>
      </c>
      <c r="O116" t="s">
        <v>74</v>
      </c>
      <c r="P116" t="s">
        <v>74</v>
      </c>
      <c r="Q116" t="s">
        <v>74</v>
      </c>
      <c r="R116" t="s">
        <v>74</v>
      </c>
      <c r="S116" t="s">
        <v>74</v>
      </c>
      <c r="T116" t="s">
        <v>74</v>
      </c>
      <c r="U116" t="s">
        <v>74</v>
      </c>
      <c r="V116" s="3" t="s">
        <v>1488</v>
      </c>
      <c r="W116" t="s">
        <v>74</v>
      </c>
      <c r="X116" t="s">
        <v>74</v>
      </c>
      <c r="Y116" t="s">
        <v>74</v>
      </c>
      <c r="Z116" t="s">
        <v>74</v>
      </c>
      <c r="AA116" t="s">
        <v>74</v>
      </c>
      <c r="AB116" t="s">
        <v>74</v>
      </c>
      <c r="AC116" t="s">
        <v>74</v>
      </c>
      <c r="AD116" t="s">
        <v>74</v>
      </c>
      <c r="AE116" t="s">
        <v>74</v>
      </c>
      <c r="AF116" t="s">
        <v>74</v>
      </c>
      <c r="AG116" t="s">
        <v>74</v>
      </c>
      <c r="AH116" t="s">
        <v>74</v>
      </c>
      <c r="AI116" t="s">
        <v>74</v>
      </c>
      <c r="AJ116" t="s">
        <v>74</v>
      </c>
      <c r="AK116" t="s">
        <v>74</v>
      </c>
      <c r="AL116" t="s">
        <v>74</v>
      </c>
      <c r="AM116" t="s">
        <v>74</v>
      </c>
      <c r="AN116" t="s">
        <v>74</v>
      </c>
      <c r="AO116" t="s">
        <v>337</v>
      </c>
      <c r="AP116" t="s">
        <v>338</v>
      </c>
      <c r="AQ116" t="s">
        <v>74</v>
      </c>
      <c r="AR116" t="s">
        <v>74</v>
      </c>
      <c r="AS116" t="s">
        <v>74</v>
      </c>
      <c r="AT116" t="s">
        <v>1475</v>
      </c>
      <c r="AU116">
        <v>2009</v>
      </c>
      <c r="AV116">
        <v>20</v>
      </c>
      <c r="AW116">
        <v>1</v>
      </c>
      <c r="AX116" t="s">
        <v>74</v>
      </c>
      <c r="AY116" t="s">
        <v>74</v>
      </c>
      <c r="AZ116" t="s">
        <v>74</v>
      </c>
      <c r="BA116" t="s">
        <v>74</v>
      </c>
      <c r="BB116">
        <v>180</v>
      </c>
      <c r="BC116">
        <v>185</v>
      </c>
      <c r="BD116" t="s">
        <v>74</v>
      </c>
      <c r="BE116" t="s">
        <v>1489</v>
      </c>
      <c r="BF116" t="str">
        <f>HYPERLINK("http://dx.doi.org/10.1093/beheco/arn132","http://dx.doi.org/10.1093/beheco/arn132")</f>
        <v>http://dx.doi.org/10.1093/beheco/arn132</v>
      </c>
      <c r="BG116" t="s">
        <v>74</v>
      </c>
      <c r="BH116" t="s">
        <v>74</v>
      </c>
      <c r="BI116" t="s">
        <v>74</v>
      </c>
      <c r="BJ116" t="s">
        <v>74</v>
      </c>
      <c r="BK116" t="s">
        <v>74</v>
      </c>
      <c r="BL116" t="s">
        <v>74</v>
      </c>
      <c r="BM116" t="s">
        <v>74</v>
      </c>
      <c r="BN116" t="s">
        <v>74</v>
      </c>
      <c r="BO116" t="s">
        <v>74</v>
      </c>
      <c r="BP116" t="s">
        <v>74</v>
      </c>
      <c r="BQ116" t="s">
        <v>74</v>
      </c>
      <c r="BR116" t="s">
        <v>74</v>
      </c>
      <c r="BS116" t="s">
        <v>1490</v>
      </c>
      <c r="BT116" t="str">
        <f>HYPERLINK("https%3A%2F%2Fwww.webofscience.com%2Fwos%2Fwoscc%2Ffull-record%2FWOS:000262152300024","View Full Record in Web of Science")</f>
        <v>View Full Record in Web of Science</v>
      </c>
    </row>
    <row r="117" spans="1:72" x14ac:dyDescent="0.4">
      <c r="A117" t="s">
        <v>72</v>
      </c>
      <c r="B117" t="s">
        <v>8340</v>
      </c>
      <c r="C117" t="s">
        <v>74</v>
      </c>
      <c r="D117" t="s">
        <v>74</v>
      </c>
      <c r="E117" t="s">
        <v>74</v>
      </c>
      <c r="F117" t="s">
        <v>8341</v>
      </c>
      <c r="G117" t="s">
        <v>74</v>
      </c>
      <c r="H117" t="s">
        <v>74</v>
      </c>
      <c r="I117" t="s">
        <v>8342</v>
      </c>
      <c r="J117" t="s">
        <v>119</v>
      </c>
      <c r="K117" t="s">
        <v>74</v>
      </c>
      <c r="L117" t="s">
        <v>74</v>
      </c>
      <c r="M117" t="s">
        <v>74</v>
      </c>
      <c r="N117" t="s">
        <v>74</v>
      </c>
      <c r="O117" t="s">
        <v>74</v>
      </c>
      <c r="P117" t="s">
        <v>74</v>
      </c>
      <c r="Q117" t="s">
        <v>74</v>
      </c>
      <c r="R117" t="s">
        <v>74</v>
      </c>
      <c r="S117" t="s">
        <v>74</v>
      </c>
      <c r="T117" t="s">
        <v>74</v>
      </c>
      <c r="U117" t="s">
        <v>74</v>
      </c>
      <c r="V117" s="3" t="s">
        <v>8343</v>
      </c>
      <c r="W117" t="s">
        <v>74</v>
      </c>
      <c r="X117" t="s">
        <v>74</v>
      </c>
      <c r="Y117" t="s">
        <v>74</v>
      </c>
      <c r="Z117" t="s">
        <v>74</v>
      </c>
      <c r="AA117" t="s">
        <v>74</v>
      </c>
      <c r="AB117" t="s">
        <v>74</v>
      </c>
      <c r="AC117" t="s">
        <v>74</v>
      </c>
      <c r="AD117" t="s">
        <v>74</v>
      </c>
      <c r="AE117" t="s">
        <v>74</v>
      </c>
      <c r="AF117" t="s">
        <v>74</v>
      </c>
      <c r="AG117" t="s">
        <v>74</v>
      </c>
      <c r="AH117" t="s">
        <v>74</v>
      </c>
      <c r="AI117" t="s">
        <v>74</v>
      </c>
      <c r="AJ117" t="s">
        <v>74</v>
      </c>
      <c r="AK117" t="s">
        <v>74</v>
      </c>
      <c r="AL117" t="s">
        <v>74</v>
      </c>
      <c r="AM117" t="s">
        <v>74</v>
      </c>
      <c r="AN117" t="s">
        <v>74</v>
      </c>
      <c r="AO117" t="s">
        <v>121</v>
      </c>
      <c r="AP117" t="s">
        <v>122</v>
      </c>
      <c r="AQ117" t="s">
        <v>74</v>
      </c>
      <c r="AR117" t="s">
        <v>74</v>
      </c>
      <c r="AS117" t="s">
        <v>74</v>
      </c>
      <c r="AT117" t="s">
        <v>255</v>
      </c>
      <c r="AU117">
        <v>2011</v>
      </c>
      <c r="AV117">
        <v>86</v>
      </c>
      <c r="AW117">
        <v>1</v>
      </c>
      <c r="AX117" t="s">
        <v>74</v>
      </c>
      <c r="AY117" t="s">
        <v>74</v>
      </c>
      <c r="AZ117" t="s">
        <v>74</v>
      </c>
      <c r="BA117" t="s">
        <v>74</v>
      </c>
      <c r="BB117">
        <v>109</v>
      </c>
      <c r="BC117">
        <v>118</v>
      </c>
      <c r="BD117" t="s">
        <v>74</v>
      </c>
      <c r="BE117" t="s">
        <v>8344</v>
      </c>
      <c r="BF117" t="str">
        <f>HYPERLINK("http://dx.doi.org/10.1016/j.beproc.2010.10.002","http://dx.doi.org/10.1016/j.beproc.2010.10.002")</f>
        <v>http://dx.doi.org/10.1016/j.beproc.2010.10.002</v>
      </c>
      <c r="BG117" t="s">
        <v>74</v>
      </c>
      <c r="BH117" t="s">
        <v>74</v>
      </c>
      <c r="BI117" t="s">
        <v>74</v>
      </c>
      <c r="BJ117" t="s">
        <v>74</v>
      </c>
      <c r="BK117" t="s">
        <v>74</v>
      </c>
      <c r="BL117" t="s">
        <v>74</v>
      </c>
      <c r="BM117" t="s">
        <v>74</v>
      </c>
      <c r="BN117">
        <v>20971169</v>
      </c>
      <c r="BO117" t="s">
        <v>74</v>
      </c>
      <c r="BP117" t="s">
        <v>74</v>
      </c>
      <c r="BQ117" t="s">
        <v>74</v>
      </c>
      <c r="BR117" t="s">
        <v>74</v>
      </c>
      <c r="BS117" t="s">
        <v>8345</v>
      </c>
      <c r="BT117" t="str">
        <f>HYPERLINK("https%3A%2F%2Fwww.webofscience.com%2Fwos%2Fwoscc%2Ffull-record%2FWOS:000286861200015","View Full Record in Web of Science")</f>
        <v>View Full Record in Web of Science</v>
      </c>
    </row>
    <row r="118" spans="1:72" x14ac:dyDescent="0.4">
      <c r="A118" t="s">
        <v>72</v>
      </c>
      <c r="B118" t="s">
        <v>3208</v>
      </c>
      <c r="C118" t="s">
        <v>74</v>
      </c>
      <c r="D118" t="s">
        <v>74</v>
      </c>
      <c r="E118" t="s">
        <v>74</v>
      </c>
      <c r="F118" t="s">
        <v>3209</v>
      </c>
      <c r="G118" t="s">
        <v>74</v>
      </c>
      <c r="H118" t="s">
        <v>74</v>
      </c>
      <c r="I118" t="s">
        <v>3210</v>
      </c>
      <c r="J118" t="s">
        <v>3211</v>
      </c>
      <c r="K118" t="s">
        <v>74</v>
      </c>
      <c r="L118" t="s">
        <v>74</v>
      </c>
      <c r="M118" t="s">
        <v>74</v>
      </c>
      <c r="N118" t="s">
        <v>74</v>
      </c>
      <c r="O118" t="s">
        <v>74</v>
      </c>
      <c r="P118" t="s">
        <v>74</v>
      </c>
      <c r="Q118" t="s">
        <v>74</v>
      </c>
      <c r="R118" t="s">
        <v>74</v>
      </c>
      <c r="S118" t="s">
        <v>74</v>
      </c>
      <c r="T118" t="s">
        <v>74</v>
      </c>
      <c r="U118" t="s">
        <v>74</v>
      </c>
      <c r="V118" s="3" t="s">
        <v>3212</v>
      </c>
      <c r="W118" t="s">
        <v>74</v>
      </c>
      <c r="X118" t="s">
        <v>74</v>
      </c>
      <c r="Y118" t="s">
        <v>74</v>
      </c>
      <c r="Z118" t="s">
        <v>74</v>
      </c>
      <c r="AA118" t="s">
        <v>74</v>
      </c>
      <c r="AB118" t="s">
        <v>74</v>
      </c>
      <c r="AC118" t="s">
        <v>74</v>
      </c>
      <c r="AD118" t="s">
        <v>74</v>
      </c>
      <c r="AE118" t="s">
        <v>74</v>
      </c>
      <c r="AF118" t="s">
        <v>74</v>
      </c>
      <c r="AG118" t="s">
        <v>74</v>
      </c>
      <c r="AH118" t="s">
        <v>74</v>
      </c>
      <c r="AI118" t="s">
        <v>74</v>
      </c>
      <c r="AJ118" t="s">
        <v>74</v>
      </c>
      <c r="AK118" t="s">
        <v>74</v>
      </c>
      <c r="AL118" t="s">
        <v>74</v>
      </c>
      <c r="AM118" t="s">
        <v>74</v>
      </c>
      <c r="AN118" t="s">
        <v>74</v>
      </c>
      <c r="AO118" t="s">
        <v>3213</v>
      </c>
      <c r="AP118" t="s">
        <v>3214</v>
      </c>
      <c r="AQ118" t="s">
        <v>74</v>
      </c>
      <c r="AR118" t="s">
        <v>74</v>
      </c>
      <c r="AS118" t="s">
        <v>74</v>
      </c>
      <c r="AT118" t="s">
        <v>175</v>
      </c>
      <c r="AU118">
        <v>2017</v>
      </c>
      <c r="AV118">
        <v>178</v>
      </c>
      <c r="AW118">
        <v>2</v>
      </c>
      <c r="AX118" t="s">
        <v>74</v>
      </c>
      <c r="AY118" t="s">
        <v>74</v>
      </c>
      <c r="AZ118" t="s">
        <v>74</v>
      </c>
      <c r="BA118" t="s">
        <v>74</v>
      </c>
      <c r="BB118">
        <v>226</v>
      </c>
      <c r="BC118">
        <v>236</v>
      </c>
      <c r="BD118" t="s">
        <v>74</v>
      </c>
      <c r="BE118" t="s">
        <v>3215</v>
      </c>
      <c r="BF118" t="str">
        <f>HYPERLINK("http://dx.doi.org/10.1674/0003-0031-178.2.226","http://dx.doi.org/10.1674/0003-0031-178.2.226")</f>
        <v>http://dx.doi.org/10.1674/0003-0031-178.2.226</v>
      </c>
      <c r="BG118" t="s">
        <v>74</v>
      </c>
      <c r="BH118" t="s">
        <v>74</v>
      </c>
      <c r="BI118" t="s">
        <v>74</v>
      </c>
      <c r="BJ118" t="s">
        <v>74</v>
      </c>
      <c r="BK118" t="s">
        <v>74</v>
      </c>
      <c r="BL118" t="s">
        <v>74</v>
      </c>
      <c r="BM118" t="s">
        <v>74</v>
      </c>
      <c r="BN118" t="s">
        <v>74</v>
      </c>
      <c r="BO118" t="s">
        <v>74</v>
      </c>
      <c r="BP118" t="s">
        <v>74</v>
      </c>
      <c r="BQ118" t="s">
        <v>74</v>
      </c>
      <c r="BR118" t="s">
        <v>74</v>
      </c>
      <c r="BS118" t="s">
        <v>3216</v>
      </c>
      <c r="BT118" t="str">
        <f>HYPERLINK("https%3A%2F%2Fwww.webofscience.com%2Fwos%2Fwoscc%2Ffull-record%2FWOS:000416392800005","View Full Record in Web of Science")</f>
        <v>View Full Record in Web of Science</v>
      </c>
    </row>
    <row r="119" spans="1:72" x14ac:dyDescent="0.4">
      <c r="A119" t="s">
        <v>72</v>
      </c>
      <c r="B119" t="s">
        <v>1140</v>
      </c>
      <c r="C119" t="s">
        <v>74</v>
      </c>
      <c r="D119" t="s">
        <v>74</v>
      </c>
      <c r="E119" t="s">
        <v>74</v>
      </c>
      <c r="F119" t="s">
        <v>1141</v>
      </c>
      <c r="G119" t="s">
        <v>74</v>
      </c>
      <c r="H119" t="s">
        <v>74</v>
      </c>
      <c r="I119" t="s">
        <v>1142</v>
      </c>
      <c r="J119" t="s">
        <v>88</v>
      </c>
      <c r="K119" t="s">
        <v>74</v>
      </c>
      <c r="L119" t="s">
        <v>74</v>
      </c>
      <c r="M119" t="s">
        <v>74</v>
      </c>
      <c r="N119" t="s">
        <v>74</v>
      </c>
      <c r="O119" t="s">
        <v>74</v>
      </c>
      <c r="P119" t="s">
        <v>74</v>
      </c>
      <c r="Q119" t="s">
        <v>74</v>
      </c>
      <c r="R119" t="s">
        <v>74</v>
      </c>
      <c r="S119" t="s">
        <v>74</v>
      </c>
      <c r="T119" t="s">
        <v>74</v>
      </c>
      <c r="U119" t="s">
        <v>74</v>
      </c>
      <c r="V119" s="3" t="s">
        <v>1143</v>
      </c>
      <c r="W119" t="s">
        <v>74</v>
      </c>
      <c r="X119" t="s">
        <v>74</v>
      </c>
      <c r="Y119" t="s">
        <v>74</v>
      </c>
      <c r="Z119" t="s">
        <v>74</v>
      </c>
      <c r="AA119" t="s">
        <v>1144</v>
      </c>
      <c r="AB119" t="s">
        <v>1145</v>
      </c>
      <c r="AC119" t="s">
        <v>74</v>
      </c>
      <c r="AD119" t="s">
        <v>74</v>
      </c>
      <c r="AE119" t="s">
        <v>74</v>
      </c>
      <c r="AF119" t="s">
        <v>74</v>
      </c>
      <c r="AG119" t="s">
        <v>74</v>
      </c>
      <c r="AH119" t="s">
        <v>74</v>
      </c>
      <c r="AI119" t="s">
        <v>74</v>
      </c>
      <c r="AJ119" t="s">
        <v>74</v>
      </c>
      <c r="AK119" t="s">
        <v>74</v>
      </c>
      <c r="AL119" t="s">
        <v>74</v>
      </c>
      <c r="AM119" t="s">
        <v>74</v>
      </c>
      <c r="AN119" t="s">
        <v>74</v>
      </c>
      <c r="AO119" t="s">
        <v>91</v>
      </c>
      <c r="AP119" t="s">
        <v>92</v>
      </c>
      <c r="AQ119" t="s">
        <v>74</v>
      </c>
      <c r="AR119" t="s">
        <v>74</v>
      </c>
      <c r="AS119" t="s">
        <v>74</v>
      </c>
      <c r="AT119" t="s">
        <v>1146</v>
      </c>
      <c r="AU119">
        <v>2016</v>
      </c>
      <c r="AV119">
        <v>12</v>
      </c>
      <c r="AW119">
        <v>8</v>
      </c>
      <c r="AX119" t="s">
        <v>74</v>
      </c>
      <c r="AY119" t="s">
        <v>74</v>
      </c>
      <c r="AZ119" t="s">
        <v>74</v>
      </c>
      <c r="BA119" t="s">
        <v>74</v>
      </c>
      <c r="BB119" t="s">
        <v>74</v>
      </c>
      <c r="BC119" t="s">
        <v>74</v>
      </c>
      <c r="BD119">
        <v>20160467</v>
      </c>
      <c r="BE119" t="s">
        <v>1147</v>
      </c>
      <c r="BF119" t="str">
        <f>HYPERLINK("http://dx.doi.org/10.1098/rsbl.2016.0467","http://dx.doi.org/10.1098/rsbl.2016.0467")</f>
        <v>http://dx.doi.org/10.1098/rsbl.2016.0467</v>
      </c>
      <c r="BG119" t="s">
        <v>74</v>
      </c>
      <c r="BH119" t="s">
        <v>74</v>
      </c>
      <c r="BI119" t="s">
        <v>74</v>
      </c>
      <c r="BJ119" t="s">
        <v>74</v>
      </c>
      <c r="BK119" t="s">
        <v>74</v>
      </c>
      <c r="BL119" t="s">
        <v>74</v>
      </c>
      <c r="BM119" t="s">
        <v>74</v>
      </c>
      <c r="BN119">
        <v>27512135</v>
      </c>
      <c r="BO119" t="s">
        <v>74</v>
      </c>
      <c r="BP119" t="s">
        <v>74</v>
      </c>
      <c r="BQ119" t="s">
        <v>74</v>
      </c>
      <c r="BR119" t="s">
        <v>74</v>
      </c>
      <c r="BS119" t="s">
        <v>1148</v>
      </c>
      <c r="BT119" t="str">
        <f>HYPERLINK("https%3A%2F%2Fwww.webofscience.com%2Fwos%2Fwoscc%2Ffull-record%2FWOS:000390331600027","View Full Record in Web of Science")</f>
        <v>View Full Record in Web of Science</v>
      </c>
    </row>
    <row r="120" spans="1:72" x14ac:dyDescent="0.4">
      <c r="A120" t="s">
        <v>72</v>
      </c>
      <c r="B120" t="s">
        <v>3034</v>
      </c>
      <c r="C120" t="s">
        <v>74</v>
      </c>
      <c r="D120" t="s">
        <v>74</v>
      </c>
      <c r="E120" t="s">
        <v>74</v>
      </c>
      <c r="F120" t="s">
        <v>3034</v>
      </c>
      <c r="G120" t="s">
        <v>74</v>
      </c>
      <c r="H120" t="s">
        <v>74</v>
      </c>
      <c r="I120" t="s">
        <v>3035</v>
      </c>
      <c r="J120" t="s">
        <v>140</v>
      </c>
      <c r="K120" t="s">
        <v>74</v>
      </c>
      <c r="L120" t="s">
        <v>74</v>
      </c>
      <c r="M120" t="s">
        <v>74</v>
      </c>
      <c r="N120" t="s">
        <v>74</v>
      </c>
      <c r="O120" t="s">
        <v>74</v>
      </c>
      <c r="P120" t="s">
        <v>74</v>
      </c>
      <c r="Q120" t="s">
        <v>74</v>
      </c>
      <c r="R120" t="s">
        <v>74</v>
      </c>
      <c r="S120" t="s">
        <v>74</v>
      </c>
      <c r="T120" t="s">
        <v>74</v>
      </c>
      <c r="U120" t="s">
        <v>74</v>
      </c>
      <c r="V120" s="3" t="s">
        <v>3036</v>
      </c>
      <c r="W120" t="s">
        <v>74</v>
      </c>
      <c r="X120" t="s">
        <v>74</v>
      </c>
      <c r="Y120" t="s">
        <v>74</v>
      </c>
      <c r="Z120" t="s">
        <v>74</v>
      </c>
      <c r="AA120" t="s">
        <v>74</v>
      </c>
      <c r="AB120" t="s">
        <v>74</v>
      </c>
      <c r="AC120" t="s">
        <v>74</v>
      </c>
      <c r="AD120" t="s">
        <v>74</v>
      </c>
      <c r="AE120" t="s">
        <v>74</v>
      </c>
      <c r="AF120" t="s">
        <v>74</v>
      </c>
      <c r="AG120" t="s">
        <v>74</v>
      </c>
      <c r="AH120" t="s">
        <v>74</v>
      </c>
      <c r="AI120" t="s">
        <v>74</v>
      </c>
      <c r="AJ120" t="s">
        <v>74</v>
      </c>
      <c r="AK120" t="s">
        <v>74</v>
      </c>
      <c r="AL120" t="s">
        <v>74</v>
      </c>
      <c r="AM120" t="s">
        <v>74</v>
      </c>
      <c r="AN120" t="s">
        <v>74</v>
      </c>
      <c r="AO120" t="s">
        <v>143</v>
      </c>
      <c r="AP120" t="s">
        <v>74</v>
      </c>
      <c r="AQ120" t="s">
        <v>74</v>
      </c>
      <c r="AR120" t="s">
        <v>74</v>
      </c>
      <c r="AS120" t="s">
        <v>74</v>
      </c>
      <c r="AT120" t="s">
        <v>213</v>
      </c>
      <c r="AU120">
        <v>1996</v>
      </c>
      <c r="AV120">
        <v>52</v>
      </c>
      <c r="AW120" t="s">
        <v>74</v>
      </c>
      <c r="AX120">
        <v>5</v>
      </c>
      <c r="AY120" t="s">
        <v>74</v>
      </c>
      <c r="AZ120" t="s">
        <v>74</v>
      </c>
      <c r="BA120" t="s">
        <v>74</v>
      </c>
      <c r="BB120">
        <v>923</v>
      </c>
      <c r="BC120">
        <v>927</v>
      </c>
      <c r="BD120" t="s">
        <v>74</v>
      </c>
      <c r="BE120" t="s">
        <v>3037</v>
      </c>
      <c r="BF120" t="str">
        <f>HYPERLINK("http://dx.doi.org/10.1006/anbe.1996.0240","http://dx.doi.org/10.1006/anbe.1996.0240")</f>
        <v>http://dx.doi.org/10.1006/anbe.1996.0240</v>
      </c>
      <c r="BG120" t="s">
        <v>74</v>
      </c>
      <c r="BH120" t="s">
        <v>74</v>
      </c>
      <c r="BI120" t="s">
        <v>74</v>
      </c>
      <c r="BJ120" t="s">
        <v>74</v>
      </c>
      <c r="BK120" t="s">
        <v>74</v>
      </c>
      <c r="BL120" t="s">
        <v>74</v>
      </c>
      <c r="BM120" t="s">
        <v>74</v>
      </c>
      <c r="BN120" t="s">
        <v>74</v>
      </c>
      <c r="BO120" t="s">
        <v>74</v>
      </c>
      <c r="BP120" t="s">
        <v>74</v>
      </c>
      <c r="BQ120" t="s">
        <v>74</v>
      </c>
      <c r="BR120" t="s">
        <v>74</v>
      </c>
      <c r="BS120" t="s">
        <v>3038</v>
      </c>
      <c r="BT120" t="str">
        <f>HYPERLINK("https%3A%2F%2Fwww.webofscience.com%2Fwos%2Fwoscc%2Ffull-record%2FWOS:A1996VT21600007","View Full Record in Web of Science")</f>
        <v>View Full Record in Web of Science</v>
      </c>
    </row>
    <row r="121" spans="1:72" x14ac:dyDescent="0.4">
      <c r="A121" t="s">
        <v>72</v>
      </c>
      <c r="B121" t="s">
        <v>6410</v>
      </c>
      <c r="C121" t="s">
        <v>74</v>
      </c>
      <c r="D121" t="s">
        <v>74</v>
      </c>
      <c r="E121" t="s">
        <v>74</v>
      </c>
      <c r="F121" t="s">
        <v>6411</v>
      </c>
      <c r="G121" t="s">
        <v>74</v>
      </c>
      <c r="H121" t="s">
        <v>74</v>
      </c>
      <c r="I121" t="s">
        <v>6412</v>
      </c>
      <c r="J121" t="s">
        <v>530</v>
      </c>
      <c r="K121" t="s">
        <v>74</v>
      </c>
      <c r="L121" t="s">
        <v>74</v>
      </c>
      <c r="M121" t="s">
        <v>74</v>
      </c>
      <c r="N121" t="s">
        <v>74</v>
      </c>
      <c r="O121" t="s">
        <v>74</v>
      </c>
      <c r="P121" t="s">
        <v>74</v>
      </c>
      <c r="Q121" t="s">
        <v>74</v>
      </c>
      <c r="R121" t="s">
        <v>74</v>
      </c>
      <c r="S121" t="s">
        <v>74</v>
      </c>
      <c r="T121" t="s">
        <v>74</v>
      </c>
      <c r="U121" t="s">
        <v>74</v>
      </c>
      <c r="V121" s="3" t="s">
        <v>6413</v>
      </c>
      <c r="W121" t="s">
        <v>74</v>
      </c>
      <c r="X121" t="s">
        <v>74</v>
      </c>
      <c r="Y121" t="s">
        <v>74</v>
      </c>
      <c r="Z121" t="s">
        <v>74</v>
      </c>
      <c r="AA121" t="s">
        <v>74</v>
      </c>
      <c r="AB121" t="s">
        <v>74</v>
      </c>
      <c r="AC121" t="s">
        <v>74</v>
      </c>
      <c r="AD121" t="s">
        <v>74</v>
      </c>
      <c r="AE121" t="s">
        <v>74</v>
      </c>
      <c r="AF121" t="s">
        <v>74</v>
      </c>
      <c r="AG121" t="s">
        <v>74</v>
      </c>
      <c r="AH121" t="s">
        <v>74</v>
      </c>
      <c r="AI121" t="s">
        <v>74</v>
      </c>
      <c r="AJ121" t="s">
        <v>74</v>
      </c>
      <c r="AK121" t="s">
        <v>74</v>
      </c>
      <c r="AL121" t="s">
        <v>74</v>
      </c>
      <c r="AM121" t="s">
        <v>74</v>
      </c>
      <c r="AN121" t="s">
        <v>74</v>
      </c>
      <c r="AO121" t="s">
        <v>532</v>
      </c>
      <c r="AP121" t="s">
        <v>533</v>
      </c>
      <c r="AQ121" t="s">
        <v>74</v>
      </c>
      <c r="AR121" t="s">
        <v>74</v>
      </c>
      <c r="AS121" t="s">
        <v>74</v>
      </c>
      <c r="AT121" t="s">
        <v>102</v>
      </c>
      <c r="AU121">
        <v>2006</v>
      </c>
      <c r="AV121">
        <v>149</v>
      </c>
      <c r="AW121">
        <v>3</v>
      </c>
      <c r="AX121" t="s">
        <v>74</v>
      </c>
      <c r="AY121" t="s">
        <v>74</v>
      </c>
      <c r="AZ121" t="s">
        <v>74</v>
      </c>
      <c r="BA121" t="s">
        <v>74</v>
      </c>
      <c r="BB121">
        <v>423</v>
      </c>
      <c r="BC121">
        <v>433</v>
      </c>
      <c r="BD121" t="s">
        <v>74</v>
      </c>
      <c r="BE121" t="s">
        <v>6414</v>
      </c>
      <c r="BF121" t="str">
        <f>HYPERLINK("http://dx.doi.org/10.1007/s00227-005-0233-9","http://dx.doi.org/10.1007/s00227-005-0233-9")</f>
        <v>http://dx.doi.org/10.1007/s00227-005-0233-9</v>
      </c>
      <c r="BG121" t="s">
        <v>74</v>
      </c>
      <c r="BH121" t="s">
        <v>74</v>
      </c>
      <c r="BI121" t="s">
        <v>74</v>
      </c>
      <c r="BJ121" t="s">
        <v>74</v>
      </c>
      <c r="BK121" t="s">
        <v>74</v>
      </c>
      <c r="BL121" t="s">
        <v>74</v>
      </c>
      <c r="BM121" t="s">
        <v>74</v>
      </c>
      <c r="BN121" t="s">
        <v>74</v>
      </c>
      <c r="BO121" t="s">
        <v>74</v>
      </c>
      <c r="BP121" t="s">
        <v>74</v>
      </c>
      <c r="BQ121" t="s">
        <v>74</v>
      </c>
      <c r="BR121" t="s">
        <v>74</v>
      </c>
      <c r="BS121" t="s">
        <v>6415</v>
      </c>
      <c r="BT121" t="str">
        <f>HYPERLINK("https%3A%2F%2Fwww.webofscience.com%2Fwos%2Fwoscc%2Ffull-record%2FWOS:000238327200002","View Full Record in Web of Science")</f>
        <v>View Full Record in Web of Science</v>
      </c>
    </row>
    <row r="122" spans="1:72" x14ac:dyDescent="0.4">
      <c r="A122" t="s">
        <v>72</v>
      </c>
      <c r="B122" t="s">
        <v>2473</v>
      </c>
      <c r="C122" t="s">
        <v>74</v>
      </c>
      <c r="D122" t="s">
        <v>74</v>
      </c>
      <c r="E122" t="s">
        <v>74</v>
      </c>
      <c r="F122" t="s">
        <v>2474</v>
      </c>
      <c r="G122" t="s">
        <v>74</v>
      </c>
      <c r="H122" t="s">
        <v>74</v>
      </c>
      <c r="I122" t="s">
        <v>2475</v>
      </c>
      <c r="J122" t="s">
        <v>333</v>
      </c>
      <c r="K122" t="s">
        <v>74</v>
      </c>
      <c r="L122" t="s">
        <v>74</v>
      </c>
      <c r="M122" t="s">
        <v>74</v>
      </c>
      <c r="N122" t="s">
        <v>74</v>
      </c>
      <c r="O122" t="s">
        <v>74</v>
      </c>
      <c r="P122" t="s">
        <v>74</v>
      </c>
      <c r="Q122" t="s">
        <v>74</v>
      </c>
      <c r="R122" t="s">
        <v>74</v>
      </c>
      <c r="S122" t="s">
        <v>74</v>
      </c>
      <c r="T122" t="s">
        <v>74</v>
      </c>
      <c r="U122" t="s">
        <v>74</v>
      </c>
      <c r="V122" s="3" t="s">
        <v>2476</v>
      </c>
      <c r="W122" t="s">
        <v>74</v>
      </c>
      <c r="X122" t="s">
        <v>74</v>
      </c>
      <c r="Y122" t="s">
        <v>74</v>
      </c>
      <c r="Z122" t="s">
        <v>74</v>
      </c>
      <c r="AA122" t="s">
        <v>2477</v>
      </c>
      <c r="AB122" t="s">
        <v>2478</v>
      </c>
      <c r="AC122" t="s">
        <v>74</v>
      </c>
      <c r="AD122" t="s">
        <v>74</v>
      </c>
      <c r="AE122" t="s">
        <v>74</v>
      </c>
      <c r="AF122" t="s">
        <v>74</v>
      </c>
      <c r="AG122" t="s">
        <v>74</v>
      </c>
      <c r="AH122" t="s">
        <v>74</v>
      </c>
      <c r="AI122" t="s">
        <v>74</v>
      </c>
      <c r="AJ122" t="s">
        <v>74</v>
      </c>
      <c r="AK122" t="s">
        <v>74</v>
      </c>
      <c r="AL122" t="s">
        <v>74</v>
      </c>
      <c r="AM122" t="s">
        <v>74</v>
      </c>
      <c r="AN122" t="s">
        <v>74</v>
      </c>
      <c r="AO122" t="s">
        <v>337</v>
      </c>
      <c r="AP122" t="s">
        <v>338</v>
      </c>
      <c r="AQ122" t="s">
        <v>74</v>
      </c>
      <c r="AR122" t="s">
        <v>74</v>
      </c>
      <c r="AS122" t="s">
        <v>74</v>
      </c>
      <c r="AT122" t="s">
        <v>1038</v>
      </c>
      <c r="AU122">
        <v>2019</v>
      </c>
      <c r="AV122">
        <v>30</v>
      </c>
      <c r="AW122">
        <v>2</v>
      </c>
      <c r="AX122" t="s">
        <v>74</v>
      </c>
      <c r="AY122" t="s">
        <v>74</v>
      </c>
      <c r="AZ122" t="s">
        <v>74</v>
      </c>
      <c r="BA122" t="s">
        <v>74</v>
      </c>
      <c r="BB122">
        <v>490</v>
      </c>
      <c r="BC122">
        <v>499</v>
      </c>
      <c r="BD122" t="s">
        <v>74</v>
      </c>
      <c r="BE122" t="s">
        <v>2479</v>
      </c>
      <c r="BF122" t="str">
        <f>HYPERLINK("http://dx.doi.org/10.1093/beheco/ary189","http://dx.doi.org/10.1093/beheco/ary189")</f>
        <v>http://dx.doi.org/10.1093/beheco/ary189</v>
      </c>
      <c r="BG122" t="s">
        <v>74</v>
      </c>
      <c r="BH122" t="s">
        <v>74</v>
      </c>
      <c r="BI122" t="s">
        <v>74</v>
      </c>
      <c r="BJ122" t="s">
        <v>74</v>
      </c>
      <c r="BK122" t="s">
        <v>74</v>
      </c>
      <c r="BL122" t="s">
        <v>74</v>
      </c>
      <c r="BM122" t="s">
        <v>74</v>
      </c>
      <c r="BN122" t="s">
        <v>74</v>
      </c>
      <c r="BO122" t="s">
        <v>74</v>
      </c>
      <c r="BP122" t="s">
        <v>74</v>
      </c>
      <c r="BQ122" t="s">
        <v>74</v>
      </c>
      <c r="BR122" t="s">
        <v>74</v>
      </c>
      <c r="BS122" t="s">
        <v>2480</v>
      </c>
      <c r="BT122" t="str">
        <f>HYPERLINK("https%3A%2F%2Fwww.webofscience.com%2Fwos%2Fwoscc%2Ffull-record%2FWOS:000464932900025","View Full Record in Web of Science")</f>
        <v>View Full Record in Web of Science</v>
      </c>
    </row>
    <row r="123" spans="1:72" x14ac:dyDescent="0.4">
      <c r="A123" t="s">
        <v>72</v>
      </c>
      <c r="B123" t="s">
        <v>2155</v>
      </c>
      <c r="C123" t="s">
        <v>74</v>
      </c>
      <c r="D123" t="s">
        <v>74</v>
      </c>
      <c r="E123" t="s">
        <v>74</v>
      </c>
      <c r="F123" t="s">
        <v>2156</v>
      </c>
      <c r="G123" t="s">
        <v>74</v>
      </c>
      <c r="H123" t="s">
        <v>74</v>
      </c>
      <c r="I123" t="s">
        <v>2157</v>
      </c>
      <c r="J123" t="s">
        <v>1673</v>
      </c>
      <c r="K123" t="s">
        <v>74</v>
      </c>
      <c r="L123" t="s">
        <v>74</v>
      </c>
      <c r="M123" t="s">
        <v>74</v>
      </c>
      <c r="N123" t="s">
        <v>74</v>
      </c>
      <c r="O123" t="s">
        <v>74</v>
      </c>
      <c r="P123" t="s">
        <v>74</v>
      </c>
      <c r="Q123" t="s">
        <v>74</v>
      </c>
      <c r="R123" t="s">
        <v>74</v>
      </c>
      <c r="S123" t="s">
        <v>74</v>
      </c>
      <c r="T123" t="s">
        <v>74</v>
      </c>
      <c r="U123" t="s">
        <v>74</v>
      </c>
      <c r="V123" s="3" t="s">
        <v>2158</v>
      </c>
      <c r="W123" t="s">
        <v>74</v>
      </c>
      <c r="X123" t="s">
        <v>74</v>
      </c>
      <c r="Y123" t="s">
        <v>74</v>
      </c>
      <c r="Z123" t="s">
        <v>74</v>
      </c>
      <c r="AA123" t="s">
        <v>2159</v>
      </c>
      <c r="AB123" t="s">
        <v>2160</v>
      </c>
      <c r="AC123" t="s">
        <v>74</v>
      </c>
      <c r="AD123" t="s">
        <v>74</v>
      </c>
      <c r="AE123" t="s">
        <v>74</v>
      </c>
      <c r="AF123" t="s">
        <v>74</v>
      </c>
      <c r="AG123" t="s">
        <v>74</v>
      </c>
      <c r="AH123" t="s">
        <v>74</v>
      </c>
      <c r="AI123" t="s">
        <v>74</v>
      </c>
      <c r="AJ123" t="s">
        <v>74</v>
      </c>
      <c r="AK123" t="s">
        <v>74</v>
      </c>
      <c r="AL123" t="s">
        <v>74</v>
      </c>
      <c r="AM123" t="s">
        <v>74</v>
      </c>
      <c r="AN123" t="s">
        <v>74</v>
      </c>
      <c r="AO123" t="s">
        <v>1239</v>
      </c>
      <c r="AP123" t="s">
        <v>1675</v>
      </c>
      <c r="AQ123" t="s">
        <v>74</v>
      </c>
      <c r="AR123" t="s">
        <v>74</v>
      </c>
      <c r="AS123" t="s">
        <v>74</v>
      </c>
      <c r="AT123" t="s">
        <v>123</v>
      </c>
      <c r="AU123">
        <v>2017</v>
      </c>
      <c r="AV123">
        <v>95</v>
      </c>
      <c r="AW123">
        <v>3</v>
      </c>
      <c r="AX123" t="s">
        <v>74</v>
      </c>
      <c r="AY123" t="s">
        <v>74</v>
      </c>
      <c r="AZ123" t="s">
        <v>74</v>
      </c>
      <c r="BA123" t="s">
        <v>74</v>
      </c>
      <c r="BB123">
        <v>213</v>
      </c>
      <c r="BC123">
        <v>219</v>
      </c>
      <c r="BD123" t="s">
        <v>74</v>
      </c>
      <c r="BE123" t="s">
        <v>2161</v>
      </c>
      <c r="BF123" t="str">
        <f>HYPERLINK("http://dx.doi.org/10.1139/cjz-2016-0200","http://dx.doi.org/10.1139/cjz-2016-0200")</f>
        <v>http://dx.doi.org/10.1139/cjz-2016-0200</v>
      </c>
      <c r="BG123" t="s">
        <v>74</v>
      </c>
      <c r="BH123" t="s">
        <v>74</v>
      </c>
      <c r="BI123" t="s">
        <v>74</v>
      </c>
      <c r="BJ123" t="s">
        <v>74</v>
      </c>
      <c r="BK123" t="s">
        <v>74</v>
      </c>
      <c r="BL123" t="s">
        <v>74</v>
      </c>
      <c r="BM123" t="s">
        <v>74</v>
      </c>
      <c r="BN123" t="s">
        <v>74</v>
      </c>
      <c r="BO123" t="s">
        <v>74</v>
      </c>
      <c r="BP123" t="s">
        <v>74</v>
      </c>
      <c r="BQ123" t="s">
        <v>74</v>
      </c>
      <c r="BR123" t="s">
        <v>74</v>
      </c>
      <c r="BS123" t="s">
        <v>2162</v>
      </c>
      <c r="BT123" t="str">
        <f>HYPERLINK("https%3A%2F%2Fwww.webofscience.com%2Fwos%2Fwoscc%2Ffull-record%2FWOS:000398092400009","View Full Record in Web of Science")</f>
        <v>View Full Record in Web of Science</v>
      </c>
    </row>
    <row r="124" spans="1:72" x14ac:dyDescent="0.4">
      <c r="A124" t="s">
        <v>72</v>
      </c>
      <c r="B124" t="s">
        <v>528</v>
      </c>
      <c r="C124" t="s">
        <v>74</v>
      </c>
      <c r="D124" t="s">
        <v>74</v>
      </c>
      <c r="E124" t="s">
        <v>74</v>
      </c>
      <c r="F124" t="s">
        <v>528</v>
      </c>
      <c r="G124" t="s">
        <v>74</v>
      </c>
      <c r="H124" t="s">
        <v>74</v>
      </c>
      <c r="I124" t="s">
        <v>529</v>
      </c>
      <c r="J124" t="s">
        <v>530</v>
      </c>
      <c r="K124" t="s">
        <v>74</v>
      </c>
      <c r="L124" t="s">
        <v>74</v>
      </c>
      <c r="M124" t="s">
        <v>74</v>
      </c>
      <c r="N124" t="s">
        <v>74</v>
      </c>
      <c r="O124" t="s">
        <v>74</v>
      </c>
      <c r="P124" t="s">
        <v>74</v>
      </c>
      <c r="Q124" t="s">
        <v>74</v>
      </c>
      <c r="R124" t="s">
        <v>74</v>
      </c>
      <c r="S124" t="s">
        <v>74</v>
      </c>
      <c r="T124" t="s">
        <v>74</v>
      </c>
      <c r="U124" t="s">
        <v>74</v>
      </c>
      <c r="V124" s="3" t="s">
        <v>531</v>
      </c>
      <c r="W124" t="s">
        <v>74</v>
      </c>
      <c r="X124" t="s">
        <v>74</v>
      </c>
      <c r="Y124" t="s">
        <v>74</v>
      </c>
      <c r="Z124" t="s">
        <v>74</v>
      </c>
      <c r="AA124" t="s">
        <v>74</v>
      </c>
      <c r="AB124" t="s">
        <v>74</v>
      </c>
      <c r="AC124" t="s">
        <v>74</v>
      </c>
      <c r="AD124" t="s">
        <v>74</v>
      </c>
      <c r="AE124" t="s">
        <v>74</v>
      </c>
      <c r="AF124" t="s">
        <v>74</v>
      </c>
      <c r="AG124" t="s">
        <v>74</v>
      </c>
      <c r="AH124" t="s">
        <v>74</v>
      </c>
      <c r="AI124" t="s">
        <v>74</v>
      </c>
      <c r="AJ124" t="s">
        <v>74</v>
      </c>
      <c r="AK124" t="s">
        <v>74</v>
      </c>
      <c r="AL124" t="s">
        <v>74</v>
      </c>
      <c r="AM124" t="s">
        <v>74</v>
      </c>
      <c r="AN124" t="s">
        <v>74</v>
      </c>
      <c r="AO124" t="s">
        <v>532</v>
      </c>
      <c r="AP124" t="s">
        <v>533</v>
      </c>
      <c r="AQ124" t="s">
        <v>74</v>
      </c>
      <c r="AR124" t="s">
        <v>74</v>
      </c>
      <c r="AS124" t="s">
        <v>74</v>
      </c>
      <c r="AT124" t="s">
        <v>74</v>
      </c>
      <c r="AU124">
        <v>1981</v>
      </c>
      <c r="AV124">
        <v>64</v>
      </c>
      <c r="AW124">
        <v>1</v>
      </c>
      <c r="AX124" t="s">
        <v>74</v>
      </c>
      <c r="AY124" t="s">
        <v>74</v>
      </c>
      <c r="AZ124" t="s">
        <v>74</v>
      </c>
      <c r="BA124" t="s">
        <v>74</v>
      </c>
      <c r="BB124">
        <v>85</v>
      </c>
      <c r="BC124">
        <v>93</v>
      </c>
      <c r="BD124" t="s">
        <v>74</v>
      </c>
      <c r="BE124" t="s">
        <v>534</v>
      </c>
      <c r="BF124" t="str">
        <f>HYPERLINK("http://dx.doi.org/10.1007/BF00394084","http://dx.doi.org/10.1007/BF00394084")</f>
        <v>http://dx.doi.org/10.1007/BF00394084</v>
      </c>
      <c r="BG124" t="s">
        <v>74</v>
      </c>
      <c r="BH124" t="s">
        <v>74</v>
      </c>
      <c r="BI124" t="s">
        <v>74</v>
      </c>
      <c r="BJ124" t="s">
        <v>74</v>
      </c>
      <c r="BK124" t="s">
        <v>74</v>
      </c>
      <c r="BL124" t="s">
        <v>74</v>
      </c>
      <c r="BM124" t="s">
        <v>74</v>
      </c>
      <c r="BN124" t="s">
        <v>74</v>
      </c>
      <c r="BO124" t="s">
        <v>74</v>
      </c>
      <c r="BP124" t="s">
        <v>74</v>
      </c>
      <c r="BQ124" t="s">
        <v>74</v>
      </c>
      <c r="BR124" t="s">
        <v>74</v>
      </c>
      <c r="BS124" t="s">
        <v>535</v>
      </c>
      <c r="BT124" t="str">
        <f>HYPERLINK("https%3A%2F%2Fwww.webofscience.com%2Fwos%2Fwoscc%2Ffull-record%2FWOS:A1981MG93600010","View Full Record in Web of Science")</f>
        <v>View Full Record in Web of Science</v>
      </c>
    </row>
    <row r="125" spans="1:72" x14ac:dyDescent="0.4">
      <c r="A125" t="s">
        <v>72</v>
      </c>
      <c r="B125" t="s">
        <v>722</v>
      </c>
      <c r="C125" t="s">
        <v>74</v>
      </c>
      <c r="D125" t="s">
        <v>74</v>
      </c>
      <c r="E125" t="s">
        <v>74</v>
      </c>
      <c r="F125" t="s">
        <v>722</v>
      </c>
      <c r="G125" t="s">
        <v>74</v>
      </c>
      <c r="H125" t="s">
        <v>74</v>
      </c>
      <c r="I125" t="s">
        <v>723</v>
      </c>
      <c r="J125" t="s">
        <v>140</v>
      </c>
      <c r="K125" t="s">
        <v>74</v>
      </c>
      <c r="L125" t="s">
        <v>74</v>
      </c>
      <c r="M125" t="s">
        <v>74</v>
      </c>
      <c r="N125" t="s">
        <v>74</v>
      </c>
      <c r="O125" t="s">
        <v>74</v>
      </c>
      <c r="P125" t="s">
        <v>74</v>
      </c>
      <c r="Q125" t="s">
        <v>74</v>
      </c>
      <c r="R125" t="s">
        <v>74</v>
      </c>
      <c r="S125" t="s">
        <v>74</v>
      </c>
      <c r="T125" t="s">
        <v>74</v>
      </c>
      <c r="U125" t="s">
        <v>74</v>
      </c>
      <c r="V125" s="3" t="s">
        <v>724</v>
      </c>
      <c r="W125" t="s">
        <v>74</v>
      </c>
      <c r="X125" t="s">
        <v>74</v>
      </c>
      <c r="Y125" t="s">
        <v>74</v>
      </c>
      <c r="Z125" t="s">
        <v>74</v>
      </c>
      <c r="AA125" t="s">
        <v>725</v>
      </c>
      <c r="AB125" t="s">
        <v>74</v>
      </c>
      <c r="AC125" t="s">
        <v>74</v>
      </c>
      <c r="AD125" t="s">
        <v>74</v>
      </c>
      <c r="AE125" t="s">
        <v>74</v>
      </c>
      <c r="AF125" t="s">
        <v>74</v>
      </c>
      <c r="AG125" t="s">
        <v>74</v>
      </c>
      <c r="AH125" t="s">
        <v>74</v>
      </c>
      <c r="AI125" t="s">
        <v>74</v>
      </c>
      <c r="AJ125" t="s">
        <v>74</v>
      </c>
      <c r="AK125" t="s">
        <v>74</v>
      </c>
      <c r="AL125" t="s">
        <v>74</v>
      </c>
      <c r="AM125" t="s">
        <v>74</v>
      </c>
      <c r="AN125" t="s">
        <v>74</v>
      </c>
      <c r="AO125" t="s">
        <v>143</v>
      </c>
      <c r="AP125" t="s">
        <v>144</v>
      </c>
      <c r="AQ125" t="s">
        <v>74</v>
      </c>
      <c r="AR125" t="s">
        <v>74</v>
      </c>
      <c r="AS125" t="s">
        <v>74</v>
      </c>
      <c r="AT125" t="s">
        <v>74</v>
      </c>
      <c r="AU125">
        <v>1979</v>
      </c>
      <c r="AV125">
        <v>27</v>
      </c>
      <c r="AW125" t="s">
        <v>134</v>
      </c>
      <c r="AX125" t="s">
        <v>74</v>
      </c>
      <c r="AY125" t="s">
        <v>74</v>
      </c>
      <c r="AZ125" t="s">
        <v>74</v>
      </c>
      <c r="BA125" t="s">
        <v>74</v>
      </c>
      <c r="BB125">
        <v>553</v>
      </c>
      <c r="BC125" t="s">
        <v>726</v>
      </c>
      <c r="BD125" t="s">
        <v>74</v>
      </c>
      <c r="BE125" t="s">
        <v>727</v>
      </c>
      <c r="BF125" t="str">
        <f>HYPERLINK("http://dx.doi.org/10.1016/0003-3472(79)90190-8","http://dx.doi.org/10.1016/0003-3472(79)90190-8")</f>
        <v>http://dx.doi.org/10.1016/0003-3472(79)90190-8</v>
      </c>
      <c r="BG125" t="s">
        <v>74</v>
      </c>
      <c r="BH125" t="s">
        <v>74</v>
      </c>
      <c r="BI125" t="s">
        <v>74</v>
      </c>
      <c r="BJ125" t="s">
        <v>74</v>
      </c>
      <c r="BK125" t="s">
        <v>74</v>
      </c>
      <c r="BL125" t="s">
        <v>74</v>
      </c>
      <c r="BM125" t="s">
        <v>74</v>
      </c>
      <c r="BN125" t="s">
        <v>74</v>
      </c>
      <c r="BO125" t="s">
        <v>74</v>
      </c>
      <c r="BP125" t="s">
        <v>74</v>
      </c>
      <c r="BQ125" t="s">
        <v>74</v>
      </c>
      <c r="BR125" t="s">
        <v>74</v>
      </c>
      <c r="BS125" t="s">
        <v>728</v>
      </c>
      <c r="BT125" t="str">
        <f>HYPERLINK("https%3A%2F%2Fwww.webofscience.com%2Fwos%2Fwoscc%2Ffull-record%2FWOS:A1979HE66900025","View Full Record in Web of Science")</f>
        <v>View Full Record in Web of Science</v>
      </c>
    </row>
    <row r="126" spans="1:72" x14ac:dyDescent="0.4">
      <c r="A126" t="s">
        <v>72</v>
      </c>
      <c r="B126" t="s">
        <v>3603</v>
      </c>
      <c r="C126" t="s">
        <v>74</v>
      </c>
      <c r="D126" t="s">
        <v>74</v>
      </c>
      <c r="E126" t="s">
        <v>74</v>
      </c>
      <c r="F126" t="s">
        <v>3603</v>
      </c>
      <c r="G126" t="s">
        <v>74</v>
      </c>
      <c r="H126" t="s">
        <v>74</v>
      </c>
      <c r="I126" t="s">
        <v>3604</v>
      </c>
      <c r="J126" t="s">
        <v>3605</v>
      </c>
      <c r="K126" t="s">
        <v>74</v>
      </c>
      <c r="L126" t="s">
        <v>74</v>
      </c>
      <c r="M126" t="s">
        <v>74</v>
      </c>
      <c r="N126" t="s">
        <v>74</v>
      </c>
      <c r="O126" t="s">
        <v>74</v>
      </c>
      <c r="P126" t="s">
        <v>74</v>
      </c>
      <c r="Q126" t="s">
        <v>74</v>
      </c>
      <c r="R126" t="s">
        <v>74</v>
      </c>
      <c r="S126" t="s">
        <v>74</v>
      </c>
      <c r="T126" t="s">
        <v>74</v>
      </c>
      <c r="U126" t="s">
        <v>74</v>
      </c>
      <c r="V126" s="3" t="s">
        <v>3606</v>
      </c>
      <c r="W126" t="s">
        <v>74</v>
      </c>
      <c r="X126" t="s">
        <v>74</v>
      </c>
      <c r="Y126" t="s">
        <v>74</v>
      </c>
      <c r="Z126" t="s">
        <v>74</v>
      </c>
      <c r="AA126" t="s">
        <v>74</v>
      </c>
      <c r="AB126" t="s">
        <v>74</v>
      </c>
      <c r="AC126" t="s">
        <v>74</v>
      </c>
      <c r="AD126" t="s">
        <v>74</v>
      </c>
      <c r="AE126" t="s">
        <v>74</v>
      </c>
      <c r="AF126" t="s">
        <v>74</v>
      </c>
      <c r="AG126" t="s">
        <v>74</v>
      </c>
      <c r="AH126" t="s">
        <v>74</v>
      </c>
      <c r="AI126" t="s">
        <v>74</v>
      </c>
      <c r="AJ126" t="s">
        <v>74</v>
      </c>
      <c r="AK126" t="s">
        <v>74</v>
      </c>
      <c r="AL126" t="s">
        <v>74</v>
      </c>
      <c r="AM126" t="s">
        <v>74</v>
      </c>
      <c r="AN126" t="s">
        <v>74</v>
      </c>
      <c r="AO126" t="s">
        <v>3607</v>
      </c>
      <c r="AP126" t="s">
        <v>3608</v>
      </c>
      <c r="AQ126" t="s">
        <v>74</v>
      </c>
      <c r="AR126" t="s">
        <v>74</v>
      </c>
      <c r="AS126" t="s">
        <v>74</v>
      </c>
      <c r="AT126" t="s">
        <v>134</v>
      </c>
      <c r="AU126">
        <v>1989</v>
      </c>
      <c r="AV126">
        <v>69</v>
      </c>
      <c r="AW126">
        <v>2</v>
      </c>
      <c r="AX126" t="s">
        <v>74</v>
      </c>
      <c r="AY126" t="s">
        <v>74</v>
      </c>
      <c r="AZ126" t="s">
        <v>74</v>
      </c>
      <c r="BA126" t="s">
        <v>74</v>
      </c>
      <c r="BB126">
        <v>273</v>
      </c>
      <c r="BC126">
        <v>278</v>
      </c>
      <c r="BD126" t="s">
        <v>74</v>
      </c>
      <c r="BE126" t="s">
        <v>3609</v>
      </c>
      <c r="BF126" t="str">
        <f>HYPERLINK("http://dx.doi.org/10.1017/S0025315400029398","http://dx.doi.org/10.1017/S0025315400029398")</f>
        <v>http://dx.doi.org/10.1017/S0025315400029398</v>
      </c>
      <c r="BG126" t="s">
        <v>74</v>
      </c>
      <c r="BH126" t="s">
        <v>74</v>
      </c>
      <c r="BI126" t="s">
        <v>74</v>
      </c>
      <c r="BJ126" t="s">
        <v>74</v>
      </c>
      <c r="BK126" t="s">
        <v>74</v>
      </c>
      <c r="BL126" t="s">
        <v>74</v>
      </c>
      <c r="BM126" t="s">
        <v>74</v>
      </c>
      <c r="BN126" t="s">
        <v>74</v>
      </c>
      <c r="BO126" t="s">
        <v>74</v>
      </c>
      <c r="BP126" t="s">
        <v>74</v>
      </c>
      <c r="BQ126" t="s">
        <v>74</v>
      </c>
      <c r="BR126" t="s">
        <v>74</v>
      </c>
      <c r="BS126" t="s">
        <v>3610</v>
      </c>
      <c r="BT126" t="str">
        <f>HYPERLINK("https%3A%2F%2Fwww.webofscience.com%2Fwos%2Fwoscc%2Ffull-record%2FWOS:A1989AD16200003","View Full Record in Web of Science")</f>
        <v>View Full Record in Web of Science</v>
      </c>
    </row>
    <row r="127" spans="1:72" x14ac:dyDescent="0.4">
      <c r="A127" t="s">
        <v>72</v>
      </c>
      <c r="B127" t="s">
        <v>950</v>
      </c>
      <c r="C127" t="s">
        <v>74</v>
      </c>
      <c r="D127" t="s">
        <v>74</v>
      </c>
      <c r="E127" t="s">
        <v>74</v>
      </c>
      <c r="F127" t="s">
        <v>950</v>
      </c>
      <c r="G127" t="s">
        <v>74</v>
      </c>
      <c r="H127" t="s">
        <v>74</v>
      </c>
      <c r="I127" t="s">
        <v>951</v>
      </c>
      <c r="J127" t="s">
        <v>192</v>
      </c>
      <c r="K127" t="s">
        <v>74</v>
      </c>
      <c r="L127" t="s">
        <v>74</v>
      </c>
      <c r="M127" t="s">
        <v>74</v>
      </c>
      <c r="N127" t="s">
        <v>74</v>
      </c>
      <c r="O127" t="s">
        <v>952</v>
      </c>
      <c r="P127" t="s">
        <v>953</v>
      </c>
      <c r="Q127" t="s">
        <v>954</v>
      </c>
      <c r="R127" t="s">
        <v>74</v>
      </c>
      <c r="S127" t="s">
        <v>955</v>
      </c>
      <c r="T127" t="s">
        <v>74</v>
      </c>
      <c r="U127" t="s">
        <v>74</v>
      </c>
      <c r="V127" s="3" t="s">
        <v>956</v>
      </c>
      <c r="W127" t="s">
        <v>74</v>
      </c>
      <c r="X127" t="s">
        <v>74</v>
      </c>
      <c r="Y127" t="s">
        <v>74</v>
      </c>
      <c r="Z127" t="s">
        <v>74</v>
      </c>
      <c r="AA127" t="s">
        <v>74</v>
      </c>
      <c r="AB127" t="s">
        <v>74</v>
      </c>
      <c r="AC127" t="s">
        <v>74</v>
      </c>
      <c r="AD127" t="s">
        <v>74</v>
      </c>
      <c r="AE127" t="s">
        <v>74</v>
      </c>
      <c r="AF127" t="s">
        <v>74</v>
      </c>
      <c r="AG127" t="s">
        <v>74</v>
      </c>
      <c r="AH127" t="s">
        <v>74</v>
      </c>
      <c r="AI127" t="s">
        <v>74</v>
      </c>
      <c r="AJ127" t="s">
        <v>74</v>
      </c>
      <c r="AK127" t="s">
        <v>74</v>
      </c>
      <c r="AL127" t="s">
        <v>74</v>
      </c>
      <c r="AM127" t="s">
        <v>74</v>
      </c>
      <c r="AN127" t="s">
        <v>74</v>
      </c>
      <c r="AO127" t="s">
        <v>195</v>
      </c>
      <c r="AP127" t="s">
        <v>74</v>
      </c>
      <c r="AQ127" t="s">
        <v>74</v>
      </c>
      <c r="AR127" t="s">
        <v>74</v>
      </c>
      <c r="AS127" t="s">
        <v>74</v>
      </c>
      <c r="AT127" t="s">
        <v>957</v>
      </c>
      <c r="AU127">
        <v>1991</v>
      </c>
      <c r="AV127">
        <v>216</v>
      </c>
      <c r="AW127" t="s">
        <v>74</v>
      </c>
      <c r="AX127" t="s">
        <v>74</v>
      </c>
      <c r="AY127" t="s">
        <v>74</v>
      </c>
      <c r="AZ127" t="s">
        <v>74</v>
      </c>
      <c r="BA127" t="s">
        <v>74</v>
      </c>
      <c r="BB127">
        <v>533</v>
      </c>
      <c r="BC127">
        <v>537</v>
      </c>
      <c r="BD127" t="s">
        <v>74</v>
      </c>
      <c r="BE127" t="s">
        <v>958</v>
      </c>
      <c r="BF127" t="str">
        <f>HYPERLINK("http://dx.doi.org/10.1007/BF00026510","http://dx.doi.org/10.1007/BF00026510")</f>
        <v>http://dx.doi.org/10.1007/BF00026510</v>
      </c>
      <c r="BG127" t="s">
        <v>74</v>
      </c>
      <c r="BH127" t="s">
        <v>74</v>
      </c>
      <c r="BI127" t="s">
        <v>74</v>
      </c>
      <c r="BJ127" t="s">
        <v>74</v>
      </c>
      <c r="BK127" t="s">
        <v>74</v>
      </c>
      <c r="BL127" t="s">
        <v>74</v>
      </c>
      <c r="BM127" t="s">
        <v>74</v>
      </c>
      <c r="BN127" t="s">
        <v>74</v>
      </c>
      <c r="BO127" t="s">
        <v>74</v>
      </c>
      <c r="BP127" t="s">
        <v>74</v>
      </c>
      <c r="BQ127" t="s">
        <v>74</v>
      </c>
      <c r="BR127" t="s">
        <v>74</v>
      </c>
      <c r="BS127" t="s">
        <v>959</v>
      </c>
      <c r="BT127" t="str">
        <f>HYPERLINK("https%3A%2F%2Fwww.webofscience.com%2Fwos%2Fwoscc%2Ffull-record%2FWOS:A1991GP24400079","View Full Record in Web of Science")</f>
        <v>View Full Record in Web of Science</v>
      </c>
    </row>
    <row r="128" spans="1:72" x14ac:dyDescent="0.4">
      <c r="A128" t="s">
        <v>6684</v>
      </c>
      <c r="B128" t="s">
        <v>6685</v>
      </c>
      <c r="C128" t="s">
        <v>74</v>
      </c>
      <c r="D128" t="s">
        <v>6686</v>
      </c>
      <c r="E128" t="s">
        <v>74</v>
      </c>
      <c r="F128" t="s">
        <v>6685</v>
      </c>
      <c r="G128" t="s">
        <v>74</v>
      </c>
      <c r="H128" t="s">
        <v>74</v>
      </c>
      <c r="I128" t="s">
        <v>6687</v>
      </c>
      <c r="J128" t="s">
        <v>6688</v>
      </c>
      <c r="K128" t="s">
        <v>6689</v>
      </c>
      <c r="L128" t="s">
        <v>74</v>
      </c>
      <c r="M128" t="s">
        <v>74</v>
      </c>
      <c r="N128" t="s">
        <v>74</v>
      </c>
      <c r="O128" t="s">
        <v>6690</v>
      </c>
      <c r="P128" t="s">
        <v>6691</v>
      </c>
      <c r="Q128" t="s">
        <v>6692</v>
      </c>
      <c r="R128" t="s">
        <v>6693</v>
      </c>
      <c r="S128" t="s">
        <v>74</v>
      </c>
      <c r="T128" t="s">
        <v>74</v>
      </c>
      <c r="U128" t="s">
        <v>74</v>
      </c>
      <c r="V128" s="3" t="s">
        <v>6694</v>
      </c>
      <c r="W128" t="s">
        <v>74</v>
      </c>
      <c r="X128" t="s">
        <v>74</v>
      </c>
      <c r="Y128" t="s">
        <v>74</v>
      </c>
      <c r="Z128" t="s">
        <v>74</v>
      </c>
      <c r="AA128" t="s">
        <v>74</v>
      </c>
      <c r="AB128" t="s">
        <v>74</v>
      </c>
      <c r="AC128" t="s">
        <v>74</v>
      </c>
      <c r="AD128" t="s">
        <v>74</v>
      </c>
      <c r="AE128" t="s">
        <v>74</v>
      </c>
      <c r="AF128" t="s">
        <v>74</v>
      </c>
      <c r="AG128" t="s">
        <v>74</v>
      </c>
      <c r="AH128" t="s">
        <v>74</v>
      </c>
      <c r="AI128" t="s">
        <v>74</v>
      </c>
      <c r="AJ128" t="s">
        <v>74</v>
      </c>
      <c r="AK128" t="s">
        <v>74</v>
      </c>
      <c r="AL128" t="s">
        <v>74</v>
      </c>
      <c r="AM128" t="s">
        <v>74</v>
      </c>
      <c r="AN128" t="s">
        <v>74</v>
      </c>
      <c r="AO128" t="s">
        <v>6695</v>
      </c>
      <c r="AP128" t="s">
        <v>74</v>
      </c>
      <c r="AQ128" t="s">
        <v>6696</v>
      </c>
      <c r="AR128" t="s">
        <v>74</v>
      </c>
      <c r="AS128" t="s">
        <v>74</v>
      </c>
      <c r="AT128" t="s">
        <v>74</v>
      </c>
      <c r="AU128">
        <v>2004</v>
      </c>
      <c r="AV128">
        <v>1036</v>
      </c>
      <c r="AW128" t="s">
        <v>74</v>
      </c>
      <c r="AX128" t="s">
        <v>74</v>
      </c>
      <c r="AY128" t="s">
        <v>74</v>
      </c>
      <c r="AZ128" t="s">
        <v>74</v>
      </c>
      <c r="BA128" t="s">
        <v>74</v>
      </c>
      <c r="BB128">
        <v>85</v>
      </c>
      <c r="BC128">
        <v>105</v>
      </c>
      <c r="BD128" t="s">
        <v>74</v>
      </c>
      <c r="BE128" t="s">
        <v>6697</v>
      </c>
      <c r="BF128" t="str">
        <f>HYPERLINK("http://dx.doi.org/10.1196/annals.1330.005","http://dx.doi.org/10.1196/annals.1330.005")</f>
        <v>http://dx.doi.org/10.1196/annals.1330.005</v>
      </c>
      <c r="BG128" t="s">
        <v>74</v>
      </c>
      <c r="BH128" t="s">
        <v>74</v>
      </c>
      <c r="BI128" t="s">
        <v>74</v>
      </c>
      <c r="BJ128" t="s">
        <v>74</v>
      </c>
      <c r="BK128" t="s">
        <v>74</v>
      </c>
      <c r="BL128" t="s">
        <v>74</v>
      </c>
      <c r="BM128" t="s">
        <v>74</v>
      </c>
      <c r="BN128">
        <v>15817732</v>
      </c>
      <c r="BO128" t="s">
        <v>74</v>
      </c>
      <c r="BP128" t="s">
        <v>74</v>
      </c>
      <c r="BQ128" t="s">
        <v>74</v>
      </c>
      <c r="BR128" t="s">
        <v>74</v>
      </c>
      <c r="BS128" t="s">
        <v>6698</v>
      </c>
      <c r="BT128" t="str">
        <f>HYPERLINK("https%3A%2F%2Fwww.webofscience.com%2Fwos%2Fwoscc%2Ffull-record%2FWOS:000229993700006","View Full Record in Web of Science")</f>
        <v>View Full Record in Web of Science</v>
      </c>
    </row>
    <row r="129" spans="1:72" x14ac:dyDescent="0.4">
      <c r="A129" t="s">
        <v>72</v>
      </c>
      <c r="B129" t="s">
        <v>4270</v>
      </c>
      <c r="C129" t="s">
        <v>74</v>
      </c>
      <c r="D129" t="s">
        <v>74</v>
      </c>
      <c r="E129" t="s">
        <v>74</v>
      </c>
      <c r="F129" t="s">
        <v>4270</v>
      </c>
      <c r="G129" t="s">
        <v>74</v>
      </c>
      <c r="H129" t="s">
        <v>74</v>
      </c>
      <c r="I129" t="s">
        <v>4271</v>
      </c>
      <c r="J129" t="s">
        <v>1112</v>
      </c>
      <c r="K129" t="s">
        <v>74</v>
      </c>
      <c r="L129" t="s">
        <v>74</v>
      </c>
      <c r="M129" t="s">
        <v>74</v>
      </c>
      <c r="N129" t="s">
        <v>74</v>
      </c>
      <c r="O129" t="s">
        <v>74</v>
      </c>
      <c r="P129" t="s">
        <v>74</v>
      </c>
      <c r="Q129" t="s">
        <v>74</v>
      </c>
      <c r="R129" t="s">
        <v>74</v>
      </c>
      <c r="S129" t="s">
        <v>74</v>
      </c>
      <c r="T129" t="s">
        <v>74</v>
      </c>
      <c r="U129" t="s">
        <v>74</v>
      </c>
      <c r="V129" s="3" t="s">
        <v>4272</v>
      </c>
      <c r="W129" t="s">
        <v>74</v>
      </c>
      <c r="X129" t="s">
        <v>74</v>
      </c>
      <c r="Y129" t="s">
        <v>74</v>
      </c>
      <c r="Z129" t="s">
        <v>74</v>
      </c>
      <c r="AA129" t="s">
        <v>74</v>
      </c>
      <c r="AB129" t="s">
        <v>74</v>
      </c>
      <c r="AC129" t="s">
        <v>74</v>
      </c>
      <c r="AD129" t="s">
        <v>74</v>
      </c>
      <c r="AE129" t="s">
        <v>74</v>
      </c>
      <c r="AF129" t="s">
        <v>74</v>
      </c>
      <c r="AG129" t="s">
        <v>74</v>
      </c>
      <c r="AH129" t="s">
        <v>74</v>
      </c>
      <c r="AI129" t="s">
        <v>74</v>
      </c>
      <c r="AJ129" t="s">
        <v>74</v>
      </c>
      <c r="AK129" t="s">
        <v>74</v>
      </c>
      <c r="AL129" t="s">
        <v>74</v>
      </c>
      <c r="AM129" t="s">
        <v>74</v>
      </c>
      <c r="AN129" t="s">
        <v>74</v>
      </c>
      <c r="AO129" t="s">
        <v>1114</v>
      </c>
      <c r="AP129" t="s">
        <v>74</v>
      </c>
      <c r="AQ129" t="s">
        <v>74</v>
      </c>
      <c r="AR129" t="s">
        <v>74</v>
      </c>
      <c r="AS129" t="s">
        <v>74</v>
      </c>
      <c r="AT129" t="s">
        <v>352</v>
      </c>
      <c r="AU129">
        <v>1992</v>
      </c>
      <c r="AV129">
        <v>34</v>
      </c>
      <c r="AW129">
        <v>4</v>
      </c>
      <c r="AX129" t="s">
        <v>74</v>
      </c>
      <c r="AY129" t="s">
        <v>74</v>
      </c>
      <c r="AZ129" t="s">
        <v>74</v>
      </c>
      <c r="BA129" t="s">
        <v>74</v>
      </c>
      <c r="BB129">
        <v>359</v>
      </c>
      <c r="BC129">
        <v>363</v>
      </c>
      <c r="BD129" t="s">
        <v>74</v>
      </c>
      <c r="BE129" t="s">
        <v>4273</v>
      </c>
      <c r="BF129" t="str">
        <f>HYPERLINK("http://dx.doi.org/10.1016/S0168-1591(05)80095-4","http://dx.doi.org/10.1016/S0168-1591(05)80095-4")</f>
        <v>http://dx.doi.org/10.1016/S0168-1591(05)80095-4</v>
      </c>
      <c r="BG129" t="s">
        <v>74</v>
      </c>
      <c r="BH129" t="s">
        <v>74</v>
      </c>
      <c r="BI129" t="s">
        <v>74</v>
      </c>
      <c r="BJ129" t="s">
        <v>74</v>
      </c>
      <c r="BK129" t="s">
        <v>74</v>
      </c>
      <c r="BL129" t="s">
        <v>74</v>
      </c>
      <c r="BM129" t="s">
        <v>74</v>
      </c>
      <c r="BN129" t="s">
        <v>74</v>
      </c>
      <c r="BO129" t="s">
        <v>74</v>
      </c>
      <c r="BP129" t="s">
        <v>74</v>
      </c>
      <c r="BQ129" t="s">
        <v>74</v>
      </c>
      <c r="BR129" t="s">
        <v>74</v>
      </c>
      <c r="BS129" t="s">
        <v>4274</v>
      </c>
      <c r="BT129" t="str">
        <f>HYPERLINK("https%3A%2F%2Fwww.webofscience.com%2Fwos%2Fwoscc%2Ffull-record%2FWOS:A1992JL53300007","View Full Record in Web of Science")</f>
        <v>View Full Record in Web of Science</v>
      </c>
    </row>
    <row r="130" spans="1:72" x14ac:dyDescent="0.4">
      <c r="A130" t="s">
        <v>72</v>
      </c>
      <c r="B130" t="s">
        <v>3879</v>
      </c>
      <c r="C130" t="s">
        <v>74</v>
      </c>
      <c r="D130" t="s">
        <v>74</v>
      </c>
      <c r="E130" t="s">
        <v>74</v>
      </c>
      <c r="F130" t="s">
        <v>3879</v>
      </c>
      <c r="G130" t="s">
        <v>74</v>
      </c>
      <c r="H130" t="s">
        <v>74</v>
      </c>
      <c r="I130" t="s">
        <v>3880</v>
      </c>
      <c r="J130" t="s">
        <v>129</v>
      </c>
      <c r="K130" t="s">
        <v>74</v>
      </c>
      <c r="L130" t="s">
        <v>74</v>
      </c>
      <c r="M130" t="s">
        <v>74</v>
      </c>
      <c r="N130" t="s">
        <v>74</v>
      </c>
      <c r="O130" t="s">
        <v>74</v>
      </c>
      <c r="P130" t="s">
        <v>74</v>
      </c>
      <c r="Q130" t="s">
        <v>74</v>
      </c>
      <c r="R130" t="s">
        <v>74</v>
      </c>
      <c r="S130" t="s">
        <v>74</v>
      </c>
      <c r="T130" t="s">
        <v>74</v>
      </c>
      <c r="U130" t="s">
        <v>74</v>
      </c>
      <c r="V130" s="3" t="s">
        <v>3881</v>
      </c>
      <c r="W130" t="s">
        <v>74</v>
      </c>
      <c r="X130" t="s">
        <v>74</v>
      </c>
      <c r="Y130" t="s">
        <v>74</v>
      </c>
      <c r="Z130" t="s">
        <v>74</v>
      </c>
      <c r="AA130" t="s">
        <v>3882</v>
      </c>
      <c r="AB130" t="s">
        <v>3883</v>
      </c>
      <c r="AC130" t="s">
        <v>74</v>
      </c>
      <c r="AD130" t="s">
        <v>74</v>
      </c>
      <c r="AE130" t="s">
        <v>74</v>
      </c>
      <c r="AF130" t="s">
        <v>74</v>
      </c>
      <c r="AG130" t="s">
        <v>74</v>
      </c>
      <c r="AH130" t="s">
        <v>74</v>
      </c>
      <c r="AI130" t="s">
        <v>74</v>
      </c>
      <c r="AJ130" t="s">
        <v>74</v>
      </c>
      <c r="AK130" t="s">
        <v>74</v>
      </c>
      <c r="AL130" t="s">
        <v>74</v>
      </c>
      <c r="AM130" t="s">
        <v>74</v>
      </c>
      <c r="AN130" t="s">
        <v>74</v>
      </c>
      <c r="AO130" t="s">
        <v>132</v>
      </c>
      <c r="AP130" t="s">
        <v>74</v>
      </c>
      <c r="AQ130" t="s">
        <v>74</v>
      </c>
      <c r="AR130" t="s">
        <v>74</v>
      </c>
      <c r="AS130" t="s">
        <v>74</v>
      </c>
      <c r="AT130" t="s">
        <v>134</v>
      </c>
      <c r="AU130">
        <v>2000</v>
      </c>
      <c r="AV130">
        <v>47</v>
      </c>
      <c r="AW130">
        <v>6</v>
      </c>
      <c r="AX130" t="s">
        <v>74</v>
      </c>
      <c r="AY130" t="s">
        <v>74</v>
      </c>
      <c r="AZ130" t="s">
        <v>74</v>
      </c>
      <c r="BA130" t="s">
        <v>74</v>
      </c>
      <c r="BB130">
        <v>413</v>
      </c>
      <c r="BC130">
        <v>416</v>
      </c>
      <c r="BD130" t="s">
        <v>74</v>
      </c>
      <c r="BE130" t="s">
        <v>3884</v>
      </c>
      <c r="BF130" t="str">
        <f>HYPERLINK("http://dx.doi.org/10.1007/s002650050684","http://dx.doi.org/10.1007/s002650050684")</f>
        <v>http://dx.doi.org/10.1007/s002650050684</v>
      </c>
      <c r="BG130" t="s">
        <v>74</v>
      </c>
      <c r="BH130" t="s">
        <v>74</v>
      </c>
      <c r="BI130" t="s">
        <v>74</v>
      </c>
      <c r="BJ130" t="s">
        <v>74</v>
      </c>
      <c r="BK130" t="s">
        <v>74</v>
      </c>
      <c r="BL130" t="s">
        <v>74</v>
      </c>
      <c r="BM130" t="s">
        <v>74</v>
      </c>
      <c r="BN130" t="s">
        <v>74</v>
      </c>
      <c r="BO130" t="s">
        <v>74</v>
      </c>
      <c r="BP130" t="s">
        <v>74</v>
      </c>
      <c r="BQ130" t="s">
        <v>74</v>
      </c>
      <c r="BR130" t="s">
        <v>74</v>
      </c>
      <c r="BS130" t="s">
        <v>3885</v>
      </c>
      <c r="BT130" t="str">
        <f>HYPERLINK("https%3A%2F%2Fwww.webofscience.com%2Fwos%2Fwoscc%2Ffull-record%2FWOS:000087531600006","View Full Record in Web of Science")</f>
        <v>View Full Record in Web of Science</v>
      </c>
    </row>
    <row r="131" spans="1:72" x14ac:dyDescent="0.4">
      <c r="A131" t="s">
        <v>72</v>
      </c>
      <c r="B131" t="s">
        <v>7865</v>
      </c>
      <c r="C131" t="s">
        <v>74</v>
      </c>
      <c r="D131" t="s">
        <v>74</v>
      </c>
      <c r="E131" t="s">
        <v>74</v>
      </c>
      <c r="F131" t="s">
        <v>7866</v>
      </c>
      <c r="G131" t="s">
        <v>74</v>
      </c>
      <c r="H131" t="s">
        <v>74</v>
      </c>
      <c r="I131" t="s">
        <v>7867</v>
      </c>
      <c r="J131" t="s">
        <v>5937</v>
      </c>
      <c r="K131" t="s">
        <v>74</v>
      </c>
      <c r="L131" t="s">
        <v>74</v>
      </c>
      <c r="M131" t="s">
        <v>74</v>
      </c>
      <c r="N131" t="s">
        <v>74</v>
      </c>
      <c r="O131" t="s">
        <v>74</v>
      </c>
      <c r="P131" t="s">
        <v>74</v>
      </c>
      <c r="Q131" t="s">
        <v>74</v>
      </c>
      <c r="R131" t="s">
        <v>74</v>
      </c>
      <c r="S131" t="s">
        <v>74</v>
      </c>
      <c r="T131" t="s">
        <v>74</v>
      </c>
      <c r="U131" t="s">
        <v>74</v>
      </c>
      <c r="V131" s="3" t="s">
        <v>7868</v>
      </c>
      <c r="W131" t="s">
        <v>74</v>
      </c>
      <c r="X131" t="s">
        <v>74</v>
      </c>
      <c r="Y131" t="s">
        <v>74</v>
      </c>
      <c r="Z131" t="s">
        <v>74</v>
      </c>
      <c r="AA131" t="s">
        <v>74</v>
      </c>
      <c r="AB131" t="s">
        <v>74</v>
      </c>
      <c r="AC131" t="s">
        <v>74</v>
      </c>
      <c r="AD131" t="s">
        <v>74</v>
      </c>
      <c r="AE131" t="s">
        <v>74</v>
      </c>
      <c r="AF131" t="s">
        <v>74</v>
      </c>
      <c r="AG131" t="s">
        <v>74</v>
      </c>
      <c r="AH131" t="s">
        <v>74</v>
      </c>
      <c r="AI131" t="s">
        <v>74</v>
      </c>
      <c r="AJ131" t="s">
        <v>74</v>
      </c>
      <c r="AK131" t="s">
        <v>74</v>
      </c>
      <c r="AL131" t="s">
        <v>74</v>
      </c>
      <c r="AM131" t="s">
        <v>74</v>
      </c>
      <c r="AN131" t="s">
        <v>74</v>
      </c>
      <c r="AO131" t="s">
        <v>5941</v>
      </c>
      <c r="AP131" t="s">
        <v>74</v>
      </c>
      <c r="AQ131" t="s">
        <v>74</v>
      </c>
      <c r="AR131" t="s">
        <v>74</v>
      </c>
      <c r="AS131" t="s">
        <v>74</v>
      </c>
      <c r="AT131" t="s">
        <v>204</v>
      </c>
      <c r="AU131">
        <v>2021</v>
      </c>
      <c r="AV131">
        <v>11</v>
      </c>
      <c r="AW131">
        <v>7</v>
      </c>
      <c r="AX131" t="s">
        <v>74</v>
      </c>
      <c r="AY131" t="s">
        <v>74</v>
      </c>
      <c r="AZ131" t="s">
        <v>74</v>
      </c>
      <c r="BA131" t="s">
        <v>74</v>
      </c>
      <c r="BB131" t="s">
        <v>74</v>
      </c>
      <c r="BC131" t="s">
        <v>74</v>
      </c>
      <c r="BD131">
        <v>2070</v>
      </c>
      <c r="BE131" t="s">
        <v>7869</v>
      </c>
      <c r="BF131" t="str">
        <f>HYPERLINK("http://dx.doi.org/10.3390/ani11072070","http://dx.doi.org/10.3390/ani11072070")</f>
        <v>http://dx.doi.org/10.3390/ani11072070</v>
      </c>
      <c r="BG131" t="s">
        <v>74</v>
      </c>
      <c r="BH131" t="s">
        <v>74</v>
      </c>
      <c r="BI131" t="s">
        <v>74</v>
      </c>
      <c r="BJ131" t="s">
        <v>74</v>
      </c>
      <c r="BK131" t="s">
        <v>74</v>
      </c>
      <c r="BL131" t="s">
        <v>74</v>
      </c>
      <c r="BM131" t="s">
        <v>74</v>
      </c>
      <c r="BN131">
        <v>34359198</v>
      </c>
      <c r="BO131" t="s">
        <v>74</v>
      </c>
      <c r="BP131" t="s">
        <v>74</v>
      </c>
      <c r="BQ131" t="s">
        <v>74</v>
      </c>
      <c r="BR131" t="s">
        <v>74</v>
      </c>
      <c r="BS131" t="s">
        <v>7870</v>
      </c>
      <c r="BT131" t="str">
        <f>HYPERLINK("https%3A%2F%2Fwww.webofscience.com%2Fwos%2Fwoscc%2Ffull-record%2FWOS:000675936800001","View Full Record in Web of Science")</f>
        <v>View Full Record in Web of Science</v>
      </c>
    </row>
    <row r="132" spans="1:72" x14ac:dyDescent="0.4">
      <c r="A132" t="s">
        <v>72</v>
      </c>
      <c r="B132" t="s">
        <v>7359</v>
      </c>
      <c r="C132" t="s">
        <v>74</v>
      </c>
      <c r="D132" t="s">
        <v>74</v>
      </c>
      <c r="E132" t="s">
        <v>74</v>
      </c>
      <c r="F132" t="s">
        <v>7360</v>
      </c>
      <c r="G132" t="s">
        <v>74</v>
      </c>
      <c r="H132" t="s">
        <v>74</v>
      </c>
      <c r="I132" t="s">
        <v>7361</v>
      </c>
      <c r="J132" t="s">
        <v>882</v>
      </c>
      <c r="K132" t="s">
        <v>74</v>
      </c>
      <c r="L132" t="s">
        <v>74</v>
      </c>
      <c r="M132" t="s">
        <v>74</v>
      </c>
      <c r="N132" t="s">
        <v>74</v>
      </c>
      <c r="O132" t="s">
        <v>74</v>
      </c>
      <c r="P132" t="s">
        <v>74</v>
      </c>
      <c r="Q132" t="s">
        <v>74</v>
      </c>
      <c r="R132" t="s">
        <v>74</v>
      </c>
      <c r="S132" t="s">
        <v>74</v>
      </c>
      <c r="T132" t="s">
        <v>74</v>
      </c>
      <c r="U132" t="s">
        <v>74</v>
      </c>
      <c r="V132" s="3" t="s">
        <v>7362</v>
      </c>
      <c r="W132" t="s">
        <v>74</v>
      </c>
      <c r="X132" t="s">
        <v>74</v>
      </c>
      <c r="Y132" t="s">
        <v>74</v>
      </c>
      <c r="Z132" t="s">
        <v>74</v>
      </c>
      <c r="AA132" t="s">
        <v>7363</v>
      </c>
      <c r="AB132" t="s">
        <v>7364</v>
      </c>
      <c r="AC132" t="s">
        <v>74</v>
      </c>
      <c r="AD132" t="s">
        <v>74</v>
      </c>
      <c r="AE132" t="s">
        <v>74</v>
      </c>
      <c r="AF132" t="s">
        <v>74</v>
      </c>
      <c r="AG132" t="s">
        <v>74</v>
      </c>
      <c r="AH132" t="s">
        <v>74</v>
      </c>
      <c r="AI132" t="s">
        <v>74</v>
      </c>
      <c r="AJ132" t="s">
        <v>74</v>
      </c>
      <c r="AK132" t="s">
        <v>74</v>
      </c>
      <c r="AL132" t="s">
        <v>74</v>
      </c>
      <c r="AM132" t="s">
        <v>74</v>
      </c>
      <c r="AN132" t="s">
        <v>74</v>
      </c>
      <c r="AO132" t="s">
        <v>886</v>
      </c>
      <c r="AP132" t="s">
        <v>887</v>
      </c>
      <c r="AQ132" t="s">
        <v>74</v>
      </c>
      <c r="AR132" t="s">
        <v>74</v>
      </c>
      <c r="AS132" t="s">
        <v>74</v>
      </c>
      <c r="AT132" t="s">
        <v>74</v>
      </c>
      <c r="AU132">
        <v>2019</v>
      </c>
      <c r="AV132">
        <v>28</v>
      </c>
      <c r="AW132" t="s">
        <v>74</v>
      </c>
      <c r="AX132" t="s">
        <v>74</v>
      </c>
      <c r="AY132" t="s">
        <v>74</v>
      </c>
      <c r="AZ132" t="s">
        <v>74</v>
      </c>
      <c r="BA132" t="s">
        <v>74</v>
      </c>
      <c r="BB132">
        <v>127</v>
      </c>
      <c r="BC132">
        <v>136</v>
      </c>
      <c r="BD132" t="s">
        <v>74</v>
      </c>
      <c r="BE132" t="s">
        <v>7365</v>
      </c>
      <c r="BF132" t="str">
        <f>HYPERLINK("http://dx.doi.org/10.3354/ab00718","http://dx.doi.org/10.3354/ab00718")</f>
        <v>http://dx.doi.org/10.3354/ab00718</v>
      </c>
      <c r="BG132" t="s">
        <v>74</v>
      </c>
      <c r="BH132" t="s">
        <v>74</v>
      </c>
      <c r="BI132" t="s">
        <v>74</v>
      </c>
      <c r="BJ132" t="s">
        <v>74</v>
      </c>
      <c r="BK132" t="s">
        <v>74</v>
      </c>
      <c r="BL132" t="s">
        <v>74</v>
      </c>
      <c r="BM132" t="s">
        <v>74</v>
      </c>
      <c r="BN132" t="s">
        <v>74</v>
      </c>
      <c r="BO132" t="s">
        <v>74</v>
      </c>
      <c r="BP132" t="s">
        <v>74</v>
      </c>
      <c r="BQ132" t="s">
        <v>74</v>
      </c>
      <c r="BR132" t="s">
        <v>74</v>
      </c>
      <c r="BS132" t="s">
        <v>7366</v>
      </c>
      <c r="BT132" t="str">
        <f>HYPERLINK("https%3A%2F%2Fwww.webofscience.com%2Fwos%2Fwoscc%2Ffull-record%2FWOS:000518432200009","View Full Record in Web of Science")</f>
        <v>View Full Record in Web of Science</v>
      </c>
    </row>
    <row r="133" spans="1:72" x14ac:dyDescent="0.4">
      <c r="A133" t="s">
        <v>72</v>
      </c>
      <c r="B133" t="s">
        <v>148</v>
      </c>
      <c r="C133" t="s">
        <v>74</v>
      </c>
      <c r="D133" t="s">
        <v>74</v>
      </c>
      <c r="E133" t="s">
        <v>74</v>
      </c>
      <c r="F133" t="s">
        <v>149</v>
      </c>
      <c r="G133" t="s">
        <v>74</v>
      </c>
      <c r="H133" t="s">
        <v>74</v>
      </c>
      <c r="I133" t="s">
        <v>150</v>
      </c>
      <c r="J133" t="s">
        <v>151</v>
      </c>
      <c r="K133" t="s">
        <v>74</v>
      </c>
      <c r="L133" t="s">
        <v>74</v>
      </c>
      <c r="M133" t="s">
        <v>74</v>
      </c>
      <c r="N133" t="s">
        <v>74</v>
      </c>
      <c r="O133" t="s">
        <v>74</v>
      </c>
      <c r="P133" t="s">
        <v>74</v>
      </c>
      <c r="Q133" t="s">
        <v>74</v>
      </c>
      <c r="R133" t="s">
        <v>74</v>
      </c>
      <c r="S133" t="s">
        <v>74</v>
      </c>
      <c r="T133" t="s">
        <v>74</v>
      </c>
      <c r="U133" t="s">
        <v>74</v>
      </c>
      <c r="V133" s="3" t="s">
        <v>152</v>
      </c>
      <c r="W133" t="s">
        <v>74</v>
      </c>
      <c r="X133" t="s">
        <v>74</v>
      </c>
      <c r="Y133" t="s">
        <v>74</v>
      </c>
      <c r="Z133" t="s">
        <v>74</v>
      </c>
      <c r="AA133" t="s">
        <v>153</v>
      </c>
      <c r="AB133" t="s">
        <v>154</v>
      </c>
      <c r="AC133" t="s">
        <v>74</v>
      </c>
      <c r="AD133" t="s">
        <v>74</v>
      </c>
      <c r="AE133" t="s">
        <v>74</v>
      </c>
      <c r="AF133" t="s">
        <v>74</v>
      </c>
      <c r="AG133" t="s">
        <v>74</v>
      </c>
      <c r="AH133" t="s">
        <v>74</v>
      </c>
      <c r="AI133" t="s">
        <v>74</v>
      </c>
      <c r="AJ133" t="s">
        <v>74</v>
      </c>
      <c r="AK133" t="s">
        <v>74</v>
      </c>
      <c r="AL133" t="s">
        <v>74</v>
      </c>
      <c r="AM133" t="s">
        <v>74</v>
      </c>
      <c r="AN133" t="s">
        <v>74</v>
      </c>
      <c r="AO133" t="s">
        <v>155</v>
      </c>
      <c r="AP133" t="s">
        <v>156</v>
      </c>
      <c r="AQ133" t="s">
        <v>74</v>
      </c>
      <c r="AR133" t="s">
        <v>74</v>
      </c>
      <c r="AS133" t="s">
        <v>74</v>
      </c>
      <c r="AT133" t="s">
        <v>74</v>
      </c>
      <c r="AU133">
        <v>2014</v>
      </c>
      <c r="AV133">
        <v>504</v>
      </c>
      <c r="AW133" t="s">
        <v>74</v>
      </c>
      <c r="AX133" t="s">
        <v>74</v>
      </c>
      <c r="AY133" t="s">
        <v>74</v>
      </c>
      <c r="AZ133" t="s">
        <v>74</v>
      </c>
      <c r="BA133" t="s">
        <v>74</v>
      </c>
      <c r="BB133">
        <v>277</v>
      </c>
      <c r="BC133">
        <v>286</v>
      </c>
      <c r="BD133" t="s">
        <v>74</v>
      </c>
      <c r="BE133" t="s">
        <v>157</v>
      </c>
      <c r="BF133" t="str">
        <f>HYPERLINK("http://dx.doi.org/10.3354/meps10760","http://dx.doi.org/10.3354/meps10760")</f>
        <v>http://dx.doi.org/10.3354/meps10760</v>
      </c>
      <c r="BG133" t="s">
        <v>74</v>
      </c>
      <c r="BH133" t="s">
        <v>74</v>
      </c>
      <c r="BI133" t="s">
        <v>74</v>
      </c>
      <c r="BJ133" t="s">
        <v>74</v>
      </c>
      <c r="BK133" t="s">
        <v>74</v>
      </c>
      <c r="BL133" t="s">
        <v>74</v>
      </c>
      <c r="BM133" t="s">
        <v>74</v>
      </c>
      <c r="BN133" t="s">
        <v>74</v>
      </c>
      <c r="BO133" t="s">
        <v>74</v>
      </c>
      <c r="BP133" t="s">
        <v>74</v>
      </c>
      <c r="BQ133" t="s">
        <v>74</v>
      </c>
      <c r="BR133" t="s">
        <v>74</v>
      </c>
      <c r="BS133" t="s">
        <v>158</v>
      </c>
      <c r="BT133" t="str">
        <f>HYPERLINK("https%3A%2F%2Fwww.webofscience.com%2Fwos%2Fwoscc%2Ffull-record%2FWOS:000335963100021","View Full Record in Web of Science")</f>
        <v>View Full Record in Web of Science</v>
      </c>
    </row>
    <row r="134" spans="1:72" x14ac:dyDescent="0.4">
      <c r="A134" t="s">
        <v>72</v>
      </c>
      <c r="B134" t="s">
        <v>4220</v>
      </c>
      <c r="C134" t="s">
        <v>74</v>
      </c>
      <c r="D134" t="s">
        <v>74</v>
      </c>
      <c r="E134" t="s">
        <v>74</v>
      </c>
      <c r="F134" t="s">
        <v>4221</v>
      </c>
      <c r="G134" t="s">
        <v>74</v>
      </c>
      <c r="H134" t="s">
        <v>74</v>
      </c>
      <c r="I134" t="s">
        <v>4222</v>
      </c>
      <c r="J134" t="s">
        <v>1384</v>
      </c>
      <c r="K134" t="s">
        <v>74</v>
      </c>
      <c r="L134" t="s">
        <v>74</v>
      </c>
      <c r="M134" t="s">
        <v>74</v>
      </c>
      <c r="N134" t="s">
        <v>74</v>
      </c>
      <c r="O134" t="s">
        <v>74</v>
      </c>
      <c r="P134" t="s">
        <v>74</v>
      </c>
      <c r="Q134" t="s">
        <v>74</v>
      </c>
      <c r="R134" t="s">
        <v>74</v>
      </c>
      <c r="S134" t="s">
        <v>74</v>
      </c>
      <c r="T134" t="s">
        <v>74</v>
      </c>
      <c r="U134" t="s">
        <v>74</v>
      </c>
      <c r="V134" s="3" t="s">
        <v>4223</v>
      </c>
      <c r="W134" t="s">
        <v>74</v>
      </c>
      <c r="X134" t="s">
        <v>74</v>
      </c>
      <c r="Y134" t="s">
        <v>74</v>
      </c>
      <c r="Z134" t="s">
        <v>74</v>
      </c>
      <c r="AA134" t="s">
        <v>4224</v>
      </c>
      <c r="AB134" t="s">
        <v>74</v>
      </c>
      <c r="AC134" t="s">
        <v>74</v>
      </c>
      <c r="AD134" t="s">
        <v>74</v>
      </c>
      <c r="AE134" t="s">
        <v>74</v>
      </c>
      <c r="AF134" t="s">
        <v>74</v>
      </c>
      <c r="AG134" t="s">
        <v>74</v>
      </c>
      <c r="AH134" t="s">
        <v>74</v>
      </c>
      <c r="AI134" t="s">
        <v>74</v>
      </c>
      <c r="AJ134" t="s">
        <v>74</v>
      </c>
      <c r="AK134" t="s">
        <v>74</v>
      </c>
      <c r="AL134" t="s">
        <v>74</v>
      </c>
      <c r="AM134" t="s">
        <v>74</v>
      </c>
      <c r="AN134" t="s">
        <v>74</v>
      </c>
      <c r="AO134" t="s">
        <v>1388</v>
      </c>
      <c r="AP134" t="s">
        <v>74</v>
      </c>
      <c r="AQ134" t="s">
        <v>74</v>
      </c>
      <c r="AR134" t="s">
        <v>74</v>
      </c>
      <c r="AS134" t="s">
        <v>74</v>
      </c>
      <c r="AT134" t="s">
        <v>255</v>
      </c>
      <c r="AU134">
        <v>2013</v>
      </c>
      <c r="AV134">
        <v>155</v>
      </c>
      <c r="AW134">
        <v>1</v>
      </c>
      <c r="AX134" t="s">
        <v>74</v>
      </c>
      <c r="AY134" t="s">
        <v>74</v>
      </c>
      <c r="AZ134" t="s">
        <v>74</v>
      </c>
      <c r="BA134" t="s">
        <v>74</v>
      </c>
      <c r="BB134">
        <v>189</v>
      </c>
      <c r="BC134">
        <v>193</v>
      </c>
      <c r="BD134" t="s">
        <v>74</v>
      </c>
      <c r="BE134" t="s">
        <v>4225</v>
      </c>
      <c r="BF134" t="str">
        <f>HYPERLINK("http://dx.doi.org/10.1111/j.1474-919X.2012.01264.x","http://dx.doi.org/10.1111/j.1474-919X.2012.01264.x")</f>
        <v>http://dx.doi.org/10.1111/j.1474-919X.2012.01264.x</v>
      </c>
      <c r="BG134" t="s">
        <v>74</v>
      </c>
      <c r="BH134" t="s">
        <v>74</v>
      </c>
      <c r="BI134" t="s">
        <v>74</v>
      </c>
      <c r="BJ134" t="s">
        <v>74</v>
      </c>
      <c r="BK134" t="s">
        <v>74</v>
      </c>
      <c r="BL134" t="s">
        <v>74</v>
      </c>
      <c r="BM134" t="s">
        <v>74</v>
      </c>
      <c r="BN134" t="s">
        <v>74</v>
      </c>
      <c r="BO134" t="s">
        <v>74</v>
      </c>
      <c r="BP134" t="s">
        <v>74</v>
      </c>
      <c r="BQ134" t="s">
        <v>74</v>
      </c>
      <c r="BR134" t="s">
        <v>74</v>
      </c>
      <c r="BS134" t="s">
        <v>4226</v>
      </c>
      <c r="BT134" t="str">
        <f>HYPERLINK("https%3A%2F%2Fwww.webofscience.com%2Fwos%2Fwoscc%2Ffull-record%2FWOS:000316326600017","View Full Record in Web of Science")</f>
        <v>View Full Record in Web of Science</v>
      </c>
    </row>
    <row r="135" spans="1:72" x14ac:dyDescent="0.4">
      <c r="A135" t="s">
        <v>72</v>
      </c>
      <c r="B135" t="s">
        <v>3260</v>
      </c>
      <c r="C135" t="s">
        <v>74</v>
      </c>
      <c r="D135" t="s">
        <v>74</v>
      </c>
      <c r="E135" t="s">
        <v>74</v>
      </c>
      <c r="F135" t="s">
        <v>3261</v>
      </c>
      <c r="G135" t="s">
        <v>74</v>
      </c>
      <c r="H135" t="s">
        <v>74</v>
      </c>
      <c r="I135" t="s">
        <v>3262</v>
      </c>
      <c r="J135" t="s">
        <v>576</v>
      </c>
      <c r="K135" t="s">
        <v>74</v>
      </c>
      <c r="L135" t="s">
        <v>74</v>
      </c>
      <c r="M135" t="s">
        <v>74</v>
      </c>
      <c r="N135" t="s">
        <v>74</v>
      </c>
      <c r="O135" t="s">
        <v>74</v>
      </c>
      <c r="P135" t="s">
        <v>74</v>
      </c>
      <c r="Q135" t="s">
        <v>74</v>
      </c>
      <c r="R135" t="s">
        <v>74</v>
      </c>
      <c r="S135" t="s">
        <v>74</v>
      </c>
      <c r="T135" t="s">
        <v>74</v>
      </c>
      <c r="U135" t="s">
        <v>74</v>
      </c>
      <c r="V135" s="3" t="s">
        <v>3263</v>
      </c>
      <c r="W135" t="s">
        <v>74</v>
      </c>
      <c r="X135" t="s">
        <v>74</v>
      </c>
      <c r="Y135" t="s">
        <v>74</v>
      </c>
      <c r="Z135" t="s">
        <v>74</v>
      </c>
      <c r="AA135" t="s">
        <v>3264</v>
      </c>
      <c r="AB135" t="s">
        <v>434</v>
      </c>
      <c r="AC135" t="s">
        <v>74</v>
      </c>
      <c r="AD135" t="s">
        <v>74</v>
      </c>
      <c r="AE135" t="s">
        <v>74</v>
      </c>
      <c r="AF135" t="s">
        <v>74</v>
      </c>
      <c r="AG135" t="s">
        <v>74</v>
      </c>
      <c r="AH135" t="s">
        <v>74</v>
      </c>
      <c r="AI135" t="s">
        <v>74</v>
      </c>
      <c r="AJ135" t="s">
        <v>74</v>
      </c>
      <c r="AK135" t="s">
        <v>74</v>
      </c>
      <c r="AL135" t="s">
        <v>74</v>
      </c>
      <c r="AM135" t="s">
        <v>74</v>
      </c>
      <c r="AN135" t="s">
        <v>74</v>
      </c>
      <c r="AO135" t="s">
        <v>579</v>
      </c>
      <c r="AP135" t="s">
        <v>580</v>
      </c>
      <c r="AQ135" t="s">
        <v>74</v>
      </c>
      <c r="AR135" t="s">
        <v>74</v>
      </c>
      <c r="AS135" t="s">
        <v>74</v>
      </c>
      <c r="AT135" t="s">
        <v>213</v>
      </c>
      <c r="AU135">
        <v>2013</v>
      </c>
      <c r="AV135">
        <v>27</v>
      </c>
      <c r="AW135">
        <v>6</v>
      </c>
      <c r="AX135" t="s">
        <v>74</v>
      </c>
      <c r="AY135" t="s">
        <v>74</v>
      </c>
      <c r="AZ135" t="s">
        <v>74</v>
      </c>
      <c r="BA135" t="s">
        <v>74</v>
      </c>
      <c r="BB135">
        <v>1189</v>
      </c>
      <c r="BC135">
        <v>1198</v>
      </c>
      <c r="BD135" t="s">
        <v>74</v>
      </c>
      <c r="BE135" t="s">
        <v>3265</v>
      </c>
      <c r="BF135" t="str">
        <f>HYPERLINK("http://dx.doi.org/10.1007/s10682-013-9651-1","http://dx.doi.org/10.1007/s10682-013-9651-1")</f>
        <v>http://dx.doi.org/10.1007/s10682-013-9651-1</v>
      </c>
      <c r="BG135" t="s">
        <v>74</v>
      </c>
      <c r="BH135" t="s">
        <v>74</v>
      </c>
      <c r="BI135" t="s">
        <v>74</v>
      </c>
      <c r="BJ135" t="s">
        <v>74</v>
      </c>
      <c r="BK135" t="s">
        <v>74</v>
      </c>
      <c r="BL135" t="s">
        <v>74</v>
      </c>
      <c r="BM135" t="s">
        <v>74</v>
      </c>
      <c r="BN135" t="s">
        <v>74</v>
      </c>
      <c r="BO135" t="s">
        <v>74</v>
      </c>
      <c r="BP135" t="s">
        <v>74</v>
      </c>
      <c r="BQ135" t="s">
        <v>74</v>
      </c>
      <c r="BR135" t="s">
        <v>74</v>
      </c>
      <c r="BS135" t="s">
        <v>3266</v>
      </c>
      <c r="BT135" t="str">
        <f>HYPERLINK("https%3A%2F%2Fwww.webofscience.com%2Fwos%2Fwoscc%2Ffull-record%2FWOS:000326897500010","View Full Record in Web of Science")</f>
        <v>View Full Record in Web of Science</v>
      </c>
    </row>
    <row r="136" spans="1:72" x14ac:dyDescent="0.4">
      <c r="A136" t="s">
        <v>72</v>
      </c>
      <c r="B136" t="s">
        <v>7578</v>
      </c>
      <c r="C136" t="s">
        <v>74</v>
      </c>
      <c r="D136" t="s">
        <v>74</v>
      </c>
      <c r="E136" t="s">
        <v>74</v>
      </c>
      <c r="F136" t="s">
        <v>7579</v>
      </c>
      <c r="G136" t="s">
        <v>74</v>
      </c>
      <c r="H136" t="s">
        <v>74</v>
      </c>
      <c r="I136" t="s">
        <v>7580</v>
      </c>
      <c r="J136" t="s">
        <v>6899</v>
      </c>
      <c r="K136" t="s">
        <v>74</v>
      </c>
      <c r="L136" t="s">
        <v>74</v>
      </c>
      <c r="M136" t="s">
        <v>74</v>
      </c>
      <c r="N136" t="s">
        <v>74</v>
      </c>
      <c r="O136" t="s">
        <v>74</v>
      </c>
      <c r="P136" t="s">
        <v>74</v>
      </c>
      <c r="Q136" t="s">
        <v>74</v>
      </c>
      <c r="R136" t="s">
        <v>74</v>
      </c>
      <c r="S136" t="s">
        <v>74</v>
      </c>
      <c r="T136" t="s">
        <v>74</v>
      </c>
      <c r="U136" t="s">
        <v>74</v>
      </c>
      <c r="V136" s="3" t="s">
        <v>7581</v>
      </c>
      <c r="W136" t="s">
        <v>74</v>
      </c>
      <c r="X136" t="s">
        <v>74</v>
      </c>
      <c r="Y136" t="s">
        <v>74</v>
      </c>
      <c r="Z136" t="s">
        <v>74</v>
      </c>
      <c r="AA136" t="s">
        <v>7582</v>
      </c>
      <c r="AB136" t="s">
        <v>7583</v>
      </c>
      <c r="AC136" t="s">
        <v>74</v>
      </c>
      <c r="AD136" t="s">
        <v>74</v>
      </c>
      <c r="AE136" t="s">
        <v>74</v>
      </c>
      <c r="AF136" t="s">
        <v>74</v>
      </c>
      <c r="AG136" t="s">
        <v>74</v>
      </c>
      <c r="AH136" t="s">
        <v>74</v>
      </c>
      <c r="AI136" t="s">
        <v>74</v>
      </c>
      <c r="AJ136" t="s">
        <v>74</v>
      </c>
      <c r="AK136" t="s">
        <v>74</v>
      </c>
      <c r="AL136" t="s">
        <v>74</v>
      </c>
      <c r="AM136" t="s">
        <v>74</v>
      </c>
      <c r="AN136" t="s">
        <v>74</v>
      </c>
      <c r="AO136" t="s">
        <v>6903</v>
      </c>
      <c r="AP136" t="s">
        <v>7584</v>
      </c>
      <c r="AQ136" t="s">
        <v>74</v>
      </c>
      <c r="AR136" t="s">
        <v>74</v>
      </c>
      <c r="AS136" t="s">
        <v>74</v>
      </c>
      <c r="AT136" t="s">
        <v>213</v>
      </c>
      <c r="AU136">
        <v>2009</v>
      </c>
      <c r="AV136">
        <v>133</v>
      </c>
      <c r="AW136">
        <v>2</v>
      </c>
      <c r="AX136" t="s">
        <v>74</v>
      </c>
      <c r="AY136" t="s">
        <v>74</v>
      </c>
      <c r="AZ136" t="s">
        <v>74</v>
      </c>
      <c r="BA136" t="s">
        <v>74</v>
      </c>
      <c r="BB136">
        <v>165</v>
      </c>
      <c r="BC136">
        <v>173</v>
      </c>
      <c r="BD136" t="s">
        <v>74</v>
      </c>
      <c r="BE136" t="s">
        <v>7585</v>
      </c>
      <c r="BF136" t="str">
        <f>HYPERLINK("http://dx.doi.org/10.1111/j.1570-7458.2009.00913.x","http://dx.doi.org/10.1111/j.1570-7458.2009.00913.x")</f>
        <v>http://dx.doi.org/10.1111/j.1570-7458.2009.00913.x</v>
      </c>
      <c r="BG136" t="s">
        <v>74</v>
      </c>
      <c r="BH136" t="s">
        <v>74</v>
      </c>
      <c r="BI136" t="s">
        <v>74</v>
      </c>
      <c r="BJ136" t="s">
        <v>74</v>
      </c>
      <c r="BK136" t="s">
        <v>74</v>
      </c>
      <c r="BL136" t="s">
        <v>74</v>
      </c>
      <c r="BM136" t="s">
        <v>74</v>
      </c>
      <c r="BN136" t="s">
        <v>74</v>
      </c>
      <c r="BO136" t="s">
        <v>74</v>
      </c>
      <c r="BP136" t="s">
        <v>74</v>
      </c>
      <c r="BQ136" t="s">
        <v>74</v>
      </c>
      <c r="BR136" t="s">
        <v>74</v>
      </c>
      <c r="BS136" t="s">
        <v>7586</v>
      </c>
      <c r="BT136" t="str">
        <f>HYPERLINK("https%3A%2F%2Fwww.webofscience.com%2Fwos%2Fwoscc%2Ffull-record%2FWOS:000270648800007","View Full Record in Web of Science")</f>
        <v>View Full Record in Web of Science</v>
      </c>
    </row>
    <row r="137" spans="1:72" x14ac:dyDescent="0.4">
      <c r="A137" t="s">
        <v>72</v>
      </c>
      <c r="B137" t="s">
        <v>8306</v>
      </c>
      <c r="C137" t="s">
        <v>74</v>
      </c>
      <c r="D137" t="s">
        <v>74</v>
      </c>
      <c r="E137" t="s">
        <v>74</v>
      </c>
      <c r="F137" t="s">
        <v>8306</v>
      </c>
      <c r="G137" t="s">
        <v>74</v>
      </c>
      <c r="H137" t="s">
        <v>74</v>
      </c>
      <c r="I137" t="s">
        <v>8307</v>
      </c>
      <c r="J137" t="s">
        <v>140</v>
      </c>
      <c r="K137" t="s">
        <v>74</v>
      </c>
      <c r="L137" t="s">
        <v>74</v>
      </c>
      <c r="M137" t="s">
        <v>74</v>
      </c>
      <c r="N137" t="s">
        <v>74</v>
      </c>
      <c r="O137" t="s">
        <v>74</v>
      </c>
      <c r="P137" t="s">
        <v>74</v>
      </c>
      <c r="Q137" t="s">
        <v>74</v>
      </c>
      <c r="R137" t="s">
        <v>74</v>
      </c>
      <c r="S137" t="s">
        <v>74</v>
      </c>
      <c r="T137" t="s">
        <v>74</v>
      </c>
      <c r="U137" t="s">
        <v>74</v>
      </c>
      <c r="V137" s="3" t="s">
        <v>8308</v>
      </c>
      <c r="W137" t="s">
        <v>74</v>
      </c>
      <c r="X137" t="s">
        <v>74</v>
      </c>
      <c r="Y137" t="s">
        <v>74</v>
      </c>
      <c r="Z137" t="s">
        <v>74</v>
      </c>
      <c r="AA137" t="s">
        <v>74</v>
      </c>
      <c r="AB137" t="s">
        <v>74</v>
      </c>
      <c r="AC137" t="s">
        <v>74</v>
      </c>
      <c r="AD137" t="s">
        <v>74</v>
      </c>
      <c r="AE137" t="s">
        <v>74</v>
      </c>
      <c r="AF137" t="s">
        <v>74</v>
      </c>
      <c r="AG137" t="s">
        <v>74</v>
      </c>
      <c r="AH137" t="s">
        <v>74</v>
      </c>
      <c r="AI137" t="s">
        <v>74</v>
      </c>
      <c r="AJ137" t="s">
        <v>74</v>
      </c>
      <c r="AK137" t="s">
        <v>74</v>
      </c>
      <c r="AL137" t="s">
        <v>74</v>
      </c>
      <c r="AM137" t="s">
        <v>74</v>
      </c>
      <c r="AN137" t="s">
        <v>74</v>
      </c>
      <c r="AO137" t="s">
        <v>143</v>
      </c>
      <c r="AP137" t="s">
        <v>74</v>
      </c>
      <c r="AQ137" t="s">
        <v>74</v>
      </c>
      <c r="AR137" t="s">
        <v>74</v>
      </c>
      <c r="AS137" t="s">
        <v>74</v>
      </c>
      <c r="AT137" t="s">
        <v>145</v>
      </c>
      <c r="AU137">
        <v>2002</v>
      </c>
      <c r="AV137">
        <v>64</v>
      </c>
      <c r="AW137" t="s">
        <v>74</v>
      </c>
      <c r="AX137">
        <v>2</v>
      </c>
      <c r="AY137" t="s">
        <v>74</v>
      </c>
      <c r="AZ137" t="s">
        <v>74</v>
      </c>
      <c r="BA137" t="s">
        <v>74</v>
      </c>
      <c r="BB137">
        <v>207</v>
      </c>
      <c r="BC137">
        <v>213</v>
      </c>
      <c r="BD137" t="s">
        <v>74</v>
      </c>
      <c r="BE137" t="s">
        <v>8309</v>
      </c>
      <c r="BF137" t="str">
        <f>HYPERLINK("http://dx.doi.org/10.1006/anbe.2002.3042","http://dx.doi.org/10.1006/anbe.2002.3042")</f>
        <v>http://dx.doi.org/10.1006/anbe.2002.3042</v>
      </c>
      <c r="BG137" t="s">
        <v>74</v>
      </c>
      <c r="BH137" t="s">
        <v>74</v>
      </c>
      <c r="BI137" t="s">
        <v>74</v>
      </c>
      <c r="BJ137" t="s">
        <v>74</v>
      </c>
      <c r="BK137" t="s">
        <v>74</v>
      </c>
      <c r="BL137" t="s">
        <v>74</v>
      </c>
      <c r="BM137" t="s">
        <v>74</v>
      </c>
      <c r="BN137" t="s">
        <v>74</v>
      </c>
      <c r="BO137" t="s">
        <v>74</v>
      </c>
      <c r="BP137" t="s">
        <v>74</v>
      </c>
      <c r="BQ137" t="s">
        <v>74</v>
      </c>
      <c r="BR137" t="s">
        <v>74</v>
      </c>
      <c r="BS137" t="s">
        <v>8310</v>
      </c>
      <c r="BT137" t="str">
        <f>HYPERLINK("https%3A%2F%2Fwww.webofscience.com%2Fwos%2Fwoscc%2Ffull-record%2FWOS:000179248600006","View Full Record in Web of Science")</f>
        <v>View Full Record in Web of Science</v>
      </c>
    </row>
    <row r="138" spans="1:72" x14ac:dyDescent="0.4">
      <c r="A138" t="s">
        <v>72</v>
      </c>
      <c r="B138" t="s">
        <v>5827</v>
      </c>
      <c r="C138" t="s">
        <v>74</v>
      </c>
      <c r="D138" t="s">
        <v>74</v>
      </c>
      <c r="E138" t="s">
        <v>74</v>
      </c>
      <c r="F138" t="s">
        <v>5827</v>
      </c>
      <c r="G138" t="s">
        <v>74</v>
      </c>
      <c r="H138" t="s">
        <v>74</v>
      </c>
      <c r="I138" t="s">
        <v>5828</v>
      </c>
      <c r="J138" t="s">
        <v>5829</v>
      </c>
      <c r="K138" t="s">
        <v>74</v>
      </c>
      <c r="L138" t="s">
        <v>74</v>
      </c>
      <c r="M138" t="s">
        <v>74</v>
      </c>
      <c r="N138" t="s">
        <v>74</v>
      </c>
      <c r="O138" t="s">
        <v>74</v>
      </c>
      <c r="P138" t="s">
        <v>74</v>
      </c>
      <c r="Q138" t="s">
        <v>74</v>
      </c>
      <c r="R138" t="s">
        <v>74</v>
      </c>
      <c r="S138" t="s">
        <v>74</v>
      </c>
      <c r="T138" t="s">
        <v>74</v>
      </c>
      <c r="U138" t="s">
        <v>74</v>
      </c>
      <c r="V138" s="3" t="s">
        <v>5830</v>
      </c>
      <c r="W138" t="s">
        <v>74</v>
      </c>
      <c r="X138" t="s">
        <v>74</v>
      </c>
      <c r="Y138" t="s">
        <v>74</v>
      </c>
      <c r="Z138" t="s">
        <v>74</v>
      </c>
      <c r="AA138" t="s">
        <v>5831</v>
      </c>
      <c r="AB138" t="s">
        <v>5832</v>
      </c>
      <c r="AC138" t="s">
        <v>74</v>
      </c>
      <c r="AD138" t="s">
        <v>74</v>
      </c>
      <c r="AE138" t="s">
        <v>74</v>
      </c>
      <c r="AF138" t="s">
        <v>74</v>
      </c>
      <c r="AG138" t="s">
        <v>74</v>
      </c>
      <c r="AH138" t="s">
        <v>74</v>
      </c>
      <c r="AI138" t="s">
        <v>74</v>
      </c>
      <c r="AJ138" t="s">
        <v>74</v>
      </c>
      <c r="AK138" t="s">
        <v>74</v>
      </c>
      <c r="AL138" t="s">
        <v>74</v>
      </c>
      <c r="AM138" t="s">
        <v>74</v>
      </c>
      <c r="AN138" t="s">
        <v>74</v>
      </c>
      <c r="AO138" t="s">
        <v>5833</v>
      </c>
      <c r="AP138" t="s">
        <v>74</v>
      </c>
      <c r="AQ138" t="s">
        <v>74</v>
      </c>
      <c r="AR138" t="s">
        <v>74</v>
      </c>
      <c r="AS138" t="s">
        <v>74</v>
      </c>
      <c r="AT138" t="s">
        <v>633</v>
      </c>
      <c r="AU138">
        <v>1999</v>
      </c>
      <c r="AV138">
        <v>34</v>
      </c>
      <c r="AW138">
        <v>2</v>
      </c>
      <c r="AX138" t="s">
        <v>74</v>
      </c>
      <c r="AY138" t="s">
        <v>74</v>
      </c>
      <c r="AZ138" t="s">
        <v>74</v>
      </c>
      <c r="BA138" t="s">
        <v>74</v>
      </c>
      <c r="BB138">
        <v>48</v>
      </c>
      <c r="BC138">
        <v>52</v>
      </c>
      <c r="BD138" t="s">
        <v>74</v>
      </c>
      <c r="BE138" t="s">
        <v>74</v>
      </c>
      <c r="BF138" t="s">
        <v>74</v>
      </c>
      <c r="BG138" t="s">
        <v>74</v>
      </c>
      <c r="BH138" t="s">
        <v>74</v>
      </c>
      <c r="BI138" t="s">
        <v>74</v>
      </c>
      <c r="BJ138" t="s">
        <v>74</v>
      </c>
      <c r="BK138" t="s">
        <v>74</v>
      </c>
      <c r="BL138" t="s">
        <v>74</v>
      </c>
      <c r="BM138" t="s">
        <v>74</v>
      </c>
      <c r="BN138" t="s">
        <v>74</v>
      </c>
      <c r="BO138" t="s">
        <v>74</v>
      </c>
      <c r="BP138" t="s">
        <v>74</v>
      </c>
      <c r="BQ138" t="s">
        <v>74</v>
      </c>
      <c r="BR138" t="s">
        <v>74</v>
      </c>
      <c r="BS138" t="s">
        <v>5834</v>
      </c>
      <c r="BT138" t="str">
        <f>HYPERLINK("https%3A%2F%2Fwww.webofscience.com%2Fwos%2Fwoscc%2Ffull-record%2FWOS:000080718600002","View Full Record in Web of Science")</f>
        <v>View Full Record in Web of Science</v>
      </c>
    </row>
    <row r="139" spans="1:72" x14ac:dyDescent="0.4">
      <c r="A139" t="s">
        <v>72</v>
      </c>
      <c r="B139" t="s">
        <v>1862</v>
      </c>
      <c r="C139" t="s">
        <v>74</v>
      </c>
      <c r="D139" t="s">
        <v>74</v>
      </c>
      <c r="E139" t="s">
        <v>74</v>
      </c>
      <c r="F139" t="s">
        <v>1863</v>
      </c>
      <c r="G139" t="s">
        <v>74</v>
      </c>
      <c r="H139" t="s">
        <v>74</v>
      </c>
      <c r="I139" t="s">
        <v>1864</v>
      </c>
      <c r="J139" t="s">
        <v>77</v>
      </c>
      <c r="K139" t="s">
        <v>74</v>
      </c>
      <c r="L139" t="s">
        <v>74</v>
      </c>
      <c r="M139" t="s">
        <v>74</v>
      </c>
      <c r="N139" t="s">
        <v>74</v>
      </c>
      <c r="O139" t="s">
        <v>74</v>
      </c>
      <c r="P139" t="s">
        <v>74</v>
      </c>
      <c r="Q139" t="s">
        <v>74</v>
      </c>
      <c r="R139" t="s">
        <v>74</v>
      </c>
      <c r="S139" t="s">
        <v>74</v>
      </c>
      <c r="T139" t="s">
        <v>74</v>
      </c>
      <c r="U139" t="s">
        <v>74</v>
      </c>
      <c r="V139" s="3" t="s">
        <v>1865</v>
      </c>
      <c r="W139" t="s">
        <v>74</v>
      </c>
      <c r="X139" t="s">
        <v>74</v>
      </c>
      <c r="Y139" t="s">
        <v>74</v>
      </c>
      <c r="Z139" t="s">
        <v>74</v>
      </c>
      <c r="AA139" t="s">
        <v>74</v>
      </c>
      <c r="AB139" t="s">
        <v>74</v>
      </c>
      <c r="AC139" t="s">
        <v>74</v>
      </c>
      <c r="AD139" t="s">
        <v>74</v>
      </c>
      <c r="AE139" t="s">
        <v>74</v>
      </c>
      <c r="AF139" t="s">
        <v>74</v>
      </c>
      <c r="AG139" t="s">
        <v>74</v>
      </c>
      <c r="AH139" t="s">
        <v>74</v>
      </c>
      <c r="AI139" t="s">
        <v>74</v>
      </c>
      <c r="AJ139" t="s">
        <v>74</v>
      </c>
      <c r="AK139" t="s">
        <v>74</v>
      </c>
      <c r="AL139" t="s">
        <v>74</v>
      </c>
      <c r="AM139" t="s">
        <v>74</v>
      </c>
      <c r="AN139" t="s">
        <v>74</v>
      </c>
      <c r="AO139" t="s">
        <v>81</v>
      </c>
      <c r="AP139" t="s">
        <v>82</v>
      </c>
      <c r="AQ139" t="s">
        <v>74</v>
      </c>
      <c r="AR139" t="s">
        <v>74</v>
      </c>
      <c r="AS139" t="s">
        <v>74</v>
      </c>
      <c r="AT139" t="s">
        <v>74</v>
      </c>
      <c r="AU139">
        <v>2018</v>
      </c>
      <c r="AV139">
        <v>155</v>
      </c>
      <c r="AW139">
        <v>6</v>
      </c>
      <c r="AX139" t="s">
        <v>74</v>
      </c>
      <c r="AY139" t="s">
        <v>74</v>
      </c>
      <c r="AZ139" t="s">
        <v>74</v>
      </c>
      <c r="BA139" t="s">
        <v>74</v>
      </c>
      <c r="BB139">
        <v>443</v>
      </c>
      <c r="BC139">
        <v>463</v>
      </c>
      <c r="BD139" t="s">
        <v>74</v>
      </c>
      <c r="BE139" t="s">
        <v>1866</v>
      </c>
      <c r="BF139" t="str">
        <f>HYPERLINK("http://dx.doi.org/10.1163/1568539X-00003498","http://dx.doi.org/10.1163/1568539X-00003498")</f>
        <v>http://dx.doi.org/10.1163/1568539X-00003498</v>
      </c>
      <c r="BG139" t="s">
        <v>74</v>
      </c>
      <c r="BH139" t="s">
        <v>74</v>
      </c>
      <c r="BI139" t="s">
        <v>74</v>
      </c>
      <c r="BJ139" t="s">
        <v>74</v>
      </c>
      <c r="BK139" t="s">
        <v>74</v>
      </c>
      <c r="BL139" t="s">
        <v>74</v>
      </c>
      <c r="BM139" t="s">
        <v>74</v>
      </c>
      <c r="BN139" t="s">
        <v>74</v>
      </c>
      <c r="BO139" t="s">
        <v>74</v>
      </c>
      <c r="BP139" t="s">
        <v>74</v>
      </c>
      <c r="BQ139" t="s">
        <v>74</v>
      </c>
      <c r="BR139" t="s">
        <v>74</v>
      </c>
      <c r="BS139" t="s">
        <v>1867</v>
      </c>
      <c r="BT139" t="str">
        <f>HYPERLINK("https%3A%2F%2Fwww.webofscience.com%2Fwos%2Fwoscc%2Ffull-record%2FWOS:000437348800001","View Full Record in Web of Science")</f>
        <v>View Full Record in Web of Science</v>
      </c>
    </row>
    <row r="140" spans="1:72" x14ac:dyDescent="0.4">
      <c r="A140" t="s">
        <v>72</v>
      </c>
      <c r="B140" t="s">
        <v>8497</v>
      </c>
      <c r="C140" t="s">
        <v>74</v>
      </c>
      <c r="D140" t="s">
        <v>74</v>
      </c>
      <c r="E140" t="s">
        <v>74</v>
      </c>
      <c r="F140" t="s">
        <v>8498</v>
      </c>
      <c r="G140" t="s">
        <v>74</v>
      </c>
      <c r="H140" t="s">
        <v>74</v>
      </c>
      <c r="I140" t="s">
        <v>8499</v>
      </c>
      <c r="J140" t="s">
        <v>1656</v>
      </c>
      <c r="K140" t="s">
        <v>74</v>
      </c>
      <c r="L140" t="s">
        <v>74</v>
      </c>
      <c r="M140" t="s">
        <v>74</v>
      </c>
      <c r="N140" t="s">
        <v>74</v>
      </c>
      <c r="O140" t="s">
        <v>74</v>
      </c>
      <c r="P140" t="s">
        <v>74</v>
      </c>
      <c r="Q140" t="s">
        <v>74</v>
      </c>
      <c r="R140" t="s">
        <v>74</v>
      </c>
      <c r="S140" t="s">
        <v>74</v>
      </c>
      <c r="T140" t="s">
        <v>74</v>
      </c>
      <c r="U140" t="s">
        <v>74</v>
      </c>
      <c r="V140" s="3" t="s">
        <v>8500</v>
      </c>
      <c r="W140" t="s">
        <v>74</v>
      </c>
      <c r="X140" t="s">
        <v>74</v>
      </c>
      <c r="Y140" t="s">
        <v>74</v>
      </c>
      <c r="Z140" t="s">
        <v>74</v>
      </c>
      <c r="AA140" t="s">
        <v>8501</v>
      </c>
      <c r="AB140" t="s">
        <v>8502</v>
      </c>
      <c r="AC140" t="s">
        <v>74</v>
      </c>
      <c r="AD140" t="s">
        <v>74</v>
      </c>
      <c r="AE140" t="s">
        <v>74</v>
      </c>
      <c r="AF140" t="s">
        <v>74</v>
      </c>
      <c r="AG140" t="s">
        <v>74</v>
      </c>
      <c r="AH140" t="s">
        <v>74</v>
      </c>
      <c r="AI140" t="s">
        <v>74</v>
      </c>
      <c r="AJ140" t="s">
        <v>74</v>
      </c>
      <c r="AK140" t="s">
        <v>74</v>
      </c>
      <c r="AL140" t="s">
        <v>74</v>
      </c>
      <c r="AM140" t="s">
        <v>74</v>
      </c>
      <c r="AN140" t="s">
        <v>74</v>
      </c>
      <c r="AO140" t="s">
        <v>1658</v>
      </c>
      <c r="AP140" t="s">
        <v>1659</v>
      </c>
      <c r="AQ140" t="s">
        <v>74</v>
      </c>
      <c r="AR140" t="s">
        <v>74</v>
      </c>
      <c r="AS140" t="s">
        <v>74</v>
      </c>
      <c r="AT140" t="s">
        <v>5768</v>
      </c>
      <c r="AU140">
        <v>2011</v>
      </c>
      <c r="AV140" t="s">
        <v>74</v>
      </c>
      <c r="AW140">
        <v>3083</v>
      </c>
      <c r="AX140" t="s">
        <v>74</v>
      </c>
      <c r="AY140" t="s">
        <v>74</v>
      </c>
      <c r="AZ140" t="s">
        <v>74</v>
      </c>
      <c r="BA140" t="s">
        <v>74</v>
      </c>
      <c r="BB140">
        <v>1</v>
      </c>
      <c r="BC140">
        <v>120</v>
      </c>
      <c r="BD140" t="s">
        <v>74</v>
      </c>
      <c r="BE140" t="s">
        <v>74</v>
      </c>
      <c r="BF140" t="s">
        <v>74</v>
      </c>
      <c r="BG140" t="s">
        <v>74</v>
      </c>
      <c r="BH140" t="s">
        <v>74</v>
      </c>
      <c r="BI140" t="s">
        <v>74</v>
      </c>
      <c r="BJ140" t="s">
        <v>74</v>
      </c>
      <c r="BK140" t="s">
        <v>74</v>
      </c>
      <c r="BL140" t="s">
        <v>74</v>
      </c>
      <c r="BM140" t="s">
        <v>74</v>
      </c>
      <c r="BN140" t="s">
        <v>74</v>
      </c>
      <c r="BO140" t="s">
        <v>74</v>
      </c>
      <c r="BP140" t="s">
        <v>74</v>
      </c>
      <c r="BQ140" t="s">
        <v>74</v>
      </c>
      <c r="BR140" t="s">
        <v>74</v>
      </c>
      <c r="BS140" t="s">
        <v>8503</v>
      </c>
      <c r="BT140" t="str">
        <f>HYPERLINK("https%3A%2F%2Fwww.webofscience.com%2Fwos%2Fwoscc%2Ffull-record%2FWOS:000296876100001","View Full Record in Web of Science")</f>
        <v>View Full Record in Web of Science</v>
      </c>
    </row>
    <row r="141" spans="1:72" x14ac:dyDescent="0.4">
      <c r="A141" t="s">
        <v>72</v>
      </c>
      <c r="B141" t="s">
        <v>2240</v>
      </c>
      <c r="C141" t="s">
        <v>74</v>
      </c>
      <c r="D141" t="s">
        <v>74</v>
      </c>
      <c r="E141" t="s">
        <v>74</v>
      </c>
      <c r="F141" t="s">
        <v>2240</v>
      </c>
      <c r="G141" t="s">
        <v>74</v>
      </c>
      <c r="H141" t="s">
        <v>74</v>
      </c>
      <c r="I141" t="s">
        <v>2241</v>
      </c>
      <c r="J141" t="s">
        <v>367</v>
      </c>
      <c r="K141" t="s">
        <v>74</v>
      </c>
      <c r="L141" t="s">
        <v>74</v>
      </c>
      <c r="M141" t="s">
        <v>74</v>
      </c>
      <c r="N141" t="s">
        <v>74</v>
      </c>
      <c r="O141" t="s">
        <v>74</v>
      </c>
      <c r="P141" t="s">
        <v>74</v>
      </c>
      <c r="Q141" t="s">
        <v>74</v>
      </c>
      <c r="R141" t="s">
        <v>74</v>
      </c>
      <c r="S141" t="s">
        <v>74</v>
      </c>
      <c r="T141" t="s">
        <v>74</v>
      </c>
      <c r="U141" t="s">
        <v>74</v>
      </c>
      <c r="V141" s="3" t="s">
        <v>2242</v>
      </c>
      <c r="W141" t="s">
        <v>74</v>
      </c>
      <c r="X141" t="s">
        <v>74</v>
      </c>
      <c r="Y141" t="s">
        <v>74</v>
      </c>
      <c r="Z141" t="s">
        <v>74</v>
      </c>
      <c r="AA141" t="s">
        <v>74</v>
      </c>
      <c r="AB141" t="s">
        <v>74</v>
      </c>
      <c r="AC141" t="s">
        <v>74</v>
      </c>
      <c r="AD141" t="s">
        <v>74</v>
      </c>
      <c r="AE141" t="s">
        <v>74</v>
      </c>
      <c r="AF141" t="s">
        <v>74</v>
      </c>
      <c r="AG141" t="s">
        <v>74</v>
      </c>
      <c r="AH141" t="s">
        <v>74</v>
      </c>
      <c r="AI141" t="s">
        <v>74</v>
      </c>
      <c r="AJ141" t="s">
        <v>74</v>
      </c>
      <c r="AK141" t="s">
        <v>74</v>
      </c>
      <c r="AL141" t="s">
        <v>74</v>
      </c>
      <c r="AM141" t="s">
        <v>74</v>
      </c>
      <c r="AN141" t="s">
        <v>74</v>
      </c>
      <c r="AO141" t="s">
        <v>371</v>
      </c>
      <c r="AP141" t="s">
        <v>74</v>
      </c>
      <c r="AQ141" t="s">
        <v>74</v>
      </c>
      <c r="AR141" t="s">
        <v>74</v>
      </c>
      <c r="AS141" t="s">
        <v>74</v>
      </c>
      <c r="AT141" t="s">
        <v>352</v>
      </c>
      <c r="AU141">
        <v>1992</v>
      </c>
      <c r="AV141">
        <v>106</v>
      </c>
      <c r="AW141">
        <v>3</v>
      </c>
      <c r="AX141" t="s">
        <v>74</v>
      </c>
      <c r="AY141" t="s">
        <v>74</v>
      </c>
      <c r="AZ141" t="s">
        <v>74</v>
      </c>
      <c r="BA141" t="s">
        <v>74</v>
      </c>
      <c r="BB141">
        <v>203</v>
      </c>
      <c r="BC141">
        <v>216</v>
      </c>
      <c r="BD141" t="s">
        <v>74</v>
      </c>
      <c r="BE141" t="s">
        <v>2243</v>
      </c>
      <c r="BF141" t="str">
        <f>HYPERLINK("http://dx.doi.org/10.1037/0735-7036.106.3.203","http://dx.doi.org/10.1037/0735-7036.106.3.203")</f>
        <v>http://dx.doi.org/10.1037/0735-7036.106.3.203</v>
      </c>
      <c r="BG141" t="s">
        <v>74</v>
      </c>
      <c r="BH141" t="s">
        <v>74</v>
      </c>
      <c r="BI141" t="s">
        <v>74</v>
      </c>
      <c r="BJ141" t="s">
        <v>74</v>
      </c>
      <c r="BK141" t="s">
        <v>74</v>
      </c>
      <c r="BL141" t="s">
        <v>74</v>
      </c>
      <c r="BM141" t="s">
        <v>74</v>
      </c>
      <c r="BN141">
        <v>1395490</v>
      </c>
      <c r="BO141" t="s">
        <v>74</v>
      </c>
      <c r="BP141" t="s">
        <v>74</v>
      </c>
      <c r="BQ141" t="s">
        <v>74</v>
      </c>
      <c r="BR141" t="s">
        <v>74</v>
      </c>
      <c r="BS141" t="s">
        <v>2244</v>
      </c>
      <c r="BT141" t="str">
        <f>HYPERLINK("https%3A%2F%2Fwww.webofscience.com%2Fwos%2Fwoscc%2Ffull-record%2FWOS:A1992JK69600001","View Full Record in Web of Science")</f>
        <v>View Full Record in Web of Science</v>
      </c>
    </row>
    <row r="142" spans="1:72" x14ac:dyDescent="0.4">
      <c r="A142" t="s">
        <v>72</v>
      </c>
      <c r="B142" t="s">
        <v>643</v>
      </c>
      <c r="C142" t="s">
        <v>74</v>
      </c>
      <c r="D142" t="s">
        <v>74</v>
      </c>
      <c r="E142" t="s">
        <v>74</v>
      </c>
      <c r="F142" t="s">
        <v>644</v>
      </c>
      <c r="G142" t="s">
        <v>74</v>
      </c>
      <c r="H142" t="s">
        <v>74</v>
      </c>
      <c r="I142" t="s">
        <v>645</v>
      </c>
      <c r="J142" t="s">
        <v>129</v>
      </c>
      <c r="K142" t="s">
        <v>74</v>
      </c>
      <c r="L142" t="s">
        <v>74</v>
      </c>
      <c r="M142" t="s">
        <v>74</v>
      </c>
      <c r="N142" t="s">
        <v>74</v>
      </c>
      <c r="O142" t="s">
        <v>74</v>
      </c>
      <c r="P142" t="s">
        <v>74</v>
      </c>
      <c r="Q142" t="s">
        <v>74</v>
      </c>
      <c r="R142" t="s">
        <v>74</v>
      </c>
      <c r="S142" t="s">
        <v>74</v>
      </c>
      <c r="T142" t="s">
        <v>74</v>
      </c>
      <c r="U142" t="s">
        <v>74</v>
      </c>
      <c r="V142" s="3" t="s">
        <v>646</v>
      </c>
      <c r="W142" t="s">
        <v>74</v>
      </c>
      <c r="X142" t="s">
        <v>74</v>
      </c>
      <c r="Y142" t="s">
        <v>74</v>
      </c>
      <c r="Z142" t="s">
        <v>74</v>
      </c>
      <c r="AA142" t="s">
        <v>647</v>
      </c>
      <c r="AB142" t="s">
        <v>648</v>
      </c>
      <c r="AC142" t="s">
        <v>74</v>
      </c>
      <c r="AD142" t="s">
        <v>74</v>
      </c>
      <c r="AE142" t="s">
        <v>74</v>
      </c>
      <c r="AF142" t="s">
        <v>74</v>
      </c>
      <c r="AG142" t="s">
        <v>74</v>
      </c>
      <c r="AH142" t="s">
        <v>74</v>
      </c>
      <c r="AI142" t="s">
        <v>74</v>
      </c>
      <c r="AJ142" t="s">
        <v>74</v>
      </c>
      <c r="AK142" t="s">
        <v>74</v>
      </c>
      <c r="AL142" t="s">
        <v>74</v>
      </c>
      <c r="AM142" t="s">
        <v>74</v>
      </c>
      <c r="AN142" t="s">
        <v>74</v>
      </c>
      <c r="AO142" t="s">
        <v>132</v>
      </c>
      <c r="AP142" t="s">
        <v>133</v>
      </c>
      <c r="AQ142" t="s">
        <v>74</v>
      </c>
      <c r="AR142" t="s">
        <v>74</v>
      </c>
      <c r="AS142" t="s">
        <v>74</v>
      </c>
      <c r="AT142" t="s">
        <v>102</v>
      </c>
      <c r="AU142">
        <v>2019</v>
      </c>
      <c r="AV142">
        <v>73</v>
      </c>
      <c r="AW142">
        <v>6</v>
      </c>
      <c r="AX142" t="s">
        <v>74</v>
      </c>
      <c r="AY142" t="s">
        <v>74</v>
      </c>
      <c r="AZ142" t="s">
        <v>74</v>
      </c>
      <c r="BA142" t="s">
        <v>74</v>
      </c>
      <c r="BB142" t="s">
        <v>74</v>
      </c>
      <c r="BC142" t="s">
        <v>74</v>
      </c>
      <c r="BD142">
        <v>72</v>
      </c>
      <c r="BE142" t="s">
        <v>649</v>
      </c>
      <c r="BF142" t="str">
        <f>HYPERLINK("http://dx.doi.org/10.1007/s00265-019-2673-0","http://dx.doi.org/10.1007/s00265-019-2673-0")</f>
        <v>http://dx.doi.org/10.1007/s00265-019-2673-0</v>
      </c>
      <c r="BG142" t="s">
        <v>74</v>
      </c>
      <c r="BH142" t="s">
        <v>74</v>
      </c>
      <c r="BI142" t="s">
        <v>74</v>
      </c>
      <c r="BJ142" t="s">
        <v>74</v>
      </c>
      <c r="BK142" t="s">
        <v>74</v>
      </c>
      <c r="BL142" t="s">
        <v>74</v>
      </c>
      <c r="BM142" t="s">
        <v>74</v>
      </c>
      <c r="BN142" t="s">
        <v>74</v>
      </c>
      <c r="BO142" t="s">
        <v>74</v>
      </c>
      <c r="BP142" t="s">
        <v>74</v>
      </c>
      <c r="BQ142" t="s">
        <v>74</v>
      </c>
      <c r="BR142" t="s">
        <v>74</v>
      </c>
      <c r="BS142" t="s">
        <v>650</v>
      </c>
      <c r="BT142" t="str">
        <f>HYPERLINK("https%3A%2F%2Fwww.webofscience.com%2Fwos%2Fwoscc%2Ffull-record%2FWOS:000467390400001","View Full Record in Web of Science")</f>
        <v>View Full Record in Web of Science</v>
      </c>
    </row>
    <row r="143" spans="1:72" x14ac:dyDescent="0.4">
      <c r="A143" t="s">
        <v>72</v>
      </c>
      <c r="B143" t="s">
        <v>2879</v>
      </c>
      <c r="C143" t="s">
        <v>74</v>
      </c>
      <c r="D143" t="s">
        <v>74</v>
      </c>
      <c r="E143" t="s">
        <v>74</v>
      </c>
      <c r="F143" t="s">
        <v>2879</v>
      </c>
      <c r="G143" t="s">
        <v>74</v>
      </c>
      <c r="H143" t="s">
        <v>74</v>
      </c>
      <c r="I143" t="s">
        <v>2880</v>
      </c>
      <c r="J143" t="s">
        <v>1526</v>
      </c>
      <c r="K143" t="s">
        <v>74</v>
      </c>
      <c r="L143" t="s">
        <v>74</v>
      </c>
      <c r="M143" t="s">
        <v>74</v>
      </c>
      <c r="N143" t="s">
        <v>74</v>
      </c>
      <c r="O143" t="s">
        <v>74</v>
      </c>
      <c r="P143" t="s">
        <v>74</v>
      </c>
      <c r="Q143" t="s">
        <v>74</v>
      </c>
      <c r="R143" t="s">
        <v>74</v>
      </c>
      <c r="S143" t="s">
        <v>74</v>
      </c>
      <c r="T143" t="s">
        <v>74</v>
      </c>
      <c r="U143" t="s">
        <v>74</v>
      </c>
      <c r="V143" s="3" t="s">
        <v>2881</v>
      </c>
      <c r="W143" t="s">
        <v>74</v>
      </c>
      <c r="X143" t="s">
        <v>74</v>
      </c>
      <c r="Y143" t="s">
        <v>74</v>
      </c>
      <c r="Z143" t="s">
        <v>74</v>
      </c>
      <c r="AA143" t="s">
        <v>2882</v>
      </c>
      <c r="AB143" t="s">
        <v>2883</v>
      </c>
      <c r="AC143" t="s">
        <v>74</v>
      </c>
      <c r="AD143" t="s">
        <v>74</v>
      </c>
      <c r="AE143" t="s">
        <v>74</v>
      </c>
      <c r="AF143" t="s">
        <v>74</v>
      </c>
      <c r="AG143" t="s">
        <v>74</v>
      </c>
      <c r="AH143" t="s">
        <v>74</v>
      </c>
      <c r="AI143" t="s">
        <v>74</v>
      </c>
      <c r="AJ143" t="s">
        <v>74</v>
      </c>
      <c r="AK143" t="s">
        <v>74</v>
      </c>
      <c r="AL143" t="s">
        <v>74</v>
      </c>
      <c r="AM143" t="s">
        <v>74</v>
      </c>
      <c r="AN143" t="s">
        <v>74</v>
      </c>
      <c r="AO143" t="s">
        <v>1528</v>
      </c>
      <c r="AP143" t="s">
        <v>74</v>
      </c>
      <c r="AQ143" t="s">
        <v>74</v>
      </c>
      <c r="AR143" t="s">
        <v>74</v>
      </c>
      <c r="AS143" t="s">
        <v>74</v>
      </c>
      <c r="AT143" t="s">
        <v>134</v>
      </c>
      <c r="AU143">
        <v>2001</v>
      </c>
      <c r="AV143">
        <v>103</v>
      </c>
      <c r="AW143">
        <v>2</v>
      </c>
      <c r="AX143" t="s">
        <v>74</v>
      </c>
      <c r="AY143" t="s">
        <v>74</v>
      </c>
      <c r="AZ143" t="s">
        <v>74</v>
      </c>
      <c r="BA143" t="s">
        <v>74</v>
      </c>
      <c r="BB143">
        <v>248</v>
      </c>
      <c r="BC143">
        <v>258</v>
      </c>
      <c r="BD143" t="s">
        <v>74</v>
      </c>
      <c r="BE143" t="s">
        <v>2884</v>
      </c>
      <c r="BF143" t="str">
        <f>HYPERLINK("http://dx.doi.org/10.1650/0010-5422(2001)103[0248:PRIBMP]2.0.CO;2","http://dx.doi.org/10.1650/0010-5422(2001)103[0248:PRIBMP]2.0.CO;2")</f>
        <v>http://dx.doi.org/10.1650/0010-5422(2001)103[0248:PRIBMP]2.0.CO;2</v>
      </c>
      <c r="BG143" t="s">
        <v>74</v>
      </c>
      <c r="BH143" t="s">
        <v>74</v>
      </c>
      <c r="BI143" t="s">
        <v>74</v>
      </c>
      <c r="BJ143" t="s">
        <v>74</v>
      </c>
      <c r="BK143" t="s">
        <v>74</v>
      </c>
      <c r="BL143" t="s">
        <v>74</v>
      </c>
      <c r="BM143" t="s">
        <v>74</v>
      </c>
      <c r="BN143" t="s">
        <v>74</v>
      </c>
      <c r="BO143" t="s">
        <v>74</v>
      </c>
      <c r="BP143" t="s">
        <v>74</v>
      </c>
      <c r="BQ143" t="s">
        <v>74</v>
      </c>
      <c r="BR143" t="s">
        <v>74</v>
      </c>
      <c r="BS143" t="s">
        <v>2885</v>
      </c>
      <c r="BT143" t="str">
        <f>HYPERLINK("https%3A%2F%2Fwww.webofscience.com%2Fwos%2Fwoscc%2Ffull-record%2FWOS:000168569600005","View Full Record in Web of Science")</f>
        <v>View Full Record in Web of Science</v>
      </c>
    </row>
    <row r="144" spans="1:72" x14ac:dyDescent="0.4">
      <c r="A144" t="s">
        <v>72</v>
      </c>
      <c r="B144" t="s">
        <v>1069</v>
      </c>
      <c r="C144" t="s">
        <v>74</v>
      </c>
      <c r="D144" t="s">
        <v>74</v>
      </c>
      <c r="E144" t="s">
        <v>74</v>
      </c>
      <c r="F144" t="s">
        <v>1070</v>
      </c>
      <c r="G144" t="s">
        <v>74</v>
      </c>
      <c r="H144" t="s">
        <v>74</v>
      </c>
      <c r="I144" t="s">
        <v>1071</v>
      </c>
      <c r="J144" t="s">
        <v>229</v>
      </c>
      <c r="K144" t="s">
        <v>74</v>
      </c>
      <c r="L144" t="s">
        <v>74</v>
      </c>
      <c r="M144" t="s">
        <v>74</v>
      </c>
      <c r="N144" t="s">
        <v>74</v>
      </c>
      <c r="O144" t="s">
        <v>74</v>
      </c>
      <c r="P144" t="s">
        <v>74</v>
      </c>
      <c r="Q144" t="s">
        <v>74</v>
      </c>
      <c r="R144" t="s">
        <v>74</v>
      </c>
      <c r="S144" t="s">
        <v>74</v>
      </c>
      <c r="T144" t="s">
        <v>74</v>
      </c>
      <c r="U144" t="s">
        <v>74</v>
      </c>
      <c r="V144" s="3" t="s">
        <v>1072</v>
      </c>
      <c r="W144" t="s">
        <v>74</v>
      </c>
      <c r="X144" t="s">
        <v>74</v>
      </c>
      <c r="Y144" t="s">
        <v>74</v>
      </c>
      <c r="Z144" t="s">
        <v>74</v>
      </c>
      <c r="AA144" t="s">
        <v>1073</v>
      </c>
      <c r="AB144" t="s">
        <v>1074</v>
      </c>
      <c r="AC144" t="s">
        <v>74</v>
      </c>
      <c r="AD144" t="s">
        <v>74</v>
      </c>
      <c r="AE144" t="s">
        <v>74</v>
      </c>
      <c r="AF144" t="s">
        <v>74</v>
      </c>
      <c r="AG144" t="s">
        <v>74</v>
      </c>
      <c r="AH144" t="s">
        <v>74</v>
      </c>
      <c r="AI144" t="s">
        <v>74</v>
      </c>
      <c r="AJ144" t="s">
        <v>74</v>
      </c>
      <c r="AK144" t="s">
        <v>74</v>
      </c>
      <c r="AL144" t="s">
        <v>74</v>
      </c>
      <c r="AM144" t="s">
        <v>74</v>
      </c>
      <c r="AN144" t="s">
        <v>74</v>
      </c>
      <c r="AO144" t="s">
        <v>233</v>
      </c>
      <c r="AP144" t="s">
        <v>234</v>
      </c>
      <c r="AQ144" t="s">
        <v>74</v>
      </c>
      <c r="AR144" t="s">
        <v>74</v>
      </c>
      <c r="AS144" t="s">
        <v>74</v>
      </c>
      <c r="AT144" t="s">
        <v>1075</v>
      </c>
      <c r="AU144">
        <v>2018</v>
      </c>
      <c r="AV144">
        <v>44</v>
      </c>
      <c r="AW144">
        <v>6</v>
      </c>
      <c r="AX144" t="s">
        <v>74</v>
      </c>
      <c r="AY144" t="s">
        <v>74</v>
      </c>
      <c r="AZ144" t="s">
        <v>74</v>
      </c>
      <c r="BA144" t="s">
        <v>74</v>
      </c>
      <c r="BB144">
        <v>624</v>
      </c>
      <c r="BC144">
        <v>637</v>
      </c>
      <c r="BD144" t="s">
        <v>74</v>
      </c>
      <c r="BE144" t="s">
        <v>1076</v>
      </c>
      <c r="BF144" t="str">
        <f>HYPERLINK("http://dx.doi.org/10.1002/ab.21787","http://dx.doi.org/10.1002/ab.21787")</f>
        <v>http://dx.doi.org/10.1002/ab.21787</v>
      </c>
      <c r="BG144" t="s">
        <v>74</v>
      </c>
      <c r="BH144" t="s">
        <v>74</v>
      </c>
      <c r="BI144" t="s">
        <v>74</v>
      </c>
      <c r="BJ144" t="s">
        <v>74</v>
      </c>
      <c r="BK144" t="s">
        <v>74</v>
      </c>
      <c r="BL144" t="s">
        <v>74</v>
      </c>
      <c r="BM144" t="s">
        <v>74</v>
      </c>
      <c r="BN144">
        <v>30141188</v>
      </c>
      <c r="BO144" t="s">
        <v>74</v>
      </c>
      <c r="BP144" t="s">
        <v>74</v>
      </c>
      <c r="BQ144" t="s">
        <v>74</v>
      </c>
      <c r="BR144" t="s">
        <v>74</v>
      </c>
      <c r="BS144" t="s">
        <v>1077</v>
      </c>
      <c r="BT144" t="str">
        <f>HYPERLINK("https%3A%2F%2Fwww.webofscience.com%2Fwos%2Fwoscc%2Ffull-record%2FWOS:000446552400008","View Full Record in Web of Science")</f>
        <v>View Full Record in Web of Science</v>
      </c>
    </row>
    <row r="145" spans="1:72" x14ac:dyDescent="0.4">
      <c r="A145" t="s">
        <v>72</v>
      </c>
      <c r="B145" t="s">
        <v>2601</v>
      </c>
      <c r="C145" t="s">
        <v>74</v>
      </c>
      <c r="D145" t="s">
        <v>74</v>
      </c>
      <c r="E145" t="s">
        <v>74</v>
      </c>
      <c r="F145" t="s">
        <v>2601</v>
      </c>
      <c r="G145" t="s">
        <v>74</v>
      </c>
      <c r="H145" t="s">
        <v>74</v>
      </c>
      <c r="I145" t="s">
        <v>2602</v>
      </c>
      <c r="J145" t="s">
        <v>281</v>
      </c>
      <c r="K145" t="s">
        <v>74</v>
      </c>
      <c r="L145" t="s">
        <v>74</v>
      </c>
      <c r="M145" t="s">
        <v>74</v>
      </c>
      <c r="N145" t="s">
        <v>74</v>
      </c>
      <c r="O145" t="s">
        <v>74</v>
      </c>
      <c r="P145" t="s">
        <v>74</v>
      </c>
      <c r="Q145" t="s">
        <v>74</v>
      </c>
      <c r="R145" t="s">
        <v>74</v>
      </c>
      <c r="S145" t="s">
        <v>74</v>
      </c>
      <c r="T145" t="s">
        <v>74</v>
      </c>
      <c r="U145" t="s">
        <v>74</v>
      </c>
      <c r="V145" s="3" t="s">
        <v>2603</v>
      </c>
      <c r="W145" t="s">
        <v>74</v>
      </c>
      <c r="X145" t="s">
        <v>74</v>
      </c>
      <c r="Y145" t="s">
        <v>74</v>
      </c>
      <c r="Z145" t="s">
        <v>74</v>
      </c>
      <c r="AA145" t="s">
        <v>2604</v>
      </c>
      <c r="AB145" t="s">
        <v>2605</v>
      </c>
      <c r="AC145" t="s">
        <v>74</v>
      </c>
      <c r="AD145" t="s">
        <v>74</v>
      </c>
      <c r="AE145" t="s">
        <v>74</v>
      </c>
      <c r="AF145" t="s">
        <v>74</v>
      </c>
      <c r="AG145" t="s">
        <v>74</v>
      </c>
      <c r="AH145" t="s">
        <v>74</v>
      </c>
      <c r="AI145" t="s">
        <v>74</v>
      </c>
      <c r="AJ145" t="s">
        <v>74</v>
      </c>
      <c r="AK145" t="s">
        <v>74</v>
      </c>
      <c r="AL145" t="s">
        <v>74</v>
      </c>
      <c r="AM145" t="s">
        <v>74</v>
      </c>
      <c r="AN145" t="s">
        <v>74</v>
      </c>
      <c r="AO145" t="s">
        <v>285</v>
      </c>
      <c r="AP145" t="s">
        <v>286</v>
      </c>
      <c r="AQ145" t="s">
        <v>74</v>
      </c>
      <c r="AR145" t="s">
        <v>74</v>
      </c>
      <c r="AS145" t="s">
        <v>74</v>
      </c>
      <c r="AT145" t="s">
        <v>633</v>
      </c>
      <c r="AU145">
        <v>2004</v>
      </c>
      <c r="AV145">
        <v>7</v>
      </c>
      <c r="AW145">
        <v>2</v>
      </c>
      <c r="AX145" t="s">
        <v>74</v>
      </c>
      <c r="AY145" t="s">
        <v>74</v>
      </c>
      <c r="AZ145" t="s">
        <v>74</v>
      </c>
      <c r="BA145" t="s">
        <v>74</v>
      </c>
      <c r="BB145">
        <v>69</v>
      </c>
      <c r="BC145">
        <v>76</v>
      </c>
      <c r="BD145" t="s">
        <v>74</v>
      </c>
      <c r="BE145" t="s">
        <v>2606</v>
      </c>
      <c r="BF145" t="str">
        <f>HYPERLINK("http://dx.doi.org/10.1007/s10071-003-0189-4","http://dx.doi.org/10.1007/s10071-003-0189-4")</f>
        <v>http://dx.doi.org/10.1007/s10071-003-0189-4</v>
      </c>
      <c r="BG145" t="s">
        <v>74</v>
      </c>
      <c r="BH145" t="s">
        <v>74</v>
      </c>
      <c r="BI145" t="s">
        <v>74</v>
      </c>
      <c r="BJ145" t="s">
        <v>74</v>
      </c>
      <c r="BK145" t="s">
        <v>74</v>
      </c>
      <c r="BL145" t="s">
        <v>74</v>
      </c>
      <c r="BM145" t="s">
        <v>74</v>
      </c>
      <c r="BN145">
        <v>15069605</v>
      </c>
      <c r="BO145" t="s">
        <v>74</v>
      </c>
      <c r="BP145" t="s">
        <v>74</v>
      </c>
      <c r="BQ145" t="s">
        <v>74</v>
      </c>
      <c r="BR145" t="s">
        <v>74</v>
      </c>
      <c r="BS145" t="s">
        <v>2607</v>
      </c>
      <c r="BT145" t="str">
        <f>HYPERLINK("https%3A%2F%2Fwww.webofscience.com%2Fwos%2Fwoscc%2Ffull-record%2FWOS:000221649900001","View Full Record in Web of Science")</f>
        <v>View Full Record in Web of Science</v>
      </c>
    </row>
    <row r="146" spans="1:72" x14ac:dyDescent="0.4">
      <c r="A146" t="s">
        <v>72</v>
      </c>
      <c r="B146" t="s">
        <v>6542</v>
      </c>
      <c r="C146" t="s">
        <v>74</v>
      </c>
      <c r="D146" t="s">
        <v>74</v>
      </c>
      <c r="E146" t="s">
        <v>74</v>
      </c>
      <c r="F146" t="s">
        <v>6543</v>
      </c>
      <c r="G146" t="s">
        <v>74</v>
      </c>
      <c r="H146" t="s">
        <v>74</v>
      </c>
      <c r="I146" t="s">
        <v>6544</v>
      </c>
      <c r="J146" t="s">
        <v>970</v>
      </c>
      <c r="K146" t="s">
        <v>74</v>
      </c>
      <c r="L146" t="s">
        <v>74</v>
      </c>
      <c r="M146" t="s">
        <v>74</v>
      </c>
      <c r="N146" t="s">
        <v>74</v>
      </c>
      <c r="O146" t="s">
        <v>74</v>
      </c>
      <c r="P146" t="s">
        <v>74</v>
      </c>
      <c r="Q146" t="s">
        <v>74</v>
      </c>
      <c r="R146" t="s">
        <v>74</v>
      </c>
      <c r="S146" t="s">
        <v>74</v>
      </c>
      <c r="T146" t="s">
        <v>74</v>
      </c>
      <c r="U146" t="s">
        <v>74</v>
      </c>
      <c r="V146" s="3" t="s">
        <v>6545</v>
      </c>
      <c r="W146" t="s">
        <v>74</v>
      </c>
      <c r="X146" t="s">
        <v>74</v>
      </c>
      <c r="Y146" t="s">
        <v>74</v>
      </c>
      <c r="Z146" t="s">
        <v>74</v>
      </c>
      <c r="AA146" t="s">
        <v>6546</v>
      </c>
      <c r="AB146" t="s">
        <v>6547</v>
      </c>
      <c r="AC146" t="s">
        <v>74</v>
      </c>
      <c r="AD146" t="s">
        <v>74</v>
      </c>
      <c r="AE146" t="s">
        <v>74</v>
      </c>
      <c r="AF146" t="s">
        <v>74</v>
      </c>
      <c r="AG146" t="s">
        <v>74</v>
      </c>
      <c r="AH146" t="s">
        <v>74</v>
      </c>
      <c r="AI146" t="s">
        <v>74</v>
      </c>
      <c r="AJ146" t="s">
        <v>74</v>
      </c>
      <c r="AK146" t="s">
        <v>74</v>
      </c>
      <c r="AL146" t="s">
        <v>74</v>
      </c>
      <c r="AM146" t="s">
        <v>74</v>
      </c>
      <c r="AN146" t="s">
        <v>74</v>
      </c>
      <c r="AO146" t="s">
        <v>974</v>
      </c>
      <c r="AP146" t="s">
        <v>975</v>
      </c>
      <c r="AQ146" t="s">
        <v>74</v>
      </c>
      <c r="AR146" t="s">
        <v>74</v>
      </c>
      <c r="AS146" t="s">
        <v>74</v>
      </c>
      <c r="AT146" t="s">
        <v>633</v>
      </c>
      <c r="AU146">
        <v>2020</v>
      </c>
      <c r="AV146">
        <v>161</v>
      </c>
      <c r="AW146">
        <v>2</v>
      </c>
      <c r="AX146" t="s">
        <v>74</v>
      </c>
      <c r="AY146" t="s">
        <v>74</v>
      </c>
      <c r="AZ146" t="s">
        <v>74</v>
      </c>
      <c r="BA146" t="s">
        <v>74</v>
      </c>
      <c r="BB146">
        <v>341</v>
      </c>
      <c r="BC146">
        <v>350</v>
      </c>
      <c r="BD146" t="s">
        <v>74</v>
      </c>
      <c r="BE146" t="s">
        <v>6548</v>
      </c>
      <c r="BF146" t="str">
        <f>HYPERLINK("http://dx.doi.org/10.1007/s10336-019-01730-2","http://dx.doi.org/10.1007/s10336-019-01730-2")</f>
        <v>http://dx.doi.org/10.1007/s10336-019-01730-2</v>
      </c>
      <c r="BG146" t="s">
        <v>74</v>
      </c>
      <c r="BH146" t="s">
        <v>2283</v>
      </c>
      <c r="BI146" t="s">
        <v>74</v>
      </c>
      <c r="BJ146" t="s">
        <v>74</v>
      </c>
      <c r="BK146" t="s">
        <v>74</v>
      </c>
      <c r="BL146" t="s">
        <v>74</v>
      </c>
      <c r="BM146" t="s">
        <v>74</v>
      </c>
      <c r="BN146" t="s">
        <v>74</v>
      </c>
      <c r="BO146" t="s">
        <v>74</v>
      </c>
      <c r="BP146" t="s">
        <v>74</v>
      </c>
      <c r="BQ146" t="s">
        <v>74</v>
      </c>
      <c r="BR146" t="s">
        <v>74</v>
      </c>
      <c r="BS146" t="s">
        <v>6549</v>
      </c>
      <c r="BT146" t="str">
        <f>HYPERLINK("https%3A%2F%2Fwww.webofscience.com%2Fwos%2Fwoscc%2Ffull-record%2FWOS:000493944300001","View Full Record in Web of Science")</f>
        <v>View Full Record in Web of Science</v>
      </c>
    </row>
    <row r="147" spans="1:72" x14ac:dyDescent="0.4">
      <c r="A147" t="s">
        <v>72</v>
      </c>
      <c r="B147" t="s">
        <v>7896</v>
      </c>
      <c r="C147" t="s">
        <v>74</v>
      </c>
      <c r="D147" t="s">
        <v>74</v>
      </c>
      <c r="E147" t="s">
        <v>74</v>
      </c>
      <c r="F147" t="s">
        <v>7897</v>
      </c>
      <c r="G147" t="s">
        <v>74</v>
      </c>
      <c r="H147" t="s">
        <v>74</v>
      </c>
      <c r="I147" t="s">
        <v>7898</v>
      </c>
      <c r="J147" t="s">
        <v>842</v>
      </c>
      <c r="K147" t="s">
        <v>74</v>
      </c>
      <c r="L147" t="s">
        <v>74</v>
      </c>
      <c r="M147" t="s">
        <v>74</v>
      </c>
      <c r="N147" t="s">
        <v>74</v>
      </c>
      <c r="O147" t="s">
        <v>74</v>
      </c>
      <c r="P147" t="s">
        <v>74</v>
      </c>
      <c r="Q147" t="s">
        <v>74</v>
      </c>
      <c r="R147" t="s">
        <v>74</v>
      </c>
      <c r="S147" t="s">
        <v>74</v>
      </c>
      <c r="T147" t="s">
        <v>74</v>
      </c>
      <c r="U147" t="s">
        <v>74</v>
      </c>
      <c r="V147" s="3" t="s">
        <v>7899</v>
      </c>
      <c r="W147" t="s">
        <v>74</v>
      </c>
      <c r="X147" t="s">
        <v>74</v>
      </c>
      <c r="Y147" t="s">
        <v>74</v>
      </c>
      <c r="Z147" t="s">
        <v>74</v>
      </c>
      <c r="AA147" t="s">
        <v>7900</v>
      </c>
      <c r="AB147" t="s">
        <v>74</v>
      </c>
      <c r="AC147" t="s">
        <v>74</v>
      </c>
      <c r="AD147" t="s">
        <v>74</v>
      </c>
      <c r="AE147" t="s">
        <v>74</v>
      </c>
      <c r="AF147" t="s">
        <v>74</v>
      </c>
      <c r="AG147" t="s">
        <v>74</v>
      </c>
      <c r="AH147" t="s">
        <v>74</v>
      </c>
      <c r="AI147" t="s">
        <v>74</v>
      </c>
      <c r="AJ147" t="s">
        <v>74</v>
      </c>
      <c r="AK147" t="s">
        <v>74</v>
      </c>
      <c r="AL147" t="s">
        <v>74</v>
      </c>
      <c r="AM147" t="s">
        <v>74</v>
      </c>
      <c r="AN147" t="s">
        <v>74</v>
      </c>
      <c r="AO147" t="s">
        <v>846</v>
      </c>
      <c r="AP147" t="s">
        <v>847</v>
      </c>
      <c r="AQ147" t="s">
        <v>74</v>
      </c>
      <c r="AR147" t="s">
        <v>74</v>
      </c>
      <c r="AS147" t="s">
        <v>74</v>
      </c>
      <c r="AT147" t="s">
        <v>305</v>
      </c>
      <c r="AU147">
        <v>2017</v>
      </c>
      <c r="AV147">
        <v>79</v>
      </c>
      <c r="AW147">
        <v>12</v>
      </c>
      <c r="AX147" t="s">
        <v>74</v>
      </c>
      <c r="AY147" t="s">
        <v>74</v>
      </c>
      <c r="AZ147" t="s">
        <v>74</v>
      </c>
      <c r="BA147" t="s">
        <v>74</v>
      </c>
      <c r="BB147" t="s">
        <v>74</v>
      </c>
      <c r="BC147" t="s">
        <v>74</v>
      </c>
      <c r="BD147" t="s">
        <v>7901</v>
      </c>
      <c r="BE147" t="s">
        <v>7902</v>
      </c>
      <c r="BF147" t="str">
        <f>HYPERLINK("http://dx.doi.org/10.1002/ajp.22726","http://dx.doi.org/10.1002/ajp.22726")</f>
        <v>http://dx.doi.org/10.1002/ajp.22726</v>
      </c>
      <c r="BG147" t="s">
        <v>74</v>
      </c>
      <c r="BH147" t="s">
        <v>74</v>
      </c>
      <c r="BI147" t="s">
        <v>74</v>
      </c>
      <c r="BJ147" t="s">
        <v>74</v>
      </c>
      <c r="BK147" t="s">
        <v>74</v>
      </c>
      <c r="BL147" t="s">
        <v>74</v>
      </c>
      <c r="BM147" t="s">
        <v>74</v>
      </c>
      <c r="BN147">
        <v>29095514</v>
      </c>
      <c r="BO147" t="s">
        <v>74</v>
      </c>
      <c r="BP147" t="s">
        <v>74</v>
      </c>
      <c r="BQ147" t="s">
        <v>74</v>
      </c>
      <c r="BR147" t="s">
        <v>74</v>
      </c>
      <c r="BS147" t="s">
        <v>7903</v>
      </c>
      <c r="BT147" t="str">
        <f>HYPERLINK("https%3A%2F%2Fwww.webofscience.com%2Fwos%2Fwoscc%2Ffull-record%2FWOS:000417173400004","View Full Record in Web of Science")</f>
        <v>View Full Record in Web of Science</v>
      </c>
    </row>
    <row r="148" spans="1:72" x14ac:dyDescent="0.4">
      <c r="A148" t="s">
        <v>72</v>
      </c>
      <c r="B148" t="s">
        <v>662</v>
      </c>
      <c r="C148" t="s">
        <v>74</v>
      </c>
      <c r="D148" t="s">
        <v>74</v>
      </c>
      <c r="E148" t="s">
        <v>74</v>
      </c>
      <c r="F148" t="s">
        <v>662</v>
      </c>
      <c r="G148" t="s">
        <v>74</v>
      </c>
      <c r="H148" t="s">
        <v>74</v>
      </c>
      <c r="I148" t="s">
        <v>663</v>
      </c>
      <c r="J148" t="s">
        <v>140</v>
      </c>
      <c r="K148" t="s">
        <v>74</v>
      </c>
      <c r="L148" t="s">
        <v>74</v>
      </c>
      <c r="M148" t="s">
        <v>74</v>
      </c>
      <c r="N148" t="s">
        <v>74</v>
      </c>
      <c r="O148" t="s">
        <v>74</v>
      </c>
      <c r="P148" t="s">
        <v>74</v>
      </c>
      <c r="Q148" t="s">
        <v>74</v>
      </c>
      <c r="R148" t="s">
        <v>74</v>
      </c>
      <c r="S148" t="s">
        <v>74</v>
      </c>
      <c r="T148" t="s">
        <v>74</v>
      </c>
      <c r="U148" t="s">
        <v>74</v>
      </c>
      <c r="V148" s="3" t="s">
        <v>664</v>
      </c>
      <c r="W148" t="s">
        <v>74</v>
      </c>
      <c r="X148" t="s">
        <v>74</v>
      </c>
      <c r="Y148" t="s">
        <v>74</v>
      </c>
      <c r="Z148" t="s">
        <v>74</v>
      </c>
      <c r="AA148" t="s">
        <v>665</v>
      </c>
      <c r="AB148" t="s">
        <v>666</v>
      </c>
      <c r="AC148" t="s">
        <v>74</v>
      </c>
      <c r="AD148" t="s">
        <v>74</v>
      </c>
      <c r="AE148" t="s">
        <v>74</v>
      </c>
      <c r="AF148" t="s">
        <v>74</v>
      </c>
      <c r="AG148" t="s">
        <v>74</v>
      </c>
      <c r="AH148" t="s">
        <v>74</v>
      </c>
      <c r="AI148" t="s">
        <v>74</v>
      </c>
      <c r="AJ148" t="s">
        <v>74</v>
      </c>
      <c r="AK148" t="s">
        <v>74</v>
      </c>
      <c r="AL148" t="s">
        <v>74</v>
      </c>
      <c r="AM148" t="s">
        <v>74</v>
      </c>
      <c r="AN148" t="s">
        <v>74</v>
      </c>
      <c r="AO148" t="s">
        <v>143</v>
      </c>
      <c r="AP148" t="s">
        <v>144</v>
      </c>
      <c r="AQ148" t="s">
        <v>74</v>
      </c>
      <c r="AR148" t="s">
        <v>74</v>
      </c>
      <c r="AS148" t="s">
        <v>74</v>
      </c>
      <c r="AT148" t="s">
        <v>74</v>
      </c>
      <c r="AU148">
        <v>1982</v>
      </c>
      <c r="AV148">
        <v>30</v>
      </c>
      <c r="AW148" t="s">
        <v>134</v>
      </c>
      <c r="AX148" t="s">
        <v>74</v>
      </c>
      <c r="AY148" t="s">
        <v>74</v>
      </c>
      <c r="AZ148" t="s">
        <v>74</v>
      </c>
      <c r="BA148" t="s">
        <v>74</v>
      </c>
      <c r="BB148">
        <v>444</v>
      </c>
      <c r="BC148">
        <v>455</v>
      </c>
      <c r="BD148" t="s">
        <v>74</v>
      </c>
      <c r="BE148" t="s">
        <v>667</v>
      </c>
      <c r="BF148" t="str">
        <f>HYPERLINK("http://dx.doi.org/10.1016/S0003-3472(82)80055-9","http://dx.doi.org/10.1016/S0003-3472(82)80055-9")</f>
        <v>http://dx.doi.org/10.1016/S0003-3472(82)80055-9</v>
      </c>
      <c r="BG148" t="s">
        <v>74</v>
      </c>
      <c r="BH148" t="s">
        <v>74</v>
      </c>
      <c r="BI148" t="s">
        <v>74</v>
      </c>
      <c r="BJ148" t="s">
        <v>74</v>
      </c>
      <c r="BK148" t="s">
        <v>74</v>
      </c>
      <c r="BL148" t="s">
        <v>74</v>
      </c>
      <c r="BM148" t="s">
        <v>74</v>
      </c>
      <c r="BN148" t="s">
        <v>74</v>
      </c>
      <c r="BO148" t="s">
        <v>74</v>
      </c>
      <c r="BP148" t="s">
        <v>74</v>
      </c>
      <c r="BQ148" t="s">
        <v>74</v>
      </c>
      <c r="BR148" t="s">
        <v>74</v>
      </c>
      <c r="BS148" t="s">
        <v>668</v>
      </c>
      <c r="BT148" t="str">
        <f>HYPERLINK("https%3A%2F%2Fwww.webofscience.com%2Fwos%2Fwoscc%2Ffull-record%2FWOS:A1982NQ92800014","View Full Record in Web of Science")</f>
        <v>View Full Record in Web of Science</v>
      </c>
    </row>
    <row r="149" spans="1:72" x14ac:dyDescent="0.4">
      <c r="A149" t="s">
        <v>72</v>
      </c>
      <c r="B149" t="s">
        <v>6112</v>
      </c>
      <c r="C149" t="s">
        <v>74</v>
      </c>
      <c r="D149" t="s">
        <v>74</v>
      </c>
      <c r="E149" t="s">
        <v>74</v>
      </c>
      <c r="F149" t="s">
        <v>6112</v>
      </c>
      <c r="G149" t="s">
        <v>74</v>
      </c>
      <c r="H149" t="s">
        <v>74</v>
      </c>
      <c r="I149" t="s">
        <v>6113</v>
      </c>
      <c r="J149" t="s">
        <v>4655</v>
      </c>
      <c r="K149" t="s">
        <v>74</v>
      </c>
      <c r="L149" t="s">
        <v>74</v>
      </c>
      <c r="M149" t="s">
        <v>74</v>
      </c>
      <c r="N149" t="s">
        <v>74</v>
      </c>
      <c r="O149" t="s">
        <v>74</v>
      </c>
      <c r="P149" t="s">
        <v>74</v>
      </c>
      <c r="Q149" t="s">
        <v>74</v>
      </c>
      <c r="R149" t="s">
        <v>74</v>
      </c>
      <c r="S149" t="s">
        <v>74</v>
      </c>
      <c r="T149" t="s">
        <v>74</v>
      </c>
      <c r="U149" t="s">
        <v>74</v>
      </c>
      <c r="V149" s="3" t="s">
        <v>6114</v>
      </c>
      <c r="W149" t="s">
        <v>74</v>
      </c>
      <c r="X149" t="s">
        <v>74</v>
      </c>
      <c r="Y149" t="s">
        <v>74</v>
      </c>
      <c r="Z149" t="s">
        <v>74</v>
      </c>
      <c r="AA149" t="s">
        <v>74</v>
      </c>
      <c r="AB149" t="s">
        <v>74</v>
      </c>
      <c r="AC149" t="s">
        <v>74</v>
      </c>
      <c r="AD149" t="s">
        <v>74</v>
      </c>
      <c r="AE149" t="s">
        <v>74</v>
      </c>
      <c r="AF149" t="s">
        <v>74</v>
      </c>
      <c r="AG149" t="s">
        <v>74</v>
      </c>
      <c r="AH149" t="s">
        <v>74</v>
      </c>
      <c r="AI149" t="s">
        <v>74</v>
      </c>
      <c r="AJ149" t="s">
        <v>74</v>
      </c>
      <c r="AK149" t="s">
        <v>74</v>
      </c>
      <c r="AL149" t="s">
        <v>74</v>
      </c>
      <c r="AM149" t="s">
        <v>74</v>
      </c>
      <c r="AN149" t="s">
        <v>74</v>
      </c>
      <c r="AO149" t="s">
        <v>4657</v>
      </c>
      <c r="AP149" t="s">
        <v>74</v>
      </c>
      <c r="AQ149" t="s">
        <v>74</v>
      </c>
      <c r="AR149" t="s">
        <v>74</v>
      </c>
      <c r="AS149" t="s">
        <v>74</v>
      </c>
      <c r="AT149" t="s">
        <v>352</v>
      </c>
      <c r="AU149">
        <v>2000</v>
      </c>
      <c r="AV149">
        <v>112</v>
      </c>
      <c r="AW149">
        <v>3</v>
      </c>
      <c r="AX149" t="s">
        <v>74</v>
      </c>
      <c r="AY149" t="s">
        <v>74</v>
      </c>
      <c r="AZ149" t="s">
        <v>74</v>
      </c>
      <c r="BA149" t="s">
        <v>74</v>
      </c>
      <c r="BB149">
        <v>313</v>
      </c>
      <c r="BC149">
        <v>317</v>
      </c>
      <c r="BD149" t="s">
        <v>74</v>
      </c>
      <c r="BE149" t="s">
        <v>6115</v>
      </c>
      <c r="BF149" t="str">
        <f>HYPERLINK("http://dx.doi.org/10.1676/0043-5643(2000)112[0313:NROFAS]2.0.CO;2","http://dx.doi.org/10.1676/0043-5643(2000)112[0313:NROFAS]2.0.CO;2")</f>
        <v>http://dx.doi.org/10.1676/0043-5643(2000)112[0313:NROFAS]2.0.CO;2</v>
      </c>
      <c r="BG149" t="s">
        <v>74</v>
      </c>
      <c r="BH149" t="s">
        <v>74</v>
      </c>
      <c r="BI149" t="s">
        <v>74</v>
      </c>
      <c r="BJ149" t="s">
        <v>74</v>
      </c>
      <c r="BK149" t="s">
        <v>74</v>
      </c>
      <c r="BL149" t="s">
        <v>74</v>
      </c>
      <c r="BM149" t="s">
        <v>74</v>
      </c>
      <c r="BN149" t="s">
        <v>74</v>
      </c>
      <c r="BO149" t="s">
        <v>74</v>
      </c>
      <c r="BP149" t="s">
        <v>74</v>
      </c>
      <c r="BQ149" t="s">
        <v>74</v>
      </c>
      <c r="BR149" t="s">
        <v>74</v>
      </c>
      <c r="BS149" t="s">
        <v>6116</v>
      </c>
      <c r="BT149" t="str">
        <f>HYPERLINK("https%3A%2F%2Fwww.webofscience.com%2Fwos%2Fwoscc%2Ffull-record%2FWOS:000089097200002","View Full Record in Web of Science")</f>
        <v>View Full Record in Web of Science</v>
      </c>
    </row>
    <row r="150" spans="1:72" x14ac:dyDescent="0.4">
      <c r="A150" t="s">
        <v>72</v>
      </c>
      <c r="B150" t="s">
        <v>1372</v>
      </c>
      <c r="C150" t="s">
        <v>74</v>
      </c>
      <c r="D150" t="s">
        <v>74</v>
      </c>
      <c r="E150" t="s">
        <v>74</v>
      </c>
      <c r="F150" t="s">
        <v>1373</v>
      </c>
      <c r="G150" t="s">
        <v>74</v>
      </c>
      <c r="H150" t="s">
        <v>74</v>
      </c>
      <c r="I150" t="s">
        <v>1374</v>
      </c>
      <c r="J150" t="s">
        <v>1375</v>
      </c>
      <c r="K150" t="s">
        <v>74</v>
      </c>
      <c r="L150" t="s">
        <v>74</v>
      </c>
      <c r="M150" t="s">
        <v>74</v>
      </c>
      <c r="N150" t="s">
        <v>74</v>
      </c>
      <c r="O150" t="s">
        <v>74</v>
      </c>
      <c r="P150" t="s">
        <v>74</v>
      </c>
      <c r="Q150" t="s">
        <v>74</v>
      </c>
      <c r="R150" t="s">
        <v>74</v>
      </c>
      <c r="S150" t="s">
        <v>74</v>
      </c>
      <c r="T150" t="s">
        <v>74</v>
      </c>
      <c r="U150" t="s">
        <v>74</v>
      </c>
      <c r="V150" s="3" t="s">
        <v>1376</v>
      </c>
      <c r="W150" t="s">
        <v>74</v>
      </c>
      <c r="X150" t="s">
        <v>74</v>
      </c>
      <c r="Y150" t="s">
        <v>74</v>
      </c>
      <c r="Z150" t="s">
        <v>74</v>
      </c>
      <c r="AA150" t="s">
        <v>74</v>
      </c>
      <c r="AB150" t="s">
        <v>1377</v>
      </c>
      <c r="AC150" t="s">
        <v>74</v>
      </c>
      <c r="AD150" t="s">
        <v>74</v>
      </c>
      <c r="AE150" t="s">
        <v>74</v>
      </c>
      <c r="AF150" t="s">
        <v>74</v>
      </c>
      <c r="AG150" t="s">
        <v>74</v>
      </c>
      <c r="AH150" t="s">
        <v>74</v>
      </c>
      <c r="AI150" t="s">
        <v>74</v>
      </c>
      <c r="AJ150" t="s">
        <v>74</v>
      </c>
      <c r="AK150" t="s">
        <v>74</v>
      </c>
      <c r="AL150" t="s">
        <v>74</v>
      </c>
      <c r="AM150" t="s">
        <v>74</v>
      </c>
      <c r="AN150" t="s">
        <v>74</v>
      </c>
      <c r="AO150" t="s">
        <v>1378</v>
      </c>
      <c r="AP150" t="s">
        <v>74</v>
      </c>
      <c r="AQ150" t="s">
        <v>74</v>
      </c>
      <c r="AR150" t="s">
        <v>74</v>
      </c>
      <c r="AS150" t="s">
        <v>74</v>
      </c>
      <c r="AT150" t="s">
        <v>74</v>
      </c>
      <c r="AU150">
        <v>2023</v>
      </c>
      <c r="AV150">
        <v>14</v>
      </c>
      <c r="AW150" t="s">
        <v>74</v>
      </c>
      <c r="AX150" t="s">
        <v>74</v>
      </c>
      <c r="AY150" t="s">
        <v>74</v>
      </c>
      <c r="AZ150" t="s">
        <v>74</v>
      </c>
      <c r="BA150" t="s">
        <v>74</v>
      </c>
      <c r="BB150" t="s">
        <v>74</v>
      </c>
      <c r="BC150" t="s">
        <v>74</v>
      </c>
      <c r="BD150">
        <v>100077</v>
      </c>
      <c r="BE150" t="s">
        <v>1379</v>
      </c>
      <c r="BF150" t="str">
        <f>HYPERLINK("http://dx.doi.org/10.1016/j.avrs.2023.100077","http://dx.doi.org/10.1016/j.avrs.2023.100077")</f>
        <v>http://dx.doi.org/10.1016/j.avrs.2023.100077</v>
      </c>
      <c r="BG150" t="s">
        <v>74</v>
      </c>
      <c r="BH150" t="s">
        <v>74</v>
      </c>
      <c r="BI150" t="s">
        <v>74</v>
      </c>
      <c r="BJ150" t="s">
        <v>74</v>
      </c>
      <c r="BK150" t="s">
        <v>74</v>
      </c>
      <c r="BL150" t="s">
        <v>74</v>
      </c>
      <c r="BM150" t="s">
        <v>74</v>
      </c>
      <c r="BN150" t="s">
        <v>74</v>
      </c>
      <c r="BO150" t="s">
        <v>74</v>
      </c>
      <c r="BP150" t="s">
        <v>74</v>
      </c>
      <c r="BQ150" t="s">
        <v>74</v>
      </c>
      <c r="BR150" t="s">
        <v>74</v>
      </c>
      <c r="BS150" t="s">
        <v>1380</v>
      </c>
      <c r="BT150" t="str">
        <f>HYPERLINK("https%3A%2F%2Fwww.webofscience.com%2Fwos%2Fwoscc%2Ffull-record%2FWOS:000933848900001","View Full Record in Web of Science")</f>
        <v>View Full Record in Web of Science</v>
      </c>
    </row>
    <row r="151" spans="1:72" x14ac:dyDescent="0.4">
      <c r="A151" t="s">
        <v>72</v>
      </c>
      <c r="B151" t="s">
        <v>2067</v>
      </c>
      <c r="C151" t="s">
        <v>74</v>
      </c>
      <c r="D151" t="s">
        <v>74</v>
      </c>
      <c r="E151" t="s">
        <v>74</v>
      </c>
      <c r="F151" t="s">
        <v>2068</v>
      </c>
      <c r="G151" t="s">
        <v>74</v>
      </c>
      <c r="H151" t="s">
        <v>74</v>
      </c>
      <c r="I151" t="s">
        <v>2069</v>
      </c>
      <c r="J151" t="s">
        <v>2070</v>
      </c>
      <c r="K151" t="s">
        <v>74</v>
      </c>
      <c r="L151" t="s">
        <v>74</v>
      </c>
      <c r="M151" t="s">
        <v>74</v>
      </c>
      <c r="N151" t="s">
        <v>74</v>
      </c>
      <c r="O151" t="s">
        <v>74</v>
      </c>
      <c r="P151" t="s">
        <v>74</v>
      </c>
      <c r="Q151" t="s">
        <v>74</v>
      </c>
      <c r="R151" t="s">
        <v>74</v>
      </c>
      <c r="S151" t="s">
        <v>74</v>
      </c>
      <c r="T151" t="s">
        <v>74</v>
      </c>
      <c r="U151" t="s">
        <v>74</v>
      </c>
      <c r="V151" s="3" t="s">
        <v>2071</v>
      </c>
      <c r="W151" t="s">
        <v>74</v>
      </c>
      <c r="X151" t="s">
        <v>74</v>
      </c>
      <c r="Y151" t="s">
        <v>74</v>
      </c>
      <c r="Z151" t="s">
        <v>74</v>
      </c>
      <c r="AA151" t="s">
        <v>74</v>
      </c>
      <c r="AB151" t="s">
        <v>274</v>
      </c>
      <c r="AC151" t="s">
        <v>74</v>
      </c>
      <c r="AD151" t="s">
        <v>74</v>
      </c>
      <c r="AE151" t="s">
        <v>74</v>
      </c>
      <c r="AF151" t="s">
        <v>74</v>
      </c>
      <c r="AG151" t="s">
        <v>74</v>
      </c>
      <c r="AH151" t="s">
        <v>74</v>
      </c>
      <c r="AI151" t="s">
        <v>74</v>
      </c>
      <c r="AJ151" t="s">
        <v>74</v>
      </c>
      <c r="AK151" t="s">
        <v>74</v>
      </c>
      <c r="AL151" t="s">
        <v>74</v>
      </c>
      <c r="AM151" t="s">
        <v>74</v>
      </c>
      <c r="AN151" t="s">
        <v>74</v>
      </c>
      <c r="AO151" t="s">
        <v>2072</v>
      </c>
      <c r="AP151" t="s">
        <v>2073</v>
      </c>
      <c r="AQ151" t="s">
        <v>74</v>
      </c>
      <c r="AR151" t="s">
        <v>74</v>
      </c>
      <c r="AS151" t="s">
        <v>74</v>
      </c>
      <c r="AT151" t="s">
        <v>145</v>
      </c>
      <c r="AU151">
        <v>2007</v>
      </c>
      <c r="AV151">
        <v>177</v>
      </c>
      <c r="AW151">
        <v>6</v>
      </c>
      <c r="AX151" t="s">
        <v>74</v>
      </c>
      <c r="AY151" t="s">
        <v>74</v>
      </c>
      <c r="AZ151" t="s">
        <v>74</v>
      </c>
      <c r="BA151" t="s">
        <v>74</v>
      </c>
      <c r="BB151">
        <v>641</v>
      </c>
      <c r="BC151">
        <v>654</v>
      </c>
      <c r="BD151" t="s">
        <v>74</v>
      </c>
      <c r="BE151" t="s">
        <v>2074</v>
      </c>
      <c r="BF151" t="str">
        <f>HYPERLINK("http://dx.doi.org/10.1007/s00360-007-0162-7","http://dx.doi.org/10.1007/s00360-007-0162-7")</f>
        <v>http://dx.doi.org/10.1007/s00360-007-0162-7</v>
      </c>
      <c r="BG151" t="s">
        <v>74</v>
      </c>
      <c r="BH151" t="s">
        <v>74</v>
      </c>
      <c r="BI151" t="s">
        <v>74</v>
      </c>
      <c r="BJ151" t="s">
        <v>74</v>
      </c>
      <c r="BK151" t="s">
        <v>74</v>
      </c>
      <c r="BL151" t="s">
        <v>74</v>
      </c>
      <c r="BM151" t="s">
        <v>74</v>
      </c>
      <c r="BN151">
        <v>17520263</v>
      </c>
      <c r="BO151" t="s">
        <v>74</v>
      </c>
      <c r="BP151" t="s">
        <v>74</v>
      </c>
      <c r="BQ151" t="s">
        <v>74</v>
      </c>
      <c r="BR151" t="s">
        <v>74</v>
      </c>
      <c r="BS151" t="s">
        <v>2075</v>
      </c>
      <c r="BT151" t="str">
        <f>HYPERLINK("https%3A%2F%2Fwww.webofscience.com%2Fwos%2Fwoscc%2Ffull-record%2FWOS:000248301500005","View Full Record in Web of Science")</f>
        <v>View Full Record in Web of Science</v>
      </c>
    </row>
    <row r="152" spans="1:72" x14ac:dyDescent="0.4">
      <c r="A152" t="s">
        <v>72</v>
      </c>
      <c r="B152" t="s">
        <v>6668</v>
      </c>
      <c r="C152" t="s">
        <v>74</v>
      </c>
      <c r="D152" t="s">
        <v>74</v>
      </c>
      <c r="E152" t="s">
        <v>74</v>
      </c>
      <c r="F152" t="s">
        <v>6669</v>
      </c>
      <c r="G152" t="s">
        <v>74</v>
      </c>
      <c r="H152" t="s">
        <v>74</v>
      </c>
      <c r="I152" t="s">
        <v>6670</v>
      </c>
      <c r="J152" t="s">
        <v>129</v>
      </c>
      <c r="K152" t="s">
        <v>74</v>
      </c>
      <c r="L152" t="s">
        <v>74</v>
      </c>
      <c r="M152" t="s">
        <v>74</v>
      </c>
      <c r="N152" t="s">
        <v>74</v>
      </c>
      <c r="O152" t="s">
        <v>74</v>
      </c>
      <c r="P152" t="s">
        <v>74</v>
      </c>
      <c r="Q152" t="s">
        <v>74</v>
      </c>
      <c r="R152" t="s">
        <v>74</v>
      </c>
      <c r="S152" t="s">
        <v>74</v>
      </c>
      <c r="T152" t="s">
        <v>74</v>
      </c>
      <c r="U152" t="s">
        <v>74</v>
      </c>
      <c r="V152" s="3" t="s">
        <v>6671</v>
      </c>
      <c r="W152" t="s">
        <v>74</v>
      </c>
      <c r="X152" t="s">
        <v>74</v>
      </c>
      <c r="Y152" t="s">
        <v>74</v>
      </c>
      <c r="Z152" t="s">
        <v>74</v>
      </c>
      <c r="AA152" t="s">
        <v>6672</v>
      </c>
      <c r="AB152" t="s">
        <v>6673</v>
      </c>
      <c r="AC152" t="s">
        <v>74</v>
      </c>
      <c r="AD152" t="s">
        <v>74</v>
      </c>
      <c r="AE152" t="s">
        <v>74</v>
      </c>
      <c r="AF152" t="s">
        <v>74</v>
      </c>
      <c r="AG152" t="s">
        <v>74</v>
      </c>
      <c r="AH152" t="s">
        <v>74</v>
      </c>
      <c r="AI152" t="s">
        <v>74</v>
      </c>
      <c r="AJ152" t="s">
        <v>74</v>
      </c>
      <c r="AK152" t="s">
        <v>74</v>
      </c>
      <c r="AL152" t="s">
        <v>74</v>
      </c>
      <c r="AM152" t="s">
        <v>74</v>
      </c>
      <c r="AN152" t="s">
        <v>74</v>
      </c>
      <c r="AO152" t="s">
        <v>132</v>
      </c>
      <c r="AP152" t="s">
        <v>133</v>
      </c>
      <c r="AQ152" t="s">
        <v>74</v>
      </c>
      <c r="AR152" t="s">
        <v>74</v>
      </c>
      <c r="AS152" t="s">
        <v>74</v>
      </c>
      <c r="AT152" t="s">
        <v>204</v>
      </c>
      <c r="AU152">
        <v>2013</v>
      </c>
      <c r="AV152">
        <v>67</v>
      </c>
      <c r="AW152">
        <v>7</v>
      </c>
      <c r="AX152" t="s">
        <v>74</v>
      </c>
      <c r="AY152" t="s">
        <v>74</v>
      </c>
      <c r="AZ152" t="s">
        <v>74</v>
      </c>
      <c r="BA152" t="s">
        <v>74</v>
      </c>
      <c r="BB152">
        <v>1163</v>
      </c>
      <c r="BC152">
        <v>1167</v>
      </c>
      <c r="BD152" t="s">
        <v>74</v>
      </c>
      <c r="BE152" t="s">
        <v>6674</v>
      </c>
      <c r="BF152" t="str">
        <f>HYPERLINK("http://dx.doi.org/10.1007/s00265-013-1541-6","http://dx.doi.org/10.1007/s00265-013-1541-6")</f>
        <v>http://dx.doi.org/10.1007/s00265-013-1541-6</v>
      </c>
      <c r="BG152" t="s">
        <v>74</v>
      </c>
      <c r="BH152" t="s">
        <v>74</v>
      </c>
      <c r="BI152" t="s">
        <v>74</v>
      </c>
      <c r="BJ152" t="s">
        <v>74</v>
      </c>
      <c r="BK152" t="s">
        <v>74</v>
      </c>
      <c r="BL152" t="s">
        <v>74</v>
      </c>
      <c r="BM152" t="s">
        <v>74</v>
      </c>
      <c r="BN152" t="s">
        <v>74</v>
      </c>
      <c r="BO152" t="s">
        <v>74</v>
      </c>
      <c r="BP152" t="s">
        <v>74</v>
      </c>
      <c r="BQ152" t="s">
        <v>74</v>
      </c>
      <c r="BR152" t="s">
        <v>74</v>
      </c>
      <c r="BS152" t="s">
        <v>6675</v>
      </c>
      <c r="BT152" t="str">
        <f>HYPERLINK("https%3A%2F%2Fwww.webofscience.com%2Fwos%2Fwoscc%2Ffull-record%2FWOS:000320024200013","View Full Record in Web of Science")</f>
        <v>View Full Record in Web of Science</v>
      </c>
    </row>
    <row r="153" spans="1:72" x14ac:dyDescent="0.4">
      <c r="A153" t="s">
        <v>72</v>
      </c>
      <c r="B153" t="s">
        <v>4848</v>
      </c>
      <c r="C153" t="s">
        <v>74</v>
      </c>
      <c r="D153" t="s">
        <v>74</v>
      </c>
      <c r="E153" t="s">
        <v>74</v>
      </c>
      <c r="F153" t="s">
        <v>4848</v>
      </c>
      <c r="G153" t="s">
        <v>74</v>
      </c>
      <c r="H153" t="s">
        <v>74</v>
      </c>
      <c r="I153" t="s">
        <v>4849</v>
      </c>
      <c r="J153" t="s">
        <v>241</v>
      </c>
      <c r="K153" t="s">
        <v>74</v>
      </c>
      <c r="L153" t="s">
        <v>74</v>
      </c>
      <c r="M153" t="s">
        <v>74</v>
      </c>
      <c r="N153" t="s">
        <v>74</v>
      </c>
      <c r="O153" t="s">
        <v>74</v>
      </c>
      <c r="P153" t="s">
        <v>74</v>
      </c>
      <c r="Q153" t="s">
        <v>74</v>
      </c>
      <c r="R153" t="s">
        <v>74</v>
      </c>
      <c r="S153" t="s">
        <v>74</v>
      </c>
      <c r="T153" t="s">
        <v>74</v>
      </c>
      <c r="U153" t="s">
        <v>74</v>
      </c>
      <c r="V153" s="3" t="s">
        <v>4850</v>
      </c>
      <c r="W153" t="s">
        <v>74</v>
      </c>
      <c r="X153" t="s">
        <v>74</v>
      </c>
      <c r="Y153" t="s">
        <v>74</v>
      </c>
      <c r="Z153" t="s">
        <v>74</v>
      </c>
      <c r="AA153" t="s">
        <v>74</v>
      </c>
      <c r="AB153" t="s">
        <v>4851</v>
      </c>
      <c r="AC153" t="s">
        <v>74</v>
      </c>
      <c r="AD153" t="s">
        <v>74</v>
      </c>
      <c r="AE153" t="s">
        <v>74</v>
      </c>
      <c r="AF153" t="s">
        <v>74</v>
      </c>
      <c r="AG153" t="s">
        <v>74</v>
      </c>
      <c r="AH153" t="s">
        <v>74</v>
      </c>
      <c r="AI153" t="s">
        <v>74</v>
      </c>
      <c r="AJ153" t="s">
        <v>74</v>
      </c>
      <c r="AK153" t="s">
        <v>74</v>
      </c>
      <c r="AL153" t="s">
        <v>74</v>
      </c>
      <c r="AM153" t="s">
        <v>74</v>
      </c>
      <c r="AN153" t="s">
        <v>74</v>
      </c>
      <c r="AO153" t="s">
        <v>245</v>
      </c>
      <c r="AP153" t="s">
        <v>246</v>
      </c>
      <c r="AQ153" t="s">
        <v>74</v>
      </c>
      <c r="AR153" t="s">
        <v>74</v>
      </c>
      <c r="AS153" t="s">
        <v>74</v>
      </c>
      <c r="AT153" t="s">
        <v>145</v>
      </c>
      <c r="AU153">
        <v>2002</v>
      </c>
      <c r="AV153">
        <v>132</v>
      </c>
      <c r="AW153">
        <v>3</v>
      </c>
      <c r="AX153" t="s">
        <v>74</v>
      </c>
      <c r="AY153" t="s">
        <v>74</v>
      </c>
      <c r="AZ153" t="s">
        <v>74</v>
      </c>
      <c r="BA153" t="s">
        <v>74</v>
      </c>
      <c r="BB153">
        <v>468</v>
      </c>
      <c r="BC153">
        <v>477</v>
      </c>
      <c r="BD153" t="s">
        <v>74</v>
      </c>
      <c r="BE153" t="s">
        <v>4852</v>
      </c>
      <c r="BF153" t="str">
        <f>HYPERLINK("http://dx.doi.org/10.1007/s00442-002-0975-8","http://dx.doi.org/10.1007/s00442-002-0975-8")</f>
        <v>http://dx.doi.org/10.1007/s00442-002-0975-8</v>
      </c>
      <c r="BG153" t="s">
        <v>74</v>
      </c>
      <c r="BH153" t="s">
        <v>74</v>
      </c>
      <c r="BI153" t="s">
        <v>74</v>
      </c>
      <c r="BJ153" t="s">
        <v>74</v>
      </c>
      <c r="BK153" t="s">
        <v>74</v>
      </c>
      <c r="BL153" t="s">
        <v>74</v>
      </c>
      <c r="BM153" t="s">
        <v>74</v>
      </c>
      <c r="BN153">
        <v>28547426</v>
      </c>
      <c r="BO153" t="s">
        <v>74</v>
      </c>
      <c r="BP153" t="s">
        <v>74</v>
      </c>
      <c r="BQ153" t="s">
        <v>74</v>
      </c>
      <c r="BR153" t="s">
        <v>74</v>
      </c>
      <c r="BS153" t="s">
        <v>4853</v>
      </c>
      <c r="BT153" t="str">
        <f>HYPERLINK("https%3A%2F%2Fwww.webofscience.com%2Fwos%2Fwoscc%2Ffull-record%2FWOS:000177752500018","View Full Record in Web of Science")</f>
        <v>View Full Record in Web of Science</v>
      </c>
    </row>
    <row r="154" spans="1:72" x14ac:dyDescent="0.4">
      <c r="A154" t="s">
        <v>72</v>
      </c>
      <c r="B154" t="s">
        <v>4499</v>
      </c>
      <c r="C154" t="s">
        <v>74</v>
      </c>
      <c r="D154" t="s">
        <v>74</v>
      </c>
      <c r="E154" t="s">
        <v>74</v>
      </c>
      <c r="F154" t="s">
        <v>4500</v>
      </c>
      <c r="G154" t="s">
        <v>74</v>
      </c>
      <c r="H154" t="s">
        <v>74</v>
      </c>
      <c r="I154" t="s">
        <v>4501</v>
      </c>
      <c r="J154" t="s">
        <v>281</v>
      </c>
      <c r="K154" t="s">
        <v>74</v>
      </c>
      <c r="L154" t="s">
        <v>74</v>
      </c>
      <c r="M154" t="s">
        <v>74</v>
      </c>
      <c r="N154" t="s">
        <v>74</v>
      </c>
      <c r="O154" t="s">
        <v>74</v>
      </c>
      <c r="P154" t="s">
        <v>74</v>
      </c>
      <c r="Q154" t="s">
        <v>74</v>
      </c>
      <c r="R154" t="s">
        <v>74</v>
      </c>
      <c r="S154" t="s">
        <v>74</v>
      </c>
      <c r="T154" t="s">
        <v>74</v>
      </c>
      <c r="U154" t="s">
        <v>74</v>
      </c>
      <c r="V154" s="3" t="s">
        <v>4502</v>
      </c>
      <c r="W154" t="s">
        <v>74</v>
      </c>
      <c r="X154" t="s">
        <v>74</v>
      </c>
      <c r="Y154" t="s">
        <v>74</v>
      </c>
      <c r="Z154" t="s">
        <v>74</v>
      </c>
      <c r="AA154" t="s">
        <v>4503</v>
      </c>
      <c r="AB154" t="s">
        <v>4504</v>
      </c>
      <c r="AC154" t="s">
        <v>74</v>
      </c>
      <c r="AD154" t="s">
        <v>74</v>
      </c>
      <c r="AE154" t="s">
        <v>74</v>
      </c>
      <c r="AF154" t="s">
        <v>74</v>
      </c>
      <c r="AG154" t="s">
        <v>74</v>
      </c>
      <c r="AH154" t="s">
        <v>74</v>
      </c>
      <c r="AI154" t="s">
        <v>74</v>
      </c>
      <c r="AJ154" t="s">
        <v>74</v>
      </c>
      <c r="AK154" t="s">
        <v>74</v>
      </c>
      <c r="AL154" t="s">
        <v>74</v>
      </c>
      <c r="AM154" t="s">
        <v>74</v>
      </c>
      <c r="AN154" t="s">
        <v>74</v>
      </c>
      <c r="AO154" t="s">
        <v>285</v>
      </c>
      <c r="AP154" t="s">
        <v>286</v>
      </c>
      <c r="AQ154" t="s">
        <v>74</v>
      </c>
      <c r="AR154" t="s">
        <v>74</v>
      </c>
      <c r="AS154" t="s">
        <v>74</v>
      </c>
      <c r="AT154" t="s">
        <v>213</v>
      </c>
      <c r="AU154">
        <v>2021</v>
      </c>
      <c r="AV154">
        <v>24</v>
      </c>
      <c r="AW154">
        <v>6</v>
      </c>
      <c r="AX154" t="s">
        <v>74</v>
      </c>
      <c r="AY154" t="s">
        <v>74</v>
      </c>
      <c r="AZ154" t="s">
        <v>74</v>
      </c>
      <c r="BA154" t="s">
        <v>74</v>
      </c>
      <c r="BB154">
        <v>1267</v>
      </c>
      <c r="BC154">
        <v>1277</v>
      </c>
      <c r="BD154" t="s">
        <v>74</v>
      </c>
      <c r="BE154" t="s">
        <v>4505</v>
      </c>
      <c r="BF154" t="str">
        <f>HYPERLINK("http://dx.doi.org/10.1007/s10071-021-01519-y","http://dx.doi.org/10.1007/s10071-021-01519-y")</f>
        <v>http://dx.doi.org/10.1007/s10071-021-01519-y</v>
      </c>
      <c r="BG154" t="s">
        <v>74</v>
      </c>
      <c r="BH154" t="s">
        <v>571</v>
      </c>
      <c r="BI154" t="s">
        <v>74</v>
      </c>
      <c r="BJ154" t="s">
        <v>74</v>
      </c>
      <c r="BK154" t="s">
        <v>74</v>
      </c>
      <c r="BL154" t="s">
        <v>74</v>
      </c>
      <c r="BM154" t="s">
        <v>74</v>
      </c>
      <c r="BN154">
        <v>33959875</v>
      </c>
      <c r="BO154" t="s">
        <v>74</v>
      </c>
      <c r="BP154" t="s">
        <v>74</v>
      </c>
      <c r="BQ154" t="s">
        <v>74</v>
      </c>
      <c r="BR154" t="s">
        <v>74</v>
      </c>
      <c r="BS154" t="s">
        <v>4506</v>
      </c>
      <c r="BT154" t="str">
        <f>HYPERLINK("https%3A%2F%2Fwww.webofscience.com%2Fwos%2Fwoscc%2Ffull-record%2FWOS:000647849200001","View Full Record in Web of Science")</f>
        <v>View Full Record in Web of Science</v>
      </c>
    </row>
    <row r="155" spans="1:72" x14ac:dyDescent="0.4">
      <c r="A155" t="s">
        <v>72</v>
      </c>
      <c r="B155" t="s">
        <v>364</v>
      </c>
      <c r="C155" t="s">
        <v>74</v>
      </c>
      <c r="D155" t="s">
        <v>74</v>
      </c>
      <c r="E155" t="s">
        <v>74</v>
      </c>
      <c r="F155" t="s">
        <v>2899</v>
      </c>
      <c r="G155" t="s">
        <v>74</v>
      </c>
      <c r="H155" t="s">
        <v>74</v>
      </c>
      <c r="I155" t="s">
        <v>2900</v>
      </c>
      <c r="J155" t="s">
        <v>2901</v>
      </c>
      <c r="K155" t="s">
        <v>74</v>
      </c>
      <c r="L155" t="s">
        <v>74</v>
      </c>
      <c r="M155" t="s">
        <v>74</v>
      </c>
      <c r="N155" t="s">
        <v>74</v>
      </c>
      <c r="O155" t="s">
        <v>74</v>
      </c>
      <c r="P155" t="s">
        <v>74</v>
      </c>
      <c r="Q155" t="s">
        <v>74</v>
      </c>
      <c r="R155" t="s">
        <v>74</v>
      </c>
      <c r="S155" t="s">
        <v>74</v>
      </c>
      <c r="T155" t="s">
        <v>74</v>
      </c>
      <c r="U155" t="s">
        <v>74</v>
      </c>
      <c r="V155" s="3" t="s">
        <v>2902</v>
      </c>
      <c r="W155" t="s">
        <v>74</v>
      </c>
      <c r="X155" t="s">
        <v>74</v>
      </c>
      <c r="Y155" t="s">
        <v>74</v>
      </c>
      <c r="Z155" t="s">
        <v>74</v>
      </c>
      <c r="AA155" t="s">
        <v>369</v>
      </c>
      <c r="AB155" t="s">
        <v>370</v>
      </c>
      <c r="AC155" t="s">
        <v>74</v>
      </c>
      <c r="AD155" t="s">
        <v>74</v>
      </c>
      <c r="AE155" t="s">
        <v>74</v>
      </c>
      <c r="AF155" t="s">
        <v>74</v>
      </c>
      <c r="AG155" t="s">
        <v>74</v>
      </c>
      <c r="AH155" t="s">
        <v>74</v>
      </c>
      <c r="AI155" t="s">
        <v>74</v>
      </c>
      <c r="AJ155" t="s">
        <v>74</v>
      </c>
      <c r="AK155" t="s">
        <v>74</v>
      </c>
      <c r="AL155" t="s">
        <v>74</v>
      </c>
      <c r="AM155" t="s">
        <v>74</v>
      </c>
      <c r="AN155" t="s">
        <v>74</v>
      </c>
      <c r="AO155" t="s">
        <v>2903</v>
      </c>
      <c r="AP155" t="s">
        <v>2904</v>
      </c>
      <c r="AQ155" t="s">
        <v>74</v>
      </c>
      <c r="AR155" t="s">
        <v>74</v>
      </c>
      <c r="AS155" t="s">
        <v>74</v>
      </c>
      <c r="AT155" t="s">
        <v>74</v>
      </c>
      <c r="AU155">
        <v>2010</v>
      </c>
      <c r="AV155">
        <v>22</v>
      </c>
      <c r="AW155">
        <v>2</v>
      </c>
      <c r="AX155" t="s">
        <v>74</v>
      </c>
      <c r="AY155" t="s">
        <v>74</v>
      </c>
      <c r="AZ155" t="s">
        <v>74</v>
      </c>
      <c r="BA155" t="s">
        <v>74</v>
      </c>
      <c r="BB155">
        <v>167</v>
      </c>
      <c r="BC155">
        <v>181</v>
      </c>
      <c r="BD155" t="s">
        <v>2905</v>
      </c>
      <c r="BE155" t="s">
        <v>2906</v>
      </c>
      <c r="BF155" t="str">
        <f>HYPERLINK("http://dx.doi.org/10.1080/03949371003707885","http://dx.doi.org/10.1080/03949371003707885")</f>
        <v>http://dx.doi.org/10.1080/03949371003707885</v>
      </c>
      <c r="BG155" t="s">
        <v>74</v>
      </c>
      <c r="BH155" t="s">
        <v>74</v>
      </c>
      <c r="BI155" t="s">
        <v>74</v>
      </c>
      <c r="BJ155" t="s">
        <v>74</v>
      </c>
      <c r="BK155" t="s">
        <v>74</v>
      </c>
      <c r="BL155" t="s">
        <v>74</v>
      </c>
      <c r="BM155" t="s">
        <v>74</v>
      </c>
      <c r="BN155" t="s">
        <v>74</v>
      </c>
      <c r="BO155" t="s">
        <v>74</v>
      </c>
      <c r="BP155" t="s">
        <v>74</v>
      </c>
      <c r="BQ155" t="s">
        <v>74</v>
      </c>
      <c r="BR155" t="s">
        <v>74</v>
      </c>
      <c r="BS155" t="s">
        <v>2907</v>
      </c>
      <c r="BT155" t="str">
        <f>HYPERLINK("https%3A%2F%2Fwww.webofscience.com%2Fwos%2Fwoscc%2Ffull-record%2FWOS:000277606200006","View Full Record in Web of Science")</f>
        <v>View Full Record in Web of Science</v>
      </c>
    </row>
    <row r="156" spans="1:72" x14ac:dyDescent="0.4">
      <c r="A156" t="s">
        <v>72</v>
      </c>
      <c r="B156" t="s">
        <v>3471</v>
      </c>
      <c r="C156" t="s">
        <v>74</v>
      </c>
      <c r="D156" t="s">
        <v>74</v>
      </c>
      <c r="E156" t="s">
        <v>74</v>
      </c>
      <c r="F156" t="s">
        <v>3472</v>
      </c>
      <c r="G156" t="s">
        <v>74</v>
      </c>
      <c r="H156" t="s">
        <v>74</v>
      </c>
      <c r="I156" t="s">
        <v>3473</v>
      </c>
      <c r="J156" t="s">
        <v>218</v>
      </c>
      <c r="K156" t="s">
        <v>74</v>
      </c>
      <c r="L156" t="s">
        <v>74</v>
      </c>
      <c r="M156" t="s">
        <v>74</v>
      </c>
      <c r="N156" t="s">
        <v>74</v>
      </c>
      <c r="O156" t="s">
        <v>74</v>
      </c>
      <c r="P156" t="s">
        <v>74</v>
      </c>
      <c r="Q156" t="s">
        <v>74</v>
      </c>
      <c r="R156" t="s">
        <v>74</v>
      </c>
      <c r="S156" t="s">
        <v>74</v>
      </c>
      <c r="T156" t="s">
        <v>74</v>
      </c>
      <c r="U156" t="s">
        <v>74</v>
      </c>
      <c r="V156" s="3" t="s">
        <v>3474</v>
      </c>
      <c r="W156" t="s">
        <v>74</v>
      </c>
      <c r="X156" t="s">
        <v>74</v>
      </c>
      <c r="Y156" t="s">
        <v>74</v>
      </c>
      <c r="Z156" t="s">
        <v>74</v>
      </c>
      <c r="AA156" t="s">
        <v>1724</v>
      </c>
      <c r="AB156" t="s">
        <v>1725</v>
      </c>
      <c r="AC156" t="s">
        <v>74</v>
      </c>
      <c r="AD156" t="s">
        <v>74</v>
      </c>
      <c r="AE156" t="s">
        <v>74</v>
      </c>
      <c r="AF156" t="s">
        <v>74</v>
      </c>
      <c r="AG156" t="s">
        <v>74</v>
      </c>
      <c r="AH156" t="s">
        <v>74</v>
      </c>
      <c r="AI156" t="s">
        <v>74</v>
      </c>
      <c r="AJ156" t="s">
        <v>74</v>
      </c>
      <c r="AK156" t="s">
        <v>74</v>
      </c>
      <c r="AL156" t="s">
        <v>74</v>
      </c>
      <c r="AM156" t="s">
        <v>74</v>
      </c>
      <c r="AN156" t="s">
        <v>74</v>
      </c>
      <c r="AO156" t="s">
        <v>221</v>
      </c>
      <c r="AP156" t="s">
        <v>222</v>
      </c>
      <c r="AQ156" t="s">
        <v>74</v>
      </c>
      <c r="AR156" t="s">
        <v>74</v>
      </c>
      <c r="AS156" t="s">
        <v>74</v>
      </c>
      <c r="AT156" t="s">
        <v>964</v>
      </c>
      <c r="AU156">
        <v>2014</v>
      </c>
      <c r="AV156">
        <v>27</v>
      </c>
      <c r="AW156">
        <v>2</v>
      </c>
      <c r="AX156" t="s">
        <v>74</v>
      </c>
      <c r="AY156" t="s">
        <v>74</v>
      </c>
      <c r="AZ156" t="s">
        <v>74</v>
      </c>
      <c r="BA156" t="s">
        <v>74</v>
      </c>
      <c r="BB156">
        <v>325</v>
      </c>
      <c r="BC156">
        <v>336</v>
      </c>
      <c r="BD156" t="s">
        <v>74</v>
      </c>
      <c r="BE156" t="s">
        <v>3475</v>
      </c>
      <c r="BF156" t="str">
        <f>HYPERLINK("http://dx.doi.org/10.1111/jeb.12295","http://dx.doi.org/10.1111/jeb.12295")</f>
        <v>http://dx.doi.org/10.1111/jeb.12295</v>
      </c>
      <c r="BG156" t="s">
        <v>74</v>
      </c>
      <c r="BH156" t="s">
        <v>74</v>
      </c>
      <c r="BI156" t="s">
        <v>74</v>
      </c>
      <c r="BJ156" t="s">
        <v>74</v>
      </c>
      <c r="BK156" t="s">
        <v>74</v>
      </c>
      <c r="BL156" t="s">
        <v>74</v>
      </c>
      <c r="BM156" t="s">
        <v>74</v>
      </c>
      <c r="BN156">
        <v>24341383</v>
      </c>
      <c r="BO156" t="s">
        <v>74</v>
      </c>
      <c r="BP156" t="s">
        <v>74</v>
      </c>
      <c r="BQ156" t="s">
        <v>74</v>
      </c>
      <c r="BR156" t="s">
        <v>74</v>
      </c>
      <c r="BS156" t="s">
        <v>3476</v>
      </c>
      <c r="BT156" t="str">
        <f>HYPERLINK("https%3A%2F%2Fwww.webofscience.com%2Fwos%2Fwoscc%2Ffull-record%2FWOS:000330016400008","View Full Record in Web of Science")</f>
        <v>View Full Record in Web of Science</v>
      </c>
    </row>
    <row r="157" spans="1:72" x14ac:dyDescent="0.4">
      <c r="A157" t="s">
        <v>72</v>
      </c>
      <c r="B157" t="s">
        <v>364</v>
      </c>
      <c r="C157" t="s">
        <v>74</v>
      </c>
      <c r="D157" t="s">
        <v>74</v>
      </c>
      <c r="E157" t="s">
        <v>74</v>
      </c>
      <c r="F157" t="s">
        <v>365</v>
      </c>
      <c r="G157" t="s">
        <v>74</v>
      </c>
      <c r="H157" t="s">
        <v>74</v>
      </c>
      <c r="I157" t="s">
        <v>366</v>
      </c>
      <c r="J157" t="s">
        <v>367</v>
      </c>
      <c r="K157" t="s">
        <v>74</v>
      </c>
      <c r="L157" t="s">
        <v>74</v>
      </c>
      <c r="M157" t="s">
        <v>74</v>
      </c>
      <c r="N157" t="s">
        <v>74</v>
      </c>
      <c r="O157" t="s">
        <v>74</v>
      </c>
      <c r="P157" t="s">
        <v>74</v>
      </c>
      <c r="Q157" t="s">
        <v>74</v>
      </c>
      <c r="R157" t="s">
        <v>74</v>
      </c>
      <c r="S157" t="s">
        <v>74</v>
      </c>
      <c r="T157" t="s">
        <v>74</v>
      </c>
      <c r="U157" t="s">
        <v>74</v>
      </c>
      <c r="V157" s="3" t="s">
        <v>368</v>
      </c>
      <c r="W157" t="s">
        <v>74</v>
      </c>
      <c r="X157" t="s">
        <v>74</v>
      </c>
      <c r="Y157" t="s">
        <v>74</v>
      </c>
      <c r="Z157" t="s">
        <v>74</v>
      </c>
      <c r="AA157" t="s">
        <v>369</v>
      </c>
      <c r="AB157" t="s">
        <v>370</v>
      </c>
      <c r="AC157" t="s">
        <v>74</v>
      </c>
      <c r="AD157" t="s">
        <v>74</v>
      </c>
      <c r="AE157" t="s">
        <v>74</v>
      </c>
      <c r="AF157" t="s">
        <v>74</v>
      </c>
      <c r="AG157" t="s">
        <v>74</v>
      </c>
      <c r="AH157" t="s">
        <v>74</v>
      </c>
      <c r="AI157" t="s">
        <v>74</v>
      </c>
      <c r="AJ157" t="s">
        <v>74</v>
      </c>
      <c r="AK157" t="s">
        <v>74</v>
      </c>
      <c r="AL157" t="s">
        <v>74</v>
      </c>
      <c r="AM157" t="s">
        <v>74</v>
      </c>
      <c r="AN157" t="s">
        <v>74</v>
      </c>
      <c r="AO157" t="s">
        <v>371</v>
      </c>
      <c r="AP157" t="s">
        <v>372</v>
      </c>
      <c r="AQ157" t="s">
        <v>74</v>
      </c>
      <c r="AR157" t="s">
        <v>74</v>
      </c>
      <c r="AS157" t="s">
        <v>74</v>
      </c>
      <c r="AT157" t="s">
        <v>145</v>
      </c>
      <c r="AU157">
        <v>2009</v>
      </c>
      <c r="AV157">
        <v>123</v>
      </c>
      <c r="AW157">
        <v>3</v>
      </c>
      <c r="AX157" t="s">
        <v>74</v>
      </c>
      <c r="AY157" t="s">
        <v>74</v>
      </c>
      <c r="AZ157" t="s">
        <v>74</v>
      </c>
      <c r="BA157" t="s">
        <v>74</v>
      </c>
      <c r="BB157">
        <v>310</v>
      </c>
      <c r="BC157">
        <v>315</v>
      </c>
      <c r="BD157" t="s">
        <v>74</v>
      </c>
      <c r="BE157" t="s">
        <v>373</v>
      </c>
      <c r="BF157" t="str">
        <f>HYPERLINK("http://dx.doi.org/10.1037/a0015837","http://dx.doi.org/10.1037/a0015837")</f>
        <v>http://dx.doi.org/10.1037/a0015837</v>
      </c>
      <c r="BG157" t="s">
        <v>74</v>
      </c>
      <c r="BH157" t="s">
        <v>74</v>
      </c>
      <c r="BI157" t="s">
        <v>74</v>
      </c>
      <c r="BJ157" t="s">
        <v>74</v>
      </c>
      <c r="BK157" t="s">
        <v>74</v>
      </c>
      <c r="BL157" t="s">
        <v>74</v>
      </c>
      <c r="BM157" t="s">
        <v>74</v>
      </c>
      <c r="BN157">
        <v>19685973</v>
      </c>
      <c r="BO157" t="s">
        <v>74</v>
      </c>
      <c r="BP157" t="s">
        <v>74</v>
      </c>
      <c r="BQ157" t="s">
        <v>74</v>
      </c>
      <c r="BR157" t="s">
        <v>74</v>
      </c>
      <c r="BS157" t="s">
        <v>374</v>
      </c>
      <c r="BT157" t="str">
        <f>HYPERLINK("https%3A%2F%2Fwww.webofscience.com%2Fwos%2Fwoscc%2Ffull-record%2FWOS:000268963900010","View Full Record in Web of Science")</f>
        <v>View Full Record in Web of Science</v>
      </c>
    </row>
    <row r="158" spans="1:72" x14ac:dyDescent="0.4">
      <c r="A158" t="s">
        <v>72</v>
      </c>
      <c r="B158" t="s">
        <v>364</v>
      </c>
      <c r="C158" t="s">
        <v>74</v>
      </c>
      <c r="D158" t="s">
        <v>74</v>
      </c>
      <c r="E158" t="s">
        <v>74</v>
      </c>
      <c r="F158" t="s">
        <v>365</v>
      </c>
      <c r="G158" t="s">
        <v>74</v>
      </c>
      <c r="H158" t="s">
        <v>74</v>
      </c>
      <c r="I158" t="s">
        <v>5467</v>
      </c>
      <c r="J158" t="s">
        <v>119</v>
      </c>
      <c r="K158" t="s">
        <v>74</v>
      </c>
      <c r="L158" t="s">
        <v>74</v>
      </c>
      <c r="M158" t="s">
        <v>74</v>
      </c>
      <c r="N158" t="s">
        <v>74</v>
      </c>
      <c r="O158" t="s">
        <v>74</v>
      </c>
      <c r="P158" t="s">
        <v>74</v>
      </c>
      <c r="Q158" t="s">
        <v>74</v>
      </c>
      <c r="R158" t="s">
        <v>74</v>
      </c>
      <c r="S158" t="s">
        <v>74</v>
      </c>
      <c r="T158" t="s">
        <v>74</v>
      </c>
      <c r="U158" t="s">
        <v>74</v>
      </c>
      <c r="V158" s="3" t="s">
        <v>5468</v>
      </c>
      <c r="W158" t="s">
        <v>74</v>
      </c>
      <c r="X158" t="s">
        <v>74</v>
      </c>
      <c r="Y158" t="s">
        <v>74</v>
      </c>
      <c r="Z158" t="s">
        <v>74</v>
      </c>
      <c r="AA158" t="s">
        <v>369</v>
      </c>
      <c r="AB158" t="s">
        <v>370</v>
      </c>
      <c r="AC158" t="s">
        <v>74</v>
      </c>
      <c r="AD158" t="s">
        <v>74</v>
      </c>
      <c r="AE158" t="s">
        <v>74</v>
      </c>
      <c r="AF158" t="s">
        <v>74</v>
      </c>
      <c r="AG158" t="s">
        <v>74</v>
      </c>
      <c r="AH158" t="s">
        <v>74</v>
      </c>
      <c r="AI158" t="s">
        <v>74</v>
      </c>
      <c r="AJ158" t="s">
        <v>74</v>
      </c>
      <c r="AK158" t="s">
        <v>74</v>
      </c>
      <c r="AL158" t="s">
        <v>74</v>
      </c>
      <c r="AM158" t="s">
        <v>74</v>
      </c>
      <c r="AN158" t="s">
        <v>74</v>
      </c>
      <c r="AO158" t="s">
        <v>121</v>
      </c>
      <c r="AP158" t="s">
        <v>122</v>
      </c>
      <c r="AQ158" t="s">
        <v>74</v>
      </c>
      <c r="AR158" t="s">
        <v>74</v>
      </c>
      <c r="AS158" t="s">
        <v>74</v>
      </c>
      <c r="AT158" t="s">
        <v>255</v>
      </c>
      <c r="AU158">
        <v>2009</v>
      </c>
      <c r="AV158">
        <v>80</v>
      </c>
      <c r="AW158">
        <v>1</v>
      </c>
      <c r="AX158" t="s">
        <v>74</v>
      </c>
      <c r="AY158" t="s">
        <v>74</v>
      </c>
      <c r="AZ158" t="s">
        <v>74</v>
      </c>
      <c r="BA158" t="s">
        <v>74</v>
      </c>
      <c r="BB158">
        <v>90</v>
      </c>
      <c r="BC158">
        <v>98</v>
      </c>
      <c r="BD158" t="s">
        <v>74</v>
      </c>
      <c r="BE158" t="s">
        <v>5469</v>
      </c>
      <c r="BF158" t="str">
        <f>HYPERLINK("http://dx.doi.org/10.1016/j.beproc.2008.10.007","http://dx.doi.org/10.1016/j.beproc.2008.10.007")</f>
        <v>http://dx.doi.org/10.1016/j.beproc.2008.10.007</v>
      </c>
      <c r="BG158" t="s">
        <v>74</v>
      </c>
      <c r="BH158" t="s">
        <v>74</v>
      </c>
      <c r="BI158" t="s">
        <v>74</v>
      </c>
      <c r="BJ158" t="s">
        <v>74</v>
      </c>
      <c r="BK158" t="s">
        <v>74</v>
      </c>
      <c r="BL158" t="s">
        <v>74</v>
      </c>
      <c r="BM158" t="s">
        <v>74</v>
      </c>
      <c r="BN158">
        <v>19010401</v>
      </c>
      <c r="BO158" t="s">
        <v>74</v>
      </c>
      <c r="BP158" t="s">
        <v>74</v>
      </c>
      <c r="BQ158" t="s">
        <v>74</v>
      </c>
      <c r="BR158" t="s">
        <v>74</v>
      </c>
      <c r="BS158" t="s">
        <v>5470</v>
      </c>
      <c r="BT158" t="str">
        <f>HYPERLINK("https%3A%2F%2Fwww.webofscience.com%2Fwos%2Fwoscc%2Ffull-record%2FWOS:000262546900014","View Full Record in Web of Science")</f>
        <v>View Full Record in Web of Science</v>
      </c>
    </row>
    <row r="159" spans="1:72" x14ac:dyDescent="0.4">
      <c r="A159" t="s">
        <v>72</v>
      </c>
      <c r="B159" t="s">
        <v>4862</v>
      </c>
      <c r="C159" t="s">
        <v>74</v>
      </c>
      <c r="D159" t="s">
        <v>74</v>
      </c>
      <c r="E159" t="s">
        <v>74</v>
      </c>
      <c r="F159" t="s">
        <v>4863</v>
      </c>
      <c r="G159" t="s">
        <v>74</v>
      </c>
      <c r="H159" t="s">
        <v>74</v>
      </c>
      <c r="I159" t="s">
        <v>4864</v>
      </c>
      <c r="J159" t="s">
        <v>610</v>
      </c>
      <c r="K159" t="s">
        <v>74</v>
      </c>
      <c r="L159" t="s">
        <v>74</v>
      </c>
      <c r="M159" t="s">
        <v>74</v>
      </c>
      <c r="N159" t="s">
        <v>74</v>
      </c>
      <c r="O159" t="s">
        <v>74</v>
      </c>
      <c r="P159" t="s">
        <v>74</v>
      </c>
      <c r="Q159" t="s">
        <v>74</v>
      </c>
      <c r="R159" t="s">
        <v>74</v>
      </c>
      <c r="S159" t="s">
        <v>74</v>
      </c>
      <c r="T159" t="s">
        <v>74</v>
      </c>
      <c r="U159" t="s">
        <v>74</v>
      </c>
      <c r="V159" s="3" t="s">
        <v>4865</v>
      </c>
      <c r="W159" t="s">
        <v>74</v>
      </c>
      <c r="X159" t="s">
        <v>74</v>
      </c>
      <c r="Y159" t="s">
        <v>74</v>
      </c>
      <c r="Z159" t="s">
        <v>74</v>
      </c>
      <c r="AA159" t="s">
        <v>4866</v>
      </c>
      <c r="AB159" t="s">
        <v>4867</v>
      </c>
      <c r="AC159" t="s">
        <v>74</v>
      </c>
      <c r="AD159" t="s">
        <v>74</v>
      </c>
      <c r="AE159" t="s">
        <v>74</v>
      </c>
      <c r="AF159" t="s">
        <v>74</v>
      </c>
      <c r="AG159" t="s">
        <v>74</v>
      </c>
      <c r="AH159" t="s">
        <v>74</v>
      </c>
      <c r="AI159" t="s">
        <v>74</v>
      </c>
      <c r="AJ159" t="s">
        <v>74</v>
      </c>
      <c r="AK159" t="s">
        <v>74</v>
      </c>
      <c r="AL159" t="s">
        <v>74</v>
      </c>
      <c r="AM159" t="s">
        <v>74</v>
      </c>
      <c r="AN159" t="s">
        <v>74</v>
      </c>
      <c r="AO159" t="s">
        <v>614</v>
      </c>
      <c r="AP159" t="s">
        <v>615</v>
      </c>
      <c r="AQ159" t="s">
        <v>74</v>
      </c>
      <c r="AR159" t="s">
        <v>74</v>
      </c>
      <c r="AS159" t="s">
        <v>74</v>
      </c>
      <c r="AT159" t="s">
        <v>255</v>
      </c>
      <c r="AU159">
        <v>2009</v>
      </c>
      <c r="AV159">
        <v>115</v>
      </c>
      <c r="AW159">
        <v>1</v>
      </c>
      <c r="AX159" t="s">
        <v>74</v>
      </c>
      <c r="AY159" t="s">
        <v>74</v>
      </c>
      <c r="AZ159" t="s">
        <v>74</v>
      </c>
      <c r="BA159" t="s">
        <v>74</v>
      </c>
      <c r="BB159">
        <v>23</v>
      </c>
      <c r="BC159">
        <v>32</v>
      </c>
      <c r="BD159" t="s">
        <v>74</v>
      </c>
      <c r="BE159" t="s">
        <v>4868</v>
      </c>
      <c r="BF159" t="str">
        <f>HYPERLINK("http://dx.doi.org/10.1111/j.1439-0310.2008.01584.x","http://dx.doi.org/10.1111/j.1439-0310.2008.01584.x")</f>
        <v>http://dx.doi.org/10.1111/j.1439-0310.2008.01584.x</v>
      </c>
      <c r="BG159" t="s">
        <v>74</v>
      </c>
      <c r="BH159" t="s">
        <v>74</v>
      </c>
      <c r="BI159" t="s">
        <v>74</v>
      </c>
      <c r="BJ159" t="s">
        <v>74</v>
      </c>
      <c r="BK159" t="s">
        <v>74</v>
      </c>
      <c r="BL159" t="s">
        <v>74</v>
      </c>
      <c r="BM159" t="s">
        <v>74</v>
      </c>
      <c r="BN159" t="s">
        <v>74</v>
      </c>
      <c r="BO159" t="s">
        <v>74</v>
      </c>
      <c r="BP159" t="s">
        <v>74</v>
      </c>
      <c r="BQ159" t="s">
        <v>74</v>
      </c>
      <c r="BR159" t="s">
        <v>74</v>
      </c>
      <c r="BS159" t="s">
        <v>4869</v>
      </c>
      <c r="BT159" t="str">
        <f>HYPERLINK("https%3A%2F%2Fwww.webofscience.com%2Fwos%2Fwoscc%2Ffull-record%2FWOS:000261836000004","View Full Record in Web of Science")</f>
        <v>View Full Record in Web of Science</v>
      </c>
    </row>
    <row r="160" spans="1:72" x14ac:dyDescent="0.4">
      <c r="A160" t="s">
        <v>72</v>
      </c>
      <c r="B160" t="s">
        <v>6759</v>
      </c>
      <c r="C160" t="s">
        <v>74</v>
      </c>
      <c r="D160" t="s">
        <v>74</v>
      </c>
      <c r="E160" t="s">
        <v>74</v>
      </c>
      <c r="F160" t="s">
        <v>6759</v>
      </c>
      <c r="G160" t="s">
        <v>74</v>
      </c>
      <c r="H160" t="s">
        <v>74</v>
      </c>
      <c r="I160" t="s">
        <v>6760</v>
      </c>
      <c r="J160" t="s">
        <v>312</v>
      </c>
      <c r="K160" t="s">
        <v>74</v>
      </c>
      <c r="L160" t="s">
        <v>74</v>
      </c>
      <c r="M160" t="s">
        <v>74</v>
      </c>
      <c r="N160" t="s">
        <v>74</v>
      </c>
      <c r="O160" t="s">
        <v>74</v>
      </c>
      <c r="P160" t="s">
        <v>74</v>
      </c>
      <c r="Q160" t="s">
        <v>74</v>
      </c>
      <c r="R160" t="s">
        <v>74</v>
      </c>
      <c r="S160" t="s">
        <v>74</v>
      </c>
      <c r="T160" t="s">
        <v>74</v>
      </c>
      <c r="U160" t="s">
        <v>74</v>
      </c>
      <c r="V160" s="3" t="s">
        <v>6761</v>
      </c>
      <c r="W160" t="s">
        <v>74</v>
      </c>
      <c r="X160" t="s">
        <v>74</v>
      </c>
      <c r="Y160" t="s">
        <v>74</v>
      </c>
      <c r="Z160" t="s">
        <v>74</v>
      </c>
      <c r="AA160" t="s">
        <v>1724</v>
      </c>
      <c r="AB160" t="s">
        <v>1725</v>
      </c>
      <c r="AC160" t="s">
        <v>74</v>
      </c>
      <c r="AD160" t="s">
        <v>74</v>
      </c>
      <c r="AE160" t="s">
        <v>74</v>
      </c>
      <c r="AF160" t="s">
        <v>74</v>
      </c>
      <c r="AG160" t="s">
        <v>74</v>
      </c>
      <c r="AH160" t="s">
        <v>74</v>
      </c>
      <c r="AI160" t="s">
        <v>74</v>
      </c>
      <c r="AJ160" t="s">
        <v>74</v>
      </c>
      <c r="AK160" t="s">
        <v>74</v>
      </c>
      <c r="AL160" t="s">
        <v>74</v>
      </c>
      <c r="AM160" t="s">
        <v>74</v>
      </c>
      <c r="AN160" t="s">
        <v>74</v>
      </c>
      <c r="AO160" t="s">
        <v>314</v>
      </c>
      <c r="AP160" t="s">
        <v>74</v>
      </c>
      <c r="AQ160" t="s">
        <v>74</v>
      </c>
      <c r="AR160" t="s">
        <v>74</v>
      </c>
      <c r="AS160" t="s">
        <v>74</v>
      </c>
      <c r="AT160" t="s">
        <v>134</v>
      </c>
      <c r="AU160">
        <v>2002</v>
      </c>
      <c r="AV160">
        <v>159</v>
      </c>
      <c r="AW160">
        <v>5</v>
      </c>
      <c r="AX160" t="s">
        <v>74</v>
      </c>
      <c r="AY160" t="s">
        <v>74</v>
      </c>
      <c r="AZ160" t="s">
        <v>74</v>
      </c>
      <c r="BA160" t="s">
        <v>74</v>
      </c>
      <c r="BB160">
        <v>438</v>
      </c>
      <c r="BC160">
        <v>450</v>
      </c>
      <c r="BD160" t="s">
        <v>74</v>
      </c>
      <c r="BE160" t="s">
        <v>6762</v>
      </c>
      <c r="BF160" t="str">
        <f>HYPERLINK("http://dx.doi.org/10.1086/339457","http://dx.doi.org/10.1086/339457")</f>
        <v>http://dx.doi.org/10.1086/339457</v>
      </c>
      <c r="BG160" t="s">
        <v>74</v>
      </c>
      <c r="BH160" t="s">
        <v>74</v>
      </c>
      <c r="BI160" t="s">
        <v>74</v>
      </c>
      <c r="BJ160" t="s">
        <v>74</v>
      </c>
      <c r="BK160" t="s">
        <v>74</v>
      </c>
      <c r="BL160" t="s">
        <v>74</v>
      </c>
      <c r="BM160" t="s">
        <v>74</v>
      </c>
      <c r="BN160">
        <v>18707428</v>
      </c>
      <c r="BO160" t="s">
        <v>74</v>
      </c>
      <c r="BP160" t="s">
        <v>74</v>
      </c>
      <c r="BQ160" t="s">
        <v>74</v>
      </c>
      <c r="BR160" t="s">
        <v>74</v>
      </c>
      <c r="BS160" t="s">
        <v>6763</v>
      </c>
      <c r="BT160" t="str">
        <f>HYPERLINK("https%3A%2F%2Fwww.webofscience.com%2Fwos%2Fwoscc%2Ffull-record%2FWOS:000175302800002","View Full Record in Web of Science")</f>
        <v>View Full Record in Web of Science</v>
      </c>
    </row>
    <row r="161" spans="1:72" x14ac:dyDescent="0.4">
      <c r="A161" t="s">
        <v>72</v>
      </c>
      <c r="B161" t="s">
        <v>8168</v>
      </c>
      <c r="C161" t="s">
        <v>74</v>
      </c>
      <c r="D161" t="s">
        <v>74</v>
      </c>
      <c r="E161" t="s">
        <v>74</v>
      </c>
      <c r="F161" t="s">
        <v>8168</v>
      </c>
      <c r="G161" t="s">
        <v>74</v>
      </c>
      <c r="H161" t="s">
        <v>74</v>
      </c>
      <c r="I161" t="s">
        <v>8169</v>
      </c>
      <c r="J161" t="s">
        <v>171</v>
      </c>
      <c r="K161" t="s">
        <v>74</v>
      </c>
      <c r="L161" t="s">
        <v>74</v>
      </c>
      <c r="M161" t="s">
        <v>74</v>
      </c>
      <c r="N161" t="s">
        <v>74</v>
      </c>
      <c r="O161" t="s">
        <v>74</v>
      </c>
      <c r="P161" t="s">
        <v>74</v>
      </c>
      <c r="Q161" t="s">
        <v>74</v>
      </c>
      <c r="R161" t="s">
        <v>74</v>
      </c>
      <c r="S161" t="s">
        <v>74</v>
      </c>
      <c r="T161" t="s">
        <v>74</v>
      </c>
      <c r="U161" t="s">
        <v>74</v>
      </c>
      <c r="V161" s="3" t="s">
        <v>8170</v>
      </c>
      <c r="W161" t="s">
        <v>74</v>
      </c>
      <c r="X161" t="s">
        <v>74</v>
      </c>
      <c r="Y161" t="s">
        <v>74</v>
      </c>
      <c r="Z161" t="s">
        <v>74</v>
      </c>
      <c r="AA161" t="s">
        <v>8171</v>
      </c>
      <c r="AB161" t="s">
        <v>8172</v>
      </c>
      <c r="AC161" t="s">
        <v>74</v>
      </c>
      <c r="AD161" t="s">
        <v>74</v>
      </c>
      <c r="AE161" t="s">
        <v>74</v>
      </c>
      <c r="AF161" t="s">
        <v>74</v>
      </c>
      <c r="AG161" t="s">
        <v>74</v>
      </c>
      <c r="AH161" t="s">
        <v>74</v>
      </c>
      <c r="AI161" t="s">
        <v>74</v>
      </c>
      <c r="AJ161" t="s">
        <v>74</v>
      </c>
      <c r="AK161" t="s">
        <v>74</v>
      </c>
      <c r="AL161" t="s">
        <v>74</v>
      </c>
      <c r="AM161" t="s">
        <v>74</v>
      </c>
      <c r="AN161" t="s">
        <v>74</v>
      </c>
      <c r="AO161" t="s">
        <v>173</v>
      </c>
      <c r="AP161" t="s">
        <v>174</v>
      </c>
      <c r="AQ161" t="s">
        <v>74</v>
      </c>
      <c r="AR161" t="s">
        <v>74</v>
      </c>
      <c r="AS161" t="s">
        <v>74</v>
      </c>
      <c r="AT161" t="s">
        <v>305</v>
      </c>
      <c r="AU161">
        <v>1998</v>
      </c>
      <c r="AV161">
        <v>52</v>
      </c>
      <c r="AW161">
        <v>6</v>
      </c>
      <c r="AX161" t="s">
        <v>74</v>
      </c>
      <c r="AY161" t="s">
        <v>74</v>
      </c>
      <c r="AZ161" t="s">
        <v>74</v>
      </c>
      <c r="BA161" t="s">
        <v>74</v>
      </c>
      <c r="BB161">
        <v>1602</v>
      </c>
      <c r="BC161">
        <v>1611</v>
      </c>
      <c r="BD161" t="s">
        <v>74</v>
      </c>
      <c r="BE161" t="s">
        <v>8173</v>
      </c>
      <c r="BF161" t="str">
        <f>HYPERLINK("http://dx.doi.org/10.1111/j.1558-5646.1998.tb02241.x","http://dx.doi.org/10.1111/j.1558-5646.1998.tb02241.x")</f>
        <v>http://dx.doi.org/10.1111/j.1558-5646.1998.tb02241.x</v>
      </c>
      <c r="BG161" t="s">
        <v>74</v>
      </c>
      <c r="BH161" t="s">
        <v>74</v>
      </c>
      <c r="BI161" t="s">
        <v>74</v>
      </c>
      <c r="BJ161" t="s">
        <v>74</v>
      </c>
      <c r="BK161" t="s">
        <v>74</v>
      </c>
      <c r="BL161" t="s">
        <v>74</v>
      </c>
      <c r="BM161" t="s">
        <v>74</v>
      </c>
      <c r="BN161">
        <v>28565336</v>
      </c>
      <c r="BO161" t="s">
        <v>74</v>
      </c>
      <c r="BP161" t="s">
        <v>74</v>
      </c>
      <c r="BQ161" t="s">
        <v>74</v>
      </c>
      <c r="BR161" t="s">
        <v>74</v>
      </c>
      <c r="BS161" t="s">
        <v>8174</v>
      </c>
      <c r="BT161" t="str">
        <f>HYPERLINK("https%3A%2F%2Fwww.webofscience.com%2Fwos%2Fwoscc%2Ffull-record%2FWOS:000078076700007","View Full Record in Web of Science")</f>
        <v>View Full Record in Web of Science</v>
      </c>
    </row>
    <row r="162" spans="1:72" x14ac:dyDescent="0.4">
      <c r="A162" t="s">
        <v>72</v>
      </c>
      <c r="B162" t="s">
        <v>4640</v>
      </c>
      <c r="C162" t="s">
        <v>74</v>
      </c>
      <c r="D162" t="s">
        <v>74</v>
      </c>
      <c r="E162" t="s">
        <v>74</v>
      </c>
      <c r="F162" t="s">
        <v>4640</v>
      </c>
      <c r="G162" t="s">
        <v>74</v>
      </c>
      <c r="H162" t="s">
        <v>74</v>
      </c>
      <c r="I162" t="s">
        <v>4641</v>
      </c>
      <c r="J162" t="s">
        <v>140</v>
      </c>
      <c r="K162" t="s">
        <v>74</v>
      </c>
      <c r="L162" t="s">
        <v>74</v>
      </c>
      <c r="M162" t="s">
        <v>74</v>
      </c>
      <c r="N162" t="s">
        <v>74</v>
      </c>
      <c r="O162" t="s">
        <v>74</v>
      </c>
      <c r="P162" t="s">
        <v>74</v>
      </c>
      <c r="Q162" t="s">
        <v>74</v>
      </c>
      <c r="R162" t="s">
        <v>74</v>
      </c>
      <c r="S162" t="s">
        <v>74</v>
      </c>
      <c r="T162" t="s">
        <v>74</v>
      </c>
      <c r="U162" t="s">
        <v>74</v>
      </c>
      <c r="V162" s="3" t="s">
        <v>4642</v>
      </c>
      <c r="W162" t="s">
        <v>74</v>
      </c>
      <c r="X162" t="s">
        <v>74</v>
      </c>
      <c r="Y162" t="s">
        <v>74</v>
      </c>
      <c r="Z162" t="s">
        <v>74</v>
      </c>
      <c r="AA162" t="s">
        <v>4643</v>
      </c>
      <c r="AB162" t="s">
        <v>74</v>
      </c>
      <c r="AC162" t="s">
        <v>74</v>
      </c>
      <c r="AD162" t="s">
        <v>74</v>
      </c>
      <c r="AE162" t="s">
        <v>74</v>
      </c>
      <c r="AF162" t="s">
        <v>74</v>
      </c>
      <c r="AG162" t="s">
        <v>74</v>
      </c>
      <c r="AH162" t="s">
        <v>74</v>
      </c>
      <c r="AI162" t="s">
        <v>74</v>
      </c>
      <c r="AJ162" t="s">
        <v>74</v>
      </c>
      <c r="AK162" t="s">
        <v>74</v>
      </c>
      <c r="AL162" t="s">
        <v>74</v>
      </c>
      <c r="AM162" t="s">
        <v>74</v>
      </c>
      <c r="AN162" t="s">
        <v>74</v>
      </c>
      <c r="AO162" t="s">
        <v>143</v>
      </c>
      <c r="AP162" t="s">
        <v>74</v>
      </c>
      <c r="AQ162" t="s">
        <v>74</v>
      </c>
      <c r="AR162" t="s">
        <v>74</v>
      </c>
      <c r="AS162" t="s">
        <v>74</v>
      </c>
      <c r="AT162" t="s">
        <v>204</v>
      </c>
      <c r="AU162">
        <v>1999</v>
      </c>
      <c r="AV162">
        <v>58</v>
      </c>
      <c r="AW162" t="s">
        <v>74</v>
      </c>
      <c r="AX162">
        <v>1</v>
      </c>
      <c r="AY162" t="s">
        <v>74</v>
      </c>
      <c r="AZ162" t="s">
        <v>74</v>
      </c>
      <c r="BA162" t="s">
        <v>74</v>
      </c>
      <c r="BB162">
        <v>151</v>
      </c>
      <c r="BC162">
        <v>158</v>
      </c>
      <c r="BD162" t="s">
        <v>74</v>
      </c>
      <c r="BE162" t="s">
        <v>4644</v>
      </c>
      <c r="BF162" t="str">
        <f>HYPERLINK("http://dx.doi.org/10.1006/anbe.1999.1121","http://dx.doi.org/10.1006/anbe.1999.1121")</f>
        <v>http://dx.doi.org/10.1006/anbe.1999.1121</v>
      </c>
      <c r="BG162" t="s">
        <v>74</v>
      </c>
      <c r="BH162" t="s">
        <v>74</v>
      </c>
      <c r="BI162" t="s">
        <v>74</v>
      </c>
      <c r="BJ162" t="s">
        <v>74</v>
      </c>
      <c r="BK162" t="s">
        <v>74</v>
      </c>
      <c r="BL162" t="s">
        <v>74</v>
      </c>
      <c r="BM162" t="s">
        <v>74</v>
      </c>
      <c r="BN162">
        <v>10413551</v>
      </c>
      <c r="BO162" t="s">
        <v>74</v>
      </c>
      <c r="BP162" t="s">
        <v>74</v>
      </c>
      <c r="BQ162" t="s">
        <v>74</v>
      </c>
      <c r="BR162" t="s">
        <v>74</v>
      </c>
      <c r="BS162" t="s">
        <v>4645</v>
      </c>
      <c r="BT162" t="str">
        <f>HYPERLINK("https%3A%2F%2Fwww.webofscience.com%2Fwos%2Fwoscc%2Ffull-record%2FWOS:000081982700017","View Full Record in Web of Science")</f>
        <v>View Full Record in Web of Science</v>
      </c>
    </row>
    <row r="163" spans="1:72" x14ac:dyDescent="0.4">
      <c r="A163" t="s">
        <v>72</v>
      </c>
      <c r="B163" t="s">
        <v>8216</v>
      </c>
      <c r="C163" t="s">
        <v>74</v>
      </c>
      <c r="D163" t="s">
        <v>74</v>
      </c>
      <c r="E163" t="s">
        <v>74</v>
      </c>
      <c r="F163" t="s">
        <v>8217</v>
      </c>
      <c r="G163" t="s">
        <v>74</v>
      </c>
      <c r="H163" t="s">
        <v>74</v>
      </c>
      <c r="I163" t="s">
        <v>8218</v>
      </c>
      <c r="J163" t="s">
        <v>1574</v>
      </c>
      <c r="K163" t="s">
        <v>74</v>
      </c>
      <c r="L163" t="s">
        <v>74</v>
      </c>
      <c r="M163" t="s">
        <v>74</v>
      </c>
      <c r="N163" t="s">
        <v>74</v>
      </c>
      <c r="O163" t="s">
        <v>74</v>
      </c>
      <c r="P163" t="s">
        <v>74</v>
      </c>
      <c r="Q163" t="s">
        <v>74</v>
      </c>
      <c r="R163" t="s">
        <v>74</v>
      </c>
      <c r="S163" t="s">
        <v>74</v>
      </c>
      <c r="T163" t="s">
        <v>74</v>
      </c>
      <c r="U163" t="s">
        <v>74</v>
      </c>
      <c r="V163" s="3" t="s">
        <v>8219</v>
      </c>
      <c r="W163" t="s">
        <v>74</v>
      </c>
      <c r="X163" t="s">
        <v>74</v>
      </c>
      <c r="Y163" t="s">
        <v>74</v>
      </c>
      <c r="Z163" t="s">
        <v>74</v>
      </c>
      <c r="AA163" t="s">
        <v>74</v>
      </c>
      <c r="AB163" t="s">
        <v>74</v>
      </c>
      <c r="AC163" t="s">
        <v>74</v>
      </c>
      <c r="AD163" t="s">
        <v>74</v>
      </c>
      <c r="AE163" t="s">
        <v>74</v>
      </c>
      <c r="AF163" t="s">
        <v>74</v>
      </c>
      <c r="AG163" t="s">
        <v>74</v>
      </c>
      <c r="AH163" t="s">
        <v>74</v>
      </c>
      <c r="AI163" t="s">
        <v>74</v>
      </c>
      <c r="AJ163" t="s">
        <v>74</v>
      </c>
      <c r="AK163" t="s">
        <v>74</v>
      </c>
      <c r="AL163" t="s">
        <v>74</v>
      </c>
      <c r="AM163" t="s">
        <v>74</v>
      </c>
      <c r="AN163" t="s">
        <v>74</v>
      </c>
      <c r="AO163" t="s">
        <v>1576</v>
      </c>
      <c r="AP163" t="s">
        <v>1577</v>
      </c>
      <c r="AQ163" t="s">
        <v>74</v>
      </c>
      <c r="AR163" t="s">
        <v>74</v>
      </c>
      <c r="AS163" t="s">
        <v>74</v>
      </c>
      <c r="AT163" t="s">
        <v>204</v>
      </c>
      <c r="AU163">
        <v>2022</v>
      </c>
      <c r="AV163">
        <v>97</v>
      </c>
      <c r="AW163" t="s">
        <v>1276</v>
      </c>
      <c r="AX163" t="s">
        <v>74</v>
      </c>
      <c r="AY163" t="s">
        <v>74</v>
      </c>
      <c r="AZ163" t="s">
        <v>74</v>
      </c>
      <c r="BA163" t="s">
        <v>74</v>
      </c>
      <c r="BB163">
        <v>184</v>
      </c>
      <c r="BC163">
        <v>196</v>
      </c>
      <c r="BD163" t="s">
        <v>74</v>
      </c>
      <c r="BE163" t="s">
        <v>8220</v>
      </c>
      <c r="BF163" t="str">
        <f>HYPERLINK("http://dx.doi.org/10.1159/000524217","http://dx.doi.org/10.1159/000524217")</f>
        <v>http://dx.doi.org/10.1159/000524217</v>
      </c>
      <c r="BG163" t="s">
        <v>74</v>
      </c>
      <c r="BH163" t="s">
        <v>74</v>
      </c>
      <c r="BI163" t="s">
        <v>74</v>
      </c>
      <c r="BJ163" t="s">
        <v>74</v>
      </c>
      <c r="BK163" t="s">
        <v>74</v>
      </c>
      <c r="BL163" t="s">
        <v>74</v>
      </c>
      <c r="BM163" t="s">
        <v>74</v>
      </c>
      <c r="BN163">
        <v>35320812</v>
      </c>
      <c r="BO163" t="s">
        <v>74</v>
      </c>
      <c r="BP163" t="s">
        <v>74</v>
      </c>
      <c r="BQ163" t="s">
        <v>74</v>
      </c>
      <c r="BR163" t="s">
        <v>74</v>
      </c>
      <c r="BS163" t="s">
        <v>8221</v>
      </c>
      <c r="BT163" t="str">
        <f>HYPERLINK("https%3A%2F%2Fwww.webofscience.com%2Fwos%2Fwoscc%2Ffull-record%2FWOS:000840266300008","View Full Record in Web of Science")</f>
        <v>View Full Record in Web of Science</v>
      </c>
    </row>
    <row r="164" spans="1:72" x14ac:dyDescent="0.4">
      <c r="A164" t="s">
        <v>72</v>
      </c>
      <c r="B164" t="s">
        <v>3913</v>
      </c>
      <c r="C164" t="s">
        <v>74</v>
      </c>
      <c r="D164" t="s">
        <v>74</v>
      </c>
      <c r="E164" t="s">
        <v>74</v>
      </c>
      <c r="F164" t="s">
        <v>3914</v>
      </c>
      <c r="G164" t="s">
        <v>74</v>
      </c>
      <c r="H164" t="s">
        <v>74</v>
      </c>
      <c r="I164" t="s">
        <v>3915</v>
      </c>
      <c r="J164" t="s">
        <v>1995</v>
      </c>
      <c r="K164" t="s">
        <v>74</v>
      </c>
      <c r="L164" t="s">
        <v>74</v>
      </c>
      <c r="M164" t="s">
        <v>74</v>
      </c>
      <c r="N164" t="s">
        <v>74</v>
      </c>
      <c r="O164" t="s">
        <v>74</v>
      </c>
      <c r="P164" t="s">
        <v>74</v>
      </c>
      <c r="Q164" t="s">
        <v>74</v>
      </c>
      <c r="R164" t="s">
        <v>74</v>
      </c>
      <c r="S164" t="s">
        <v>74</v>
      </c>
      <c r="T164" t="s">
        <v>74</v>
      </c>
      <c r="U164" t="s">
        <v>74</v>
      </c>
      <c r="V164" s="3" t="s">
        <v>3916</v>
      </c>
      <c r="W164" t="s">
        <v>74</v>
      </c>
      <c r="X164" t="s">
        <v>74</v>
      </c>
      <c r="Y164" t="s">
        <v>74</v>
      </c>
      <c r="Z164" t="s">
        <v>74</v>
      </c>
      <c r="AA164" t="s">
        <v>74</v>
      </c>
      <c r="AB164" t="s">
        <v>74</v>
      </c>
      <c r="AC164" t="s">
        <v>74</v>
      </c>
      <c r="AD164" t="s">
        <v>74</v>
      </c>
      <c r="AE164" t="s">
        <v>74</v>
      </c>
      <c r="AF164" t="s">
        <v>74</v>
      </c>
      <c r="AG164" t="s">
        <v>74</v>
      </c>
      <c r="AH164" t="s">
        <v>74</v>
      </c>
      <c r="AI164" t="s">
        <v>74</v>
      </c>
      <c r="AJ164" t="s">
        <v>74</v>
      </c>
      <c r="AK164" t="s">
        <v>74</v>
      </c>
      <c r="AL164" t="s">
        <v>74</v>
      </c>
      <c r="AM164" t="s">
        <v>74</v>
      </c>
      <c r="AN164" t="s">
        <v>74</v>
      </c>
      <c r="AO164" t="s">
        <v>1997</v>
      </c>
      <c r="AP164" t="s">
        <v>3917</v>
      </c>
      <c r="AQ164" t="s">
        <v>74</v>
      </c>
      <c r="AR164" t="s">
        <v>74</v>
      </c>
      <c r="AS164" t="s">
        <v>74</v>
      </c>
      <c r="AT164" t="s">
        <v>102</v>
      </c>
      <c r="AU164">
        <v>2009</v>
      </c>
      <c r="AV164">
        <v>80</v>
      </c>
      <c r="AW164">
        <v>2</v>
      </c>
      <c r="AX164" t="s">
        <v>74</v>
      </c>
      <c r="AY164" t="s">
        <v>74</v>
      </c>
      <c r="AZ164" t="s">
        <v>74</v>
      </c>
      <c r="BA164" t="s">
        <v>74</v>
      </c>
      <c r="BB164">
        <v>163</v>
      </c>
      <c r="BC164">
        <v>170</v>
      </c>
      <c r="BD164" t="s">
        <v>74</v>
      </c>
      <c r="BE164" t="s">
        <v>3918</v>
      </c>
      <c r="BF164" t="str">
        <f>HYPERLINK("http://dx.doi.org/10.1111/j.1557-9263.2009.00218.x","http://dx.doi.org/10.1111/j.1557-9263.2009.00218.x")</f>
        <v>http://dx.doi.org/10.1111/j.1557-9263.2009.00218.x</v>
      </c>
      <c r="BG164" t="s">
        <v>74</v>
      </c>
      <c r="BH164" t="s">
        <v>74</v>
      </c>
      <c r="BI164" t="s">
        <v>74</v>
      </c>
      <c r="BJ164" t="s">
        <v>74</v>
      </c>
      <c r="BK164" t="s">
        <v>74</v>
      </c>
      <c r="BL164" t="s">
        <v>74</v>
      </c>
      <c r="BM164" t="s">
        <v>74</v>
      </c>
      <c r="BN164" t="s">
        <v>74</v>
      </c>
      <c r="BO164" t="s">
        <v>74</v>
      </c>
      <c r="BP164" t="s">
        <v>74</v>
      </c>
      <c r="BQ164" t="s">
        <v>74</v>
      </c>
      <c r="BR164" t="s">
        <v>74</v>
      </c>
      <c r="BS164" t="s">
        <v>3919</v>
      </c>
      <c r="BT164" t="str">
        <f>HYPERLINK("https%3A%2F%2Fwww.webofscience.com%2Fwos%2Fwoscc%2Ffull-record%2FWOS:000266465200007","View Full Record in Web of Science")</f>
        <v>View Full Record in Web of Science</v>
      </c>
    </row>
    <row r="165" spans="1:72" x14ac:dyDescent="0.4">
      <c r="A165" t="s">
        <v>72</v>
      </c>
      <c r="B165" t="s">
        <v>4769</v>
      </c>
      <c r="C165" t="s">
        <v>74</v>
      </c>
      <c r="D165" t="s">
        <v>74</v>
      </c>
      <c r="E165" t="s">
        <v>74</v>
      </c>
      <c r="F165" t="s">
        <v>4770</v>
      </c>
      <c r="G165" t="s">
        <v>74</v>
      </c>
      <c r="H165" t="s">
        <v>74</v>
      </c>
      <c r="I165" t="s">
        <v>4771</v>
      </c>
      <c r="J165" t="s">
        <v>4772</v>
      </c>
      <c r="K165" t="s">
        <v>74</v>
      </c>
      <c r="L165" t="s">
        <v>74</v>
      </c>
      <c r="M165" t="s">
        <v>74</v>
      </c>
      <c r="N165" t="s">
        <v>74</v>
      </c>
      <c r="O165" t="s">
        <v>74</v>
      </c>
      <c r="P165" t="s">
        <v>74</v>
      </c>
      <c r="Q165" t="s">
        <v>74</v>
      </c>
      <c r="R165" t="s">
        <v>74</v>
      </c>
      <c r="S165" t="s">
        <v>74</v>
      </c>
      <c r="T165" t="s">
        <v>74</v>
      </c>
      <c r="U165" t="s">
        <v>74</v>
      </c>
      <c r="V165" s="3" t="s">
        <v>4773</v>
      </c>
      <c r="W165" t="s">
        <v>74</v>
      </c>
      <c r="X165" t="s">
        <v>74</v>
      </c>
      <c r="Y165" t="s">
        <v>74</v>
      </c>
      <c r="Z165" t="s">
        <v>74</v>
      </c>
      <c r="AA165" t="s">
        <v>74</v>
      </c>
      <c r="AB165" t="s">
        <v>74</v>
      </c>
      <c r="AC165" t="s">
        <v>74</v>
      </c>
      <c r="AD165" t="s">
        <v>74</v>
      </c>
      <c r="AE165" t="s">
        <v>74</v>
      </c>
      <c r="AF165" t="s">
        <v>74</v>
      </c>
      <c r="AG165" t="s">
        <v>74</v>
      </c>
      <c r="AH165" t="s">
        <v>74</v>
      </c>
      <c r="AI165" t="s">
        <v>74</v>
      </c>
      <c r="AJ165" t="s">
        <v>74</v>
      </c>
      <c r="AK165" t="s">
        <v>74</v>
      </c>
      <c r="AL165" t="s">
        <v>74</v>
      </c>
      <c r="AM165" t="s">
        <v>74</v>
      </c>
      <c r="AN165" t="s">
        <v>74</v>
      </c>
      <c r="AO165" t="s">
        <v>4774</v>
      </c>
      <c r="AP165" t="s">
        <v>74</v>
      </c>
      <c r="AQ165" t="s">
        <v>74</v>
      </c>
      <c r="AR165" t="s">
        <v>74</v>
      </c>
      <c r="AS165" t="s">
        <v>74</v>
      </c>
      <c r="AT165" t="s">
        <v>204</v>
      </c>
      <c r="AU165">
        <v>2010</v>
      </c>
      <c r="AV165">
        <v>49</v>
      </c>
      <c r="AW165">
        <v>4</v>
      </c>
      <c r="AX165" t="s">
        <v>74</v>
      </c>
      <c r="AY165" t="s">
        <v>74</v>
      </c>
      <c r="AZ165" t="s">
        <v>74</v>
      </c>
      <c r="BA165" t="s">
        <v>74</v>
      </c>
      <c r="BB165">
        <v>336</v>
      </c>
      <c r="BC165">
        <v>344</v>
      </c>
      <c r="BD165" t="s">
        <v>74</v>
      </c>
      <c r="BE165" t="s">
        <v>4775</v>
      </c>
      <c r="BF165" t="str">
        <f>HYPERLINK("http://dx.doi.org/10.2216/09-19.1","http://dx.doi.org/10.2216/09-19.1")</f>
        <v>http://dx.doi.org/10.2216/09-19.1</v>
      </c>
      <c r="BG165" t="s">
        <v>74</v>
      </c>
      <c r="BH165" t="s">
        <v>74</v>
      </c>
      <c r="BI165" t="s">
        <v>74</v>
      </c>
      <c r="BJ165" t="s">
        <v>74</v>
      </c>
      <c r="BK165" t="s">
        <v>74</v>
      </c>
      <c r="BL165" t="s">
        <v>74</v>
      </c>
      <c r="BM165" t="s">
        <v>74</v>
      </c>
      <c r="BN165" t="s">
        <v>74</v>
      </c>
      <c r="BO165" t="s">
        <v>74</v>
      </c>
      <c r="BP165" t="s">
        <v>74</v>
      </c>
      <c r="BQ165" t="s">
        <v>74</v>
      </c>
      <c r="BR165" t="s">
        <v>74</v>
      </c>
      <c r="BS165" t="s">
        <v>4776</v>
      </c>
      <c r="BT165" t="str">
        <f>HYPERLINK("https%3A%2F%2Fwww.webofscience.com%2Fwos%2Fwoscc%2Ffull-record%2FWOS:000280232300004","View Full Record in Web of Science")</f>
        <v>View Full Record in Web of Science</v>
      </c>
    </row>
    <row r="166" spans="1:72" x14ac:dyDescent="0.4">
      <c r="A166" t="s">
        <v>72</v>
      </c>
      <c r="B166" t="s">
        <v>6800</v>
      </c>
      <c r="C166" t="s">
        <v>74</v>
      </c>
      <c r="D166" t="s">
        <v>74</v>
      </c>
      <c r="E166" t="s">
        <v>74</v>
      </c>
      <c r="F166" t="s">
        <v>6800</v>
      </c>
      <c r="G166" t="s">
        <v>74</v>
      </c>
      <c r="H166" t="s">
        <v>74</v>
      </c>
      <c r="I166" t="s">
        <v>6801</v>
      </c>
      <c r="J166" t="s">
        <v>1198</v>
      </c>
      <c r="K166" t="s">
        <v>74</v>
      </c>
      <c r="L166" t="s">
        <v>74</v>
      </c>
      <c r="M166" t="s">
        <v>74</v>
      </c>
      <c r="N166" t="s">
        <v>74</v>
      </c>
      <c r="O166" t="s">
        <v>74</v>
      </c>
      <c r="P166" t="s">
        <v>74</v>
      </c>
      <c r="Q166" t="s">
        <v>74</v>
      </c>
      <c r="R166" t="s">
        <v>74</v>
      </c>
      <c r="S166" t="s">
        <v>74</v>
      </c>
      <c r="T166" t="s">
        <v>74</v>
      </c>
      <c r="U166" t="s">
        <v>74</v>
      </c>
      <c r="V166" s="3" t="s">
        <v>6802</v>
      </c>
      <c r="W166" t="s">
        <v>74</v>
      </c>
      <c r="X166" t="s">
        <v>74</v>
      </c>
      <c r="Y166" t="s">
        <v>74</v>
      </c>
      <c r="Z166" t="s">
        <v>74</v>
      </c>
      <c r="AA166" t="s">
        <v>74</v>
      </c>
      <c r="AB166" t="s">
        <v>74</v>
      </c>
      <c r="AC166" t="s">
        <v>74</v>
      </c>
      <c r="AD166" t="s">
        <v>74</v>
      </c>
      <c r="AE166" t="s">
        <v>74</v>
      </c>
      <c r="AF166" t="s">
        <v>74</v>
      </c>
      <c r="AG166" t="s">
        <v>74</v>
      </c>
      <c r="AH166" t="s">
        <v>74</v>
      </c>
      <c r="AI166" t="s">
        <v>74</v>
      </c>
      <c r="AJ166" t="s">
        <v>74</v>
      </c>
      <c r="AK166" t="s">
        <v>74</v>
      </c>
      <c r="AL166" t="s">
        <v>74</v>
      </c>
      <c r="AM166" t="s">
        <v>74</v>
      </c>
      <c r="AN166" t="s">
        <v>74</v>
      </c>
      <c r="AO166" t="s">
        <v>1202</v>
      </c>
      <c r="AP166" t="s">
        <v>1203</v>
      </c>
      <c r="AQ166" t="s">
        <v>74</v>
      </c>
      <c r="AR166" t="s">
        <v>74</v>
      </c>
      <c r="AS166" t="s">
        <v>74</v>
      </c>
      <c r="AT166" t="s">
        <v>102</v>
      </c>
      <c r="AU166">
        <v>1997</v>
      </c>
      <c r="AV166">
        <v>53</v>
      </c>
      <c r="AW166">
        <v>2</v>
      </c>
      <c r="AX166" t="s">
        <v>74</v>
      </c>
      <c r="AY166" t="s">
        <v>74</v>
      </c>
      <c r="AZ166" t="s">
        <v>74</v>
      </c>
      <c r="BA166" t="s">
        <v>74</v>
      </c>
      <c r="BB166">
        <v>206</v>
      </c>
      <c r="BC166">
        <v>217</v>
      </c>
      <c r="BD166" t="s">
        <v>74</v>
      </c>
      <c r="BE166" t="s">
        <v>74</v>
      </c>
      <c r="BF166" t="s">
        <v>74</v>
      </c>
      <c r="BG166" t="s">
        <v>74</v>
      </c>
      <c r="BH166" t="s">
        <v>74</v>
      </c>
      <c r="BI166" t="s">
        <v>74</v>
      </c>
      <c r="BJ166" t="s">
        <v>74</v>
      </c>
      <c r="BK166" t="s">
        <v>74</v>
      </c>
      <c r="BL166" t="s">
        <v>74</v>
      </c>
      <c r="BM166" t="s">
        <v>74</v>
      </c>
      <c r="BN166" t="s">
        <v>74</v>
      </c>
      <c r="BO166" t="s">
        <v>74</v>
      </c>
      <c r="BP166" t="s">
        <v>74</v>
      </c>
      <c r="BQ166" t="s">
        <v>74</v>
      </c>
      <c r="BR166" t="s">
        <v>74</v>
      </c>
      <c r="BS166" t="s">
        <v>6803</v>
      </c>
      <c r="BT166" t="str">
        <f>HYPERLINK("https%3A%2F%2Fwww.webofscience.com%2Fwos%2Fwoscc%2Ffull-record%2FWOS:A1997XC82700006","View Full Record in Web of Science")</f>
        <v>View Full Record in Web of Science</v>
      </c>
    </row>
    <row r="167" spans="1:72" x14ac:dyDescent="0.4">
      <c r="A167" t="s">
        <v>72</v>
      </c>
      <c r="B167" t="s">
        <v>8646</v>
      </c>
      <c r="C167" t="s">
        <v>74</v>
      </c>
      <c r="D167" t="s">
        <v>74</v>
      </c>
      <c r="E167" t="s">
        <v>74</v>
      </c>
      <c r="F167" t="s">
        <v>8647</v>
      </c>
      <c r="G167" t="s">
        <v>74</v>
      </c>
      <c r="H167" t="s">
        <v>74</v>
      </c>
      <c r="I167" t="s">
        <v>8648</v>
      </c>
      <c r="J167" t="s">
        <v>3605</v>
      </c>
      <c r="K167" t="s">
        <v>74</v>
      </c>
      <c r="L167" t="s">
        <v>74</v>
      </c>
      <c r="M167" t="s">
        <v>74</v>
      </c>
      <c r="N167" t="s">
        <v>74</v>
      </c>
      <c r="O167" t="s">
        <v>74</v>
      </c>
      <c r="P167" t="s">
        <v>74</v>
      </c>
      <c r="Q167" t="s">
        <v>74</v>
      </c>
      <c r="R167" t="s">
        <v>74</v>
      </c>
      <c r="S167" t="s">
        <v>74</v>
      </c>
      <c r="T167" t="s">
        <v>74</v>
      </c>
      <c r="U167" t="s">
        <v>74</v>
      </c>
      <c r="V167" s="3" t="s">
        <v>8649</v>
      </c>
      <c r="W167" t="s">
        <v>74</v>
      </c>
      <c r="X167" t="s">
        <v>74</v>
      </c>
      <c r="Y167" t="s">
        <v>74</v>
      </c>
      <c r="Z167" t="s">
        <v>74</v>
      </c>
      <c r="AA167" t="s">
        <v>8650</v>
      </c>
      <c r="AB167" t="s">
        <v>8651</v>
      </c>
      <c r="AC167" t="s">
        <v>74</v>
      </c>
      <c r="AD167" t="s">
        <v>74</v>
      </c>
      <c r="AE167" t="s">
        <v>74</v>
      </c>
      <c r="AF167" t="s">
        <v>74</v>
      </c>
      <c r="AG167" t="s">
        <v>74</v>
      </c>
      <c r="AH167" t="s">
        <v>74</v>
      </c>
      <c r="AI167" t="s">
        <v>74</v>
      </c>
      <c r="AJ167" t="s">
        <v>74</v>
      </c>
      <c r="AK167" t="s">
        <v>74</v>
      </c>
      <c r="AL167" t="s">
        <v>74</v>
      </c>
      <c r="AM167" t="s">
        <v>74</v>
      </c>
      <c r="AN167" t="s">
        <v>74</v>
      </c>
      <c r="AO167" t="s">
        <v>3607</v>
      </c>
      <c r="AP167" t="s">
        <v>3608</v>
      </c>
      <c r="AQ167" t="s">
        <v>74</v>
      </c>
      <c r="AR167" t="s">
        <v>74</v>
      </c>
      <c r="AS167" t="s">
        <v>74</v>
      </c>
      <c r="AT167" t="s">
        <v>352</v>
      </c>
      <c r="AU167">
        <v>2019</v>
      </c>
      <c r="AV167">
        <v>99</v>
      </c>
      <c r="AW167">
        <v>6</v>
      </c>
      <c r="AX167" t="s">
        <v>74</v>
      </c>
      <c r="AY167" t="s">
        <v>74</v>
      </c>
      <c r="AZ167" t="s">
        <v>74</v>
      </c>
      <c r="BA167" t="s">
        <v>74</v>
      </c>
      <c r="BB167">
        <v>1267</v>
      </c>
      <c r="BC167">
        <v>1271</v>
      </c>
      <c r="BD167" t="s">
        <v>8652</v>
      </c>
      <c r="BE167" t="s">
        <v>8653</v>
      </c>
      <c r="BF167" t="str">
        <f>HYPERLINK("http://dx.doi.org/10.1017/S0025315419000171","http://dx.doi.org/10.1017/S0025315419000171")</f>
        <v>http://dx.doi.org/10.1017/S0025315419000171</v>
      </c>
      <c r="BG167" t="s">
        <v>74</v>
      </c>
      <c r="BH167" t="s">
        <v>74</v>
      </c>
      <c r="BI167" t="s">
        <v>74</v>
      </c>
      <c r="BJ167" t="s">
        <v>74</v>
      </c>
      <c r="BK167" t="s">
        <v>74</v>
      </c>
      <c r="BL167" t="s">
        <v>74</v>
      </c>
      <c r="BM167" t="s">
        <v>74</v>
      </c>
      <c r="BN167" t="s">
        <v>74</v>
      </c>
      <c r="BO167" t="s">
        <v>74</v>
      </c>
      <c r="BP167" t="s">
        <v>74</v>
      </c>
      <c r="BQ167" t="s">
        <v>74</v>
      </c>
      <c r="BR167" t="s">
        <v>74</v>
      </c>
      <c r="BS167" t="s">
        <v>8654</v>
      </c>
      <c r="BT167" t="str">
        <f>HYPERLINK("https%3A%2F%2Fwww.webofscience.com%2Fwos%2Fwoscc%2Ffull-record%2FWOS:000482975700004","View Full Record in Web of Science")</f>
        <v>View Full Record in Web of Science</v>
      </c>
    </row>
    <row r="168" spans="1:72" x14ac:dyDescent="0.4">
      <c r="A168" t="s">
        <v>72</v>
      </c>
      <c r="B168" t="s">
        <v>5088</v>
      </c>
      <c r="C168" t="s">
        <v>74</v>
      </c>
      <c r="D168" t="s">
        <v>74</v>
      </c>
      <c r="E168" t="s">
        <v>74</v>
      </c>
      <c r="F168" t="s">
        <v>5089</v>
      </c>
      <c r="G168" t="s">
        <v>74</v>
      </c>
      <c r="H168" t="s">
        <v>74</v>
      </c>
      <c r="I168" t="s">
        <v>5090</v>
      </c>
      <c r="J168" t="s">
        <v>1635</v>
      </c>
      <c r="K168" t="s">
        <v>74</v>
      </c>
      <c r="L168" t="s">
        <v>74</v>
      </c>
      <c r="M168" t="s">
        <v>74</v>
      </c>
      <c r="N168" t="s">
        <v>74</v>
      </c>
      <c r="O168" t="s">
        <v>74</v>
      </c>
      <c r="P168" t="s">
        <v>74</v>
      </c>
      <c r="Q168" t="s">
        <v>74</v>
      </c>
      <c r="R168" t="s">
        <v>74</v>
      </c>
      <c r="S168" t="s">
        <v>74</v>
      </c>
      <c r="T168" t="s">
        <v>74</v>
      </c>
      <c r="U168" t="s">
        <v>74</v>
      </c>
      <c r="V168" s="3" t="s">
        <v>5091</v>
      </c>
      <c r="W168" t="s">
        <v>74</v>
      </c>
      <c r="X168" t="s">
        <v>74</v>
      </c>
      <c r="Y168" t="s">
        <v>74</v>
      </c>
      <c r="Z168" t="s">
        <v>74</v>
      </c>
      <c r="AA168" t="s">
        <v>74</v>
      </c>
      <c r="AB168" t="s">
        <v>74</v>
      </c>
      <c r="AC168" t="s">
        <v>74</v>
      </c>
      <c r="AD168" t="s">
        <v>74</v>
      </c>
      <c r="AE168" t="s">
        <v>74</v>
      </c>
      <c r="AF168" t="s">
        <v>74</v>
      </c>
      <c r="AG168" t="s">
        <v>74</v>
      </c>
      <c r="AH168" t="s">
        <v>74</v>
      </c>
      <c r="AI168" t="s">
        <v>74</v>
      </c>
      <c r="AJ168" t="s">
        <v>74</v>
      </c>
      <c r="AK168" t="s">
        <v>74</v>
      </c>
      <c r="AL168" t="s">
        <v>74</v>
      </c>
      <c r="AM168" t="s">
        <v>74</v>
      </c>
      <c r="AN168" t="s">
        <v>74</v>
      </c>
      <c r="AO168" t="s">
        <v>1639</v>
      </c>
      <c r="AP168" t="s">
        <v>1640</v>
      </c>
      <c r="AQ168" t="s">
        <v>74</v>
      </c>
      <c r="AR168" t="s">
        <v>74</v>
      </c>
      <c r="AS168" t="s">
        <v>74</v>
      </c>
      <c r="AT168" t="s">
        <v>5092</v>
      </c>
      <c r="AU168">
        <v>2009</v>
      </c>
      <c r="AV168">
        <v>364</v>
      </c>
      <c r="AW168">
        <v>1516</v>
      </c>
      <c r="AX168" t="s">
        <v>74</v>
      </c>
      <c r="AY168" t="s">
        <v>74</v>
      </c>
      <c r="AZ168" t="s">
        <v>74</v>
      </c>
      <c r="BA168" t="s">
        <v>74</v>
      </c>
      <c r="BB168">
        <v>537</v>
      </c>
      <c r="BC168">
        <v>548</v>
      </c>
      <c r="BD168" t="s">
        <v>74</v>
      </c>
      <c r="BE168" t="s">
        <v>5093</v>
      </c>
      <c r="BF168" t="str">
        <f>HYPERLINK("http://dx.doi.org/10.1098/rstb.2008.0221","http://dx.doi.org/10.1098/rstb.2008.0221")</f>
        <v>http://dx.doi.org/10.1098/rstb.2008.0221</v>
      </c>
      <c r="BG168" t="s">
        <v>74</v>
      </c>
      <c r="BH168" t="s">
        <v>74</v>
      </c>
      <c r="BI168" t="s">
        <v>74</v>
      </c>
      <c r="BJ168" t="s">
        <v>74</v>
      </c>
      <c r="BK168" t="s">
        <v>74</v>
      </c>
      <c r="BL168" t="s">
        <v>74</v>
      </c>
      <c r="BM168" t="s">
        <v>74</v>
      </c>
      <c r="BN168">
        <v>18990666</v>
      </c>
      <c r="BO168" t="s">
        <v>74</v>
      </c>
      <c r="BP168" t="s">
        <v>74</v>
      </c>
      <c r="BQ168" t="s">
        <v>74</v>
      </c>
      <c r="BR168" t="s">
        <v>74</v>
      </c>
      <c r="BS168" t="s">
        <v>5094</v>
      </c>
      <c r="BT168" t="str">
        <f>HYPERLINK("https%3A%2F%2Fwww.webofscience.com%2Fwos%2Fwoscc%2Ffull-record%2FWOS:000262353500014","View Full Record in Web of Science")</f>
        <v>View Full Record in Web of Science</v>
      </c>
    </row>
    <row r="169" spans="1:72" x14ac:dyDescent="0.4">
      <c r="A169" t="s">
        <v>72</v>
      </c>
      <c r="B169" t="s">
        <v>8739</v>
      </c>
      <c r="C169" t="s">
        <v>74</v>
      </c>
      <c r="D169" t="s">
        <v>74</v>
      </c>
      <c r="E169" t="s">
        <v>74</v>
      </c>
      <c r="F169" t="s">
        <v>8740</v>
      </c>
      <c r="G169" t="s">
        <v>74</v>
      </c>
      <c r="H169" t="s">
        <v>74</v>
      </c>
      <c r="I169" t="s">
        <v>8741</v>
      </c>
      <c r="J169" t="s">
        <v>8742</v>
      </c>
      <c r="K169" t="s">
        <v>74</v>
      </c>
      <c r="L169" t="s">
        <v>74</v>
      </c>
      <c r="M169" t="s">
        <v>74</v>
      </c>
      <c r="N169" t="s">
        <v>74</v>
      </c>
      <c r="O169" t="s">
        <v>74</v>
      </c>
      <c r="P169" t="s">
        <v>74</v>
      </c>
      <c r="Q169" t="s">
        <v>74</v>
      </c>
      <c r="R169" t="s">
        <v>74</v>
      </c>
      <c r="S169" t="s">
        <v>74</v>
      </c>
      <c r="T169" t="s">
        <v>74</v>
      </c>
      <c r="U169" t="s">
        <v>74</v>
      </c>
      <c r="V169" s="3" t="s">
        <v>8743</v>
      </c>
      <c r="W169" t="s">
        <v>74</v>
      </c>
      <c r="X169" t="s">
        <v>74</v>
      </c>
      <c r="Y169" t="s">
        <v>74</v>
      </c>
      <c r="Z169" t="s">
        <v>74</v>
      </c>
      <c r="AA169" t="s">
        <v>8744</v>
      </c>
      <c r="AB169" t="s">
        <v>74</v>
      </c>
      <c r="AC169" t="s">
        <v>74</v>
      </c>
      <c r="AD169" t="s">
        <v>74</v>
      </c>
      <c r="AE169" t="s">
        <v>74</v>
      </c>
      <c r="AF169" t="s">
        <v>74</v>
      </c>
      <c r="AG169" t="s">
        <v>74</v>
      </c>
      <c r="AH169" t="s">
        <v>74</v>
      </c>
      <c r="AI169" t="s">
        <v>74</v>
      </c>
      <c r="AJ169" t="s">
        <v>74</v>
      </c>
      <c r="AK169" t="s">
        <v>74</v>
      </c>
      <c r="AL169" t="s">
        <v>74</v>
      </c>
      <c r="AM169" t="s">
        <v>74</v>
      </c>
      <c r="AN169" t="s">
        <v>74</v>
      </c>
      <c r="AO169" t="s">
        <v>8745</v>
      </c>
      <c r="AP169" t="s">
        <v>74</v>
      </c>
      <c r="AQ169" t="s">
        <v>74</v>
      </c>
      <c r="AR169" t="s">
        <v>74</v>
      </c>
      <c r="AS169" t="s">
        <v>74</v>
      </c>
      <c r="AT169" t="s">
        <v>1146</v>
      </c>
      <c r="AU169">
        <v>2014</v>
      </c>
      <c r="AV169">
        <v>8</v>
      </c>
      <c r="AW169" t="s">
        <v>74</v>
      </c>
      <c r="AX169" t="s">
        <v>74</v>
      </c>
      <c r="AY169" t="s">
        <v>74</v>
      </c>
      <c r="AZ169" t="s">
        <v>74</v>
      </c>
      <c r="BA169" t="s">
        <v>74</v>
      </c>
      <c r="BB169" t="s">
        <v>74</v>
      </c>
      <c r="BC169" t="s">
        <v>74</v>
      </c>
      <c r="BD169">
        <v>259</v>
      </c>
      <c r="BE169" t="s">
        <v>8746</v>
      </c>
      <c r="BF169" t="str">
        <f>HYPERLINK("http://dx.doi.org/10.3389/fnbeh.2014.00259","http://dx.doi.org/10.3389/fnbeh.2014.00259")</f>
        <v>http://dx.doi.org/10.3389/fnbeh.2014.00259</v>
      </c>
      <c r="BG169" t="s">
        <v>74</v>
      </c>
      <c r="BH169" t="s">
        <v>74</v>
      </c>
      <c r="BI169" t="s">
        <v>74</v>
      </c>
      <c r="BJ169" t="s">
        <v>74</v>
      </c>
      <c r="BK169" t="s">
        <v>74</v>
      </c>
      <c r="BL169" t="s">
        <v>74</v>
      </c>
      <c r="BM169" t="s">
        <v>74</v>
      </c>
      <c r="BN169">
        <v>25136298</v>
      </c>
      <c r="BO169" t="s">
        <v>74</v>
      </c>
      <c r="BP169" t="s">
        <v>74</v>
      </c>
      <c r="BQ169" t="s">
        <v>74</v>
      </c>
      <c r="BR169" t="s">
        <v>74</v>
      </c>
      <c r="BS169" t="s">
        <v>8747</v>
      </c>
      <c r="BT169" t="str">
        <f>HYPERLINK("https%3A%2F%2Fwww.webofscience.com%2Fwos%2Fwoscc%2Ffull-record%2FWOS:000340901400001","View Full Record in Web of Science")</f>
        <v>View Full Record in Web of Science</v>
      </c>
    </row>
    <row r="170" spans="1:72" x14ac:dyDescent="0.4">
      <c r="A170" t="s">
        <v>72</v>
      </c>
      <c r="B170" t="s">
        <v>2615</v>
      </c>
      <c r="C170" t="s">
        <v>74</v>
      </c>
      <c r="D170" t="s">
        <v>74</v>
      </c>
      <c r="E170" t="s">
        <v>74</v>
      </c>
      <c r="F170" t="s">
        <v>2615</v>
      </c>
      <c r="G170" t="s">
        <v>74</v>
      </c>
      <c r="H170" t="s">
        <v>74</v>
      </c>
      <c r="I170" t="s">
        <v>2616</v>
      </c>
      <c r="J170" t="s">
        <v>1812</v>
      </c>
      <c r="K170" t="s">
        <v>74</v>
      </c>
      <c r="L170" t="s">
        <v>74</v>
      </c>
      <c r="M170" t="s">
        <v>74</v>
      </c>
      <c r="N170" t="s">
        <v>74</v>
      </c>
      <c r="O170" t="s">
        <v>74</v>
      </c>
      <c r="P170" t="s">
        <v>74</v>
      </c>
      <c r="Q170" t="s">
        <v>74</v>
      </c>
      <c r="R170" t="s">
        <v>74</v>
      </c>
      <c r="S170" t="s">
        <v>74</v>
      </c>
      <c r="T170" t="s">
        <v>74</v>
      </c>
      <c r="U170" t="s">
        <v>74</v>
      </c>
      <c r="V170" s="3" t="s">
        <v>2617</v>
      </c>
      <c r="W170" t="s">
        <v>74</v>
      </c>
      <c r="X170" t="s">
        <v>74</v>
      </c>
      <c r="Y170" t="s">
        <v>74</v>
      </c>
      <c r="Z170" t="s">
        <v>74</v>
      </c>
      <c r="AA170" t="s">
        <v>74</v>
      </c>
      <c r="AB170" t="s">
        <v>74</v>
      </c>
      <c r="AC170" t="s">
        <v>74</v>
      </c>
      <c r="AD170" t="s">
        <v>74</v>
      </c>
      <c r="AE170" t="s">
        <v>74</v>
      </c>
      <c r="AF170" t="s">
        <v>74</v>
      </c>
      <c r="AG170" t="s">
        <v>74</v>
      </c>
      <c r="AH170" t="s">
        <v>74</v>
      </c>
      <c r="AI170" t="s">
        <v>74</v>
      </c>
      <c r="AJ170" t="s">
        <v>74</v>
      </c>
      <c r="AK170" t="s">
        <v>74</v>
      </c>
      <c r="AL170" t="s">
        <v>74</v>
      </c>
      <c r="AM170" t="s">
        <v>74</v>
      </c>
      <c r="AN170" t="s">
        <v>74</v>
      </c>
      <c r="AO170" t="s">
        <v>1814</v>
      </c>
      <c r="AP170" t="s">
        <v>74</v>
      </c>
      <c r="AQ170" t="s">
        <v>74</v>
      </c>
      <c r="AR170" t="s">
        <v>74</v>
      </c>
      <c r="AS170" t="s">
        <v>74</v>
      </c>
      <c r="AT170" t="s">
        <v>123</v>
      </c>
      <c r="AU170">
        <v>1995</v>
      </c>
      <c r="AV170">
        <v>29</v>
      </c>
      <c r="AW170">
        <v>1</v>
      </c>
      <c r="AX170" t="s">
        <v>74</v>
      </c>
      <c r="AY170" t="s">
        <v>74</v>
      </c>
      <c r="AZ170" t="s">
        <v>74</v>
      </c>
      <c r="BA170" t="s">
        <v>74</v>
      </c>
      <c r="BB170">
        <v>7</v>
      </c>
      <c r="BC170">
        <v>13</v>
      </c>
      <c r="BD170" t="s">
        <v>74</v>
      </c>
      <c r="BE170" t="s">
        <v>2618</v>
      </c>
      <c r="BF170" t="str">
        <f>HYPERLINK("http://dx.doi.org/10.2307/1565079","http://dx.doi.org/10.2307/1565079")</f>
        <v>http://dx.doi.org/10.2307/1565079</v>
      </c>
      <c r="BG170" t="s">
        <v>74</v>
      </c>
      <c r="BH170" t="s">
        <v>74</v>
      </c>
      <c r="BI170" t="s">
        <v>74</v>
      </c>
      <c r="BJ170" t="s">
        <v>74</v>
      </c>
      <c r="BK170" t="s">
        <v>74</v>
      </c>
      <c r="BL170" t="s">
        <v>74</v>
      </c>
      <c r="BM170" t="s">
        <v>74</v>
      </c>
      <c r="BN170" t="s">
        <v>74</v>
      </c>
      <c r="BO170" t="s">
        <v>74</v>
      </c>
      <c r="BP170" t="s">
        <v>74</v>
      </c>
      <c r="BQ170" t="s">
        <v>74</v>
      </c>
      <c r="BR170" t="s">
        <v>74</v>
      </c>
      <c r="BS170" t="s">
        <v>2619</v>
      </c>
      <c r="BT170" t="str">
        <f>HYPERLINK("https%3A%2F%2Fwww.webofscience.com%2Fwos%2Fwoscc%2Ffull-record%2FWOS:A1995QM52600002","View Full Record in Web of Science")</f>
        <v>View Full Record in Web of Science</v>
      </c>
    </row>
    <row r="171" spans="1:72" x14ac:dyDescent="0.4">
      <c r="A171" t="s">
        <v>72</v>
      </c>
      <c r="B171" t="s">
        <v>7904</v>
      </c>
      <c r="C171" t="s">
        <v>74</v>
      </c>
      <c r="D171" t="s">
        <v>74</v>
      </c>
      <c r="E171" t="s">
        <v>74</v>
      </c>
      <c r="F171" t="s">
        <v>7905</v>
      </c>
      <c r="G171" t="s">
        <v>74</v>
      </c>
      <c r="H171" t="s">
        <v>74</v>
      </c>
      <c r="I171" t="s">
        <v>7906</v>
      </c>
      <c r="J171" t="s">
        <v>99</v>
      </c>
      <c r="K171" t="s">
        <v>74</v>
      </c>
      <c r="L171" t="s">
        <v>74</v>
      </c>
      <c r="M171" t="s">
        <v>74</v>
      </c>
      <c r="N171" t="s">
        <v>74</v>
      </c>
      <c r="O171" t="s">
        <v>74</v>
      </c>
      <c r="P171" t="s">
        <v>74</v>
      </c>
      <c r="Q171" t="s">
        <v>74</v>
      </c>
      <c r="R171" t="s">
        <v>74</v>
      </c>
      <c r="S171" t="s">
        <v>74</v>
      </c>
      <c r="T171" t="s">
        <v>74</v>
      </c>
      <c r="U171" t="s">
        <v>74</v>
      </c>
      <c r="V171" s="3" t="s">
        <v>7907</v>
      </c>
      <c r="W171" t="s">
        <v>74</v>
      </c>
      <c r="X171" t="s">
        <v>74</v>
      </c>
      <c r="Y171" t="s">
        <v>74</v>
      </c>
      <c r="Z171" t="s">
        <v>74</v>
      </c>
      <c r="AA171" t="s">
        <v>74</v>
      </c>
      <c r="AB171" t="s">
        <v>74</v>
      </c>
      <c r="AC171" t="s">
        <v>74</v>
      </c>
      <c r="AD171" t="s">
        <v>74</v>
      </c>
      <c r="AE171" t="s">
        <v>74</v>
      </c>
      <c r="AF171" t="s">
        <v>74</v>
      </c>
      <c r="AG171" t="s">
        <v>74</v>
      </c>
      <c r="AH171" t="s">
        <v>74</v>
      </c>
      <c r="AI171" t="s">
        <v>74</v>
      </c>
      <c r="AJ171" t="s">
        <v>74</v>
      </c>
      <c r="AK171" t="s">
        <v>74</v>
      </c>
      <c r="AL171" t="s">
        <v>74</v>
      </c>
      <c r="AM171" t="s">
        <v>74</v>
      </c>
      <c r="AN171" t="s">
        <v>74</v>
      </c>
      <c r="AO171" t="s">
        <v>101</v>
      </c>
      <c r="AP171" t="s">
        <v>1218</v>
      </c>
      <c r="AQ171" t="s">
        <v>74</v>
      </c>
      <c r="AR171" t="s">
        <v>74</v>
      </c>
      <c r="AS171" t="s">
        <v>74</v>
      </c>
      <c r="AT171" t="s">
        <v>102</v>
      </c>
      <c r="AU171">
        <v>2020</v>
      </c>
      <c r="AV171">
        <v>132</v>
      </c>
      <c r="AW171">
        <v>2</v>
      </c>
      <c r="AX171" t="s">
        <v>74</v>
      </c>
      <c r="AY171" t="s">
        <v>74</v>
      </c>
      <c r="AZ171" t="s">
        <v>74</v>
      </c>
      <c r="BA171" t="s">
        <v>74</v>
      </c>
      <c r="BB171">
        <v>295</v>
      </c>
      <c r="BC171">
        <v>305</v>
      </c>
      <c r="BD171" t="s">
        <v>74</v>
      </c>
      <c r="BE171" t="s">
        <v>7908</v>
      </c>
      <c r="BF171" t="str">
        <f>HYPERLINK("http://dx.doi.org/10.1676/1559-4491-132.2.295","http://dx.doi.org/10.1676/1559-4491-132.2.295")</f>
        <v>http://dx.doi.org/10.1676/1559-4491-132.2.295</v>
      </c>
      <c r="BG171" t="s">
        <v>74</v>
      </c>
      <c r="BH171" t="s">
        <v>74</v>
      </c>
      <c r="BI171" t="s">
        <v>74</v>
      </c>
      <c r="BJ171" t="s">
        <v>74</v>
      </c>
      <c r="BK171" t="s">
        <v>74</v>
      </c>
      <c r="BL171" t="s">
        <v>74</v>
      </c>
      <c r="BM171" t="s">
        <v>74</v>
      </c>
      <c r="BN171" t="s">
        <v>74</v>
      </c>
      <c r="BO171" t="s">
        <v>74</v>
      </c>
      <c r="BP171" t="s">
        <v>74</v>
      </c>
      <c r="BQ171" t="s">
        <v>74</v>
      </c>
      <c r="BR171" t="s">
        <v>74</v>
      </c>
      <c r="BS171" t="s">
        <v>7909</v>
      </c>
      <c r="BT171" t="str">
        <f>HYPERLINK("https%3A%2F%2Fwww.webofscience.com%2Fwos%2Fwoscc%2Ffull-record%2FWOS:000617763600006","View Full Record in Web of Science")</f>
        <v>View Full Record in Web of Science</v>
      </c>
    </row>
    <row r="172" spans="1:72" x14ac:dyDescent="0.4">
      <c r="A172" t="s">
        <v>72</v>
      </c>
      <c r="B172" t="s">
        <v>5482</v>
      </c>
      <c r="C172" t="s">
        <v>74</v>
      </c>
      <c r="D172" t="s">
        <v>74</v>
      </c>
      <c r="E172" t="s">
        <v>74</v>
      </c>
      <c r="F172" t="s">
        <v>5483</v>
      </c>
      <c r="G172" t="s">
        <v>74</v>
      </c>
      <c r="H172" t="s">
        <v>74</v>
      </c>
      <c r="I172" t="s">
        <v>5484</v>
      </c>
      <c r="J172" t="s">
        <v>129</v>
      </c>
      <c r="K172" t="s">
        <v>74</v>
      </c>
      <c r="L172" t="s">
        <v>74</v>
      </c>
      <c r="M172" t="s">
        <v>74</v>
      </c>
      <c r="N172" t="s">
        <v>74</v>
      </c>
      <c r="O172" t="s">
        <v>74</v>
      </c>
      <c r="P172" t="s">
        <v>74</v>
      </c>
      <c r="Q172" t="s">
        <v>74</v>
      </c>
      <c r="R172" t="s">
        <v>74</v>
      </c>
      <c r="S172" t="s">
        <v>74</v>
      </c>
      <c r="T172" t="s">
        <v>74</v>
      </c>
      <c r="U172" t="s">
        <v>74</v>
      </c>
      <c r="V172" s="3" t="s">
        <v>5485</v>
      </c>
      <c r="W172" t="s">
        <v>74</v>
      </c>
      <c r="X172" t="s">
        <v>74</v>
      </c>
      <c r="Y172" t="s">
        <v>74</v>
      </c>
      <c r="Z172" t="s">
        <v>74</v>
      </c>
      <c r="AA172" t="s">
        <v>5486</v>
      </c>
      <c r="AB172" t="s">
        <v>5487</v>
      </c>
      <c r="AC172" t="s">
        <v>74</v>
      </c>
      <c r="AD172" t="s">
        <v>74</v>
      </c>
      <c r="AE172" t="s">
        <v>74</v>
      </c>
      <c r="AF172" t="s">
        <v>74</v>
      </c>
      <c r="AG172" t="s">
        <v>74</v>
      </c>
      <c r="AH172" t="s">
        <v>74</v>
      </c>
      <c r="AI172" t="s">
        <v>74</v>
      </c>
      <c r="AJ172" t="s">
        <v>74</v>
      </c>
      <c r="AK172" t="s">
        <v>74</v>
      </c>
      <c r="AL172" t="s">
        <v>74</v>
      </c>
      <c r="AM172" t="s">
        <v>74</v>
      </c>
      <c r="AN172" t="s">
        <v>74</v>
      </c>
      <c r="AO172" t="s">
        <v>132</v>
      </c>
      <c r="AP172" t="s">
        <v>133</v>
      </c>
      <c r="AQ172" t="s">
        <v>74</v>
      </c>
      <c r="AR172" t="s">
        <v>74</v>
      </c>
      <c r="AS172" t="s">
        <v>74</v>
      </c>
      <c r="AT172" t="s">
        <v>102</v>
      </c>
      <c r="AU172">
        <v>2022</v>
      </c>
      <c r="AV172">
        <v>76</v>
      </c>
      <c r="AW172">
        <v>6</v>
      </c>
      <c r="AX172" t="s">
        <v>74</v>
      </c>
      <c r="AY172" t="s">
        <v>74</v>
      </c>
      <c r="AZ172" t="s">
        <v>74</v>
      </c>
      <c r="BA172" t="s">
        <v>74</v>
      </c>
      <c r="BB172" t="s">
        <v>74</v>
      </c>
      <c r="BC172" t="s">
        <v>74</v>
      </c>
      <c r="BD172">
        <v>77</v>
      </c>
      <c r="BE172" t="s">
        <v>5488</v>
      </c>
      <c r="BF172" t="str">
        <f>HYPERLINK("http://dx.doi.org/10.1007/s00265-022-03181-x","http://dx.doi.org/10.1007/s00265-022-03181-x")</f>
        <v>http://dx.doi.org/10.1007/s00265-022-03181-x</v>
      </c>
      <c r="BG172" t="s">
        <v>74</v>
      </c>
      <c r="BH172" t="s">
        <v>74</v>
      </c>
      <c r="BI172" t="s">
        <v>74</v>
      </c>
      <c r="BJ172" t="s">
        <v>74</v>
      </c>
      <c r="BK172" t="s">
        <v>74</v>
      </c>
      <c r="BL172" t="s">
        <v>74</v>
      </c>
      <c r="BM172" t="s">
        <v>74</v>
      </c>
      <c r="BN172" t="s">
        <v>74</v>
      </c>
      <c r="BO172" t="s">
        <v>74</v>
      </c>
      <c r="BP172" t="s">
        <v>74</v>
      </c>
      <c r="BQ172" t="s">
        <v>74</v>
      </c>
      <c r="BR172" t="s">
        <v>74</v>
      </c>
      <c r="BS172" t="s">
        <v>5489</v>
      </c>
      <c r="BT172" t="str">
        <f>HYPERLINK("https%3A%2F%2Fwww.webofscience.com%2Fwos%2Fwoscc%2Ffull-record%2FWOS:000804747400001","View Full Record in Web of Science")</f>
        <v>View Full Record in Web of Science</v>
      </c>
    </row>
    <row r="173" spans="1:72" x14ac:dyDescent="0.4">
      <c r="A173" t="s">
        <v>72</v>
      </c>
      <c r="B173" t="s">
        <v>1892</v>
      </c>
      <c r="C173" t="s">
        <v>74</v>
      </c>
      <c r="D173" t="s">
        <v>74</v>
      </c>
      <c r="E173" t="s">
        <v>74</v>
      </c>
      <c r="F173" t="s">
        <v>1893</v>
      </c>
      <c r="G173" t="s">
        <v>74</v>
      </c>
      <c r="H173" t="s">
        <v>74</v>
      </c>
      <c r="I173" t="s">
        <v>1894</v>
      </c>
      <c r="J173" t="s">
        <v>1384</v>
      </c>
      <c r="K173" t="s">
        <v>74</v>
      </c>
      <c r="L173" t="s">
        <v>74</v>
      </c>
      <c r="M173" t="s">
        <v>74</v>
      </c>
      <c r="N173" t="s">
        <v>74</v>
      </c>
      <c r="O173" t="s">
        <v>74</v>
      </c>
      <c r="P173" t="s">
        <v>74</v>
      </c>
      <c r="Q173" t="s">
        <v>74</v>
      </c>
      <c r="R173" t="s">
        <v>74</v>
      </c>
      <c r="S173" t="s">
        <v>74</v>
      </c>
      <c r="T173" t="s">
        <v>74</v>
      </c>
      <c r="U173" t="s">
        <v>74</v>
      </c>
      <c r="V173" s="3" t="s">
        <v>1895</v>
      </c>
      <c r="W173" t="s">
        <v>74</v>
      </c>
      <c r="X173" t="s">
        <v>74</v>
      </c>
      <c r="Y173" t="s">
        <v>74</v>
      </c>
      <c r="Z173" t="s">
        <v>74</v>
      </c>
      <c r="AA173" t="s">
        <v>1896</v>
      </c>
      <c r="AB173" t="s">
        <v>1897</v>
      </c>
      <c r="AC173" t="s">
        <v>74</v>
      </c>
      <c r="AD173" t="s">
        <v>74</v>
      </c>
      <c r="AE173" t="s">
        <v>74</v>
      </c>
      <c r="AF173" t="s">
        <v>74</v>
      </c>
      <c r="AG173" t="s">
        <v>74</v>
      </c>
      <c r="AH173" t="s">
        <v>74</v>
      </c>
      <c r="AI173" t="s">
        <v>74</v>
      </c>
      <c r="AJ173" t="s">
        <v>74</v>
      </c>
      <c r="AK173" t="s">
        <v>74</v>
      </c>
      <c r="AL173" t="s">
        <v>74</v>
      </c>
      <c r="AM173" t="s">
        <v>74</v>
      </c>
      <c r="AN173" t="s">
        <v>74</v>
      </c>
      <c r="AO173" t="s">
        <v>1388</v>
      </c>
      <c r="AP173" t="s">
        <v>1389</v>
      </c>
      <c r="AQ173" t="s">
        <v>74</v>
      </c>
      <c r="AR173" t="s">
        <v>74</v>
      </c>
      <c r="AS173" t="s">
        <v>74</v>
      </c>
      <c r="AT173" t="s">
        <v>175</v>
      </c>
      <c r="AU173">
        <v>2009</v>
      </c>
      <c r="AV173">
        <v>151</v>
      </c>
      <c r="AW173">
        <v>4</v>
      </c>
      <c r="AX173" t="s">
        <v>74</v>
      </c>
      <c r="AY173" t="s">
        <v>74</v>
      </c>
      <c r="AZ173" t="s">
        <v>74</v>
      </c>
      <c r="BA173" t="s">
        <v>74</v>
      </c>
      <c r="BB173">
        <v>689</v>
      </c>
      <c r="BC173">
        <v>698</v>
      </c>
      <c r="BD173" t="s">
        <v>74</v>
      </c>
      <c r="BE173" t="s">
        <v>1898</v>
      </c>
      <c r="BF173" t="str">
        <f>HYPERLINK("http://dx.doi.org/10.1111/j.1474-919X.2009.00953.x","http://dx.doi.org/10.1111/j.1474-919X.2009.00953.x")</f>
        <v>http://dx.doi.org/10.1111/j.1474-919X.2009.00953.x</v>
      </c>
      <c r="BG173" t="s">
        <v>74</v>
      </c>
      <c r="BH173" t="s">
        <v>74</v>
      </c>
      <c r="BI173" t="s">
        <v>74</v>
      </c>
      <c r="BJ173" t="s">
        <v>74</v>
      </c>
      <c r="BK173" t="s">
        <v>74</v>
      </c>
      <c r="BL173" t="s">
        <v>74</v>
      </c>
      <c r="BM173" t="s">
        <v>74</v>
      </c>
      <c r="BN173" t="s">
        <v>74</v>
      </c>
      <c r="BO173" t="s">
        <v>74</v>
      </c>
      <c r="BP173" t="s">
        <v>74</v>
      </c>
      <c r="BQ173" t="s">
        <v>74</v>
      </c>
      <c r="BR173" t="s">
        <v>74</v>
      </c>
      <c r="BS173" t="s">
        <v>1899</v>
      </c>
      <c r="BT173" t="str">
        <f>HYPERLINK("https%3A%2F%2Fwww.webofscience.com%2Fwos%2Fwoscc%2Ffull-record%2FWOS:000269977000006","View Full Record in Web of Science")</f>
        <v>View Full Record in Web of Science</v>
      </c>
    </row>
    <row r="174" spans="1:72" x14ac:dyDescent="0.4">
      <c r="A174" t="s">
        <v>72</v>
      </c>
      <c r="B174" t="s">
        <v>1264</v>
      </c>
      <c r="C174" t="s">
        <v>74</v>
      </c>
      <c r="D174" t="s">
        <v>74</v>
      </c>
      <c r="E174" t="s">
        <v>74</v>
      </c>
      <c r="F174" t="s">
        <v>1265</v>
      </c>
      <c r="G174" t="s">
        <v>74</v>
      </c>
      <c r="H174" t="s">
        <v>74</v>
      </c>
      <c r="I174" t="s">
        <v>1266</v>
      </c>
      <c r="J174" t="s">
        <v>88</v>
      </c>
      <c r="K174" t="s">
        <v>74</v>
      </c>
      <c r="L174" t="s">
        <v>74</v>
      </c>
      <c r="M174" t="s">
        <v>74</v>
      </c>
      <c r="N174" t="s">
        <v>74</v>
      </c>
      <c r="O174" t="s">
        <v>74</v>
      </c>
      <c r="P174" t="s">
        <v>74</v>
      </c>
      <c r="Q174" t="s">
        <v>74</v>
      </c>
      <c r="R174" t="s">
        <v>74</v>
      </c>
      <c r="S174" t="s">
        <v>74</v>
      </c>
      <c r="T174" t="s">
        <v>74</v>
      </c>
      <c r="U174" t="s">
        <v>74</v>
      </c>
      <c r="V174" s="3" t="s">
        <v>1267</v>
      </c>
      <c r="W174" t="s">
        <v>74</v>
      </c>
      <c r="X174" t="s">
        <v>74</v>
      </c>
      <c r="Y174" t="s">
        <v>74</v>
      </c>
      <c r="Z174" t="s">
        <v>74</v>
      </c>
      <c r="AA174" t="s">
        <v>1268</v>
      </c>
      <c r="AB174" t="s">
        <v>1269</v>
      </c>
      <c r="AC174" t="s">
        <v>74</v>
      </c>
      <c r="AD174" t="s">
        <v>74</v>
      </c>
      <c r="AE174" t="s">
        <v>74</v>
      </c>
      <c r="AF174" t="s">
        <v>74</v>
      </c>
      <c r="AG174" t="s">
        <v>74</v>
      </c>
      <c r="AH174" t="s">
        <v>74</v>
      </c>
      <c r="AI174" t="s">
        <v>74</v>
      </c>
      <c r="AJ174" t="s">
        <v>74</v>
      </c>
      <c r="AK174" t="s">
        <v>74</v>
      </c>
      <c r="AL174" t="s">
        <v>74</v>
      </c>
      <c r="AM174" t="s">
        <v>74</v>
      </c>
      <c r="AN174" t="s">
        <v>74</v>
      </c>
      <c r="AO174" t="s">
        <v>91</v>
      </c>
      <c r="AP174" t="s">
        <v>74</v>
      </c>
      <c r="AQ174" t="s">
        <v>74</v>
      </c>
      <c r="AR174" t="s">
        <v>74</v>
      </c>
      <c r="AS174" t="s">
        <v>74</v>
      </c>
      <c r="AT174" t="s">
        <v>895</v>
      </c>
      <c r="AU174">
        <v>2008</v>
      </c>
      <c r="AV174">
        <v>4</v>
      </c>
      <c r="AW174">
        <v>5</v>
      </c>
      <c r="AX174" t="s">
        <v>74</v>
      </c>
      <c r="AY174" t="s">
        <v>74</v>
      </c>
      <c r="AZ174" t="s">
        <v>74</v>
      </c>
      <c r="BA174" t="s">
        <v>74</v>
      </c>
      <c r="BB174">
        <v>515</v>
      </c>
      <c r="BC174">
        <v>517</v>
      </c>
      <c r="BD174" t="s">
        <v>74</v>
      </c>
      <c r="BE174" t="s">
        <v>1270</v>
      </c>
      <c r="BF174" t="str">
        <f>HYPERLINK("http://dx.doi.org/10.1098/rsbl.2008.0279","http://dx.doi.org/10.1098/rsbl.2008.0279")</f>
        <v>http://dx.doi.org/10.1098/rsbl.2008.0279</v>
      </c>
      <c r="BG174" t="s">
        <v>74</v>
      </c>
      <c r="BH174" t="s">
        <v>74</v>
      </c>
      <c r="BI174" t="s">
        <v>74</v>
      </c>
      <c r="BJ174" t="s">
        <v>74</v>
      </c>
      <c r="BK174" t="s">
        <v>74</v>
      </c>
      <c r="BL174" t="s">
        <v>74</v>
      </c>
      <c r="BM174" t="s">
        <v>74</v>
      </c>
      <c r="BN174">
        <v>18593669</v>
      </c>
      <c r="BO174" t="s">
        <v>74</v>
      </c>
      <c r="BP174" t="s">
        <v>74</v>
      </c>
      <c r="BQ174" t="s">
        <v>74</v>
      </c>
      <c r="BR174" t="s">
        <v>74</v>
      </c>
      <c r="BS174" t="s">
        <v>1271</v>
      </c>
      <c r="BT174" t="str">
        <f>HYPERLINK("https%3A%2F%2Fwww.webofscience.com%2Fwos%2Fwoscc%2Ffull-record%2FWOS:000259085900022","View Full Record in Web of Science")</f>
        <v>View Full Record in Web of Science</v>
      </c>
    </row>
    <row r="175" spans="1:72" x14ac:dyDescent="0.4">
      <c r="A175" t="s">
        <v>72</v>
      </c>
      <c r="B175" t="s">
        <v>116</v>
      </c>
      <c r="C175" t="s">
        <v>74</v>
      </c>
      <c r="D175" t="s">
        <v>74</v>
      </c>
      <c r="E175" t="s">
        <v>74</v>
      </c>
      <c r="F175" t="s">
        <v>117</v>
      </c>
      <c r="G175" t="s">
        <v>74</v>
      </c>
      <c r="H175" t="s">
        <v>74</v>
      </c>
      <c r="I175" t="s">
        <v>118</v>
      </c>
      <c r="J175" t="s">
        <v>119</v>
      </c>
      <c r="K175" t="s">
        <v>74</v>
      </c>
      <c r="L175" t="s">
        <v>74</v>
      </c>
      <c r="M175" t="s">
        <v>74</v>
      </c>
      <c r="N175" t="s">
        <v>74</v>
      </c>
      <c r="O175" t="s">
        <v>74</v>
      </c>
      <c r="P175" t="s">
        <v>74</v>
      </c>
      <c r="Q175" t="s">
        <v>74</v>
      </c>
      <c r="R175" t="s">
        <v>74</v>
      </c>
      <c r="S175" t="s">
        <v>74</v>
      </c>
      <c r="T175" t="s">
        <v>74</v>
      </c>
      <c r="U175" t="s">
        <v>74</v>
      </c>
      <c r="V175" s="3" t="s">
        <v>120</v>
      </c>
      <c r="W175" t="s">
        <v>74</v>
      </c>
      <c r="X175" t="s">
        <v>74</v>
      </c>
      <c r="Y175" t="s">
        <v>74</v>
      </c>
      <c r="Z175" t="s">
        <v>74</v>
      </c>
      <c r="AA175" t="s">
        <v>74</v>
      </c>
      <c r="AB175" t="s">
        <v>74</v>
      </c>
      <c r="AC175" t="s">
        <v>74</v>
      </c>
      <c r="AD175" t="s">
        <v>74</v>
      </c>
      <c r="AE175" t="s">
        <v>74</v>
      </c>
      <c r="AF175" t="s">
        <v>74</v>
      </c>
      <c r="AG175" t="s">
        <v>74</v>
      </c>
      <c r="AH175" t="s">
        <v>74</v>
      </c>
      <c r="AI175" t="s">
        <v>74</v>
      </c>
      <c r="AJ175" t="s">
        <v>74</v>
      </c>
      <c r="AK175" t="s">
        <v>74</v>
      </c>
      <c r="AL175" t="s">
        <v>74</v>
      </c>
      <c r="AM175" t="s">
        <v>74</v>
      </c>
      <c r="AN175" t="s">
        <v>74</v>
      </c>
      <c r="AO175" t="s">
        <v>121</v>
      </c>
      <c r="AP175" t="s">
        <v>122</v>
      </c>
      <c r="AQ175" t="s">
        <v>74</v>
      </c>
      <c r="AR175" t="s">
        <v>74</v>
      </c>
      <c r="AS175" t="s">
        <v>74</v>
      </c>
      <c r="AT175" t="s">
        <v>123</v>
      </c>
      <c r="AU175">
        <v>2017</v>
      </c>
      <c r="AV175">
        <v>136</v>
      </c>
      <c r="AW175" t="s">
        <v>74</v>
      </c>
      <c r="AX175" t="s">
        <v>74</v>
      </c>
      <c r="AY175" t="s">
        <v>74</v>
      </c>
      <c r="AZ175" t="s">
        <v>74</v>
      </c>
      <c r="BA175" t="s">
        <v>74</v>
      </c>
      <c r="BB175">
        <v>64</v>
      </c>
      <c r="BC175">
        <v>72</v>
      </c>
      <c r="BD175" t="s">
        <v>74</v>
      </c>
      <c r="BE175" t="s">
        <v>124</v>
      </c>
      <c r="BF175" t="str">
        <f>HYPERLINK("http://dx.doi.org/10.1016/j.beproc.2017.01.011","http://dx.doi.org/10.1016/j.beproc.2017.01.011")</f>
        <v>http://dx.doi.org/10.1016/j.beproc.2017.01.011</v>
      </c>
      <c r="BG175" t="s">
        <v>74</v>
      </c>
      <c r="BH175" t="s">
        <v>74</v>
      </c>
      <c r="BI175" t="s">
        <v>74</v>
      </c>
      <c r="BJ175" t="s">
        <v>74</v>
      </c>
      <c r="BK175" t="s">
        <v>74</v>
      </c>
      <c r="BL175" t="s">
        <v>74</v>
      </c>
      <c r="BM175" t="s">
        <v>74</v>
      </c>
      <c r="BN175">
        <v>28143722</v>
      </c>
      <c r="BO175" t="s">
        <v>74</v>
      </c>
      <c r="BP175" t="s">
        <v>74</v>
      </c>
      <c r="BQ175" t="s">
        <v>74</v>
      </c>
      <c r="BR175" t="s">
        <v>74</v>
      </c>
      <c r="BS175" t="s">
        <v>125</v>
      </c>
      <c r="BT175" t="str">
        <f>HYPERLINK("https%3A%2F%2Fwww.webofscience.com%2Fwos%2Fwoscc%2Ffull-record%2FWOS:000395844600010","View Full Record in Web of Science")</f>
        <v>View Full Record in Web of Science</v>
      </c>
    </row>
    <row r="176" spans="1:72" x14ac:dyDescent="0.4">
      <c r="A176" t="s">
        <v>72</v>
      </c>
      <c r="B176" t="s">
        <v>619</v>
      </c>
      <c r="C176" t="s">
        <v>74</v>
      </c>
      <c r="D176" t="s">
        <v>74</v>
      </c>
      <c r="E176" t="s">
        <v>74</v>
      </c>
      <c r="F176" t="s">
        <v>620</v>
      </c>
      <c r="G176" t="s">
        <v>74</v>
      </c>
      <c r="H176" t="s">
        <v>74</v>
      </c>
      <c r="I176" t="s">
        <v>621</v>
      </c>
      <c r="J176" t="s">
        <v>610</v>
      </c>
      <c r="K176" t="s">
        <v>74</v>
      </c>
      <c r="L176" t="s">
        <v>74</v>
      </c>
      <c r="M176" t="s">
        <v>74</v>
      </c>
      <c r="N176" t="s">
        <v>74</v>
      </c>
      <c r="O176" t="s">
        <v>74</v>
      </c>
      <c r="P176" t="s">
        <v>74</v>
      </c>
      <c r="Q176" t="s">
        <v>74</v>
      </c>
      <c r="R176" t="s">
        <v>74</v>
      </c>
      <c r="S176" t="s">
        <v>74</v>
      </c>
      <c r="T176" t="s">
        <v>74</v>
      </c>
      <c r="U176" t="s">
        <v>74</v>
      </c>
      <c r="V176" s="3" t="s">
        <v>622</v>
      </c>
      <c r="W176" t="s">
        <v>74</v>
      </c>
      <c r="X176" t="s">
        <v>74</v>
      </c>
      <c r="Y176" t="s">
        <v>74</v>
      </c>
      <c r="Z176" t="s">
        <v>74</v>
      </c>
      <c r="AA176" t="s">
        <v>623</v>
      </c>
      <c r="AB176" t="s">
        <v>624</v>
      </c>
      <c r="AC176" t="s">
        <v>74</v>
      </c>
      <c r="AD176" t="s">
        <v>74</v>
      </c>
      <c r="AE176" t="s">
        <v>74</v>
      </c>
      <c r="AF176" t="s">
        <v>74</v>
      </c>
      <c r="AG176" t="s">
        <v>74</v>
      </c>
      <c r="AH176" t="s">
        <v>74</v>
      </c>
      <c r="AI176" t="s">
        <v>74</v>
      </c>
      <c r="AJ176" t="s">
        <v>74</v>
      </c>
      <c r="AK176" t="s">
        <v>74</v>
      </c>
      <c r="AL176" t="s">
        <v>74</v>
      </c>
      <c r="AM176" t="s">
        <v>74</v>
      </c>
      <c r="AN176" t="s">
        <v>74</v>
      </c>
      <c r="AO176" t="s">
        <v>614</v>
      </c>
      <c r="AP176" t="s">
        <v>615</v>
      </c>
      <c r="AQ176" t="s">
        <v>74</v>
      </c>
      <c r="AR176" t="s">
        <v>74</v>
      </c>
      <c r="AS176" t="s">
        <v>74</v>
      </c>
      <c r="AT176" t="s">
        <v>352</v>
      </c>
      <c r="AU176">
        <v>2018</v>
      </c>
      <c r="AV176">
        <v>124</v>
      </c>
      <c r="AW176">
        <v>9</v>
      </c>
      <c r="AX176" t="s">
        <v>74</v>
      </c>
      <c r="AY176" t="s">
        <v>74</v>
      </c>
      <c r="AZ176" t="s">
        <v>74</v>
      </c>
      <c r="BA176" t="s">
        <v>74</v>
      </c>
      <c r="BB176">
        <v>667</v>
      </c>
      <c r="BC176">
        <v>673</v>
      </c>
      <c r="BD176" t="s">
        <v>74</v>
      </c>
      <c r="BE176" t="s">
        <v>625</v>
      </c>
      <c r="BF176" t="str">
        <f>HYPERLINK("http://dx.doi.org/10.1111/eth.12771","http://dx.doi.org/10.1111/eth.12771")</f>
        <v>http://dx.doi.org/10.1111/eth.12771</v>
      </c>
      <c r="BG176" t="s">
        <v>74</v>
      </c>
      <c r="BH176" t="s">
        <v>74</v>
      </c>
      <c r="BI176" t="s">
        <v>74</v>
      </c>
      <c r="BJ176" t="s">
        <v>74</v>
      </c>
      <c r="BK176" t="s">
        <v>74</v>
      </c>
      <c r="BL176" t="s">
        <v>74</v>
      </c>
      <c r="BM176" t="s">
        <v>74</v>
      </c>
      <c r="BN176" t="s">
        <v>74</v>
      </c>
      <c r="BO176" t="s">
        <v>74</v>
      </c>
      <c r="BP176" t="s">
        <v>74</v>
      </c>
      <c r="BQ176" t="s">
        <v>74</v>
      </c>
      <c r="BR176" t="s">
        <v>74</v>
      </c>
      <c r="BS176" t="s">
        <v>626</v>
      </c>
      <c r="BT176" t="str">
        <f>HYPERLINK("https%3A%2F%2Fwww.webofscience.com%2Fwos%2Fwoscc%2Ffull-record%2FWOS:000440649700006","View Full Record in Web of Science")</f>
        <v>View Full Record in Web of Science</v>
      </c>
    </row>
    <row r="177" spans="1:72" x14ac:dyDescent="0.4">
      <c r="A177" t="s">
        <v>72</v>
      </c>
      <c r="B177" t="s">
        <v>7993</v>
      </c>
      <c r="C177" t="s">
        <v>74</v>
      </c>
      <c r="D177" t="s">
        <v>74</v>
      </c>
      <c r="E177" t="s">
        <v>74</v>
      </c>
      <c r="F177" t="s">
        <v>7994</v>
      </c>
      <c r="G177" t="s">
        <v>74</v>
      </c>
      <c r="H177" t="s">
        <v>74</v>
      </c>
      <c r="I177" t="s">
        <v>7995</v>
      </c>
      <c r="J177" t="s">
        <v>408</v>
      </c>
      <c r="K177" t="s">
        <v>74</v>
      </c>
      <c r="L177" t="s">
        <v>74</v>
      </c>
      <c r="M177" t="s">
        <v>74</v>
      </c>
      <c r="N177" t="s">
        <v>74</v>
      </c>
      <c r="O177" t="s">
        <v>74</v>
      </c>
      <c r="P177" t="s">
        <v>74</v>
      </c>
      <c r="Q177" t="s">
        <v>74</v>
      </c>
      <c r="R177" t="s">
        <v>74</v>
      </c>
      <c r="S177" t="s">
        <v>74</v>
      </c>
      <c r="T177" t="s">
        <v>74</v>
      </c>
      <c r="U177" t="s">
        <v>74</v>
      </c>
      <c r="V177" s="3" t="s">
        <v>7996</v>
      </c>
      <c r="W177" t="s">
        <v>74</v>
      </c>
      <c r="X177" t="s">
        <v>74</v>
      </c>
      <c r="Y177" t="s">
        <v>74</v>
      </c>
      <c r="Z177" t="s">
        <v>74</v>
      </c>
      <c r="AA177" t="s">
        <v>74</v>
      </c>
      <c r="AB177" t="s">
        <v>74</v>
      </c>
      <c r="AC177" t="s">
        <v>74</v>
      </c>
      <c r="AD177" t="s">
        <v>74</v>
      </c>
      <c r="AE177" t="s">
        <v>74</v>
      </c>
      <c r="AF177" t="s">
        <v>74</v>
      </c>
      <c r="AG177" t="s">
        <v>74</v>
      </c>
      <c r="AH177" t="s">
        <v>74</v>
      </c>
      <c r="AI177" t="s">
        <v>74</v>
      </c>
      <c r="AJ177" t="s">
        <v>74</v>
      </c>
      <c r="AK177" t="s">
        <v>74</v>
      </c>
      <c r="AL177" t="s">
        <v>74</v>
      </c>
      <c r="AM177" t="s">
        <v>74</v>
      </c>
      <c r="AN177" t="s">
        <v>74</v>
      </c>
      <c r="AO177" t="s">
        <v>412</v>
      </c>
      <c r="AP177" t="s">
        <v>413</v>
      </c>
      <c r="AQ177" t="s">
        <v>74</v>
      </c>
      <c r="AR177" t="s">
        <v>74</v>
      </c>
      <c r="AS177" t="s">
        <v>74</v>
      </c>
      <c r="AT177" t="s">
        <v>5887</v>
      </c>
      <c r="AU177">
        <v>2023</v>
      </c>
      <c r="AV177">
        <v>139</v>
      </c>
      <c r="AW177">
        <v>3</v>
      </c>
      <c r="AX177" t="s">
        <v>74</v>
      </c>
      <c r="AY177" t="s">
        <v>74</v>
      </c>
      <c r="AZ177" t="s">
        <v>74</v>
      </c>
      <c r="BA177" t="s">
        <v>74</v>
      </c>
      <c r="BB177">
        <v>214</v>
      </c>
      <c r="BC177">
        <v>230</v>
      </c>
      <c r="BD177" t="s">
        <v>74</v>
      </c>
      <c r="BE177" t="s">
        <v>7997</v>
      </c>
      <c r="BF177" t="str">
        <f>HYPERLINK("http://dx.doi.org/10.1093/biolinnean/blad051","http://dx.doi.org/10.1093/biolinnean/blad051")</f>
        <v>http://dx.doi.org/10.1093/biolinnean/blad051</v>
      </c>
      <c r="BG177" t="s">
        <v>74</v>
      </c>
      <c r="BH177" t="s">
        <v>5120</v>
      </c>
      <c r="BI177" t="s">
        <v>74</v>
      </c>
      <c r="BJ177" t="s">
        <v>74</v>
      </c>
      <c r="BK177" t="s">
        <v>74</v>
      </c>
      <c r="BL177" t="s">
        <v>74</v>
      </c>
      <c r="BM177" t="s">
        <v>74</v>
      </c>
      <c r="BN177" t="s">
        <v>74</v>
      </c>
      <c r="BO177" t="s">
        <v>74</v>
      </c>
      <c r="BP177" t="s">
        <v>74</v>
      </c>
      <c r="BQ177" t="s">
        <v>74</v>
      </c>
      <c r="BR177" t="s">
        <v>74</v>
      </c>
      <c r="BS177" t="s">
        <v>7998</v>
      </c>
      <c r="BT177" t="str">
        <f>HYPERLINK("https%3A%2F%2Fwww.webofscience.com%2Fwos%2Fwoscc%2Ffull-record%2FWOS:001004104800001","View Full Record in Web of Science")</f>
        <v>View Full Record in Web of Science</v>
      </c>
    </row>
    <row r="178" spans="1:72" x14ac:dyDescent="0.4">
      <c r="A178" t="s">
        <v>72</v>
      </c>
      <c r="B178" t="s">
        <v>1843</v>
      </c>
      <c r="C178" t="s">
        <v>74</v>
      </c>
      <c r="D178" t="s">
        <v>74</v>
      </c>
      <c r="E178" t="s">
        <v>74</v>
      </c>
      <c r="F178" t="s">
        <v>1844</v>
      </c>
      <c r="G178" t="s">
        <v>74</v>
      </c>
      <c r="H178" t="s">
        <v>74</v>
      </c>
      <c r="I178" t="s">
        <v>1845</v>
      </c>
      <c r="J178" t="s">
        <v>241</v>
      </c>
      <c r="K178" t="s">
        <v>74</v>
      </c>
      <c r="L178" t="s">
        <v>74</v>
      </c>
      <c r="M178" t="s">
        <v>74</v>
      </c>
      <c r="N178" t="s">
        <v>74</v>
      </c>
      <c r="O178" t="s">
        <v>74</v>
      </c>
      <c r="P178" t="s">
        <v>74</v>
      </c>
      <c r="Q178" t="s">
        <v>74</v>
      </c>
      <c r="R178" t="s">
        <v>74</v>
      </c>
      <c r="S178" t="s">
        <v>74</v>
      </c>
      <c r="T178" t="s">
        <v>74</v>
      </c>
      <c r="U178" t="s">
        <v>74</v>
      </c>
      <c r="V178" s="3" t="s">
        <v>1846</v>
      </c>
      <c r="W178" t="s">
        <v>74</v>
      </c>
      <c r="X178" t="s">
        <v>74</v>
      </c>
      <c r="Y178" t="s">
        <v>74</v>
      </c>
      <c r="Z178" t="s">
        <v>74</v>
      </c>
      <c r="AA178" t="s">
        <v>1847</v>
      </c>
      <c r="AB178" t="s">
        <v>1848</v>
      </c>
      <c r="AC178" t="s">
        <v>74</v>
      </c>
      <c r="AD178" t="s">
        <v>74</v>
      </c>
      <c r="AE178" t="s">
        <v>74</v>
      </c>
      <c r="AF178" t="s">
        <v>74</v>
      </c>
      <c r="AG178" t="s">
        <v>74</v>
      </c>
      <c r="AH178" t="s">
        <v>74</v>
      </c>
      <c r="AI178" t="s">
        <v>74</v>
      </c>
      <c r="AJ178" t="s">
        <v>74</v>
      </c>
      <c r="AK178" t="s">
        <v>74</v>
      </c>
      <c r="AL178" t="s">
        <v>74</v>
      </c>
      <c r="AM178" t="s">
        <v>74</v>
      </c>
      <c r="AN178" t="s">
        <v>74</v>
      </c>
      <c r="AO178" t="s">
        <v>245</v>
      </c>
      <c r="AP178" t="s">
        <v>246</v>
      </c>
      <c r="AQ178" t="s">
        <v>74</v>
      </c>
      <c r="AR178" t="s">
        <v>74</v>
      </c>
      <c r="AS178" t="s">
        <v>74</v>
      </c>
      <c r="AT178" t="s">
        <v>175</v>
      </c>
      <c r="AU178">
        <v>2018</v>
      </c>
      <c r="AV178">
        <v>188</v>
      </c>
      <c r="AW178">
        <v>2</v>
      </c>
      <c r="AX178" t="s">
        <v>74</v>
      </c>
      <c r="AY178" t="s">
        <v>74</v>
      </c>
      <c r="AZ178" t="s">
        <v>74</v>
      </c>
      <c r="BA178" t="s">
        <v>74</v>
      </c>
      <c r="BB178">
        <v>501</v>
      </c>
      <c r="BC178">
        <v>513</v>
      </c>
      <c r="BD178" t="s">
        <v>74</v>
      </c>
      <c r="BE178" t="s">
        <v>1849</v>
      </c>
      <c r="BF178" t="str">
        <f>HYPERLINK("http://dx.doi.org/10.1007/s00442-018-4239-7","http://dx.doi.org/10.1007/s00442-018-4239-7")</f>
        <v>http://dx.doi.org/10.1007/s00442-018-4239-7</v>
      </c>
      <c r="BG178" t="s">
        <v>74</v>
      </c>
      <c r="BH178" t="s">
        <v>74</v>
      </c>
      <c r="BI178" t="s">
        <v>74</v>
      </c>
      <c r="BJ178" t="s">
        <v>74</v>
      </c>
      <c r="BK178" t="s">
        <v>74</v>
      </c>
      <c r="BL178" t="s">
        <v>74</v>
      </c>
      <c r="BM178" t="s">
        <v>74</v>
      </c>
      <c r="BN178">
        <v>30099605</v>
      </c>
      <c r="BO178" t="s">
        <v>74</v>
      </c>
      <c r="BP178" t="s">
        <v>74</v>
      </c>
      <c r="BQ178" t="s">
        <v>74</v>
      </c>
      <c r="BR178" t="s">
        <v>74</v>
      </c>
      <c r="BS178" t="s">
        <v>1850</v>
      </c>
      <c r="BT178" t="str">
        <f>HYPERLINK("https%3A%2F%2Fwww.webofscience.com%2Fwos%2Fwoscc%2Ffull-record%2FWOS:000445426400015","View Full Record in Web of Science")</f>
        <v>View Full Record in Web of Science</v>
      </c>
    </row>
    <row r="179" spans="1:72" x14ac:dyDescent="0.4">
      <c r="A179" t="s">
        <v>72</v>
      </c>
      <c r="B179" t="s">
        <v>760</v>
      </c>
      <c r="C179" t="s">
        <v>74</v>
      </c>
      <c r="D179" t="s">
        <v>74</v>
      </c>
      <c r="E179" t="s">
        <v>74</v>
      </c>
      <c r="F179" t="s">
        <v>761</v>
      </c>
      <c r="G179" t="s">
        <v>74</v>
      </c>
      <c r="H179" t="s">
        <v>74</v>
      </c>
      <c r="I179" t="s">
        <v>762</v>
      </c>
      <c r="J179" t="s">
        <v>763</v>
      </c>
      <c r="K179" t="s">
        <v>74</v>
      </c>
      <c r="L179" t="s">
        <v>74</v>
      </c>
      <c r="M179" t="s">
        <v>74</v>
      </c>
      <c r="N179" t="s">
        <v>74</v>
      </c>
      <c r="O179" t="s">
        <v>74</v>
      </c>
      <c r="P179" t="s">
        <v>74</v>
      </c>
      <c r="Q179" t="s">
        <v>74</v>
      </c>
      <c r="R179" t="s">
        <v>74</v>
      </c>
      <c r="S179" t="s">
        <v>74</v>
      </c>
      <c r="T179" t="s">
        <v>74</v>
      </c>
      <c r="U179" t="s">
        <v>74</v>
      </c>
      <c r="V179" s="3" t="s">
        <v>764</v>
      </c>
      <c r="W179" t="s">
        <v>74</v>
      </c>
      <c r="X179" t="s">
        <v>74</v>
      </c>
      <c r="Y179" t="s">
        <v>74</v>
      </c>
      <c r="Z179" t="s">
        <v>74</v>
      </c>
      <c r="AA179" t="s">
        <v>765</v>
      </c>
      <c r="AB179" t="s">
        <v>766</v>
      </c>
      <c r="AC179" t="s">
        <v>74</v>
      </c>
      <c r="AD179" t="s">
        <v>74</v>
      </c>
      <c r="AE179" t="s">
        <v>74</v>
      </c>
      <c r="AF179" t="s">
        <v>74</v>
      </c>
      <c r="AG179" t="s">
        <v>74</v>
      </c>
      <c r="AH179" t="s">
        <v>74</v>
      </c>
      <c r="AI179" t="s">
        <v>74</v>
      </c>
      <c r="AJ179" t="s">
        <v>74</v>
      </c>
      <c r="AK179" t="s">
        <v>74</v>
      </c>
      <c r="AL179" t="s">
        <v>74</v>
      </c>
      <c r="AM179" t="s">
        <v>74</v>
      </c>
      <c r="AN179" t="s">
        <v>74</v>
      </c>
      <c r="AO179" t="s">
        <v>767</v>
      </c>
      <c r="AP179" t="s">
        <v>768</v>
      </c>
      <c r="AQ179" t="s">
        <v>74</v>
      </c>
      <c r="AR179" t="s">
        <v>74</v>
      </c>
      <c r="AS179" t="s">
        <v>74</v>
      </c>
      <c r="AT179" t="s">
        <v>769</v>
      </c>
      <c r="AU179">
        <v>2016</v>
      </c>
      <c r="AV179">
        <v>219</v>
      </c>
      <c r="AW179">
        <v>4</v>
      </c>
      <c r="AX179" t="s">
        <v>74</v>
      </c>
      <c r="AY179" t="s">
        <v>74</v>
      </c>
      <c r="AZ179" t="s">
        <v>74</v>
      </c>
      <c r="BA179" t="s">
        <v>74</v>
      </c>
      <c r="BB179">
        <v>597</v>
      </c>
      <c r="BC179">
        <v>608</v>
      </c>
      <c r="BD179" t="s">
        <v>74</v>
      </c>
      <c r="BE179" t="s">
        <v>770</v>
      </c>
      <c r="BF179" t="str">
        <f>HYPERLINK("http://dx.doi.org/10.1242/jeb.122275","http://dx.doi.org/10.1242/jeb.122275")</f>
        <v>http://dx.doi.org/10.1242/jeb.122275</v>
      </c>
      <c r="BG179" t="s">
        <v>74</v>
      </c>
      <c r="BH179" t="s">
        <v>74</v>
      </c>
      <c r="BI179" t="s">
        <v>74</v>
      </c>
      <c r="BJ179" t="s">
        <v>74</v>
      </c>
      <c r="BK179" t="s">
        <v>74</v>
      </c>
      <c r="BL179" t="s">
        <v>74</v>
      </c>
      <c r="BM179" t="s">
        <v>74</v>
      </c>
      <c r="BN179">
        <v>26747903</v>
      </c>
      <c r="BO179" t="s">
        <v>74</v>
      </c>
      <c r="BP179" t="s">
        <v>74</v>
      </c>
      <c r="BQ179" t="s">
        <v>74</v>
      </c>
      <c r="BR179" t="s">
        <v>74</v>
      </c>
      <c r="BS179" t="s">
        <v>771</v>
      </c>
      <c r="BT179" t="str">
        <f>HYPERLINK("https%3A%2F%2Fwww.webofscience.com%2Fwos%2Fwoscc%2Ffull-record%2FWOS:000370238000021","View Full Record in Web of Science")</f>
        <v>View Full Record in Web of Science</v>
      </c>
    </row>
    <row r="180" spans="1:72" x14ac:dyDescent="0.4">
      <c r="A180" t="s">
        <v>72</v>
      </c>
      <c r="B180" t="s">
        <v>5038</v>
      </c>
      <c r="C180" t="s">
        <v>74</v>
      </c>
      <c r="D180" t="s">
        <v>74</v>
      </c>
      <c r="E180" t="s">
        <v>74</v>
      </c>
      <c r="F180" t="s">
        <v>5039</v>
      </c>
      <c r="G180" t="s">
        <v>74</v>
      </c>
      <c r="H180" t="s">
        <v>74</v>
      </c>
      <c r="I180" t="s">
        <v>5040</v>
      </c>
      <c r="J180" t="s">
        <v>108</v>
      </c>
      <c r="K180" t="s">
        <v>74</v>
      </c>
      <c r="L180" t="s">
        <v>74</v>
      </c>
      <c r="M180" t="s">
        <v>74</v>
      </c>
      <c r="N180" t="s">
        <v>74</v>
      </c>
      <c r="O180" t="s">
        <v>74</v>
      </c>
      <c r="P180" t="s">
        <v>74</v>
      </c>
      <c r="Q180" t="s">
        <v>74</v>
      </c>
      <c r="R180" t="s">
        <v>74</v>
      </c>
      <c r="S180" t="s">
        <v>74</v>
      </c>
      <c r="T180" t="s">
        <v>74</v>
      </c>
      <c r="U180" t="s">
        <v>74</v>
      </c>
      <c r="V180" s="3" t="s">
        <v>5041</v>
      </c>
      <c r="W180" t="s">
        <v>74</v>
      </c>
      <c r="X180" t="s">
        <v>74</v>
      </c>
      <c r="Y180" t="s">
        <v>74</v>
      </c>
      <c r="Z180" t="s">
        <v>74</v>
      </c>
      <c r="AA180" t="s">
        <v>5042</v>
      </c>
      <c r="AB180" t="s">
        <v>5043</v>
      </c>
      <c r="AC180" t="s">
        <v>74</v>
      </c>
      <c r="AD180" t="s">
        <v>74</v>
      </c>
      <c r="AE180" t="s">
        <v>74</v>
      </c>
      <c r="AF180" t="s">
        <v>74</v>
      </c>
      <c r="AG180" t="s">
        <v>74</v>
      </c>
      <c r="AH180" t="s">
        <v>74</v>
      </c>
      <c r="AI180" t="s">
        <v>74</v>
      </c>
      <c r="AJ180" t="s">
        <v>74</v>
      </c>
      <c r="AK180" t="s">
        <v>74</v>
      </c>
      <c r="AL180" t="s">
        <v>74</v>
      </c>
      <c r="AM180" t="s">
        <v>74</v>
      </c>
      <c r="AN180" t="s">
        <v>74</v>
      </c>
      <c r="AO180" t="s">
        <v>111</v>
      </c>
      <c r="AP180" t="s">
        <v>112</v>
      </c>
      <c r="AQ180" t="s">
        <v>74</v>
      </c>
      <c r="AR180" t="s">
        <v>74</v>
      </c>
      <c r="AS180" t="s">
        <v>74</v>
      </c>
      <c r="AT180" t="s">
        <v>5044</v>
      </c>
      <c r="AU180">
        <v>2017</v>
      </c>
      <c r="AV180">
        <v>284</v>
      </c>
      <c r="AW180">
        <v>1854</v>
      </c>
      <c r="AX180" t="s">
        <v>74</v>
      </c>
      <c r="AY180" t="s">
        <v>74</v>
      </c>
      <c r="AZ180" t="s">
        <v>74</v>
      </c>
      <c r="BA180" t="s">
        <v>74</v>
      </c>
      <c r="BB180" t="s">
        <v>74</v>
      </c>
      <c r="BC180" t="s">
        <v>74</v>
      </c>
      <c r="BD180">
        <v>20170272</v>
      </c>
      <c r="BE180" t="s">
        <v>5045</v>
      </c>
      <c r="BF180" t="str">
        <f>HYPERLINK("http://dx.doi.org/10.1098/rspb.2017.0272","http://dx.doi.org/10.1098/rspb.2017.0272")</f>
        <v>http://dx.doi.org/10.1098/rspb.2017.0272</v>
      </c>
      <c r="BG180" t="s">
        <v>74</v>
      </c>
      <c r="BH180" t="s">
        <v>74</v>
      </c>
      <c r="BI180" t="s">
        <v>74</v>
      </c>
      <c r="BJ180" t="s">
        <v>74</v>
      </c>
      <c r="BK180" t="s">
        <v>74</v>
      </c>
      <c r="BL180" t="s">
        <v>74</v>
      </c>
      <c r="BM180" t="s">
        <v>74</v>
      </c>
      <c r="BN180">
        <v>28515202</v>
      </c>
      <c r="BO180" t="s">
        <v>74</v>
      </c>
      <c r="BP180" t="s">
        <v>74</v>
      </c>
      <c r="BQ180" t="s">
        <v>74</v>
      </c>
      <c r="BR180" t="s">
        <v>74</v>
      </c>
      <c r="BS180" t="s">
        <v>5046</v>
      </c>
      <c r="BT180" t="str">
        <f>HYPERLINK("https%3A%2F%2Fwww.webofscience.com%2Fwos%2Fwoscc%2Ffull-record%2FWOS:000404425100019","View Full Record in Web of Science")</f>
        <v>View Full Record in Web of Science</v>
      </c>
    </row>
    <row r="181" spans="1:72" x14ac:dyDescent="0.4">
      <c r="A181" t="s">
        <v>72</v>
      </c>
      <c r="B181" t="s">
        <v>7143</v>
      </c>
      <c r="C181" t="s">
        <v>74</v>
      </c>
      <c r="D181" t="s">
        <v>74</v>
      </c>
      <c r="E181" t="s">
        <v>74</v>
      </c>
      <c r="F181" t="s">
        <v>7144</v>
      </c>
      <c r="G181" t="s">
        <v>74</v>
      </c>
      <c r="H181" t="s">
        <v>74</v>
      </c>
      <c r="I181" t="s">
        <v>7145</v>
      </c>
      <c r="J181" t="s">
        <v>7146</v>
      </c>
      <c r="K181" t="s">
        <v>74</v>
      </c>
      <c r="L181" t="s">
        <v>74</v>
      </c>
      <c r="M181" t="s">
        <v>74</v>
      </c>
      <c r="N181" t="s">
        <v>74</v>
      </c>
      <c r="O181" t="s">
        <v>74</v>
      </c>
      <c r="P181" t="s">
        <v>74</v>
      </c>
      <c r="Q181" t="s">
        <v>74</v>
      </c>
      <c r="R181" t="s">
        <v>74</v>
      </c>
      <c r="S181" t="s">
        <v>74</v>
      </c>
      <c r="T181" t="s">
        <v>74</v>
      </c>
      <c r="U181" t="s">
        <v>74</v>
      </c>
      <c r="V181" s="3" t="s">
        <v>7147</v>
      </c>
      <c r="W181" t="s">
        <v>74</v>
      </c>
      <c r="X181" t="s">
        <v>74</v>
      </c>
      <c r="Y181" t="s">
        <v>74</v>
      </c>
      <c r="Z181" t="s">
        <v>74</v>
      </c>
      <c r="AA181" t="s">
        <v>7148</v>
      </c>
      <c r="AB181" t="s">
        <v>7149</v>
      </c>
      <c r="AC181" t="s">
        <v>74</v>
      </c>
      <c r="AD181" t="s">
        <v>74</v>
      </c>
      <c r="AE181" t="s">
        <v>74</v>
      </c>
      <c r="AF181" t="s">
        <v>74</v>
      </c>
      <c r="AG181" t="s">
        <v>74</v>
      </c>
      <c r="AH181" t="s">
        <v>74</v>
      </c>
      <c r="AI181" t="s">
        <v>74</v>
      </c>
      <c r="AJ181" t="s">
        <v>74</v>
      </c>
      <c r="AK181" t="s">
        <v>74</v>
      </c>
      <c r="AL181" t="s">
        <v>74</v>
      </c>
      <c r="AM181" t="s">
        <v>74</v>
      </c>
      <c r="AN181" t="s">
        <v>74</v>
      </c>
      <c r="AO181" t="s">
        <v>7150</v>
      </c>
      <c r="AP181" t="s">
        <v>7151</v>
      </c>
      <c r="AQ181" t="s">
        <v>74</v>
      </c>
      <c r="AR181" t="s">
        <v>74</v>
      </c>
      <c r="AS181" t="s">
        <v>74</v>
      </c>
      <c r="AT181" t="s">
        <v>352</v>
      </c>
      <c r="AU181">
        <v>2014</v>
      </c>
      <c r="AV181">
        <v>62</v>
      </c>
      <c r="AW181">
        <v>3</v>
      </c>
      <c r="AX181" t="s">
        <v>74</v>
      </c>
      <c r="AY181" t="s">
        <v>74</v>
      </c>
      <c r="AZ181" t="s">
        <v>74</v>
      </c>
      <c r="BA181" t="s">
        <v>74</v>
      </c>
      <c r="BB181">
        <v>977</v>
      </c>
      <c r="BC181">
        <v>985</v>
      </c>
      <c r="BD181" t="s">
        <v>74</v>
      </c>
      <c r="BE181" t="s">
        <v>7152</v>
      </c>
      <c r="BF181" t="str">
        <f>HYPERLINK("http://dx.doi.org/10.15517/rbt.v62i3.11643","http://dx.doi.org/10.15517/rbt.v62i3.11643")</f>
        <v>http://dx.doi.org/10.15517/rbt.v62i3.11643</v>
      </c>
      <c r="BG181" t="s">
        <v>74</v>
      </c>
      <c r="BH181" t="s">
        <v>74</v>
      </c>
      <c r="BI181" t="s">
        <v>74</v>
      </c>
      <c r="BJ181" t="s">
        <v>74</v>
      </c>
      <c r="BK181" t="s">
        <v>74</v>
      </c>
      <c r="BL181" t="s">
        <v>74</v>
      </c>
      <c r="BM181" t="s">
        <v>74</v>
      </c>
      <c r="BN181">
        <v>25412530</v>
      </c>
      <c r="BO181" t="s">
        <v>74</v>
      </c>
      <c r="BP181" t="s">
        <v>74</v>
      </c>
      <c r="BQ181" t="s">
        <v>74</v>
      </c>
      <c r="BR181" t="s">
        <v>74</v>
      </c>
      <c r="BS181" t="s">
        <v>7153</v>
      </c>
      <c r="BT181" t="str">
        <f>HYPERLINK("https%3A%2F%2Fwww.webofscience.com%2Fwos%2Fwoscc%2Ffull-record%2FWOS:000343187200014","View Full Record in Web of Science")</f>
        <v>View Full Record in Web of Science</v>
      </c>
    </row>
    <row r="182" spans="1:72" x14ac:dyDescent="0.4">
      <c r="A182" t="s">
        <v>72</v>
      </c>
      <c r="B182" t="s">
        <v>4026</v>
      </c>
      <c r="C182" t="s">
        <v>74</v>
      </c>
      <c r="D182" t="s">
        <v>74</v>
      </c>
      <c r="E182" t="s">
        <v>74</v>
      </c>
      <c r="F182" t="s">
        <v>4027</v>
      </c>
      <c r="G182" t="s">
        <v>74</v>
      </c>
      <c r="H182" t="s">
        <v>74</v>
      </c>
      <c r="I182" t="s">
        <v>4028</v>
      </c>
      <c r="J182" t="s">
        <v>140</v>
      </c>
      <c r="K182" t="s">
        <v>74</v>
      </c>
      <c r="L182" t="s">
        <v>74</v>
      </c>
      <c r="M182" t="s">
        <v>74</v>
      </c>
      <c r="N182" t="s">
        <v>74</v>
      </c>
      <c r="O182" t="s">
        <v>74</v>
      </c>
      <c r="P182" t="s">
        <v>74</v>
      </c>
      <c r="Q182" t="s">
        <v>74</v>
      </c>
      <c r="R182" t="s">
        <v>74</v>
      </c>
      <c r="S182" t="s">
        <v>74</v>
      </c>
      <c r="T182" t="s">
        <v>74</v>
      </c>
      <c r="U182" t="s">
        <v>74</v>
      </c>
      <c r="V182" s="3" t="s">
        <v>4029</v>
      </c>
      <c r="W182" t="s">
        <v>74</v>
      </c>
      <c r="X182" t="s">
        <v>74</v>
      </c>
      <c r="Y182" t="s">
        <v>74</v>
      </c>
      <c r="Z182" t="s">
        <v>74</v>
      </c>
      <c r="AA182" t="s">
        <v>4030</v>
      </c>
      <c r="AB182" t="s">
        <v>74</v>
      </c>
      <c r="AC182" t="s">
        <v>74</v>
      </c>
      <c r="AD182" t="s">
        <v>74</v>
      </c>
      <c r="AE182" t="s">
        <v>74</v>
      </c>
      <c r="AF182" t="s">
        <v>74</v>
      </c>
      <c r="AG182" t="s">
        <v>74</v>
      </c>
      <c r="AH182" t="s">
        <v>74</v>
      </c>
      <c r="AI182" t="s">
        <v>74</v>
      </c>
      <c r="AJ182" t="s">
        <v>74</v>
      </c>
      <c r="AK182" t="s">
        <v>74</v>
      </c>
      <c r="AL182" t="s">
        <v>74</v>
      </c>
      <c r="AM182" t="s">
        <v>74</v>
      </c>
      <c r="AN182" t="s">
        <v>74</v>
      </c>
      <c r="AO182" t="s">
        <v>143</v>
      </c>
      <c r="AP182" t="s">
        <v>144</v>
      </c>
      <c r="AQ182" t="s">
        <v>74</v>
      </c>
      <c r="AR182" t="s">
        <v>74</v>
      </c>
      <c r="AS182" t="s">
        <v>74</v>
      </c>
      <c r="AT182" t="s">
        <v>352</v>
      </c>
      <c r="AU182">
        <v>2008</v>
      </c>
      <c r="AV182">
        <v>76</v>
      </c>
      <c r="AW182" t="s">
        <v>74</v>
      </c>
      <c r="AX182">
        <v>3</v>
      </c>
      <c r="AY182" t="s">
        <v>74</v>
      </c>
      <c r="AZ182" t="s">
        <v>74</v>
      </c>
      <c r="BA182" t="s">
        <v>74</v>
      </c>
      <c r="BB182">
        <v>657</v>
      </c>
      <c r="BC182">
        <v>667</v>
      </c>
      <c r="BD182" t="s">
        <v>74</v>
      </c>
      <c r="BE182" t="s">
        <v>4031</v>
      </c>
      <c r="BF182" t="str">
        <f>HYPERLINK("http://dx.doi.org/10.1016/j.anbehav.2008.03.014","http://dx.doi.org/10.1016/j.anbehav.2008.03.014")</f>
        <v>http://dx.doi.org/10.1016/j.anbehav.2008.03.014</v>
      </c>
      <c r="BG182" t="s">
        <v>74</v>
      </c>
      <c r="BH182" t="s">
        <v>74</v>
      </c>
      <c r="BI182" t="s">
        <v>74</v>
      </c>
      <c r="BJ182" t="s">
        <v>74</v>
      </c>
      <c r="BK182" t="s">
        <v>74</v>
      </c>
      <c r="BL182" t="s">
        <v>74</v>
      </c>
      <c r="BM182" t="s">
        <v>74</v>
      </c>
      <c r="BN182" t="s">
        <v>74</v>
      </c>
      <c r="BO182" t="s">
        <v>74</v>
      </c>
      <c r="BP182" t="s">
        <v>74</v>
      </c>
      <c r="BQ182" t="s">
        <v>74</v>
      </c>
      <c r="BR182" t="s">
        <v>74</v>
      </c>
      <c r="BS182" t="s">
        <v>4032</v>
      </c>
      <c r="BT182" t="str">
        <f>HYPERLINK("https%3A%2F%2Fwww.webofscience.com%2Fwos%2Fwoscc%2Ffull-record%2FWOS:000258490800016","View Full Record in Web of Science")</f>
        <v>View Full Record in Web of Science</v>
      </c>
    </row>
    <row r="183" spans="1:72" x14ac:dyDescent="0.4">
      <c r="A183" t="s">
        <v>72</v>
      </c>
      <c r="B183" t="s">
        <v>4373</v>
      </c>
      <c r="C183" t="s">
        <v>74</v>
      </c>
      <c r="D183" t="s">
        <v>74</v>
      </c>
      <c r="E183" t="s">
        <v>74</v>
      </c>
      <c r="F183" t="s">
        <v>4374</v>
      </c>
      <c r="G183" t="s">
        <v>74</v>
      </c>
      <c r="H183" t="s">
        <v>74</v>
      </c>
      <c r="I183" t="s">
        <v>4375</v>
      </c>
      <c r="J183" t="s">
        <v>140</v>
      </c>
      <c r="K183" t="s">
        <v>74</v>
      </c>
      <c r="L183" t="s">
        <v>74</v>
      </c>
      <c r="M183" t="s">
        <v>74</v>
      </c>
      <c r="N183" t="s">
        <v>74</v>
      </c>
      <c r="O183" t="s">
        <v>74</v>
      </c>
      <c r="P183" t="s">
        <v>74</v>
      </c>
      <c r="Q183" t="s">
        <v>74</v>
      </c>
      <c r="R183" t="s">
        <v>74</v>
      </c>
      <c r="S183" t="s">
        <v>74</v>
      </c>
      <c r="T183" t="s">
        <v>74</v>
      </c>
      <c r="U183" t="s">
        <v>74</v>
      </c>
      <c r="V183" s="3" t="s">
        <v>4376</v>
      </c>
      <c r="W183" t="s">
        <v>74</v>
      </c>
      <c r="X183" t="s">
        <v>74</v>
      </c>
      <c r="Y183" t="s">
        <v>74</v>
      </c>
      <c r="Z183" t="s">
        <v>74</v>
      </c>
      <c r="AA183" t="s">
        <v>4030</v>
      </c>
      <c r="AB183" t="s">
        <v>74</v>
      </c>
      <c r="AC183" t="s">
        <v>74</v>
      </c>
      <c r="AD183" t="s">
        <v>74</v>
      </c>
      <c r="AE183" t="s">
        <v>74</v>
      </c>
      <c r="AF183" t="s">
        <v>74</v>
      </c>
      <c r="AG183" t="s">
        <v>74</v>
      </c>
      <c r="AH183" t="s">
        <v>74</v>
      </c>
      <c r="AI183" t="s">
        <v>74</v>
      </c>
      <c r="AJ183" t="s">
        <v>74</v>
      </c>
      <c r="AK183" t="s">
        <v>74</v>
      </c>
      <c r="AL183" t="s">
        <v>74</v>
      </c>
      <c r="AM183" t="s">
        <v>74</v>
      </c>
      <c r="AN183" t="s">
        <v>74</v>
      </c>
      <c r="AO183" t="s">
        <v>143</v>
      </c>
      <c r="AP183" t="s">
        <v>144</v>
      </c>
      <c r="AQ183" t="s">
        <v>74</v>
      </c>
      <c r="AR183" t="s">
        <v>74</v>
      </c>
      <c r="AS183" t="s">
        <v>74</v>
      </c>
      <c r="AT183" t="s">
        <v>964</v>
      </c>
      <c r="AU183">
        <v>2011</v>
      </c>
      <c r="AV183">
        <v>81</v>
      </c>
      <c r="AW183">
        <v>2</v>
      </c>
      <c r="AX183" t="s">
        <v>74</v>
      </c>
      <c r="AY183" t="s">
        <v>74</v>
      </c>
      <c r="AZ183" t="s">
        <v>74</v>
      </c>
      <c r="BA183" t="s">
        <v>74</v>
      </c>
      <c r="BB183">
        <v>447</v>
      </c>
      <c r="BC183">
        <v>453</v>
      </c>
      <c r="BD183" t="s">
        <v>74</v>
      </c>
      <c r="BE183" t="s">
        <v>4377</v>
      </c>
      <c r="BF183" t="str">
        <f>HYPERLINK("http://dx.doi.org/10.1016/j.anbehav.2010.11.016","http://dx.doi.org/10.1016/j.anbehav.2010.11.016")</f>
        <v>http://dx.doi.org/10.1016/j.anbehav.2010.11.016</v>
      </c>
      <c r="BG183" t="s">
        <v>74</v>
      </c>
      <c r="BH183" t="s">
        <v>74</v>
      </c>
      <c r="BI183" t="s">
        <v>74</v>
      </c>
      <c r="BJ183" t="s">
        <v>74</v>
      </c>
      <c r="BK183" t="s">
        <v>74</v>
      </c>
      <c r="BL183" t="s">
        <v>74</v>
      </c>
      <c r="BM183" t="s">
        <v>74</v>
      </c>
      <c r="BN183" t="s">
        <v>74</v>
      </c>
      <c r="BO183" t="s">
        <v>74</v>
      </c>
      <c r="BP183" t="s">
        <v>74</v>
      </c>
      <c r="BQ183" t="s">
        <v>74</v>
      </c>
      <c r="BR183" t="s">
        <v>74</v>
      </c>
      <c r="BS183" t="s">
        <v>4378</v>
      </c>
      <c r="BT183" t="str">
        <f>HYPERLINK("https%3A%2F%2Fwww.webofscience.com%2Fwos%2Fwoscc%2Ffull-record%2FWOS:000286455400012","View Full Record in Web of Science")</f>
        <v>View Full Record in Web of Science</v>
      </c>
    </row>
    <row r="184" spans="1:72" x14ac:dyDescent="0.4">
      <c r="A184" t="s">
        <v>72</v>
      </c>
      <c r="B184" t="s">
        <v>5238</v>
      </c>
      <c r="C184" t="s">
        <v>74</v>
      </c>
      <c r="D184" t="s">
        <v>74</v>
      </c>
      <c r="E184" t="s">
        <v>74</v>
      </c>
      <c r="F184" t="s">
        <v>5239</v>
      </c>
      <c r="G184" t="s">
        <v>74</v>
      </c>
      <c r="H184" t="s">
        <v>74</v>
      </c>
      <c r="I184" t="s">
        <v>5240</v>
      </c>
      <c r="J184" t="s">
        <v>824</v>
      </c>
      <c r="K184" t="s">
        <v>74</v>
      </c>
      <c r="L184" t="s">
        <v>74</v>
      </c>
      <c r="M184" t="s">
        <v>74</v>
      </c>
      <c r="N184" t="s">
        <v>74</v>
      </c>
      <c r="O184" t="s">
        <v>74</v>
      </c>
      <c r="P184" t="s">
        <v>74</v>
      </c>
      <c r="Q184" t="s">
        <v>74</v>
      </c>
      <c r="R184" t="s">
        <v>74</v>
      </c>
      <c r="S184" t="s">
        <v>74</v>
      </c>
      <c r="T184" t="s">
        <v>74</v>
      </c>
      <c r="U184" t="s">
        <v>74</v>
      </c>
      <c r="V184" s="3" t="s">
        <v>5241</v>
      </c>
      <c r="W184" t="s">
        <v>74</v>
      </c>
      <c r="X184" t="s">
        <v>74</v>
      </c>
      <c r="Y184" t="s">
        <v>74</v>
      </c>
      <c r="Z184" t="s">
        <v>74</v>
      </c>
      <c r="AA184" t="s">
        <v>5242</v>
      </c>
      <c r="AB184" t="s">
        <v>5243</v>
      </c>
      <c r="AC184" t="s">
        <v>74</v>
      </c>
      <c r="AD184" t="s">
        <v>74</v>
      </c>
      <c r="AE184" t="s">
        <v>74</v>
      </c>
      <c r="AF184" t="s">
        <v>74</v>
      </c>
      <c r="AG184" t="s">
        <v>74</v>
      </c>
      <c r="AH184" t="s">
        <v>74</v>
      </c>
      <c r="AI184" t="s">
        <v>74</v>
      </c>
      <c r="AJ184" t="s">
        <v>74</v>
      </c>
      <c r="AK184" t="s">
        <v>74</v>
      </c>
      <c r="AL184" t="s">
        <v>74</v>
      </c>
      <c r="AM184" t="s">
        <v>74</v>
      </c>
      <c r="AN184" t="s">
        <v>74</v>
      </c>
      <c r="AO184" t="s">
        <v>828</v>
      </c>
      <c r="AP184" t="s">
        <v>829</v>
      </c>
      <c r="AQ184" t="s">
        <v>74</v>
      </c>
      <c r="AR184" t="s">
        <v>74</v>
      </c>
      <c r="AS184" t="s">
        <v>74</v>
      </c>
      <c r="AT184" t="s">
        <v>123</v>
      </c>
      <c r="AU184">
        <v>2009</v>
      </c>
      <c r="AV184">
        <v>78</v>
      </c>
      <c r="AW184">
        <v>2</v>
      </c>
      <c r="AX184" t="s">
        <v>74</v>
      </c>
      <c r="AY184" t="s">
        <v>74</v>
      </c>
      <c r="AZ184" t="s">
        <v>74</v>
      </c>
      <c r="BA184" t="s">
        <v>74</v>
      </c>
      <c r="BB184">
        <v>476</v>
      </c>
      <c r="BC184">
        <v>484</v>
      </c>
      <c r="BD184" t="s">
        <v>74</v>
      </c>
      <c r="BE184" t="s">
        <v>5244</v>
      </c>
      <c r="BF184" t="str">
        <f>HYPERLINK("http://dx.doi.org/10.1111/j.1365-2656.2008.01496.x","http://dx.doi.org/10.1111/j.1365-2656.2008.01496.x")</f>
        <v>http://dx.doi.org/10.1111/j.1365-2656.2008.01496.x</v>
      </c>
      <c r="BG184" t="s">
        <v>74</v>
      </c>
      <c r="BH184" t="s">
        <v>74</v>
      </c>
      <c r="BI184" t="s">
        <v>74</v>
      </c>
      <c r="BJ184" t="s">
        <v>74</v>
      </c>
      <c r="BK184" t="s">
        <v>74</v>
      </c>
      <c r="BL184" t="s">
        <v>74</v>
      </c>
      <c r="BM184" t="s">
        <v>74</v>
      </c>
      <c r="BN184">
        <v>19021784</v>
      </c>
      <c r="BO184" t="s">
        <v>74</v>
      </c>
      <c r="BP184" t="s">
        <v>74</v>
      </c>
      <c r="BQ184" t="s">
        <v>74</v>
      </c>
      <c r="BR184" t="s">
        <v>74</v>
      </c>
      <c r="BS184" t="s">
        <v>5245</v>
      </c>
      <c r="BT184" t="str">
        <f>HYPERLINK("https%3A%2F%2Fwww.webofscience.com%2Fwos%2Fwoscc%2Ffull-record%2FWOS:000263038800020","View Full Record in Web of Science")</f>
        <v>View Full Record in Web of Science</v>
      </c>
    </row>
    <row r="185" spans="1:72" x14ac:dyDescent="0.4">
      <c r="A185" t="s">
        <v>72</v>
      </c>
      <c r="B185" t="s">
        <v>5865</v>
      </c>
      <c r="C185" t="s">
        <v>74</v>
      </c>
      <c r="D185" t="s">
        <v>74</v>
      </c>
      <c r="E185" t="s">
        <v>74</v>
      </c>
      <c r="F185" t="s">
        <v>5865</v>
      </c>
      <c r="G185" t="s">
        <v>74</v>
      </c>
      <c r="H185" t="s">
        <v>74</v>
      </c>
      <c r="I185" t="s">
        <v>5866</v>
      </c>
      <c r="J185" t="s">
        <v>1673</v>
      </c>
      <c r="K185" t="s">
        <v>74</v>
      </c>
      <c r="L185" t="s">
        <v>74</v>
      </c>
      <c r="M185" t="s">
        <v>74</v>
      </c>
      <c r="N185" t="s">
        <v>74</v>
      </c>
      <c r="O185" t="s">
        <v>74</v>
      </c>
      <c r="P185" t="s">
        <v>74</v>
      </c>
      <c r="Q185" t="s">
        <v>74</v>
      </c>
      <c r="R185" t="s">
        <v>74</v>
      </c>
      <c r="S185" t="s">
        <v>74</v>
      </c>
      <c r="T185" t="s">
        <v>74</v>
      </c>
      <c r="U185" t="s">
        <v>74</v>
      </c>
      <c r="V185" s="3" t="s">
        <v>5867</v>
      </c>
      <c r="W185" t="s">
        <v>74</v>
      </c>
      <c r="X185" t="s">
        <v>74</v>
      </c>
      <c r="Y185" t="s">
        <v>74</v>
      </c>
      <c r="Z185" t="s">
        <v>74</v>
      </c>
      <c r="AA185" t="s">
        <v>74</v>
      </c>
      <c r="AB185" t="s">
        <v>74</v>
      </c>
      <c r="AC185" t="s">
        <v>74</v>
      </c>
      <c r="AD185" t="s">
        <v>74</v>
      </c>
      <c r="AE185" t="s">
        <v>74</v>
      </c>
      <c r="AF185" t="s">
        <v>74</v>
      </c>
      <c r="AG185" t="s">
        <v>74</v>
      </c>
      <c r="AH185" t="s">
        <v>74</v>
      </c>
      <c r="AI185" t="s">
        <v>74</v>
      </c>
      <c r="AJ185" t="s">
        <v>74</v>
      </c>
      <c r="AK185" t="s">
        <v>74</v>
      </c>
      <c r="AL185" t="s">
        <v>74</v>
      </c>
      <c r="AM185" t="s">
        <v>74</v>
      </c>
      <c r="AN185" t="s">
        <v>74</v>
      </c>
      <c r="AO185" t="s">
        <v>1239</v>
      </c>
      <c r="AP185" t="s">
        <v>1675</v>
      </c>
      <c r="AQ185" t="s">
        <v>74</v>
      </c>
      <c r="AR185" t="s">
        <v>74</v>
      </c>
      <c r="AS185" t="s">
        <v>74</v>
      </c>
      <c r="AT185" t="s">
        <v>204</v>
      </c>
      <c r="AU185">
        <v>1986</v>
      </c>
      <c r="AV185">
        <v>64</v>
      </c>
      <c r="AW185">
        <v>7</v>
      </c>
      <c r="AX185" t="s">
        <v>74</v>
      </c>
      <c r="AY185" t="s">
        <v>74</v>
      </c>
      <c r="AZ185" t="s">
        <v>74</v>
      </c>
      <c r="BA185" t="s">
        <v>74</v>
      </c>
      <c r="BB185">
        <v>1416</v>
      </c>
      <c r="BC185">
        <v>1421</v>
      </c>
      <c r="BD185" t="s">
        <v>74</v>
      </c>
      <c r="BE185" t="s">
        <v>5868</v>
      </c>
      <c r="BF185" t="str">
        <f>HYPERLINK("http://dx.doi.org/10.1139/z86-211","http://dx.doi.org/10.1139/z86-211")</f>
        <v>http://dx.doi.org/10.1139/z86-211</v>
      </c>
      <c r="BG185" t="s">
        <v>74</v>
      </c>
      <c r="BH185" t="s">
        <v>74</v>
      </c>
      <c r="BI185" t="s">
        <v>74</v>
      </c>
      <c r="BJ185" t="s">
        <v>74</v>
      </c>
      <c r="BK185" t="s">
        <v>74</v>
      </c>
      <c r="BL185" t="s">
        <v>74</v>
      </c>
      <c r="BM185" t="s">
        <v>74</v>
      </c>
      <c r="BN185" t="s">
        <v>74</v>
      </c>
      <c r="BO185" t="s">
        <v>74</v>
      </c>
      <c r="BP185" t="s">
        <v>74</v>
      </c>
      <c r="BQ185" t="s">
        <v>74</v>
      </c>
      <c r="BR185" t="s">
        <v>74</v>
      </c>
      <c r="BS185" t="s">
        <v>5869</v>
      </c>
      <c r="BT185" t="str">
        <f>HYPERLINK("https%3A%2F%2Fwww.webofscience.com%2Fwos%2Fwoscc%2Ffull-record%2FWOS:A1986D643700006","View Full Record in Web of Science")</f>
        <v>View Full Record in Web of Science</v>
      </c>
    </row>
    <row r="186" spans="1:72" x14ac:dyDescent="0.4">
      <c r="A186" t="s">
        <v>72</v>
      </c>
      <c r="B186" t="s">
        <v>6290</v>
      </c>
      <c r="C186" t="s">
        <v>74</v>
      </c>
      <c r="D186" t="s">
        <v>74</v>
      </c>
      <c r="E186" t="s">
        <v>74</v>
      </c>
      <c r="F186" t="s">
        <v>6290</v>
      </c>
      <c r="G186" t="s">
        <v>74</v>
      </c>
      <c r="H186" t="s">
        <v>74</v>
      </c>
      <c r="I186" t="s">
        <v>6291</v>
      </c>
      <c r="J186" t="s">
        <v>4333</v>
      </c>
      <c r="K186" t="s">
        <v>74</v>
      </c>
      <c r="L186" t="s">
        <v>74</v>
      </c>
      <c r="M186" t="s">
        <v>74</v>
      </c>
      <c r="N186" t="s">
        <v>74</v>
      </c>
      <c r="O186" t="s">
        <v>74</v>
      </c>
      <c r="P186" t="s">
        <v>74</v>
      </c>
      <c r="Q186" t="s">
        <v>74</v>
      </c>
      <c r="R186" t="s">
        <v>74</v>
      </c>
      <c r="S186" t="s">
        <v>74</v>
      </c>
      <c r="T186" t="s">
        <v>74</v>
      </c>
      <c r="U186" t="s">
        <v>74</v>
      </c>
      <c r="V186" s="3" t="s">
        <v>6292</v>
      </c>
      <c r="W186" t="s">
        <v>74</v>
      </c>
      <c r="X186" t="s">
        <v>74</v>
      </c>
      <c r="Y186" t="s">
        <v>74</v>
      </c>
      <c r="Z186" t="s">
        <v>74</v>
      </c>
      <c r="AA186" t="s">
        <v>74</v>
      </c>
      <c r="AB186" t="s">
        <v>74</v>
      </c>
      <c r="AC186" t="s">
        <v>74</v>
      </c>
      <c r="AD186" t="s">
        <v>74</v>
      </c>
      <c r="AE186" t="s">
        <v>74</v>
      </c>
      <c r="AF186" t="s">
        <v>74</v>
      </c>
      <c r="AG186" t="s">
        <v>74</v>
      </c>
      <c r="AH186" t="s">
        <v>74</v>
      </c>
      <c r="AI186" t="s">
        <v>74</v>
      </c>
      <c r="AJ186" t="s">
        <v>74</v>
      </c>
      <c r="AK186" t="s">
        <v>74</v>
      </c>
      <c r="AL186" t="s">
        <v>74</v>
      </c>
      <c r="AM186" t="s">
        <v>74</v>
      </c>
      <c r="AN186" t="s">
        <v>74</v>
      </c>
      <c r="AO186" t="s">
        <v>4335</v>
      </c>
      <c r="AP186" t="s">
        <v>74</v>
      </c>
      <c r="AQ186" t="s">
        <v>74</v>
      </c>
      <c r="AR186" t="s">
        <v>74</v>
      </c>
      <c r="AS186" t="s">
        <v>74</v>
      </c>
      <c r="AT186" t="s">
        <v>74</v>
      </c>
      <c r="AU186">
        <v>1978</v>
      </c>
      <c r="AV186">
        <v>3</v>
      </c>
      <c r="AW186">
        <v>3</v>
      </c>
      <c r="AX186" t="s">
        <v>74</v>
      </c>
      <c r="AY186" t="s">
        <v>74</v>
      </c>
      <c r="AZ186" t="s">
        <v>74</v>
      </c>
      <c r="BA186" t="s">
        <v>74</v>
      </c>
      <c r="BB186">
        <v>233</v>
      </c>
      <c r="BC186">
        <v>241</v>
      </c>
      <c r="BD186" t="s">
        <v>74</v>
      </c>
      <c r="BE186" t="s">
        <v>74</v>
      </c>
      <c r="BF186" t="s">
        <v>74</v>
      </c>
      <c r="BG186" t="s">
        <v>74</v>
      </c>
      <c r="BH186" t="s">
        <v>74</v>
      </c>
      <c r="BI186" t="s">
        <v>74</v>
      </c>
      <c r="BJ186" t="s">
        <v>74</v>
      </c>
      <c r="BK186" t="s">
        <v>74</v>
      </c>
      <c r="BL186" t="s">
        <v>74</v>
      </c>
      <c r="BM186" t="s">
        <v>74</v>
      </c>
      <c r="BN186" t="s">
        <v>74</v>
      </c>
      <c r="BO186" t="s">
        <v>74</v>
      </c>
      <c r="BP186" t="s">
        <v>74</v>
      </c>
      <c r="BQ186" t="s">
        <v>74</v>
      </c>
      <c r="BR186" t="s">
        <v>74</v>
      </c>
      <c r="BS186" t="s">
        <v>6293</v>
      </c>
      <c r="BT186" t="str">
        <f>HYPERLINK("https%3A%2F%2Fwww.webofscience.com%2Fwos%2Fwoscc%2Ffull-record%2FWOS:A1978FR83100004","View Full Record in Web of Science")</f>
        <v>View Full Record in Web of Science</v>
      </c>
    </row>
    <row r="187" spans="1:72" x14ac:dyDescent="0.4">
      <c r="A187" t="s">
        <v>72</v>
      </c>
      <c r="B187" t="s">
        <v>2348</v>
      </c>
      <c r="C187" t="s">
        <v>74</v>
      </c>
      <c r="D187" t="s">
        <v>74</v>
      </c>
      <c r="E187" t="s">
        <v>74</v>
      </c>
      <c r="F187" t="s">
        <v>2349</v>
      </c>
      <c r="G187" t="s">
        <v>74</v>
      </c>
      <c r="H187" t="s">
        <v>74</v>
      </c>
      <c r="I187" t="s">
        <v>2350</v>
      </c>
      <c r="J187" t="s">
        <v>1812</v>
      </c>
      <c r="K187" t="s">
        <v>74</v>
      </c>
      <c r="L187" t="s">
        <v>74</v>
      </c>
      <c r="M187" t="s">
        <v>74</v>
      </c>
      <c r="N187" t="s">
        <v>74</v>
      </c>
      <c r="O187" t="s">
        <v>74</v>
      </c>
      <c r="P187" t="s">
        <v>74</v>
      </c>
      <c r="Q187" t="s">
        <v>74</v>
      </c>
      <c r="R187" t="s">
        <v>74</v>
      </c>
      <c r="S187" t="s">
        <v>74</v>
      </c>
      <c r="T187" t="s">
        <v>74</v>
      </c>
      <c r="U187" t="s">
        <v>74</v>
      </c>
      <c r="V187" s="3" t="s">
        <v>2351</v>
      </c>
      <c r="W187" t="s">
        <v>74</v>
      </c>
      <c r="X187" t="s">
        <v>74</v>
      </c>
      <c r="Y187" t="s">
        <v>74</v>
      </c>
      <c r="Z187" t="s">
        <v>74</v>
      </c>
      <c r="AA187" t="s">
        <v>2352</v>
      </c>
      <c r="AB187" t="s">
        <v>2353</v>
      </c>
      <c r="AC187" t="s">
        <v>74</v>
      </c>
      <c r="AD187" t="s">
        <v>74</v>
      </c>
      <c r="AE187" t="s">
        <v>74</v>
      </c>
      <c r="AF187" t="s">
        <v>74</v>
      </c>
      <c r="AG187" t="s">
        <v>74</v>
      </c>
      <c r="AH187" t="s">
        <v>74</v>
      </c>
      <c r="AI187" t="s">
        <v>74</v>
      </c>
      <c r="AJ187" t="s">
        <v>74</v>
      </c>
      <c r="AK187" t="s">
        <v>74</v>
      </c>
      <c r="AL187" t="s">
        <v>74</v>
      </c>
      <c r="AM187" t="s">
        <v>74</v>
      </c>
      <c r="AN187" t="s">
        <v>74</v>
      </c>
      <c r="AO187" t="s">
        <v>1814</v>
      </c>
      <c r="AP187" t="s">
        <v>1815</v>
      </c>
      <c r="AQ187" t="s">
        <v>74</v>
      </c>
      <c r="AR187" t="s">
        <v>74</v>
      </c>
      <c r="AS187" t="s">
        <v>74</v>
      </c>
      <c r="AT187" t="s">
        <v>352</v>
      </c>
      <c r="AU187">
        <v>2020</v>
      </c>
      <c r="AV187">
        <v>54</v>
      </c>
      <c r="AW187">
        <v>3</v>
      </c>
      <c r="AX187" t="s">
        <v>74</v>
      </c>
      <c r="AY187" t="s">
        <v>74</v>
      </c>
      <c r="AZ187" t="s">
        <v>74</v>
      </c>
      <c r="BA187" t="s">
        <v>74</v>
      </c>
      <c r="BB187">
        <v>361</v>
      </c>
      <c r="BC187">
        <v>370</v>
      </c>
      <c r="BD187" t="s">
        <v>74</v>
      </c>
      <c r="BE187" t="s">
        <v>2354</v>
      </c>
      <c r="BF187" t="str">
        <f>HYPERLINK("http://dx.doi.org/10.1670/19-110","http://dx.doi.org/10.1670/19-110")</f>
        <v>http://dx.doi.org/10.1670/19-110</v>
      </c>
      <c r="BG187" t="s">
        <v>74</v>
      </c>
      <c r="BH187" t="s">
        <v>74</v>
      </c>
      <c r="BI187" t="s">
        <v>74</v>
      </c>
      <c r="BJ187" t="s">
        <v>74</v>
      </c>
      <c r="BK187" t="s">
        <v>74</v>
      </c>
      <c r="BL187" t="s">
        <v>74</v>
      </c>
      <c r="BM187" t="s">
        <v>74</v>
      </c>
      <c r="BN187" t="s">
        <v>74</v>
      </c>
      <c r="BO187" t="s">
        <v>74</v>
      </c>
      <c r="BP187" t="s">
        <v>74</v>
      </c>
      <c r="BQ187" t="s">
        <v>74</v>
      </c>
      <c r="BR187" t="s">
        <v>74</v>
      </c>
      <c r="BS187" t="s">
        <v>2355</v>
      </c>
      <c r="BT187" t="str">
        <f>HYPERLINK("https%3A%2F%2Fwww.webofscience.com%2Fwos%2Fwoscc%2Ffull-record%2FWOS:000589893000013","View Full Record in Web of Science")</f>
        <v>View Full Record in Web of Science</v>
      </c>
    </row>
    <row r="188" spans="1:72" x14ac:dyDescent="0.4">
      <c r="A188" t="s">
        <v>72</v>
      </c>
      <c r="B188" t="s">
        <v>1572</v>
      </c>
      <c r="C188" t="s">
        <v>74</v>
      </c>
      <c r="D188" t="s">
        <v>74</v>
      </c>
      <c r="E188" t="s">
        <v>74</v>
      </c>
      <c r="F188" t="s">
        <v>1572</v>
      </c>
      <c r="G188" t="s">
        <v>74</v>
      </c>
      <c r="H188" t="s">
        <v>74</v>
      </c>
      <c r="I188" t="s">
        <v>1573</v>
      </c>
      <c r="J188" t="s">
        <v>1574</v>
      </c>
      <c r="K188" t="s">
        <v>74</v>
      </c>
      <c r="L188" t="s">
        <v>74</v>
      </c>
      <c r="M188" t="s">
        <v>74</v>
      </c>
      <c r="N188" t="s">
        <v>74</v>
      </c>
      <c r="O188" t="s">
        <v>74</v>
      </c>
      <c r="P188" t="s">
        <v>74</v>
      </c>
      <c r="Q188" t="s">
        <v>74</v>
      </c>
      <c r="R188" t="s">
        <v>74</v>
      </c>
      <c r="S188" t="s">
        <v>74</v>
      </c>
      <c r="T188" t="s">
        <v>74</v>
      </c>
      <c r="U188" t="s">
        <v>74</v>
      </c>
      <c r="V188" s="3" t="s">
        <v>1575</v>
      </c>
      <c r="W188" t="s">
        <v>74</v>
      </c>
      <c r="X188" t="s">
        <v>74</v>
      </c>
      <c r="Y188" t="s">
        <v>74</v>
      </c>
      <c r="Z188" t="s">
        <v>74</v>
      </c>
      <c r="AA188" t="s">
        <v>74</v>
      </c>
      <c r="AB188" t="s">
        <v>74</v>
      </c>
      <c r="AC188" t="s">
        <v>74</v>
      </c>
      <c r="AD188" t="s">
        <v>74</v>
      </c>
      <c r="AE188" t="s">
        <v>74</v>
      </c>
      <c r="AF188" t="s">
        <v>74</v>
      </c>
      <c r="AG188" t="s">
        <v>74</v>
      </c>
      <c r="AH188" t="s">
        <v>74</v>
      </c>
      <c r="AI188" t="s">
        <v>74</v>
      </c>
      <c r="AJ188" t="s">
        <v>74</v>
      </c>
      <c r="AK188" t="s">
        <v>74</v>
      </c>
      <c r="AL188" t="s">
        <v>74</v>
      </c>
      <c r="AM188" t="s">
        <v>74</v>
      </c>
      <c r="AN188" t="s">
        <v>74</v>
      </c>
      <c r="AO188" t="s">
        <v>1576</v>
      </c>
      <c r="AP188" t="s">
        <v>1577</v>
      </c>
      <c r="AQ188" t="s">
        <v>74</v>
      </c>
      <c r="AR188" t="s">
        <v>74</v>
      </c>
      <c r="AS188" t="s">
        <v>74</v>
      </c>
      <c r="AT188" t="s">
        <v>74</v>
      </c>
      <c r="AU188">
        <v>2005</v>
      </c>
      <c r="AV188">
        <v>66</v>
      </c>
      <c r="AW188">
        <v>2</v>
      </c>
      <c r="AX188" t="s">
        <v>74</v>
      </c>
      <c r="AY188" t="s">
        <v>74</v>
      </c>
      <c r="AZ188" t="s">
        <v>74</v>
      </c>
      <c r="BA188" t="s">
        <v>74</v>
      </c>
      <c r="BB188">
        <v>99</v>
      </c>
      <c r="BC188">
        <v>113</v>
      </c>
      <c r="BD188" t="s">
        <v>74</v>
      </c>
      <c r="BE188" t="s">
        <v>1578</v>
      </c>
      <c r="BF188" t="str">
        <f>HYPERLINK("http://dx.doi.org/10.1159/000086229","http://dx.doi.org/10.1159/000086229")</f>
        <v>http://dx.doi.org/10.1159/000086229</v>
      </c>
      <c r="BG188" t="s">
        <v>74</v>
      </c>
      <c r="BH188" t="s">
        <v>74</v>
      </c>
      <c r="BI188" t="s">
        <v>74</v>
      </c>
      <c r="BJ188" t="s">
        <v>74</v>
      </c>
      <c r="BK188" t="s">
        <v>74</v>
      </c>
      <c r="BL188" t="s">
        <v>74</v>
      </c>
      <c r="BM188" t="s">
        <v>74</v>
      </c>
      <c r="BN188">
        <v>15942161</v>
      </c>
      <c r="BO188" t="s">
        <v>74</v>
      </c>
      <c r="BP188" t="s">
        <v>74</v>
      </c>
      <c r="BQ188" t="s">
        <v>74</v>
      </c>
      <c r="BR188" t="s">
        <v>74</v>
      </c>
      <c r="BS188" t="s">
        <v>1579</v>
      </c>
      <c r="BT188" t="str">
        <f>HYPERLINK("https%3A%2F%2Fwww.webofscience.com%2Fwos%2Fwoscc%2Ffull-record%2FWOS:000230679800003","View Full Record in Web of Science")</f>
        <v>View Full Record in Web of Science</v>
      </c>
    </row>
    <row r="189" spans="1:72" x14ac:dyDescent="0.4">
      <c r="A189" t="s">
        <v>72</v>
      </c>
      <c r="B189" t="s">
        <v>2413</v>
      </c>
      <c r="C189" t="s">
        <v>74</v>
      </c>
      <c r="D189" t="s">
        <v>74</v>
      </c>
      <c r="E189" t="s">
        <v>74</v>
      </c>
      <c r="F189" t="s">
        <v>2414</v>
      </c>
      <c r="G189" t="s">
        <v>74</v>
      </c>
      <c r="H189" t="s">
        <v>74</v>
      </c>
      <c r="I189" t="s">
        <v>2415</v>
      </c>
      <c r="J189" t="s">
        <v>1557</v>
      </c>
      <c r="K189" t="s">
        <v>74</v>
      </c>
      <c r="L189" t="s">
        <v>74</v>
      </c>
      <c r="M189" t="s">
        <v>74</v>
      </c>
      <c r="N189" t="s">
        <v>74</v>
      </c>
      <c r="O189" t="s">
        <v>74</v>
      </c>
      <c r="P189" t="s">
        <v>74</v>
      </c>
      <c r="Q189" t="s">
        <v>74</v>
      </c>
      <c r="R189" t="s">
        <v>74</v>
      </c>
      <c r="S189" t="s">
        <v>74</v>
      </c>
      <c r="T189" t="s">
        <v>74</v>
      </c>
      <c r="U189" t="s">
        <v>74</v>
      </c>
      <c r="V189" s="3" t="s">
        <v>2416</v>
      </c>
      <c r="W189" t="s">
        <v>74</v>
      </c>
      <c r="X189" t="s">
        <v>74</v>
      </c>
      <c r="Y189" t="s">
        <v>74</v>
      </c>
      <c r="Z189" t="s">
        <v>74</v>
      </c>
      <c r="AA189" t="s">
        <v>74</v>
      </c>
      <c r="AB189" t="s">
        <v>2417</v>
      </c>
      <c r="AC189" t="s">
        <v>74</v>
      </c>
      <c r="AD189" t="s">
        <v>74</v>
      </c>
      <c r="AE189" t="s">
        <v>74</v>
      </c>
      <c r="AF189" t="s">
        <v>74</v>
      </c>
      <c r="AG189" t="s">
        <v>74</v>
      </c>
      <c r="AH189" t="s">
        <v>74</v>
      </c>
      <c r="AI189" t="s">
        <v>74</v>
      </c>
      <c r="AJ189" t="s">
        <v>74</v>
      </c>
      <c r="AK189" t="s">
        <v>74</v>
      </c>
      <c r="AL189" t="s">
        <v>74</v>
      </c>
      <c r="AM189" t="s">
        <v>74</v>
      </c>
      <c r="AN189" t="s">
        <v>74</v>
      </c>
      <c r="AO189" t="s">
        <v>1561</v>
      </c>
      <c r="AP189" t="s">
        <v>74</v>
      </c>
      <c r="AQ189" t="s">
        <v>74</v>
      </c>
      <c r="AR189" t="s">
        <v>74</v>
      </c>
      <c r="AS189" t="s">
        <v>74</v>
      </c>
      <c r="AT189" t="s">
        <v>74</v>
      </c>
      <c r="AU189">
        <v>2009</v>
      </c>
      <c r="AV189">
        <v>42</v>
      </c>
      <c r="AW189">
        <v>4</v>
      </c>
      <c r="AX189" t="s">
        <v>74</v>
      </c>
      <c r="AY189" t="s">
        <v>74</v>
      </c>
      <c r="AZ189" t="s">
        <v>74</v>
      </c>
      <c r="BA189" t="s">
        <v>74</v>
      </c>
      <c r="BB189">
        <v>219</v>
      </c>
      <c r="BC189">
        <v>232</v>
      </c>
      <c r="BD189" t="s">
        <v>74</v>
      </c>
      <c r="BE189" t="s">
        <v>2418</v>
      </c>
      <c r="BF189" t="str">
        <f>HYPERLINK("http://dx.doi.org/10.1080/10236240903169222","http://dx.doi.org/10.1080/10236240903169222")</f>
        <v>http://dx.doi.org/10.1080/10236240903169222</v>
      </c>
      <c r="BG189" t="s">
        <v>74</v>
      </c>
      <c r="BH189" t="s">
        <v>74</v>
      </c>
      <c r="BI189" t="s">
        <v>74</v>
      </c>
      <c r="BJ189" t="s">
        <v>74</v>
      </c>
      <c r="BK189" t="s">
        <v>74</v>
      </c>
      <c r="BL189" t="s">
        <v>74</v>
      </c>
      <c r="BM189" t="s">
        <v>74</v>
      </c>
      <c r="BN189" t="s">
        <v>74</v>
      </c>
      <c r="BO189" t="s">
        <v>74</v>
      </c>
      <c r="BP189" t="s">
        <v>74</v>
      </c>
      <c r="BQ189" t="s">
        <v>74</v>
      </c>
      <c r="BR189" t="s">
        <v>74</v>
      </c>
      <c r="BS189" t="s">
        <v>2419</v>
      </c>
      <c r="BT189" t="str">
        <f>HYPERLINK("https%3A%2F%2Fwww.webofscience.com%2Fwos%2Fwoscc%2Ffull-record%2FWOS:000271013700001","View Full Record in Web of Science")</f>
        <v>View Full Record in Web of Science</v>
      </c>
    </row>
    <row r="190" spans="1:72" x14ac:dyDescent="0.4">
      <c r="A190" t="s">
        <v>72</v>
      </c>
      <c r="B190" t="s">
        <v>5730</v>
      </c>
      <c r="C190" t="s">
        <v>74</v>
      </c>
      <c r="D190" t="s">
        <v>74</v>
      </c>
      <c r="E190" t="s">
        <v>74</v>
      </c>
      <c r="F190" t="s">
        <v>5730</v>
      </c>
      <c r="G190" t="s">
        <v>74</v>
      </c>
      <c r="H190" t="s">
        <v>74</v>
      </c>
      <c r="I190" t="s">
        <v>5731</v>
      </c>
      <c r="J190" t="s">
        <v>456</v>
      </c>
      <c r="K190" t="s">
        <v>74</v>
      </c>
      <c r="L190" t="s">
        <v>74</v>
      </c>
      <c r="M190" t="s">
        <v>74</v>
      </c>
      <c r="N190" t="s">
        <v>74</v>
      </c>
      <c r="O190" t="s">
        <v>74</v>
      </c>
      <c r="P190" t="s">
        <v>74</v>
      </c>
      <c r="Q190" t="s">
        <v>74</v>
      </c>
      <c r="R190" t="s">
        <v>74</v>
      </c>
      <c r="S190" t="s">
        <v>74</v>
      </c>
      <c r="T190" t="s">
        <v>74</v>
      </c>
      <c r="U190" t="s">
        <v>74</v>
      </c>
      <c r="V190" s="3" t="s">
        <v>5732</v>
      </c>
      <c r="W190" t="s">
        <v>74</v>
      </c>
      <c r="X190" t="s">
        <v>74</v>
      </c>
      <c r="Y190" t="s">
        <v>74</v>
      </c>
      <c r="Z190" t="s">
        <v>74</v>
      </c>
      <c r="AA190" t="s">
        <v>74</v>
      </c>
      <c r="AB190" t="s">
        <v>74</v>
      </c>
      <c r="AC190" t="s">
        <v>74</v>
      </c>
      <c r="AD190" t="s">
        <v>74</v>
      </c>
      <c r="AE190" t="s">
        <v>74</v>
      </c>
      <c r="AF190" t="s">
        <v>74</v>
      </c>
      <c r="AG190" t="s">
        <v>74</v>
      </c>
      <c r="AH190" t="s">
        <v>74</v>
      </c>
      <c r="AI190" t="s">
        <v>74</v>
      </c>
      <c r="AJ190" t="s">
        <v>74</v>
      </c>
      <c r="AK190" t="s">
        <v>74</v>
      </c>
      <c r="AL190" t="s">
        <v>74</v>
      </c>
      <c r="AM190" t="s">
        <v>74</v>
      </c>
      <c r="AN190" t="s">
        <v>74</v>
      </c>
      <c r="AO190" t="s">
        <v>460</v>
      </c>
      <c r="AP190" t="s">
        <v>461</v>
      </c>
      <c r="AQ190" t="s">
        <v>74</v>
      </c>
      <c r="AR190" t="s">
        <v>74</v>
      </c>
      <c r="AS190" t="s">
        <v>74</v>
      </c>
      <c r="AT190" t="s">
        <v>175</v>
      </c>
      <c r="AU190">
        <v>1998</v>
      </c>
      <c r="AV190">
        <v>246</v>
      </c>
      <c r="AW190" t="s">
        <v>74</v>
      </c>
      <c r="AX190">
        <v>2</v>
      </c>
      <c r="AY190" t="s">
        <v>74</v>
      </c>
      <c r="AZ190" t="s">
        <v>74</v>
      </c>
      <c r="BA190" t="s">
        <v>74</v>
      </c>
      <c r="BB190">
        <v>215</v>
      </c>
      <c r="BC190">
        <v>231</v>
      </c>
      <c r="BD190" t="s">
        <v>74</v>
      </c>
      <c r="BE190" t="s">
        <v>5733</v>
      </c>
      <c r="BF190" t="str">
        <f>HYPERLINK("http://dx.doi.org/10.1111/j.1469-7998.1998.tb00150.x","http://dx.doi.org/10.1111/j.1469-7998.1998.tb00150.x")</f>
        <v>http://dx.doi.org/10.1111/j.1469-7998.1998.tb00150.x</v>
      </c>
      <c r="BG190" t="s">
        <v>74</v>
      </c>
      <c r="BH190" t="s">
        <v>74</v>
      </c>
      <c r="BI190" t="s">
        <v>74</v>
      </c>
      <c r="BJ190" t="s">
        <v>74</v>
      </c>
      <c r="BK190" t="s">
        <v>74</v>
      </c>
      <c r="BL190" t="s">
        <v>74</v>
      </c>
      <c r="BM190" t="s">
        <v>74</v>
      </c>
      <c r="BN190" t="s">
        <v>74</v>
      </c>
      <c r="BO190" t="s">
        <v>74</v>
      </c>
      <c r="BP190" t="s">
        <v>74</v>
      </c>
      <c r="BQ190" t="s">
        <v>74</v>
      </c>
      <c r="BR190" t="s">
        <v>74</v>
      </c>
      <c r="BS190" t="s">
        <v>5734</v>
      </c>
      <c r="BT190" t="str">
        <f>HYPERLINK("https%3A%2F%2Fwww.webofscience.com%2Fwos%2Fwoscc%2Ffull-record%2FWOS:000077191700010","View Full Record in Web of Science")</f>
        <v>View Full Record in Web of Science</v>
      </c>
    </row>
    <row r="191" spans="1:72" x14ac:dyDescent="0.4">
      <c r="A191" t="s">
        <v>72</v>
      </c>
      <c r="B191" t="s">
        <v>4304</v>
      </c>
      <c r="C191" t="s">
        <v>74</v>
      </c>
      <c r="D191" t="s">
        <v>74</v>
      </c>
      <c r="E191" t="s">
        <v>74</v>
      </c>
      <c r="F191" t="s">
        <v>4305</v>
      </c>
      <c r="G191" t="s">
        <v>74</v>
      </c>
      <c r="H191" t="s">
        <v>74</v>
      </c>
      <c r="I191" t="s">
        <v>4306</v>
      </c>
      <c r="J191" t="s">
        <v>1126</v>
      </c>
      <c r="K191" t="s">
        <v>74</v>
      </c>
      <c r="L191" t="s">
        <v>74</v>
      </c>
      <c r="M191" t="s">
        <v>74</v>
      </c>
      <c r="N191" t="s">
        <v>74</v>
      </c>
      <c r="O191" t="s">
        <v>74</v>
      </c>
      <c r="P191" t="s">
        <v>74</v>
      </c>
      <c r="Q191" t="s">
        <v>74</v>
      </c>
      <c r="R191" t="s">
        <v>74</v>
      </c>
      <c r="S191" t="s">
        <v>74</v>
      </c>
      <c r="T191" t="s">
        <v>74</v>
      </c>
      <c r="U191" t="s">
        <v>74</v>
      </c>
      <c r="V191" s="3" t="s">
        <v>4307</v>
      </c>
      <c r="W191" t="s">
        <v>74</v>
      </c>
      <c r="X191" t="s">
        <v>74</v>
      </c>
      <c r="Y191" t="s">
        <v>74</v>
      </c>
      <c r="Z191" t="s">
        <v>74</v>
      </c>
      <c r="AA191" t="s">
        <v>379</v>
      </c>
      <c r="AB191" t="s">
        <v>74</v>
      </c>
      <c r="AC191" t="s">
        <v>74</v>
      </c>
      <c r="AD191" t="s">
        <v>74</v>
      </c>
      <c r="AE191" t="s">
        <v>74</v>
      </c>
      <c r="AF191" t="s">
        <v>74</v>
      </c>
      <c r="AG191" t="s">
        <v>74</v>
      </c>
      <c r="AH191" t="s">
        <v>74</v>
      </c>
      <c r="AI191" t="s">
        <v>74</v>
      </c>
      <c r="AJ191" t="s">
        <v>74</v>
      </c>
      <c r="AK191" t="s">
        <v>74</v>
      </c>
      <c r="AL191" t="s">
        <v>74</v>
      </c>
      <c r="AM191" t="s">
        <v>74</v>
      </c>
      <c r="AN191" t="s">
        <v>74</v>
      </c>
      <c r="AO191" t="s">
        <v>1128</v>
      </c>
      <c r="AP191" t="s">
        <v>1129</v>
      </c>
      <c r="AQ191" t="s">
        <v>74</v>
      </c>
      <c r="AR191" t="s">
        <v>74</v>
      </c>
      <c r="AS191" t="s">
        <v>74</v>
      </c>
      <c r="AT191" t="s">
        <v>123</v>
      </c>
      <c r="AU191">
        <v>2013</v>
      </c>
      <c r="AV191" t="s">
        <v>74</v>
      </c>
      <c r="AW191">
        <v>1</v>
      </c>
      <c r="AX191" t="s">
        <v>74</v>
      </c>
      <c r="AY191" t="s">
        <v>74</v>
      </c>
      <c r="AZ191" t="s">
        <v>74</v>
      </c>
      <c r="BA191" t="s">
        <v>74</v>
      </c>
      <c r="BB191">
        <v>154</v>
      </c>
      <c r="BC191">
        <v>159</v>
      </c>
      <c r="BD191" t="s">
        <v>74</v>
      </c>
      <c r="BE191" t="s">
        <v>4308</v>
      </c>
      <c r="BF191" t="str">
        <f>HYPERLINK("http://dx.doi.org/10.1643/CE-12-056","http://dx.doi.org/10.1643/CE-12-056")</f>
        <v>http://dx.doi.org/10.1643/CE-12-056</v>
      </c>
      <c r="BG191" t="s">
        <v>74</v>
      </c>
      <c r="BH191" t="s">
        <v>74</v>
      </c>
      <c r="BI191" t="s">
        <v>74</v>
      </c>
      <c r="BJ191" t="s">
        <v>74</v>
      </c>
      <c r="BK191" t="s">
        <v>74</v>
      </c>
      <c r="BL191" t="s">
        <v>74</v>
      </c>
      <c r="BM191" t="s">
        <v>74</v>
      </c>
      <c r="BN191" t="s">
        <v>74</v>
      </c>
      <c r="BO191" t="s">
        <v>74</v>
      </c>
      <c r="BP191" t="s">
        <v>74</v>
      </c>
      <c r="BQ191" t="s">
        <v>74</v>
      </c>
      <c r="BR191" t="s">
        <v>74</v>
      </c>
      <c r="BS191" t="s">
        <v>4309</v>
      </c>
      <c r="BT191" t="str">
        <f>HYPERLINK("https%3A%2F%2Fwww.webofscience.com%2Fwos%2Fwoscc%2Ffull-record%2FWOS:000411881100019","View Full Record in Web of Science")</f>
        <v>View Full Record in Web of Science</v>
      </c>
    </row>
    <row r="192" spans="1:72" x14ac:dyDescent="0.4">
      <c r="A192" t="s">
        <v>72</v>
      </c>
      <c r="B192" t="s">
        <v>8472</v>
      </c>
      <c r="C192" t="s">
        <v>74</v>
      </c>
      <c r="D192" t="s">
        <v>74</v>
      </c>
      <c r="E192" t="s">
        <v>74</v>
      </c>
      <c r="F192" t="s">
        <v>8473</v>
      </c>
      <c r="G192" t="s">
        <v>74</v>
      </c>
      <c r="H192" t="s">
        <v>74</v>
      </c>
      <c r="I192" t="s">
        <v>8474</v>
      </c>
      <c r="J192" t="s">
        <v>576</v>
      </c>
      <c r="K192" t="s">
        <v>74</v>
      </c>
      <c r="L192" t="s">
        <v>74</v>
      </c>
      <c r="M192" t="s">
        <v>74</v>
      </c>
      <c r="N192" t="s">
        <v>74</v>
      </c>
      <c r="O192" t="s">
        <v>74</v>
      </c>
      <c r="P192" t="s">
        <v>74</v>
      </c>
      <c r="Q192" t="s">
        <v>74</v>
      </c>
      <c r="R192" t="s">
        <v>74</v>
      </c>
      <c r="S192" t="s">
        <v>74</v>
      </c>
      <c r="T192" t="s">
        <v>74</v>
      </c>
      <c r="U192" t="s">
        <v>74</v>
      </c>
      <c r="V192" s="3" t="s">
        <v>8475</v>
      </c>
      <c r="W192" t="s">
        <v>74</v>
      </c>
      <c r="X192" t="s">
        <v>74</v>
      </c>
      <c r="Y192" t="s">
        <v>74</v>
      </c>
      <c r="Z192" t="s">
        <v>74</v>
      </c>
      <c r="AA192" t="s">
        <v>8476</v>
      </c>
      <c r="AB192" t="s">
        <v>8477</v>
      </c>
      <c r="AC192" t="s">
        <v>74</v>
      </c>
      <c r="AD192" t="s">
        <v>74</v>
      </c>
      <c r="AE192" t="s">
        <v>74</v>
      </c>
      <c r="AF192" t="s">
        <v>74</v>
      </c>
      <c r="AG192" t="s">
        <v>74</v>
      </c>
      <c r="AH192" t="s">
        <v>74</v>
      </c>
      <c r="AI192" t="s">
        <v>74</v>
      </c>
      <c r="AJ192" t="s">
        <v>74</v>
      </c>
      <c r="AK192" t="s">
        <v>74</v>
      </c>
      <c r="AL192" t="s">
        <v>74</v>
      </c>
      <c r="AM192" t="s">
        <v>74</v>
      </c>
      <c r="AN192" t="s">
        <v>74</v>
      </c>
      <c r="AO192" t="s">
        <v>579</v>
      </c>
      <c r="AP192" t="s">
        <v>580</v>
      </c>
      <c r="AQ192" t="s">
        <v>74</v>
      </c>
      <c r="AR192" t="s">
        <v>74</v>
      </c>
      <c r="AS192" t="s">
        <v>74</v>
      </c>
      <c r="AT192" t="s">
        <v>352</v>
      </c>
      <c r="AU192">
        <v>2014</v>
      </c>
      <c r="AV192">
        <v>28</v>
      </c>
      <c r="AW192">
        <v>5</v>
      </c>
      <c r="AX192" t="s">
        <v>74</v>
      </c>
      <c r="AY192" t="s">
        <v>74</v>
      </c>
      <c r="AZ192" t="s">
        <v>74</v>
      </c>
      <c r="BA192" t="s">
        <v>74</v>
      </c>
      <c r="BB192">
        <v>941</v>
      </c>
      <c r="BC192">
        <v>956</v>
      </c>
      <c r="BD192" t="s">
        <v>74</v>
      </c>
      <c r="BE192" t="s">
        <v>8478</v>
      </c>
      <c r="BF192" t="str">
        <f>HYPERLINK("http://dx.doi.org/10.1007/s10682-014-9711-1","http://dx.doi.org/10.1007/s10682-014-9711-1")</f>
        <v>http://dx.doi.org/10.1007/s10682-014-9711-1</v>
      </c>
      <c r="BG192" t="s">
        <v>74</v>
      </c>
      <c r="BH192" t="s">
        <v>74</v>
      </c>
      <c r="BI192" t="s">
        <v>74</v>
      </c>
      <c r="BJ192" t="s">
        <v>74</v>
      </c>
      <c r="BK192" t="s">
        <v>74</v>
      </c>
      <c r="BL192" t="s">
        <v>74</v>
      </c>
      <c r="BM192" t="s">
        <v>74</v>
      </c>
      <c r="BN192" t="s">
        <v>74</v>
      </c>
      <c r="BO192" t="s">
        <v>74</v>
      </c>
      <c r="BP192" t="s">
        <v>74</v>
      </c>
      <c r="BQ192" t="s">
        <v>74</v>
      </c>
      <c r="BR192" t="s">
        <v>74</v>
      </c>
      <c r="BS192" t="s">
        <v>8479</v>
      </c>
      <c r="BT192" t="str">
        <f>HYPERLINK("https%3A%2F%2Fwww.webofscience.com%2Fwos%2Fwoscc%2Ffull-record%2FWOS:000340496000009","View Full Record in Web of Science")</f>
        <v>View Full Record in Web of Science</v>
      </c>
    </row>
    <row r="193" spans="1:72" x14ac:dyDescent="0.4">
      <c r="A193" t="s">
        <v>72</v>
      </c>
      <c r="B193" t="s">
        <v>1195</v>
      </c>
      <c r="C193" t="s">
        <v>74</v>
      </c>
      <c r="D193" t="s">
        <v>74</v>
      </c>
      <c r="E193" t="s">
        <v>74</v>
      </c>
      <c r="F193" t="s">
        <v>1196</v>
      </c>
      <c r="G193" t="s">
        <v>74</v>
      </c>
      <c r="H193" t="s">
        <v>74</v>
      </c>
      <c r="I193" t="s">
        <v>1197</v>
      </c>
      <c r="J193" t="s">
        <v>1198</v>
      </c>
      <c r="K193" t="s">
        <v>74</v>
      </c>
      <c r="L193" t="s">
        <v>74</v>
      </c>
      <c r="M193" t="s">
        <v>74</v>
      </c>
      <c r="N193" t="s">
        <v>74</v>
      </c>
      <c r="O193" t="s">
        <v>74</v>
      </c>
      <c r="P193" t="s">
        <v>74</v>
      </c>
      <c r="Q193" t="s">
        <v>74</v>
      </c>
      <c r="R193" t="s">
        <v>74</v>
      </c>
      <c r="S193" t="s">
        <v>74</v>
      </c>
      <c r="T193" t="s">
        <v>74</v>
      </c>
      <c r="U193" t="s">
        <v>74</v>
      </c>
      <c r="V193" s="3" t="s">
        <v>1199</v>
      </c>
      <c r="W193" t="s">
        <v>74</v>
      </c>
      <c r="X193" t="s">
        <v>74</v>
      </c>
      <c r="Y193" t="s">
        <v>74</v>
      </c>
      <c r="Z193" t="s">
        <v>74</v>
      </c>
      <c r="AA193" t="s">
        <v>1200</v>
      </c>
      <c r="AB193" t="s">
        <v>1201</v>
      </c>
      <c r="AC193" t="s">
        <v>74</v>
      </c>
      <c r="AD193" t="s">
        <v>74</v>
      </c>
      <c r="AE193" t="s">
        <v>74</v>
      </c>
      <c r="AF193" t="s">
        <v>74</v>
      </c>
      <c r="AG193" t="s">
        <v>74</v>
      </c>
      <c r="AH193" t="s">
        <v>74</v>
      </c>
      <c r="AI193" t="s">
        <v>74</v>
      </c>
      <c r="AJ193" t="s">
        <v>74</v>
      </c>
      <c r="AK193" t="s">
        <v>74</v>
      </c>
      <c r="AL193" t="s">
        <v>74</v>
      </c>
      <c r="AM193" t="s">
        <v>74</v>
      </c>
      <c r="AN193" t="s">
        <v>74</v>
      </c>
      <c r="AO193" t="s">
        <v>1202</v>
      </c>
      <c r="AP193" t="s">
        <v>1203</v>
      </c>
      <c r="AQ193" t="s">
        <v>74</v>
      </c>
      <c r="AR193" t="s">
        <v>74</v>
      </c>
      <c r="AS193" t="s">
        <v>74</v>
      </c>
      <c r="AT193" t="s">
        <v>123</v>
      </c>
      <c r="AU193">
        <v>2023</v>
      </c>
      <c r="AV193">
        <v>79</v>
      </c>
      <c r="AW193">
        <v>1</v>
      </c>
      <c r="AX193" t="s">
        <v>74</v>
      </c>
      <c r="AY193" t="s">
        <v>74</v>
      </c>
      <c r="AZ193" t="s">
        <v>74</v>
      </c>
      <c r="BA193" t="s">
        <v>74</v>
      </c>
      <c r="BB193">
        <v>37</v>
      </c>
      <c r="BC193">
        <v>47</v>
      </c>
      <c r="BD193" t="s">
        <v>74</v>
      </c>
      <c r="BE193" t="s">
        <v>74</v>
      </c>
      <c r="BF193" t="s">
        <v>74</v>
      </c>
      <c r="BG193" t="s">
        <v>74</v>
      </c>
      <c r="BH193" t="s">
        <v>74</v>
      </c>
      <c r="BI193" t="s">
        <v>74</v>
      </c>
      <c r="BJ193" t="s">
        <v>74</v>
      </c>
      <c r="BK193" t="s">
        <v>74</v>
      </c>
      <c r="BL193" t="s">
        <v>74</v>
      </c>
      <c r="BM193" t="s">
        <v>74</v>
      </c>
      <c r="BN193" t="s">
        <v>74</v>
      </c>
      <c r="BO193" t="s">
        <v>74</v>
      </c>
      <c r="BP193" t="s">
        <v>74</v>
      </c>
      <c r="BQ193" t="s">
        <v>74</v>
      </c>
      <c r="BR193" t="s">
        <v>74</v>
      </c>
      <c r="BS193" t="s">
        <v>1204</v>
      </c>
      <c r="BT193" t="str">
        <f>HYPERLINK("https%3A%2F%2Fwww.webofscience.com%2Fwos%2Fwoscc%2Ffull-record%2FWOS:000948166800005","View Full Record in Web of Science")</f>
        <v>View Full Record in Web of Science</v>
      </c>
    </row>
    <row r="194" spans="1:72" x14ac:dyDescent="0.4">
      <c r="A194" t="s">
        <v>72</v>
      </c>
      <c r="B194" t="s">
        <v>5849</v>
      </c>
      <c r="C194" t="s">
        <v>74</v>
      </c>
      <c r="D194" t="s">
        <v>74</v>
      </c>
      <c r="E194" t="s">
        <v>74</v>
      </c>
      <c r="F194" t="s">
        <v>5850</v>
      </c>
      <c r="G194" t="s">
        <v>74</v>
      </c>
      <c r="H194" t="s">
        <v>74</v>
      </c>
      <c r="I194" t="s">
        <v>5851</v>
      </c>
      <c r="J194" t="s">
        <v>140</v>
      </c>
      <c r="K194" t="s">
        <v>74</v>
      </c>
      <c r="L194" t="s">
        <v>74</v>
      </c>
      <c r="M194" t="s">
        <v>74</v>
      </c>
      <c r="N194" t="s">
        <v>74</v>
      </c>
      <c r="O194" t="s">
        <v>74</v>
      </c>
      <c r="P194" t="s">
        <v>74</v>
      </c>
      <c r="Q194" t="s">
        <v>74</v>
      </c>
      <c r="R194" t="s">
        <v>74</v>
      </c>
      <c r="S194" t="s">
        <v>74</v>
      </c>
      <c r="T194" t="s">
        <v>74</v>
      </c>
      <c r="U194" t="s">
        <v>74</v>
      </c>
      <c r="V194" s="3" t="s">
        <v>5852</v>
      </c>
      <c r="W194" t="s">
        <v>74</v>
      </c>
      <c r="X194" t="s">
        <v>74</v>
      </c>
      <c r="Y194" t="s">
        <v>74</v>
      </c>
      <c r="Z194" t="s">
        <v>74</v>
      </c>
      <c r="AA194" t="s">
        <v>5853</v>
      </c>
      <c r="AB194" t="s">
        <v>5854</v>
      </c>
      <c r="AC194" t="s">
        <v>74</v>
      </c>
      <c r="AD194" t="s">
        <v>74</v>
      </c>
      <c r="AE194" t="s">
        <v>74</v>
      </c>
      <c r="AF194" t="s">
        <v>74</v>
      </c>
      <c r="AG194" t="s">
        <v>74</v>
      </c>
      <c r="AH194" t="s">
        <v>74</v>
      </c>
      <c r="AI194" t="s">
        <v>74</v>
      </c>
      <c r="AJ194" t="s">
        <v>74</v>
      </c>
      <c r="AK194" t="s">
        <v>74</v>
      </c>
      <c r="AL194" t="s">
        <v>74</v>
      </c>
      <c r="AM194" t="s">
        <v>74</v>
      </c>
      <c r="AN194" t="s">
        <v>74</v>
      </c>
      <c r="AO194" t="s">
        <v>143</v>
      </c>
      <c r="AP194" t="s">
        <v>144</v>
      </c>
      <c r="AQ194" t="s">
        <v>74</v>
      </c>
      <c r="AR194" t="s">
        <v>74</v>
      </c>
      <c r="AS194" t="s">
        <v>74</v>
      </c>
      <c r="AT194" t="s">
        <v>213</v>
      </c>
      <c r="AU194">
        <v>2015</v>
      </c>
      <c r="AV194">
        <v>109</v>
      </c>
      <c r="AW194" t="s">
        <v>74</v>
      </c>
      <c r="AX194" t="s">
        <v>74</v>
      </c>
      <c r="AY194" t="s">
        <v>74</v>
      </c>
      <c r="AZ194" t="s">
        <v>74</v>
      </c>
      <c r="BA194" t="s">
        <v>74</v>
      </c>
      <c r="BB194">
        <v>33</v>
      </c>
      <c r="BC194">
        <v>44</v>
      </c>
      <c r="BD194" t="s">
        <v>74</v>
      </c>
      <c r="BE194" t="s">
        <v>5855</v>
      </c>
      <c r="BF194" t="str">
        <f>HYPERLINK("http://dx.doi.org/10.1016/j.anbehav.2015.08.002","http://dx.doi.org/10.1016/j.anbehav.2015.08.002")</f>
        <v>http://dx.doi.org/10.1016/j.anbehav.2015.08.002</v>
      </c>
      <c r="BG194" t="s">
        <v>74</v>
      </c>
      <c r="BH194" t="s">
        <v>74</v>
      </c>
      <c r="BI194" t="s">
        <v>74</v>
      </c>
      <c r="BJ194" t="s">
        <v>74</v>
      </c>
      <c r="BK194" t="s">
        <v>74</v>
      </c>
      <c r="BL194" t="s">
        <v>74</v>
      </c>
      <c r="BM194" t="s">
        <v>74</v>
      </c>
      <c r="BN194" t="s">
        <v>74</v>
      </c>
      <c r="BO194" t="s">
        <v>74</v>
      </c>
      <c r="BP194" t="s">
        <v>74</v>
      </c>
      <c r="BQ194" t="s">
        <v>74</v>
      </c>
      <c r="BR194" t="s">
        <v>74</v>
      </c>
      <c r="BS194" t="s">
        <v>5856</v>
      </c>
      <c r="BT194" t="str">
        <f>HYPERLINK("https%3A%2F%2Fwww.webofscience.com%2Fwos%2Fwoscc%2Ffull-record%2FWOS:000363268300007","View Full Record in Web of Science")</f>
        <v>View Full Record in Web of Science</v>
      </c>
    </row>
    <row r="195" spans="1:72" x14ac:dyDescent="0.4">
      <c r="A195" t="s">
        <v>72</v>
      </c>
      <c r="B195" t="s">
        <v>6750</v>
      </c>
      <c r="C195" t="s">
        <v>74</v>
      </c>
      <c r="D195" t="s">
        <v>74</v>
      </c>
      <c r="E195" t="s">
        <v>74</v>
      </c>
      <c r="F195" t="s">
        <v>6751</v>
      </c>
      <c r="G195" t="s">
        <v>74</v>
      </c>
      <c r="H195" t="s">
        <v>74</v>
      </c>
      <c r="I195" t="s">
        <v>6752</v>
      </c>
      <c r="J195" t="s">
        <v>610</v>
      </c>
      <c r="K195" t="s">
        <v>74</v>
      </c>
      <c r="L195" t="s">
        <v>74</v>
      </c>
      <c r="M195" t="s">
        <v>74</v>
      </c>
      <c r="N195" t="s">
        <v>74</v>
      </c>
      <c r="O195" t="s">
        <v>74</v>
      </c>
      <c r="P195" t="s">
        <v>74</v>
      </c>
      <c r="Q195" t="s">
        <v>74</v>
      </c>
      <c r="R195" t="s">
        <v>74</v>
      </c>
      <c r="S195" t="s">
        <v>74</v>
      </c>
      <c r="T195" t="s">
        <v>74</v>
      </c>
      <c r="U195" t="s">
        <v>74</v>
      </c>
      <c r="V195" s="3" t="s">
        <v>6753</v>
      </c>
      <c r="W195" t="s">
        <v>74</v>
      </c>
      <c r="X195" t="s">
        <v>74</v>
      </c>
      <c r="Y195" t="s">
        <v>74</v>
      </c>
      <c r="Z195" t="s">
        <v>74</v>
      </c>
      <c r="AA195" t="s">
        <v>6754</v>
      </c>
      <c r="AB195" t="s">
        <v>6755</v>
      </c>
      <c r="AC195" t="s">
        <v>74</v>
      </c>
      <c r="AD195" t="s">
        <v>74</v>
      </c>
      <c r="AE195" t="s">
        <v>74</v>
      </c>
      <c r="AF195" t="s">
        <v>74</v>
      </c>
      <c r="AG195" t="s">
        <v>74</v>
      </c>
      <c r="AH195" t="s">
        <v>74</v>
      </c>
      <c r="AI195" t="s">
        <v>74</v>
      </c>
      <c r="AJ195" t="s">
        <v>74</v>
      </c>
      <c r="AK195" t="s">
        <v>74</v>
      </c>
      <c r="AL195" t="s">
        <v>74</v>
      </c>
      <c r="AM195" t="s">
        <v>74</v>
      </c>
      <c r="AN195" t="s">
        <v>74</v>
      </c>
      <c r="AO195" t="s">
        <v>614</v>
      </c>
      <c r="AP195" t="s">
        <v>615</v>
      </c>
      <c r="AQ195" t="s">
        <v>74</v>
      </c>
      <c r="AR195" t="s">
        <v>74</v>
      </c>
      <c r="AS195" t="s">
        <v>74</v>
      </c>
      <c r="AT195" t="s">
        <v>964</v>
      </c>
      <c r="AU195">
        <v>2020</v>
      </c>
      <c r="AV195">
        <v>126</v>
      </c>
      <c r="AW195">
        <v>2</v>
      </c>
      <c r="AX195" t="s">
        <v>74</v>
      </c>
      <c r="AY195" t="s">
        <v>74</v>
      </c>
      <c r="AZ195" t="s">
        <v>848</v>
      </c>
      <c r="BA195" t="s">
        <v>74</v>
      </c>
      <c r="BB195">
        <v>140</v>
      </c>
      <c r="BC195">
        <v>152</v>
      </c>
      <c r="BD195" t="s">
        <v>74</v>
      </c>
      <c r="BE195" t="s">
        <v>6756</v>
      </c>
      <c r="BF195" t="str">
        <f>HYPERLINK("http://dx.doi.org/10.1111/eth.12954","http://dx.doi.org/10.1111/eth.12954")</f>
        <v>http://dx.doi.org/10.1111/eth.12954</v>
      </c>
      <c r="BG195" t="s">
        <v>74</v>
      </c>
      <c r="BH195" t="s">
        <v>6757</v>
      </c>
      <c r="BI195" t="s">
        <v>74</v>
      </c>
      <c r="BJ195" t="s">
        <v>74</v>
      </c>
      <c r="BK195" t="s">
        <v>74</v>
      </c>
      <c r="BL195" t="s">
        <v>74</v>
      </c>
      <c r="BM195" t="s">
        <v>74</v>
      </c>
      <c r="BN195" t="s">
        <v>74</v>
      </c>
      <c r="BO195" t="s">
        <v>74</v>
      </c>
      <c r="BP195" t="s">
        <v>74</v>
      </c>
      <c r="BQ195" t="s">
        <v>74</v>
      </c>
      <c r="BR195" t="s">
        <v>74</v>
      </c>
      <c r="BS195" t="s">
        <v>6758</v>
      </c>
      <c r="BT195" t="str">
        <f>HYPERLINK("https%3A%2F%2Fwww.webofscience.com%2Fwos%2Fwoscc%2Ffull-record%2FWOS:000488374300001","View Full Record in Web of Science")</f>
        <v>View Full Record in Web of Science</v>
      </c>
    </row>
    <row r="196" spans="1:72" x14ac:dyDescent="0.4">
      <c r="A196" t="s">
        <v>72</v>
      </c>
      <c r="B196" t="s">
        <v>5771</v>
      </c>
      <c r="C196" t="s">
        <v>74</v>
      </c>
      <c r="D196" t="s">
        <v>74</v>
      </c>
      <c r="E196" t="s">
        <v>74</v>
      </c>
      <c r="F196" t="s">
        <v>5772</v>
      </c>
      <c r="G196" t="s">
        <v>74</v>
      </c>
      <c r="H196" t="s">
        <v>74</v>
      </c>
      <c r="I196" t="s">
        <v>5773</v>
      </c>
      <c r="J196" t="s">
        <v>5774</v>
      </c>
      <c r="K196" t="s">
        <v>74</v>
      </c>
      <c r="L196" t="s">
        <v>74</v>
      </c>
      <c r="M196" t="s">
        <v>74</v>
      </c>
      <c r="N196" t="s">
        <v>74</v>
      </c>
      <c r="O196" t="s">
        <v>74</v>
      </c>
      <c r="P196" t="s">
        <v>74</v>
      </c>
      <c r="Q196" t="s">
        <v>74</v>
      </c>
      <c r="R196" t="s">
        <v>74</v>
      </c>
      <c r="S196" t="s">
        <v>74</v>
      </c>
      <c r="T196" t="s">
        <v>74</v>
      </c>
      <c r="U196" t="s">
        <v>74</v>
      </c>
      <c r="V196" s="3" t="s">
        <v>5775</v>
      </c>
      <c r="W196" t="s">
        <v>74</v>
      </c>
      <c r="X196" t="s">
        <v>74</v>
      </c>
      <c r="Y196" t="s">
        <v>74</v>
      </c>
      <c r="Z196" t="s">
        <v>74</v>
      </c>
      <c r="AA196" t="s">
        <v>4828</v>
      </c>
      <c r="AB196" t="s">
        <v>4829</v>
      </c>
      <c r="AC196" t="s">
        <v>74</v>
      </c>
      <c r="AD196" t="s">
        <v>74</v>
      </c>
      <c r="AE196" t="s">
        <v>74</v>
      </c>
      <c r="AF196" t="s">
        <v>74</v>
      </c>
      <c r="AG196" t="s">
        <v>74</v>
      </c>
      <c r="AH196" t="s">
        <v>74</v>
      </c>
      <c r="AI196" t="s">
        <v>74</v>
      </c>
      <c r="AJ196" t="s">
        <v>74</v>
      </c>
      <c r="AK196" t="s">
        <v>74</v>
      </c>
      <c r="AL196" t="s">
        <v>74</v>
      </c>
      <c r="AM196" t="s">
        <v>74</v>
      </c>
      <c r="AN196" t="s">
        <v>74</v>
      </c>
      <c r="AO196" t="s">
        <v>5776</v>
      </c>
      <c r="AP196" t="s">
        <v>74</v>
      </c>
      <c r="AQ196" t="s">
        <v>74</v>
      </c>
      <c r="AR196" t="s">
        <v>74</v>
      </c>
      <c r="AS196" t="s">
        <v>74</v>
      </c>
      <c r="AT196" t="s">
        <v>102</v>
      </c>
      <c r="AU196">
        <v>2009</v>
      </c>
      <c r="AV196">
        <v>20</v>
      </c>
      <c r="AW196">
        <v>2</v>
      </c>
      <c r="AX196" t="s">
        <v>74</v>
      </c>
      <c r="AY196" t="s">
        <v>74</v>
      </c>
      <c r="AZ196" t="s">
        <v>74</v>
      </c>
      <c r="BA196" t="s">
        <v>74</v>
      </c>
      <c r="BB196">
        <v>163</v>
      </c>
      <c r="BC196">
        <v>178</v>
      </c>
      <c r="BD196" t="s">
        <v>74</v>
      </c>
      <c r="BE196" t="s">
        <v>74</v>
      </c>
      <c r="BF196" t="s">
        <v>74</v>
      </c>
      <c r="BG196" t="s">
        <v>74</v>
      </c>
      <c r="BH196" t="s">
        <v>74</v>
      </c>
      <c r="BI196" t="s">
        <v>74</v>
      </c>
      <c r="BJ196" t="s">
        <v>74</v>
      </c>
      <c r="BK196" t="s">
        <v>74</v>
      </c>
      <c r="BL196" t="s">
        <v>74</v>
      </c>
      <c r="BM196" t="s">
        <v>74</v>
      </c>
      <c r="BN196" t="s">
        <v>74</v>
      </c>
      <c r="BO196" t="s">
        <v>74</v>
      </c>
      <c r="BP196" t="s">
        <v>74</v>
      </c>
      <c r="BQ196" t="s">
        <v>74</v>
      </c>
      <c r="BR196" t="s">
        <v>74</v>
      </c>
      <c r="BS196" t="s">
        <v>5777</v>
      </c>
      <c r="BT196" t="str">
        <f>HYPERLINK("https%3A%2F%2Fwww.webofscience.com%2Fwos%2Fwoscc%2Ffull-record%2FWOS:000269324600006","View Full Record in Web of Science")</f>
        <v>View Full Record in Web of Science</v>
      </c>
    </row>
    <row r="197" spans="1:72" x14ac:dyDescent="0.4">
      <c r="A197" t="s">
        <v>72</v>
      </c>
      <c r="B197" t="s">
        <v>3203</v>
      </c>
      <c r="C197" t="s">
        <v>74</v>
      </c>
      <c r="D197" t="s">
        <v>74</v>
      </c>
      <c r="E197" t="s">
        <v>74</v>
      </c>
      <c r="F197" t="s">
        <v>3203</v>
      </c>
      <c r="G197" t="s">
        <v>74</v>
      </c>
      <c r="H197" t="s">
        <v>74</v>
      </c>
      <c r="I197" t="s">
        <v>3204</v>
      </c>
      <c r="J197" t="s">
        <v>509</v>
      </c>
      <c r="K197" t="s">
        <v>74</v>
      </c>
      <c r="L197" t="s">
        <v>74</v>
      </c>
      <c r="M197" t="s">
        <v>74</v>
      </c>
      <c r="N197" t="s">
        <v>74</v>
      </c>
      <c r="O197" t="s">
        <v>74</v>
      </c>
      <c r="P197" t="s">
        <v>74</v>
      </c>
      <c r="Q197" t="s">
        <v>74</v>
      </c>
      <c r="R197" t="s">
        <v>74</v>
      </c>
      <c r="S197" t="s">
        <v>74</v>
      </c>
      <c r="T197" t="s">
        <v>74</v>
      </c>
      <c r="U197" t="s">
        <v>74</v>
      </c>
      <c r="V197" s="3" t="s">
        <v>3205</v>
      </c>
      <c r="W197" t="s">
        <v>74</v>
      </c>
      <c r="X197" t="s">
        <v>74</v>
      </c>
      <c r="Y197" t="s">
        <v>74</v>
      </c>
      <c r="Z197" t="s">
        <v>74</v>
      </c>
      <c r="AA197" t="s">
        <v>74</v>
      </c>
      <c r="AB197" t="s">
        <v>74</v>
      </c>
      <c r="AC197" t="s">
        <v>74</v>
      </c>
      <c r="AD197" t="s">
        <v>74</v>
      </c>
      <c r="AE197" t="s">
        <v>74</v>
      </c>
      <c r="AF197" t="s">
        <v>74</v>
      </c>
      <c r="AG197" t="s">
        <v>74</v>
      </c>
      <c r="AH197" t="s">
        <v>74</v>
      </c>
      <c r="AI197" t="s">
        <v>74</v>
      </c>
      <c r="AJ197" t="s">
        <v>74</v>
      </c>
      <c r="AK197" t="s">
        <v>74</v>
      </c>
      <c r="AL197" t="s">
        <v>74</v>
      </c>
      <c r="AM197" t="s">
        <v>74</v>
      </c>
      <c r="AN197" t="s">
        <v>74</v>
      </c>
      <c r="AO197" t="s">
        <v>511</v>
      </c>
      <c r="AP197" t="s">
        <v>512</v>
      </c>
      <c r="AQ197" t="s">
        <v>74</v>
      </c>
      <c r="AR197" t="s">
        <v>74</v>
      </c>
      <c r="AS197" t="s">
        <v>74</v>
      </c>
      <c r="AT197" t="s">
        <v>123</v>
      </c>
      <c r="AU197">
        <v>2005</v>
      </c>
      <c r="AV197">
        <v>47</v>
      </c>
      <c r="AW197">
        <v>3</v>
      </c>
      <c r="AX197" t="s">
        <v>74</v>
      </c>
      <c r="AY197" t="s">
        <v>74</v>
      </c>
      <c r="AZ197" t="s">
        <v>74</v>
      </c>
      <c r="BA197" t="s">
        <v>74</v>
      </c>
      <c r="BB197">
        <v>336</v>
      </c>
      <c r="BC197">
        <v>342</v>
      </c>
      <c r="BD197" t="s">
        <v>74</v>
      </c>
      <c r="BE197" t="s">
        <v>3206</v>
      </c>
      <c r="BF197" t="str">
        <f>HYPERLINK("http://dx.doi.org/10.1016/j.yhbeh.2004.11.014","http://dx.doi.org/10.1016/j.yhbeh.2004.11.014")</f>
        <v>http://dx.doi.org/10.1016/j.yhbeh.2004.11.014</v>
      </c>
      <c r="BG197" t="s">
        <v>74</v>
      </c>
      <c r="BH197" t="s">
        <v>74</v>
      </c>
      <c r="BI197" t="s">
        <v>74</v>
      </c>
      <c r="BJ197" t="s">
        <v>74</v>
      </c>
      <c r="BK197" t="s">
        <v>74</v>
      </c>
      <c r="BL197" t="s">
        <v>74</v>
      </c>
      <c r="BM197" t="s">
        <v>74</v>
      </c>
      <c r="BN197">
        <v>15708763</v>
      </c>
      <c r="BO197" t="s">
        <v>74</v>
      </c>
      <c r="BP197" t="s">
        <v>74</v>
      </c>
      <c r="BQ197" t="s">
        <v>74</v>
      </c>
      <c r="BR197" t="s">
        <v>74</v>
      </c>
      <c r="BS197" t="s">
        <v>3207</v>
      </c>
      <c r="BT197" t="str">
        <f>HYPERLINK("https%3A%2F%2Fwww.webofscience.com%2Fwos%2Fwoscc%2Ffull-record%2FWOS:000227326100013","View Full Record in Web of Science")</f>
        <v>View Full Record in Web of Science</v>
      </c>
    </row>
    <row r="198" spans="1:72" x14ac:dyDescent="0.4">
      <c r="A198" t="s">
        <v>72</v>
      </c>
      <c r="B198" t="s">
        <v>6416</v>
      </c>
      <c r="C198" t="s">
        <v>74</v>
      </c>
      <c r="D198" t="s">
        <v>74</v>
      </c>
      <c r="E198" t="s">
        <v>74</v>
      </c>
      <c r="F198" t="s">
        <v>6417</v>
      </c>
      <c r="G198" t="s">
        <v>74</v>
      </c>
      <c r="H198" t="s">
        <v>74</v>
      </c>
      <c r="I198" t="s">
        <v>6418</v>
      </c>
      <c r="J198" t="s">
        <v>1812</v>
      </c>
      <c r="K198" t="s">
        <v>74</v>
      </c>
      <c r="L198" t="s">
        <v>74</v>
      </c>
      <c r="M198" t="s">
        <v>74</v>
      </c>
      <c r="N198" t="s">
        <v>74</v>
      </c>
      <c r="O198" t="s">
        <v>74</v>
      </c>
      <c r="P198" t="s">
        <v>74</v>
      </c>
      <c r="Q198" t="s">
        <v>74</v>
      </c>
      <c r="R198" t="s">
        <v>74</v>
      </c>
      <c r="S198" t="s">
        <v>74</v>
      </c>
      <c r="T198" t="s">
        <v>74</v>
      </c>
      <c r="U198" t="s">
        <v>74</v>
      </c>
      <c r="V198" s="3" t="s">
        <v>6419</v>
      </c>
      <c r="W198" t="s">
        <v>74</v>
      </c>
      <c r="X198" t="s">
        <v>74</v>
      </c>
      <c r="Y198" t="s">
        <v>74</v>
      </c>
      <c r="Z198" t="s">
        <v>74</v>
      </c>
      <c r="AA198" t="s">
        <v>6420</v>
      </c>
      <c r="AB198" t="s">
        <v>6421</v>
      </c>
      <c r="AC198" t="s">
        <v>74</v>
      </c>
      <c r="AD198" t="s">
        <v>74</v>
      </c>
      <c r="AE198" t="s">
        <v>74</v>
      </c>
      <c r="AF198" t="s">
        <v>74</v>
      </c>
      <c r="AG198" t="s">
        <v>74</v>
      </c>
      <c r="AH198" t="s">
        <v>74</v>
      </c>
      <c r="AI198" t="s">
        <v>74</v>
      </c>
      <c r="AJ198" t="s">
        <v>74</v>
      </c>
      <c r="AK198" t="s">
        <v>74</v>
      </c>
      <c r="AL198" t="s">
        <v>74</v>
      </c>
      <c r="AM198" t="s">
        <v>74</v>
      </c>
      <c r="AN198" t="s">
        <v>74</v>
      </c>
      <c r="AO198" t="s">
        <v>1814</v>
      </c>
      <c r="AP198" t="s">
        <v>1815</v>
      </c>
      <c r="AQ198" t="s">
        <v>74</v>
      </c>
      <c r="AR198" t="s">
        <v>74</v>
      </c>
      <c r="AS198" t="s">
        <v>74</v>
      </c>
      <c r="AT198" t="s">
        <v>123</v>
      </c>
      <c r="AU198">
        <v>2016</v>
      </c>
      <c r="AV198">
        <v>50</v>
      </c>
      <c r="AW198">
        <v>1</v>
      </c>
      <c r="AX198" t="s">
        <v>74</v>
      </c>
      <c r="AY198" t="s">
        <v>74</v>
      </c>
      <c r="AZ198" t="s">
        <v>74</v>
      </c>
      <c r="BA198" t="s">
        <v>74</v>
      </c>
      <c r="BB198">
        <v>169</v>
      </c>
      <c r="BC198">
        <v>178</v>
      </c>
      <c r="BD198" t="s">
        <v>74</v>
      </c>
      <c r="BE198" t="s">
        <v>6422</v>
      </c>
      <c r="BF198" t="str">
        <f>HYPERLINK("http://dx.doi.org/10.1670/14-119","http://dx.doi.org/10.1670/14-119")</f>
        <v>http://dx.doi.org/10.1670/14-119</v>
      </c>
      <c r="BG198" t="s">
        <v>74</v>
      </c>
      <c r="BH198" t="s">
        <v>74</v>
      </c>
      <c r="BI198" t="s">
        <v>74</v>
      </c>
      <c r="BJ198" t="s">
        <v>74</v>
      </c>
      <c r="BK198" t="s">
        <v>74</v>
      </c>
      <c r="BL198" t="s">
        <v>74</v>
      </c>
      <c r="BM198" t="s">
        <v>74</v>
      </c>
      <c r="BN198" t="s">
        <v>74</v>
      </c>
      <c r="BO198" t="s">
        <v>74</v>
      </c>
      <c r="BP198" t="s">
        <v>74</v>
      </c>
      <c r="BQ198" t="s">
        <v>74</v>
      </c>
      <c r="BR198" t="s">
        <v>74</v>
      </c>
      <c r="BS198" t="s">
        <v>6423</v>
      </c>
      <c r="BT198" t="str">
        <f>HYPERLINK("https%3A%2F%2Fwww.webofscience.com%2Fwos%2Fwoscc%2Ffull-record%2FWOS:000371617900026","View Full Record in Web of Science")</f>
        <v>View Full Record in Web of Science</v>
      </c>
    </row>
    <row r="199" spans="1:72" x14ac:dyDescent="0.4">
      <c r="A199" t="s">
        <v>72</v>
      </c>
      <c r="B199" t="s">
        <v>5308</v>
      </c>
      <c r="C199" t="s">
        <v>74</v>
      </c>
      <c r="D199" t="s">
        <v>74</v>
      </c>
      <c r="E199" t="s">
        <v>74</v>
      </c>
      <c r="F199" t="s">
        <v>5309</v>
      </c>
      <c r="G199" t="s">
        <v>74</v>
      </c>
      <c r="H199" t="s">
        <v>74</v>
      </c>
      <c r="I199" t="s">
        <v>5310</v>
      </c>
      <c r="J199" t="s">
        <v>119</v>
      </c>
      <c r="K199" t="s">
        <v>74</v>
      </c>
      <c r="L199" t="s">
        <v>74</v>
      </c>
      <c r="M199" t="s">
        <v>74</v>
      </c>
      <c r="N199" t="s">
        <v>74</v>
      </c>
      <c r="O199" t="s">
        <v>74</v>
      </c>
      <c r="P199" t="s">
        <v>74</v>
      </c>
      <c r="Q199" t="s">
        <v>74</v>
      </c>
      <c r="R199" t="s">
        <v>74</v>
      </c>
      <c r="S199" t="s">
        <v>74</v>
      </c>
      <c r="T199" t="s">
        <v>74</v>
      </c>
      <c r="U199" t="s">
        <v>74</v>
      </c>
      <c r="V199" s="3" t="s">
        <v>5311</v>
      </c>
      <c r="W199" t="s">
        <v>74</v>
      </c>
      <c r="X199" t="s">
        <v>74</v>
      </c>
      <c r="Y199" t="s">
        <v>74</v>
      </c>
      <c r="Z199" t="s">
        <v>74</v>
      </c>
      <c r="AA199" t="s">
        <v>74</v>
      </c>
      <c r="AB199" t="s">
        <v>74</v>
      </c>
      <c r="AC199" t="s">
        <v>74</v>
      </c>
      <c r="AD199" t="s">
        <v>74</v>
      </c>
      <c r="AE199" t="s">
        <v>74</v>
      </c>
      <c r="AF199" t="s">
        <v>74</v>
      </c>
      <c r="AG199" t="s">
        <v>74</v>
      </c>
      <c r="AH199" t="s">
        <v>74</v>
      </c>
      <c r="AI199" t="s">
        <v>74</v>
      </c>
      <c r="AJ199" t="s">
        <v>74</v>
      </c>
      <c r="AK199" t="s">
        <v>74</v>
      </c>
      <c r="AL199" t="s">
        <v>74</v>
      </c>
      <c r="AM199" t="s">
        <v>74</v>
      </c>
      <c r="AN199" t="s">
        <v>74</v>
      </c>
      <c r="AO199" t="s">
        <v>121</v>
      </c>
      <c r="AP199" t="s">
        <v>122</v>
      </c>
      <c r="AQ199" t="s">
        <v>74</v>
      </c>
      <c r="AR199" t="s">
        <v>74</v>
      </c>
      <c r="AS199" t="s">
        <v>74</v>
      </c>
      <c r="AT199" t="s">
        <v>255</v>
      </c>
      <c r="AU199">
        <v>2009</v>
      </c>
      <c r="AV199">
        <v>80</v>
      </c>
      <c r="AW199">
        <v>1</v>
      </c>
      <c r="AX199" t="s">
        <v>74</v>
      </c>
      <c r="AY199" t="s">
        <v>74</v>
      </c>
      <c r="AZ199" t="s">
        <v>74</v>
      </c>
      <c r="BA199" t="s">
        <v>74</v>
      </c>
      <c r="BB199">
        <v>46</v>
      </c>
      <c r="BC199">
        <v>50</v>
      </c>
      <c r="BD199" t="s">
        <v>74</v>
      </c>
      <c r="BE199" t="s">
        <v>5312</v>
      </c>
      <c r="BF199" t="str">
        <f>HYPERLINK("http://dx.doi.org/10.1016/j.beproc.2008.09.007","http://dx.doi.org/10.1016/j.beproc.2008.09.007")</f>
        <v>http://dx.doi.org/10.1016/j.beproc.2008.09.007</v>
      </c>
      <c r="BG199" t="s">
        <v>74</v>
      </c>
      <c r="BH199" t="s">
        <v>74</v>
      </c>
      <c r="BI199" t="s">
        <v>74</v>
      </c>
      <c r="BJ199" t="s">
        <v>74</v>
      </c>
      <c r="BK199" t="s">
        <v>74</v>
      </c>
      <c r="BL199" t="s">
        <v>74</v>
      </c>
      <c r="BM199" t="s">
        <v>74</v>
      </c>
      <c r="BN199">
        <v>18929629</v>
      </c>
      <c r="BO199" t="s">
        <v>74</v>
      </c>
      <c r="BP199" t="s">
        <v>74</v>
      </c>
      <c r="BQ199" t="s">
        <v>74</v>
      </c>
      <c r="BR199" t="s">
        <v>74</v>
      </c>
      <c r="BS199" t="s">
        <v>5313</v>
      </c>
      <c r="BT199" t="str">
        <f>HYPERLINK("https%3A%2F%2Fwww.webofscience.com%2Fwos%2Fwoscc%2Ffull-record%2FWOS:000262546900008","View Full Record in Web of Science")</f>
        <v>View Full Record in Web of Science</v>
      </c>
    </row>
    <row r="200" spans="1:72" x14ac:dyDescent="0.4">
      <c r="A200" t="s">
        <v>72</v>
      </c>
      <c r="B200" t="s">
        <v>6625</v>
      </c>
      <c r="C200" t="s">
        <v>74</v>
      </c>
      <c r="D200" t="s">
        <v>74</v>
      </c>
      <c r="E200" t="s">
        <v>74</v>
      </c>
      <c r="F200" t="s">
        <v>6625</v>
      </c>
      <c r="G200" t="s">
        <v>74</v>
      </c>
      <c r="H200" t="s">
        <v>74</v>
      </c>
      <c r="I200" t="s">
        <v>6626</v>
      </c>
      <c r="J200" t="s">
        <v>814</v>
      </c>
      <c r="K200" t="s">
        <v>74</v>
      </c>
      <c r="L200" t="s">
        <v>74</v>
      </c>
      <c r="M200" t="s">
        <v>74</v>
      </c>
      <c r="N200" t="s">
        <v>74</v>
      </c>
      <c r="O200" t="s">
        <v>74</v>
      </c>
      <c r="P200" t="s">
        <v>74</v>
      </c>
      <c r="Q200" t="s">
        <v>74</v>
      </c>
      <c r="R200" t="s">
        <v>74</v>
      </c>
      <c r="S200" t="s">
        <v>74</v>
      </c>
      <c r="T200" t="s">
        <v>74</v>
      </c>
      <c r="U200" t="s">
        <v>74</v>
      </c>
      <c r="V200" s="3" t="s">
        <v>6627</v>
      </c>
      <c r="W200" t="s">
        <v>74</v>
      </c>
      <c r="X200" t="s">
        <v>74</v>
      </c>
      <c r="Y200" t="s">
        <v>74</v>
      </c>
      <c r="Z200" t="s">
        <v>74</v>
      </c>
      <c r="AA200" t="s">
        <v>74</v>
      </c>
      <c r="AB200" t="s">
        <v>74</v>
      </c>
      <c r="AC200" t="s">
        <v>74</v>
      </c>
      <c r="AD200" t="s">
        <v>74</v>
      </c>
      <c r="AE200" t="s">
        <v>74</v>
      </c>
      <c r="AF200" t="s">
        <v>74</v>
      </c>
      <c r="AG200" t="s">
        <v>74</v>
      </c>
      <c r="AH200" t="s">
        <v>74</v>
      </c>
      <c r="AI200" t="s">
        <v>74</v>
      </c>
      <c r="AJ200" t="s">
        <v>74</v>
      </c>
      <c r="AK200" t="s">
        <v>74</v>
      </c>
      <c r="AL200" t="s">
        <v>74</v>
      </c>
      <c r="AM200" t="s">
        <v>74</v>
      </c>
      <c r="AN200" t="s">
        <v>74</v>
      </c>
      <c r="AO200" t="s">
        <v>818</v>
      </c>
      <c r="AP200" t="s">
        <v>74</v>
      </c>
      <c r="AQ200" t="s">
        <v>74</v>
      </c>
      <c r="AR200" t="s">
        <v>74</v>
      </c>
      <c r="AS200" t="s">
        <v>74</v>
      </c>
      <c r="AT200" t="s">
        <v>74</v>
      </c>
      <c r="AU200">
        <v>2005</v>
      </c>
      <c r="AV200">
        <v>108</v>
      </c>
      <c r="AW200">
        <v>1</v>
      </c>
      <c r="AX200" t="s">
        <v>74</v>
      </c>
      <c r="AY200" t="s">
        <v>74</v>
      </c>
      <c r="AZ200" t="s">
        <v>74</v>
      </c>
      <c r="BA200" t="s">
        <v>74</v>
      </c>
      <c r="BB200">
        <v>27</v>
      </c>
      <c r="BC200">
        <v>39</v>
      </c>
      <c r="BD200" t="s">
        <v>74</v>
      </c>
      <c r="BE200" t="s">
        <v>6628</v>
      </c>
      <c r="BF200" t="str">
        <f>HYPERLINK("http://dx.doi.org/10.1016/j.zool.2004.07.007","http://dx.doi.org/10.1016/j.zool.2004.07.007")</f>
        <v>http://dx.doi.org/10.1016/j.zool.2004.07.007</v>
      </c>
      <c r="BG200" t="s">
        <v>74</v>
      </c>
      <c r="BH200" t="s">
        <v>74</v>
      </c>
      <c r="BI200" t="s">
        <v>74</v>
      </c>
      <c r="BJ200" t="s">
        <v>74</v>
      </c>
      <c r="BK200" t="s">
        <v>74</v>
      </c>
      <c r="BL200" t="s">
        <v>74</v>
      </c>
      <c r="BM200" t="s">
        <v>74</v>
      </c>
      <c r="BN200">
        <v>16351952</v>
      </c>
      <c r="BO200" t="s">
        <v>74</v>
      </c>
      <c r="BP200" t="s">
        <v>74</v>
      </c>
      <c r="BQ200" t="s">
        <v>74</v>
      </c>
      <c r="BR200" t="s">
        <v>74</v>
      </c>
      <c r="BS200" t="s">
        <v>6629</v>
      </c>
      <c r="BT200" t="str">
        <f>HYPERLINK("https%3A%2F%2Fwww.webofscience.com%2Fwos%2Fwoscc%2Ffull-record%2FWOS:000228395300003","View Full Record in Web of Science")</f>
        <v>View Full Record in Web of Science</v>
      </c>
    </row>
    <row r="201" spans="1:72" x14ac:dyDescent="0.4">
      <c r="A201" t="s">
        <v>72</v>
      </c>
      <c r="B201" t="s">
        <v>96</v>
      </c>
      <c r="C201" t="s">
        <v>74</v>
      </c>
      <c r="D201" t="s">
        <v>74</v>
      </c>
      <c r="E201" t="s">
        <v>74</v>
      </c>
      <c r="F201" t="s">
        <v>97</v>
      </c>
      <c r="G201" t="s">
        <v>74</v>
      </c>
      <c r="H201" t="s">
        <v>74</v>
      </c>
      <c r="I201" t="s">
        <v>98</v>
      </c>
      <c r="J201" t="s">
        <v>99</v>
      </c>
      <c r="K201" t="s">
        <v>74</v>
      </c>
      <c r="L201" t="s">
        <v>74</v>
      </c>
      <c r="M201" t="s">
        <v>74</v>
      </c>
      <c r="N201" t="s">
        <v>74</v>
      </c>
      <c r="O201" t="s">
        <v>74</v>
      </c>
      <c r="P201" t="s">
        <v>74</v>
      </c>
      <c r="Q201" t="s">
        <v>74</v>
      </c>
      <c r="R201" t="s">
        <v>74</v>
      </c>
      <c r="S201" t="s">
        <v>74</v>
      </c>
      <c r="T201" t="s">
        <v>74</v>
      </c>
      <c r="U201" t="s">
        <v>74</v>
      </c>
      <c r="V201" s="3" t="s">
        <v>100</v>
      </c>
      <c r="W201" t="s">
        <v>74</v>
      </c>
      <c r="X201" t="s">
        <v>74</v>
      </c>
      <c r="Y201" t="s">
        <v>74</v>
      </c>
      <c r="Z201" t="s">
        <v>74</v>
      </c>
      <c r="AA201" t="s">
        <v>74</v>
      </c>
      <c r="AB201" t="s">
        <v>74</v>
      </c>
      <c r="AC201" t="s">
        <v>74</v>
      </c>
      <c r="AD201" t="s">
        <v>74</v>
      </c>
      <c r="AE201" t="s">
        <v>74</v>
      </c>
      <c r="AF201" t="s">
        <v>74</v>
      </c>
      <c r="AG201" t="s">
        <v>74</v>
      </c>
      <c r="AH201" t="s">
        <v>74</v>
      </c>
      <c r="AI201" t="s">
        <v>74</v>
      </c>
      <c r="AJ201" t="s">
        <v>74</v>
      </c>
      <c r="AK201" t="s">
        <v>74</v>
      </c>
      <c r="AL201" t="s">
        <v>74</v>
      </c>
      <c r="AM201" t="s">
        <v>74</v>
      </c>
      <c r="AN201" t="s">
        <v>74</v>
      </c>
      <c r="AO201" t="s">
        <v>101</v>
      </c>
      <c r="AP201" t="s">
        <v>74</v>
      </c>
      <c r="AQ201" t="s">
        <v>74</v>
      </c>
      <c r="AR201" t="s">
        <v>74</v>
      </c>
      <c r="AS201" t="s">
        <v>74</v>
      </c>
      <c r="AT201" t="s">
        <v>102</v>
      </c>
      <c r="AU201">
        <v>2013</v>
      </c>
      <c r="AV201">
        <v>125</v>
      </c>
      <c r="AW201">
        <v>2</v>
      </c>
      <c r="AX201" t="s">
        <v>74</v>
      </c>
      <c r="AY201" t="s">
        <v>74</v>
      </c>
      <c r="AZ201" t="s">
        <v>74</v>
      </c>
      <c r="BA201" t="s">
        <v>74</v>
      </c>
      <c r="BB201">
        <v>348</v>
      </c>
      <c r="BC201">
        <v>357</v>
      </c>
      <c r="BD201" t="s">
        <v>74</v>
      </c>
      <c r="BE201" t="s">
        <v>103</v>
      </c>
      <c r="BF201" t="str">
        <f>HYPERLINK("http://dx.doi.org/10.1676/12-155.1","http://dx.doi.org/10.1676/12-155.1")</f>
        <v>http://dx.doi.org/10.1676/12-155.1</v>
      </c>
      <c r="BG201" t="s">
        <v>74</v>
      </c>
      <c r="BH201" t="s">
        <v>74</v>
      </c>
      <c r="BI201" t="s">
        <v>74</v>
      </c>
      <c r="BJ201" t="s">
        <v>74</v>
      </c>
      <c r="BK201" t="s">
        <v>74</v>
      </c>
      <c r="BL201" t="s">
        <v>74</v>
      </c>
      <c r="BM201" t="s">
        <v>74</v>
      </c>
      <c r="BN201" t="s">
        <v>74</v>
      </c>
      <c r="BO201" t="s">
        <v>74</v>
      </c>
      <c r="BP201" t="s">
        <v>74</v>
      </c>
      <c r="BQ201" t="s">
        <v>74</v>
      </c>
      <c r="BR201" t="s">
        <v>74</v>
      </c>
      <c r="BS201" t="s">
        <v>104</v>
      </c>
      <c r="BT201" t="str">
        <f>HYPERLINK("https%3A%2F%2Fwww.webofscience.com%2Fwos%2Fwoscc%2Ffull-record%2FWOS:000320893300015","View Full Record in Web of Science")</f>
        <v>View Full Record in Web of Science</v>
      </c>
    </row>
    <row r="202" spans="1:72" x14ac:dyDescent="0.4">
      <c r="A202" t="s">
        <v>72</v>
      </c>
      <c r="B202" t="s">
        <v>3530</v>
      </c>
      <c r="C202" t="s">
        <v>74</v>
      </c>
      <c r="D202" t="s">
        <v>74</v>
      </c>
      <c r="E202" t="s">
        <v>74</v>
      </c>
      <c r="F202" t="s">
        <v>3531</v>
      </c>
      <c r="G202" t="s">
        <v>74</v>
      </c>
      <c r="H202" t="s">
        <v>74</v>
      </c>
      <c r="I202" t="s">
        <v>3532</v>
      </c>
      <c r="J202" t="s">
        <v>1112</v>
      </c>
      <c r="K202" t="s">
        <v>74</v>
      </c>
      <c r="L202" t="s">
        <v>74</v>
      </c>
      <c r="M202" t="s">
        <v>74</v>
      </c>
      <c r="N202" t="s">
        <v>74</v>
      </c>
      <c r="O202" t="s">
        <v>74</v>
      </c>
      <c r="P202" t="s">
        <v>74</v>
      </c>
      <c r="Q202" t="s">
        <v>74</v>
      </c>
      <c r="R202" t="s">
        <v>74</v>
      </c>
      <c r="S202" t="s">
        <v>74</v>
      </c>
      <c r="T202" t="s">
        <v>74</v>
      </c>
      <c r="U202" t="s">
        <v>74</v>
      </c>
      <c r="V202" s="3" t="s">
        <v>3533</v>
      </c>
      <c r="W202" t="s">
        <v>74</v>
      </c>
      <c r="X202" t="s">
        <v>74</v>
      </c>
      <c r="Y202" t="s">
        <v>74</v>
      </c>
      <c r="Z202" t="s">
        <v>74</v>
      </c>
      <c r="AA202" t="s">
        <v>3534</v>
      </c>
      <c r="AB202" t="s">
        <v>3535</v>
      </c>
      <c r="AC202" t="s">
        <v>74</v>
      </c>
      <c r="AD202" t="s">
        <v>74</v>
      </c>
      <c r="AE202" t="s">
        <v>74</v>
      </c>
      <c r="AF202" t="s">
        <v>74</v>
      </c>
      <c r="AG202" t="s">
        <v>74</v>
      </c>
      <c r="AH202" t="s">
        <v>74</v>
      </c>
      <c r="AI202" t="s">
        <v>74</v>
      </c>
      <c r="AJ202" t="s">
        <v>74</v>
      </c>
      <c r="AK202" t="s">
        <v>74</v>
      </c>
      <c r="AL202" t="s">
        <v>74</v>
      </c>
      <c r="AM202" t="s">
        <v>74</v>
      </c>
      <c r="AN202" t="s">
        <v>74</v>
      </c>
      <c r="AO202" t="s">
        <v>1114</v>
      </c>
      <c r="AP202" t="s">
        <v>1115</v>
      </c>
      <c r="AQ202" t="s">
        <v>74</v>
      </c>
      <c r="AR202" t="s">
        <v>74</v>
      </c>
      <c r="AS202" t="s">
        <v>74</v>
      </c>
      <c r="AT202" t="s">
        <v>123</v>
      </c>
      <c r="AU202">
        <v>2020</v>
      </c>
      <c r="AV202">
        <v>224</v>
      </c>
      <c r="AW202" t="s">
        <v>74</v>
      </c>
      <c r="AX202" t="s">
        <v>74</v>
      </c>
      <c r="AY202" t="s">
        <v>74</v>
      </c>
      <c r="AZ202" t="s">
        <v>74</v>
      </c>
      <c r="BA202" t="s">
        <v>74</v>
      </c>
      <c r="BB202" t="s">
        <v>74</v>
      </c>
      <c r="BC202" t="s">
        <v>74</v>
      </c>
      <c r="BD202">
        <v>104947</v>
      </c>
      <c r="BE202" t="s">
        <v>3536</v>
      </c>
      <c r="BF202" t="str">
        <f>HYPERLINK("http://dx.doi.org/10.1016/j.applanim.2020.104947","http://dx.doi.org/10.1016/j.applanim.2020.104947")</f>
        <v>http://dx.doi.org/10.1016/j.applanim.2020.104947</v>
      </c>
      <c r="BG202" t="s">
        <v>74</v>
      </c>
      <c r="BH202" t="s">
        <v>74</v>
      </c>
      <c r="BI202" t="s">
        <v>74</v>
      </c>
      <c r="BJ202" t="s">
        <v>74</v>
      </c>
      <c r="BK202" t="s">
        <v>74</v>
      </c>
      <c r="BL202" t="s">
        <v>74</v>
      </c>
      <c r="BM202" t="s">
        <v>74</v>
      </c>
      <c r="BN202" t="s">
        <v>74</v>
      </c>
      <c r="BO202" t="s">
        <v>74</v>
      </c>
      <c r="BP202" t="s">
        <v>74</v>
      </c>
      <c r="BQ202" t="s">
        <v>74</v>
      </c>
      <c r="BR202" t="s">
        <v>74</v>
      </c>
      <c r="BS202" t="s">
        <v>3537</v>
      </c>
      <c r="BT202" t="str">
        <f>HYPERLINK("https%3A%2F%2Fwww.webofscience.com%2Fwos%2Fwoscc%2Ffull-record%2FWOS:000524493000016","View Full Record in Web of Science")</f>
        <v>View Full Record in Web of Science</v>
      </c>
    </row>
    <row r="203" spans="1:72" x14ac:dyDescent="0.4">
      <c r="A203" t="s">
        <v>72</v>
      </c>
      <c r="B203" t="s">
        <v>2728</v>
      </c>
      <c r="C203" t="s">
        <v>74</v>
      </c>
      <c r="D203" t="s">
        <v>74</v>
      </c>
      <c r="E203" t="s">
        <v>74</v>
      </c>
      <c r="F203" t="s">
        <v>2728</v>
      </c>
      <c r="G203" t="s">
        <v>74</v>
      </c>
      <c r="H203" t="s">
        <v>74</v>
      </c>
      <c r="I203" t="s">
        <v>2729</v>
      </c>
      <c r="J203" t="s">
        <v>431</v>
      </c>
      <c r="K203" t="s">
        <v>74</v>
      </c>
      <c r="L203" t="s">
        <v>74</v>
      </c>
      <c r="M203" t="s">
        <v>74</v>
      </c>
      <c r="N203" t="s">
        <v>74</v>
      </c>
      <c r="O203" t="s">
        <v>74</v>
      </c>
      <c r="P203" t="s">
        <v>74</v>
      </c>
      <c r="Q203" t="s">
        <v>74</v>
      </c>
      <c r="R203" t="s">
        <v>74</v>
      </c>
      <c r="S203" t="s">
        <v>74</v>
      </c>
      <c r="T203" t="s">
        <v>74</v>
      </c>
      <c r="U203" t="s">
        <v>74</v>
      </c>
      <c r="V203" s="3" t="s">
        <v>2730</v>
      </c>
      <c r="W203" t="s">
        <v>74</v>
      </c>
      <c r="X203" t="s">
        <v>74</v>
      </c>
      <c r="Y203" t="s">
        <v>74</v>
      </c>
      <c r="Z203" t="s">
        <v>74</v>
      </c>
      <c r="AA203" t="s">
        <v>74</v>
      </c>
      <c r="AB203" t="s">
        <v>74</v>
      </c>
      <c r="AC203" t="s">
        <v>74</v>
      </c>
      <c r="AD203" t="s">
        <v>74</v>
      </c>
      <c r="AE203" t="s">
        <v>74</v>
      </c>
      <c r="AF203" t="s">
        <v>74</v>
      </c>
      <c r="AG203" t="s">
        <v>74</v>
      </c>
      <c r="AH203" t="s">
        <v>74</v>
      </c>
      <c r="AI203" t="s">
        <v>74</v>
      </c>
      <c r="AJ203" t="s">
        <v>74</v>
      </c>
      <c r="AK203" t="s">
        <v>74</v>
      </c>
      <c r="AL203" t="s">
        <v>74</v>
      </c>
      <c r="AM203" t="s">
        <v>74</v>
      </c>
      <c r="AN203" t="s">
        <v>74</v>
      </c>
      <c r="AO203" t="s">
        <v>1458</v>
      </c>
      <c r="AP203" t="s">
        <v>435</v>
      </c>
      <c r="AQ203" t="s">
        <v>74</v>
      </c>
      <c r="AR203" t="s">
        <v>74</v>
      </c>
      <c r="AS203" t="s">
        <v>74</v>
      </c>
      <c r="AT203" t="s">
        <v>175</v>
      </c>
      <c r="AU203">
        <v>1993</v>
      </c>
      <c r="AV203">
        <v>110</v>
      </c>
      <c r="AW203">
        <v>4</v>
      </c>
      <c r="AX203" t="s">
        <v>74</v>
      </c>
      <c r="AY203" t="s">
        <v>74</v>
      </c>
      <c r="AZ203" t="s">
        <v>74</v>
      </c>
      <c r="BA203" t="s">
        <v>74</v>
      </c>
      <c r="BB203">
        <v>683</v>
      </c>
      <c r="BC203">
        <v>692</v>
      </c>
      <c r="BD203" t="s">
        <v>74</v>
      </c>
      <c r="BE203" t="s">
        <v>2731</v>
      </c>
      <c r="BF203" t="str">
        <f>HYPERLINK("http://dx.doi.org/10.2307/4088624","http://dx.doi.org/10.2307/4088624")</f>
        <v>http://dx.doi.org/10.2307/4088624</v>
      </c>
      <c r="BG203" t="s">
        <v>74</v>
      </c>
      <c r="BH203" t="s">
        <v>74</v>
      </c>
      <c r="BI203" t="s">
        <v>74</v>
      </c>
      <c r="BJ203" t="s">
        <v>74</v>
      </c>
      <c r="BK203" t="s">
        <v>74</v>
      </c>
      <c r="BL203" t="s">
        <v>74</v>
      </c>
      <c r="BM203" t="s">
        <v>74</v>
      </c>
      <c r="BN203" t="s">
        <v>74</v>
      </c>
      <c r="BO203" t="s">
        <v>74</v>
      </c>
      <c r="BP203" t="s">
        <v>74</v>
      </c>
      <c r="BQ203" t="s">
        <v>74</v>
      </c>
      <c r="BR203" t="s">
        <v>74</v>
      </c>
      <c r="BS203" t="s">
        <v>2732</v>
      </c>
      <c r="BT203" t="str">
        <f>HYPERLINK("https%3A%2F%2Fwww.webofscience.com%2Fwos%2Fwoscc%2Ffull-record%2FWOS:A1993NL01100001","View Full Record in Web of Science")</f>
        <v>View Full Record in Web of Science</v>
      </c>
    </row>
    <row r="204" spans="1:72" x14ac:dyDescent="0.4">
      <c r="A204" t="s">
        <v>72</v>
      </c>
      <c r="B204" t="s">
        <v>7272</v>
      </c>
      <c r="C204" t="s">
        <v>74</v>
      </c>
      <c r="D204" t="s">
        <v>74</v>
      </c>
      <c r="E204" t="s">
        <v>74</v>
      </c>
      <c r="F204" t="s">
        <v>7272</v>
      </c>
      <c r="G204" t="s">
        <v>74</v>
      </c>
      <c r="H204" t="s">
        <v>74</v>
      </c>
      <c r="I204" t="s">
        <v>7273</v>
      </c>
      <c r="J204" t="s">
        <v>431</v>
      </c>
      <c r="K204" t="s">
        <v>74</v>
      </c>
      <c r="L204" t="s">
        <v>74</v>
      </c>
      <c r="M204" t="s">
        <v>74</v>
      </c>
      <c r="N204" t="s">
        <v>74</v>
      </c>
      <c r="O204" t="s">
        <v>74</v>
      </c>
      <c r="P204" t="s">
        <v>74</v>
      </c>
      <c r="Q204" t="s">
        <v>74</v>
      </c>
      <c r="R204" t="s">
        <v>74</v>
      </c>
      <c r="S204" t="s">
        <v>74</v>
      </c>
      <c r="T204" t="s">
        <v>74</v>
      </c>
      <c r="U204" t="s">
        <v>74</v>
      </c>
      <c r="V204" s="3" t="s">
        <v>7274</v>
      </c>
      <c r="W204" t="s">
        <v>74</v>
      </c>
      <c r="X204" t="s">
        <v>74</v>
      </c>
      <c r="Y204" t="s">
        <v>74</v>
      </c>
      <c r="Z204" t="s">
        <v>74</v>
      </c>
      <c r="AA204" t="s">
        <v>74</v>
      </c>
      <c r="AB204" t="s">
        <v>74</v>
      </c>
      <c r="AC204" t="s">
        <v>74</v>
      </c>
      <c r="AD204" t="s">
        <v>74</v>
      </c>
      <c r="AE204" t="s">
        <v>74</v>
      </c>
      <c r="AF204" t="s">
        <v>74</v>
      </c>
      <c r="AG204" t="s">
        <v>74</v>
      </c>
      <c r="AH204" t="s">
        <v>74</v>
      </c>
      <c r="AI204" t="s">
        <v>74</v>
      </c>
      <c r="AJ204" t="s">
        <v>74</v>
      </c>
      <c r="AK204" t="s">
        <v>74</v>
      </c>
      <c r="AL204" t="s">
        <v>74</v>
      </c>
      <c r="AM204" t="s">
        <v>74</v>
      </c>
      <c r="AN204" t="s">
        <v>74</v>
      </c>
      <c r="AO204" t="s">
        <v>74</v>
      </c>
      <c r="AP204" t="s">
        <v>435</v>
      </c>
      <c r="AQ204" t="s">
        <v>74</v>
      </c>
      <c r="AR204" t="s">
        <v>74</v>
      </c>
      <c r="AS204" t="s">
        <v>74</v>
      </c>
      <c r="AT204" t="s">
        <v>74</v>
      </c>
      <c r="AU204">
        <v>1980</v>
      </c>
      <c r="AV204">
        <v>97</v>
      </c>
      <c r="AW204">
        <v>2</v>
      </c>
      <c r="AX204" t="s">
        <v>74</v>
      </c>
      <c r="AY204" t="s">
        <v>74</v>
      </c>
      <c r="AZ204" t="s">
        <v>74</v>
      </c>
      <c r="BA204" t="s">
        <v>74</v>
      </c>
      <c r="BB204">
        <v>213</v>
      </c>
      <c r="BC204">
        <v>226</v>
      </c>
      <c r="BD204" t="s">
        <v>74</v>
      </c>
      <c r="BE204" t="s">
        <v>74</v>
      </c>
      <c r="BF204" t="s">
        <v>74</v>
      </c>
      <c r="BG204" t="s">
        <v>74</v>
      </c>
      <c r="BH204" t="s">
        <v>74</v>
      </c>
      <c r="BI204" t="s">
        <v>74</v>
      </c>
      <c r="BJ204" t="s">
        <v>74</v>
      </c>
      <c r="BK204" t="s">
        <v>74</v>
      </c>
      <c r="BL204" t="s">
        <v>74</v>
      </c>
      <c r="BM204" t="s">
        <v>74</v>
      </c>
      <c r="BN204" t="s">
        <v>74</v>
      </c>
      <c r="BO204" t="s">
        <v>74</v>
      </c>
      <c r="BP204" t="s">
        <v>74</v>
      </c>
      <c r="BQ204" t="s">
        <v>74</v>
      </c>
      <c r="BR204" t="s">
        <v>74</v>
      </c>
      <c r="BS204" t="s">
        <v>7275</v>
      </c>
      <c r="BT204" t="str">
        <f>HYPERLINK("https%3A%2F%2Fwww.webofscience.com%2Fwos%2Fwoscc%2Ffull-record%2FWOS:A1980JR68800001","View Full Record in Web of Science")</f>
        <v>View Full Record in Web of Science</v>
      </c>
    </row>
    <row r="205" spans="1:72" x14ac:dyDescent="0.4">
      <c r="A205" t="s">
        <v>72</v>
      </c>
      <c r="B205" t="s">
        <v>1524</v>
      </c>
      <c r="C205" t="s">
        <v>74</v>
      </c>
      <c r="D205" t="s">
        <v>74</v>
      </c>
      <c r="E205" t="s">
        <v>74</v>
      </c>
      <c r="F205" t="s">
        <v>1524</v>
      </c>
      <c r="G205" t="s">
        <v>74</v>
      </c>
      <c r="H205" t="s">
        <v>74</v>
      </c>
      <c r="I205" t="s">
        <v>1525</v>
      </c>
      <c r="J205" t="s">
        <v>1526</v>
      </c>
      <c r="K205" t="s">
        <v>74</v>
      </c>
      <c r="L205" t="s">
        <v>74</v>
      </c>
      <c r="M205" t="s">
        <v>74</v>
      </c>
      <c r="N205" t="s">
        <v>74</v>
      </c>
      <c r="O205" t="s">
        <v>74</v>
      </c>
      <c r="P205" t="s">
        <v>74</v>
      </c>
      <c r="Q205" t="s">
        <v>74</v>
      </c>
      <c r="R205" t="s">
        <v>74</v>
      </c>
      <c r="S205" t="s">
        <v>74</v>
      </c>
      <c r="T205" t="s">
        <v>74</v>
      </c>
      <c r="U205" t="s">
        <v>74</v>
      </c>
      <c r="V205" s="3" t="s">
        <v>1527</v>
      </c>
      <c r="W205" t="s">
        <v>74</v>
      </c>
      <c r="X205" t="s">
        <v>74</v>
      </c>
      <c r="Y205" t="s">
        <v>74</v>
      </c>
      <c r="Z205" t="s">
        <v>74</v>
      </c>
      <c r="AA205" t="s">
        <v>74</v>
      </c>
      <c r="AB205" t="s">
        <v>74</v>
      </c>
      <c r="AC205" t="s">
        <v>74</v>
      </c>
      <c r="AD205" t="s">
        <v>74</v>
      </c>
      <c r="AE205" t="s">
        <v>74</v>
      </c>
      <c r="AF205" t="s">
        <v>74</v>
      </c>
      <c r="AG205" t="s">
        <v>74</v>
      </c>
      <c r="AH205" t="s">
        <v>74</v>
      </c>
      <c r="AI205" t="s">
        <v>74</v>
      </c>
      <c r="AJ205" t="s">
        <v>74</v>
      </c>
      <c r="AK205" t="s">
        <v>74</v>
      </c>
      <c r="AL205" t="s">
        <v>74</v>
      </c>
      <c r="AM205" t="s">
        <v>74</v>
      </c>
      <c r="AN205" t="s">
        <v>74</v>
      </c>
      <c r="AO205" t="s">
        <v>1528</v>
      </c>
      <c r="AP205" t="s">
        <v>74</v>
      </c>
      <c r="AQ205" t="s">
        <v>74</v>
      </c>
      <c r="AR205" t="s">
        <v>74</v>
      </c>
      <c r="AS205" t="s">
        <v>74</v>
      </c>
      <c r="AT205" t="s">
        <v>213</v>
      </c>
      <c r="AU205">
        <v>1999</v>
      </c>
      <c r="AV205">
        <v>101</v>
      </c>
      <c r="AW205">
        <v>4</v>
      </c>
      <c r="AX205" t="s">
        <v>74</v>
      </c>
      <c r="AY205" t="s">
        <v>74</v>
      </c>
      <c r="AZ205" t="s">
        <v>74</v>
      </c>
      <c r="BA205" t="s">
        <v>74</v>
      </c>
      <c r="BB205">
        <v>842</v>
      </c>
      <c r="BC205">
        <v>845</v>
      </c>
      <c r="BD205" t="s">
        <v>74</v>
      </c>
      <c r="BE205" t="s">
        <v>1529</v>
      </c>
      <c r="BF205" t="str">
        <f>HYPERLINK("http://dx.doi.org/10.2307/1370072","http://dx.doi.org/10.2307/1370072")</f>
        <v>http://dx.doi.org/10.2307/1370072</v>
      </c>
      <c r="BG205" t="s">
        <v>74</v>
      </c>
      <c r="BH205" t="s">
        <v>74</v>
      </c>
      <c r="BI205" t="s">
        <v>74</v>
      </c>
      <c r="BJ205" t="s">
        <v>74</v>
      </c>
      <c r="BK205" t="s">
        <v>74</v>
      </c>
      <c r="BL205" t="s">
        <v>74</v>
      </c>
      <c r="BM205" t="s">
        <v>74</v>
      </c>
      <c r="BN205" t="s">
        <v>74</v>
      </c>
      <c r="BO205" t="s">
        <v>74</v>
      </c>
      <c r="BP205" t="s">
        <v>74</v>
      </c>
      <c r="BQ205" t="s">
        <v>74</v>
      </c>
      <c r="BR205" t="s">
        <v>74</v>
      </c>
      <c r="BS205" t="s">
        <v>1530</v>
      </c>
      <c r="BT205" t="str">
        <f>HYPERLINK("https%3A%2F%2Fwww.webofscience.com%2Fwos%2Fwoscc%2Ffull-record%2FWOS:000083884100014","View Full Record in Web of Science")</f>
        <v>View Full Record in Web of Science</v>
      </c>
    </row>
    <row r="206" spans="1:72" x14ac:dyDescent="0.4">
      <c r="A206" t="s">
        <v>72</v>
      </c>
      <c r="B206" t="s">
        <v>2844</v>
      </c>
      <c r="C206" t="s">
        <v>74</v>
      </c>
      <c r="D206" t="s">
        <v>74</v>
      </c>
      <c r="E206" t="s">
        <v>74</v>
      </c>
      <c r="F206" t="s">
        <v>2845</v>
      </c>
      <c r="G206" t="s">
        <v>74</v>
      </c>
      <c r="H206" t="s">
        <v>74</v>
      </c>
      <c r="I206" t="s">
        <v>2846</v>
      </c>
      <c r="J206" t="s">
        <v>2847</v>
      </c>
      <c r="K206" t="s">
        <v>74</v>
      </c>
      <c r="L206" t="s">
        <v>74</v>
      </c>
      <c r="M206" t="s">
        <v>74</v>
      </c>
      <c r="N206" t="s">
        <v>74</v>
      </c>
      <c r="O206" t="s">
        <v>74</v>
      </c>
      <c r="P206" t="s">
        <v>74</v>
      </c>
      <c r="Q206" t="s">
        <v>74</v>
      </c>
      <c r="R206" t="s">
        <v>74</v>
      </c>
      <c r="S206" t="s">
        <v>74</v>
      </c>
      <c r="T206" t="s">
        <v>74</v>
      </c>
      <c r="U206" t="s">
        <v>74</v>
      </c>
      <c r="V206" s="3" t="s">
        <v>2848</v>
      </c>
      <c r="W206" t="s">
        <v>74</v>
      </c>
      <c r="X206" t="s">
        <v>74</v>
      </c>
      <c r="Y206" t="s">
        <v>74</v>
      </c>
      <c r="Z206" t="s">
        <v>74</v>
      </c>
      <c r="AA206" t="s">
        <v>74</v>
      </c>
      <c r="AB206" t="s">
        <v>74</v>
      </c>
      <c r="AC206" t="s">
        <v>74</v>
      </c>
      <c r="AD206" t="s">
        <v>74</v>
      </c>
      <c r="AE206" t="s">
        <v>74</v>
      </c>
      <c r="AF206" t="s">
        <v>74</v>
      </c>
      <c r="AG206" t="s">
        <v>74</v>
      </c>
      <c r="AH206" t="s">
        <v>74</v>
      </c>
      <c r="AI206" t="s">
        <v>74</v>
      </c>
      <c r="AJ206" t="s">
        <v>74</v>
      </c>
      <c r="AK206" t="s">
        <v>74</v>
      </c>
      <c r="AL206" t="s">
        <v>74</v>
      </c>
      <c r="AM206" t="s">
        <v>74</v>
      </c>
      <c r="AN206" t="s">
        <v>74</v>
      </c>
      <c r="AO206" t="s">
        <v>2849</v>
      </c>
      <c r="AP206" t="s">
        <v>2850</v>
      </c>
      <c r="AQ206" t="s">
        <v>74</v>
      </c>
      <c r="AR206" t="s">
        <v>74</v>
      </c>
      <c r="AS206" t="s">
        <v>74</v>
      </c>
      <c r="AT206" t="s">
        <v>213</v>
      </c>
      <c r="AU206">
        <v>2017</v>
      </c>
      <c r="AV206">
        <v>496</v>
      </c>
      <c r="AW206" t="s">
        <v>74</v>
      </c>
      <c r="AX206" t="s">
        <v>74</v>
      </c>
      <c r="AY206" t="s">
        <v>74</v>
      </c>
      <c r="AZ206" t="s">
        <v>74</v>
      </c>
      <c r="BA206" t="s">
        <v>74</v>
      </c>
      <c r="BB206">
        <v>29</v>
      </c>
      <c r="BC206">
        <v>36</v>
      </c>
      <c r="BD206" t="s">
        <v>74</v>
      </c>
      <c r="BE206" t="s">
        <v>2851</v>
      </c>
      <c r="BF206" t="str">
        <f>HYPERLINK("http://dx.doi.org/10.1016/j.jembe.2017.07.011","http://dx.doi.org/10.1016/j.jembe.2017.07.011")</f>
        <v>http://dx.doi.org/10.1016/j.jembe.2017.07.011</v>
      </c>
      <c r="BG206" t="s">
        <v>74</v>
      </c>
      <c r="BH206" t="s">
        <v>74</v>
      </c>
      <c r="BI206" t="s">
        <v>74</v>
      </c>
      <c r="BJ206" t="s">
        <v>74</v>
      </c>
      <c r="BK206" t="s">
        <v>74</v>
      </c>
      <c r="BL206" t="s">
        <v>74</v>
      </c>
      <c r="BM206" t="s">
        <v>74</v>
      </c>
      <c r="BN206" t="s">
        <v>74</v>
      </c>
      <c r="BO206" t="s">
        <v>74</v>
      </c>
      <c r="BP206" t="s">
        <v>74</v>
      </c>
      <c r="BQ206" t="s">
        <v>74</v>
      </c>
      <c r="BR206" t="s">
        <v>74</v>
      </c>
      <c r="BS206" t="s">
        <v>2852</v>
      </c>
      <c r="BT206" t="str">
        <f>HYPERLINK("https%3A%2F%2Fwww.webofscience.com%2Fwos%2Fwoscc%2Ffull-record%2FWOS:000412252700005","View Full Record in Web of Science")</f>
        <v>View Full Record in Web of Science</v>
      </c>
    </row>
    <row r="207" spans="1:72" x14ac:dyDescent="0.4">
      <c r="A207" t="s">
        <v>72</v>
      </c>
      <c r="B207" t="s">
        <v>6945</v>
      </c>
      <c r="C207" t="s">
        <v>74</v>
      </c>
      <c r="D207" t="s">
        <v>74</v>
      </c>
      <c r="E207" t="s">
        <v>74</v>
      </c>
      <c r="F207" t="s">
        <v>6946</v>
      </c>
      <c r="G207" t="s">
        <v>74</v>
      </c>
      <c r="H207" t="s">
        <v>74</v>
      </c>
      <c r="I207" t="s">
        <v>6947</v>
      </c>
      <c r="J207" t="s">
        <v>1480</v>
      </c>
      <c r="K207" t="s">
        <v>74</v>
      </c>
      <c r="L207" t="s">
        <v>74</v>
      </c>
      <c r="M207" t="s">
        <v>74</v>
      </c>
      <c r="N207" t="s">
        <v>74</v>
      </c>
      <c r="O207" t="s">
        <v>74</v>
      </c>
      <c r="P207" t="s">
        <v>74</v>
      </c>
      <c r="Q207" t="s">
        <v>74</v>
      </c>
      <c r="R207" t="s">
        <v>74</v>
      </c>
      <c r="S207" t="s">
        <v>74</v>
      </c>
      <c r="T207" t="s">
        <v>74</v>
      </c>
      <c r="U207" t="s">
        <v>74</v>
      </c>
      <c r="V207" s="3" t="s">
        <v>6948</v>
      </c>
      <c r="W207" t="s">
        <v>74</v>
      </c>
      <c r="X207" t="s">
        <v>74</v>
      </c>
      <c r="Y207" t="s">
        <v>74</v>
      </c>
      <c r="Z207" t="s">
        <v>74</v>
      </c>
      <c r="AA207" t="s">
        <v>74</v>
      </c>
      <c r="AB207" t="s">
        <v>74</v>
      </c>
      <c r="AC207" t="s">
        <v>74</v>
      </c>
      <c r="AD207" t="s">
        <v>74</v>
      </c>
      <c r="AE207" t="s">
        <v>74</v>
      </c>
      <c r="AF207" t="s">
        <v>74</v>
      </c>
      <c r="AG207" t="s">
        <v>74</v>
      </c>
      <c r="AH207" t="s">
        <v>74</v>
      </c>
      <c r="AI207" t="s">
        <v>74</v>
      </c>
      <c r="AJ207" t="s">
        <v>74</v>
      </c>
      <c r="AK207" t="s">
        <v>74</v>
      </c>
      <c r="AL207" t="s">
        <v>74</v>
      </c>
      <c r="AM207" t="s">
        <v>74</v>
      </c>
      <c r="AN207" t="s">
        <v>74</v>
      </c>
      <c r="AO207" t="s">
        <v>1482</v>
      </c>
      <c r="AP207" t="s">
        <v>6949</v>
      </c>
      <c r="AQ207" t="s">
        <v>74</v>
      </c>
      <c r="AR207" t="s">
        <v>74</v>
      </c>
      <c r="AS207" t="s">
        <v>74</v>
      </c>
      <c r="AT207" t="s">
        <v>352</v>
      </c>
      <c r="AU207">
        <v>2014</v>
      </c>
      <c r="AV207">
        <v>93</v>
      </c>
      <c r="AW207">
        <v>9</v>
      </c>
      <c r="AX207" t="s">
        <v>74</v>
      </c>
      <c r="AY207" t="s">
        <v>74</v>
      </c>
      <c r="AZ207" t="s">
        <v>74</v>
      </c>
      <c r="BA207" t="s">
        <v>74</v>
      </c>
      <c r="BB207">
        <v>2143</v>
      </c>
      <c r="BC207">
        <v>2150</v>
      </c>
      <c r="BD207" t="s">
        <v>74</v>
      </c>
      <c r="BE207" t="s">
        <v>6950</v>
      </c>
      <c r="BF207" t="str">
        <f>HYPERLINK("http://dx.doi.org/10.3382/ps.2014-03885","http://dx.doi.org/10.3382/ps.2014-03885")</f>
        <v>http://dx.doi.org/10.3382/ps.2014-03885</v>
      </c>
      <c r="BG207" t="s">
        <v>74</v>
      </c>
      <c r="BH207" t="s">
        <v>74</v>
      </c>
      <c r="BI207" t="s">
        <v>74</v>
      </c>
      <c r="BJ207" t="s">
        <v>74</v>
      </c>
      <c r="BK207" t="s">
        <v>74</v>
      </c>
      <c r="BL207" t="s">
        <v>74</v>
      </c>
      <c r="BM207" t="s">
        <v>74</v>
      </c>
      <c r="BN207">
        <v>25037824</v>
      </c>
      <c r="BO207" t="s">
        <v>74</v>
      </c>
      <c r="BP207" t="s">
        <v>74</v>
      </c>
      <c r="BQ207" t="s">
        <v>74</v>
      </c>
      <c r="BR207" t="s">
        <v>74</v>
      </c>
      <c r="BS207" t="s">
        <v>6951</v>
      </c>
      <c r="BT207" t="str">
        <f>HYPERLINK("https%3A%2F%2Fwww.webofscience.com%2Fwos%2Fwoscc%2Ffull-record%2FWOS:000341309600001","View Full Record in Web of Science")</f>
        <v>View Full Record in Web of Science</v>
      </c>
    </row>
    <row r="208" spans="1:72" x14ac:dyDescent="0.4">
      <c r="A208" t="s">
        <v>72</v>
      </c>
      <c r="B208" t="s">
        <v>8398</v>
      </c>
      <c r="C208" t="s">
        <v>74</v>
      </c>
      <c r="D208" t="s">
        <v>74</v>
      </c>
      <c r="E208" t="s">
        <v>74</v>
      </c>
      <c r="F208" t="s">
        <v>8399</v>
      </c>
      <c r="G208" t="s">
        <v>74</v>
      </c>
      <c r="H208" t="s">
        <v>74</v>
      </c>
      <c r="I208" t="s">
        <v>8400</v>
      </c>
      <c r="J208" t="s">
        <v>5961</v>
      </c>
      <c r="K208" t="s">
        <v>74</v>
      </c>
      <c r="L208" t="s">
        <v>74</v>
      </c>
      <c r="M208" t="s">
        <v>74</v>
      </c>
      <c r="N208" t="s">
        <v>74</v>
      </c>
      <c r="O208" t="s">
        <v>74</v>
      </c>
      <c r="P208" t="s">
        <v>74</v>
      </c>
      <c r="Q208" t="s">
        <v>74</v>
      </c>
      <c r="R208" t="s">
        <v>74</v>
      </c>
      <c r="S208" t="s">
        <v>74</v>
      </c>
      <c r="T208" t="s">
        <v>74</v>
      </c>
      <c r="U208" t="s">
        <v>74</v>
      </c>
      <c r="V208" s="3" t="s">
        <v>8401</v>
      </c>
      <c r="W208" t="s">
        <v>74</v>
      </c>
      <c r="X208" t="s">
        <v>74</v>
      </c>
      <c r="Y208" t="s">
        <v>74</v>
      </c>
      <c r="Z208" t="s">
        <v>74</v>
      </c>
      <c r="AA208" t="s">
        <v>74</v>
      </c>
      <c r="AB208" t="s">
        <v>8402</v>
      </c>
      <c r="AC208" t="s">
        <v>74</v>
      </c>
      <c r="AD208" t="s">
        <v>74</v>
      </c>
      <c r="AE208" t="s">
        <v>74</v>
      </c>
      <c r="AF208" t="s">
        <v>74</v>
      </c>
      <c r="AG208" t="s">
        <v>74</v>
      </c>
      <c r="AH208" t="s">
        <v>74</v>
      </c>
      <c r="AI208" t="s">
        <v>74</v>
      </c>
      <c r="AJ208" t="s">
        <v>74</v>
      </c>
      <c r="AK208" t="s">
        <v>74</v>
      </c>
      <c r="AL208" t="s">
        <v>74</v>
      </c>
      <c r="AM208" t="s">
        <v>74</v>
      </c>
      <c r="AN208" t="s">
        <v>74</v>
      </c>
      <c r="AO208" t="s">
        <v>5965</v>
      </c>
      <c r="AP208" t="s">
        <v>5966</v>
      </c>
      <c r="AQ208" t="s">
        <v>74</v>
      </c>
      <c r="AR208" t="s">
        <v>74</v>
      </c>
      <c r="AS208" t="s">
        <v>74</v>
      </c>
      <c r="AT208" t="s">
        <v>175</v>
      </c>
      <c r="AU208">
        <v>2020</v>
      </c>
      <c r="AV208">
        <v>45</v>
      </c>
      <c r="AW208">
        <v>4</v>
      </c>
      <c r="AX208" t="s">
        <v>74</v>
      </c>
      <c r="AY208" t="s">
        <v>74</v>
      </c>
      <c r="AZ208" t="s">
        <v>74</v>
      </c>
      <c r="BA208" t="s">
        <v>74</v>
      </c>
      <c r="BB208">
        <v>803</v>
      </c>
      <c r="BC208">
        <v>837</v>
      </c>
      <c r="BD208" t="s">
        <v>74</v>
      </c>
      <c r="BE208" t="s">
        <v>8403</v>
      </c>
      <c r="BF208" t="str">
        <f>HYPERLINK("http://dx.doi.org/10.1111/syen.12428","http://dx.doi.org/10.1111/syen.12428")</f>
        <v>http://dx.doi.org/10.1111/syen.12428</v>
      </c>
      <c r="BG208" t="s">
        <v>74</v>
      </c>
      <c r="BH208" t="s">
        <v>8404</v>
      </c>
      <c r="BI208" t="s">
        <v>74</v>
      </c>
      <c r="BJ208" t="s">
        <v>74</v>
      </c>
      <c r="BK208" t="s">
        <v>74</v>
      </c>
      <c r="BL208" t="s">
        <v>74</v>
      </c>
      <c r="BM208" t="s">
        <v>74</v>
      </c>
      <c r="BN208">
        <v>34744257</v>
      </c>
      <c r="BO208" t="s">
        <v>74</v>
      </c>
      <c r="BP208" t="s">
        <v>74</v>
      </c>
      <c r="BQ208" t="s">
        <v>74</v>
      </c>
      <c r="BR208" t="s">
        <v>74</v>
      </c>
      <c r="BS208" t="s">
        <v>8405</v>
      </c>
      <c r="BT208" t="str">
        <f>HYPERLINK("https%3A%2F%2Fwww.webofscience.com%2Fwos%2Fwoscc%2Ffull-record%2FWOS:000516977500001","View Full Record in Web of Science")</f>
        <v>View Full Record in Web of Science</v>
      </c>
    </row>
    <row r="209" spans="1:72" x14ac:dyDescent="0.4">
      <c r="A209" t="s">
        <v>72</v>
      </c>
      <c r="B209" t="s">
        <v>3611</v>
      </c>
      <c r="C209" t="s">
        <v>74</v>
      </c>
      <c r="D209" t="s">
        <v>74</v>
      </c>
      <c r="E209" t="s">
        <v>74</v>
      </c>
      <c r="F209" t="s">
        <v>3612</v>
      </c>
      <c r="G209" t="s">
        <v>74</v>
      </c>
      <c r="H209" t="s">
        <v>74</v>
      </c>
      <c r="I209" t="s">
        <v>3613</v>
      </c>
      <c r="J209" t="s">
        <v>610</v>
      </c>
      <c r="K209" t="s">
        <v>74</v>
      </c>
      <c r="L209" t="s">
        <v>74</v>
      </c>
      <c r="M209" t="s">
        <v>74</v>
      </c>
      <c r="N209" t="s">
        <v>74</v>
      </c>
      <c r="O209" t="s">
        <v>74</v>
      </c>
      <c r="P209" t="s">
        <v>74</v>
      </c>
      <c r="Q209" t="s">
        <v>74</v>
      </c>
      <c r="R209" t="s">
        <v>74</v>
      </c>
      <c r="S209" t="s">
        <v>74</v>
      </c>
      <c r="T209" t="s">
        <v>74</v>
      </c>
      <c r="U209" t="s">
        <v>74</v>
      </c>
      <c r="V209" s="3" t="s">
        <v>3614</v>
      </c>
      <c r="W209" t="s">
        <v>74</v>
      </c>
      <c r="X209" t="s">
        <v>74</v>
      </c>
      <c r="Y209" t="s">
        <v>74</v>
      </c>
      <c r="Z209" t="s">
        <v>74</v>
      </c>
      <c r="AA209" t="s">
        <v>3615</v>
      </c>
      <c r="AB209" t="s">
        <v>3616</v>
      </c>
      <c r="AC209" t="s">
        <v>74</v>
      </c>
      <c r="AD209" t="s">
        <v>74</v>
      </c>
      <c r="AE209" t="s">
        <v>74</v>
      </c>
      <c r="AF209" t="s">
        <v>74</v>
      </c>
      <c r="AG209" t="s">
        <v>74</v>
      </c>
      <c r="AH209" t="s">
        <v>74</v>
      </c>
      <c r="AI209" t="s">
        <v>74</v>
      </c>
      <c r="AJ209" t="s">
        <v>74</v>
      </c>
      <c r="AK209" t="s">
        <v>74</v>
      </c>
      <c r="AL209" t="s">
        <v>74</v>
      </c>
      <c r="AM209" t="s">
        <v>74</v>
      </c>
      <c r="AN209" t="s">
        <v>74</v>
      </c>
      <c r="AO209" t="s">
        <v>614</v>
      </c>
      <c r="AP209" t="s">
        <v>615</v>
      </c>
      <c r="AQ209" t="s">
        <v>74</v>
      </c>
      <c r="AR209" t="s">
        <v>74</v>
      </c>
      <c r="AS209" t="s">
        <v>74</v>
      </c>
      <c r="AT209" t="s">
        <v>175</v>
      </c>
      <c r="AU209">
        <v>2007</v>
      </c>
      <c r="AV209">
        <v>113</v>
      </c>
      <c r="AW209">
        <v>10</v>
      </c>
      <c r="AX209" t="s">
        <v>74</v>
      </c>
      <c r="AY209" t="s">
        <v>74</v>
      </c>
      <c r="AZ209" t="s">
        <v>74</v>
      </c>
      <c r="BA209" t="s">
        <v>74</v>
      </c>
      <c r="BB209">
        <v>944</v>
      </c>
      <c r="BC209">
        <v>952</v>
      </c>
      <c r="BD209" t="s">
        <v>74</v>
      </c>
      <c r="BE209" t="s">
        <v>3617</v>
      </c>
      <c r="BF209" t="str">
        <f>HYPERLINK("http://dx.doi.org/10.1111/j.1439-0310.2007.01402.x","http://dx.doi.org/10.1111/j.1439-0310.2007.01402.x")</f>
        <v>http://dx.doi.org/10.1111/j.1439-0310.2007.01402.x</v>
      </c>
      <c r="BG209" t="s">
        <v>74</v>
      </c>
      <c r="BH209" t="s">
        <v>74</v>
      </c>
      <c r="BI209" t="s">
        <v>74</v>
      </c>
      <c r="BJ209" t="s">
        <v>74</v>
      </c>
      <c r="BK209" t="s">
        <v>74</v>
      </c>
      <c r="BL209" t="s">
        <v>74</v>
      </c>
      <c r="BM209" t="s">
        <v>74</v>
      </c>
      <c r="BN209" t="s">
        <v>74</v>
      </c>
      <c r="BO209" t="s">
        <v>74</v>
      </c>
      <c r="BP209" t="s">
        <v>74</v>
      </c>
      <c r="BQ209" t="s">
        <v>74</v>
      </c>
      <c r="BR209" t="s">
        <v>74</v>
      </c>
      <c r="BS209" t="s">
        <v>3618</v>
      </c>
      <c r="BT209" t="str">
        <f>HYPERLINK("https%3A%2F%2Fwww.webofscience.com%2Fwos%2Fwoscc%2Ffull-record%2FWOS:000249661000004","View Full Record in Web of Science")</f>
        <v>View Full Record in Web of Science</v>
      </c>
    </row>
    <row r="210" spans="1:72" x14ac:dyDescent="0.4">
      <c r="A210" t="s">
        <v>72</v>
      </c>
      <c r="B210" t="s">
        <v>265</v>
      </c>
      <c r="C210" t="s">
        <v>74</v>
      </c>
      <c r="D210" t="s">
        <v>74</v>
      </c>
      <c r="E210" t="s">
        <v>74</v>
      </c>
      <c r="F210" t="s">
        <v>266</v>
      </c>
      <c r="G210" t="s">
        <v>74</v>
      </c>
      <c r="H210" t="s">
        <v>74</v>
      </c>
      <c r="I210" t="s">
        <v>267</v>
      </c>
      <c r="J210" t="s">
        <v>192</v>
      </c>
      <c r="K210" t="s">
        <v>74</v>
      </c>
      <c r="L210" t="s">
        <v>74</v>
      </c>
      <c r="M210" t="s">
        <v>74</v>
      </c>
      <c r="N210" t="s">
        <v>74</v>
      </c>
      <c r="O210" t="s">
        <v>74</v>
      </c>
      <c r="P210" t="s">
        <v>74</v>
      </c>
      <c r="Q210" t="s">
        <v>74</v>
      </c>
      <c r="R210" t="s">
        <v>74</v>
      </c>
      <c r="S210" t="s">
        <v>74</v>
      </c>
      <c r="T210" t="s">
        <v>74</v>
      </c>
      <c r="U210" t="s">
        <v>74</v>
      </c>
      <c r="V210" s="3" t="s">
        <v>268</v>
      </c>
      <c r="W210" t="s">
        <v>74</v>
      </c>
      <c r="X210" t="s">
        <v>74</v>
      </c>
      <c r="Y210" t="s">
        <v>74</v>
      </c>
      <c r="Z210" t="s">
        <v>74</v>
      </c>
      <c r="AA210" t="s">
        <v>74</v>
      </c>
      <c r="AB210" t="s">
        <v>74</v>
      </c>
      <c r="AC210" t="s">
        <v>74</v>
      </c>
      <c r="AD210" t="s">
        <v>74</v>
      </c>
      <c r="AE210" t="s">
        <v>74</v>
      </c>
      <c r="AF210" t="s">
        <v>74</v>
      </c>
      <c r="AG210" t="s">
        <v>74</v>
      </c>
      <c r="AH210" t="s">
        <v>74</v>
      </c>
      <c r="AI210" t="s">
        <v>74</v>
      </c>
      <c r="AJ210" t="s">
        <v>74</v>
      </c>
      <c r="AK210" t="s">
        <v>74</v>
      </c>
      <c r="AL210" t="s">
        <v>74</v>
      </c>
      <c r="AM210" t="s">
        <v>74</v>
      </c>
      <c r="AN210" t="s">
        <v>74</v>
      </c>
      <c r="AO210" t="s">
        <v>195</v>
      </c>
      <c r="AP210" t="s">
        <v>196</v>
      </c>
      <c r="AQ210" t="s">
        <v>74</v>
      </c>
      <c r="AR210" t="s">
        <v>74</v>
      </c>
      <c r="AS210" t="s">
        <v>74</v>
      </c>
      <c r="AT210" t="s">
        <v>123</v>
      </c>
      <c r="AU210">
        <v>2018</v>
      </c>
      <c r="AV210">
        <v>809</v>
      </c>
      <c r="AW210">
        <v>1</v>
      </c>
      <c r="AX210" t="s">
        <v>74</v>
      </c>
      <c r="AY210" t="s">
        <v>74</v>
      </c>
      <c r="AZ210" t="s">
        <v>74</v>
      </c>
      <c r="BA210" t="s">
        <v>74</v>
      </c>
      <c r="BB210">
        <v>31</v>
      </c>
      <c r="BC210">
        <v>40</v>
      </c>
      <c r="BD210" t="s">
        <v>74</v>
      </c>
      <c r="BE210" t="s">
        <v>269</v>
      </c>
      <c r="BF210" t="str">
        <f>HYPERLINK("http://dx.doi.org/10.1007/s10750-017-3442-6","http://dx.doi.org/10.1007/s10750-017-3442-6")</f>
        <v>http://dx.doi.org/10.1007/s10750-017-3442-6</v>
      </c>
      <c r="BG210" t="s">
        <v>74</v>
      </c>
      <c r="BH210" t="s">
        <v>74</v>
      </c>
      <c r="BI210" t="s">
        <v>74</v>
      </c>
      <c r="BJ210" t="s">
        <v>74</v>
      </c>
      <c r="BK210" t="s">
        <v>74</v>
      </c>
      <c r="BL210" t="s">
        <v>74</v>
      </c>
      <c r="BM210" t="s">
        <v>74</v>
      </c>
      <c r="BN210" t="s">
        <v>74</v>
      </c>
      <c r="BO210" t="s">
        <v>74</v>
      </c>
      <c r="BP210" t="s">
        <v>74</v>
      </c>
      <c r="BQ210" t="s">
        <v>74</v>
      </c>
      <c r="BR210" t="s">
        <v>74</v>
      </c>
      <c r="BS210" t="s">
        <v>270</v>
      </c>
      <c r="BT210" t="str">
        <f>HYPERLINK("https%3A%2F%2Fwww.webofscience.com%2Fwos%2Fwoscc%2Ffull-record%2FWOS:000424203000004","View Full Record in Web of Science")</f>
        <v>View Full Record in Web of Science</v>
      </c>
    </row>
    <row r="211" spans="1:72" x14ac:dyDescent="0.4">
      <c r="A211" t="s">
        <v>72</v>
      </c>
      <c r="B211" t="s">
        <v>5377</v>
      </c>
      <c r="C211" t="s">
        <v>74</v>
      </c>
      <c r="D211" t="s">
        <v>74</v>
      </c>
      <c r="E211" t="s">
        <v>74</v>
      </c>
      <c r="F211" t="s">
        <v>5378</v>
      </c>
      <c r="G211" t="s">
        <v>74</v>
      </c>
      <c r="H211" t="s">
        <v>74</v>
      </c>
      <c r="I211" t="s">
        <v>5379</v>
      </c>
      <c r="J211" t="s">
        <v>1044</v>
      </c>
      <c r="K211" t="s">
        <v>74</v>
      </c>
      <c r="L211" t="s">
        <v>74</v>
      </c>
      <c r="M211" t="s">
        <v>74</v>
      </c>
      <c r="N211" t="s">
        <v>74</v>
      </c>
      <c r="O211" t="s">
        <v>74</v>
      </c>
      <c r="P211" t="s">
        <v>74</v>
      </c>
      <c r="Q211" t="s">
        <v>74</v>
      </c>
      <c r="R211" t="s">
        <v>74</v>
      </c>
      <c r="S211" t="s">
        <v>74</v>
      </c>
      <c r="T211" t="s">
        <v>74</v>
      </c>
      <c r="U211" t="s">
        <v>74</v>
      </c>
      <c r="V211" s="3" t="s">
        <v>5380</v>
      </c>
      <c r="W211" t="s">
        <v>74</v>
      </c>
      <c r="X211" t="s">
        <v>74</v>
      </c>
      <c r="Y211" t="s">
        <v>74</v>
      </c>
      <c r="Z211" t="s">
        <v>74</v>
      </c>
      <c r="AA211" t="s">
        <v>74</v>
      </c>
      <c r="AB211" t="s">
        <v>322</v>
      </c>
      <c r="AC211" t="s">
        <v>74</v>
      </c>
      <c r="AD211" t="s">
        <v>74</v>
      </c>
      <c r="AE211" t="s">
        <v>74</v>
      </c>
      <c r="AF211" t="s">
        <v>74</v>
      </c>
      <c r="AG211" t="s">
        <v>74</v>
      </c>
      <c r="AH211" t="s">
        <v>74</v>
      </c>
      <c r="AI211" t="s">
        <v>74</v>
      </c>
      <c r="AJ211" t="s">
        <v>74</v>
      </c>
      <c r="AK211" t="s">
        <v>74</v>
      </c>
      <c r="AL211" t="s">
        <v>74</v>
      </c>
      <c r="AM211" t="s">
        <v>74</v>
      </c>
      <c r="AN211" t="s">
        <v>74</v>
      </c>
      <c r="AO211" t="s">
        <v>1048</v>
      </c>
      <c r="AP211" t="s">
        <v>1049</v>
      </c>
      <c r="AQ211" t="s">
        <v>74</v>
      </c>
      <c r="AR211" t="s">
        <v>74</v>
      </c>
      <c r="AS211" t="s">
        <v>74</v>
      </c>
      <c r="AT211" t="s">
        <v>204</v>
      </c>
      <c r="AU211">
        <v>2017</v>
      </c>
      <c r="AV211">
        <v>26</v>
      </c>
      <c r="AW211">
        <v>14</v>
      </c>
      <c r="AX211" t="s">
        <v>74</v>
      </c>
      <c r="AY211" t="s">
        <v>74</v>
      </c>
      <c r="AZ211" t="s">
        <v>74</v>
      </c>
      <c r="BA211" t="s">
        <v>74</v>
      </c>
      <c r="BB211">
        <v>3760</v>
      </c>
      <c r="BC211">
        <v>3774</v>
      </c>
      <c r="BD211" t="s">
        <v>74</v>
      </c>
      <c r="BE211" t="s">
        <v>5381</v>
      </c>
      <c r="BF211" t="str">
        <f>HYPERLINK("http://dx.doi.org/10.1111/mec.14116","http://dx.doi.org/10.1111/mec.14116")</f>
        <v>http://dx.doi.org/10.1111/mec.14116</v>
      </c>
      <c r="BG211" t="s">
        <v>74</v>
      </c>
      <c r="BH211" t="s">
        <v>74</v>
      </c>
      <c r="BI211" t="s">
        <v>74</v>
      </c>
      <c r="BJ211" t="s">
        <v>74</v>
      </c>
      <c r="BK211" t="s">
        <v>74</v>
      </c>
      <c r="BL211" t="s">
        <v>74</v>
      </c>
      <c r="BM211" t="s">
        <v>74</v>
      </c>
      <c r="BN211">
        <v>28370617</v>
      </c>
      <c r="BO211" t="s">
        <v>74</v>
      </c>
      <c r="BP211" t="s">
        <v>74</v>
      </c>
      <c r="BQ211" t="s">
        <v>74</v>
      </c>
      <c r="BR211" t="s">
        <v>74</v>
      </c>
      <c r="BS211" t="s">
        <v>5382</v>
      </c>
      <c r="BT211" t="str">
        <f>HYPERLINK("https%3A%2F%2Fwww.webofscience.com%2Fwos%2Fwoscc%2Ffull-record%2FWOS:000404618000015","View Full Record in Web of Science")</f>
        <v>View Full Record in Web of Science</v>
      </c>
    </row>
    <row r="212" spans="1:72" x14ac:dyDescent="0.4">
      <c r="A212" t="s">
        <v>72</v>
      </c>
      <c r="B212" t="s">
        <v>8439</v>
      </c>
      <c r="C212" t="s">
        <v>74</v>
      </c>
      <c r="D212" t="s">
        <v>74</v>
      </c>
      <c r="E212" t="s">
        <v>74</v>
      </c>
      <c r="F212" t="s">
        <v>8439</v>
      </c>
      <c r="G212" t="s">
        <v>74</v>
      </c>
      <c r="H212" t="s">
        <v>74</v>
      </c>
      <c r="I212" t="s">
        <v>8440</v>
      </c>
      <c r="J212" t="s">
        <v>691</v>
      </c>
      <c r="K212" t="s">
        <v>74</v>
      </c>
      <c r="L212" t="s">
        <v>74</v>
      </c>
      <c r="M212" t="s">
        <v>74</v>
      </c>
      <c r="N212" t="s">
        <v>74</v>
      </c>
      <c r="O212" t="s">
        <v>74</v>
      </c>
      <c r="P212" t="s">
        <v>74</v>
      </c>
      <c r="Q212" t="s">
        <v>74</v>
      </c>
      <c r="R212" t="s">
        <v>74</v>
      </c>
      <c r="S212" t="s">
        <v>74</v>
      </c>
      <c r="T212" t="s">
        <v>74</v>
      </c>
      <c r="U212" t="s">
        <v>74</v>
      </c>
      <c r="V212" s="3" t="s">
        <v>8441</v>
      </c>
      <c r="W212" t="s">
        <v>74</v>
      </c>
      <c r="X212" t="s">
        <v>74</v>
      </c>
      <c r="Y212" t="s">
        <v>74</v>
      </c>
      <c r="Z212" t="s">
        <v>74</v>
      </c>
      <c r="AA212" t="s">
        <v>74</v>
      </c>
      <c r="AB212" t="s">
        <v>74</v>
      </c>
      <c r="AC212" t="s">
        <v>74</v>
      </c>
      <c r="AD212" t="s">
        <v>74</v>
      </c>
      <c r="AE212" t="s">
        <v>74</v>
      </c>
      <c r="AF212" t="s">
        <v>74</v>
      </c>
      <c r="AG212" t="s">
        <v>74</v>
      </c>
      <c r="AH212" t="s">
        <v>74</v>
      </c>
      <c r="AI212" t="s">
        <v>74</v>
      </c>
      <c r="AJ212" t="s">
        <v>74</v>
      </c>
      <c r="AK212" t="s">
        <v>74</v>
      </c>
      <c r="AL212" t="s">
        <v>74</v>
      </c>
      <c r="AM212" t="s">
        <v>74</v>
      </c>
      <c r="AN212" t="s">
        <v>74</v>
      </c>
      <c r="AO212" t="s">
        <v>695</v>
      </c>
      <c r="AP212" t="s">
        <v>74</v>
      </c>
      <c r="AQ212" t="s">
        <v>74</v>
      </c>
      <c r="AR212" t="s">
        <v>74</v>
      </c>
      <c r="AS212" t="s">
        <v>74</v>
      </c>
      <c r="AT212" t="s">
        <v>305</v>
      </c>
      <c r="AU212">
        <v>1995</v>
      </c>
      <c r="AV212">
        <v>58</v>
      </c>
      <c r="AW212">
        <v>6</v>
      </c>
      <c r="AX212" t="s">
        <v>74</v>
      </c>
      <c r="AY212" t="s">
        <v>74</v>
      </c>
      <c r="AZ212" t="s">
        <v>74</v>
      </c>
      <c r="BA212" t="s">
        <v>74</v>
      </c>
      <c r="BB212">
        <v>1221</v>
      </c>
      <c r="BC212">
        <v>1225</v>
      </c>
      <c r="BD212" t="s">
        <v>74</v>
      </c>
      <c r="BE212" t="s">
        <v>8442</v>
      </c>
      <c r="BF212" t="str">
        <f>HYPERLINK("http://dx.doi.org/10.1016/0031-9384(95)02057-8","http://dx.doi.org/10.1016/0031-9384(95)02057-8")</f>
        <v>http://dx.doi.org/10.1016/0031-9384(95)02057-8</v>
      </c>
      <c r="BG212" t="s">
        <v>74</v>
      </c>
      <c r="BH212" t="s">
        <v>74</v>
      </c>
      <c r="BI212" t="s">
        <v>74</v>
      </c>
      <c r="BJ212" t="s">
        <v>74</v>
      </c>
      <c r="BK212" t="s">
        <v>74</v>
      </c>
      <c r="BL212" t="s">
        <v>74</v>
      </c>
      <c r="BM212" t="s">
        <v>74</v>
      </c>
      <c r="BN212">
        <v>8623024</v>
      </c>
      <c r="BO212" t="s">
        <v>74</v>
      </c>
      <c r="BP212" t="s">
        <v>74</v>
      </c>
      <c r="BQ212" t="s">
        <v>74</v>
      </c>
      <c r="BR212" t="s">
        <v>74</v>
      </c>
      <c r="BS212" t="s">
        <v>8443</v>
      </c>
      <c r="BT212" t="str">
        <f>HYPERLINK("https%3A%2F%2Fwww.webofscience.com%2Fwos%2Fwoscc%2Ffull-record%2FWOS:A1995TH80700023","View Full Record in Web of Science")</f>
        <v>View Full Record in Web of Science</v>
      </c>
    </row>
    <row r="213" spans="1:72" x14ac:dyDescent="0.4">
      <c r="A213" t="s">
        <v>72</v>
      </c>
      <c r="B213" t="s">
        <v>4532</v>
      </c>
      <c r="C213" t="s">
        <v>74</v>
      </c>
      <c r="D213" t="s">
        <v>74</v>
      </c>
      <c r="E213" t="s">
        <v>74</v>
      </c>
      <c r="F213" t="s">
        <v>4532</v>
      </c>
      <c r="G213" t="s">
        <v>74</v>
      </c>
      <c r="H213" t="s">
        <v>74</v>
      </c>
      <c r="I213" t="s">
        <v>4533</v>
      </c>
      <c r="J213" t="s">
        <v>140</v>
      </c>
      <c r="K213" t="s">
        <v>74</v>
      </c>
      <c r="L213" t="s">
        <v>74</v>
      </c>
      <c r="M213" t="s">
        <v>74</v>
      </c>
      <c r="N213" t="s">
        <v>74</v>
      </c>
      <c r="O213" t="s">
        <v>74</v>
      </c>
      <c r="P213" t="s">
        <v>74</v>
      </c>
      <c r="Q213" t="s">
        <v>74</v>
      </c>
      <c r="R213" t="s">
        <v>74</v>
      </c>
      <c r="S213" t="s">
        <v>74</v>
      </c>
      <c r="T213" t="s">
        <v>74</v>
      </c>
      <c r="U213" t="s">
        <v>74</v>
      </c>
      <c r="V213" s="3" t="s">
        <v>4534</v>
      </c>
      <c r="W213" t="s">
        <v>74</v>
      </c>
      <c r="X213" t="s">
        <v>74</v>
      </c>
      <c r="Y213" t="s">
        <v>74</v>
      </c>
      <c r="Z213" t="s">
        <v>74</v>
      </c>
      <c r="AA213" t="s">
        <v>74</v>
      </c>
      <c r="AB213" t="s">
        <v>74</v>
      </c>
      <c r="AC213" t="s">
        <v>74</v>
      </c>
      <c r="AD213" t="s">
        <v>74</v>
      </c>
      <c r="AE213" t="s">
        <v>74</v>
      </c>
      <c r="AF213" t="s">
        <v>74</v>
      </c>
      <c r="AG213" t="s">
        <v>74</v>
      </c>
      <c r="AH213" t="s">
        <v>74</v>
      </c>
      <c r="AI213" t="s">
        <v>74</v>
      </c>
      <c r="AJ213" t="s">
        <v>74</v>
      </c>
      <c r="AK213" t="s">
        <v>74</v>
      </c>
      <c r="AL213" t="s">
        <v>74</v>
      </c>
      <c r="AM213" t="s">
        <v>74</v>
      </c>
      <c r="AN213" t="s">
        <v>74</v>
      </c>
      <c r="AO213" t="s">
        <v>143</v>
      </c>
      <c r="AP213" t="s">
        <v>144</v>
      </c>
      <c r="AQ213" t="s">
        <v>74</v>
      </c>
      <c r="AR213" t="s">
        <v>74</v>
      </c>
      <c r="AS213" t="s">
        <v>74</v>
      </c>
      <c r="AT213" t="s">
        <v>145</v>
      </c>
      <c r="AU213">
        <v>1987</v>
      </c>
      <c r="AV213">
        <v>35</v>
      </c>
      <c r="AW213" t="s">
        <v>74</v>
      </c>
      <c r="AX213">
        <v>4</v>
      </c>
      <c r="AY213" t="s">
        <v>74</v>
      </c>
      <c r="AZ213" t="s">
        <v>74</v>
      </c>
      <c r="BA213" t="s">
        <v>74</v>
      </c>
      <c r="BB213">
        <v>1177</v>
      </c>
      <c r="BC213">
        <v>1187</v>
      </c>
      <c r="BD213" t="s">
        <v>74</v>
      </c>
      <c r="BE213" t="s">
        <v>4535</v>
      </c>
      <c r="BF213" t="str">
        <f>HYPERLINK("http://dx.doi.org/10.1016/S0003-3472(87)80174-4","http://dx.doi.org/10.1016/S0003-3472(87)80174-4")</f>
        <v>http://dx.doi.org/10.1016/S0003-3472(87)80174-4</v>
      </c>
      <c r="BG213" t="s">
        <v>74</v>
      </c>
      <c r="BH213" t="s">
        <v>74</v>
      </c>
      <c r="BI213" t="s">
        <v>74</v>
      </c>
      <c r="BJ213" t="s">
        <v>74</v>
      </c>
      <c r="BK213" t="s">
        <v>74</v>
      </c>
      <c r="BL213" t="s">
        <v>74</v>
      </c>
      <c r="BM213" t="s">
        <v>74</v>
      </c>
      <c r="BN213" t="s">
        <v>74</v>
      </c>
      <c r="BO213" t="s">
        <v>74</v>
      </c>
      <c r="BP213" t="s">
        <v>74</v>
      </c>
      <c r="BQ213" t="s">
        <v>74</v>
      </c>
      <c r="BR213" t="s">
        <v>74</v>
      </c>
      <c r="BS213" t="s">
        <v>4536</v>
      </c>
      <c r="BT213" t="str">
        <f>HYPERLINK("https%3A%2F%2Fwww.webofscience.com%2Fwos%2Fwoscc%2Ffull-record%2FWOS:A1987J540600022","View Full Record in Web of Science")</f>
        <v>View Full Record in Web of Science</v>
      </c>
    </row>
    <row r="214" spans="1:72" x14ac:dyDescent="0.4">
      <c r="A214" t="s">
        <v>72</v>
      </c>
      <c r="B214" t="s">
        <v>4021</v>
      </c>
      <c r="C214" t="s">
        <v>74</v>
      </c>
      <c r="D214" t="s">
        <v>74</v>
      </c>
      <c r="E214" t="s">
        <v>74</v>
      </c>
      <c r="F214" t="s">
        <v>4021</v>
      </c>
      <c r="G214" t="s">
        <v>74</v>
      </c>
      <c r="H214" t="s">
        <v>74</v>
      </c>
      <c r="I214" t="s">
        <v>4022</v>
      </c>
      <c r="J214" t="s">
        <v>1812</v>
      </c>
      <c r="K214" t="s">
        <v>74</v>
      </c>
      <c r="L214" t="s">
        <v>74</v>
      </c>
      <c r="M214" t="s">
        <v>74</v>
      </c>
      <c r="N214" t="s">
        <v>74</v>
      </c>
      <c r="O214" t="s">
        <v>74</v>
      </c>
      <c r="P214" t="s">
        <v>74</v>
      </c>
      <c r="Q214" t="s">
        <v>74</v>
      </c>
      <c r="R214" t="s">
        <v>74</v>
      </c>
      <c r="S214" t="s">
        <v>74</v>
      </c>
      <c r="T214" t="s">
        <v>74</v>
      </c>
      <c r="U214" t="s">
        <v>74</v>
      </c>
      <c r="V214" s="3" t="s">
        <v>4023</v>
      </c>
      <c r="W214" t="s">
        <v>74</v>
      </c>
      <c r="X214" t="s">
        <v>74</v>
      </c>
      <c r="Y214" t="s">
        <v>74</v>
      </c>
      <c r="Z214" t="s">
        <v>74</v>
      </c>
      <c r="AA214" t="s">
        <v>74</v>
      </c>
      <c r="AB214" t="s">
        <v>74</v>
      </c>
      <c r="AC214" t="s">
        <v>74</v>
      </c>
      <c r="AD214" t="s">
        <v>74</v>
      </c>
      <c r="AE214" t="s">
        <v>74</v>
      </c>
      <c r="AF214" t="s">
        <v>74</v>
      </c>
      <c r="AG214" t="s">
        <v>74</v>
      </c>
      <c r="AH214" t="s">
        <v>74</v>
      </c>
      <c r="AI214" t="s">
        <v>74</v>
      </c>
      <c r="AJ214" t="s">
        <v>74</v>
      </c>
      <c r="AK214" t="s">
        <v>74</v>
      </c>
      <c r="AL214" t="s">
        <v>74</v>
      </c>
      <c r="AM214" t="s">
        <v>74</v>
      </c>
      <c r="AN214" t="s">
        <v>74</v>
      </c>
      <c r="AO214" t="s">
        <v>1814</v>
      </c>
      <c r="AP214" t="s">
        <v>1815</v>
      </c>
      <c r="AQ214" t="s">
        <v>74</v>
      </c>
      <c r="AR214" t="s">
        <v>74</v>
      </c>
      <c r="AS214" t="s">
        <v>74</v>
      </c>
      <c r="AT214" t="s">
        <v>102</v>
      </c>
      <c r="AU214">
        <v>1987</v>
      </c>
      <c r="AV214">
        <v>21</v>
      </c>
      <c r="AW214">
        <v>2</v>
      </c>
      <c r="AX214" t="s">
        <v>74</v>
      </c>
      <c r="AY214" t="s">
        <v>74</v>
      </c>
      <c r="AZ214" t="s">
        <v>74</v>
      </c>
      <c r="BA214" t="s">
        <v>74</v>
      </c>
      <c r="BB214">
        <v>96</v>
      </c>
      <c r="BC214">
        <v>101</v>
      </c>
      <c r="BD214" t="s">
        <v>74</v>
      </c>
      <c r="BE214" t="s">
        <v>4024</v>
      </c>
      <c r="BF214" t="str">
        <f>HYPERLINK("http://dx.doi.org/10.2307/1564469","http://dx.doi.org/10.2307/1564469")</f>
        <v>http://dx.doi.org/10.2307/1564469</v>
      </c>
      <c r="BG214" t="s">
        <v>74</v>
      </c>
      <c r="BH214" t="s">
        <v>74</v>
      </c>
      <c r="BI214" t="s">
        <v>74</v>
      </c>
      <c r="BJ214" t="s">
        <v>74</v>
      </c>
      <c r="BK214" t="s">
        <v>74</v>
      </c>
      <c r="BL214" t="s">
        <v>74</v>
      </c>
      <c r="BM214" t="s">
        <v>74</v>
      </c>
      <c r="BN214" t="s">
        <v>74</v>
      </c>
      <c r="BO214" t="s">
        <v>74</v>
      </c>
      <c r="BP214" t="s">
        <v>74</v>
      </c>
      <c r="BQ214" t="s">
        <v>74</v>
      </c>
      <c r="BR214" t="s">
        <v>74</v>
      </c>
      <c r="BS214" t="s">
        <v>4025</v>
      </c>
      <c r="BT214" t="str">
        <f>HYPERLINK("https%3A%2F%2Fwww.webofscience.com%2Fwos%2Fwoscc%2Ffull-record%2FWOS:A1987H691700002","View Full Record in Web of Science")</f>
        <v>View Full Record in Web of Science</v>
      </c>
    </row>
    <row r="215" spans="1:72" x14ac:dyDescent="0.4">
      <c r="A215" t="s">
        <v>72</v>
      </c>
      <c r="B215" t="s">
        <v>4356</v>
      </c>
      <c r="C215" t="s">
        <v>74</v>
      </c>
      <c r="D215" t="s">
        <v>74</v>
      </c>
      <c r="E215" t="s">
        <v>74</v>
      </c>
      <c r="F215" t="s">
        <v>4356</v>
      </c>
      <c r="G215" t="s">
        <v>74</v>
      </c>
      <c r="H215" t="s">
        <v>74</v>
      </c>
      <c r="I215" t="s">
        <v>4357</v>
      </c>
      <c r="J215" t="s">
        <v>1126</v>
      </c>
      <c r="K215" t="s">
        <v>74</v>
      </c>
      <c r="L215" t="s">
        <v>74</v>
      </c>
      <c r="M215" t="s">
        <v>74</v>
      </c>
      <c r="N215" t="s">
        <v>74</v>
      </c>
      <c r="O215" t="s">
        <v>74</v>
      </c>
      <c r="P215" t="s">
        <v>74</v>
      </c>
      <c r="Q215" t="s">
        <v>74</v>
      </c>
      <c r="R215" t="s">
        <v>74</v>
      </c>
      <c r="S215" t="s">
        <v>74</v>
      </c>
      <c r="T215" t="s">
        <v>74</v>
      </c>
      <c r="U215" t="s">
        <v>74</v>
      </c>
      <c r="V215" s="3" t="s">
        <v>4358</v>
      </c>
      <c r="W215" t="s">
        <v>74</v>
      </c>
      <c r="X215" t="s">
        <v>74</v>
      </c>
      <c r="Y215" t="s">
        <v>74</v>
      </c>
      <c r="Z215" t="s">
        <v>74</v>
      </c>
      <c r="AA215" t="s">
        <v>74</v>
      </c>
      <c r="AB215" t="s">
        <v>74</v>
      </c>
      <c r="AC215" t="s">
        <v>74</v>
      </c>
      <c r="AD215" t="s">
        <v>74</v>
      </c>
      <c r="AE215" t="s">
        <v>74</v>
      </c>
      <c r="AF215" t="s">
        <v>74</v>
      </c>
      <c r="AG215" t="s">
        <v>74</v>
      </c>
      <c r="AH215" t="s">
        <v>74</v>
      </c>
      <c r="AI215" t="s">
        <v>74</v>
      </c>
      <c r="AJ215" t="s">
        <v>74</v>
      </c>
      <c r="AK215" t="s">
        <v>74</v>
      </c>
      <c r="AL215" t="s">
        <v>74</v>
      </c>
      <c r="AM215" t="s">
        <v>74</v>
      </c>
      <c r="AN215" t="s">
        <v>74</v>
      </c>
      <c r="AO215" t="s">
        <v>1128</v>
      </c>
      <c r="AP215" t="s">
        <v>1129</v>
      </c>
      <c r="AQ215" t="s">
        <v>74</v>
      </c>
      <c r="AR215" t="s">
        <v>74</v>
      </c>
      <c r="AS215" t="s">
        <v>74</v>
      </c>
      <c r="AT215" t="s">
        <v>4359</v>
      </c>
      <c r="AU215">
        <v>1988</v>
      </c>
      <c r="AV215" t="s">
        <v>74</v>
      </c>
      <c r="AW215">
        <v>1</v>
      </c>
      <c r="AX215" t="s">
        <v>74</v>
      </c>
      <c r="AY215" t="s">
        <v>74</v>
      </c>
      <c r="AZ215" t="s">
        <v>74</v>
      </c>
      <c r="BA215" t="s">
        <v>74</v>
      </c>
      <c r="BB215">
        <v>1</v>
      </c>
      <c r="BC215">
        <v>6</v>
      </c>
      <c r="BD215" t="s">
        <v>74</v>
      </c>
      <c r="BE215" t="s">
        <v>74</v>
      </c>
      <c r="BF215" t="s">
        <v>74</v>
      </c>
      <c r="BG215" t="s">
        <v>74</v>
      </c>
      <c r="BH215" t="s">
        <v>74</v>
      </c>
      <c r="BI215" t="s">
        <v>74</v>
      </c>
      <c r="BJ215" t="s">
        <v>74</v>
      </c>
      <c r="BK215" t="s">
        <v>74</v>
      </c>
      <c r="BL215" t="s">
        <v>74</v>
      </c>
      <c r="BM215" t="s">
        <v>74</v>
      </c>
      <c r="BN215" t="s">
        <v>74</v>
      </c>
      <c r="BO215" t="s">
        <v>74</v>
      </c>
      <c r="BP215" t="s">
        <v>74</v>
      </c>
      <c r="BQ215" t="s">
        <v>74</v>
      </c>
      <c r="BR215" t="s">
        <v>74</v>
      </c>
      <c r="BS215" t="s">
        <v>4360</v>
      </c>
      <c r="BT215" t="str">
        <f>HYPERLINK("https%3A%2F%2Fwww.webofscience.com%2Fwos%2Fwoscc%2Ffull-record%2FWOS:A1988M131600001","View Full Record in Web of Science")</f>
        <v>View Full Record in Web of Science</v>
      </c>
    </row>
    <row r="216" spans="1:72" x14ac:dyDescent="0.4">
      <c r="A216" t="s">
        <v>72</v>
      </c>
      <c r="B216" t="s">
        <v>8655</v>
      </c>
      <c r="C216" t="s">
        <v>74</v>
      </c>
      <c r="D216" t="s">
        <v>74</v>
      </c>
      <c r="E216" t="s">
        <v>74</v>
      </c>
      <c r="F216" t="s">
        <v>8656</v>
      </c>
      <c r="G216" t="s">
        <v>74</v>
      </c>
      <c r="H216" t="s">
        <v>74</v>
      </c>
      <c r="I216" t="s">
        <v>8657</v>
      </c>
      <c r="J216" t="s">
        <v>1044</v>
      </c>
      <c r="K216" t="s">
        <v>74</v>
      </c>
      <c r="L216" t="s">
        <v>74</v>
      </c>
      <c r="M216" t="s">
        <v>74</v>
      </c>
      <c r="N216" t="s">
        <v>74</v>
      </c>
      <c r="O216" t="s">
        <v>74</v>
      </c>
      <c r="P216" t="s">
        <v>74</v>
      </c>
      <c r="Q216" t="s">
        <v>74</v>
      </c>
      <c r="R216" t="s">
        <v>74</v>
      </c>
      <c r="S216" t="s">
        <v>74</v>
      </c>
      <c r="T216" t="s">
        <v>74</v>
      </c>
      <c r="U216" t="s">
        <v>74</v>
      </c>
      <c r="V216" s="3" t="s">
        <v>8658</v>
      </c>
      <c r="W216" t="s">
        <v>74</v>
      </c>
      <c r="X216" t="s">
        <v>74</v>
      </c>
      <c r="Y216" t="s">
        <v>74</v>
      </c>
      <c r="Z216" t="s">
        <v>74</v>
      </c>
      <c r="AA216" t="s">
        <v>8659</v>
      </c>
      <c r="AB216" t="s">
        <v>8660</v>
      </c>
      <c r="AC216" t="s">
        <v>74</v>
      </c>
      <c r="AD216" t="s">
        <v>74</v>
      </c>
      <c r="AE216" t="s">
        <v>74</v>
      </c>
      <c r="AF216" t="s">
        <v>74</v>
      </c>
      <c r="AG216" t="s">
        <v>74</v>
      </c>
      <c r="AH216" t="s">
        <v>74</v>
      </c>
      <c r="AI216" t="s">
        <v>74</v>
      </c>
      <c r="AJ216" t="s">
        <v>74</v>
      </c>
      <c r="AK216" t="s">
        <v>74</v>
      </c>
      <c r="AL216" t="s">
        <v>74</v>
      </c>
      <c r="AM216" t="s">
        <v>74</v>
      </c>
      <c r="AN216" t="s">
        <v>74</v>
      </c>
      <c r="AO216" t="s">
        <v>1048</v>
      </c>
      <c r="AP216" t="s">
        <v>1049</v>
      </c>
      <c r="AQ216" t="s">
        <v>74</v>
      </c>
      <c r="AR216" t="s">
        <v>74</v>
      </c>
      <c r="AS216" t="s">
        <v>74</v>
      </c>
      <c r="AT216" t="s">
        <v>633</v>
      </c>
      <c r="AU216">
        <v>2020</v>
      </c>
      <c r="AV216">
        <v>29</v>
      </c>
      <c r="AW216">
        <v>7</v>
      </c>
      <c r="AX216" t="s">
        <v>74</v>
      </c>
      <c r="AY216" t="s">
        <v>74</v>
      </c>
      <c r="AZ216" t="s">
        <v>74</v>
      </c>
      <c r="BA216" t="s">
        <v>74</v>
      </c>
      <c r="BB216">
        <v>1358</v>
      </c>
      <c r="BC216">
        <v>1371</v>
      </c>
      <c r="BD216" t="s">
        <v>74</v>
      </c>
      <c r="BE216" t="s">
        <v>8661</v>
      </c>
      <c r="BF216" t="str">
        <f>HYPERLINK("http://dx.doi.org/10.1111/mec.15398","http://dx.doi.org/10.1111/mec.15398")</f>
        <v>http://dx.doi.org/10.1111/mec.15398</v>
      </c>
      <c r="BG216" t="s">
        <v>74</v>
      </c>
      <c r="BH216" t="s">
        <v>3584</v>
      </c>
      <c r="BI216" t="s">
        <v>74</v>
      </c>
      <c r="BJ216" t="s">
        <v>74</v>
      </c>
      <c r="BK216" t="s">
        <v>74</v>
      </c>
      <c r="BL216" t="s">
        <v>74</v>
      </c>
      <c r="BM216" t="s">
        <v>74</v>
      </c>
      <c r="BN216">
        <v>32115796</v>
      </c>
      <c r="BO216" t="s">
        <v>74</v>
      </c>
      <c r="BP216" t="s">
        <v>74</v>
      </c>
      <c r="BQ216" t="s">
        <v>74</v>
      </c>
      <c r="BR216" t="s">
        <v>74</v>
      </c>
      <c r="BS216" t="s">
        <v>8662</v>
      </c>
      <c r="BT216" t="str">
        <f>HYPERLINK("https%3A%2F%2Fwww.webofscience.com%2Fwos%2Fwoscc%2Ffull-record%2FWOS:000524283300001","View Full Record in Web of Science")</f>
        <v>View Full Record in Web of Science</v>
      </c>
    </row>
    <row r="217" spans="1:72" x14ac:dyDescent="0.4">
      <c r="A217" t="s">
        <v>72</v>
      </c>
      <c r="B217" t="s">
        <v>4243</v>
      </c>
      <c r="C217" t="s">
        <v>74</v>
      </c>
      <c r="D217" t="s">
        <v>74</v>
      </c>
      <c r="E217" t="s">
        <v>74</v>
      </c>
      <c r="F217" t="s">
        <v>4244</v>
      </c>
      <c r="G217" t="s">
        <v>74</v>
      </c>
      <c r="H217" t="s">
        <v>74</v>
      </c>
      <c r="I217" t="s">
        <v>4245</v>
      </c>
      <c r="J217" t="s">
        <v>333</v>
      </c>
      <c r="K217" t="s">
        <v>74</v>
      </c>
      <c r="L217" t="s">
        <v>74</v>
      </c>
      <c r="M217" t="s">
        <v>74</v>
      </c>
      <c r="N217" t="s">
        <v>74</v>
      </c>
      <c r="O217" t="s">
        <v>74</v>
      </c>
      <c r="P217" t="s">
        <v>74</v>
      </c>
      <c r="Q217" t="s">
        <v>74</v>
      </c>
      <c r="R217" t="s">
        <v>74</v>
      </c>
      <c r="S217" t="s">
        <v>74</v>
      </c>
      <c r="T217" t="s">
        <v>74</v>
      </c>
      <c r="U217" t="s">
        <v>74</v>
      </c>
      <c r="V217" s="3" t="s">
        <v>4246</v>
      </c>
      <c r="W217" t="s">
        <v>74</v>
      </c>
      <c r="X217" t="s">
        <v>74</v>
      </c>
      <c r="Y217" t="s">
        <v>74</v>
      </c>
      <c r="Z217" t="s">
        <v>74</v>
      </c>
      <c r="AA217" t="s">
        <v>4247</v>
      </c>
      <c r="AB217" t="s">
        <v>4248</v>
      </c>
      <c r="AC217" t="s">
        <v>74</v>
      </c>
      <c r="AD217" t="s">
        <v>74</v>
      </c>
      <c r="AE217" t="s">
        <v>74</v>
      </c>
      <c r="AF217" t="s">
        <v>74</v>
      </c>
      <c r="AG217" t="s">
        <v>74</v>
      </c>
      <c r="AH217" t="s">
        <v>74</v>
      </c>
      <c r="AI217" t="s">
        <v>74</v>
      </c>
      <c r="AJ217" t="s">
        <v>74</v>
      </c>
      <c r="AK217" t="s">
        <v>74</v>
      </c>
      <c r="AL217" t="s">
        <v>74</v>
      </c>
      <c r="AM217" t="s">
        <v>74</v>
      </c>
      <c r="AN217" t="s">
        <v>74</v>
      </c>
      <c r="AO217" t="s">
        <v>337</v>
      </c>
      <c r="AP217" t="s">
        <v>338</v>
      </c>
      <c r="AQ217" t="s">
        <v>74</v>
      </c>
      <c r="AR217" t="s">
        <v>74</v>
      </c>
      <c r="AS217" t="s">
        <v>74</v>
      </c>
      <c r="AT217" t="s">
        <v>1075</v>
      </c>
      <c r="AU217">
        <v>2018</v>
      </c>
      <c r="AV217">
        <v>29</v>
      </c>
      <c r="AW217">
        <v>6</v>
      </c>
      <c r="AX217" t="s">
        <v>74</v>
      </c>
      <c r="AY217" t="s">
        <v>74</v>
      </c>
      <c r="AZ217" t="s">
        <v>74</v>
      </c>
      <c r="BA217" t="s">
        <v>74</v>
      </c>
      <c r="BB217">
        <v>1472</v>
      </c>
      <c r="BC217">
        <v>1480</v>
      </c>
      <c r="BD217" t="s">
        <v>74</v>
      </c>
      <c r="BE217" t="s">
        <v>4249</v>
      </c>
      <c r="BF217" t="str">
        <f>HYPERLINK("http://dx.doi.org/10.1093/beheco/ary102","http://dx.doi.org/10.1093/beheco/ary102")</f>
        <v>http://dx.doi.org/10.1093/beheco/ary102</v>
      </c>
      <c r="BG217" t="s">
        <v>74</v>
      </c>
      <c r="BH217" t="s">
        <v>74</v>
      </c>
      <c r="BI217" t="s">
        <v>74</v>
      </c>
      <c r="BJ217" t="s">
        <v>74</v>
      </c>
      <c r="BK217" t="s">
        <v>74</v>
      </c>
      <c r="BL217" t="s">
        <v>74</v>
      </c>
      <c r="BM217" t="s">
        <v>74</v>
      </c>
      <c r="BN217" t="s">
        <v>74</v>
      </c>
      <c r="BO217" t="s">
        <v>74</v>
      </c>
      <c r="BP217" t="s">
        <v>74</v>
      </c>
      <c r="BQ217" t="s">
        <v>74</v>
      </c>
      <c r="BR217" t="s">
        <v>74</v>
      </c>
      <c r="BS217" t="s">
        <v>4250</v>
      </c>
      <c r="BT217" t="str">
        <f>HYPERLINK("https%3A%2F%2Fwww.webofscience.com%2Fwos%2Fwoscc%2Ffull-record%2FWOS:000453209600037","View Full Record in Web of Science")</f>
        <v>View Full Record in Web of Science</v>
      </c>
    </row>
    <row r="218" spans="1:72" x14ac:dyDescent="0.4">
      <c r="A218" t="s">
        <v>72</v>
      </c>
      <c r="B218" t="s">
        <v>5835</v>
      </c>
      <c r="C218" t="s">
        <v>74</v>
      </c>
      <c r="D218" t="s">
        <v>74</v>
      </c>
      <c r="E218" t="s">
        <v>74</v>
      </c>
      <c r="F218" t="s">
        <v>5836</v>
      </c>
      <c r="G218" t="s">
        <v>74</v>
      </c>
      <c r="H218" t="s">
        <v>74</v>
      </c>
      <c r="I218" t="s">
        <v>5837</v>
      </c>
      <c r="J218" t="s">
        <v>108</v>
      </c>
      <c r="K218" t="s">
        <v>74</v>
      </c>
      <c r="L218" t="s">
        <v>74</v>
      </c>
      <c r="M218" t="s">
        <v>74</v>
      </c>
      <c r="N218" t="s">
        <v>74</v>
      </c>
      <c r="O218" t="s">
        <v>74</v>
      </c>
      <c r="P218" t="s">
        <v>74</v>
      </c>
      <c r="Q218" t="s">
        <v>74</v>
      </c>
      <c r="R218" t="s">
        <v>74</v>
      </c>
      <c r="S218" t="s">
        <v>74</v>
      </c>
      <c r="T218" t="s">
        <v>74</v>
      </c>
      <c r="U218" t="s">
        <v>74</v>
      </c>
      <c r="V218" s="3" t="s">
        <v>5838</v>
      </c>
      <c r="W218" t="s">
        <v>74</v>
      </c>
      <c r="X218" t="s">
        <v>74</v>
      </c>
      <c r="Y218" t="s">
        <v>74</v>
      </c>
      <c r="Z218" t="s">
        <v>74</v>
      </c>
      <c r="AA218" t="s">
        <v>5839</v>
      </c>
      <c r="AB218" t="s">
        <v>5840</v>
      </c>
      <c r="AC218" t="s">
        <v>74</v>
      </c>
      <c r="AD218" t="s">
        <v>74</v>
      </c>
      <c r="AE218" t="s">
        <v>74</v>
      </c>
      <c r="AF218" t="s">
        <v>74</v>
      </c>
      <c r="AG218" t="s">
        <v>74</v>
      </c>
      <c r="AH218" t="s">
        <v>74</v>
      </c>
      <c r="AI218" t="s">
        <v>74</v>
      </c>
      <c r="AJ218" t="s">
        <v>74</v>
      </c>
      <c r="AK218" t="s">
        <v>74</v>
      </c>
      <c r="AL218" t="s">
        <v>74</v>
      </c>
      <c r="AM218" t="s">
        <v>74</v>
      </c>
      <c r="AN218" t="s">
        <v>74</v>
      </c>
      <c r="AO218" t="s">
        <v>111</v>
      </c>
      <c r="AP218" t="s">
        <v>112</v>
      </c>
      <c r="AQ218" t="s">
        <v>74</v>
      </c>
      <c r="AR218" t="s">
        <v>74</v>
      </c>
      <c r="AS218" t="s">
        <v>74</v>
      </c>
      <c r="AT218" t="s">
        <v>3140</v>
      </c>
      <c r="AU218">
        <v>2007</v>
      </c>
      <c r="AV218">
        <v>274</v>
      </c>
      <c r="AW218">
        <v>1624</v>
      </c>
      <c r="AX218" t="s">
        <v>74</v>
      </c>
      <c r="AY218" t="s">
        <v>74</v>
      </c>
      <c r="AZ218" t="s">
        <v>74</v>
      </c>
      <c r="BA218" t="s">
        <v>74</v>
      </c>
      <c r="BB218">
        <v>2445</v>
      </c>
      <c r="BC218">
        <v>2448</v>
      </c>
      <c r="BD218" t="s">
        <v>74</v>
      </c>
      <c r="BE218" t="s">
        <v>5841</v>
      </c>
      <c r="BF218" t="str">
        <f>HYPERLINK("http://dx.doi.org/10.1098/rspb.2007.0797","http://dx.doi.org/10.1098/rspb.2007.0797")</f>
        <v>http://dx.doi.org/10.1098/rspb.2007.0797</v>
      </c>
      <c r="BG218" t="s">
        <v>74</v>
      </c>
      <c r="BH218" t="s">
        <v>74</v>
      </c>
      <c r="BI218" t="s">
        <v>74</v>
      </c>
      <c r="BJ218" t="s">
        <v>74</v>
      </c>
      <c r="BK218" t="s">
        <v>74</v>
      </c>
      <c r="BL218" t="s">
        <v>74</v>
      </c>
      <c r="BM218" t="s">
        <v>74</v>
      </c>
      <c r="BN218">
        <v>17652064</v>
      </c>
      <c r="BO218" t="s">
        <v>74</v>
      </c>
      <c r="BP218" t="s">
        <v>74</v>
      </c>
      <c r="BQ218" t="s">
        <v>74</v>
      </c>
      <c r="BR218" t="s">
        <v>74</v>
      </c>
      <c r="BS218" t="s">
        <v>5842</v>
      </c>
      <c r="BT218" t="str">
        <f>HYPERLINK("https%3A%2F%2Fwww.webofscience.com%2Fwos%2Fwoscc%2Ffull-record%2FWOS:000248887800011","View Full Record in Web of Science")</f>
        <v>View Full Record in Web of Science</v>
      </c>
    </row>
    <row r="219" spans="1:72" x14ac:dyDescent="0.4">
      <c r="A219" t="s">
        <v>72</v>
      </c>
      <c r="B219" t="s">
        <v>5289</v>
      </c>
      <c r="C219" t="s">
        <v>74</v>
      </c>
      <c r="D219" t="s">
        <v>74</v>
      </c>
      <c r="E219" t="s">
        <v>74</v>
      </c>
      <c r="F219" t="s">
        <v>5290</v>
      </c>
      <c r="G219" t="s">
        <v>74</v>
      </c>
      <c r="H219" t="s">
        <v>74</v>
      </c>
      <c r="I219" t="s">
        <v>5291</v>
      </c>
      <c r="J219" t="s">
        <v>129</v>
      </c>
      <c r="K219" t="s">
        <v>74</v>
      </c>
      <c r="L219" t="s">
        <v>74</v>
      </c>
      <c r="M219" t="s">
        <v>74</v>
      </c>
      <c r="N219" t="s">
        <v>74</v>
      </c>
      <c r="O219" t="s">
        <v>74</v>
      </c>
      <c r="P219" t="s">
        <v>74</v>
      </c>
      <c r="Q219" t="s">
        <v>74</v>
      </c>
      <c r="R219" t="s">
        <v>74</v>
      </c>
      <c r="S219" t="s">
        <v>74</v>
      </c>
      <c r="T219" t="s">
        <v>74</v>
      </c>
      <c r="U219" t="s">
        <v>74</v>
      </c>
      <c r="V219" s="3" t="s">
        <v>5292</v>
      </c>
      <c r="W219" t="s">
        <v>74</v>
      </c>
      <c r="X219" t="s">
        <v>74</v>
      </c>
      <c r="Y219" t="s">
        <v>74</v>
      </c>
      <c r="Z219" t="s">
        <v>74</v>
      </c>
      <c r="AA219" t="s">
        <v>74</v>
      </c>
      <c r="AB219" t="s">
        <v>74</v>
      </c>
      <c r="AC219" t="s">
        <v>74</v>
      </c>
      <c r="AD219" t="s">
        <v>74</v>
      </c>
      <c r="AE219" t="s">
        <v>74</v>
      </c>
      <c r="AF219" t="s">
        <v>74</v>
      </c>
      <c r="AG219" t="s">
        <v>74</v>
      </c>
      <c r="AH219" t="s">
        <v>74</v>
      </c>
      <c r="AI219" t="s">
        <v>74</v>
      </c>
      <c r="AJ219" t="s">
        <v>74</v>
      </c>
      <c r="AK219" t="s">
        <v>74</v>
      </c>
      <c r="AL219" t="s">
        <v>74</v>
      </c>
      <c r="AM219" t="s">
        <v>74</v>
      </c>
      <c r="AN219" t="s">
        <v>74</v>
      </c>
      <c r="AO219" t="s">
        <v>132</v>
      </c>
      <c r="AP219" t="s">
        <v>133</v>
      </c>
      <c r="AQ219" t="s">
        <v>74</v>
      </c>
      <c r="AR219" t="s">
        <v>74</v>
      </c>
      <c r="AS219" t="s">
        <v>74</v>
      </c>
      <c r="AT219" t="s">
        <v>145</v>
      </c>
      <c r="AU219">
        <v>2013</v>
      </c>
      <c r="AV219">
        <v>67</v>
      </c>
      <c r="AW219">
        <v>8</v>
      </c>
      <c r="AX219" t="s">
        <v>74</v>
      </c>
      <c r="AY219" t="s">
        <v>74</v>
      </c>
      <c r="AZ219" t="s">
        <v>74</v>
      </c>
      <c r="BA219" t="s">
        <v>74</v>
      </c>
      <c r="BB219">
        <v>1357</v>
      </c>
      <c r="BC219">
        <v>1367</v>
      </c>
      <c r="BD219" t="s">
        <v>74</v>
      </c>
      <c r="BE219" t="s">
        <v>5293</v>
      </c>
      <c r="BF219" t="str">
        <f>HYPERLINK("http://dx.doi.org/10.1007/s00265-013-1564-z","http://dx.doi.org/10.1007/s00265-013-1564-z")</f>
        <v>http://dx.doi.org/10.1007/s00265-013-1564-z</v>
      </c>
      <c r="BG219" t="s">
        <v>74</v>
      </c>
      <c r="BH219" t="s">
        <v>74</v>
      </c>
      <c r="BI219" t="s">
        <v>74</v>
      </c>
      <c r="BJ219" t="s">
        <v>74</v>
      </c>
      <c r="BK219" t="s">
        <v>74</v>
      </c>
      <c r="BL219" t="s">
        <v>74</v>
      </c>
      <c r="BM219" t="s">
        <v>74</v>
      </c>
      <c r="BN219" t="s">
        <v>74</v>
      </c>
      <c r="BO219" t="s">
        <v>74</v>
      </c>
      <c r="BP219" t="s">
        <v>74</v>
      </c>
      <c r="BQ219" t="s">
        <v>74</v>
      </c>
      <c r="BR219" t="s">
        <v>74</v>
      </c>
      <c r="BS219" t="s">
        <v>5294</v>
      </c>
      <c r="BT219" t="str">
        <f>HYPERLINK("https%3A%2F%2Fwww.webofscience.com%2Fwos%2Fwoscc%2Ffull-record%2FWOS:000321964800016","View Full Record in Web of Science")</f>
        <v>View Full Record in Web of Science</v>
      </c>
    </row>
    <row r="220" spans="1:72" x14ac:dyDescent="0.4">
      <c r="A220" t="s">
        <v>72</v>
      </c>
      <c r="B220" t="s">
        <v>2008</v>
      </c>
      <c r="C220" t="s">
        <v>74</v>
      </c>
      <c r="D220" t="s">
        <v>74</v>
      </c>
      <c r="E220" t="s">
        <v>74</v>
      </c>
      <c r="F220" t="s">
        <v>2008</v>
      </c>
      <c r="G220" t="s">
        <v>74</v>
      </c>
      <c r="H220" t="s">
        <v>74</v>
      </c>
      <c r="I220" t="s">
        <v>2009</v>
      </c>
      <c r="J220" t="s">
        <v>333</v>
      </c>
      <c r="K220" t="s">
        <v>74</v>
      </c>
      <c r="L220" t="s">
        <v>74</v>
      </c>
      <c r="M220" t="s">
        <v>74</v>
      </c>
      <c r="N220" t="s">
        <v>74</v>
      </c>
      <c r="O220" t="s">
        <v>74</v>
      </c>
      <c r="P220" t="s">
        <v>74</v>
      </c>
      <c r="Q220" t="s">
        <v>74</v>
      </c>
      <c r="R220" t="s">
        <v>74</v>
      </c>
      <c r="S220" t="s">
        <v>74</v>
      </c>
      <c r="T220" t="s">
        <v>74</v>
      </c>
      <c r="U220" t="s">
        <v>74</v>
      </c>
      <c r="V220" s="3" t="s">
        <v>2010</v>
      </c>
      <c r="W220" t="s">
        <v>74</v>
      </c>
      <c r="X220" t="s">
        <v>74</v>
      </c>
      <c r="Y220" t="s">
        <v>74</v>
      </c>
      <c r="Z220" t="s">
        <v>74</v>
      </c>
      <c r="AA220" t="s">
        <v>74</v>
      </c>
      <c r="AB220" t="s">
        <v>2011</v>
      </c>
      <c r="AC220" t="s">
        <v>74</v>
      </c>
      <c r="AD220" t="s">
        <v>74</v>
      </c>
      <c r="AE220" t="s">
        <v>74</v>
      </c>
      <c r="AF220" t="s">
        <v>74</v>
      </c>
      <c r="AG220" t="s">
        <v>74</v>
      </c>
      <c r="AH220" t="s">
        <v>74</v>
      </c>
      <c r="AI220" t="s">
        <v>74</v>
      </c>
      <c r="AJ220" t="s">
        <v>74</v>
      </c>
      <c r="AK220" t="s">
        <v>74</v>
      </c>
      <c r="AL220" t="s">
        <v>74</v>
      </c>
      <c r="AM220" t="s">
        <v>74</v>
      </c>
      <c r="AN220" t="s">
        <v>74</v>
      </c>
      <c r="AO220" t="s">
        <v>337</v>
      </c>
      <c r="AP220" t="s">
        <v>74</v>
      </c>
      <c r="AQ220" t="s">
        <v>74</v>
      </c>
      <c r="AR220" t="s">
        <v>74</v>
      </c>
      <c r="AS220" t="s">
        <v>74</v>
      </c>
      <c r="AT220" t="s">
        <v>255</v>
      </c>
      <c r="AU220">
        <v>2002</v>
      </c>
      <c r="AV220">
        <v>13</v>
      </c>
      <c r="AW220">
        <v>1</v>
      </c>
      <c r="AX220" t="s">
        <v>74</v>
      </c>
      <c r="AY220" t="s">
        <v>74</v>
      </c>
      <c r="AZ220" t="s">
        <v>74</v>
      </c>
      <c r="BA220" t="s">
        <v>74</v>
      </c>
      <c r="BB220">
        <v>59</v>
      </c>
      <c r="BC220">
        <v>64</v>
      </c>
      <c r="BD220" t="s">
        <v>74</v>
      </c>
      <c r="BE220" t="s">
        <v>2012</v>
      </c>
      <c r="BF220" t="str">
        <f>HYPERLINK("http://dx.doi.org/10.1093/beheco/13.1.59","http://dx.doi.org/10.1093/beheco/13.1.59")</f>
        <v>http://dx.doi.org/10.1093/beheco/13.1.59</v>
      </c>
      <c r="BG220" t="s">
        <v>74</v>
      </c>
      <c r="BH220" t="s">
        <v>74</v>
      </c>
      <c r="BI220" t="s">
        <v>74</v>
      </c>
      <c r="BJ220" t="s">
        <v>74</v>
      </c>
      <c r="BK220" t="s">
        <v>74</v>
      </c>
      <c r="BL220" t="s">
        <v>74</v>
      </c>
      <c r="BM220" t="s">
        <v>74</v>
      </c>
      <c r="BN220" t="s">
        <v>74</v>
      </c>
      <c r="BO220" t="s">
        <v>74</v>
      </c>
      <c r="BP220" t="s">
        <v>74</v>
      </c>
      <c r="BQ220" t="s">
        <v>74</v>
      </c>
      <c r="BR220" t="s">
        <v>74</v>
      </c>
      <c r="BS220" t="s">
        <v>2013</v>
      </c>
      <c r="BT220" t="str">
        <f>HYPERLINK("https%3A%2F%2Fwww.webofscience.com%2Fwos%2Fwoscc%2Ffull-record%2FWOS:000173390700008","View Full Record in Web of Science")</f>
        <v>View Full Record in Web of Science</v>
      </c>
    </row>
    <row r="221" spans="1:72" x14ac:dyDescent="0.4">
      <c r="A221" t="s">
        <v>72</v>
      </c>
      <c r="B221" t="s">
        <v>6996</v>
      </c>
      <c r="C221" t="s">
        <v>74</v>
      </c>
      <c r="D221" t="s">
        <v>74</v>
      </c>
      <c r="E221" t="s">
        <v>74</v>
      </c>
      <c r="F221" t="s">
        <v>6997</v>
      </c>
      <c r="G221" t="s">
        <v>74</v>
      </c>
      <c r="H221" t="s">
        <v>74</v>
      </c>
      <c r="I221" t="s">
        <v>6998</v>
      </c>
      <c r="J221" t="s">
        <v>99</v>
      </c>
      <c r="K221" t="s">
        <v>74</v>
      </c>
      <c r="L221" t="s">
        <v>74</v>
      </c>
      <c r="M221" t="s">
        <v>74</v>
      </c>
      <c r="N221" t="s">
        <v>74</v>
      </c>
      <c r="O221" t="s">
        <v>74</v>
      </c>
      <c r="P221" t="s">
        <v>74</v>
      </c>
      <c r="Q221" t="s">
        <v>74</v>
      </c>
      <c r="R221" t="s">
        <v>74</v>
      </c>
      <c r="S221" t="s">
        <v>74</v>
      </c>
      <c r="T221" t="s">
        <v>74</v>
      </c>
      <c r="U221" t="s">
        <v>74</v>
      </c>
      <c r="V221" s="3" t="s">
        <v>6999</v>
      </c>
      <c r="W221" t="s">
        <v>74</v>
      </c>
      <c r="X221" t="s">
        <v>74</v>
      </c>
      <c r="Y221" t="s">
        <v>74</v>
      </c>
      <c r="Z221" t="s">
        <v>74</v>
      </c>
      <c r="AA221" t="s">
        <v>74</v>
      </c>
      <c r="AB221" t="s">
        <v>74</v>
      </c>
      <c r="AC221" t="s">
        <v>74</v>
      </c>
      <c r="AD221" t="s">
        <v>74</v>
      </c>
      <c r="AE221" t="s">
        <v>74</v>
      </c>
      <c r="AF221" t="s">
        <v>74</v>
      </c>
      <c r="AG221" t="s">
        <v>74</v>
      </c>
      <c r="AH221" t="s">
        <v>74</v>
      </c>
      <c r="AI221" t="s">
        <v>74</v>
      </c>
      <c r="AJ221" t="s">
        <v>74</v>
      </c>
      <c r="AK221" t="s">
        <v>74</v>
      </c>
      <c r="AL221" t="s">
        <v>74</v>
      </c>
      <c r="AM221" t="s">
        <v>74</v>
      </c>
      <c r="AN221" t="s">
        <v>74</v>
      </c>
      <c r="AO221" t="s">
        <v>101</v>
      </c>
      <c r="AP221" t="s">
        <v>1218</v>
      </c>
      <c r="AQ221" t="s">
        <v>74</v>
      </c>
      <c r="AR221" t="s">
        <v>74</v>
      </c>
      <c r="AS221" t="s">
        <v>74</v>
      </c>
      <c r="AT221" t="s">
        <v>102</v>
      </c>
      <c r="AU221">
        <v>2009</v>
      </c>
      <c r="AV221">
        <v>121</v>
      </c>
      <c r="AW221">
        <v>2</v>
      </c>
      <c r="AX221" t="s">
        <v>74</v>
      </c>
      <c r="AY221" t="s">
        <v>74</v>
      </c>
      <c r="AZ221" t="s">
        <v>74</v>
      </c>
      <c r="BA221" t="s">
        <v>74</v>
      </c>
      <c r="BB221">
        <v>359</v>
      </c>
      <c r="BC221">
        <v>365</v>
      </c>
      <c r="BD221" t="s">
        <v>74</v>
      </c>
      <c r="BE221" t="s">
        <v>7000</v>
      </c>
      <c r="BF221" t="str">
        <f>HYPERLINK("http://dx.doi.org/10.1676/07-138.1","http://dx.doi.org/10.1676/07-138.1")</f>
        <v>http://dx.doi.org/10.1676/07-138.1</v>
      </c>
      <c r="BG221" t="s">
        <v>74</v>
      </c>
      <c r="BH221" t="s">
        <v>74</v>
      </c>
      <c r="BI221" t="s">
        <v>74</v>
      </c>
      <c r="BJ221" t="s">
        <v>74</v>
      </c>
      <c r="BK221" t="s">
        <v>74</v>
      </c>
      <c r="BL221" t="s">
        <v>74</v>
      </c>
      <c r="BM221" t="s">
        <v>74</v>
      </c>
      <c r="BN221" t="s">
        <v>74</v>
      </c>
      <c r="BO221" t="s">
        <v>74</v>
      </c>
      <c r="BP221" t="s">
        <v>74</v>
      </c>
      <c r="BQ221" t="s">
        <v>74</v>
      </c>
      <c r="BR221" t="s">
        <v>74</v>
      </c>
      <c r="BS221" t="s">
        <v>7001</v>
      </c>
      <c r="BT221" t="str">
        <f>HYPERLINK("https%3A%2F%2Fwww.webofscience.com%2Fwos%2Fwoscc%2Ffull-record%2FWOS:000276803600015","View Full Record in Web of Science")</f>
        <v>View Full Record in Web of Science</v>
      </c>
    </row>
    <row r="222" spans="1:72" x14ac:dyDescent="0.4">
      <c r="A222" t="s">
        <v>72</v>
      </c>
      <c r="B222" t="s">
        <v>8545</v>
      </c>
      <c r="C222" t="s">
        <v>74</v>
      </c>
      <c r="D222" t="s">
        <v>74</v>
      </c>
      <c r="E222" t="s">
        <v>74</v>
      </c>
      <c r="F222" t="s">
        <v>8545</v>
      </c>
      <c r="G222" t="s">
        <v>74</v>
      </c>
      <c r="H222" t="s">
        <v>74</v>
      </c>
      <c r="I222" t="s">
        <v>8546</v>
      </c>
      <c r="J222" t="s">
        <v>1126</v>
      </c>
      <c r="K222" t="s">
        <v>74</v>
      </c>
      <c r="L222" t="s">
        <v>74</v>
      </c>
      <c r="M222" t="s">
        <v>74</v>
      </c>
      <c r="N222" t="s">
        <v>74</v>
      </c>
      <c r="O222" t="s">
        <v>74</v>
      </c>
      <c r="P222" t="s">
        <v>74</v>
      </c>
      <c r="Q222" t="s">
        <v>74</v>
      </c>
      <c r="R222" t="s">
        <v>74</v>
      </c>
      <c r="S222" t="s">
        <v>74</v>
      </c>
      <c r="T222" t="s">
        <v>74</v>
      </c>
      <c r="U222" t="s">
        <v>74</v>
      </c>
      <c r="V222" s="3" t="s">
        <v>8547</v>
      </c>
      <c r="W222" t="s">
        <v>74</v>
      </c>
      <c r="X222" t="s">
        <v>74</v>
      </c>
      <c r="Y222" t="s">
        <v>74</v>
      </c>
      <c r="Z222" t="s">
        <v>74</v>
      </c>
      <c r="AA222" t="s">
        <v>74</v>
      </c>
      <c r="AB222" t="s">
        <v>74</v>
      </c>
      <c r="AC222" t="s">
        <v>74</v>
      </c>
      <c r="AD222" t="s">
        <v>74</v>
      </c>
      <c r="AE222" t="s">
        <v>74</v>
      </c>
      <c r="AF222" t="s">
        <v>74</v>
      </c>
      <c r="AG222" t="s">
        <v>74</v>
      </c>
      <c r="AH222" t="s">
        <v>74</v>
      </c>
      <c r="AI222" t="s">
        <v>74</v>
      </c>
      <c r="AJ222" t="s">
        <v>74</v>
      </c>
      <c r="AK222" t="s">
        <v>74</v>
      </c>
      <c r="AL222" t="s">
        <v>74</v>
      </c>
      <c r="AM222" t="s">
        <v>74</v>
      </c>
      <c r="AN222" t="s">
        <v>74</v>
      </c>
      <c r="AO222" t="s">
        <v>1128</v>
      </c>
      <c r="AP222" t="s">
        <v>1129</v>
      </c>
      <c r="AQ222" t="s">
        <v>74</v>
      </c>
      <c r="AR222" t="s">
        <v>74</v>
      </c>
      <c r="AS222" t="s">
        <v>74</v>
      </c>
      <c r="AT222" t="s">
        <v>8548</v>
      </c>
      <c r="AU222">
        <v>2005</v>
      </c>
      <c r="AV222" t="s">
        <v>74</v>
      </c>
      <c r="AW222">
        <v>3</v>
      </c>
      <c r="AX222" t="s">
        <v>74</v>
      </c>
      <c r="AY222" t="s">
        <v>74</v>
      </c>
      <c r="AZ222" t="s">
        <v>74</v>
      </c>
      <c r="BA222" t="s">
        <v>74</v>
      </c>
      <c r="BB222">
        <v>597</v>
      </c>
      <c r="BC222">
        <v>608</v>
      </c>
      <c r="BD222" t="s">
        <v>74</v>
      </c>
      <c r="BE222" t="s">
        <v>74</v>
      </c>
      <c r="BF222" t="s">
        <v>74</v>
      </c>
      <c r="BG222" t="s">
        <v>74</v>
      </c>
      <c r="BH222" t="s">
        <v>74</v>
      </c>
      <c r="BI222" t="s">
        <v>74</v>
      </c>
      <c r="BJ222" t="s">
        <v>74</v>
      </c>
      <c r="BK222" t="s">
        <v>74</v>
      </c>
      <c r="BL222" t="s">
        <v>74</v>
      </c>
      <c r="BM222" t="s">
        <v>74</v>
      </c>
      <c r="BN222" t="s">
        <v>74</v>
      </c>
      <c r="BO222" t="s">
        <v>74</v>
      </c>
      <c r="BP222" t="s">
        <v>74</v>
      </c>
      <c r="BQ222" t="s">
        <v>74</v>
      </c>
      <c r="BR222" t="s">
        <v>74</v>
      </c>
      <c r="BS222" t="s">
        <v>8549</v>
      </c>
      <c r="BT222" t="str">
        <f>HYPERLINK("https%3A%2F%2Fwww.webofscience.com%2Fwos%2Fwoscc%2Ffull-record%2FWOS:000231035500014","View Full Record in Web of Science")</f>
        <v>View Full Record in Web of Science</v>
      </c>
    </row>
    <row r="223" spans="1:72" x14ac:dyDescent="0.4">
      <c r="A223" t="s">
        <v>72</v>
      </c>
      <c r="B223" t="s">
        <v>6039</v>
      </c>
      <c r="C223" t="s">
        <v>74</v>
      </c>
      <c r="D223" t="s">
        <v>74</v>
      </c>
      <c r="E223" t="s">
        <v>74</v>
      </c>
      <c r="F223" t="s">
        <v>6040</v>
      </c>
      <c r="G223" t="s">
        <v>74</v>
      </c>
      <c r="H223" t="s">
        <v>74</v>
      </c>
      <c r="I223" t="s">
        <v>6041</v>
      </c>
      <c r="J223" t="s">
        <v>6042</v>
      </c>
      <c r="K223" t="s">
        <v>74</v>
      </c>
      <c r="L223" t="s">
        <v>74</v>
      </c>
      <c r="M223" t="s">
        <v>74</v>
      </c>
      <c r="N223" t="s">
        <v>74</v>
      </c>
      <c r="O223" t="s">
        <v>74</v>
      </c>
      <c r="P223" t="s">
        <v>74</v>
      </c>
      <c r="Q223" t="s">
        <v>74</v>
      </c>
      <c r="R223" t="s">
        <v>74</v>
      </c>
      <c r="S223" t="s">
        <v>74</v>
      </c>
      <c r="T223" t="s">
        <v>74</v>
      </c>
      <c r="U223" t="s">
        <v>74</v>
      </c>
      <c r="V223" s="3" t="s">
        <v>6043</v>
      </c>
      <c r="W223" t="s">
        <v>74</v>
      </c>
      <c r="X223" t="s">
        <v>74</v>
      </c>
      <c r="Y223" t="s">
        <v>74</v>
      </c>
      <c r="Z223" t="s">
        <v>74</v>
      </c>
      <c r="AA223" t="s">
        <v>74</v>
      </c>
      <c r="AB223" t="s">
        <v>74</v>
      </c>
      <c r="AC223" t="s">
        <v>74</v>
      </c>
      <c r="AD223" t="s">
        <v>74</v>
      </c>
      <c r="AE223" t="s">
        <v>74</v>
      </c>
      <c r="AF223" t="s">
        <v>74</v>
      </c>
      <c r="AG223" t="s">
        <v>74</v>
      </c>
      <c r="AH223" t="s">
        <v>74</v>
      </c>
      <c r="AI223" t="s">
        <v>74</v>
      </c>
      <c r="AJ223" t="s">
        <v>74</v>
      </c>
      <c r="AK223" t="s">
        <v>74</v>
      </c>
      <c r="AL223" t="s">
        <v>74</v>
      </c>
      <c r="AM223" t="s">
        <v>74</v>
      </c>
      <c r="AN223" t="s">
        <v>74</v>
      </c>
      <c r="AO223" t="s">
        <v>6044</v>
      </c>
      <c r="AP223" t="s">
        <v>6045</v>
      </c>
      <c r="AQ223" t="s">
        <v>74</v>
      </c>
      <c r="AR223" t="s">
        <v>74</v>
      </c>
      <c r="AS223" t="s">
        <v>74</v>
      </c>
      <c r="AT223" t="s">
        <v>1349</v>
      </c>
      <c r="AU223">
        <v>2008</v>
      </c>
      <c r="AV223" t="s">
        <v>6046</v>
      </c>
      <c r="AW223">
        <v>9</v>
      </c>
      <c r="AX223" t="s">
        <v>74</v>
      </c>
      <c r="AY223" t="s">
        <v>74</v>
      </c>
      <c r="AZ223" t="s">
        <v>74</v>
      </c>
      <c r="BA223" t="s">
        <v>74</v>
      </c>
      <c r="BB223">
        <v>505</v>
      </c>
      <c r="BC223">
        <v>514</v>
      </c>
      <c r="BD223" t="s">
        <v>74</v>
      </c>
      <c r="BE223" t="s">
        <v>6047</v>
      </c>
      <c r="BF223" t="str">
        <f>HYPERLINK("http://dx.doi.org/10.1002/jez.481","http://dx.doi.org/10.1002/jez.481")</f>
        <v>http://dx.doi.org/10.1002/jez.481</v>
      </c>
      <c r="BG223" t="s">
        <v>74</v>
      </c>
      <c r="BH223" t="s">
        <v>74</v>
      </c>
      <c r="BI223" t="s">
        <v>74</v>
      </c>
      <c r="BJ223" t="s">
        <v>74</v>
      </c>
      <c r="BK223" t="s">
        <v>74</v>
      </c>
      <c r="BL223" t="s">
        <v>74</v>
      </c>
      <c r="BM223" t="s">
        <v>74</v>
      </c>
      <c r="BN223">
        <v>18661470</v>
      </c>
      <c r="BO223" t="s">
        <v>74</v>
      </c>
      <c r="BP223" t="s">
        <v>74</v>
      </c>
      <c r="BQ223" t="s">
        <v>74</v>
      </c>
      <c r="BR223" t="s">
        <v>74</v>
      </c>
      <c r="BS223" t="s">
        <v>6048</v>
      </c>
      <c r="BT223" t="str">
        <f>HYPERLINK("https%3A%2F%2Fwww.webofscience.com%2Fwos%2Fwoscc%2Ffull-record%2FWOS:000260626200001","View Full Record in Web of Science")</f>
        <v>View Full Record in Web of Science</v>
      </c>
    </row>
    <row r="224" spans="1:72" x14ac:dyDescent="0.4">
      <c r="A224" t="s">
        <v>72</v>
      </c>
      <c r="B224" t="s">
        <v>7252</v>
      </c>
      <c r="C224" t="s">
        <v>74</v>
      </c>
      <c r="D224" t="s">
        <v>74</v>
      </c>
      <c r="E224" t="s">
        <v>74</v>
      </c>
      <c r="F224" t="s">
        <v>7252</v>
      </c>
      <c r="G224" t="s">
        <v>74</v>
      </c>
      <c r="H224" t="s">
        <v>74</v>
      </c>
      <c r="I224" t="s">
        <v>7253</v>
      </c>
      <c r="J224" t="s">
        <v>2144</v>
      </c>
      <c r="K224" t="s">
        <v>74</v>
      </c>
      <c r="L224" t="s">
        <v>74</v>
      </c>
      <c r="M224" t="s">
        <v>74</v>
      </c>
      <c r="N224" t="s">
        <v>74</v>
      </c>
      <c r="O224" t="s">
        <v>74</v>
      </c>
      <c r="P224" t="s">
        <v>74</v>
      </c>
      <c r="Q224" t="s">
        <v>74</v>
      </c>
      <c r="R224" t="s">
        <v>74</v>
      </c>
      <c r="S224" t="s">
        <v>74</v>
      </c>
      <c r="T224" t="s">
        <v>74</v>
      </c>
      <c r="U224" t="s">
        <v>74</v>
      </c>
      <c r="V224" s="3" t="s">
        <v>7254</v>
      </c>
      <c r="W224" t="s">
        <v>74</v>
      </c>
      <c r="X224" t="s">
        <v>74</v>
      </c>
      <c r="Y224" t="s">
        <v>74</v>
      </c>
      <c r="Z224" t="s">
        <v>74</v>
      </c>
      <c r="AA224" t="s">
        <v>74</v>
      </c>
      <c r="AB224" t="s">
        <v>74</v>
      </c>
      <c r="AC224" t="s">
        <v>74</v>
      </c>
      <c r="AD224" t="s">
        <v>74</v>
      </c>
      <c r="AE224" t="s">
        <v>74</v>
      </c>
      <c r="AF224" t="s">
        <v>74</v>
      </c>
      <c r="AG224" t="s">
        <v>74</v>
      </c>
      <c r="AH224" t="s">
        <v>74</v>
      </c>
      <c r="AI224" t="s">
        <v>74</v>
      </c>
      <c r="AJ224" t="s">
        <v>74</v>
      </c>
      <c r="AK224" t="s">
        <v>74</v>
      </c>
      <c r="AL224" t="s">
        <v>74</v>
      </c>
      <c r="AM224" t="s">
        <v>74</v>
      </c>
      <c r="AN224" t="s">
        <v>74</v>
      </c>
      <c r="AO224" t="s">
        <v>2146</v>
      </c>
      <c r="AP224" t="s">
        <v>2147</v>
      </c>
      <c r="AQ224" t="s">
        <v>74</v>
      </c>
      <c r="AR224" t="s">
        <v>74</v>
      </c>
      <c r="AS224" t="s">
        <v>74</v>
      </c>
      <c r="AT224" t="s">
        <v>74</v>
      </c>
      <c r="AU224">
        <v>1977</v>
      </c>
      <c r="AV224">
        <v>4</v>
      </c>
      <c r="AW224">
        <v>4</v>
      </c>
      <c r="AX224" t="s">
        <v>74</v>
      </c>
      <c r="AY224" t="s">
        <v>74</v>
      </c>
      <c r="AZ224" t="s">
        <v>74</v>
      </c>
      <c r="BA224" t="s">
        <v>74</v>
      </c>
      <c r="BB224">
        <v>413</v>
      </c>
      <c r="BC224">
        <v>433</v>
      </c>
      <c r="BD224" t="s">
        <v>74</v>
      </c>
      <c r="BE224" t="s">
        <v>7255</v>
      </c>
      <c r="BF224" t="str">
        <f>HYPERLINK("http://dx.doi.org/10.1080/03014223.1977.9517966","http://dx.doi.org/10.1080/03014223.1977.9517966")</f>
        <v>http://dx.doi.org/10.1080/03014223.1977.9517966</v>
      </c>
      <c r="BG224" t="s">
        <v>74</v>
      </c>
      <c r="BH224" t="s">
        <v>74</v>
      </c>
      <c r="BI224" t="s">
        <v>74</v>
      </c>
      <c r="BJ224" t="s">
        <v>74</v>
      </c>
      <c r="BK224" t="s">
        <v>74</v>
      </c>
      <c r="BL224" t="s">
        <v>74</v>
      </c>
      <c r="BM224" t="s">
        <v>74</v>
      </c>
      <c r="BN224" t="s">
        <v>74</v>
      </c>
      <c r="BO224" t="s">
        <v>74</v>
      </c>
      <c r="BP224" t="s">
        <v>74</v>
      </c>
      <c r="BQ224" t="s">
        <v>74</v>
      </c>
      <c r="BR224" t="s">
        <v>74</v>
      </c>
      <c r="BS224" t="s">
        <v>7256</v>
      </c>
      <c r="BT224" t="str">
        <f>HYPERLINK("https%3A%2F%2Fwww.webofscience.com%2Fwos%2Fwoscc%2Ffull-record%2FWOS:A1977EK27900008","View Full Record in Web of Science")</f>
        <v>View Full Record in Web of Science</v>
      </c>
    </row>
    <row r="225" spans="1:72" x14ac:dyDescent="0.4">
      <c r="A225" t="s">
        <v>72</v>
      </c>
      <c r="B225" t="s">
        <v>5342</v>
      </c>
      <c r="C225" t="s">
        <v>74</v>
      </c>
      <c r="D225" t="s">
        <v>74</v>
      </c>
      <c r="E225" t="s">
        <v>74</v>
      </c>
      <c r="F225" t="s">
        <v>5342</v>
      </c>
      <c r="G225" t="s">
        <v>74</v>
      </c>
      <c r="H225" t="s">
        <v>74</v>
      </c>
      <c r="I225" t="s">
        <v>5343</v>
      </c>
      <c r="J225" t="s">
        <v>1995</v>
      </c>
      <c r="K225" t="s">
        <v>74</v>
      </c>
      <c r="L225" t="s">
        <v>74</v>
      </c>
      <c r="M225" t="s">
        <v>74</v>
      </c>
      <c r="N225" t="s">
        <v>74</v>
      </c>
      <c r="O225" t="s">
        <v>74</v>
      </c>
      <c r="P225" t="s">
        <v>74</v>
      </c>
      <c r="Q225" t="s">
        <v>74</v>
      </c>
      <c r="R225" t="s">
        <v>74</v>
      </c>
      <c r="S225" t="s">
        <v>74</v>
      </c>
      <c r="T225" t="s">
        <v>74</v>
      </c>
      <c r="U225" t="s">
        <v>74</v>
      </c>
      <c r="V225" s="3" t="s">
        <v>5344</v>
      </c>
      <c r="W225" t="s">
        <v>74</v>
      </c>
      <c r="X225" t="s">
        <v>74</v>
      </c>
      <c r="Y225" t="s">
        <v>74</v>
      </c>
      <c r="Z225" t="s">
        <v>74</v>
      </c>
      <c r="AA225" t="s">
        <v>74</v>
      </c>
      <c r="AB225" t="s">
        <v>74</v>
      </c>
      <c r="AC225" t="s">
        <v>74</v>
      </c>
      <c r="AD225" t="s">
        <v>74</v>
      </c>
      <c r="AE225" t="s">
        <v>74</v>
      </c>
      <c r="AF225" t="s">
        <v>74</v>
      </c>
      <c r="AG225" t="s">
        <v>74</v>
      </c>
      <c r="AH225" t="s">
        <v>74</v>
      </c>
      <c r="AI225" t="s">
        <v>74</v>
      </c>
      <c r="AJ225" t="s">
        <v>74</v>
      </c>
      <c r="AK225" t="s">
        <v>74</v>
      </c>
      <c r="AL225" t="s">
        <v>74</v>
      </c>
      <c r="AM225" t="s">
        <v>74</v>
      </c>
      <c r="AN225" t="s">
        <v>74</v>
      </c>
      <c r="AO225" t="s">
        <v>1997</v>
      </c>
      <c r="AP225" t="s">
        <v>74</v>
      </c>
      <c r="AQ225" t="s">
        <v>74</v>
      </c>
      <c r="AR225" t="s">
        <v>74</v>
      </c>
      <c r="AS225" t="s">
        <v>74</v>
      </c>
      <c r="AT225" t="s">
        <v>5345</v>
      </c>
      <c r="AU225">
        <v>2002</v>
      </c>
      <c r="AV225">
        <v>73</v>
      </c>
      <c r="AW225">
        <v>1</v>
      </c>
      <c r="AX225" t="s">
        <v>74</v>
      </c>
      <c r="AY225" t="s">
        <v>74</v>
      </c>
      <c r="AZ225" t="s">
        <v>74</v>
      </c>
      <c r="BA225" t="s">
        <v>74</v>
      </c>
      <c r="BB225">
        <v>70</v>
      </c>
      <c r="BC225">
        <v>73</v>
      </c>
      <c r="BD225" t="s">
        <v>74</v>
      </c>
      <c r="BE225" t="s">
        <v>5346</v>
      </c>
      <c r="BF225" t="str">
        <f>HYPERLINK("http://dx.doi.org/10.1648/0273-8570-73.1.70","http://dx.doi.org/10.1648/0273-8570-73.1.70")</f>
        <v>http://dx.doi.org/10.1648/0273-8570-73.1.70</v>
      </c>
      <c r="BG225" t="s">
        <v>74</v>
      </c>
      <c r="BH225" t="s">
        <v>74</v>
      </c>
      <c r="BI225" t="s">
        <v>74</v>
      </c>
      <c r="BJ225" t="s">
        <v>74</v>
      </c>
      <c r="BK225" t="s">
        <v>74</v>
      </c>
      <c r="BL225" t="s">
        <v>74</v>
      </c>
      <c r="BM225" t="s">
        <v>74</v>
      </c>
      <c r="BN225" t="s">
        <v>74</v>
      </c>
      <c r="BO225" t="s">
        <v>74</v>
      </c>
      <c r="BP225" t="s">
        <v>74</v>
      </c>
      <c r="BQ225" t="s">
        <v>74</v>
      </c>
      <c r="BR225" t="s">
        <v>74</v>
      </c>
      <c r="BS225" t="s">
        <v>5347</v>
      </c>
      <c r="BT225" t="str">
        <f>HYPERLINK("https%3A%2F%2Fwww.webofscience.com%2Fwos%2Fwoscc%2Ffull-record%2FWOS:000174001500012","View Full Record in Web of Science")</f>
        <v>View Full Record in Web of Science</v>
      </c>
    </row>
    <row r="226" spans="1:72" x14ac:dyDescent="0.4">
      <c r="A226" t="s">
        <v>72</v>
      </c>
      <c r="B226" t="s">
        <v>2570</v>
      </c>
      <c r="C226" t="s">
        <v>74</v>
      </c>
      <c r="D226" t="s">
        <v>74</v>
      </c>
      <c r="E226" t="s">
        <v>74</v>
      </c>
      <c r="F226" t="s">
        <v>2570</v>
      </c>
      <c r="G226" t="s">
        <v>74</v>
      </c>
      <c r="H226" t="s">
        <v>74</v>
      </c>
      <c r="I226" t="s">
        <v>2571</v>
      </c>
      <c r="J226" t="s">
        <v>610</v>
      </c>
      <c r="K226" t="s">
        <v>74</v>
      </c>
      <c r="L226" t="s">
        <v>74</v>
      </c>
      <c r="M226" t="s">
        <v>74</v>
      </c>
      <c r="N226" t="s">
        <v>74</v>
      </c>
      <c r="O226" t="s">
        <v>74</v>
      </c>
      <c r="P226" t="s">
        <v>74</v>
      </c>
      <c r="Q226" t="s">
        <v>74</v>
      </c>
      <c r="R226" t="s">
        <v>74</v>
      </c>
      <c r="S226" t="s">
        <v>74</v>
      </c>
      <c r="T226" t="s">
        <v>74</v>
      </c>
      <c r="U226" t="s">
        <v>74</v>
      </c>
      <c r="V226" s="3" t="s">
        <v>2572</v>
      </c>
      <c r="W226" t="s">
        <v>74</v>
      </c>
      <c r="X226" t="s">
        <v>74</v>
      </c>
      <c r="Y226" t="s">
        <v>74</v>
      </c>
      <c r="Z226" t="s">
        <v>74</v>
      </c>
      <c r="AA226" t="s">
        <v>74</v>
      </c>
      <c r="AB226" t="s">
        <v>74</v>
      </c>
      <c r="AC226" t="s">
        <v>74</v>
      </c>
      <c r="AD226" t="s">
        <v>74</v>
      </c>
      <c r="AE226" t="s">
        <v>74</v>
      </c>
      <c r="AF226" t="s">
        <v>74</v>
      </c>
      <c r="AG226" t="s">
        <v>74</v>
      </c>
      <c r="AH226" t="s">
        <v>74</v>
      </c>
      <c r="AI226" t="s">
        <v>74</v>
      </c>
      <c r="AJ226" t="s">
        <v>74</v>
      </c>
      <c r="AK226" t="s">
        <v>74</v>
      </c>
      <c r="AL226" t="s">
        <v>74</v>
      </c>
      <c r="AM226" t="s">
        <v>74</v>
      </c>
      <c r="AN226" t="s">
        <v>74</v>
      </c>
      <c r="AO226" t="s">
        <v>614</v>
      </c>
      <c r="AP226" t="s">
        <v>74</v>
      </c>
      <c r="AQ226" t="s">
        <v>74</v>
      </c>
      <c r="AR226" t="s">
        <v>74</v>
      </c>
      <c r="AS226" t="s">
        <v>74</v>
      </c>
      <c r="AT226" t="s">
        <v>123</v>
      </c>
      <c r="AU226">
        <v>2005</v>
      </c>
      <c r="AV226">
        <v>111</v>
      </c>
      <c r="AW226">
        <v>3</v>
      </c>
      <c r="AX226" t="s">
        <v>74</v>
      </c>
      <c r="AY226" t="s">
        <v>74</v>
      </c>
      <c r="AZ226" t="s">
        <v>74</v>
      </c>
      <c r="BA226" t="s">
        <v>74</v>
      </c>
      <c r="BB226">
        <v>287</v>
      </c>
      <c r="BC226">
        <v>300</v>
      </c>
      <c r="BD226" t="s">
        <v>74</v>
      </c>
      <c r="BE226" t="s">
        <v>2573</v>
      </c>
      <c r="BF226" t="str">
        <f>HYPERLINK("http://dx.doi.org/10.1111/j.1439-0310.2004.01062.x","http://dx.doi.org/10.1111/j.1439-0310.2004.01062.x")</f>
        <v>http://dx.doi.org/10.1111/j.1439-0310.2004.01062.x</v>
      </c>
      <c r="BG226" t="s">
        <v>74</v>
      </c>
      <c r="BH226" t="s">
        <v>74</v>
      </c>
      <c r="BI226" t="s">
        <v>74</v>
      </c>
      <c r="BJ226" t="s">
        <v>74</v>
      </c>
      <c r="BK226" t="s">
        <v>74</v>
      </c>
      <c r="BL226" t="s">
        <v>74</v>
      </c>
      <c r="BM226" t="s">
        <v>74</v>
      </c>
      <c r="BN226" t="s">
        <v>74</v>
      </c>
      <c r="BO226" t="s">
        <v>74</v>
      </c>
      <c r="BP226" t="s">
        <v>74</v>
      </c>
      <c r="BQ226" t="s">
        <v>74</v>
      </c>
      <c r="BR226" t="s">
        <v>74</v>
      </c>
      <c r="BS226" t="s">
        <v>2574</v>
      </c>
      <c r="BT226" t="str">
        <f>HYPERLINK("https%3A%2F%2Fwww.webofscience.com%2Fwos%2Fwoscc%2Ffull-record%2FWOS:000227192500004","View Full Record in Web of Science")</f>
        <v>View Full Record in Web of Science</v>
      </c>
    </row>
    <row r="227" spans="1:72" x14ac:dyDescent="0.4">
      <c r="A227" t="s">
        <v>72</v>
      </c>
      <c r="B227" t="s">
        <v>7556</v>
      </c>
      <c r="C227" t="s">
        <v>74</v>
      </c>
      <c r="D227" t="s">
        <v>74</v>
      </c>
      <c r="E227" t="s">
        <v>74</v>
      </c>
      <c r="F227" t="s">
        <v>7557</v>
      </c>
      <c r="G227" t="s">
        <v>74</v>
      </c>
      <c r="H227" t="s">
        <v>74</v>
      </c>
      <c r="I227" t="s">
        <v>7558</v>
      </c>
      <c r="J227" t="s">
        <v>7559</v>
      </c>
      <c r="K227" t="s">
        <v>74</v>
      </c>
      <c r="L227" t="s">
        <v>74</v>
      </c>
      <c r="M227" t="s">
        <v>74</v>
      </c>
      <c r="N227" t="s">
        <v>74</v>
      </c>
      <c r="O227" t="s">
        <v>74</v>
      </c>
      <c r="P227" t="s">
        <v>74</v>
      </c>
      <c r="Q227" t="s">
        <v>74</v>
      </c>
      <c r="R227" t="s">
        <v>74</v>
      </c>
      <c r="S227" t="s">
        <v>74</v>
      </c>
      <c r="T227" t="s">
        <v>74</v>
      </c>
      <c r="U227" t="s">
        <v>74</v>
      </c>
      <c r="V227" s="3" t="s">
        <v>7560</v>
      </c>
      <c r="W227" t="s">
        <v>74</v>
      </c>
      <c r="X227" t="s">
        <v>74</v>
      </c>
      <c r="Y227" t="s">
        <v>74</v>
      </c>
      <c r="Z227" t="s">
        <v>74</v>
      </c>
      <c r="AA227" t="s">
        <v>7561</v>
      </c>
      <c r="AB227" t="s">
        <v>7562</v>
      </c>
      <c r="AC227" t="s">
        <v>74</v>
      </c>
      <c r="AD227" t="s">
        <v>74</v>
      </c>
      <c r="AE227" t="s">
        <v>74</v>
      </c>
      <c r="AF227" t="s">
        <v>74</v>
      </c>
      <c r="AG227" t="s">
        <v>74</v>
      </c>
      <c r="AH227" t="s">
        <v>74</v>
      </c>
      <c r="AI227" t="s">
        <v>74</v>
      </c>
      <c r="AJ227" t="s">
        <v>74</v>
      </c>
      <c r="AK227" t="s">
        <v>74</v>
      </c>
      <c r="AL227" t="s">
        <v>74</v>
      </c>
      <c r="AM227" t="s">
        <v>74</v>
      </c>
      <c r="AN227" t="s">
        <v>74</v>
      </c>
      <c r="AO227" t="s">
        <v>74</v>
      </c>
      <c r="AP227" t="s">
        <v>7563</v>
      </c>
      <c r="AQ227" t="s">
        <v>74</v>
      </c>
      <c r="AR227" t="s">
        <v>74</v>
      </c>
      <c r="AS227" t="s">
        <v>74</v>
      </c>
      <c r="AT227" t="s">
        <v>134</v>
      </c>
      <c r="AU227">
        <v>2024</v>
      </c>
      <c r="AV227">
        <v>14</v>
      </c>
      <c r="AW227">
        <v>5</v>
      </c>
      <c r="AX227" t="s">
        <v>74</v>
      </c>
      <c r="AY227" t="s">
        <v>74</v>
      </c>
      <c r="AZ227" t="s">
        <v>74</v>
      </c>
      <c r="BA227" t="s">
        <v>74</v>
      </c>
      <c r="BB227" t="s">
        <v>74</v>
      </c>
      <c r="BC227" t="s">
        <v>74</v>
      </c>
      <c r="BD227">
        <v>574</v>
      </c>
      <c r="BE227" t="s">
        <v>7564</v>
      </c>
      <c r="BF227" t="str">
        <f>HYPERLINK("http://dx.doi.org/10.3390/life14050574","http://dx.doi.org/10.3390/life14050574")</f>
        <v>http://dx.doi.org/10.3390/life14050574</v>
      </c>
      <c r="BG227" t="s">
        <v>74</v>
      </c>
      <c r="BH227" t="s">
        <v>74</v>
      </c>
      <c r="BI227" t="s">
        <v>74</v>
      </c>
      <c r="BJ227" t="s">
        <v>74</v>
      </c>
      <c r="BK227" t="s">
        <v>74</v>
      </c>
      <c r="BL227" t="s">
        <v>74</v>
      </c>
      <c r="BM227" t="s">
        <v>74</v>
      </c>
      <c r="BN227">
        <v>38792595</v>
      </c>
      <c r="BO227" t="s">
        <v>74</v>
      </c>
      <c r="BP227" t="s">
        <v>74</v>
      </c>
      <c r="BQ227" t="s">
        <v>74</v>
      </c>
      <c r="BR227" t="s">
        <v>74</v>
      </c>
      <c r="BS227" t="s">
        <v>7565</v>
      </c>
      <c r="BT227" t="str">
        <f>HYPERLINK("https%3A%2F%2Fwww.webofscience.com%2Fwos%2Fwoscc%2Ffull-record%2FWOS:001232301700001","View Full Record in Web of Science")</f>
        <v>View Full Record in Web of Science</v>
      </c>
    </row>
    <row r="228" spans="1:72" x14ac:dyDescent="0.4">
      <c r="A228" t="s">
        <v>72</v>
      </c>
      <c r="B228" t="s">
        <v>8075</v>
      </c>
      <c r="C228" t="s">
        <v>74</v>
      </c>
      <c r="D228" t="s">
        <v>74</v>
      </c>
      <c r="E228" t="s">
        <v>74</v>
      </c>
      <c r="F228" t="s">
        <v>8075</v>
      </c>
      <c r="G228" t="s">
        <v>74</v>
      </c>
      <c r="H228" t="s">
        <v>74</v>
      </c>
      <c r="I228" t="s">
        <v>8076</v>
      </c>
      <c r="J228" t="s">
        <v>8077</v>
      </c>
      <c r="K228" t="s">
        <v>74</v>
      </c>
      <c r="L228" t="s">
        <v>74</v>
      </c>
      <c r="M228" t="s">
        <v>74</v>
      </c>
      <c r="N228" t="s">
        <v>74</v>
      </c>
      <c r="O228" t="s">
        <v>74</v>
      </c>
      <c r="P228" t="s">
        <v>74</v>
      </c>
      <c r="Q228" t="s">
        <v>74</v>
      </c>
      <c r="R228" t="s">
        <v>74</v>
      </c>
      <c r="S228" t="s">
        <v>74</v>
      </c>
      <c r="T228" t="s">
        <v>74</v>
      </c>
      <c r="U228" t="s">
        <v>74</v>
      </c>
      <c r="V228" s="3" t="s">
        <v>8078</v>
      </c>
      <c r="W228" t="s">
        <v>74</v>
      </c>
      <c r="X228" t="s">
        <v>74</v>
      </c>
      <c r="Y228" t="s">
        <v>74</v>
      </c>
      <c r="Z228" t="s">
        <v>74</v>
      </c>
      <c r="AA228" t="s">
        <v>74</v>
      </c>
      <c r="AB228" t="s">
        <v>8079</v>
      </c>
      <c r="AC228" t="s">
        <v>74</v>
      </c>
      <c r="AD228" t="s">
        <v>74</v>
      </c>
      <c r="AE228" t="s">
        <v>74</v>
      </c>
      <c r="AF228" t="s">
        <v>74</v>
      </c>
      <c r="AG228" t="s">
        <v>74</v>
      </c>
      <c r="AH228" t="s">
        <v>74</v>
      </c>
      <c r="AI228" t="s">
        <v>74</v>
      </c>
      <c r="AJ228" t="s">
        <v>74</v>
      </c>
      <c r="AK228" t="s">
        <v>74</v>
      </c>
      <c r="AL228" t="s">
        <v>74</v>
      </c>
      <c r="AM228" t="s">
        <v>74</v>
      </c>
      <c r="AN228" t="s">
        <v>74</v>
      </c>
      <c r="AO228" t="s">
        <v>4147</v>
      </c>
      <c r="AP228" t="s">
        <v>74</v>
      </c>
      <c r="AQ228" t="s">
        <v>74</v>
      </c>
      <c r="AR228" t="s">
        <v>74</v>
      </c>
      <c r="AS228" t="s">
        <v>74</v>
      </c>
      <c r="AT228" t="s">
        <v>255</v>
      </c>
      <c r="AU228">
        <v>2000</v>
      </c>
      <c r="AV228">
        <v>186</v>
      </c>
      <c r="AW228">
        <v>1</v>
      </c>
      <c r="AX228" t="s">
        <v>74</v>
      </c>
      <c r="AY228" t="s">
        <v>74</v>
      </c>
      <c r="AZ228" t="s">
        <v>74</v>
      </c>
      <c r="BA228" t="s">
        <v>74</v>
      </c>
      <c r="BB228">
        <v>1</v>
      </c>
      <c r="BC228">
        <v>12</v>
      </c>
      <c r="BD228" t="s">
        <v>74</v>
      </c>
      <c r="BE228" t="s">
        <v>8080</v>
      </c>
      <c r="BF228" t="str">
        <f>HYPERLINK("http://dx.doi.org/10.1007/s003590050001","http://dx.doi.org/10.1007/s003590050001")</f>
        <v>http://dx.doi.org/10.1007/s003590050001</v>
      </c>
      <c r="BG228" t="s">
        <v>74</v>
      </c>
      <c r="BH228" t="s">
        <v>74</v>
      </c>
      <c r="BI228" t="s">
        <v>74</v>
      </c>
      <c r="BJ228" t="s">
        <v>74</v>
      </c>
      <c r="BK228" t="s">
        <v>74</v>
      </c>
      <c r="BL228" t="s">
        <v>74</v>
      </c>
      <c r="BM228" t="s">
        <v>74</v>
      </c>
      <c r="BN228">
        <v>10659037</v>
      </c>
      <c r="BO228" t="s">
        <v>74</v>
      </c>
      <c r="BP228" t="s">
        <v>74</v>
      </c>
      <c r="BQ228" t="s">
        <v>74</v>
      </c>
      <c r="BR228" t="s">
        <v>74</v>
      </c>
      <c r="BS228" t="s">
        <v>8081</v>
      </c>
      <c r="BT228" t="str">
        <f>HYPERLINK("https%3A%2F%2Fwww.webofscience.com%2Fwos%2Fwoscc%2Ffull-record%2FWOS:000084937600001","View Full Record in Web of Science")</f>
        <v>View Full Record in Web of Science</v>
      </c>
    </row>
    <row r="229" spans="1:72" x14ac:dyDescent="0.4">
      <c r="A229" t="s">
        <v>72</v>
      </c>
      <c r="B229" t="s">
        <v>984</v>
      </c>
      <c r="C229" t="s">
        <v>74</v>
      </c>
      <c r="D229" t="s">
        <v>74</v>
      </c>
      <c r="E229" t="s">
        <v>74</v>
      </c>
      <c r="F229" t="s">
        <v>985</v>
      </c>
      <c r="G229" t="s">
        <v>74</v>
      </c>
      <c r="H229" t="s">
        <v>74</v>
      </c>
      <c r="I229" t="s">
        <v>986</v>
      </c>
      <c r="J229" t="s">
        <v>862</v>
      </c>
      <c r="K229" t="s">
        <v>74</v>
      </c>
      <c r="L229" t="s">
        <v>74</v>
      </c>
      <c r="M229" t="s">
        <v>74</v>
      </c>
      <c r="N229" t="s">
        <v>74</v>
      </c>
      <c r="O229" t="s">
        <v>74</v>
      </c>
      <c r="P229" t="s">
        <v>74</v>
      </c>
      <c r="Q229" t="s">
        <v>74</v>
      </c>
      <c r="R229" t="s">
        <v>74</v>
      </c>
      <c r="S229" t="s">
        <v>74</v>
      </c>
      <c r="T229" t="s">
        <v>74</v>
      </c>
      <c r="U229" t="s">
        <v>74</v>
      </c>
      <c r="V229" s="3" t="s">
        <v>987</v>
      </c>
      <c r="W229" t="s">
        <v>74</v>
      </c>
      <c r="X229" t="s">
        <v>74</v>
      </c>
      <c r="Y229" t="s">
        <v>74</v>
      </c>
      <c r="Z229" t="s">
        <v>74</v>
      </c>
      <c r="AA229" t="s">
        <v>74</v>
      </c>
      <c r="AB229" t="s">
        <v>988</v>
      </c>
      <c r="AC229" t="s">
        <v>74</v>
      </c>
      <c r="AD229" t="s">
        <v>74</v>
      </c>
      <c r="AE229" t="s">
        <v>74</v>
      </c>
      <c r="AF229" t="s">
        <v>74</v>
      </c>
      <c r="AG229" t="s">
        <v>74</v>
      </c>
      <c r="AH229" t="s">
        <v>74</v>
      </c>
      <c r="AI229" t="s">
        <v>74</v>
      </c>
      <c r="AJ229" t="s">
        <v>74</v>
      </c>
      <c r="AK229" t="s">
        <v>74</v>
      </c>
      <c r="AL229" t="s">
        <v>74</v>
      </c>
      <c r="AM229" t="s">
        <v>74</v>
      </c>
      <c r="AN229" t="s">
        <v>74</v>
      </c>
      <c r="AO229" t="s">
        <v>865</v>
      </c>
      <c r="AP229" t="s">
        <v>866</v>
      </c>
      <c r="AQ229" t="s">
        <v>74</v>
      </c>
      <c r="AR229" t="s">
        <v>74</v>
      </c>
      <c r="AS229" t="s">
        <v>74</v>
      </c>
      <c r="AT229" t="s">
        <v>175</v>
      </c>
      <c r="AU229">
        <v>2021</v>
      </c>
      <c r="AV229">
        <v>24</v>
      </c>
      <c r="AW229">
        <v>3</v>
      </c>
      <c r="AX229" t="s">
        <v>74</v>
      </c>
      <c r="AY229" t="s">
        <v>74</v>
      </c>
      <c r="AZ229" t="s">
        <v>74</v>
      </c>
      <c r="BA229" t="s">
        <v>74</v>
      </c>
      <c r="BB229">
        <v>143</v>
      </c>
      <c r="BC229">
        <v>147</v>
      </c>
      <c r="BD229" t="s">
        <v>74</v>
      </c>
      <c r="BE229" t="s">
        <v>989</v>
      </c>
      <c r="BF229" t="str">
        <f>HYPERLINK("http://dx.doi.org/10.1007/s10211-021-00372-z","http://dx.doi.org/10.1007/s10211-021-00372-z")</f>
        <v>http://dx.doi.org/10.1007/s10211-021-00372-z</v>
      </c>
      <c r="BG229" t="s">
        <v>74</v>
      </c>
      <c r="BH229" t="s">
        <v>224</v>
      </c>
      <c r="BI229" t="s">
        <v>74</v>
      </c>
      <c r="BJ229" t="s">
        <v>74</v>
      </c>
      <c r="BK229" t="s">
        <v>74</v>
      </c>
      <c r="BL229" t="s">
        <v>74</v>
      </c>
      <c r="BM229" t="s">
        <v>74</v>
      </c>
      <c r="BN229" t="s">
        <v>74</v>
      </c>
      <c r="BO229" t="s">
        <v>74</v>
      </c>
      <c r="BP229" t="s">
        <v>74</v>
      </c>
      <c r="BQ229" t="s">
        <v>74</v>
      </c>
      <c r="BR229" t="s">
        <v>74</v>
      </c>
      <c r="BS229" t="s">
        <v>990</v>
      </c>
      <c r="BT229" t="str">
        <f>HYPERLINK("https%3A%2F%2Fwww.webofscience.com%2Fwos%2Fwoscc%2Ffull-record%2FWOS:000660333200001","View Full Record in Web of Science")</f>
        <v>View Full Record in Web of Science</v>
      </c>
    </row>
    <row r="230" spans="1:72" x14ac:dyDescent="0.4">
      <c r="A230" t="s">
        <v>72</v>
      </c>
      <c r="B230" t="s">
        <v>2575</v>
      </c>
      <c r="C230" t="s">
        <v>74</v>
      </c>
      <c r="D230" t="s">
        <v>74</v>
      </c>
      <c r="E230" t="s">
        <v>74</v>
      </c>
      <c r="F230" t="s">
        <v>2576</v>
      </c>
      <c r="G230" t="s">
        <v>74</v>
      </c>
      <c r="H230" t="s">
        <v>74</v>
      </c>
      <c r="I230" t="s">
        <v>2577</v>
      </c>
      <c r="J230" t="s">
        <v>2578</v>
      </c>
      <c r="K230" t="s">
        <v>74</v>
      </c>
      <c r="L230" t="s">
        <v>74</v>
      </c>
      <c r="M230" t="s">
        <v>74</v>
      </c>
      <c r="N230" t="s">
        <v>74</v>
      </c>
      <c r="O230" t="s">
        <v>74</v>
      </c>
      <c r="P230" t="s">
        <v>74</v>
      </c>
      <c r="Q230" t="s">
        <v>74</v>
      </c>
      <c r="R230" t="s">
        <v>74</v>
      </c>
      <c r="S230" t="s">
        <v>74</v>
      </c>
      <c r="T230" t="s">
        <v>74</v>
      </c>
      <c r="U230" t="s">
        <v>74</v>
      </c>
      <c r="V230" s="3" t="s">
        <v>2579</v>
      </c>
      <c r="W230" t="s">
        <v>74</v>
      </c>
      <c r="X230" t="s">
        <v>74</v>
      </c>
      <c r="Y230" t="s">
        <v>74</v>
      </c>
      <c r="Z230" t="s">
        <v>74</v>
      </c>
      <c r="AA230" t="s">
        <v>2580</v>
      </c>
      <c r="AB230" t="s">
        <v>2581</v>
      </c>
      <c r="AC230" t="s">
        <v>74</v>
      </c>
      <c r="AD230" t="s">
        <v>74</v>
      </c>
      <c r="AE230" t="s">
        <v>74</v>
      </c>
      <c r="AF230" t="s">
        <v>74</v>
      </c>
      <c r="AG230" t="s">
        <v>74</v>
      </c>
      <c r="AH230" t="s">
        <v>74</v>
      </c>
      <c r="AI230" t="s">
        <v>74</v>
      </c>
      <c r="AJ230" t="s">
        <v>74</v>
      </c>
      <c r="AK230" t="s">
        <v>74</v>
      </c>
      <c r="AL230" t="s">
        <v>74</v>
      </c>
      <c r="AM230" t="s">
        <v>74</v>
      </c>
      <c r="AN230" t="s">
        <v>74</v>
      </c>
      <c r="AO230" t="s">
        <v>2582</v>
      </c>
      <c r="AP230" t="s">
        <v>2583</v>
      </c>
      <c r="AQ230" t="s">
        <v>74</v>
      </c>
      <c r="AR230" t="s">
        <v>74</v>
      </c>
      <c r="AS230" t="s">
        <v>74</v>
      </c>
      <c r="AT230" t="s">
        <v>123</v>
      </c>
      <c r="AU230">
        <v>2020</v>
      </c>
      <c r="AV230">
        <v>48</v>
      </c>
      <c r="AW230">
        <v>1</v>
      </c>
      <c r="AX230" t="s">
        <v>74</v>
      </c>
      <c r="AY230" t="s">
        <v>74</v>
      </c>
      <c r="AZ230" t="s">
        <v>74</v>
      </c>
      <c r="BA230" t="s">
        <v>74</v>
      </c>
      <c r="BB230">
        <v>104</v>
      </c>
      <c r="BC230">
        <v>112</v>
      </c>
      <c r="BD230" t="s">
        <v>74</v>
      </c>
      <c r="BE230" t="s">
        <v>2584</v>
      </c>
      <c r="BF230" t="str">
        <f>HYPERLINK("http://dx.doi.org/10.3758/s13420-020-00411-y","http://dx.doi.org/10.3758/s13420-020-00411-y")</f>
        <v>http://dx.doi.org/10.3758/s13420-020-00411-y</v>
      </c>
      <c r="BG230" t="s">
        <v>74</v>
      </c>
      <c r="BH230" t="s">
        <v>74</v>
      </c>
      <c r="BI230" t="s">
        <v>74</v>
      </c>
      <c r="BJ230" t="s">
        <v>74</v>
      </c>
      <c r="BK230" t="s">
        <v>74</v>
      </c>
      <c r="BL230" t="s">
        <v>74</v>
      </c>
      <c r="BM230" t="s">
        <v>74</v>
      </c>
      <c r="BN230">
        <v>31975326</v>
      </c>
      <c r="BO230" t="s">
        <v>74</v>
      </c>
      <c r="BP230" t="s">
        <v>74</v>
      </c>
      <c r="BQ230" t="s">
        <v>74</v>
      </c>
      <c r="BR230" t="s">
        <v>74</v>
      </c>
      <c r="BS230" t="s">
        <v>2585</v>
      </c>
      <c r="BT230" t="str">
        <f>HYPERLINK("https%3A%2F%2Fwww.webofscience.com%2Fwos%2Fwoscc%2Ffull-record%2FWOS:000520711400013","View Full Record in Web of Science")</f>
        <v>View Full Record in Web of Science</v>
      </c>
    </row>
    <row r="231" spans="1:72" x14ac:dyDescent="0.4">
      <c r="A231" t="s">
        <v>72</v>
      </c>
      <c r="B231" t="s">
        <v>3983</v>
      </c>
      <c r="C231" t="s">
        <v>74</v>
      </c>
      <c r="D231" t="s">
        <v>74</v>
      </c>
      <c r="E231" t="s">
        <v>74</v>
      </c>
      <c r="F231" t="s">
        <v>3984</v>
      </c>
      <c r="G231" t="s">
        <v>74</v>
      </c>
      <c r="H231" t="s">
        <v>74</v>
      </c>
      <c r="I231" t="s">
        <v>3985</v>
      </c>
      <c r="J231" t="s">
        <v>333</v>
      </c>
      <c r="K231" t="s">
        <v>74</v>
      </c>
      <c r="L231" t="s">
        <v>74</v>
      </c>
      <c r="M231" t="s">
        <v>74</v>
      </c>
      <c r="N231" t="s">
        <v>74</v>
      </c>
      <c r="O231" t="s">
        <v>74</v>
      </c>
      <c r="P231" t="s">
        <v>74</v>
      </c>
      <c r="Q231" t="s">
        <v>74</v>
      </c>
      <c r="R231" t="s">
        <v>74</v>
      </c>
      <c r="S231" t="s">
        <v>74</v>
      </c>
      <c r="T231" t="s">
        <v>74</v>
      </c>
      <c r="U231" t="s">
        <v>74</v>
      </c>
      <c r="V231" s="3" t="s">
        <v>3986</v>
      </c>
      <c r="W231" t="s">
        <v>74</v>
      </c>
      <c r="X231" t="s">
        <v>74</v>
      </c>
      <c r="Y231" t="s">
        <v>74</v>
      </c>
      <c r="Z231" t="s">
        <v>74</v>
      </c>
      <c r="AA231" t="s">
        <v>74</v>
      </c>
      <c r="AB231" t="s">
        <v>74</v>
      </c>
      <c r="AC231" t="s">
        <v>74</v>
      </c>
      <c r="AD231" t="s">
        <v>74</v>
      </c>
      <c r="AE231" t="s">
        <v>74</v>
      </c>
      <c r="AF231" t="s">
        <v>74</v>
      </c>
      <c r="AG231" t="s">
        <v>74</v>
      </c>
      <c r="AH231" t="s">
        <v>74</v>
      </c>
      <c r="AI231" t="s">
        <v>74</v>
      </c>
      <c r="AJ231" t="s">
        <v>74</v>
      </c>
      <c r="AK231" t="s">
        <v>74</v>
      </c>
      <c r="AL231" t="s">
        <v>74</v>
      </c>
      <c r="AM231" t="s">
        <v>74</v>
      </c>
      <c r="AN231" t="s">
        <v>74</v>
      </c>
      <c r="AO231" t="s">
        <v>337</v>
      </c>
      <c r="AP231" t="s">
        <v>338</v>
      </c>
      <c r="AQ231" t="s">
        <v>74</v>
      </c>
      <c r="AR231" t="s">
        <v>74</v>
      </c>
      <c r="AS231" t="s">
        <v>74</v>
      </c>
      <c r="AT231" t="s">
        <v>1038</v>
      </c>
      <c r="AU231">
        <v>2015</v>
      </c>
      <c r="AV231">
        <v>26</v>
      </c>
      <c r="AW231">
        <v>2</v>
      </c>
      <c r="AX231" t="s">
        <v>74</v>
      </c>
      <c r="AY231" t="s">
        <v>74</v>
      </c>
      <c r="AZ231" t="s">
        <v>74</v>
      </c>
      <c r="BA231" t="s">
        <v>74</v>
      </c>
      <c r="BB231">
        <v>560</v>
      </c>
      <c r="BC231">
        <v>568</v>
      </c>
      <c r="BD231" t="s">
        <v>74</v>
      </c>
      <c r="BE231" t="s">
        <v>3987</v>
      </c>
      <c r="BF231" t="str">
        <f>HYPERLINK("http://dx.doi.org/10.1093/beheco/aru231","http://dx.doi.org/10.1093/beheco/aru231")</f>
        <v>http://dx.doi.org/10.1093/beheco/aru231</v>
      </c>
      <c r="BG231" t="s">
        <v>74</v>
      </c>
      <c r="BH231" t="s">
        <v>74</v>
      </c>
      <c r="BI231" t="s">
        <v>74</v>
      </c>
      <c r="BJ231" t="s">
        <v>74</v>
      </c>
      <c r="BK231" t="s">
        <v>74</v>
      </c>
      <c r="BL231" t="s">
        <v>74</v>
      </c>
      <c r="BM231" t="s">
        <v>74</v>
      </c>
      <c r="BN231" t="s">
        <v>74</v>
      </c>
      <c r="BO231" t="s">
        <v>74</v>
      </c>
      <c r="BP231" t="s">
        <v>74</v>
      </c>
      <c r="BQ231" t="s">
        <v>74</v>
      </c>
      <c r="BR231" t="s">
        <v>74</v>
      </c>
      <c r="BS231" t="s">
        <v>3988</v>
      </c>
      <c r="BT231" t="str">
        <f>HYPERLINK("https%3A%2F%2Fwww.webofscience.com%2Fwos%2Fwoscc%2Ffull-record%2FWOS:000352271800037","View Full Record in Web of Science")</f>
        <v>View Full Record in Web of Science</v>
      </c>
    </row>
    <row r="232" spans="1:72" x14ac:dyDescent="0.4">
      <c r="A232" t="s">
        <v>72</v>
      </c>
      <c r="B232" t="s">
        <v>7079</v>
      </c>
      <c r="C232" t="s">
        <v>74</v>
      </c>
      <c r="D232" t="s">
        <v>74</v>
      </c>
      <c r="E232" t="s">
        <v>74</v>
      </c>
      <c r="F232" t="s">
        <v>7080</v>
      </c>
      <c r="G232" t="s">
        <v>74</v>
      </c>
      <c r="H232" t="s">
        <v>74</v>
      </c>
      <c r="I232" t="s">
        <v>7081</v>
      </c>
      <c r="J232" t="s">
        <v>171</v>
      </c>
      <c r="K232" t="s">
        <v>74</v>
      </c>
      <c r="L232" t="s">
        <v>74</v>
      </c>
      <c r="M232" t="s">
        <v>74</v>
      </c>
      <c r="N232" t="s">
        <v>74</v>
      </c>
      <c r="O232" t="s">
        <v>74</v>
      </c>
      <c r="P232" t="s">
        <v>74</v>
      </c>
      <c r="Q232" t="s">
        <v>74</v>
      </c>
      <c r="R232" t="s">
        <v>74</v>
      </c>
      <c r="S232" t="s">
        <v>74</v>
      </c>
      <c r="T232" t="s">
        <v>74</v>
      </c>
      <c r="U232" t="s">
        <v>74</v>
      </c>
      <c r="V232" s="3" t="s">
        <v>7082</v>
      </c>
      <c r="W232" t="s">
        <v>74</v>
      </c>
      <c r="X232" t="s">
        <v>74</v>
      </c>
      <c r="Y232" t="s">
        <v>74</v>
      </c>
      <c r="Z232" t="s">
        <v>74</v>
      </c>
      <c r="AA232" t="s">
        <v>74</v>
      </c>
      <c r="AB232" t="s">
        <v>74</v>
      </c>
      <c r="AC232" t="s">
        <v>74</v>
      </c>
      <c r="AD232" t="s">
        <v>74</v>
      </c>
      <c r="AE232" t="s">
        <v>74</v>
      </c>
      <c r="AF232" t="s">
        <v>74</v>
      </c>
      <c r="AG232" t="s">
        <v>74</v>
      </c>
      <c r="AH232" t="s">
        <v>74</v>
      </c>
      <c r="AI232" t="s">
        <v>74</v>
      </c>
      <c r="AJ232" t="s">
        <v>74</v>
      </c>
      <c r="AK232" t="s">
        <v>74</v>
      </c>
      <c r="AL232" t="s">
        <v>74</v>
      </c>
      <c r="AM232" t="s">
        <v>74</v>
      </c>
      <c r="AN232" t="s">
        <v>74</v>
      </c>
      <c r="AO232" t="s">
        <v>173</v>
      </c>
      <c r="AP232" t="s">
        <v>174</v>
      </c>
      <c r="AQ232" t="s">
        <v>74</v>
      </c>
      <c r="AR232" t="s">
        <v>74</v>
      </c>
      <c r="AS232" t="s">
        <v>74</v>
      </c>
      <c r="AT232" t="s">
        <v>964</v>
      </c>
      <c r="AU232">
        <v>2011</v>
      </c>
      <c r="AV232">
        <v>65</v>
      </c>
      <c r="AW232">
        <v>2</v>
      </c>
      <c r="AX232" t="s">
        <v>74</v>
      </c>
      <c r="AY232" t="s">
        <v>74</v>
      </c>
      <c r="AZ232" t="s">
        <v>74</v>
      </c>
      <c r="BA232" t="s">
        <v>74</v>
      </c>
      <c r="BB232">
        <v>599</v>
      </c>
      <c r="BC232">
        <v>605</v>
      </c>
      <c r="BD232" t="s">
        <v>74</v>
      </c>
      <c r="BE232" t="s">
        <v>7083</v>
      </c>
      <c r="BF232" t="str">
        <f>HYPERLINK("http://dx.doi.org/10.1111/j.1558-5646.2010.01154.x","http://dx.doi.org/10.1111/j.1558-5646.2010.01154.x")</f>
        <v>http://dx.doi.org/10.1111/j.1558-5646.2010.01154.x</v>
      </c>
      <c r="BG232" t="s">
        <v>74</v>
      </c>
      <c r="BH232" t="s">
        <v>74</v>
      </c>
      <c r="BI232" t="s">
        <v>74</v>
      </c>
      <c r="BJ232" t="s">
        <v>74</v>
      </c>
      <c r="BK232" t="s">
        <v>74</v>
      </c>
      <c r="BL232" t="s">
        <v>74</v>
      </c>
      <c r="BM232" t="s">
        <v>74</v>
      </c>
      <c r="BN232">
        <v>21271999</v>
      </c>
      <c r="BO232" t="s">
        <v>74</v>
      </c>
      <c r="BP232" t="s">
        <v>74</v>
      </c>
      <c r="BQ232" t="s">
        <v>74</v>
      </c>
      <c r="BR232" t="s">
        <v>74</v>
      </c>
      <c r="BS232" t="s">
        <v>7084</v>
      </c>
      <c r="BT232" t="str">
        <f>HYPERLINK("https%3A%2F%2Fwww.webofscience.com%2Fwos%2Fwoscc%2Ffull-record%2FWOS:000286629100024","View Full Record in Web of Science")</f>
        <v>View Full Record in Web of Science</v>
      </c>
    </row>
    <row r="233" spans="1:72" x14ac:dyDescent="0.4">
      <c r="A233" t="s">
        <v>72</v>
      </c>
      <c r="B233" t="s">
        <v>5537</v>
      </c>
      <c r="C233" t="s">
        <v>74</v>
      </c>
      <c r="D233" t="s">
        <v>74</v>
      </c>
      <c r="E233" t="s">
        <v>74</v>
      </c>
      <c r="F233" t="s">
        <v>5538</v>
      </c>
      <c r="G233" t="s">
        <v>74</v>
      </c>
      <c r="H233" t="s">
        <v>74</v>
      </c>
      <c r="I233" t="s">
        <v>5539</v>
      </c>
      <c r="J233" t="s">
        <v>2662</v>
      </c>
      <c r="K233" t="s">
        <v>74</v>
      </c>
      <c r="L233" t="s">
        <v>74</v>
      </c>
      <c r="M233" t="s">
        <v>74</v>
      </c>
      <c r="N233" t="s">
        <v>74</v>
      </c>
      <c r="O233" t="s">
        <v>74</v>
      </c>
      <c r="P233" t="s">
        <v>74</v>
      </c>
      <c r="Q233" t="s">
        <v>74</v>
      </c>
      <c r="R233" t="s">
        <v>74</v>
      </c>
      <c r="S233" t="s">
        <v>74</v>
      </c>
      <c r="T233" t="s">
        <v>74</v>
      </c>
      <c r="U233" t="s">
        <v>74</v>
      </c>
      <c r="V233" s="3" t="s">
        <v>5540</v>
      </c>
      <c r="W233" t="s">
        <v>74</v>
      </c>
      <c r="X233" t="s">
        <v>74</v>
      </c>
      <c r="Y233" t="s">
        <v>74</v>
      </c>
      <c r="Z233" t="s">
        <v>74</v>
      </c>
      <c r="AA233" t="s">
        <v>5541</v>
      </c>
      <c r="AB233" t="s">
        <v>74</v>
      </c>
      <c r="AC233" t="s">
        <v>74</v>
      </c>
      <c r="AD233" t="s">
        <v>74</v>
      </c>
      <c r="AE233" t="s">
        <v>74</v>
      </c>
      <c r="AF233" t="s">
        <v>74</v>
      </c>
      <c r="AG233" t="s">
        <v>74</v>
      </c>
      <c r="AH233" t="s">
        <v>74</v>
      </c>
      <c r="AI233" t="s">
        <v>74</v>
      </c>
      <c r="AJ233" t="s">
        <v>74</v>
      </c>
      <c r="AK233" t="s">
        <v>74</v>
      </c>
      <c r="AL233" t="s">
        <v>74</v>
      </c>
      <c r="AM233" t="s">
        <v>74</v>
      </c>
      <c r="AN233" t="s">
        <v>74</v>
      </c>
      <c r="AO233" t="s">
        <v>2664</v>
      </c>
      <c r="AP233" t="s">
        <v>2665</v>
      </c>
      <c r="AQ233" t="s">
        <v>74</v>
      </c>
      <c r="AR233" t="s">
        <v>74</v>
      </c>
      <c r="AS233" t="s">
        <v>74</v>
      </c>
      <c r="AT233" t="s">
        <v>352</v>
      </c>
      <c r="AU233">
        <v>2018</v>
      </c>
      <c r="AV233">
        <v>52</v>
      </c>
      <c r="AW233">
        <v>3</v>
      </c>
      <c r="AX233" t="s">
        <v>74</v>
      </c>
      <c r="AY233" t="s">
        <v>74</v>
      </c>
      <c r="AZ233" t="s">
        <v>74</v>
      </c>
      <c r="BA233" t="s">
        <v>74</v>
      </c>
      <c r="BB233">
        <v>370</v>
      </c>
      <c r="BC233">
        <v>378</v>
      </c>
      <c r="BD233" t="s">
        <v>74</v>
      </c>
      <c r="BE233" t="s">
        <v>5542</v>
      </c>
      <c r="BF233" t="str">
        <f>HYPERLINK("http://dx.doi.org/10.3356/JRR-17-66.1","http://dx.doi.org/10.3356/JRR-17-66.1")</f>
        <v>http://dx.doi.org/10.3356/JRR-17-66.1</v>
      </c>
      <c r="BG233" t="s">
        <v>74</v>
      </c>
      <c r="BH233" t="s">
        <v>74</v>
      </c>
      <c r="BI233" t="s">
        <v>74</v>
      </c>
      <c r="BJ233" t="s">
        <v>74</v>
      </c>
      <c r="BK233" t="s">
        <v>74</v>
      </c>
      <c r="BL233" t="s">
        <v>74</v>
      </c>
      <c r="BM233" t="s">
        <v>74</v>
      </c>
      <c r="BN233" t="s">
        <v>74</v>
      </c>
      <c r="BO233" t="s">
        <v>74</v>
      </c>
      <c r="BP233" t="s">
        <v>74</v>
      </c>
      <c r="BQ233" t="s">
        <v>74</v>
      </c>
      <c r="BR233" t="s">
        <v>74</v>
      </c>
      <c r="BS233" t="s">
        <v>5543</v>
      </c>
      <c r="BT233" t="str">
        <f>HYPERLINK("https%3A%2F%2Fwww.webofscience.com%2Fwos%2Fwoscc%2Ffull-record%2FWOS:000441062500010","View Full Record in Web of Science")</f>
        <v>View Full Record in Web of Science</v>
      </c>
    </row>
    <row r="234" spans="1:72" x14ac:dyDescent="0.4">
      <c r="A234" t="s">
        <v>72</v>
      </c>
      <c r="B234" t="s">
        <v>3638</v>
      </c>
      <c r="C234" t="s">
        <v>74</v>
      </c>
      <c r="D234" t="s">
        <v>74</v>
      </c>
      <c r="E234" t="s">
        <v>74</v>
      </c>
      <c r="F234" t="s">
        <v>3639</v>
      </c>
      <c r="G234" t="s">
        <v>74</v>
      </c>
      <c r="H234" t="s">
        <v>74</v>
      </c>
      <c r="I234" t="s">
        <v>3640</v>
      </c>
      <c r="J234" t="s">
        <v>509</v>
      </c>
      <c r="K234" t="s">
        <v>74</v>
      </c>
      <c r="L234" t="s">
        <v>74</v>
      </c>
      <c r="M234" t="s">
        <v>74</v>
      </c>
      <c r="N234" t="s">
        <v>74</v>
      </c>
      <c r="O234" t="s">
        <v>74</v>
      </c>
      <c r="P234" t="s">
        <v>74</v>
      </c>
      <c r="Q234" t="s">
        <v>74</v>
      </c>
      <c r="R234" t="s">
        <v>74</v>
      </c>
      <c r="S234" t="s">
        <v>74</v>
      </c>
      <c r="T234" t="s">
        <v>74</v>
      </c>
      <c r="U234" t="s">
        <v>74</v>
      </c>
      <c r="V234" s="3" t="s">
        <v>3641</v>
      </c>
      <c r="W234" t="s">
        <v>74</v>
      </c>
      <c r="X234" t="s">
        <v>74</v>
      </c>
      <c r="Y234" t="s">
        <v>74</v>
      </c>
      <c r="Z234" t="s">
        <v>74</v>
      </c>
      <c r="AA234" t="s">
        <v>74</v>
      </c>
      <c r="AB234" t="s">
        <v>3642</v>
      </c>
      <c r="AC234" t="s">
        <v>74</v>
      </c>
      <c r="AD234" t="s">
        <v>74</v>
      </c>
      <c r="AE234" t="s">
        <v>74</v>
      </c>
      <c r="AF234" t="s">
        <v>74</v>
      </c>
      <c r="AG234" t="s">
        <v>74</v>
      </c>
      <c r="AH234" t="s">
        <v>74</v>
      </c>
      <c r="AI234" t="s">
        <v>74</v>
      </c>
      <c r="AJ234" t="s">
        <v>74</v>
      </c>
      <c r="AK234" t="s">
        <v>74</v>
      </c>
      <c r="AL234" t="s">
        <v>74</v>
      </c>
      <c r="AM234" t="s">
        <v>74</v>
      </c>
      <c r="AN234" t="s">
        <v>74</v>
      </c>
      <c r="AO234" t="s">
        <v>511</v>
      </c>
      <c r="AP234" t="s">
        <v>512</v>
      </c>
      <c r="AQ234" t="s">
        <v>74</v>
      </c>
      <c r="AR234" t="s">
        <v>74</v>
      </c>
      <c r="AS234" t="s">
        <v>74</v>
      </c>
      <c r="AT234" t="s">
        <v>134</v>
      </c>
      <c r="AU234">
        <v>2007</v>
      </c>
      <c r="AV234">
        <v>51</v>
      </c>
      <c r="AW234">
        <v>5</v>
      </c>
      <c r="AX234" t="s">
        <v>74</v>
      </c>
      <c r="AY234" t="s">
        <v>74</v>
      </c>
      <c r="AZ234" t="s">
        <v>74</v>
      </c>
      <c r="BA234" t="s">
        <v>74</v>
      </c>
      <c r="BB234">
        <v>611</v>
      </c>
      <c r="BC234">
        <v>619</v>
      </c>
      <c r="BD234" t="s">
        <v>74</v>
      </c>
      <c r="BE234" t="s">
        <v>3643</v>
      </c>
      <c r="BF234" t="str">
        <f>HYPERLINK("http://dx.doi.org/10.1016/j.yhbeh.2007.02.010","http://dx.doi.org/10.1016/j.yhbeh.2007.02.010")</f>
        <v>http://dx.doi.org/10.1016/j.yhbeh.2007.02.010</v>
      </c>
      <c r="BG234" t="s">
        <v>74</v>
      </c>
      <c r="BH234" t="s">
        <v>74</v>
      </c>
      <c r="BI234" t="s">
        <v>74</v>
      </c>
      <c r="BJ234" t="s">
        <v>74</v>
      </c>
      <c r="BK234" t="s">
        <v>74</v>
      </c>
      <c r="BL234" t="s">
        <v>74</v>
      </c>
      <c r="BM234" t="s">
        <v>74</v>
      </c>
      <c r="BN234">
        <v>17462644</v>
      </c>
      <c r="BO234" t="s">
        <v>74</v>
      </c>
      <c r="BP234" t="s">
        <v>74</v>
      </c>
      <c r="BQ234" t="s">
        <v>74</v>
      </c>
      <c r="BR234" t="s">
        <v>74</v>
      </c>
      <c r="BS234" t="s">
        <v>3644</v>
      </c>
      <c r="BT234" t="str">
        <f>HYPERLINK("https%3A%2F%2Fwww.webofscience.com%2Fwos%2Fwoscc%2Ffull-record%2FWOS:000247275800006","View Full Record in Web of Science")</f>
        <v>View Full Record in Web of Science</v>
      </c>
    </row>
    <row r="235" spans="1:72" x14ac:dyDescent="0.4">
      <c r="A235" t="s">
        <v>72</v>
      </c>
      <c r="B235" t="s">
        <v>2908</v>
      </c>
      <c r="C235" t="s">
        <v>74</v>
      </c>
      <c r="D235" t="s">
        <v>74</v>
      </c>
      <c r="E235" t="s">
        <v>74</v>
      </c>
      <c r="F235" t="s">
        <v>2909</v>
      </c>
      <c r="G235" t="s">
        <v>74</v>
      </c>
      <c r="H235" t="s">
        <v>74</v>
      </c>
      <c r="I235" t="s">
        <v>2910</v>
      </c>
      <c r="J235" t="s">
        <v>2911</v>
      </c>
      <c r="K235" t="s">
        <v>74</v>
      </c>
      <c r="L235" t="s">
        <v>74</v>
      </c>
      <c r="M235" t="s">
        <v>74</v>
      </c>
      <c r="N235" t="s">
        <v>74</v>
      </c>
      <c r="O235" t="s">
        <v>74</v>
      </c>
      <c r="P235" t="s">
        <v>74</v>
      </c>
      <c r="Q235" t="s">
        <v>74</v>
      </c>
      <c r="R235" t="s">
        <v>74</v>
      </c>
      <c r="S235" t="s">
        <v>74</v>
      </c>
      <c r="T235" t="s">
        <v>74</v>
      </c>
      <c r="U235" t="s">
        <v>74</v>
      </c>
      <c r="V235" s="3" t="s">
        <v>2912</v>
      </c>
      <c r="W235" t="s">
        <v>74</v>
      </c>
      <c r="X235" t="s">
        <v>74</v>
      </c>
      <c r="Y235" t="s">
        <v>74</v>
      </c>
      <c r="Z235" t="s">
        <v>74</v>
      </c>
      <c r="AA235" t="s">
        <v>2913</v>
      </c>
      <c r="AB235" t="s">
        <v>2914</v>
      </c>
      <c r="AC235" t="s">
        <v>74</v>
      </c>
      <c r="AD235" t="s">
        <v>74</v>
      </c>
      <c r="AE235" t="s">
        <v>74</v>
      </c>
      <c r="AF235" t="s">
        <v>74</v>
      </c>
      <c r="AG235" t="s">
        <v>74</v>
      </c>
      <c r="AH235" t="s">
        <v>74</v>
      </c>
      <c r="AI235" t="s">
        <v>74</v>
      </c>
      <c r="AJ235" t="s">
        <v>74</v>
      </c>
      <c r="AK235" t="s">
        <v>74</v>
      </c>
      <c r="AL235" t="s">
        <v>74</v>
      </c>
      <c r="AM235" t="s">
        <v>74</v>
      </c>
      <c r="AN235" t="s">
        <v>74</v>
      </c>
      <c r="AO235" t="s">
        <v>2915</v>
      </c>
      <c r="AP235" t="s">
        <v>2916</v>
      </c>
      <c r="AQ235" t="s">
        <v>74</v>
      </c>
      <c r="AR235" t="s">
        <v>74</v>
      </c>
      <c r="AS235" t="s">
        <v>74</v>
      </c>
      <c r="AT235" t="s">
        <v>769</v>
      </c>
      <c r="AU235">
        <v>2022</v>
      </c>
      <c r="AV235" t="s">
        <v>74</v>
      </c>
      <c r="AW235">
        <v>1084</v>
      </c>
      <c r="AX235" t="s">
        <v>74</v>
      </c>
      <c r="AY235" t="s">
        <v>74</v>
      </c>
      <c r="AZ235" t="s">
        <v>74</v>
      </c>
      <c r="BA235" t="s">
        <v>74</v>
      </c>
      <c r="BB235">
        <v>151</v>
      </c>
      <c r="BC235">
        <v>164</v>
      </c>
      <c r="BD235" t="s">
        <v>74</v>
      </c>
      <c r="BE235" t="s">
        <v>2917</v>
      </c>
      <c r="BF235" t="str">
        <f>HYPERLINK("http://dx.doi.org/10.3897/zookeys.1084.79415","http://dx.doi.org/10.3897/zookeys.1084.79415")</f>
        <v>http://dx.doi.org/10.3897/zookeys.1084.79415</v>
      </c>
      <c r="BG235" t="s">
        <v>74</v>
      </c>
      <c r="BH235" t="s">
        <v>74</v>
      </c>
      <c r="BI235" t="s">
        <v>74</v>
      </c>
      <c r="BJ235" t="s">
        <v>74</v>
      </c>
      <c r="BK235" t="s">
        <v>74</v>
      </c>
      <c r="BL235" t="s">
        <v>74</v>
      </c>
      <c r="BM235" t="s">
        <v>74</v>
      </c>
      <c r="BN235">
        <v>35233167</v>
      </c>
      <c r="BO235" t="s">
        <v>74</v>
      </c>
      <c r="BP235" t="s">
        <v>74</v>
      </c>
      <c r="BQ235" t="s">
        <v>74</v>
      </c>
      <c r="BR235" t="s">
        <v>74</v>
      </c>
      <c r="BS235" t="s">
        <v>2918</v>
      </c>
      <c r="BT235" t="str">
        <f>HYPERLINK("https%3A%2F%2Fwww.webofscience.com%2Fwos%2Fwoscc%2Ffull-record%2FWOS:000750859100001","View Full Record in Web of Science")</f>
        <v>View Full Record in Web of Science</v>
      </c>
    </row>
    <row r="236" spans="1:72" x14ac:dyDescent="0.4">
      <c r="A236" t="s">
        <v>72</v>
      </c>
      <c r="B236" t="s">
        <v>5902</v>
      </c>
      <c r="C236" t="s">
        <v>74</v>
      </c>
      <c r="D236" t="s">
        <v>74</v>
      </c>
      <c r="E236" t="s">
        <v>74</v>
      </c>
      <c r="F236" t="s">
        <v>5903</v>
      </c>
      <c r="G236" t="s">
        <v>74</v>
      </c>
      <c r="H236" t="s">
        <v>74</v>
      </c>
      <c r="I236" t="s">
        <v>5904</v>
      </c>
      <c r="J236" t="s">
        <v>775</v>
      </c>
      <c r="K236" t="s">
        <v>74</v>
      </c>
      <c r="L236" t="s">
        <v>74</v>
      </c>
      <c r="M236" t="s">
        <v>74</v>
      </c>
      <c r="N236" t="s">
        <v>74</v>
      </c>
      <c r="O236" t="s">
        <v>74</v>
      </c>
      <c r="P236" t="s">
        <v>74</v>
      </c>
      <c r="Q236" t="s">
        <v>74</v>
      </c>
      <c r="R236" t="s">
        <v>74</v>
      </c>
      <c r="S236" t="s">
        <v>74</v>
      </c>
      <c r="T236" t="s">
        <v>74</v>
      </c>
      <c r="U236" t="s">
        <v>74</v>
      </c>
      <c r="V236" s="3" t="s">
        <v>5905</v>
      </c>
      <c r="W236" t="s">
        <v>74</v>
      </c>
      <c r="X236" t="s">
        <v>74</v>
      </c>
      <c r="Y236" t="s">
        <v>74</v>
      </c>
      <c r="Z236" t="s">
        <v>74</v>
      </c>
      <c r="AA236" t="s">
        <v>5906</v>
      </c>
      <c r="AB236" t="s">
        <v>5907</v>
      </c>
      <c r="AC236" t="s">
        <v>74</v>
      </c>
      <c r="AD236" t="s">
        <v>74</v>
      </c>
      <c r="AE236" t="s">
        <v>74</v>
      </c>
      <c r="AF236" t="s">
        <v>74</v>
      </c>
      <c r="AG236" t="s">
        <v>74</v>
      </c>
      <c r="AH236" t="s">
        <v>74</v>
      </c>
      <c r="AI236" t="s">
        <v>74</v>
      </c>
      <c r="AJ236" t="s">
        <v>74</v>
      </c>
      <c r="AK236" t="s">
        <v>74</v>
      </c>
      <c r="AL236" t="s">
        <v>74</v>
      </c>
      <c r="AM236" t="s">
        <v>74</v>
      </c>
      <c r="AN236" t="s">
        <v>74</v>
      </c>
      <c r="AO236" t="s">
        <v>778</v>
      </c>
      <c r="AP236" t="s">
        <v>779</v>
      </c>
      <c r="AQ236" t="s">
        <v>74</v>
      </c>
      <c r="AR236" t="s">
        <v>74</v>
      </c>
      <c r="AS236" t="s">
        <v>74</v>
      </c>
      <c r="AT236" t="s">
        <v>2296</v>
      </c>
      <c r="AU236">
        <v>2024</v>
      </c>
      <c r="AV236">
        <v>70</v>
      </c>
      <c r="AW236">
        <v>1</v>
      </c>
      <c r="AX236" t="s">
        <v>74</v>
      </c>
      <c r="AY236" t="s">
        <v>74</v>
      </c>
      <c r="AZ236" t="s">
        <v>74</v>
      </c>
      <c r="BA236" t="s">
        <v>74</v>
      </c>
      <c r="BB236">
        <v>70</v>
      </c>
      <c r="BC236">
        <v>78</v>
      </c>
      <c r="BD236" t="s">
        <v>74</v>
      </c>
      <c r="BE236" t="s">
        <v>5908</v>
      </c>
      <c r="BF236" t="str">
        <f>HYPERLINK("http://dx.doi.org/10.1093/cz/zoac100","http://dx.doi.org/10.1093/cz/zoac100")</f>
        <v>http://dx.doi.org/10.1093/cz/zoac100</v>
      </c>
      <c r="BG236" t="s">
        <v>74</v>
      </c>
      <c r="BH236" t="s">
        <v>5909</v>
      </c>
      <c r="BI236" t="s">
        <v>74</v>
      </c>
      <c r="BJ236" t="s">
        <v>74</v>
      </c>
      <c r="BK236" t="s">
        <v>74</v>
      </c>
      <c r="BL236" t="s">
        <v>74</v>
      </c>
      <c r="BM236" t="s">
        <v>74</v>
      </c>
      <c r="BN236">
        <v>38476131</v>
      </c>
      <c r="BO236" t="s">
        <v>74</v>
      </c>
      <c r="BP236" t="s">
        <v>74</v>
      </c>
      <c r="BQ236" t="s">
        <v>74</v>
      </c>
      <c r="BR236" t="s">
        <v>74</v>
      </c>
      <c r="BS236" t="s">
        <v>5910</v>
      </c>
      <c r="BT236" t="str">
        <f>HYPERLINK("https%3A%2F%2Fwww.webofscience.com%2Fwos%2Fwoscc%2Ffull-record%2FWOS:000941795100001","View Full Record in Web of Science")</f>
        <v>View Full Record in Web of Science</v>
      </c>
    </row>
    <row r="237" spans="1:72" x14ac:dyDescent="0.4">
      <c r="A237" t="s">
        <v>72</v>
      </c>
      <c r="B237" t="s">
        <v>2481</v>
      </c>
      <c r="C237" t="s">
        <v>74</v>
      </c>
      <c r="D237" t="s">
        <v>74</v>
      </c>
      <c r="E237" t="s">
        <v>74</v>
      </c>
      <c r="F237" t="s">
        <v>2482</v>
      </c>
      <c r="G237" t="s">
        <v>74</v>
      </c>
      <c r="H237" t="s">
        <v>74</v>
      </c>
      <c r="I237" t="s">
        <v>2483</v>
      </c>
      <c r="J237" t="s">
        <v>77</v>
      </c>
      <c r="K237" t="s">
        <v>74</v>
      </c>
      <c r="L237" t="s">
        <v>74</v>
      </c>
      <c r="M237" t="s">
        <v>74</v>
      </c>
      <c r="N237" t="s">
        <v>74</v>
      </c>
      <c r="O237" t="s">
        <v>74</v>
      </c>
      <c r="P237" t="s">
        <v>74</v>
      </c>
      <c r="Q237" t="s">
        <v>74</v>
      </c>
      <c r="R237" t="s">
        <v>74</v>
      </c>
      <c r="S237" t="s">
        <v>74</v>
      </c>
      <c r="T237" t="s">
        <v>74</v>
      </c>
      <c r="U237" t="s">
        <v>74</v>
      </c>
      <c r="V237" s="3" t="s">
        <v>2484</v>
      </c>
      <c r="W237" t="s">
        <v>74</v>
      </c>
      <c r="X237" t="s">
        <v>74</v>
      </c>
      <c r="Y237" t="s">
        <v>74</v>
      </c>
      <c r="Z237" t="s">
        <v>74</v>
      </c>
      <c r="AA237" t="s">
        <v>74</v>
      </c>
      <c r="AB237" t="s">
        <v>74</v>
      </c>
      <c r="AC237" t="s">
        <v>74</v>
      </c>
      <c r="AD237" t="s">
        <v>74</v>
      </c>
      <c r="AE237" t="s">
        <v>74</v>
      </c>
      <c r="AF237" t="s">
        <v>74</v>
      </c>
      <c r="AG237" t="s">
        <v>74</v>
      </c>
      <c r="AH237" t="s">
        <v>74</v>
      </c>
      <c r="AI237" t="s">
        <v>74</v>
      </c>
      <c r="AJ237" t="s">
        <v>74</v>
      </c>
      <c r="AK237" t="s">
        <v>74</v>
      </c>
      <c r="AL237" t="s">
        <v>74</v>
      </c>
      <c r="AM237" t="s">
        <v>74</v>
      </c>
      <c r="AN237" t="s">
        <v>74</v>
      </c>
      <c r="AO237" t="s">
        <v>81</v>
      </c>
      <c r="AP237" t="s">
        <v>82</v>
      </c>
      <c r="AQ237" t="s">
        <v>74</v>
      </c>
      <c r="AR237" t="s">
        <v>74</v>
      </c>
      <c r="AS237" t="s">
        <v>74</v>
      </c>
      <c r="AT237" t="s">
        <v>74</v>
      </c>
      <c r="AU237">
        <v>2015</v>
      </c>
      <c r="AV237">
        <v>152</v>
      </c>
      <c r="AW237">
        <v>11</v>
      </c>
      <c r="AX237" t="s">
        <v>74</v>
      </c>
      <c r="AY237" t="s">
        <v>74</v>
      </c>
      <c r="AZ237" t="s">
        <v>74</v>
      </c>
      <c r="BA237" t="s">
        <v>74</v>
      </c>
      <c r="BB237">
        <v>1463</v>
      </c>
      <c r="BC237">
        <v>1479</v>
      </c>
      <c r="BD237" t="s">
        <v>74</v>
      </c>
      <c r="BE237" t="s">
        <v>2485</v>
      </c>
      <c r="BF237" t="str">
        <f>HYPERLINK("http://dx.doi.org/10.1163/1568539X-00003287","http://dx.doi.org/10.1163/1568539X-00003287")</f>
        <v>http://dx.doi.org/10.1163/1568539X-00003287</v>
      </c>
      <c r="BG237" t="s">
        <v>74</v>
      </c>
      <c r="BH237" t="s">
        <v>74</v>
      </c>
      <c r="BI237" t="s">
        <v>74</v>
      </c>
      <c r="BJ237" t="s">
        <v>74</v>
      </c>
      <c r="BK237" t="s">
        <v>74</v>
      </c>
      <c r="BL237" t="s">
        <v>74</v>
      </c>
      <c r="BM237" t="s">
        <v>74</v>
      </c>
      <c r="BN237" t="s">
        <v>74</v>
      </c>
      <c r="BO237" t="s">
        <v>74</v>
      </c>
      <c r="BP237" t="s">
        <v>74</v>
      </c>
      <c r="BQ237" t="s">
        <v>74</v>
      </c>
      <c r="BR237" t="s">
        <v>74</v>
      </c>
      <c r="BS237" t="s">
        <v>2486</v>
      </c>
      <c r="BT237" t="str">
        <f>HYPERLINK("https%3A%2F%2Fwww.webofscience.com%2Fwos%2Fwoscc%2Ffull-record%2FWOS:000359994100002","View Full Record in Web of Science")</f>
        <v>View Full Record in Web of Science</v>
      </c>
    </row>
    <row r="238" spans="1:72" x14ac:dyDescent="0.4">
      <c r="A238" t="s">
        <v>72</v>
      </c>
      <c r="B238" t="s">
        <v>2134</v>
      </c>
      <c r="C238" t="s">
        <v>74</v>
      </c>
      <c r="D238" t="s">
        <v>74</v>
      </c>
      <c r="E238" t="s">
        <v>74</v>
      </c>
      <c r="F238" t="s">
        <v>2135</v>
      </c>
      <c r="G238" t="s">
        <v>74</v>
      </c>
      <c r="H238" t="s">
        <v>74</v>
      </c>
      <c r="I238" t="s">
        <v>2136</v>
      </c>
      <c r="J238" t="s">
        <v>119</v>
      </c>
      <c r="K238" t="s">
        <v>74</v>
      </c>
      <c r="L238" t="s">
        <v>74</v>
      </c>
      <c r="M238" t="s">
        <v>74</v>
      </c>
      <c r="N238" t="s">
        <v>74</v>
      </c>
      <c r="O238" t="s">
        <v>74</v>
      </c>
      <c r="P238" t="s">
        <v>74</v>
      </c>
      <c r="Q238" t="s">
        <v>74</v>
      </c>
      <c r="R238" t="s">
        <v>74</v>
      </c>
      <c r="S238" t="s">
        <v>74</v>
      </c>
      <c r="T238" t="s">
        <v>74</v>
      </c>
      <c r="U238" t="s">
        <v>74</v>
      </c>
      <c r="V238" s="3" t="s">
        <v>2137</v>
      </c>
      <c r="W238" t="s">
        <v>74</v>
      </c>
      <c r="X238" t="s">
        <v>74</v>
      </c>
      <c r="Y238" t="s">
        <v>74</v>
      </c>
      <c r="Z238" t="s">
        <v>74</v>
      </c>
      <c r="AA238" t="s">
        <v>2138</v>
      </c>
      <c r="AB238" t="s">
        <v>2139</v>
      </c>
      <c r="AC238" t="s">
        <v>74</v>
      </c>
      <c r="AD238" t="s">
        <v>74</v>
      </c>
      <c r="AE238" t="s">
        <v>74</v>
      </c>
      <c r="AF238" t="s">
        <v>74</v>
      </c>
      <c r="AG238" t="s">
        <v>74</v>
      </c>
      <c r="AH238" t="s">
        <v>74</v>
      </c>
      <c r="AI238" t="s">
        <v>74</v>
      </c>
      <c r="AJ238" t="s">
        <v>74</v>
      </c>
      <c r="AK238" t="s">
        <v>74</v>
      </c>
      <c r="AL238" t="s">
        <v>74</v>
      </c>
      <c r="AM238" t="s">
        <v>74</v>
      </c>
      <c r="AN238" t="s">
        <v>74</v>
      </c>
      <c r="AO238" t="s">
        <v>121</v>
      </c>
      <c r="AP238" t="s">
        <v>122</v>
      </c>
      <c r="AQ238" t="s">
        <v>74</v>
      </c>
      <c r="AR238" t="s">
        <v>74</v>
      </c>
      <c r="AS238" t="s">
        <v>74</v>
      </c>
      <c r="AT238" t="s">
        <v>352</v>
      </c>
      <c r="AU238">
        <v>2014</v>
      </c>
      <c r="AV238">
        <v>107</v>
      </c>
      <c r="AW238" t="s">
        <v>74</v>
      </c>
      <c r="AX238" t="s">
        <v>74</v>
      </c>
      <c r="AY238" t="s">
        <v>74</v>
      </c>
      <c r="AZ238" t="s">
        <v>74</v>
      </c>
      <c r="BA238" t="s">
        <v>74</v>
      </c>
      <c r="BB238">
        <v>158</v>
      </c>
      <c r="BC238">
        <v>162</v>
      </c>
      <c r="BD238" t="s">
        <v>74</v>
      </c>
      <c r="BE238" t="s">
        <v>2140</v>
      </c>
      <c r="BF238" t="str">
        <f>HYPERLINK("http://dx.doi.org/10.1016/j.beproc.2014.08.010","http://dx.doi.org/10.1016/j.beproc.2014.08.010")</f>
        <v>http://dx.doi.org/10.1016/j.beproc.2014.08.010</v>
      </c>
      <c r="BG238" t="s">
        <v>74</v>
      </c>
      <c r="BH238" t="s">
        <v>74</v>
      </c>
      <c r="BI238" t="s">
        <v>74</v>
      </c>
      <c r="BJ238" t="s">
        <v>74</v>
      </c>
      <c r="BK238" t="s">
        <v>74</v>
      </c>
      <c r="BL238" t="s">
        <v>74</v>
      </c>
      <c r="BM238" t="s">
        <v>74</v>
      </c>
      <c r="BN238">
        <v>25151939</v>
      </c>
      <c r="BO238" t="s">
        <v>74</v>
      </c>
      <c r="BP238" t="s">
        <v>74</v>
      </c>
      <c r="BQ238" t="s">
        <v>74</v>
      </c>
      <c r="BR238" t="s">
        <v>74</v>
      </c>
      <c r="BS238" t="s">
        <v>2141</v>
      </c>
      <c r="BT238" t="str">
        <f>HYPERLINK("https%3A%2F%2Fwww.webofscience.com%2Fwos%2Fwoscc%2Ffull-record%2FWOS:000343628400020","View Full Record in Web of Science")</f>
        <v>View Full Record in Web of Science</v>
      </c>
    </row>
    <row r="239" spans="1:72" x14ac:dyDescent="0.4">
      <c r="A239" t="s">
        <v>72</v>
      </c>
      <c r="B239" t="s">
        <v>6982</v>
      </c>
      <c r="C239" t="s">
        <v>74</v>
      </c>
      <c r="D239" t="s">
        <v>74</v>
      </c>
      <c r="E239" t="s">
        <v>74</v>
      </c>
      <c r="F239" t="s">
        <v>6983</v>
      </c>
      <c r="G239" t="s">
        <v>74</v>
      </c>
      <c r="H239" t="s">
        <v>74</v>
      </c>
      <c r="I239" t="s">
        <v>6984</v>
      </c>
      <c r="J239" t="s">
        <v>140</v>
      </c>
      <c r="K239" t="s">
        <v>74</v>
      </c>
      <c r="L239" t="s">
        <v>74</v>
      </c>
      <c r="M239" t="s">
        <v>74</v>
      </c>
      <c r="N239" t="s">
        <v>74</v>
      </c>
      <c r="O239" t="s">
        <v>74</v>
      </c>
      <c r="P239" t="s">
        <v>74</v>
      </c>
      <c r="Q239" t="s">
        <v>74</v>
      </c>
      <c r="R239" t="s">
        <v>74</v>
      </c>
      <c r="S239" t="s">
        <v>74</v>
      </c>
      <c r="T239" t="s">
        <v>74</v>
      </c>
      <c r="U239" t="s">
        <v>74</v>
      </c>
      <c r="V239" s="3" t="s">
        <v>6985</v>
      </c>
      <c r="W239" t="s">
        <v>74</v>
      </c>
      <c r="X239" t="s">
        <v>74</v>
      </c>
      <c r="Y239" t="s">
        <v>74</v>
      </c>
      <c r="Z239" t="s">
        <v>74</v>
      </c>
      <c r="AA239" t="s">
        <v>6986</v>
      </c>
      <c r="AB239" t="s">
        <v>6987</v>
      </c>
      <c r="AC239" t="s">
        <v>74</v>
      </c>
      <c r="AD239" t="s">
        <v>74</v>
      </c>
      <c r="AE239" t="s">
        <v>74</v>
      </c>
      <c r="AF239" t="s">
        <v>74</v>
      </c>
      <c r="AG239" t="s">
        <v>74</v>
      </c>
      <c r="AH239" t="s">
        <v>74</v>
      </c>
      <c r="AI239" t="s">
        <v>74</v>
      </c>
      <c r="AJ239" t="s">
        <v>74</v>
      </c>
      <c r="AK239" t="s">
        <v>74</v>
      </c>
      <c r="AL239" t="s">
        <v>74</v>
      </c>
      <c r="AM239" t="s">
        <v>74</v>
      </c>
      <c r="AN239" t="s">
        <v>74</v>
      </c>
      <c r="AO239" t="s">
        <v>143</v>
      </c>
      <c r="AP239" t="s">
        <v>144</v>
      </c>
      <c r="AQ239" t="s">
        <v>74</v>
      </c>
      <c r="AR239" t="s">
        <v>74</v>
      </c>
      <c r="AS239" t="s">
        <v>74</v>
      </c>
      <c r="AT239" t="s">
        <v>255</v>
      </c>
      <c r="AU239">
        <v>2008</v>
      </c>
      <c r="AV239">
        <v>75</v>
      </c>
      <c r="AW239" t="s">
        <v>74</v>
      </c>
      <c r="AX239">
        <v>1</v>
      </c>
      <c r="AY239" t="s">
        <v>74</v>
      </c>
      <c r="AZ239" t="s">
        <v>74</v>
      </c>
      <c r="BA239" t="s">
        <v>74</v>
      </c>
      <c r="BB239">
        <v>175</v>
      </c>
      <c r="BC239">
        <v>188</v>
      </c>
      <c r="BD239" t="s">
        <v>74</v>
      </c>
      <c r="BE239" t="s">
        <v>6988</v>
      </c>
      <c r="BF239" t="str">
        <f>HYPERLINK("http://dx.doi.org/10.1016/j.anbehav.2007.04.016","http://dx.doi.org/10.1016/j.anbehav.2007.04.016")</f>
        <v>http://dx.doi.org/10.1016/j.anbehav.2007.04.016</v>
      </c>
      <c r="BG239" t="s">
        <v>74</v>
      </c>
      <c r="BH239" t="s">
        <v>74</v>
      </c>
      <c r="BI239" t="s">
        <v>74</v>
      </c>
      <c r="BJ239" t="s">
        <v>74</v>
      </c>
      <c r="BK239" t="s">
        <v>74</v>
      </c>
      <c r="BL239" t="s">
        <v>74</v>
      </c>
      <c r="BM239" t="s">
        <v>74</v>
      </c>
      <c r="BN239" t="s">
        <v>74</v>
      </c>
      <c r="BO239" t="s">
        <v>74</v>
      </c>
      <c r="BP239" t="s">
        <v>74</v>
      </c>
      <c r="BQ239" t="s">
        <v>74</v>
      </c>
      <c r="BR239" t="s">
        <v>74</v>
      </c>
      <c r="BS239" t="s">
        <v>6989</v>
      </c>
      <c r="BT239" t="str">
        <f>HYPERLINK("https%3A%2F%2Fwww.webofscience.com%2Fwos%2Fwoscc%2Ffull-record%2FWOS:000252710000021","View Full Record in Web of Science")</f>
        <v>View Full Record in Web of Science</v>
      </c>
    </row>
    <row r="240" spans="1:72" x14ac:dyDescent="0.4">
      <c r="A240" t="s">
        <v>72</v>
      </c>
      <c r="B240" t="s">
        <v>3814</v>
      </c>
      <c r="C240" t="s">
        <v>74</v>
      </c>
      <c r="D240" t="s">
        <v>74</v>
      </c>
      <c r="E240" t="s">
        <v>74</v>
      </c>
      <c r="F240" t="s">
        <v>3815</v>
      </c>
      <c r="G240" t="s">
        <v>74</v>
      </c>
      <c r="H240" t="s">
        <v>74</v>
      </c>
      <c r="I240" t="s">
        <v>3816</v>
      </c>
      <c r="J240" t="s">
        <v>3817</v>
      </c>
      <c r="K240" t="s">
        <v>74</v>
      </c>
      <c r="L240" t="s">
        <v>74</v>
      </c>
      <c r="M240" t="s">
        <v>74</v>
      </c>
      <c r="N240" t="s">
        <v>74</v>
      </c>
      <c r="O240" t="s">
        <v>74</v>
      </c>
      <c r="P240" t="s">
        <v>74</v>
      </c>
      <c r="Q240" t="s">
        <v>74</v>
      </c>
      <c r="R240" t="s">
        <v>74</v>
      </c>
      <c r="S240" t="s">
        <v>74</v>
      </c>
      <c r="T240" t="s">
        <v>74</v>
      </c>
      <c r="U240" t="s">
        <v>74</v>
      </c>
      <c r="V240" s="3" t="s">
        <v>3818</v>
      </c>
      <c r="W240" t="s">
        <v>74</v>
      </c>
      <c r="X240" t="s">
        <v>74</v>
      </c>
      <c r="Y240" t="s">
        <v>74</v>
      </c>
      <c r="Z240" t="s">
        <v>74</v>
      </c>
      <c r="AA240" t="s">
        <v>3819</v>
      </c>
      <c r="AB240" t="s">
        <v>3820</v>
      </c>
      <c r="AC240" t="s">
        <v>74</v>
      </c>
      <c r="AD240" t="s">
        <v>74</v>
      </c>
      <c r="AE240" t="s">
        <v>74</v>
      </c>
      <c r="AF240" t="s">
        <v>74</v>
      </c>
      <c r="AG240" t="s">
        <v>74</v>
      </c>
      <c r="AH240" t="s">
        <v>74</v>
      </c>
      <c r="AI240" t="s">
        <v>74</v>
      </c>
      <c r="AJ240" t="s">
        <v>74</v>
      </c>
      <c r="AK240" t="s">
        <v>74</v>
      </c>
      <c r="AL240" t="s">
        <v>74</v>
      </c>
      <c r="AM240" t="s">
        <v>74</v>
      </c>
      <c r="AN240" t="s">
        <v>74</v>
      </c>
      <c r="AO240" t="s">
        <v>3821</v>
      </c>
      <c r="AP240" t="s">
        <v>3822</v>
      </c>
      <c r="AQ240" t="s">
        <v>74</v>
      </c>
      <c r="AR240" t="s">
        <v>74</v>
      </c>
      <c r="AS240" t="s">
        <v>74</v>
      </c>
      <c r="AT240" t="s">
        <v>3823</v>
      </c>
      <c r="AU240">
        <v>2021</v>
      </c>
      <c r="AV240" t="s">
        <v>74</v>
      </c>
      <c r="AW240" t="s">
        <v>74</v>
      </c>
      <c r="AX240" t="s">
        <v>74</v>
      </c>
      <c r="AY240" t="s">
        <v>74</v>
      </c>
      <c r="AZ240" t="s">
        <v>74</v>
      </c>
      <c r="BA240" t="s">
        <v>74</v>
      </c>
      <c r="BB240" t="s">
        <v>74</v>
      </c>
      <c r="BC240" t="s">
        <v>74</v>
      </c>
      <c r="BD240" t="s">
        <v>3824</v>
      </c>
      <c r="BE240" t="s">
        <v>3825</v>
      </c>
      <c r="BF240" t="str">
        <f>HYPERLINK("http://dx.doi.org/10.1093/zoolinnean/zlab015","http://dx.doi.org/10.1093/zoolinnean/zlab015")</f>
        <v>http://dx.doi.org/10.1093/zoolinnean/zlab015</v>
      </c>
      <c r="BG240" t="s">
        <v>74</v>
      </c>
      <c r="BH240" t="s">
        <v>3826</v>
      </c>
      <c r="BI240" t="s">
        <v>74</v>
      </c>
      <c r="BJ240" t="s">
        <v>74</v>
      </c>
      <c r="BK240" t="s">
        <v>74</v>
      </c>
      <c r="BL240" t="s">
        <v>74</v>
      </c>
      <c r="BM240" t="s">
        <v>74</v>
      </c>
      <c r="BN240" t="s">
        <v>74</v>
      </c>
      <c r="BO240" t="s">
        <v>74</v>
      </c>
      <c r="BP240" t="s">
        <v>74</v>
      </c>
      <c r="BQ240" t="s">
        <v>74</v>
      </c>
      <c r="BR240" t="s">
        <v>74</v>
      </c>
      <c r="BS240" t="s">
        <v>3827</v>
      </c>
      <c r="BT240" t="str">
        <f>HYPERLINK("https%3A%2F%2Fwww.webofscience.com%2Fwos%2Fwoscc%2Ffull-record%2FWOS:000764722000001","View Full Record in Web of Science")</f>
        <v>View Full Record in Web of Science</v>
      </c>
    </row>
    <row r="241" spans="1:72" x14ac:dyDescent="0.4">
      <c r="A241" t="s">
        <v>72</v>
      </c>
      <c r="B241" t="s">
        <v>3828</v>
      </c>
      <c r="C241" t="s">
        <v>74</v>
      </c>
      <c r="D241" t="s">
        <v>74</v>
      </c>
      <c r="E241" t="s">
        <v>74</v>
      </c>
      <c r="F241" t="s">
        <v>3829</v>
      </c>
      <c r="G241" t="s">
        <v>74</v>
      </c>
      <c r="H241" t="s">
        <v>74</v>
      </c>
      <c r="I241" t="s">
        <v>3816</v>
      </c>
      <c r="J241" t="s">
        <v>3817</v>
      </c>
      <c r="K241" t="s">
        <v>74</v>
      </c>
      <c r="L241" t="s">
        <v>74</v>
      </c>
      <c r="M241" t="s">
        <v>74</v>
      </c>
      <c r="N241" t="s">
        <v>74</v>
      </c>
      <c r="O241" t="s">
        <v>74</v>
      </c>
      <c r="P241" t="s">
        <v>74</v>
      </c>
      <c r="Q241" t="s">
        <v>74</v>
      </c>
      <c r="R241" t="s">
        <v>74</v>
      </c>
      <c r="S241" t="s">
        <v>74</v>
      </c>
      <c r="T241" t="s">
        <v>74</v>
      </c>
      <c r="U241" t="s">
        <v>74</v>
      </c>
      <c r="V241" s="3" t="s">
        <v>3830</v>
      </c>
      <c r="W241" t="s">
        <v>74</v>
      </c>
      <c r="X241" t="s">
        <v>74</v>
      </c>
      <c r="Y241" t="s">
        <v>74</v>
      </c>
      <c r="Z241" t="s">
        <v>74</v>
      </c>
      <c r="AA241" t="s">
        <v>3831</v>
      </c>
      <c r="AB241" t="s">
        <v>3832</v>
      </c>
      <c r="AC241" t="s">
        <v>74</v>
      </c>
      <c r="AD241" t="s">
        <v>74</v>
      </c>
      <c r="AE241" t="s">
        <v>74</v>
      </c>
      <c r="AF241" t="s">
        <v>74</v>
      </c>
      <c r="AG241" t="s">
        <v>74</v>
      </c>
      <c r="AH241" t="s">
        <v>74</v>
      </c>
      <c r="AI241" t="s">
        <v>74</v>
      </c>
      <c r="AJ241" t="s">
        <v>74</v>
      </c>
      <c r="AK241" t="s">
        <v>74</v>
      </c>
      <c r="AL241" t="s">
        <v>74</v>
      </c>
      <c r="AM241" t="s">
        <v>74</v>
      </c>
      <c r="AN241" t="s">
        <v>74</v>
      </c>
      <c r="AO241" t="s">
        <v>3821</v>
      </c>
      <c r="AP241" t="s">
        <v>3822</v>
      </c>
      <c r="AQ241" t="s">
        <v>74</v>
      </c>
      <c r="AR241" t="s">
        <v>74</v>
      </c>
      <c r="AS241" t="s">
        <v>74</v>
      </c>
      <c r="AT241" t="s">
        <v>3833</v>
      </c>
      <c r="AU241">
        <v>2022</v>
      </c>
      <c r="AV241">
        <v>194</v>
      </c>
      <c r="AW241">
        <v>3</v>
      </c>
      <c r="AX241" t="s">
        <v>74</v>
      </c>
      <c r="AY241" t="s">
        <v>74</v>
      </c>
      <c r="AZ241" t="s">
        <v>74</v>
      </c>
      <c r="BA241" t="s">
        <v>74</v>
      </c>
      <c r="BB241">
        <v>973</v>
      </c>
      <c r="BC241">
        <v>1034</v>
      </c>
      <c r="BD241" t="s">
        <v>74</v>
      </c>
      <c r="BE241" t="s">
        <v>74</v>
      </c>
      <c r="BF241" t="s">
        <v>74</v>
      </c>
      <c r="BG241" t="s">
        <v>74</v>
      </c>
      <c r="BH241" t="s">
        <v>74</v>
      </c>
      <c r="BI241" t="s">
        <v>74</v>
      </c>
      <c r="BJ241" t="s">
        <v>74</v>
      </c>
      <c r="BK241" t="s">
        <v>74</v>
      </c>
      <c r="BL241" t="s">
        <v>74</v>
      </c>
      <c r="BM241" t="s">
        <v>74</v>
      </c>
      <c r="BN241" t="s">
        <v>74</v>
      </c>
      <c r="BO241" t="s">
        <v>74</v>
      </c>
      <c r="BP241" t="s">
        <v>74</v>
      </c>
      <c r="BQ241" t="s">
        <v>74</v>
      </c>
      <c r="BR241" t="s">
        <v>74</v>
      </c>
      <c r="BS241" t="s">
        <v>3834</v>
      </c>
      <c r="BT241" t="str">
        <f>HYPERLINK("https%3A%2F%2Fwww.webofscience.com%2Fwos%2Fwoscc%2Ffull-record%2FWOS:000766308500011","View Full Record in Web of Science")</f>
        <v>View Full Record in Web of Science</v>
      </c>
    </row>
    <row r="242" spans="1:72" x14ac:dyDescent="0.4">
      <c r="A242" t="s">
        <v>72</v>
      </c>
      <c r="B242" t="s">
        <v>2690</v>
      </c>
      <c r="C242" t="s">
        <v>74</v>
      </c>
      <c r="D242" t="s">
        <v>74</v>
      </c>
      <c r="E242" t="s">
        <v>74</v>
      </c>
      <c r="F242" t="s">
        <v>2690</v>
      </c>
      <c r="G242" t="s">
        <v>74</v>
      </c>
      <c r="H242" t="s">
        <v>74</v>
      </c>
      <c r="I242" t="s">
        <v>2691</v>
      </c>
      <c r="J242" t="s">
        <v>2692</v>
      </c>
      <c r="K242" t="s">
        <v>74</v>
      </c>
      <c r="L242" t="s">
        <v>74</v>
      </c>
      <c r="M242" t="s">
        <v>74</v>
      </c>
      <c r="N242" t="s">
        <v>74</v>
      </c>
      <c r="O242" t="s">
        <v>74</v>
      </c>
      <c r="P242" t="s">
        <v>74</v>
      </c>
      <c r="Q242" t="s">
        <v>74</v>
      </c>
      <c r="R242" t="s">
        <v>74</v>
      </c>
      <c r="S242" t="s">
        <v>74</v>
      </c>
      <c r="T242" t="s">
        <v>74</v>
      </c>
      <c r="U242" t="s">
        <v>74</v>
      </c>
      <c r="V242" s="3" t="s">
        <v>2693</v>
      </c>
      <c r="W242" t="s">
        <v>74</v>
      </c>
      <c r="X242" t="s">
        <v>74</v>
      </c>
      <c r="Y242" t="s">
        <v>74</v>
      </c>
      <c r="Z242" t="s">
        <v>74</v>
      </c>
      <c r="AA242" t="s">
        <v>74</v>
      </c>
      <c r="AB242" t="s">
        <v>74</v>
      </c>
      <c r="AC242" t="s">
        <v>74</v>
      </c>
      <c r="AD242" t="s">
        <v>74</v>
      </c>
      <c r="AE242" t="s">
        <v>74</v>
      </c>
      <c r="AF242" t="s">
        <v>74</v>
      </c>
      <c r="AG242" t="s">
        <v>74</v>
      </c>
      <c r="AH242" t="s">
        <v>74</v>
      </c>
      <c r="AI242" t="s">
        <v>74</v>
      </c>
      <c r="AJ242" t="s">
        <v>74</v>
      </c>
      <c r="AK242" t="s">
        <v>74</v>
      </c>
      <c r="AL242" t="s">
        <v>74</v>
      </c>
      <c r="AM242" t="s">
        <v>74</v>
      </c>
      <c r="AN242" t="s">
        <v>74</v>
      </c>
      <c r="AO242" t="s">
        <v>2694</v>
      </c>
      <c r="AP242" t="s">
        <v>74</v>
      </c>
      <c r="AQ242" t="s">
        <v>74</v>
      </c>
      <c r="AR242" t="s">
        <v>74</v>
      </c>
      <c r="AS242" t="s">
        <v>74</v>
      </c>
      <c r="AT242" t="s">
        <v>305</v>
      </c>
      <c r="AU242">
        <v>2002</v>
      </c>
      <c r="AV242">
        <v>12</v>
      </c>
      <c r="AW242">
        <v>4</v>
      </c>
      <c r="AX242" t="s">
        <v>74</v>
      </c>
      <c r="AY242" t="s">
        <v>74</v>
      </c>
      <c r="AZ242" t="s">
        <v>74</v>
      </c>
      <c r="BA242" t="s">
        <v>74</v>
      </c>
      <c r="BB242">
        <v>353</v>
      </c>
      <c r="BC242">
        <v>364</v>
      </c>
      <c r="BD242" t="s">
        <v>74</v>
      </c>
      <c r="BE242" t="s">
        <v>2695</v>
      </c>
      <c r="BF242" t="str">
        <f>HYPERLINK("http://dx.doi.org/10.1017/S0959270902002228","http://dx.doi.org/10.1017/S0959270902002228")</f>
        <v>http://dx.doi.org/10.1017/S0959270902002228</v>
      </c>
      <c r="BG242" t="s">
        <v>74</v>
      </c>
      <c r="BH242" t="s">
        <v>74</v>
      </c>
      <c r="BI242" t="s">
        <v>74</v>
      </c>
      <c r="BJ242" t="s">
        <v>74</v>
      </c>
      <c r="BK242" t="s">
        <v>74</v>
      </c>
      <c r="BL242" t="s">
        <v>74</v>
      </c>
      <c r="BM242" t="s">
        <v>74</v>
      </c>
      <c r="BN242" t="s">
        <v>74</v>
      </c>
      <c r="BO242" t="s">
        <v>74</v>
      </c>
      <c r="BP242" t="s">
        <v>74</v>
      </c>
      <c r="BQ242" t="s">
        <v>74</v>
      </c>
      <c r="BR242" t="s">
        <v>74</v>
      </c>
      <c r="BS242" t="s">
        <v>2696</v>
      </c>
      <c r="BT242" t="str">
        <f>HYPERLINK("https%3A%2F%2Fwww.webofscience.com%2Fwos%2Fwoscc%2Ffull-record%2FWOS:000180506600005","View Full Record in Web of Science")</f>
        <v>View Full Record in Web of Science</v>
      </c>
    </row>
    <row r="243" spans="1:72" x14ac:dyDescent="0.4">
      <c r="A243" t="s">
        <v>72</v>
      </c>
      <c r="B243" t="s">
        <v>2865</v>
      </c>
      <c r="C243" t="s">
        <v>74</v>
      </c>
      <c r="D243" t="s">
        <v>74</v>
      </c>
      <c r="E243" t="s">
        <v>74</v>
      </c>
      <c r="F243" t="s">
        <v>2866</v>
      </c>
      <c r="G243" t="s">
        <v>74</v>
      </c>
      <c r="H243" t="s">
        <v>74</v>
      </c>
      <c r="I243" t="s">
        <v>2867</v>
      </c>
      <c r="J243" t="s">
        <v>1673</v>
      </c>
      <c r="K243" t="s">
        <v>74</v>
      </c>
      <c r="L243" t="s">
        <v>74</v>
      </c>
      <c r="M243" t="s">
        <v>74</v>
      </c>
      <c r="N243" t="s">
        <v>74</v>
      </c>
      <c r="O243" t="s">
        <v>74</v>
      </c>
      <c r="P243" t="s">
        <v>74</v>
      </c>
      <c r="Q243" t="s">
        <v>74</v>
      </c>
      <c r="R243" t="s">
        <v>74</v>
      </c>
      <c r="S243" t="s">
        <v>74</v>
      </c>
      <c r="T243" t="s">
        <v>74</v>
      </c>
      <c r="U243" t="s">
        <v>74</v>
      </c>
      <c r="V243" s="3" t="s">
        <v>2868</v>
      </c>
      <c r="W243" t="s">
        <v>74</v>
      </c>
      <c r="X243" t="s">
        <v>74</v>
      </c>
      <c r="Y243" t="s">
        <v>74</v>
      </c>
      <c r="Z243" t="s">
        <v>74</v>
      </c>
      <c r="AA243" t="s">
        <v>2869</v>
      </c>
      <c r="AB243" t="s">
        <v>2870</v>
      </c>
      <c r="AC243" t="s">
        <v>74</v>
      </c>
      <c r="AD243" t="s">
        <v>74</v>
      </c>
      <c r="AE243" t="s">
        <v>74</v>
      </c>
      <c r="AF243" t="s">
        <v>74</v>
      </c>
      <c r="AG243" t="s">
        <v>74</v>
      </c>
      <c r="AH243" t="s">
        <v>74</v>
      </c>
      <c r="AI243" t="s">
        <v>74</v>
      </c>
      <c r="AJ243" t="s">
        <v>74</v>
      </c>
      <c r="AK243" t="s">
        <v>74</v>
      </c>
      <c r="AL243" t="s">
        <v>74</v>
      </c>
      <c r="AM243" t="s">
        <v>74</v>
      </c>
      <c r="AN243" t="s">
        <v>74</v>
      </c>
      <c r="AO243" t="s">
        <v>1239</v>
      </c>
      <c r="AP243" t="s">
        <v>1675</v>
      </c>
      <c r="AQ243" t="s">
        <v>74</v>
      </c>
      <c r="AR243" t="s">
        <v>74</v>
      </c>
      <c r="AS243" t="s">
        <v>74</v>
      </c>
      <c r="AT243" t="s">
        <v>145</v>
      </c>
      <c r="AU243">
        <v>2023</v>
      </c>
      <c r="AV243">
        <v>101</v>
      </c>
      <c r="AW243">
        <v>8</v>
      </c>
      <c r="AX243" t="s">
        <v>74</v>
      </c>
      <c r="AY243" t="s">
        <v>74</v>
      </c>
      <c r="AZ243" t="s">
        <v>74</v>
      </c>
      <c r="BA243" t="s">
        <v>74</v>
      </c>
      <c r="BB243">
        <v>658</v>
      </c>
      <c r="BC243">
        <v>671</v>
      </c>
      <c r="BD243" t="s">
        <v>74</v>
      </c>
      <c r="BE243" t="s">
        <v>2871</v>
      </c>
      <c r="BF243" t="str">
        <f>HYPERLINK("http://dx.doi.org/10.1139/cjz-2023-0039","http://dx.doi.org/10.1139/cjz-2023-0039")</f>
        <v>http://dx.doi.org/10.1139/cjz-2023-0039</v>
      </c>
      <c r="BG243" t="s">
        <v>74</v>
      </c>
      <c r="BH243" t="s">
        <v>1391</v>
      </c>
      <c r="BI243" t="s">
        <v>74</v>
      </c>
      <c r="BJ243" t="s">
        <v>74</v>
      </c>
      <c r="BK243" t="s">
        <v>74</v>
      </c>
      <c r="BL243" t="s">
        <v>74</v>
      </c>
      <c r="BM243" t="s">
        <v>74</v>
      </c>
      <c r="BN243" t="s">
        <v>74</v>
      </c>
      <c r="BO243" t="s">
        <v>74</v>
      </c>
      <c r="BP243" t="s">
        <v>74</v>
      </c>
      <c r="BQ243" t="s">
        <v>74</v>
      </c>
      <c r="BR243" t="s">
        <v>74</v>
      </c>
      <c r="BS243" t="s">
        <v>2872</v>
      </c>
      <c r="BT243" t="str">
        <f>HYPERLINK("https%3A%2F%2Fwww.webofscience.com%2Fwos%2Fwoscc%2Ffull-record%2FWOS:000995450300001","View Full Record in Web of Science")</f>
        <v>View Full Record in Web of Science</v>
      </c>
    </row>
    <row r="244" spans="1:72" x14ac:dyDescent="0.4">
      <c r="A244" t="s">
        <v>72</v>
      </c>
      <c r="B244" t="s">
        <v>4403</v>
      </c>
      <c r="C244" t="s">
        <v>74</v>
      </c>
      <c r="D244" t="s">
        <v>74</v>
      </c>
      <c r="E244" t="s">
        <v>74</v>
      </c>
      <c r="F244" t="s">
        <v>4403</v>
      </c>
      <c r="G244" t="s">
        <v>74</v>
      </c>
      <c r="H244" t="s">
        <v>74</v>
      </c>
      <c r="I244" t="s">
        <v>4404</v>
      </c>
      <c r="J244" t="s">
        <v>2152</v>
      </c>
      <c r="K244" t="s">
        <v>74</v>
      </c>
      <c r="L244" t="s">
        <v>74</v>
      </c>
      <c r="M244" t="s">
        <v>74</v>
      </c>
      <c r="N244" t="s">
        <v>74</v>
      </c>
      <c r="O244" t="s">
        <v>74</v>
      </c>
      <c r="P244" t="s">
        <v>74</v>
      </c>
      <c r="Q244" t="s">
        <v>74</v>
      </c>
      <c r="R244" t="s">
        <v>74</v>
      </c>
      <c r="S244" t="s">
        <v>74</v>
      </c>
      <c r="T244" t="s">
        <v>74</v>
      </c>
      <c r="U244" t="s">
        <v>74</v>
      </c>
      <c r="V244" s="3" t="s">
        <v>4405</v>
      </c>
      <c r="W244" t="s">
        <v>74</v>
      </c>
      <c r="X244" t="s">
        <v>74</v>
      </c>
      <c r="Y244" t="s">
        <v>74</v>
      </c>
      <c r="Z244" t="s">
        <v>74</v>
      </c>
      <c r="AA244" t="s">
        <v>74</v>
      </c>
      <c r="AB244" t="s">
        <v>74</v>
      </c>
      <c r="AC244" t="s">
        <v>74</v>
      </c>
      <c r="AD244" t="s">
        <v>74</v>
      </c>
      <c r="AE244" t="s">
        <v>74</v>
      </c>
      <c r="AF244" t="s">
        <v>74</v>
      </c>
      <c r="AG244" t="s">
        <v>74</v>
      </c>
      <c r="AH244" t="s">
        <v>74</v>
      </c>
      <c r="AI244" t="s">
        <v>74</v>
      </c>
      <c r="AJ244" t="s">
        <v>74</v>
      </c>
      <c r="AK244" t="s">
        <v>74</v>
      </c>
      <c r="AL244" t="s">
        <v>74</v>
      </c>
      <c r="AM244" t="s">
        <v>74</v>
      </c>
      <c r="AN244" t="s">
        <v>74</v>
      </c>
      <c r="AO244" t="s">
        <v>2153</v>
      </c>
      <c r="AP244" t="s">
        <v>74</v>
      </c>
      <c r="AQ244" t="s">
        <v>74</v>
      </c>
      <c r="AR244" t="s">
        <v>74</v>
      </c>
      <c r="AS244" t="s">
        <v>74</v>
      </c>
      <c r="AT244" t="s">
        <v>74</v>
      </c>
      <c r="AU244">
        <v>1983</v>
      </c>
      <c r="AV244">
        <v>32</v>
      </c>
      <c r="AW244">
        <v>1</v>
      </c>
      <c r="AX244" t="s">
        <v>74</v>
      </c>
      <c r="AY244" t="s">
        <v>74</v>
      </c>
      <c r="AZ244" t="s">
        <v>74</v>
      </c>
      <c r="BA244" t="s">
        <v>74</v>
      </c>
      <c r="BB244">
        <v>1</v>
      </c>
      <c r="BC244">
        <v>12</v>
      </c>
      <c r="BD244" t="s">
        <v>74</v>
      </c>
      <c r="BE244" t="s">
        <v>74</v>
      </c>
      <c r="BF244" t="s">
        <v>74</v>
      </c>
      <c r="BG244" t="s">
        <v>74</v>
      </c>
      <c r="BH244" t="s">
        <v>74</v>
      </c>
      <c r="BI244" t="s">
        <v>74</v>
      </c>
      <c r="BJ244" t="s">
        <v>74</v>
      </c>
      <c r="BK244" t="s">
        <v>74</v>
      </c>
      <c r="BL244" t="s">
        <v>74</v>
      </c>
      <c r="BM244" t="s">
        <v>74</v>
      </c>
      <c r="BN244" t="s">
        <v>74</v>
      </c>
      <c r="BO244" t="s">
        <v>74</v>
      </c>
      <c r="BP244" t="s">
        <v>74</v>
      </c>
      <c r="BQ244" t="s">
        <v>74</v>
      </c>
      <c r="BR244" t="s">
        <v>74</v>
      </c>
      <c r="BS244" t="s">
        <v>4406</v>
      </c>
      <c r="BT244" t="str">
        <f>HYPERLINK("https%3A%2F%2Fwww.webofscience.com%2Fwos%2Fwoscc%2Ffull-record%2FWOS:A1983RJ22700001","View Full Record in Web of Science")</f>
        <v>View Full Record in Web of Science</v>
      </c>
    </row>
    <row r="245" spans="1:72" x14ac:dyDescent="0.4">
      <c r="A245" t="s">
        <v>72</v>
      </c>
      <c r="B245" t="s">
        <v>8007</v>
      </c>
      <c r="C245" t="s">
        <v>74</v>
      </c>
      <c r="D245" t="s">
        <v>74</v>
      </c>
      <c r="E245" t="s">
        <v>74</v>
      </c>
      <c r="F245" t="s">
        <v>8008</v>
      </c>
      <c r="G245" t="s">
        <v>74</v>
      </c>
      <c r="H245" t="s">
        <v>74</v>
      </c>
      <c r="I245" t="s">
        <v>8009</v>
      </c>
      <c r="J245" t="s">
        <v>333</v>
      </c>
      <c r="K245" t="s">
        <v>74</v>
      </c>
      <c r="L245" t="s">
        <v>74</v>
      </c>
      <c r="M245" t="s">
        <v>74</v>
      </c>
      <c r="N245" t="s">
        <v>74</v>
      </c>
      <c r="O245" t="s">
        <v>74</v>
      </c>
      <c r="P245" t="s">
        <v>74</v>
      </c>
      <c r="Q245" t="s">
        <v>74</v>
      </c>
      <c r="R245" t="s">
        <v>74</v>
      </c>
      <c r="S245" t="s">
        <v>74</v>
      </c>
      <c r="T245" t="s">
        <v>74</v>
      </c>
      <c r="U245" t="s">
        <v>74</v>
      </c>
      <c r="V245" s="3" t="s">
        <v>8010</v>
      </c>
      <c r="W245" t="s">
        <v>74</v>
      </c>
      <c r="X245" t="s">
        <v>74</v>
      </c>
      <c r="Y245" t="s">
        <v>74</v>
      </c>
      <c r="Z245" t="s">
        <v>74</v>
      </c>
      <c r="AA245" t="s">
        <v>1416</v>
      </c>
      <c r="AB245" t="s">
        <v>74</v>
      </c>
      <c r="AC245" t="s">
        <v>74</v>
      </c>
      <c r="AD245" t="s">
        <v>74</v>
      </c>
      <c r="AE245" t="s">
        <v>74</v>
      </c>
      <c r="AF245" t="s">
        <v>74</v>
      </c>
      <c r="AG245" t="s">
        <v>74</v>
      </c>
      <c r="AH245" t="s">
        <v>74</v>
      </c>
      <c r="AI245" t="s">
        <v>74</v>
      </c>
      <c r="AJ245" t="s">
        <v>74</v>
      </c>
      <c r="AK245" t="s">
        <v>74</v>
      </c>
      <c r="AL245" t="s">
        <v>74</v>
      </c>
      <c r="AM245" t="s">
        <v>74</v>
      </c>
      <c r="AN245" t="s">
        <v>74</v>
      </c>
      <c r="AO245" t="s">
        <v>337</v>
      </c>
      <c r="AP245" t="s">
        <v>338</v>
      </c>
      <c r="AQ245" t="s">
        <v>74</v>
      </c>
      <c r="AR245" t="s">
        <v>74</v>
      </c>
      <c r="AS245" t="s">
        <v>74</v>
      </c>
      <c r="AT245" t="s">
        <v>1013</v>
      </c>
      <c r="AU245">
        <v>2014</v>
      </c>
      <c r="AV245">
        <v>25</v>
      </c>
      <c r="AW245">
        <v>5</v>
      </c>
      <c r="AX245" t="s">
        <v>74</v>
      </c>
      <c r="AY245" t="s">
        <v>74</v>
      </c>
      <c r="AZ245" t="s">
        <v>74</v>
      </c>
      <c r="BA245" t="s">
        <v>74</v>
      </c>
      <c r="BB245">
        <v>1097</v>
      </c>
      <c r="BC245">
        <v>1104</v>
      </c>
      <c r="BD245" t="s">
        <v>74</v>
      </c>
      <c r="BE245" t="s">
        <v>8011</v>
      </c>
      <c r="BF245" t="str">
        <f>HYPERLINK("http://dx.doi.org/10.1093/beheco/aru087","http://dx.doi.org/10.1093/beheco/aru087")</f>
        <v>http://dx.doi.org/10.1093/beheco/aru087</v>
      </c>
      <c r="BG245" t="s">
        <v>74</v>
      </c>
      <c r="BH245" t="s">
        <v>74</v>
      </c>
      <c r="BI245" t="s">
        <v>74</v>
      </c>
      <c r="BJ245" t="s">
        <v>74</v>
      </c>
      <c r="BK245" t="s">
        <v>74</v>
      </c>
      <c r="BL245" t="s">
        <v>74</v>
      </c>
      <c r="BM245" t="s">
        <v>74</v>
      </c>
      <c r="BN245" t="s">
        <v>74</v>
      </c>
      <c r="BO245" t="s">
        <v>74</v>
      </c>
      <c r="BP245" t="s">
        <v>74</v>
      </c>
      <c r="BQ245" t="s">
        <v>74</v>
      </c>
      <c r="BR245" t="s">
        <v>74</v>
      </c>
      <c r="BS245" t="s">
        <v>8012</v>
      </c>
      <c r="BT245" t="str">
        <f>HYPERLINK("https%3A%2F%2Fwww.webofscience.com%2Fwos%2Fwoscc%2Ffull-record%2FWOS:000342360200015","View Full Record in Web of Science")</f>
        <v>View Full Record in Web of Science</v>
      </c>
    </row>
    <row r="246" spans="1:72" x14ac:dyDescent="0.4">
      <c r="A246" t="s">
        <v>72</v>
      </c>
      <c r="B246" t="s">
        <v>6217</v>
      </c>
      <c r="C246" t="s">
        <v>74</v>
      </c>
      <c r="D246" t="s">
        <v>74</v>
      </c>
      <c r="E246" t="s">
        <v>74</v>
      </c>
      <c r="F246" t="s">
        <v>6217</v>
      </c>
      <c r="G246" t="s">
        <v>74</v>
      </c>
      <c r="H246" t="s">
        <v>74</v>
      </c>
      <c r="I246" t="s">
        <v>6218</v>
      </c>
      <c r="J246" t="s">
        <v>312</v>
      </c>
      <c r="K246" t="s">
        <v>74</v>
      </c>
      <c r="L246" t="s">
        <v>74</v>
      </c>
      <c r="M246" t="s">
        <v>74</v>
      </c>
      <c r="N246" t="s">
        <v>74</v>
      </c>
      <c r="O246" t="s">
        <v>74</v>
      </c>
      <c r="P246" t="s">
        <v>74</v>
      </c>
      <c r="Q246" t="s">
        <v>74</v>
      </c>
      <c r="R246" t="s">
        <v>74</v>
      </c>
      <c r="S246" t="s">
        <v>74</v>
      </c>
      <c r="T246" t="s">
        <v>74</v>
      </c>
      <c r="U246" t="s">
        <v>74</v>
      </c>
      <c r="V246" s="3" t="s">
        <v>6219</v>
      </c>
      <c r="W246" t="s">
        <v>74</v>
      </c>
      <c r="X246" t="s">
        <v>74</v>
      </c>
      <c r="Y246" t="s">
        <v>74</v>
      </c>
      <c r="Z246" t="s">
        <v>74</v>
      </c>
      <c r="AA246" t="s">
        <v>6220</v>
      </c>
      <c r="AB246" t="s">
        <v>6221</v>
      </c>
      <c r="AC246" t="s">
        <v>74</v>
      </c>
      <c r="AD246" t="s">
        <v>74</v>
      </c>
      <c r="AE246" t="s">
        <v>74</v>
      </c>
      <c r="AF246" t="s">
        <v>74</v>
      </c>
      <c r="AG246" t="s">
        <v>74</v>
      </c>
      <c r="AH246" t="s">
        <v>74</v>
      </c>
      <c r="AI246" t="s">
        <v>74</v>
      </c>
      <c r="AJ246" t="s">
        <v>74</v>
      </c>
      <c r="AK246" t="s">
        <v>74</v>
      </c>
      <c r="AL246" t="s">
        <v>74</v>
      </c>
      <c r="AM246" t="s">
        <v>74</v>
      </c>
      <c r="AN246" t="s">
        <v>74</v>
      </c>
      <c r="AO246" t="s">
        <v>314</v>
      </c>
      <c r="AP246" t="s">
        <v>315</v>
      </c>
      <c r="AQ246" t="s">
        <v>74</v>
      </c>
      <c r="AR246" t="s">
        <v>74</v>
      </c>
      <c r="AS246" t="s">
        <v>74</v>
      </c>
      <c r="AT246" t="s">
        <v>204</v>
      </c>
      <c r="AU246">
        <v>2001</v>
      </c>
      <c r="AV246">
        <v>158</v>
      </c>
      <c r="AW246">
        <v>1</v>
      </c>
      <c r="AX246" t="s">
        <v>74</v>
      </c>
      <c r="AY246" t="s">
        <v>74</v>
      </c>
      <c r="AZ246" t="s">
        <v>74</v>
      </c>
      <c r="BA246" t="s">
        <v>74</v>
      </c>
      <c r="BB246">
        <v>75</v>
      </c>
      <c r="BC246">
        <v>86</v>
      </c>
      <c r="BD246" t="s">
        <v>74</v>
      </c>
      <c r="BE246" t="s">
        <v>6222</v>
      </c>
      <c r="BF246" t="str">
        <f>HYPERLINK("http://dx.doi.org/10.1086/320861","http://dx.doi.org/10.1086/320861")</f>
        <v>http://dx.doi.org/10.1086/320861</v>
      </c>
      <c r="BG246" t="s">
        <v>74</v>
      </c>
      <c r="BH246" t="s">
        <v>74</v>
      </c>
      <c r="BI246" t="s">
        <v>74</v>
      </c>
      <c r="BJ246" t="s">
        <v>74</v>
      </c>
      <c r="BK246" t="s">
        <v>74</v>
      </c>
      <c r="BL246" t="s">
        <v>74</v>
      </c>
      <c r="BM246" t="s">
        <v>74</v>
      </c>
      <c r="BN246">
        <v>18707316</v>
      </c>
      <c r="BO246" t="s">
        <v>74</v>
      </c>
      <c r="BP246" t="s">
        <v>74</v>
      </c>
      <c r="BQ246" t="s">
        <v>74</v>
      </c>
      <c r="BR246" t="s">
        <v>74</v>
      </c>
      <c r="BS246" t="s">
        <v>6223</v>
      </c>
      <c r="BT246" t="str">
        <f>HYPERLINK("https%3A%2F%2Fwww.webofscience.com%2Fwos%2Fwoscc%2Ffull-record%2FWOS:000169198200006","View Full Record in Web of Science")</f>
        <v>View Full Record in Web of Science</v>
      </c>
    </row>
    <row r="247" spans="1:72" x14ac:dyDescent="0.4">
      <c r="A247" t="s">
        <v>72</v>
      </c>
      <c r="B247" t="s">
        <v>5785</v>
      </c>
      <c r="C247" t="s">
        <v>74</v>
      </c>
      <c r="D247" t="s">
        <v>74</v>
      </c>
      <c r="E247" t="s">
        <v>74</v>
      </c>
      <c r="F247" t="s">
        <v>5785</v>
      </c>
      <c r="G247" t="s">
        <v>74</v>
      </c>
      <c r="H247" t="s">
        <v>74</v>
      </c>
      <c r="I247" t="s">
        <v>5786</v>
      </c>
      <c r="J247" t="s">
        <v>431</v>
      </c>
      <c r="K247" t="s">
        <v>74</v>
      </c>
      <c r="L247" t="s">
        <v>74</v>
      </c>
      <c r="M247" t="s">
        <v>74</v>
      </c>
      <c r="N247" t="s">
        <v>74</v>
      </c>
      <c r="O247" t="s">
        <v>74</v>
      </c>
      <c r="P247" t="s">
        <v>74</v>
      </c>
      <c r="Q247" t="s">
        <v>74</v>
      </c>
      <c r="R247" t="s">
        <v>74</v>
      </c>
      <c r="S247" t="s">
        <v>74</v>
      </c>
      <c r="T247" t="s">
        <v>74</v>
      </c>
      <c r="U247" t="s">
        <v>74</v>
      </c>
      <c r="V247" s="3" t="s">
        <v>5787</v>
      </c>
      <c r="W247" t="s">
        <v>74</v>
      </c>
      <c r="X247" t="s">
        <v>74</v>
      </c>
      <c r="Y247" t="s">
        <v>74</v>
      </c>
      <c r="Z247" t="s">
        <v>74</v>
      </c>
      <c r="AA247" t="s">
        <v>74</v>
      </c>
      <c r="AB247" t="s">
        <v>74</v>
      </c>
      <c r="AC247" t="s">
        <v>74</v>
      </c>
      <c r="AD247" t="s">
        <v>74</v>
      </c>
      <c r="AE247" t="s">
        <v>74</v>
      </c>
      <c r="AF247" t="s">
        <v>74</v>
      </c>
      <c r="AG247" t="s">
        <v>74</v>
      </c>
      <c r="AH247" t="s">
        <v>74</v>
      </c>
      <c r="AI247" t="s">
        <v>74</v>
      </c>
      <c r="AJ247" t="s">
        <v>74</v>
      </c>
      <c r="AK247" t="s">
        <v>74</v>
      </c>
      <c r="AL247" t="s">
        <v>74</v>
      </c>
      <c r="AM247" t="s">
        <v>74</v>
      </c>
      <c r="AN247" t="s">
        <v>74</v>
      </c>
      <c r="AO247" t="s">
        <v>1458</v>
      </c>
      <c r="AP247" t="s">
        <v>435</v>
      </c>
      <c r="AQ247" t="s">
        <v>74</v>
      </c>
      <c r="AR247" t="s">
        <v>74</v>
      </c>
      <c r="AS247" t="s">
        <v>74</v>
      </c>
      <c r="AT247" t="s">
        <v>175</v>
      </c>
      <c r="AU247">
        <v>1996</v>
      </c>
      <c r="AV247">
        <v>113</v>
      </c>
      <c r="AW247">
        <v>4</v>
      </c>
      <c r="AX247" t="s">
        <v>74</v>
      </c>
      <c r="AY247" t="s">
        <v>74</v>
      </c>
      <c r="AZ247" t="s">
        <v>74</v>
      </c>
      <c r="BA247" t="s">
        <v>74</v>
      </c>
      <c r="BB247">
        <v>849</v>
      </c>
      <c r="BC247">
        <v>857</v>
      </c>
      <c r="BD247" t="s">
        <v>74</v>
      </c>
      <c r="BE247" t="s">
        <v>5788</v>
      </c>
      <c r="BF247" t="str">
        <f>HYPERLINK("http://dx.doi.org/10.2307/4088863","http://dx.doi.org/10.2307/4088863")</f>
        <v>http://dx.doi.org/10.2307/4088863</v>
      </c>
      <c r="BG247" t="s">
        <v>74</v>
      </c>
      <c r="BH247" t="s">
        <v>74</v>
      </c>
      <c r="BI247" t="s">
        <v>74</v>
      </c>
      <c r="BJ247" t="s">
        <v>74</v>
      </c>
      <c r="BK247" t="s">
        <v>74</v>
      </c>
      <c r="BL247" t="s">
        <v>74</v>
      </c>
      <c r="BM247" t="s">
        <v>74</v>
      </c>
      <c r="BN247" t="s">
        <v>74</v>
      </c>
      <c r="BO247" t="s">
        <v>74</v>
      </c>
      <c r="BP247" t="s">
        <v>74</v>
      </c>
      <c r="BQ247" t="s">
        <v>74</v>
      </c>
      <c r="BR247" t="s">
        <v>74</v>
      </c>
      <c r="BS247" t="s">
        <v>5789</v>
      </c>
      <c r="BT247" t="str">
        <f>HYPERLINK("https%3A%2F%2Fwww.webofscience.com%2Fwos%2Fwoscc%2Ffull-record%2FWOS:A1996VN96300011","View Full Record in Web of Science")</f>
        <v>View Full Record in Web of Science</v>
      </c>
    </row>
    <row r="248" spans="1:72" x14ac:dyDescent="0.4">
      <c r="A248" t="s">
        <v>72</v>
      </c>
      <c r="B248" t="s">
        <v>6259</v>
      </c>
      <c r="C248" t="s">
        <v>74</v>
      </c>
      <c r="D248" t="s">
        <v>74</v>
      </c>
      <c r="E248" t="s">
        <v>74</v>
      </c>
      <c r="F248" t="s">
        <v>6260</v>
      </c>
      <c r="G248" t="s">
        <v>74</v>
      </c>
      <c r="H248" t="s">
        <v>74</v>
      </c>
      <c r="I248" t="s">
        <v>6261</v>
      </c>
      <c r="J248" t="s">
        <v>6262</v>
      </c>
      <c r="K248" t="s">
        <v>74</v>
      </c>
      <c r="L248" t="s">
        <v>74</v>
      </c>
      <c r="M248" t="s">
        <v>74</v>
      </c>
      <c r="N248" t="s">
        <v>74</v>
      </c>
      <c r="O248" t="s">
        <v>74</v>
      </c>
      <c r="P248" t="s">
        <v>74</v>
      </c>
      <c r="Q248" t="s">
        <v>74</v>
      </c>
      <c r="R248" t="s">
        <v>74</v>
      </c>
      <c r="S248" t="s">
        <v>74</v>
      </c>
      <c r="T248" t="s">
        <v>74</v>
      </c>
      <c r="U248" t="s">
        <v>74</v>
      </c>
      <c r="V248" s="3" t="s">
        <v>6263</v>
      </c>
      <c r="W248" t="s">
        <v>74</v>
      </c>
      <c r="X248" t="s">
        <v>74</v>
      </c>
      <c r="Y248" t="s">
        <v>74</v>
      </c>
      <c r="Z248" t="s">
        <v>74</v>
      </c>
      <c r="AA248" t="s">
        <v>6264</v>
      </c>
      <c r="AB248" t="s">
        <v>6265</v>
      </c>
      <c r="AC248" t="s">
        <v>74</v>
      </c>
      <c r="AD248" t="s">
        <v>74</v>
      </c>
      <c r="AE248" t="s">
        <v>74</v>
      </c>
      <c r="AF248" t="s">
        <v>74</v>
      </c>
      <c r="AG248" t="s">
        <v>74</v>
      </c>
      <c r="AH248" t="s">
        <v>74</v>
      </c>
      <c r="AI248" t="s">
        <v>74</v>
      </c>
      <c r="AJ248" t="s">
        <v>74</v>
      </c>
      <c r="AK248" t="s">
        <v>74</v>
      </c>
      <c r="AL248" t="s">
        <v>74</v>
      </c>
      <c r="AM248" t="s">
        <v>74</v>
      </c>
      <c r="AN248" t="s">
        <v>74</v>
      </c>
      <c r="AO248" t="s">
        <v>6266</v>
      </c>
      <c r="AP248" t="s">
        <v>74</v>
      </c>
      <c r="AQ248" t="s">
        <v>74</v>
      </c>
      <c r="AR248" t="s">
        <v>74</v>
      </c>
      <c r="AS248" t="s">
        <v>74</v>
      </c>
      <c r="AT248" t="s">
        <v>305</v>
      </c>
      <c r="AU248">
        <v>2006</v>
      </c>
      <c r="AV248">
        <v>29</v>
      </c>
      <c r="AW248">
        <v>6</v>
      </c>
      <c r="AX248" t="s">
        <v>74</v>
      </c>
      <c r="AY248" t="s">
        <v>74</v>
      </c>
      <c r="AZ248" t="s">
        <v>74</v>
      </c>
      <c r="BA248" t="s">
        <v>74</v>
      </c>
      <c r="BB248">
        <v>886</v>
      </c>
      <c r="BC248">
        <v>898</v>
      </c>
      <c r="BD248" t="s">
        <v>74</v>
      </c>
      <c r="BE248" t="s">
        <v>6267</v>
      </c>
      <c r="BF248" t="str">
        <f>HYPERLINK("http://dx.doi.org/10.1111/j.2006.0906-7590.04816.x","http://dx.doi.org/10.1111/j.2006.0906-7590.04816.x")</f>
        <v>http://dx.doi.org/10.1111/j.2006.0906-7590.04816.x</v>
      </c>
      <c r="BG248" t="s">
        <v>74</v>
      </c>
      <c r="BH248" t="s">
        <v>74</v>
      </c>
      <c r="BI248" t="s">
        <v>74</v>
      </c>
      <c r="BJ248" t="s">
        <v>74</v>
      </c>
      <c r="BK248" t="s">
        <v>74</v>
      </c>
      <c r="BL248" t="s">
        <v>74</v>
      </c>
      <c r="BM248" t="s">
        <v>74</v>
      </c>
      <c r="BN248" t="s">
        <v>74</v>
      </c>
      <c r="BO248" t="s">
        <v>74</v>
      </c>
      <c r="BP248" t="s">
        <v>74</v>
      </c>
      <c r="BQ248" t="s">
        <v>74</v>
      </c>
      <c r="BR248" t="s">
        <v>74</v>
      </c>
      <c r="BS248" t="s">
        <v>6268</v>
      </c>
      <c r="BT248" t="str">
        <f>HYPERLINK("https%3A%2F%2Fwww.webofscience.com%2Fwos%2Fwoscc%2Ffull-record%2FWOS:000243634500010","View Full Record in Web of Science")</f>
        <v>View Full Record in Web of Science</v>
      </c>
    </row>
    <row r="249" spans="1:72" x14ac:dyDescent="0.4">
      <c r="A249" t="s">
        <v>72</v>
      </c>
      <c r="B249" t="s">
        <v>6781</v>
      </c>
      <c r="C249" t="s">
        <v>74</v>
      </c>
      <c r="D249" t="s">
        <v>74</v>
      </c>
      <c r="E249" t="s">
        <v>74</v>
      </c>
      <c r="F249" t="s">
        <v>6782</v>
      </c>
      <c r="G249" t="s">
        <v>74</v>
      </c>
      <c r="H249" t="s">
        <v>74</v>
      </c>
      <c r="I249" t="s">
        <v>6783</v>
      </c>
      <c r="J249" t="s">
        <v>367</v>
      </c>
      <c r="K249" t="s">
        <v>74</v>
      </c>
      <c r="L249" t="s">
        <v>74</v>
      </c>
      <c r="M249" t="s">
        <v>74</v>
      </c>
      <c r="N249" t="s">
        <v>74</v>
      </c>
      <c r="O249" t="s">
        <v>74</v>
      </c>
      <c r="P249" t="s">
        <v>74</v>
      </c>
      <c r="Q249" t="s">
        <v>74</v>
      </c>
      <c r="R249" t="s">
        <v>74</v>
      </c>
      <c r="S249" t="s">
        <v>74</v>
      </c>
      <c r="T249" t="s">
        <v>74</v>
      </c>
      <c r="U249" t="s">
        <v>74</v>
      </c>
      <c r="V249" s="3" t="s">
        <v>6784</v>
      </c>
      <c r="W249" t="s">
        <v>74</v>
      </c>
      <c r="X249" t="s">
        <v>74</v>
      </c>
      <c r="Y249" t="s">
        <v>74</v>
      </c>
      <c r="Z249" t="s">
        <v>74</v>
      </c>
      <c r="AA249" t="s">
        <v>6785</v>
      </c>
      <c r="AB249" t="s">
        <v>6786</v>
      </c>
      <c r="AC249" t="s">
        <v>74</v>
      </c>
      <c r="AD249" t="s">
        <v>74</v>
      </c>
      <c r="AE249" t="s">
        <v>74</v>
      </c>
      <c r="AF249" t="s">
        <v>74</v>
      </c>
      <c r="AG249" t="s">
        <v>74</v>
      </c>
      <c r="AH249" t="s">
        <v>74</v>
      </c>
      <c r="AI249" t="s">
        <v>74</v>
      </c>
      <c r="AJ249" t="s">
        <v>74</v>
      </c>
      <c r="AK249" t="s">
        <v>74</v>
      </c>
      <c r="AL249" t="s">
        <v>74</v>
      </c>
      <c r="AM249" t="s">
        <v>74</v>
      </c>
      <c r="AN249" t="s">
        <v>74</v>
      </c>
      <c r="AO249" t="s">
        <v>371</v>
      </c>
      <c r="AP249" t="s">
        <v>372</v>
      </c>
      <c r="AQ249" t="s">
        <v>74</v>
      </c>
      <c r="AR249" t="s">
        <v>74</v>
      </c>
      <c r="AS249" t="s">
        <v>74</v>
      </c>
      <c r="AT249" t="s">
        <v>134</v>
      </c>
      <c r="AU249">
        <v>2019</v>
      </c>
      <c r="AV249">
        <v>133</v>
      </c>
      <c r="AW249">
        <v>2</v>
      </c>
      <c r="AX249" t="s">
        <v>74</v>
      </c>
      <c r="AY249" t="s">
        <v>74</v>
      </c>
      <c r="AZ249" t="s">
        <v>74</v>
      </c>
      <c r="BA249" t="s">
        <v>74</v>
      </c>
      <c r="BB249">
        <v>262</v>
      </c>
      <c r="BC249">
        <v>271</v>
      </c>
      <c r="BD249" t="s">
        <v>74</v>
      </c>
      <c r="BE249" t="s">
        <v>6787</v>
      </c>
      <c r="BF249" t="str">
        <f>HYPERLINK("http://dx.doi.org/10.1037/com0000148","http://dx.doi.org/10.1037/com0000148")</f>
        <v>http://dx.doi.org/10.1037/com0000148</v>
      </c>
      <c r="BG249" t="s">
        <v>74</v>
      </c>
      <c r="BH249" t="s">
        <v>74</v>
      </c>
      <c r="BI249" t="s">
        <v>74</v>
      </c>
      <c r="BJ249" t="s">
        <v>74</v>
      </c>
      <c r="BK249" t="s">
        <v>74</v>
      </c>
      <c r="BL249" t="s">
        <v>74</v>
      </c>
      <c r="BM249" t="s">
        <v>74</v>
      </c>
      <c r="BN249">
        <v>30550303</v>
      </c>
      <c r="BO249" t="s">
        <v>74</v>
      </c>
      <c r="BP249" t="s">
        <v>74</v>
      </c>
      <c r="BQ249" t="s">
        <v>74</v>
      </c>
      <c r="BR249" t="s">
        <v>74</v>
      </c>
      <c r="BS249" t="s">
        <v>6788</v>
      </c>
      <c r="BT249" t="str">
        <f>HYPERLINK("https%3A%2F%2Fwww.webofscience.com%2Fwos%2Fwoscc%2Ffull-record%2FWOS:000467403500013","View Full Record in Web of Science")</f>
        <v>View Full Record in Web of Science</v>
      </c>
    </row>
    <row r="250" spans="1:72" x14ac:dyDescent="0.4">
      <c r="A250" t="s">
        <v>72</v>
      </c>
      <c r="B250" t="s">
        <v>8126</v>
      </c>
      <c r="C250" t="s">
        <v>74</v>
      </c>
      <c r="D250" t="s">
        <v>74</v>
      </c>
      <c r="E250" t="s">
        <v>74</v>
      </c>
      <c r="F250" t="s">
        <v>8127</v>
      </c>
      <c r="G250" t="s">
        <v>74</v>
      </c>
      <c r="H250" t="s">
        <v>74</v>
      </c>
      <c r="I250" t="s">
        <v>8128</v>
      </c>
      <c r="J250" t="s">
        <v>8129</v>
      </c>
      <c r="K250" t="s">
        <v>74</v>
      </c>
      <c r="L250" t="s">
        <v>74</v>
      </c>
      <c r="M250" t="s">
        <v>74</v>
      </c>
      <c r="N250" t="s">
        <v>74</v>
      </c>
      <c r="O250" t="s">
        <v>74</v>
      </c>
      <c r="P250" t="s">
        <v>74</v>
      </c>
      <c r="Q250" t="s">
        <v>74</v>
      </c>
      <c r="R250" t="s">
        <v>74</v>
      </c>
      <c r="S250" t="s">
        <v>74</v>
      </c>
      <c r="T250" t="s">
        <v>74</v>
      </c>
      <c r="U250" t="s">
        <v>74</v>
      </c>
      <c r="V250" s="3" t="s">
        <v>8130</v>
      </c>
      <c r="W250" t="s">
        <v>74</v>
      </c>
      <c r="X250" t="s">
        <v>74</v>
      </c>
      <c r="Y250" t="s">
        <v>74</v>
      </c>
      <c r="Z250" t="s">
        <v>74</v>
      </c>
      <c r="AA250" t="s">
        <v>74</v>
      </c>
      <c r="AB250" t="s">
        <v>74</v>
      </c>
      <c r="AC250" t="s">
        <v>74</v>
      </c>
      <c r="AD250" t="s">
        <v>74</v>
      </c>
      <c r="AE250" t="s">
        <v>74</v>
      </c>
      <c r="AF250" t="s">
        <v>74</v>
      </c>
      <c r="AG250" t="s">
        <v>74</v>
      </c>
      <c r="AH250" t="s">
        <v>74</v>
      </c>
      <c r="AI250" t="s">
        <v>74</v>
      </c>
      <c r="AJ250" t="s">
        <v>74</v>
      </c>
      <c r="AK250" t="s">
        <v>74</v>
      </c>
      <c r="AL250" t="s">
        <v>74</v>
      </c>
      <c r="AM250" t="s">
        <v>74</v>
      </c>
      <c r="AN250" t="s">
        <v>74</v>
      </c>
      <c r="AO250" t="s">
        <v>8131</v>
      </c>
      <c r="AP250" t="s">
        <v>8132</v>
      </c>
      <c r="AQ250" t="s">
        <v>74</v>
      </c>
      <c r="AR250" t="s">
        <v>74</v>
      </c>
      <c r="AS250" t="s">
        <v>74</v>
      </c>
      <c r="AT250" t="s">
        <v>964</v>
      </c>
      <c r="AU250">
        <v>2020</v>
      </c>
      <c r="AV250">
        <v>22</v>
      </c>
      <c r="AW250">
        <v>2</v>
      </c>
      <c r="AX250" t="s">
        <v>74</v>
      </c>
      <c r="AY250" t="s">
        <v>74</v>
      </c>
      <c r="AZ250" t="s">
        <v>74</v>
      </c>
      <c r="BA250" t="s">
        <v>74</v>
      </c>
      <c r="BB250">
        <v>783</v>
      </c>
      <c r="BC250">
        <v>797</v>
      </c>
      <c r="BD250" t="s">
        <v>74</v>
      </c>
      <c r="BE250" t="s">
        <v>8133</v>
      </c>
      <c r="BF250" t="str">
        <f>HYPERLINK("http://dx.doi.org/10.1007/s10530-019-02130-6","http://dx.doi.org/10.1007/s10530-019-02130-6")</f>
        <v>http://dx.doi.org/10.1007/s10530-019-02130-6</v>
      </c>
      <c r="BG250" t="s">
        <v>74</v>
      </c>
      <c r="BH250" t="s">
        <v>2283</v>
      </c>
      <c r="BI250" t="s">
        <v>74</v>
      </c>
      <c r="BJ250" t="s">
        <v>74</v>
      </c>
      <c r="BK250" t="s">
        <v>74</v>
      </c>
      <c r="BL250" t="s">
        <v>74</v>
      </c>
      <c r="BM250" t="s">
        <v>74</v>
      </c>
      <c r="BN250" t="s">
        <v>74</v>
      </c>
      <c r="BO250" t="s">
        <v>74</v>
      </c>
      <c r="BP250" t="s">
        <v>74</v>
      </c>
      <c r="BQ250" t="s">
        <v>74</v>
      </c>
      <c r="BR250" t="s">
        <v>74</v>
      </c>
      <c r="BS250" t="s">
        <v>8134</v>
      </c>
      <c r="BT250" t="str">
        <f>HYPERLINK("https%3A%2F%2Fwww.webofscience.com%2Fwos%2Fwoscc%2Ffull-record%2FWOS:000498741600005","View Full Record in Web of Science")</f>
        <v>View Full Record in Web of Science</v>
      </c>
    </row>
    <row r="251" spans="1:72" x14ac:dyDescent="0.4">
      <c r="A251" t="s">
        <v>72</v>
      </c>
      <c r="B251" t="s">
        <v>4453</v>
      </c>
      <c r="C251" t="s">
        <v>74</v>
      </c>
      <c r="D251" t="s">
        <v>74</v>
      </c>
      <c r="E251" t="s">
        <v>74</v>
      </c>
      <c r="F251" t="s">
        <v>4454</v>
      </c>
      <c r="G251" t="s">
        <v>74</v>
      </c>
      <c r="H251" t="s">
        <v>74</v>
      </c>
      <c r="I251" t="s">
        <v>4455</v>
      </c>
      <c r="J251" t="s">
        <v>4456</v>
      </c>
      <c r="K251" t="s">
        <v>74</v>
      </c>
      <c r="L251" t="s">
        <v>74</v>
      </c>
      <c r="M251" t="s">
        <v>74</v>
      </c>
      <c r="N251" t="s">
        <v>74</v>
      </c>
      <c r="O251" t="s">
        <v>74</v>
      </c>
      <c r="P251" t="s">
        <v>74</v>
      </c>
      <c r="Q251" t="s">
        <v>74</v>
      </c>
      <c r="R251" t="s">
        <v>74</v>
      </c>
      <c r="S251" t="s">
        <v>74</v>
      </c>
      <c r="T251" t="s">
        <v>74</v>
      </c>
      <c r="U251" t="s">
        <v>74</v>
      </c>
      <c r="V251" s="3" t="s">
        <v>4457</v>
      </c>
      <c r="W251" t="s">
        <v>74</v>
      </c>
      <c r="X251" t="s">
        <v>74</v>
      </c>
      <c r="Y251" t="s">
        <v>74</v>
      </c>
      <c r="Z251" t="s">
        <v>74</v>
      </c>
      <c r="AA251" t="s">
        <v>4458</v>
      </c>
      <c r="AB251" t="s">
        <v>4459</v>
      </c>
      <c r="AC251" t="s">
        <v>74</v>
      </c>
      <c r="AD251" t="s">
        <v>74</v>
      </c>
      <c r="AE251" t="s">
        <v>74</v>
      </c>
      <c r="AF251" t="s">
        <v>74</v>
      </c>
      <c r="AG251" t="s">
        <v>74</v>
      </c>
      <c r="AH251" t="s">
        <v>74</v>
      </c>
      <c r="AI251" t="s">
        <v>74</v>
      </c>
      <c r="AJ251" t="s">
        <v>74</v>
      </c>
      <c r="AK251" t="s">
        <v>74</v>
      </c>
      <c r="AL251" t="s">
        <v>74</v>
      </c>
      <c r="AM251" t="s">
        <v>74</v>
      </c>
      <c r="AN251" t="s">
        <v>74</v>
      </c>
      <c r="AO251" t="s">
        <v>4460</v>
      </c>
      <c r="AP251" t="s">
        <v>4461</v>
      </c>
      <c r="AQ251" t="s">
        <v>74</v>
      </c>
      <c r="AR251" t="s">
        <v>74</v>
      </c>
      <c r="AS251" t="s">
        <v>74</v>
      </c>
      <c r="AT251" t="s">
        <v>3445</v>
      </c>
      <c r="AU251">
        <v>2011</v>
      </c>
      <c r="AV251">
        <v>239</v>
      </c>
      <c r="AW251">
        <v>6</v>
      </c>
      <c r="AX251" t="s">
        <v>74</v>
      </c>
      <c r="AY251" t="s">
        <v>74</v>
      </c>
      <c r="AZ251" t="s">
        <v>74</v>
      </c>
      <c r="BA251" t="s">
        <v>74</v>
      </c>
      <c r="BB251">
        <v>796</v>
      </c>
      <c r="BC251">
        <v>801</v>
      </c>
      <c r="BD251" t="s">
        <v>74</v>
      </c>
      <c r="BE251" t="s">
        <v>74</v>
      </c>
      <c r="BF251" t="s">
        <v>74</v>
      </c>
      <c r="BG251" t="s">
        <v>74</v>
      </c>
      <c r="BH251" t="s">
        <v>74</v>
      </c>
      <c r="BI251" t="s">
        <v>74</v>
      </c>
      <c r="BJ251" t="s">
        <v>74</v>
      </c>
      <c r="BK251" t="s">
        <v>74</v>
      </c>
      <c r="BL251" t="s">
        <v>74</v>
      </c>
      <c r="BM251" t="s">
        <v>74</v>
      </c>
      <c r="BN251">
        <v>21916762</v>
      </c>
      <c r="BO251" t="s">
        <v>74</v>
      </c>
      <c r="BP251" t="s">
        <v>74</v>
      </c>
      <c r="BQ251" t="s">
        <v>74</v>
      </c>
      <c r="BR251" t="s">
        <v>74</v>
      </c>
      <c r="BS251" t="s">
        <v>4462</v>
      </c>
      <c r="BT251" t="str">
        <f>HYPERLINK("https%3A%2F%2Fwww.webofscience.com%2Fwos%2Fwoscc%2Ffull-record%2FWOS:000294792100008","View Full Record in Web of Science")</f>
        <v>View Full Record in Web of Science</v>
      </c>
    </row>
    <row r="252" spans="1:72" x14ac:dyDescent="0.4">
      <c r="A252" t="s">
        <v>72</v>
      </c>
      <c r="B252" t="s">
        <v>7609</v>
      </c>
      <c r="C252" t="s">
        <v>74</v>
      </c>
      <c r="D252" t="s">
        <v>74</v>
      </c>
      <c r="E252" t="s">
        <v>74</v>
      </c>
      <c r="F252" t="s">
        <v>7610</v>
      </c>
      <c r="G252" t="s">
        <v>74</v>
      </c>
      <c r="H252" t="s">
        <v>74</v>
      </c>
      <c r="I252" t="s">
        <v>7611</v>
      </c>
      <c r="J252" t="s">
        <v>7612</v>
      </c>
      <c r="K252" t="s">
        <v>74</v>
      </c>
      <c r="L252" t="s">
        <v>74</v>
      </c>
      <c r="M252" t="s">
        <v>74</v>
      </c>
      <c r="N252" t="s">
        <v>74</v>
      </c>
      <c r="O252" t="s">
        <v>74</v>
      </c>
      <c r="P252" t="s">
        <v>74</v>
      </c>
      <c r="Q252" t="s">
        <v>74</v>
      </c>
      <c r="R252" t="s">
        <v>74</v>
      </c>
      <c r="S252" t="s">
        <v>74</v>
      </c>
      <c r="T252" t="s">
        <v>74</v>
      </c>
      <c r="U252" t="s">
        <v>74</v>
      </c>
      <c r="V252" s="3" t="s">
        <v>7613</v>
      </c>
      <c r="W252" t="s">
        <v>74</v>
      </c>
      <c r="X252" t="s">
        <v>74</v>
      </c>
      <c r="Y252" t="s">
        <v>74</v>
      </c>
      <c r="Z252" t="s">
        <v>74</v>
      </c>
      <c r="AA252" t="s">
        <v>74</v>
      </c>
      <c r="AB252" t="s">
        <v>7614</v>
      </c>
      <c r="AC252" t="s">
        <v>74</v>
      </c>
      <c r="AD252" t="s">
        <v>74</v>
      </c>
      <c r="AE252" t="s">
        <v>74</v>
      </c>
      <c r="AF252" t="s">
        <v>74</v>
      </c>
      <c r="AG252" t="s">
        <v>74</v>
      </c>
      <c r="AH252" t="s">
        <v>74</v>
      </c>
      <c r="AI252" t="s">
        <v>74</v>
      </c>
      <c r="AJ252" t="s">
        <v>74</v>
      </c>
      <c r="AK252" t="s">
        <v>74</v>
      </c>
      <c r="AL252" t="s">
        <v>74</v>
      </c>
      <c r="AM252" t="s">
        <v>74</v>
      </c>
      <c r="AN252" t="s">
        <v>74</v>
      </c>
      <c r="AO252" t="s">
        <v>7615</v>
      </c>
      <c r="AP252" t="s">
        <v>7616</v>
      </c>
      <c r="AQ252" t="s">
        <v>74</v>
      </c>
      <c r="AR252" t="s">
        <v>74</v>
      </c>
      <c r="AS252" t="s">
        <v>74</v>
      </c>
      <c r="AT252" t="s">
        <v>305</v>
      </c>
      <c r="AU252">
        <v>2019</v>
      </c>
      <c r="AV252">
        <v>35</v>
      </c>
      <c r="AW252">
        <v>6</v>
      </c>
      <c r="AX252" t="s">
        <v>74</v>
      </c>
      <c r="AY252" t="s">
        <v>74</v>
      </c>
      <c r="AZ252" t="s">
        <v>74</v>
      </c>
      <c r="BA252" t="s">
        <v>74</v>
      </c>
      <c r="BB252">
        <v>1225</v>
      </c>
      <c r="BC252">
        <v>1233</v>
      </c>
      <c r="BD252" t="s">
        <v>74</v>
      </c>
      <c r="BE252" t="s">
        <v>7617</v>
      </c>
      <c r="BF252" t="str">
        <f>HYPERLINK("http://dx.doi.org/10.1111/jai.13982","http://dx.doi.org/10.1111/jai.13982")</f>
        <v>http://dx.doi.org/10.1111/jai.13982</v>
      </c>
      <c r="BG252" t="s">
        <v>74</v>
      </c>
      <c r="BH252" t="s">
        <v>74</v>
      </c>
      <c r="BI252" t="s">
        <v>74</v>
      </c>
      <c r="BJ252" t="s">
        <v>74</v>
      </c>
      <c r="BK252" t="s">
        <v>74</v>
      </c>
      <c r="BL252" t="s">
        <v>74</v>
      </c>
      <c r="BM252" t="s">
        <v>74</v>
      </c>
      <c r="BN252" t="s">
        <v>74</v>
      </c>
      <c r="BO252" t="s">
        <v>74</v>
      </c>
      <c r="BP252" t="s">
        <v>74</v>
      </c>
      <c r="BQ252" t="s">
        <v>74</v>
      </c>
      <c r="BR252" t="s">
        <v>74</v>
      </c>
      <c r="BS252" t="s">
        <v>7618</v>
      </c>
      <c r="BT252" t="str">
        <f>HYPERLINK("https%3A%2F%2Fwww.webofscience.com%2Fwos%2Fwoscc%2Ffull-record%2FWOS:000499266300006","View Full Record in Web of Science")</f>
        <v>View Full Record in Web of Science</v>
      </c>
    </row>
    <row r="253" spans="1:72" x14ac:dyDescent="0.4">
      <c r="A253" t="s">
        <v>72</v>
      </c>
      <c r="B253" t="s">
        <v>7643</v>
      </c>
      <c r="C253" t="s">
        <v>74</v>
      </c>
      <c r="D253" t="s">
        <v>74</v>
      </c>
      <c r="E253" t="s">
        <v>74</v>
      </c>
      <c r="F253" t="s">
        <v>7643</v>
      </c>
      <c r="G253" t="s">
        <v>74</v>
      </c>
      <c r="H253" t="s">
        <v>74</v>
      </c>
      <c r="I253" t="s">
        <v>7644</v>
      </c>
      <c r="J253" t="s">
        <v>431</v>
      </c>
      <c r="K253" t="s">
        <v>74</v>
      </c>
      <c r="L253" t="s">
        <v>74</v>
      </c>
      <c r="M253" t="s">
        <v>74</v>
      </c>
      <c r="N253" t="s">
        <v>74</v>
      </c>
      <c r="O253" t="s">
        <v>74</v>
      </c>
      <c r="P253" t="s">
        <v>74</v>
      </c>
      <c r="Q253" t="s">
        <v>74</v>
      </c>
      <c r="R253" t="s">
        <v>74</v>
      </c>
      <c r="S253" t="s">
        <v>74</v>
      </c>
      <c r="T253" t="s">
        <v>74</v>
      </c>
      <c r="U253" t="s">
        <v>74</v>
      </c>
      <c r="V253" s="3" t="s">
        <v>7645</v>
      </c>
      <c r="W253" t="s">
        <v>74</v>
      </c>
      <c r="X253" t="s">
        <v>74</v>
      </c>
      <c r="Y253" t="s">
        <v>74</v>
      </c>
      <c r="Z253" t="s">
        <v>74</v>
      </c>
      <c r="AA253" t="s">
        <v>74</v>
      </c>
      <c r="AB253" t="s">
        <v>74</v>
      </c>
      <c r="AC253" t="s">
        <v>74</v>
      </c>
      <c r="AD253" t="s">
        <v>74</v>
      </c>
      <c r="AE253" t="s">
        <v>74</v>
      </c>
      <c r="AF253" t="s">
        <v>74</v>
      </c>
      <c r="AG253" t="s">
        <v>74</v>
      </c>
      <c r="AH253" t="s">
        <v>74</v>
      </c>
      <c r="AI253" t="s">
        <v>74</v>
      </c>
      <c r="AJ253" t="s">
        <v>74</v>
      </c>
      <c r="AK253" t="s">
        <v>74</v>
      </c>
      <c r="AL253" t="s">
        <v>74</v>
      </c>
      <c r="AM253" t="s">
        <v>74</v>
      </c>
      <c r="AN253" t="s">
        <v>74</v>
      </c>
      <c r="AO253" t="s">
        <v>74</v>
      </c>
      <c r="AP253" t="s">
        <v>435</v>
      </c>
      <c r="AQ253" t="s">
        <v>74</v>
      </c>
      <c r="AR253" t="s">
        <v>74</v>
      </c>
      <c r="AS253" t="s">
        <v>74</v>
      </c>
      <c r="AT253" t="s">
        <v>74</v>
      </c>
      <c r="AU253">
        <v>1965</v>
      </c>
      <c r="AV253">
        <v>82</v>
      </c>
      <c r="AW253">
        <v>4</v>
      </c>
      <c r="AX253" t="s">
        <v>74</v>
      </c>
      <c r="AY253" t="s">
        <v>74</v>
      </c>
      <c r="AZ253" t="s">
        <v>74</v>
      </c>
      <c r="BA253" t="s">
        <v>74</v>
      </c>
      <c r="BB253">
        <v>537</v>
      </c>
      <c r="BC253" t="s">
        <v>726</v>
      </c>
      <c r="BD253" t="s">
        <v>74</v>
      </c>
      <c r="BE253" t="s">
        <v>7646</v>
      </c>
      <c r="BF253" t="str">
        <f>HYPERLINK("http://dx.doi.org/10.2307/4083220","http://dx.doi.org/10.2307/4083220")</f>
        <v>http://dx.doi.org/10.2307/4083220</v>
      </c>
      <c r="BG253" t="s">
        <v>74</v>
      </c>
      <c r="BH253" t="s">
        <v>74</v>
      </c>
      <c r="BI253" t="s">
        <v>74</v>
      </c>
      <c r="BJ253" t="s">
        <v>74</v>
      </c>
      <c r="BK253" t="s">
        <v>74</v>
      </c>
      <c r="BL253" t="s">
        <v>74</v>
      </c>
      <c r="BM253" t="s">
        <v>74</v>
      </c>
      <c r="BN253" t="s">
        <v>74</v>
      </c>
      <c r="BO253" t="s">
        <v>74</v>
      </c>
      <c r="BP253" t="s">
        <v>74</v>
      </c>
      <c r="BQ253" t="s">
        <v>74</v>
      </c>
      <c r="BR253" t="s">
        <v>74</v>
      </c>
      <c r="BS253" t="s">
        <v>7647</v>
      </c>
      <c r="BT253" t="str">
        <f>HYPERLINK("https%3A%2F%2Fwww.webofscience.com%2Fwos%2Fwoscc%2Ffull-record%2FWOS:A19657680200001","View Full Record in Web of Science")</f>
        <v>View Full Record in Web of Science</v>
      </c>
    </row>
    <row r="254" spans="1:72" x14ac:dyDescent="0.4">
      <c r="A254" t="s">
        <v>72</v>
      </c>
      <c r="B254" t="s">
        <v>1176</v>
      </c>
      <c r="C254" t="s">
        <v>74</v>
      </c>
      <c r="D254" t="s">
        <v>74</v>
      </c>
      <c r="E254" t="s">
        <v>74</v>
      </c>
      <c r="F254" t="s">
        <v>1176</v>
      </c>
      <c r="G254" t="s">
        <v>74</v>
      </c>
      <c r="H254" t="s">
        <v>74</v>
      </c>
      <c r="I254" t="s">
        <v>1177</v>
      </c>
      <c r="J254" t="s">
        <v>119</v>
      </c>
      <c r="K254" t="s">
        <v>74</v>
      </c>
      <c r="L254" t="s">
        <v>74</v>
      </c>
      <c r="M254" t="s">
        <v>74</v>
      </c>
      <c r="N254" t="s">
        <v>74</v>
      </c>
      <c r="O254" t="s">
        <v>74</v>
      </c>
      <c r="P254" t="s">
        <v>74</v>
      </c>
      <c r="Q254" t="s">
        <v>74</v>
      </c>
      <c r="R254" t="s">
        <v>74</v>
      </c>
      <c r="S254" t="s">
        <v>74</v>
      </c>
      <c r="T254" t="s">
        <v>74</v>
      </c>
      <c r="U254" t="s">
        <v>74</v>
      </c>
      <c r="V254" s="3" t="s">
        <v>1178</v>
      </c>
      <c r="W254" t="s">
        <v>74</v>
      </c>
      <c r="X254" t="s">
        <v>74</v>
      </c>
      <c r="Y254" t="s">
        <v>74</v>
      </c>
      <c r="Z254" t="s">
        <v>74</v>
      </c>
      <c r="AA254" t="s">
        <v>74</v>
      </c>
      <c r="AB254" t="s">
        <v>74</v>
      </c>
      <c r="AC254" t="s">
        <v>74</v>
      </c>
      <c r="AD254" t="s">
        <v>74</v>
      </c>
      <c r="AE254" t="s">
        <v>74</v>
      </c>
      <c r="AF254" t="s">
        <v>74</v>
      </c>
      <c r="AG254" t="s">
        <v>74</v>
      </c>
      <c r="AH254" t="s">
        <v>74</v>
      </c>
      <c r="AI254" t="s">
        <v>74</v>
      </c>
      <c r="AJ254" t="s">
        <v>74</v>
      </c>
      <c r="AK254" t="s">
        <v>74</v>
      </c>
      <c r="AL254" t="s">
        <v>74</v>
      </c>
      <c r="AM254" t="s">
        <v>74</v>
      </c>
      <c r="AN254" t="s">
        <v>74</v>
      </c>
      <c r="AO254" t="s">
        <v>121</v>
      </c>
      <c r="AP254" t="s">
        <v>74</v>
      </c>
      <c r="AQ254" t="s">
        <v>74</v>
      </c>
      <c r="AR254" t="s">
        <v>74</v>
      </c>
      <c r="AS254" t="s">
        <v>74</v>
      </c>
      <c r="AT254" t="s">
        <v>305</v>
      </c>
      <c r="AU254">
        <v>1993</v>
      </c>
      <c r="AV254">
        <v>30</v>
      </c>
      <c r="AW254">
        <v>3</v>
      </c>
      <c r="AX254" t="s">
        <v>74</v>
      </c>
      <c r="AY254" t="s">
        <v>74</v>
      </c>
      <c r="AZ254" t="s">
        <v>74</v>
      </c>
      <c r="BA254" t="s">
        <v>74</v>
      </c>
      <c r="BB254">
        <v>245</v>
      </c>
      <c r="BC254">
        <v>251</v>
      </c>
      <c r="BD254" t="s">
        <v>74</v>
      </c>
      <c r="BE254" t="s">
        <v>1179</v>
      </c>
      <c r="BF254" t="str">
        <f>HYPERLINK("http://dx.doi.org/10.1016/0376-6357(93)90136-F","http://dx.doi.org/10.1016/0376-6357(93)90136-F")</f>
        <v>http://dx.doi.org/10.1016/0376-6357(93)90136-F</v>
      </c>
      <c r="BG254" t="s">
        <v>74</v>
      </c>
      <c r="BH254" t="s">
        <v>74</v>
      </c>
      <c r="BI254" t="s">
        <v>74</v>
      </c>
      <c r="BJ254" t="s">
        <v>74</v>
      </c>
      <c r="BK254" t="s">
        <v>74</v>
      </c>
      <c r="BL254" t="s">
        <v>74</v>
      </c>
      <c r="BM254" t="s">
        <v>74</v>
      </c>
      <c r="BN254">
        <v>24896948</v>
      </c>
      <c r="BO254" t="s">
        <v>74</v>
      </c>
      <c r="BP254" t="s">
        <v>74</v>
      </c>
      <c r="BQ254" t="s">
        <v>74</v>
      </c>
      <c r="BR254" t="s">
        <v>74</v>
      </c>
      <c r="BS254" t="s">
        <v>1180</v>
      </c>
      <c r="BT254" t="str">
        <f>HYPERLINK("https%3A%2F%2Fwww.webofscience.com%2Fwos%2Fwoscc%2Ffull-record%2FWOS:A1993MR36400005","View Full Record in Web of Science")</f>
        <v>View Full Record in Web of Science</v>
      </c>
    </row>
    <row r="255" spans="1:72" x14ac:dyDescent="0.4">
      <c r="A255" t="s">
        <v>72</v>
      </c>
      <c r="B255" t="s">
        <v>4379</v>
      </c>
      <c r="C255" t="s">
        <v>74</v>
      </c>
      <c r="D255" t="s">
        <v>74</v>
      </c>
      <c r="E255" t="s">
        <v>74</v>
      </c>
      <c r="F255" t="s">
        <v>4379</v>
      </c>
      <c r="G255" t="s">
        <v>74</v>
      </c>
      <c r="H255" t="s">
        <v>74</v>
      </c>
      <c r="I255" t="s">
        <v>4380</v>
      </c>
      <c r="J255" t="s">
        <v>509</v>
      </c>
      <c r="K255" t="s">
        <v>74</v>
      </c>
      <c r="L255" t="s">
        <v>74</v>
      </c>
      <c r="M255" t="s">
        <v>74</v>
      </c>
      <c r="N255" t="s">
        <v>74</v>
      </c>
      <c r="O255" t="s">
        <v>74</v>
      </c>
      <c r="P255" t="s">
        <v>74</v>
      </c>
      <c r="Q255" t="s">
        <v>74</v>
      </c>
      <c r="R255" t="s">
        <v>74</v>
      </c>
      <c r="S255" t="s">
        <v>74</v>
      </c>
      <c r="T255" t="s">
        <v>74</v>
      </c>
      <c r="U255" t="s">
        <v>74</v>
      </c>
      <c r="V255" s="3" t="s">
        <v>4381</v>
      </c>
      <c r="W255" t="s">
        <v>74</v>
      </c>
      <c r="X255" t="s">
        <v>74</v>
      </c>
      <c r="Y255" t="s">
        <v>74</v>
      </c>
      <c r="Z255" t="s">
        <v>74</v>
      </c>
      <c r="AA255" t="s">
        <v>4382</v>
      </c>
      <c r="AB255" t="s">
        <v>4383</v>
      </c>
      <c r="AC255" t="s">
        <v>74</v>
      </c>
      <c r="AD255" t="s">
        <v>74</v>
      </c>
      <c r="AE255" t="s">
        <v>74</v>
      </c>
      <c r="AF255" t="s">
        <v>74</v>
      </c>
      <c r="AG255" t="s">
        <v>74</v>
      </c>
      <c r="AH255" t="s">
        <v>74</v>
      </c>
      <c r="AI255" t="s">
        <v>74</v>
      </c>
      <c r="AJ255" t="s">
        <v>74</v>
      </c>
      <c r="AK255" t="s">
        <v>74</v>
      </c>
      <c r="AL255" t="s">
        <v>74</v>
      </c>
      <c r="AM255" t="s">
        <v>74</v>
      </c>
      <c r="AN255" t="s">
        <v>74</v>
      </c>
      <c r="AO255" t="s">
        <v>511</v>
      </c>
      <c r="AP255" t="s">
        <v>512</v>
      </c>
      <c r="AQ255" t="s">
        <v>74</v>
      </c>
      <c r="AR255" t="s">
        <v>74</v>
      </c>
      <c r="AS255" t="s">
        <v>74</v>
      </c>
      <c r="AT255" t="s">
        <v>964</v>
      </c>
      <c r="AU255">
        <v>2006</v>
      </c>
      <c r="AV255">
        <v>49</v>
      </c>
      <c r="AW255">
        <v>2</v>
      </c>
      <c r="AX255" t="s">
        <v>74</v>
      </c>
      <c r="AY255" t="s">
        <v>74</v>
      </c>
      <c r="AZ255" t="s">
        <v>74</v>
      </c>
      <c r="BA255" t="s">
        <v>74</v>
      </c>
      <c r="BB255">
        <v>223</v>
      </c>
      <c r="BC255">
        <v>232</v>
      </c>
      <c r="BD255" t="s">
        <v>74</v>
      </c>
      <c r="BE255" t="s">
        <v>4384</v>
      </c>
      <c r="BF255" t="str">
        <f>HYPERLINK("http://dx.doi.org/10.1016/j.yhbeh.2005.07.006","http://dx.doi.org/10.1016/j.yhbeh.2005.07.006")</f>
        <v>http://dx.doi.org/10.1016/j.yhbeh.2005.07.006</v>
      </c>
      <c r="BG255" t="s">
        <v>74</v>
      </c>
      <c r="BH255" t="s">
        <v>74</v>
      </c>
      <c r="BI255" t="s">
        <v>74</v>
      </c>
      <c r="BJ255" t="s">
        <v>74</v>
      </c>
      <c r="BK255" t="s">
        <v>74</v>
      </c>
      <c r="BL255" t="s">
        <v>74</v>
      </c>
      <c r="BM255" t="s">
        <v>74</v>
      </c>
      <c r="BN255">
        <v>16085049</v>
      </c>
      <c r="BO255" t="s">
        <v>74</v>
      </c>
      <c r="BP255" t="s">
        <v>74</v>
      </c>
      <c r="BQ255" t="s">
        <v>74</v>
      </c>
      <c r="BR255" t="s">
        <v>74</v>
      </c>
      <c r="BS255" t="s">
        <v>4385</v>
      </c>
      <c r="BT255" t="str">
        <f>HYPERLINK("https%3A%2F%2Fwww.webofscience.com%2Fwos%2Fwoscc%2Ffull-record%2FWOS:000235502600013","View Full Record in Web of Science")</f>
        <v>View Full Record in Web of Science</v>
      </c>
    </row>
    <row r="256" spans="1:72" x14ac:dyDescent="0.4">
      <c r="A256" t="s">
        <v>72</v>
      </c>
      <c r="B256" t="s">
        <v>2786</v>
      </c>
      <c r="C256" t="s">
        <v>74</v>
      </c>
      <c r="D256" t="s">
        <v>74</v>
      </c>
      <c r="E256" t="s">
        <v>74</v>
      </c>
      <c r="F256" t="s">
        <v>2787</v>
      </c>
      <c r="G256" t="s">
        <v>74</v>
      </c>
      <c r="H256" t="s">
        <v>74</v>
      </c>
      <c r="I256" t="s">
        <v>2788</v>
      </c>
      <c r="J256" t="s">
        <v>842</v>
      </c>
      <c r="K256" t="s">
        <v>74</v>
      </c>
      <c r="L256" t="s">
        <v>74</v>
      </c>
      <c r="M256" t="s">
        <v>74</v>
      </c>
      <c r="N256" t="s">
        <v>74</v>
      </c>
      <c r="O256" t="s">
        <v>74</v>
      </c>
      <c r="P256" t="s">
        <v>74</v>
      </c>
      <c r="Q256" t="s">
        <v>74</v>
      </c>
      <c r="R256" t="s">
        <v>74</v>
      </c>
      <c r="S256" t="s">
        <v>74</v>
      </c>
      <c r="T256" t="s">
        <v>74</v>
      </c>
      <c r="U256" t="s">
        <v>74</v>
      </c>
      <c r="V256" s="3" t="s">
        <v>2789</v>
      </c>
      <c r="W256" t="s">
        <v>74</v>
      </c>
      <c r="X256" t="s">
        <v>74</v>
      </c>
      <c r="Y256" t="s">
        <v>74</v>
      </c>
      <c r="Z256" t="s">
        <v>74</v>
      </c>
      <c r="AA256" t="s">
        <v>2790</v>
      </c>
      <c r="AB256" t="s">
        <v>2791</v>
      </c>
      <c r="AC256" t="s">
        <v>74</v>
      </c>
      <c r="AD256" t="s">
        <v>74</v>
      </c>
      <c r="AE256" t="s">
        <v>74</v>
      </c>
      <c r="AF256" t="s">
        <v>74</v>
      </c>
      <c r="AG256" t="s">
        <v>74</v>
      </c>
      <c r="AH256" t="s">
        <v>74</v>
      </c>
      <c r="AI256" t="s">
        <v>74</v>
      </c>
      <c r="AJ256" t="s">
        <v>74</v>
      </c>
      <c r="AK256" t="s">
        <v>74</v>
      </c>
      <c r="AL256" t="s">
        <v>74</v>
      </c>
      <c r="AM256" t="s">
        <v>74</v>
      </c>
      <c r="AN256" t="s">
        <v>74</v>
      </c>
      <c r="AO256" t="s">
        <v>846</v>
      </c>
      <c r="AP256" t="s">
        <v>847</v>
      </c>
      <c r="AQ256" t="s">
        <v>74</v>
      </c>
      <c r="AR256" t="s">
        <v>74</v>
      </c>
      <c r="AS256" t="s">
        <v>74</v>
      </c>
      <c r="AT256" t="s">
        <v>305</v>
      </c>
      <c r="AU256">
        <v>2006</v>
      </c>
      <c r="AV256">
        <v>68</v>
      </c>
      <c r="AW256">
        <v>12</v>
      </c>
      <c r="AX256" t="s">
        <v>74</v>
      </c>
      <c r="AY256" t="s">
        <v>74</v>
      </c>
      <c r="AZ256" t="s">
        <v>74</v>
      </c>
      <c r="BA256" t="s">
        <v>74</v>
      </c>
      <c r="BB256">
        <v>1129</v>
      </c>
      <c r="BC256">
        <v>1137</v>
      </c>
      <c r="BD256" t="s">
        <v>74</v>
      </c>
      <c r="BE256" t="s">
        <v>2792</v>
      </c>
      <c r="BF256" t="str">
        <f>HYPERLINK("http://dx.doi.org/10.1002/ajp.20312","http://dx.doi.org/10.1002/ajp.20312")</f>
        <v>http://dx.doi.org/10.1002/ajp.20312</v>
      </c>
      <c r="BG256" t="s">
        <v>74</v>
      </c>
      <c r="BH256" t="s">
        <v>74</v>
      </c>
      <c r="BI256" t="s">
        <v>74</v>
      </c>
      <c r="BJ256" t="s">
        <v>74</v>
      </c>
      <c r="BK256" t="s">
        <v>74</v>
      </c>
      <c r="BL256" t="s">
        <v>74</v>
      </c>
      <c r="BM256" t="s">
        <v>74</v>
      </c>
      <c r="BN256">
        <v>17096422</v>
      </c>
      <c r="BO256" t="s">
        <v>74</v>
      </c>
      <c r="BP256" t="s">
        <v>74</v>
      </c>
      <c r="BQ256" t="s">
        <v>74</v>
      </c>
      <c r="BR256" t="s">
        <v>74</v>
      </c>
      <c r="BS256" t="s">
        <v>2793</v>
      </c>
      <c r="BT256" t="str">
        <f>HYPERLINK("https%3A%2F%2Fwww.webofscience.com%2Fwos%2Fwoscc%2Ffull-record%2FWOS:000242416400001","View Full Record in Web of Science")</f>
        <v>View Full Record in Web of Science</v>
      </c>
    </row>
    <row r="257" spans="1:72" x14ac:dyDescent="0.4">
      <c r="A257" t="s">
        <v>72</v>
      </c>
      <c r="B257" t="s">
        <v>6572</v>
      </c>
      <c r="C257" t="s">
        <v>74</v>
      </c>
      <c r="D257" t="s">
        <v>74</v>
      </c>
      <c r="E257" t="s">
        <v>74</v>
      </c>
      <c r="F257" t="s">
        <v>6573</v>
      </c>
      <c r="G257" t="s">
        <v>74</v>
      </c>
      <c r="H257" t="s">
        <v>74</v>
      </c>
      <c r="I257" t="s">
        <v>6574</v>
      </c>
      <c r="J257" t="s">
        <v>842</v>
      </c>
      <c r="K257" t="s">
        <v>74</v>
      </c>
      <c r="L257" t="s">
        <v>74</v>
      </c>
      <c r="M257" t="s">
        <v>74</v>
      </c>
      <c r="N257" t="s">
        <v>74</v>
      </c>
      <c r="O257" t="s">
        <v>74</v>
      </c>
      <c r="P257" t="s">
        <v>74</v>
      </c>
      <c r="Q257" t="s">
        <v>74</v>
      </c>
      <c r="R257" t="s">
        <v>74</v>
      </c>
      <c r="S257" t="s">
        <v>74</v>
      </c>
      <c r="T257" t="s">
        <v>74</v>
      </c>
      <c r="U257" t="s">
        <v>74</v>
      </c>
      <c r="V257" s="3" t="s">
        <v>6575</v>
      </c>
      <c r="W257" t="s">
        <v>74</v>
      </c>
      <c r="X257" t="s">
        <v>74</v>
      </c>
      <c r="Y257" t="s">
        <v>74</v>
      </c>
      <c r="Z257" t="s">
        <v>74</v>
      </c>
      <c r="AA257" t="s">
        <v>6576</v>
      </c>
      <c r="AB257" t="s">
        <v>6577</v>
      </c>
      <c r="AC257" t="s">
        <v>74</v>
      </c>
      <c r="AD257" t="s">
        <v>74</v>
      </c>
      <c r="AE257" t="s">
        <v>74</v>
      </c>
      <c r="AF257" t="s">
        <v>74</v>
      </c>
      <c r="AG257" t="s">
        <v>74</v>
      </c>
      <c r="AH257" t="s">
        <v>74</v>
      </c>
      <c r="AI257" t="s">
        <v>74</v>
      </c>
      <c r="AJ257" t="s">
        <v>74</v>
      </c>
      <c r="AK257" t="s">
        <v>74</v>
      </c>
      <c r="AL257" t="s">
        <v>74</v>
      </c>
      <c r="AM257" t="s">
        <v>74</v>
      </c>
      <c r="AN257" t="s">
        <v>74</v>
      </c>
      <c r="AO257" t="s">
        <v>846</v>
      </c>
      <c r="AP257" t="s">
        <v>847</v>
      </c>
      <c r="AQ257" t="s">
        <v>74</v>
      </c>
      <c r="AR257" t="s">
        <v>74</v>
      </c>
      <c r="AS257" t="s">
        <v>74</v>
      </c>
      <c r="AT257" t="s">
        <v>213</v>
      </c>
      <c r="AU257">
        <v>2013</v>
      </c>
      <c r="AV257">
        <v>75</v>
      </c>
      <c r="AW257">
        <v>11</v>
      </c>
      <c r="AX257" t="s">
        <v>74</v>
      </c>
      <c r="AY257" t="s">
        <v>74</v>
      </c>
      <c r="AZ257" t="s">
        <v>74</v>
      </c>
      <c r="BA257" t="s">
        <v>74</v>
      </c>
      <c r="BB257">
        <v>1084</v>
      </c>
      <c r="BC257">
        <v>1095</v>
      </c>
      <c r="BD257" t="s">
        <v>74</v>
      </c>
      <c r="BE257" t="s">
        <v>6578</v>
      </c>
      <c r="BF257" t="str">
        <f>HYPERLINK("http://dx.doi.org/10.1002/ajp.22167","http://dx.doi.org/10.1002/ajp.22167")</f>
        <v>http://dx.doi.org/10.1002/ajp.22167</v>
      </c>
      <c r="BG257" t="s">
        <v>74</v>
      </c>
      <c r="BH257" t="s">
        <v>74</v>
      </c>
      <c r="BI257" t="s">
        <v>74</v>
      </c>
      <c r="BJ257" t="s">
        <v>74</v>
      </c>
      <c r="BK257" t="s">
        <v>74</v>
      </c>
      <c r="BL257" t="s">
        <v>74</v>
      </c>
      <c r="BM257" t="s">
        <v>74</v>
      </c>
      <c r="BN257">
        <v>23776035</v>
      </c>
      <c r="BO257" t="s">
        <v>74</v>
      </c>
      <c r="BP257" t="s">
        <v>74</v>
      </c>
      <c r="BQ257" t="s">
        <v>74</v>
      </c>
      <c r="BR257" t="s">
        <v>74</v>
      </c>
      <c r="BS257" t="s">
        <v>6579</v>
      </c>
      <c r="BT257" t="str">
        <f>HYPERLINK("https%3A%2F%2Fwww.webofscience.com%2Fwos%2Fwoscc%2Ffull-record%2FWOS:000324914600002","View Full Record in Web of Science")</f>
        <v>View Full Record in Web of Science</v>
      </c>
    </row>
    <row r="258" spans="1:72" x14ac:dyDescent="0.4">
      <c r="A258" t="s">
        <v>72</v>
      </c>
      <c r="B258" t="s">
        <v>6462</v>
      </c>
      <c r="C258" t="s">
        <v>74</v>
      </c>
      <c r="D258" t="s">
        <v>74</v>
      </c>
      <c r="E258" t="s">
        <v>74</v>
      </c>
      <c r="F258" t="s">
        <v>6463</v>
      </c>
      <c r="G258" t="s">
        <v>74</v>
      </c>
      <c r="H258" t="s">
        <v>74</v>
      </c>
      <c r="I258" t="s">
        <v>6464</v>
      </c>
      <c r="J258" t="s">
        <v>1656</v>
      </c>
      <c r="K258" t="s">
        <v>74</v>
      </c>
      <c r="L258" t="s">
        <v>74</v>
      </c>
      <c r="M258" t="s">
        <v>74</v>
      </c>
      <c r="N258" t="s">
        <v>74</v>
      </c>
      <c r="O258" t="s">
        <v>74</v>
      </c>
      <c r="P258" t="s">
        <v>74</v>
      </c>
      <c r="Q258" t="s">
        <v>74</v>
      </c>
      <c r="R258" t="s">
        <v>74</v>
      </c>
      <c r="S258" t="s">
        <v>74</v>
      </c>
      <c r="T258" t="s">
        <v>74</v>
      </c>
      <c r="U258" t="s">
        <v>74</v>
      </c>
      <c r="V258" s="3" t="s">
        <v>6465</v>
      </c>
      <c r="W258" t="s">
        <v>74</v>
      </c>
      <c r="X258" t="s">
        <v>74</v>
      </c>
      <c r="Y258" t="s">
        <v>74</v>
      </c>
      <c r="Z258" t="s">
        <v>74</v>
      </c>
      <c r="AA258" t="s">
        <v>74</v>
      </c>
      <c r="AB258" t="s">
        <v>6466</v>
      </c>
      <c r="AC258" t="s">
        <v>74</v>
      </c>
      <c r="AD258" t="s">
        <v>74</v>
      </c>
      <c r="AE258" t="s">
        <v>74</v>
      </c>
      <c r="AF258" t="s">
        <v>74</v>
      </c>
      <c r="AG258" t="s">
        <v>74</v>
      </c>
      <c r="AH258" t="s">
        <v>74</v>
      </c>
      <c r="AI258" t="s">
        <v>74</v>
      </c>
      <c r="AJ258" t="s">
        <v>74</v>
      </c>
      <c r="AK258" t="s">
        <v>74</v>
      </c>
      <c r="AL258" t="s">
        <v>74</v>
      </c>
      <c r="AM258" t="s">
        <v>74</v>
      </c>
      <c r="AN258" t="s">
        <v>74</v>
      </c>
      <c r="AO258" t="s">
        <v>1658</v>
      </c>
      <c r="AP258" t="s">
        <v>1659</v>
      </c>
      <c r="AQ258" t="s">
        <v>74</v>
      </c>
      <c r="AR258" t="s">
        <v>74</v>
      </c>
      <c r="AS258" t="s">
        <v>74</v>
      </c>
      <c r="AT258" t="s">
        <v>6467</v>
      </c>
      <c r="AU258">
        <v>2012</v>
      </c>
      <c r="AV258" t="s">
        <v>74</v>
      </c>
      <c r="AW258">
        <v>3367</v>
      </c>
      <c r="AX258" t="s">
        <v>74</v>
      </c>
      <c r="AY258" t="s">
        <v>74</v>
      </c>
      <c r="AZ258" t="s">
        <v>848</v>
      </c>
      <c r="BA258" t="s">
        <v>74</v>
      </c>
      <c r="BB258">
        <v>95</v>
      </c>
      <c r="BC258">
        <v>102</v>
      </c>
      <c r="BD258" t="s">
        <v>74</v>
      </c>
      <c r="BE258" t="s">
        <v>6468</v>
      </c>
      <c r="BF258" t="str">
        <f>HYPERLINK("http://dx.doi.org/10.11646/zootaxa.3367.1.9","http://dx.doi.org/10.11646/zootaxa.3367.1.9")</f>
        <v>http://dx.doi.org/10.11646/zootaxa.3367.1.9</v>
      </c>
      <c r="BG258" t="s">
        <v>74</v>
      </c>
      <c r="BH258" t="s">
        <v>74</v>
      </c>
      <c r="BI258" t="s">
        <v>74</v>
      </c>
      <c r="BJ258" t="s">
        <v>74</v>
      </c>
      <c r="BK258" t="s">
        <v>74</v>
      </c>
      <c r="BL258" t="s">
        <v>74</v>
      </c>
      <c r="BM258" t="s">
        <v>74</v>
      </c>
      <c r="BN258" t="s">
        <v>74</v>
      </c>
      <c r="BO258" t="s">
        <v>74</v>
      </c>
      <c r="BP258" t="s">
        <v>74</v>
      </c>
      <c r="BQ258" t="s">
        <v>74</v>
      </c>
      <c r="BR258" t="s">
        <v>74</v>
      </c>
      <c r="BS258" t="s">
        <v>6469</v>
      </c>
      <c r="BT258" t="str">
        <f>HYPERLINK("https%3A%2F%2Fwww.webofscience.com%2Fwos%2Fwoscc%2Ffull-record%2FWOS:000305937000008","View Full Record in Web of Science")</f>
        <v>View Full Record in Web of Science</v>
      </c>
    </row>
    <row r="259" spans="1:72" x14ac:dyDescent="0.4">
      <c r="A259" t="s">
        <v>72</v>
      </c>
      <c r="B259" t="s">
        <v>999</v>
      </c>
      <c r="C259" t="s">
        <v>74</v>
      </c>
      <c r="D259" t="s">
        <v>74</v>
      </c>
      <c r="E259" t="s">
        <v>74</v>
      </c>
      <c r="F259" t="s">
        <v>1000</v>
      </c>
      <c r="G259" t="s">
        <v>74</v>
      </c>
      <c r="H259" t="s">
        <v>74</v>
      </c>
      <c r="I259" t="s">
        <v>1001</v>
      </c>
      <c r="J259" t="s">
        <v>140</v>
      </c>
      <c r="K259" t="s">
        <v>74</v>
      </c>
      <c r="L259" t="s">
        <v>74</v>
      </c>
      <c r="M259" t="s">
        <v>74</v>
      </c>
      <c r="N259" t="s">
        <v>74</v>
      </c>
      <c r="O259" t="s">
        <v>74</v>
      </c>
      <c r="P259" t="s">
        <v>74</v>
      </c>
      <c r="Q259" t="s">
        <v>74</v>
      </c>
      <c r="R259" t="s">
        <v>74</v>
      </c>
      <c r="S259" t="s">
        <v>74</v>
      </c>
      <c r="T259" t="s">
        <v>74</v>
      </c>
      <c r="U259" t="s">
        <v>74</v>
      </c>
      <c r="V259" s="3" t="s">
        <v>1002</v>
      </c>
      <c r="W259" t="s">
        <v>74</v>
      </c>
      <c r="X259" t="s">
        <v>74</v>
      </c>
      <c r="Y259" t="s">
        <v>74</v>
      </c>
      <c r="Z259" t="s">
        <v>74</v>
      </c>
      <c r="AA259" t="s">
        <v>1003</v>
      </c>
      <c r="AB259" t="s">
        <v>1004</v>
      </c>
      <c r="AC259" t="s">
        <v>74</v>
      </c>
      <c r="AD259" t="s">
        <v>74</v>
      </c>
      <c r="AE259" t="s">
        <v>74</v>
      </c>
      <c r="AF259" t="s">
        <v>74</v>
      </c>
      <c r="AG259" t="s">
        <v>74</v>
      </c>
      <c r="AH259" t="s">
        <v>74</v>
      </c>
      <c r="AI259" t="s">
        <v>74</v>
      </c>
      <c r="AJ259" t="s">
        <v>74</v>
      </c>
      <c r="AK259" t="s">
        <v>74</v>
      </c>
      <c r="AL259" t="s">
        <v>74</v>
      </c>
      <c r="AM259" t="s">
        <v>74</v>
      </c>
      <c r="AN259" t="s">
        <v>74</v>
      </c>
      <c r="AO259" t="s">
        <v>143</v>
      </c>
      <c r="AP259" t="s">
        <v>144</v>
      </c>
      <c r="AQ259" t="s">
        <v>74</v>
      </c>
      <c r="AR259" t="s">
        <v>74</v>
      </c>
      <c r="AS259" t="s">
        <v>74</v>
      </c>
      <c r="AT259" t="s">
        <v>123</v>
      </c>
      <c r="AU259">
        <v>2010</v>
      </c>
      <c r="AV259">
        <v>79</v>
      </c>
      <c r="AW259">
        <v>3</v>
      </c>
      <c r="AX259" t="s">
        <v>74</v>
      </c>
      <c r="AY259" t="s">
        <v>74</v>
      </c>
      <c r="AZ259" t="s">
        <v>74</v>
      </c>
      <c r="BA259" t="s">
        <v>74</v>
      </c>
      <c r="BB259">
        <v>739</v>
      </c>
      <c r="BC259">
        <v>745</v>
      </c>
      <c r="BD259" t="s">
        <v>74</v>
      </c>
      <c r="BE259" t="s">
        <v>1005</v>
      </c>
      <c r="BF259" t="str">
        <f>HYPERLINK("http://dx.doi.org/10.1016/j.anbehav.2009.12.031","http://dx.doi.org/10.1016/j.anbehav.2009.12.031")</f>
        <v>http://dx.doi.org/10.1016/j.anbehav.2009.12.031</v>
      </c>
      <c r="BG259" t="s">
        <v>74</v>
      </c>
      <c r="BH259" t="s">
        <v>74</v>
      </c>
      <c r="BI259" t="s">
        <v>74</v>
      </c>
      <c r="BJ259" t="s">
        <v>74</v>
      </c>
      <c r="BK259" t="s">
        <v>74</v>
      </c>
      <c r="BL259" t="s">
        <v>74</v>
      </c>
      <c r="BM259" t="s">
        <v>74</v>
      </c>
      <c r="BN259" t="s">
        <v>74</v>
      </c>
      <c r="BO259" t="s">
        <v>74</v>
      </c>
      <c r="BP259" t="s">
        <v>74</v>
      </c>
      <c r="BQ259" t="s">
        <v>74</v>
      </c>
      <c r="BR259" t="s">
        <v>74</v>
      </c>
      <c r="BS259" t="s">
        <v>1006</v>
      </c>
      <c r="BT259" t="str">
        <f>HYPERLINK("https%3A%2F%2Fwww.webofscience.com%2Fwos%2Fwoscc%2Ffull-record%2FWOS:000274587400029","View Full Record in Web of Science")</f>
        <v>View Full Record in Web of Science</v>
      </c>
    </row>
    <row r="260" spans="1:72" x14ac:dyDescent="0.4">
      <c r="A260" t="s">
        <v>72</v>
      </c>
      <c r="B260" t="s">
        <v>4432</v>
      </c>
      <c r="C260" t="s">
        <v>74</v>
      </c>
      <c r="D260" t="s">
        <v>74</v>
      </c>
      <c r="E260" t="s">
        <v>74</v>
      </c>
      <c r="F260" t="s">
        <v>4433</v>
      </c>
      <c r="G260" t="s">
        <v>74</v>
      </c>
      <c r="H260" t="s">
        <v>74</v>
      </c>
      <c r="I260" t="s">
        <v>4434</v>
      </c>
      <c r="J260" t="s">
        <v>3374</v>
      </c>
      <c r="K260" t="s">
        <v>74</v>
      </c>
      <c r="L260" t="s">
        <v>74</v>
      </c>
      <c r="M260" t="s">
        <v>74</v>
      </c>
      <c r="N260" t="s">
        <v>74</v>
      </c>
      <c r="O260" t="s">
        <v>74</v>
      </c>
      <c r="P260" t="s">
        <v>74</v>
      </c>
      <c r="Q260" t="s">
        <v>74</v>
      </c>
      <c r="R260" t="s">
        <v>74</v>
      </c>
      <c r="S260" t="s">
        <v>74</v>
      </c>
      <c r="T260" t="s">
        <v>74</v>
      </c>
      <c r="U260" t="s">
        <v>74</v>
      </c>
      <c r="V260" s="3" t="s">
        <v>4435</v>
      </c>
      <c r="W260" t="s">
        <v>74</v>
      </c>
      <c r="X260" t="s">
        <v>74</v>
      </c>
      <c r="Y260" t="s">
        <v>74</v>
      </c>
      <c r="Z260" t="s">
        <v>74</v>
      </c>
      <c r="AA260" t="s">
        <v>4436</v>
      </c>
      <c r="AB260" t="s">
        <v>4437</v>
      </c>
      <c r="AC260" t="s">
        <v>74</v>
      </c>
      <c r="AD260" t="s">
        <v>74</v>
      </c>
      <c r="AE260" t="s">
        <v>74</v>
      </c>
      <c r="AF260" t="s">
        <v>74</v>
      </c>
      <c r="AG260" t="s">
        <v>74</v>
      </c>
      <c r="AH260" t="s">
        <v>74</v>
      </c>
      <c r="AI260" t="s">
        <v>74</v>
      </c>
      <c r="AJ260" t="s">
        <v>74</v>
      </c>
      <c r="AK260" t="s">
        <v>74</v>
      </c>
      <c r="AL260" t="s">
        <v>74</v>
      </c>
      <c r="AM260" t="s">
        <v>74</v>
      </c>
      <c r="AN260" t="s">
        <v>74</v>
      </c>
      <c r="AO260" t="s">
        <v>3378</v>
      </c>
      <c r="AP260" t="s">
        <v>3379</v>
      </c>
      <c r="AQ260" t="s">
        <v>74</v>
      </c>
      <c r="AR260" t="s">
        <v>74</v>
      </c>
      <c r="AS260" t="s">
        <v>74</v>
      </c>
      <c r="AT260" t="s">
        <v>134</v>
      </c>
      <c r="AU260">
        <v>2011</v>
      </c>
      <c r="AV260">
        <v>42</v>
      </c>
      <c r="AW260">
        <v>3</v>
      </c>
      <c r="AX260" t="s">
        <v>74</v>
      </c>
      <c r="AY260" t="s">
        <v>74</v>
      </c>
      <c r="AZ260" t="s">
        <v>74</v>
      </c>
      <c r="BA260" t="s">
        <v>74</v>
      </c>
      <c r="BB260">
        <v>301</v>
      </c>
      <c r="BC260">
        <v>306</v>
      </c>
      <c r="BD260" t="s">
        <v>74</v>
      </c>
      <c r="BE260" t="s">
        <v>4438</v>
      </c>
      <c r="BF260" t="str">
        <f>HYPERLINK("http://dx.doi.org/10.1007/s13592-011-0022-z","http://dx.doi.org/10.1007/s13592-011-0022-z")</f>
        <v>http://dx.doi.org/10.1007/s13592-011-0022-z</v>
      </c>
      <c r="BG260" t="s">
        <v>74</v>
      </c>
      <c r="BH260" t="s">
        <v>74</v>
      </c>
      <c r="BI260" t="s">
        <v>74</v>
      </c>
      <c r="BJ260" t="s">
        <v>74</v>
      </c>
      <c r="BK260" t="s">
        <v>74</v>
      </c>
      <c r="BL260" t="s">
        <v>74</v>
      </c>
      <c r="BM260" t="s">
        <v>74</v>
      </c>
      <c r="BN260" t="s">
        <v>74</v>
      </c>
      <c r="BO260" t="s">
        <v>74</v>
      </c>
      <c r="BP260" t="s">
        <v>74</v>
      </c>
      <c r="BQ260" t="s">
        <v>74</v>
      </c>
      <c r="BR260" t="s">
        <v>74</v>
      </c>
      <c r="BS260" t="s">
        <v>4439</v>
      </c>
      <c r="BT260" t="str">
        <f>HYPERLINK("https%3A%2F%2Fwww.webofscience.com%2Fwos%2Fwoscc%2Ffull-record%2FWOS:000292612900006","View Full Record in Web of Science")</f>
        <v>View Full Record in Web of Science</v>
      </c>
    </row>
    <row r="261" spans="1:72" x14ac:dyDescent="0.4">
      <c r="A261" t="s">
        <v>72</v>
      </c>
      <c r="B261" t="s">
        <v>1678</v>
      </c>
      <c r="C261" t="s">
        <v>74</v>
      </c>
      <c r="D261" t="s">
        <v>74</v>
      </c>
      <c r="E261" t="s">
        <v>74</v>
      </c>
      <c r="F261" t="s">
        <v>1679</v>
      </c>
      <c r="G261" t="s">
        <v>74</v>
      </c>
      <c r="H261" t="s">
        <v>74</v>
      </c>
      <c r="I261" t="s">
        <v>1680</v>
      </c>
      <c r="J261" t="s">
        <v>367</v>
      </c>
      <c r="K261" t="s">
        <v>74</v>
      </c>
      <c r="L261" t="s">
        <v>74</v>
      </c>
      <c r="M261" t="s">
        <v>74</v>
      </c>
      <c r="N261" t="s">
        <v>74</v>
      </c>
      <c r="O261" t="s">
        <v>74</v>
      </c>
      <c r="P261" t="s">
        <v>74</v>
      </c>
      <c r="Q261" t="s">
        <v>74</v>
      </c>
      <c r="R261" t="s">
        <v>74</v>
      </c>
      <c r="S261" t="s">
        <v>74</v>
      </c>
      <c r="T261" t="s">
        <v>74</v>
      </c>
      <c r="U261" t="s">
        <v>74</v>
      </c>
      <c r="V261" s="3" t="s">
        <v>1681</v>
      </c>
      <c r="W261" t="s">
        <v>74</v>
      </c>
      <c r="X261" t="s">
        <v>74</v>
      </c>
      <c r="Y261" t="s">
        <v>74</v>
      </c>
      <c r="Z261" t="s">
        <v>74</v>
      </c>
      <c r="AA261" t="s">
        <v>1682</v>
      </c>
      <c r="AB261" t="s">
        <v>1683</v>
      </c>
      <c r="AC261" t="s">
        <v>74</v>
      </c>
      <c r="AD261" t="s">
        <v>74</v>
      </c>
      <c r="AE261" t="s">
        <v>74</v>
      </c>
      <c r="AF261" t="s">
        <v>74</v>
      </c>
      <c r="AG261" t="s">
        <v>74</v>
      </c>
      <c r="AH261" t="s">
        <v>74</v>
      </c>
      <c r="AI261" t="s">
        <v>74</v>
      </c>
      <c r="AJ261" t="s">
        <v>74</v>
      </c>
      <c r="AK261" t="s">
        <v>74</v>
      </c>
      <c r="AL261" t="s">
        <v>74</v>
      </c>
      <c r="AM261" t="s">
        <v>74</v>
      </c>
      <c r="AN261" t="s">
        <v>74</v>
      </c>
      <c r="AO261" t="s">
        <v>371</v>
      </c>
      <c r="AP261" t="s">
        <v>372</v>
      </c>
      <c r="AQ261" t="s">
        <v>74</v>
      </c>
      <c r="AR261" t="s">
        <v>74</v>
      </c>
      <c r="AS261" t="s">
        <v>74</v>
      </c>
      <c r="AT261" t="s">
        <v>145</v>
      </c>
      <c r="AU261">
        <v>2021</v>
      </c>
      <c r="AV261">
        <v>135</v>
      </c>
      <c r="AW261">
        <v>3</v>
      </c>
      <c r="AX261" t="s">
        <v>74</v>
      </c>
      <c r="AY261" t="s">
        <v>74</v>
      </c>
      <c r="AZ261" t="s">
        <v>74</v>
      </c>
      <c r="BA261" t="s">
        <v>74</v>
      </c>
      <c r="BB261">
        <v>338</v>
      </c>
      <c r="BC261">
        <v>348</v>
      </c>
      <c r="BD261" t="s">
        <v>74</v>
      </c>
      <c r="BE261" t="s">
        <v>1684</v>
      </c>
      <c r="BF261" t="str">
        <f>HYPERLINK("http://dx.doi.org/10.1037/com0000267","http://dx.doi.org/10.1037/com0000267")</f>
        <v>http://dx.doi.org/10.1037/com0000267</v>
      </c>
      <c r="BG261" t="s">
        <v>74</v>
      </c>
      <c r="BH261" t="s">
        <v>74</v>
      </c>
      <c r="BI261" t="s">
        <v>74</v>
      </c>
      <c r="BJ261" t="s">
        <v>74</v>
      </c>
      <c r="BK261" t="s">
        <v>74</v>
      </c>
      <c r="BL261" t="s">
        <v>74</v>
      </c>
      <c r="BM261" t="s">
        <v>74</v>
      </c>
      <c r="BN261">
        <v>33475388</v>
      </c>
      <c r="BO261" t="s">
        <v>74</v>
      </c>
      <c r="BP261" t="s">
        <v>74</v>
      </c>
      <c r="BQ261" t="s">
        <v>74</v>
      </c>
      <c r="BR261" t="s">
        <v>74</v>
      </c>
      <c r="BS261" t="s">
        <v>1685</v>
      </c>
      <c r="BT261" t="str">
        <f>HYPERLINK("https%3A%2F%2Fwww.webofscience.com%2Fwos%2Fwoscc%2Ffull-record%2FWOS:000699927200011","View Full Record in Web of Science")</f>
        <v>View Full Record in Web of Science</v>
      </c>
    </row>
    <row r="262" spans="1:72" x14ac:dyDescent="0.4">
      <c r="A262" t="s">
        <v>72</v>
      </c>
      <c r="B262" t="s">
        <v>7659</v>
      </c>
      <c r="C262" t="s">
        <v>74</v>
      </c>
      <c r="D262" t="s">
        <v>74</v>
      </c>
      <c r="E262" t="s">
        <v>74</v>
      </c>
      <c r="F262" t="s">
        <v>7659</v>
      </c>
      <c r="G262" t="s">
        <v>74</v>
      </c>
      <c r="H262" t="s">
        <v>74</v>
      </c>
      <c r="I262" t="s">
        <v>7660</v>
      </c>
      <c r="J262" t="s">
        <v>431</v>
      </c>
      <c r="K262" t="s">
        <v>74</v>
      </c>
      <c r="L262" t="s">
        <v>74</v>
      </c>
      <c r="M262" t="s">
        <v>74</v>
      </c>
      <c r="N262" t="s">
        <v>74</v>
      </c>
      <c r="O262" t="s">
        <v>74</v>
      </c>
      <c r="P262" t="s">
        <v>74</v>
      </c>
      <c r="Q262" t="s">
        <v>74</v>
      </c>
      <c r="R262" t="s">
        <v>74</v>
      </c>
      <c r="S262" t="s">
        <v>74</v>
      </c>
      <c r="T262" t="s">
        <v>74</v>
      </c>
      <c r="U262" t="s">
        <v>74</v>
      </c>
      <c r="V262" s="3" t="s">
        <v>7661</v>
      </c>
      <c r="W262" t="s">
        <v>74</v>
      </c>
      <c r="X262" t="s">
        <v>74</v>
      </c>
      <c r="Y262" t="s">
        <v>74</v>
      </c>
      <c r="Z262" t="s">
        <v>74</v>
      </c>
      <c r="AA262" t="s">
        <v>7662</v>
      </c>
      <c r="AB262" t="s">
        <v>74</v>
      </c>
      <c r="AC262" t="s">
        <v>74</v>
      </c>
      <c r="AD262" t="s">
        <v>74</v>
      </c>
      <c r="AE262" t="s">
        <v>74</v>
      </c>
      <c r="AF262" t="s">
        <v>74</v>
      </c>
      <c r="AG262" t="s">
        <v>74</v>
      </c>
      <c r="AH262" t="s">
        <v>74</v>
      </c>
      <c r="AI262" t="s">
        <v>74</v>
      </c>
      <c r="AJ262" t="s">
        <v>74</v>
      </c>
      <c r="AK262" t="s">
        <v>74</v>
      </c>
      <c r="AL262" t="s">
        <v>74</v>
      </c>
      <c r="AM262" t="s">
        <v>74</v>
      </c>
      <c r="AN262" t="s">
        <v>74</v>
      </c>
      <c r="AO262" t="s">
        <v>1458</v>
      </c>
      <c r="AP262" t="s">
        <v>74</v>
      </c>
      <c r="AQ262" t="s">
        <v>74</v>
      </c>
      <c r="AR262" t="s">
        <v>74</v>
      </c>
      <c r="AS262" t="s">
        <v>74</v>
      </c>
      <c r="AT262" t="s">
        <v>633</v>
      </c>
      <c r="AU262">
        <v>2002</v>
      </c>
      <c r="AV262">
        <v>119</v>
      </c>
      <c r="AW262">
        <v>2</v>
      </c>
      <c r="AX262" t="s">
        <v>74</v>
      </c>
      <c r="AY262" t="s">
        <v>74</v>
      </c>
      <c r="AZ262" t="s">
        <v>74</v>
      </c>
      <c r="BA262" t="s">
        <v>74</v>
      </c>
      <c r="BB262">
        <v>487</v>
      </c>
      <c r="BC262">
        <v>497</v>
      </c>
      <c r="BD262" t="s">
        <v>74</v>
      </c>
      <c r="BE262" t="s">
        <v>7663</v>
      </c>
      <c r="BF262" t="str">
        <f>HYPERLINK("http://dx.doi.org/10.1642/0004-8038(2002)119[0487:SALTEO]2.0.CO;2","http://dx.doi.org/10.1642/0004-8038(2002)119[0487:SALTEO]2.0.CO;2")</f>
        <v>http://dx.doi.org/10.1642/0004-8038(2002)119[0487:SALTEO]2.0.CO;2</v>
      </c>
      <c r="BG262" t="s">
        <v>74</v>
      </c>
      <c r="BH262" t="s">
        <v>74</v>
      </c>
      <c r="BI262" t="s">
        <v>74</v>
      </c>
      <c r="BJ262" t="s">
        <v>74</v>
      </c>
      <c r="BK262" t="s">
        <v>74</v>
      </c>
      <c r="BL262" t="s">
        <v>74</v>
      </c>
      <c r="BM262" t="s">
        <v>74</v>
      </c>
      <c r="BN262" t="s">
        <v>74</v>
      </c>
      <c r="BO262" t="s">
        <v>74</v>
      </c>
      <c r="BP262" t="s">
        <v>74</v>
      </c>
      <c r="BQ262" t="s">
        <v>74</v>
      </c>
      <c r="BR262" t="s">
        <v>74</v>
      </c>
      <c r="BS262" t="s">
        <v>7664</v>
      </c>
      <c r="BT262" t="str">
        <f>HYPERLINK("https%3A%2F%2Fwww.webofscience.com%2Fwos%2Fwoscc%2Ffull-record%2FWOS:000175709400016","View Full Record in Web of Science")</f>
        <v>View Full Record in Web of Science</v>
      </c>
    </row>
    <row r="263" spans="1:72" x14ac:dyDescent="0.4">
      <c r="A263" t="s">
        <v>72</v>
      </c>
      <c r="B263" t="s">
        <v>3108</v>
      </c>
      <c r="C263" t="s">
        <v>74</v>
      </c>
      <c r="D263" t="s">
        <v>74</v>
      </c>
      <c r="E263" t="s">
        <v>74</v>
      </c>
      <c r="F263" t="s">
        <v>3109</v>
      </c>
      <c r="G263" t="s">
        <v>74</v>
      </c>
      <c r="H263" t="s">
        <v>74</v>
      </c>
      <c r="I263" t="s">
        <v>3110</v>
      </c>
      <c r="J263" t="s">
        <v>3111</v>
      </c>
      <c r="K263" t="s">
        <v>74</v>
      </c>
      <c r="L263" t="s">
        <v>74</v>
      </c>
      <c r="M263" t="s">
        <v>74</v>
      </c>
      <c r="N263" t="s">
        <v>74</v>
      </c>
      <c r="O263" t="s">
        <v>74</v>
      </c>
      <c r="P263" t="s">
        <v>74</v>
      </c>
      <c r="Q263" t="s">
        <v>74</v>
      </c>
      <c r="R263" t="s">
        <v>74</v>
      </c>
      <c r="S263" t="s">
        <v>74</v>
      </c>
      <c r="T263" t="s">
        <v>74</v>
      </c>
      <c r="U263" t="s">
        <v>74</v>
      </c>
      <c r="V263" s="3" t="s">
        <v>3112</v>
      </c>
      <c r="W263" t="s">
        <v>74</v>
      </c>
      <c r="X263" t="s">
        <v>74</v>
      </c>
      <c r="Y263" t="s">
        <v>74</v>
      </c>
      <c r="Z263" t="s">
        <v>74</v>
      </c>
      <c r="AA263" t="s">
        <v>3113</v>
      </c>
      <c r="AB263" t="s">
        <v>3114</v>
      </c>
      <c r="AC263" t="s">
        <v>74</v>
      </c>
      <c r="AD263" t="s">
        <v>74</v>
      </c>
      <c r="AE263" t="s">
        <v>74</v>
      </c>
      <c r="AF263" t="s">
        <v>74</v>
      </c>
      <c r="AG263" t="s">
        <v>74</v>
      </c>
      <c r="AH263" t="s">
        <v>74</v>
      </c>
      <c r="AI263" t="s">
        <v>74</v>
      </c>
      <c r="AJ263" t="s">
        <v>74</v>
      </c>
      <c r="AK263" t="s">
        <v>74</v>
      </c>
      <c r="AL263" t="s">
        <v>74</v>
      </c>
      <c r="AM263" t="s">
        <v>74</v>
      </c>
      <c r="AN263" t="s">
        <v>74</v>
      </c>
      <c r="AO263" t="s">
        <v>3115</v>
      </c>
      <c r="AP263" t="s">
        <v>3116</v>
      </c>
      <c r="AQ263" t="s">
        <v>74</v>
      </c>
      <c r="AR263" t="s">
        <v>74</v>
      </c>
      <c r="AS263" t="s">
        <v>74</v>
      </c>
      <c r="AT263" t="s">
        <v>633</v>
      </c>
      <c r="AU263">
        <v>2010</v>
      </c>
      <c r="AV263">
        <v>4</v>
      </c>
      <c r="AW263">
        <v>4</v>
      </c>
      <c r="AX263" t="s">
        <v>74</v>
      </c>
      <c r="AY263" t="s">
        <v>74</v>
      </c>
      <c r="AZ263" t="s">
        <v>74</v>
      </c>
      <c r="BA263" t="s">
        <v>74</v>
      </c>
      <c r="BB263">
        <v>604</v>
      </c>
      <c r="BC263">
        <v>616</v>
      </c>
      <c r="BD263" t="s">
        <v>74</v>
      </c>
      <c r="BE263" t="s">
        <v>3117</v>
      </c>
      <c r="BF263" t="str">
        <f>HYPERLINK("http://dx.doi.org/10.1017/S1751731109991406","http://dx.doi.org/10.1017/S1751731109991406")</f>
        <v>http://dx.doi.org/10.1017/S1751731109991406</v>
      </c>
      <c r="BG263" t="s">
        <v>74</v>
      </c>
      <c r="BH263" t="s">
        <v>74</v>
      </c>
      <c r="BI263" t="s">
        <v>74</v>
      </c>
      <c r="BJ263" t="s">
        <v>74</v>
      </c>
      <c r="BK263" t="s">
        <v>74</v>
      </c>
      <c r="BL263" t="s">
        <v>74</v>
      </c>
      <c r="BM263" t="s">
        <v>74</v>
      </c>
      <c r="BN263">
        <v>22444048</v>
      </c>
      <c r="BO263" t="s">
        <v>74</v>
      </c>
      <c r="BP263" t="s">
        <v>74</v>
      </c>
      <c r="BQ263" t="s">
        <v>74</v>
      </c>
      <c r="BR263" t="s">
        <v>74</v>
      </c>
      <c r="BS263" t="s">
        <v>3118</v>
      </c>
      <c r="BT263" t="str">
        <f>HYPERLINK("https%3A%2F%2Fwww.webofscience.com%2Fwos%2Fwoscc%2Ffull-record%2FWOS:000276005600013","View Full Record in Web of Science")</f>
        <v>View Full Record in Web of Science</v>
      </c>
    </row>
    <row r="264" spans="1:72" x14ac:dyDescent="0.4">
      <c r="A264" t="s">
        <v>72</v>
      </c>
      <c r="B264" t="s">
        <v>3076</v>
      </c>
      <c r="C264" t="s">
        <v>74</v>
      </c>
      <c r="D264" t="s">
        <v>74</v>
      </c>
      <c r="E264" t="s">
        <v>74</v>
      </c>
      <c r="F264" t="s">
        <v>3076</v>
      </c>
      <c r="G264" t="s">
        <v>74</v>
      </c>
      <c r="H264" t="s">
        <v>74</v>
      </c>
      <c r="I264" t="s">
        <v>3077</v>
      </c>
      <c r="J264" t="s">
        <v>731</v>
      </c>
      <c r="K264" t="s">
        <v>74</v>
      </c>
      <c r="L264" t="s">
        <v>74</v>
      </c>
      <c r="M264" t="s">
        <v>74</v>
      </c>
      <c r="N264" t="s">
        <v>74</v>
      </c>
      <c r="O264" t="s">
        <v>74</v>
      </c>
      <c r="P264" t="s">
        <v>74</v>
      </c>
      <c r="Q264" t="s">
        <v>74</v>
      </c>
      <c r="R264" t="s">
        <v>74</v>
      </c>
      <c r="S264" t="s">
        <v>74</v>
      </c>
      <c r="T264" t="s">
        <v>74</v>
      </c>
      <c r="U264" t="s">
        <v>74</v>
      </c>
      <c r="V264" s="3" t="s">
        <v>3078</v>
      </c>
      <c r="W264" t="s">
        <v>74</v>
      </c>
      <c r="X264" t="s">
        <v>74</v>
      </c>
      <c r="Y264" t="s">
        <v>74</v>
      </c>
      <c r="Z264" t="s">
        <v>74</v>
      </c>
      <c r="AA264" t="s">
        <v>74</v>
      </c>
      <c r="AB264" t="s">
        <v>74</v>
      </c>
      <c r="AC264" t="s">
        <v>74</v>
      </c>
      <c r="AD264" t="s">
        <v>74</v>
      </c>
      <c r="AE264" t="s">
        <v>74</v>
      </c>
      <c r="AF264" t="s">
        <v>74</v>
      </c>
      <c r="AG264" t="s">
        <v>74</v>
      </c>
      <c r="AH264" t="s">
        <v>74</v>
      </c>
      <c r="AI264" t="s">
        <v>74</v>
      </c>
      <c r="AJ264" t="s">
        <v>74</v>
      </c>
      <c r="AK264" t="s">
        <v>74</v>
      </c>
      <c r="AL264" t="s">
        <v>74</v>
      </c>
      <c r="AM264" t="s">
        <v>74</v>
      </c>
      <c r="AN264" t="s">
        <v>74</v>
      </c>
      <c r="AO264" t="s">
        <v>733</v>
      </c>
      <c r="AP264" t="s">
        <v>74</v>
      </c>
      <c r="AQ264" t="s">
        <v>74</v>
      </c>
      <c r="AR264" t="s">
        <v>74</v>
      </c>
      <c r="AS264" t="s">
        <v>74</v>
      </c>
      <c r="AT264" t="s">
        <v>145</v>
      </c>
      <c r="AU264">
        <v>1996</v>
      </c>
      <c r="AV264">
        <v>78</v>
      </c>
      <c r="AW264">
        <v>2</v>
      </c>
      <c r="AX264" t="s">
        <v>74</v>
      </c>
      <c r="AY264" t="s">
        <v>74</v>
      </c>
      <c r="AZ264" t="s">
        <v>74</v>
      </c>
      <c r="BA264" t="s">
        <v>74</v>
      </c>
      <c r="BB264">
        <v>175</v>
      </c>
      <c r="BC264">
        <v>182</v>
      </c>
      <c r="BD264" t="s">
        <v>74</v>
      </c>
      <c r="BE264" t="s">
        <v>74</v>
      </c>
      <c r="BF264" t="s">
        <v>74</v>
      </c>
      <c r="BG264" t="s">
        <v>74</v>
      </c>
      <c r="BH264" t="s">
        <v>74</v>
      </c>
      <c r="BI264" t="s">
        <v>74</v>
      </c>
      <c r="BJ264" t="s">
        <v>74</v>
      </c>
      <c r="BK264" t="s">
        <v>74</v>
      </c>
      <c r="BL264" t="s">
        <v>74</v>
      </c>
      <c r="BM264" t="s">
        <v>74</v>
      </c>
      <c r="BN264">
        <v>8864049</v>
      </c>
      <c r="BO264" t="s">
        <v>74</v>
      </c>
      <c r="BP264" t="s">
        <v>74</v>
      </c>
      <c r="BQ264" t="s">
        <v>74</v>
      </c>
      <c r="BR264" t="s">
        <v>74</v>
      </c>
      <c r="BS264" t="s">
        <v>3079</v>
      </c>
      <c r="BT264" t="str">
        <f>HYPERLINK("https%3A%2F%2Fwww.webofscience.com%2Fwos%2Fwoscc%2Ffull-record%2FWOS:A1996VD71100011","View Full Record in Web of Science")</f>
        <v>View Full Record in Web of Science</v>
      </c>
    </row>
    <row r="265" spans="1:72" x14ac:dyDescent="0.4">
      <c r="A265" t="s">
        <v>72</v>
      </c>
      <c r="B265" t="s">
        <v>5822</v>
      </c>
      <c r="C265" t="s">
        <v>74</v>
      </c>
      <c r="D265" t="s">
        <v>74</v>
      </c>
      <c r="E265" t="s">
        <v>74</v>
      </c>
      <c r="F265" t="s">
        <v>5822</v>
      </c>
      <c r="G265" t="s">
        <v>74</v>
      </c>
      <c r="H265" t="s">
        <v>74</v>
      </c>
      <c r="I265" t="s">
        <v>5823</v>
      </c>
      <c r="J265" t="s">
        <v>4791</v>
      </c>
      <c r="K265" t="s">
        <v>74</v>
      </c>
      <c r="L265" t="s">
        <v>74</v>
      </c>
      <c r="M265" t="s">
        <v>74</v>
      </c>
      <c r="N265" t="s">
        <v>74</v>
      </c>
      <c r="O265" t="s">
        <v>74</v>
      </c>
      <c r="P265" t="s">
        <v>74</v>
      </c>
      <c r="Q265" t="s">
        <v>74</v>
      </c>
      <c r="R265" t="s">
        <v>74</v>
      </c>
      <c r="S265" t="s">
        <v>74</v>
      </c>
      <c r="T265" t="s">
        <v>74</v>
      </c>
      <c r="U265" t="s">
        <v>74</v>
      </c>
      <c r="V265" s="3" t="s">
        <v>5824</v>
      </c>
      <c r="W265" t="s">
        <v>74</v>
      </c>
      <c r="X265" t="s">
        <v>74</v>
      </c>
      <c r="Y265" t="s">
        <v>74</v>
      </c>
      <c r="Z265" t="s">
        <v>74</v>
      </c>
      <c r="AA265" t="s">
        <v>74</v>
      </c>
      <c r="AB265" t="s">
        <v>74</v>
      </c>
      <c r="AC265" t="s">
        <v>74</v>
      </c>
      <c r="AD265" t="s">
        <v>74</v>
      </c>
      <c r="AE265" t="s">
        <v>74</v>
      </c>
      <c r="AF265" t="s">
        <v>74</v>
      </c>
      <c r="AG265" t="s">
        <v>74</v>
      </c>
      <c r="AH265" t="s">
        <v>74</v>
      </c>
      <c r="AI265" t="s">
        <v>74</v>
      </c>
      <c r="AJ265" t="s">
        <v>74</v>
      </c>
      <c r="AK265" t="s">
        <v>74</v>
      </c>
      <c r="AL265" t="s">
        <v>74</v>
      </c>
      <c r="AM265" t="s">
        <v>74</v>
      </c>
      <c r="AN265" t="s">
        <v>74</v>
      </c>
      <c r="AO265" t="s">
        <v>4793</v>
      </c>
      <c r="AP265" t="s">
        <v>74</v>
      </c>
      <c r="AQ265" t="s">
        <v>74</v>
      </c>
      <c r="AR265" t="s">
        <v>74</v>
      </c>
      <c r="AS265" t="s">
        <v>74</v>
      </c>
      <c r="AT265" t="s">
        <v>932</v>
      </c>
      <c r="AU265">
        <v>1995</v>
      </c>
      <c r="AV265">
        <v>272</v>
      </c>
      <c r="AW265">
        <v>3</v>
      </c>
      <c r="AX265" t="s">
        <v>74</v>
      </c>
      <c r="AY265" t="s">
        <v>74</v>
      </c>
      <c r="AZ265" t="s">
        <v>74</v>
      </c>
      <c r="BA265" t="s">
        <v>74</v>
      </c>
      <c r="BB265">
        <v>194</v>
      </c>
      <c r="BC265">
        <v>200</v>
      </c>
      <c r="BD265" t="s">
        <v>74</v>
      </c>
      <c r="BE265" t="s">
        <v>5825</v>
      </c>
      <c r="BF265" t="str">
        <f>HYPERLINK("http://dx.doi.org/10.1002/jez.1402720304","http://dx.doi.org/10.1002/jez.1402720304")</f>
        <v>http://dx.doi.org/10.1002/jez.1402720304</v>
      </c>
      <c r="BG265" t="s">
        <v>74</v>
      </c>
      <c r="BH265" t="s">
        <v>74</v>
      </c>
      <c r="BI265" t="s">
        <v>74</v>
      </c>
      <c r="BJ265" t="s">
        <v>74</v>
      </c>
      <c r="BK265" t="s">
        <v>74</v>
      </c>
      <c r="BL265" t="s">
        <v>74</v>
      </c>
      <c r="BM265" t="s">
        <v>74</v>
      </c>
      <c r="BN265" t="s">
        <v>74</v>
      </c>
      <c r="BO265" t="s">
        <v>74</v>
      </c>
      <c r="BP265" t="s">
        <v>74</v>
      </c>
      <c r="BQ265" t="s">
        <v>74</v>
      </c>
      <c r="BR265" t="s">
        <v>74</v>
      </c>
      <c r="BS265" t="s">
        <v>5826</v>
      </c>
      <c r="BT265" t="str">
        <f>HYPERLINK("https%3A%2F%2Fwww.webofscience.com%2Fwos%2Fwoscc%2Ffull-record%2FWOS:A1995RG10200003","View Full Record in Web of Science")</f>
        <v>View Full Record in Web of Science</v>
      </c>
    </row>
    <row r="266" spans="1:72" x14ac:dyDescent="0.4">
      <c r="A266" t="s">
        <v>72</v>
      </c>
      <c r="B266" t="s">
        <v>729</v>
      </c>
      <c r="C266" t="s">
        <v>74</v>
      </c>
      <c r="D266" t="s">
        <v>74</v>
      </c>
      <c r="E266" t="s">
        <v>74</v>
      </c>
      <c r="F266" t="s">
        <v>729</v>
      </c>
      <c r="G266" t="s">
        <v>74</v>
      </c>
      <c r="H266" t="s">
        <v>74</v>
      </c>
      <c r="I266" t="s">
        <v>730</v>
      </c>
      <c r="J266" t="s">
        <v>731</v>
      </c>
      <c r="K266" t="s">
        <v>74</v>
      </c>
      <c r="L266" t="s">
        <v>74</v>
      </c>
      <c r="M266" t="s">
        <v>74</v>
      </c>
      <c r="N266" t="s">
        <v>74</v>
      </c>
      <c r="O266" t="s">
        <v>74</v>
      </c>
      <c r="P266" t="s">
        <v>74</v>
      </c>
      <c r="Q266" t="s">
        <v>74</v>
      </c>
      <c r="R266" t="s">
        <v>74</v>
      </c>
      <c r="S266" t="s">
        <v>74</v>
      </c>
      <c r="T266" t="s">
        <v>74</v>
      </c>
      <c r="U266" t="s">
        <v>74</v>
      </c>
      <c r="V266" s="3" t="s">
        <v>732</v>
      </c>
      <c r="W266" t="s">
        <v>74</v>
      </c>
      <c r="X266" t="s">
        <v>74</v>
      </c>
      <c r="Y266" t="s">
        <v>74</v>
      </c>
      <c r="Z266" t="s">
        <v>74</v>
      </c>
      <c r="AA266" t="s">
        <v>74</v>
      </c>
      <c r="AB266" t="s">
        <v>74</v>
      </c>
      <c r="AC266" t="s">
        <v>74</v>
      </c>
      <c r="AD266" t="s">
        <v>74</v>
      </c>
      <c r="AE266" t="s">
        <v>74</v>
      </c>
      <c r="AF266" t="s">
        <v>74</v>
      </c>
      <c r="AG266" t="s">
        <v>74</v>
      </c>
      <c r="AH266" t="s">
        <v>74</v>
      </c>
      <c r="AI266" t="s">
        <v>74</v>
      </c>
      <c r="AJ266" t="s">
        <v>74</v>
      </c>
      <c r="AK266" t="s">
        <v>74</v>
      </c>
      <c r="AL266" t="s">
        <v>74</v>
      </c>
      <c r="AM266" t="s">
        <v>74</v>
      </c>
      <c r="AN266" t="s">
        <v>74</v>
      </c>
      <c r="AO266" t="s">
        <v>733</v>
      </c>
      <c r="AP266" t="s">
        <v>734</v>
      </c>
      <c r="AQ266" t="s">
        <v>74</v>
      </c>
      <c r="AR266" t="s">
        <v>74</v>
      </c>
      <c r="AS266" t="s">
        <v>74</v>
      </c>
      <c r="AT266" t="s">
        <v>175</v>
      </c>
      <c r="AU266">
        <v>1998</v>
      </c>
      <c r="AV266">
        <v>95</v>
      </c>
      <c r="AW266">
        <v>2</v>
      </c>
      <c r="AX266" t="s">
        <v>74</v>
      </c>
      <c r="AY266" t="s">
        <v>74</v>
      </c>
      <c r="AZ266" t="s">
        <v>74</v>
      </c>
      <c r="BA266" t="s">
        <v>74</v>
      </c>
      <c r="BB266">
        <v>227</v>
      </c>
      <c r="BC266">
        <v>232</v>
      </c>
      <c r="BD266" t="s">
        <v>74</v>
      </c>
      <c r="BE266" t="s">
        <v>735</v>
      </c>
      <c r="BF266" t="str">
        <f>HYPERLINK("http://dx.doi.org/10.1016/S0166-4328(98)00048-5","http://dx.doi.org/10.1016/S0166-4328(98)00048-5")</f>
        <v>http://dx.doi.org/10.1016/S0166-4328(98)00048-5</v>
      </c>
      <c r="BG266" t="s">
        <v>74</v>
      </c>
      <c r="BH266" t="s">
        <v>74</v>
      </c>
      <c r="BI266" t="s">
        <v>74</v>
      </c>
      <c r="BJ266" t="s">
        <v>74</v>
      </c>
      <c r="BK266" t="s">
        <v>74</v>
      </c>
      <c r="BL266" t="s">
        <v>74</v>
      </c>
      <c r="BM266" t="s">
        <v>74</v>
      </c>
      <c r="BN266">
        <v>9806442</v>
      </c>
      <c r="BO266" t="s">
        <v>74</v>
      </c>
      <c r="BP266" t="s">
        <v>74</v>
      </c>
      <c r="BQ266" t="s">
        <v>74</v>
      </c>
      <c r="BR266" t="s">
        <v>74</v>
      </c>
      <c r="BS266" t="s">
        <v>736</v>
      </c>
      <c r="BT266" t="str">
        <f>HYPERLINK("https%3A%2F%2Fwww.webofscience.com%2Fwos%2Fwoscc%2Ffull-record%2FWOS:000076619000008","View Full Record in Web of Science")</f>
        <v>View Full Record in Web of Science</v>
      </c>
    </row>
    <row r="267" spans="1:72" x14ac:dyDescent="0.4">
      <c r="A267" t="s">
        <v>72</v>
      </c>
      <c r="B267" t="s">
        <v>4789</v>
      </c>
      <c r="C267" t="s">
        <v>74</v>
      </c>
      <c r="D267" t="s">
        <v>74</v>
      </c>
      <c r="E267" t="s">
        <v>74</v>
      </c>
      <c r="F267" t="s">
        <v>4789</v>
      </c>
      <c r="G267" t="s">
        <v>74</v>
      </c>
      <c r="H267" t="s">
        <v>74</v>
      </c>
      <c r="I267" t="s">
        <v>4790</v>
      </c>
      <c r="J267" t="s">
        <v>4791</v>
      </c>
      <c r="K267" t="s">
        <v>74</v>
      </c>
      <c r="L267" t="s">
        <v>74</v>
      </c>
      <c r="M267" t="s">
        <v>74</v>
      </c>
      <c r="N267" t="s">
        <v>74</v>
      </c>
      <c r="O267" t="s">
        <v>74</v>
      </c>
      <c r="P267" t="s">
        <v>74</v>
      </c>
      <c r="Q267" t="s">
        <v>74</v>
      </c>
      <c r="R267" t="s">
        <v>74</v>
      </c>
      <c r="S267" t="s">
        <v>74</v>
      </c>
      <c r="T267" t="s">
        <v>74</v>
      </c>
      <c r="U267" t="s">
        <v>74</v>
      </c>
      <c r="V267" s="3" t="s">
        <v>4792</v>
      </c>
      <c r="W267" t="s">
        <v>74</v>
      </c>
      <c r="X267" t="s">
        <v>74</v>
      </c>
      <c r="Y267" t="s">
        <v>74</v>
      </c>
      <c r="Z267" t="s">
        <v>74</v>
      </c>
      <c r="AA267" t="s">
        <v>74</v>
      </c>
      <c r="AB267" t="s">
        <v>74</v>
      </c>
      <c r="AC267" t="s">
        <v>74</v>
      </c>
      <c r="AD267" t="s">
        <v>74</v>
      </c>
      <c r="AE267" t="s">
        <v>74</v>
      </c>
      <c r="AF267" t="s">
        <v>74</v>
      </c>
      <c r="AG267" t="s">
        <v>74</v>
      </c>
      <c r="AH267" t="s">
        <v>74</v>
      </c>
      <c r="AI267" t="s">
        <v>74</v>
      </c>
      <c r="AJ267" t="s">
        <v>74</v>
      </c>
      <c r="AK267" t="s">
        <v>74</v>
      </c>
      <c r="AL267" t="s">
        <v>74</v>
      </c>
      <c r="AM267" t="s">
        <v>74</v>
      </c>
      <c r="AN267" t="s">
        <v>74</v>
      </c>
      <c r="AO267" t="s">
        <v>4793</v>
      </c>
      <c r="AP267" t="s">
        <v>74</v>
      </c>
      <c r="AQ267" t="s">
        <v>74</v>
      </c>
      <c r="AR267" t="s">
        <v>74</v>
      </c>
      <c r="AS267" t="s">
        <v>74</v>
      </c>
      <c r="AT267" t="s">
        <v>361</v>
      </c>
      <c r="AU267">
        <v>1997</v>
      </c>
      <c r="AV267">
        <v>278</v>
      </c>
      <c r="AW267">
        <v>1</v>
      </c>
      <c r="AX267" t="s">
        <v>74</v>
      </c>
      <c r="AY267" t="s">
        <v>74</v>
      </c>
      <c r="AZ267" t="s">
        <v>74</v>
      </c>
      <c r="BA267" t="s">
        <v>74</v>
      </c>
      <c r="BB267">
        <v>9</v>
      </c>
      <c r="BC267">
        <v>21</v>
      </c>
      <c r="BD267" t="s">
        <v>74</v>
      </c>
      <c r="BE267" t="s">
        <v>4794</v>
      </c>
      <c r="BF267" t="str">
        <f>HYPERLINK("http://dx.doi.org/10.1002/(SICI)1097-010X(19970501)278:1&lt;9::AID-JEZ2&gt;3.0.CO;2-T","http://dx.doi.org/10.1002/(SICI)1097-010X(19970501)278:1&lt;9::AID-JEZ2&gt;3.0.CO;2-T")</f>
        <v>http://dx.doi.org/10.1002/(SICI)1097-010X(19970501)278:1&lt;9::AID-JEZ2&gt;3.0.CO;2-T</v>
      </c>
      <c r="BG267" t="s">
        <v>74</v>
      </c>
      <c r="BH267" t="s">
        <v>74</v>
      </c>
      <c r="BI267" t="s">
        <v>74</v>
      </c>
      <c r="BJ267" t="s">
        <v>74</v>
      </c>
      <c r="BK267" t="s">
        <v>74</v>
      </c>
      <c r="BL267" t="s">
        <v>74</v>
      </c>
      <c r="BM267" t="s">
        <v>74</v>
      </c>
      <c r="BN267" t="s">
        <v>74</v>
      </c>
      <c r="BO267" t="s">
        <v>74</v>
      </c>
      <c r="BP267" t="s">
        <v>74</v>
      </c>
      <c r="BQ267" t="s">
        <v>74</v>
      </c>
      <c r="BR267" t="s">
        <v>74</v>
      </c>
      <c r="BS267" t="s">
        <v>4795</v>
      </c>
      <c r="BT267" t="str">
        <f>HYPERLINK("https%3A%2F%2Fwww.webofscience.com%2Fwos%2Fwoscc%2Ffull-record%2FWOS:A1997WW30700002","View Full Record in Web of Science")</f>
        <v>View Full Record in Web of Science</v>
      </c>
    </row>
    <row r="268" spans="1:72" x14ac:dyDescent="0.4">
      <c r="A268" t="s">
        <v>72</v>
      </c>
      <c r="B268" t="s">
        <v>7597</v>
      </c>
      <c r="C268" t="s">
        <v>74</v>
      </c>
      <c r="D268" t="s">
        <v>74</v>
      </c>
      <c r="E268" t="s">
        <v>74</v>
      </c>
      <c r="F268" t="s">
        <v>7597</v>
      </c>
      <c r="G268" t="s">
        <v>74</v>
      </c>
      <c r="H268" t="s">
        <v>74</v>
      </c>
      <c r="I268" t="s">
        <v>7598</v>
      </c>
      <c r="J268" t="s">
        <v>7599</v>
      </c>
      <c r="K268" t="s">
        <v>74</v>
      </c>
      <c r="L268" t="s">
        <v>74</v>
      </c>
      <c r="M268" t="s">
        <v>74</v>
      </c>
      <c r="N268" t="s">
        <v>74</v>
      </c>
      <c r="O268" t="s">
        <v>74</v>
      </c>
      <c r="P268" t="s">
        <v>74</v>
      </c>
      <c r="Q268" t="s">
        <v>74</v>
      </c>
      <c r="R268" t="s">
        <v>74</v>
      </c>
      <c r="S268" t="s">
        <v>74</v>
      </c>
      <c r="T268" t="s">
        <v>74</v>
      </c>
      <c r="U268" t="s">
        <v>74</v>
      </c>
      <c r="V268" s="3" t="s">
        <v>7600</v>
      </c>
      <c r="W268" t="s">
        <v>74</v>
      </c>
      <c r="X268" t="s">
        <v>74</v>
      </c>
      <c r="Y268" t="s">
        <v>74</v>
      </c>
      <c r="Z268" t="s">
        <v>74</v>
      </c>
      <c r="AA268" t="s">
        <v>74</v>
      </c>
      <c r="AB268" t="s">
        <v>74</v>
      </c>
      <c r="AC268" t="s">
        <v>74</v>
      </c>
      <c r="AD268" t="s">
        <v>74</v>
      </c>
      <c r="AE268" t="s">
        <v>74</v>
      </c>
      <c r="AF268" t="s">
        <v>74</v>
      </c>
      <c r="AG268" t="s">
        <v>74</v>
      </c>
      <c r="AH268" t="s">
        <v>74</v>
      </c>
      <c r="AI268" t="s">
        <v>74</v>
      </c>
      <c r="AJ268" t="s">
        <v>74</v>
      </c>
      <c r="AK268" t="s">
        <v>74</v>
      </c>
      <c r="AL268" t="s">
        <v>74</v>
      </c>
      <c r="AM268" t="s">
        <v>74</v>
      </c>
      <c r="AN268" t="s">
        <v>74</v>
      </c>
      <c r="AO268" t="s">
        <v>7601</v>
      </c>
      <c r="AP268" t="s">
        <v>74</v>
      </c>
      <c r="AQ268" t="s">
        <v>74</v>
      </c>
      <c r="AR268" t="s">
        <v>74</v>
      </c>
      <c r="AS268" t="s">
        <v>74</v>
      </c>
      <c r="AT268" t="s">
        <v>7602</v>
      </c>
      <c r="AU268">
        <v>1991</v>
      </c>
      <c r="AV268">
        <v>104</v>
      </c>
      <c r="AW268">
        <v>2</v>
      </c>
      <c r="AX268" t="s">
        <v>74</v>
      </c>
      <c r="AY268" t="s">
        <v>74</v>
      </c>
      <c r="AZ268" t="s">
        <v>74</v>
      </c>
      <c r="BA268" t="s">
        <v>74</v>
      </c>
      <c r="BB268">
        <v>370</v>
      </c>
      <c r="BC268">
        <v>386</v>
      </c>
      <c r="BD268" t="s">
        <v>74</v>
      </c>
      <c r="BE268" t="s">
        <v>74</v>
      </c>
      <c r="BF268" t="s">
        <v>74</v>
      </c>
      <c r="BG268" t="s">
        <v>74</v>
      </c>
      <c r="BH268" t="s">
        <v>74</v>
      </c>
      <c r="BI268" t="s">
        <v>74</v>
      </c>
      <c r="BJ268" t="s">
        <v>74</v>
      </c>
      <c r="BK268" t="s">
        <v>74</v>
      </c>
      <c r="BL268" t="s">
        <v>74</v>
      </c>
      <c r="BM268" t="s">
        <v>74</v>
      </c>
      <c r="BN268" t="s">
        <v>74</v>
      </c>
      <c r="BO268" t="s">
        <v>74</v>
      </c>
      <c r="BP268" t="s">
        <v>74</v>
      </c>
      <c r="BQ268" t="s">
        <v>74</v>
      </c>
      <c r="BR268" t="s">
        <v>74</v>
      </c>
      <c r="BS268" t="s">
        <v>7603</v>
      </c>
      <c r="BT268" t="str">
        <f>HYPERLINK("https%3A%2F%2Fwww.webofscience.com%2Fwos%2Fwoscc%2Ffull-record%2FWOS:A1991FT32000019","View Full Record in Web of Science")</f>
        <v>View Full Record in Web of Science</v>
      </c>
    </row>
    <row r="269" spans="1:72" x14ac:dyDescent="0.4">
      <c r="A269" t="s">
        <v>72</v>
      </c>
      <c r="B269" t="s">
        <v>7484</v>
      </c>
      <c r="C269" t="s">
        <v>74</v>
      </c>
      <c r="D269" t="s">
        <v>74</v>
      </c>
      <c r="E269" t="s">
        <v>74</v>
      </c>
      <c r="F269" t="s">
        <v>7484</v>
      </c>
      <c r="G269" t="s">
        <v>74</v>
      </c>
      <c r="H269" t="s">
        <v>74</v>
      </c>
      <c r="I269" t="s">
        <v>7485</v>
      </c>
      <c r="J269" t="s">
        <v>7486</v>
      </c>
      <c r="K269" t="s">
        <v>74</v>
      </c>
      <c r="L269" t="s">
        <v>74</v>
      </c>
      <c r="M269" t="s">
        <v>74</v>
      </c>
      <c r="N269" t="s">
        <v>74</v>
      </c>
      <c r="O269" t="s">
        <v>74</v>
      </c>
      <c r="P269" t="s">
        <v>74</v>
      </c>
      <c r="Q269" t="s">
        <v>74</v>
      </c>
      <c r="R269" t="s">
        <v>74</v>
      </c>
      <c r="S269" t="s">
        <v>74</v>
      </c>
      <c r="T269" t="s">
        <v>74</v>
      </c>
      <c r="U269" t="s">
        <v>74</v>
      </c>
      <c r="V269" s="3" t="s">
        <v>7487</v>
      </c>
      <c r="W269" t="s">
        <v>74</v>
      </c>
      <c r="X269" t="s">
        <v>74</v>
      </c>
      <c r="Y269" t="s">
        <v>74</v>
      </c>
      <c r="Z269" t="s">
        <v>74</v>
      </c>
      <c r="AA269" t="s">
        <v>74</v>
      </c>
      <c r="AB269" t="s">
        <v>74</v>
      </c>
      <c r="AC269" t="s">
        <v>74</v>
      </c>
      <c r="AD269" t="s">
        <v>74</v>
      </c>
      <c r="AE269" t="s">
        <v>74</v>
      </c>
      <c r="AF269" t="s">
        <v>74</v>
      </c>
      <c r="AG269" t="s">
        <v>74</v>
      </c>
      <c r="AH269" t="s">
        <v>74</v>
      </c>
      <c r="AI269" t="s">
        <v>74</v>
      </c>
      <c r="AJ269" t="s">
        <v>74</v>
      </c>
      <c r="AK269" t="s">
        <v>74</v>
      </c>
      <c r="AL269" t="s">
        <v>74</v>
      </c>
      <c r="AM269" t="s">
        <v>74</v>
      </c>
      <c r="AN269" t="s">
        <v>74</v>
      </c>
      <c r="AO269" t="s">
        <v>74</v>
      </c>
      <c r="AP269" t="s">
        <v>74</v>
      </c>
      <c r="AQ269" t="s">
        <v>74</v>
      </c>
      <c r="AR269" t="s">
        <v>74</v>
      </c>
      <c r="AS269" t="s">
        <v>74</v>
      </c>
      <c r="AT269" t="s">
        <v>74</v>
      </c>
      <c r="AU269">
        <v>1982</v>
      </c>
      <c r="AV269">
        <v>36</v>
      </c>
      <c r="AW269">
        <v>1</v>
      </c>
      <c r="AX269" t="s">
        <v>74</v>
      </c>
      <c r="AY269" t="s">
        <v>74</v>
      </c>
      <c r="AZ269" t="s">
        <v>74</v>
      </c>
      <c r="BA269" t="s">
        <v>74</v>
      </c>
      <c r="BB269">
        <v>37</v>
      </c>
      <c r="BC269">
        <v>78</v>
      </c>
      <c r="BD269" t="s">
        <v>74</v>
      </c>
      <c r="BE269" t="s">
        <v>74</v>
      </c>
      <c r="BF269" t="s">
        <v>74</v>
      </c>
      <c r="BG269" t="s">
        <v>74</v>
      </c>
      <c r="BH269" t="s">
        <v>74</v>
      </c>
      <c r="BI269" t="s">
        <v>74</v>
      </c>
      <c r="BJ269" t="s">
        <v>74</v>
      </c>
      <c r="BK269" t="s">
        <v>74</v>
      </c>
      <c r="BL269" t="s">
        <v>74</v>
      </c>
      <c r="BM269" t="s">
        <v>74</v>
      </c>
      <c r="BN269" t="s">
        <v>74</v>
      </c>
      <c r="BO269" t="s">
        <v>74</v>
      </c>
      <c r="BP269" t="s">
        <v>74</v>
      </c>
      <c r="BQ269" t="s">
        <v>74</v>
      </c>
      <c r="BR269" t="s">
        <v>74</v>
      </c>
      <c r="BS269" t="s">
        <v>7488</v>
      </c>
      <c r="BT269" t="str">
        <f>HYPERLINK("https%3A%2F%2Fwww.webofscience.com%2Fwos%2Fwoscc%2Ffull-record%2FWOS:A1982MW10500003","View Full Record in Web of Science")</f>
        <v>View Full Record in Web of Science</v>
      </c>
    </row>
    <row r="270" spans="1:72" x14ac:dyDescent="0.4">
      <c r="A270" t="s">
        <v>72</v>
      </c>
      <c r="B270" t="s">
        <v>1491</v>
      </c>
      <c r="C270" t="s">
        <v>74</v>
      </c>
      <c r="D270" t="s">
        <v>74</v>
      </c>
      <c r="E270" t="s">
        <v>74</v>
      </c>
      <c r="F270" t="s">
        <v>1492</v>
      </c>
      <c r="G270" t="s">
        <v>74</v>
      </c>
      <c r="H270" t="s">
        <v>74</v>
      </c>
      <c r="I270" t="s">
        <v>1493</v>
      </c>
      <c r="J270" t="s">
        <v>1494</v>
      </c>
      <c r="K270" t="s">
        <v>74</v>
      </c>
      <c r="L270" t="s">
        <v>74</v>
      </c>
      <c r="M270" t="s">
        <v>74</v>
      </c>
      <c r="N270" t="s">
        <v>74</v>
      </c>
      <c r="O270" t="s">
        <v>74</v>
      </c>
      <c r="P270" t="s">
        <v>74</v>
      </c>
      <c r="Q270" t="s">
        <v>74</v>
      </c>
      <c r="R270" t="s">
        <v>74</v>
      </c>
      <c r="S270" t="s">
        <v>74</v>
      </c>
      <c r="T270" t="s">
        <v>74</v>
      </c>
      <c r="U270" t="s">
        <v>74</v>
      </c>
      <c r="V270" s="3" t="s">
        <v>1495</v>
      </c>
      <c r="W270" t="s">
        <v>74</v>
      </c>
      <c r="X270" t="s">
        <v>74</v>
      </c>
      <c r="Y270" t="s">
        <v>74</v>
      </c>
      <c r="Z270" t="s">
        <v>74</v>
      </c>
      <c r="AA270" t="s">
        <v>1496</v>
      </c>
      <c r="AB270" t="s">
        <v>1497</v>
      </c>
      <c r="AC270" t="s">
        <v>74</v>
      </c>
      <c r="AD270" t="s">
        <v>74</v>
      </c>
      <c r="AE270" t="s">
        <v>74</v>
      </c>
      <c r="AF270" t="s">
        <v>74</v>
      </c>
      <c r="AG270" t="s">
        <v>74</v>
      </c>
      <c r="AH270" t="s">
        <v>74</v>
      </c>
      <c r="AI270" t="s">
        <v>74</v>
      </c>
      <c r="AJ270" t="s">
        <v>74</v>
      </c>
      <c r="AK270" t="s">
        <v>74</v>
      </c>
      <c r="AL270" t="s">
        <v>74</v>
      </c>
      <c r="AM270" t="s">
        <v>74</v>
      </c>
      <c r="AN270" t="s">
        <v>74</v>
      </c>
      <c r="AO270" t="s">
        <v>1498</v>
      </c>
      <c r="AP270" t="s">
        <v>74</v>
      </c>
      <c r="AQ270" t="s">
        <v>74</v>
      </c>
      <c r="AR270" t="s">
        <v>74</v>
      </c>
      <c r="AS270" t="s">
        <v>74</v>
      </c>
      <c r="AT270" t="s">
        <v>74</v>
      </c>
      <c r="AU270">
        <v>2019</v>
      </c>
      <c r="AV270">
        <v>32</v>
      </c>
      <c r="AW270" t="s">
        <v>74</v>
      </c>
      <c r="AX270" t="s">
        <v>74</v>
      </c>
      <c r="AY270" t="s">
        <v>74</v>
      </c>
      <c r="AZ270" t="s">
        <v>74</v>
      </c>
      <c r="BA270" t="s">
        <v>74</v>
      </c>
      <c r="BB270">
        <v>95</v>
      </c>
      <c r="BC270">
        <v>99</v>
      </c>
      <c r="BD270" t="s">
        <v>74</v>
      </c>
      <c r="BE270" t="s">
        <v>1499</v>
      </c>
      <c r="BF270" t="str">
        <f>HYPERLINK("http://dx.doi.org/10.3897/herpetozoa.32.e36023","http://dx.doi.org/10.3897/herpetozoa.32.e36023")</f>
        <v>http://dx.doi.org/10.3897/herpetozoa.32.e36023</v>
      </c>
      <c r="BG270" t="s">
        <v>74</v>
      </c>
      <c r="BH270" t="s">
        <v>74</v>
      </c>
      <c r="BI270" t="s">
        <v>74</v>
      </c>
      <c r="BJ270" t="s">
        <v>74</v>
      </c>
      <c r="BK270" t="s">
        <v>74</v>
      </c>
      <c r="BL270" t="s">
        <v>74</v>
      </c>
      <c r="BM270" t="s">
        <v>74</v>
      </c>
      <c r="BN270" t="s">
        <v>74</v>
      </c>
      <c r="BO270" t="s">
        <v>74</v>
      </c>
      <c r="BP270" t="s">
        <v>74</v>
      </c>
      <c r="BQ270" t="s">
        <v>74</v>
      </c>
      <c r="BR270" t="s">
        <v>74</v>
      </c>
      <c r="BS270" t="s">
        <v>1500</v>
      </c>
      <c r="BT270" t="str">
        <f>HYPERLINK("https%3A%2F%2Fwww.webofscience.com%2Fwos%2Fwoscc%2Ffull-record%2FWOS:000471808100016","View Full Record in Web of Science")</f>
        <v>View Full Record in Web of Science</v>
      </c>
    </row>
    <row r="271" spans="1:72" x14ac:dyDescent="0.4">
      <c r="A271" t="s">
        <v>72</v>
      </c>
      <c r="B271" t="s">
        <v>2205</v>
      </c>
      <c r="C271" t="s">
        <v>74</v>
      </c>
      <c r="D271" t="s">
        <v>74</v>
      </c>
      <c r="E271" t="s">
        <v>74</v>
      </c>
      <c r="F271" t="s">
        <v>2205</v>
      </c>
      <c r="G271" t="s">
        <v>74</v>
      </c>
      <c r="H271" t="s">
        <v>74</v>
      </c>
      <c r="I271" t="s">
        <v>2206</v>
      </c>
      <c r="J271" t="s">
        <v>2207</v>
      </c>
      <c r="K271" t="s">
        <v>74</v>
      </c>
      <c r="L271" t="s">
        <v>74</v>
      </c>
      <c r="M271" t="s">
        <v>74</v>
      </c>
      <c r="N271" t="s">
        <v>74</v>
      </c>
      <c r="O271" t="s">
        <v>74</v>
      </c>
      <c r="P271" t="s">
        <v>74</v>
      </c>
      <c r="Q271" t="s">
        <v>74</v>
      </c>
      <c r="R271" t="s">
        <v>74</v>
      </c>
      <c r="S271" t="s">
        <v>74</v>
      </c>
      <c r="T271" t="s">
        <v>74</v>
      </c>
      <c r="U271" t="s">
        <v>74</v>
      </c>
      <c r="V271" s="3" t="s">
        <v>2208</v>
      </c>
      <c r="W271" t="s">
        <v>74</v>
      </c>
      <c r="X271" t="s">
        <v>74</v>
      </c>
      <c r="Y271" t="s">
        <v>74</v>
      </c>
      <c r="Z271" t="s">
        <v>74</v>
      </c>
      <c r="AA271" t="s">
        <v>2209</v>
      </c>
      <c r="AB271" t="s">
        <v>2210</v>
      </c>
      <c r="AC271" t="s">
        <v>74</v>
      </c>
      <c r="AD271" t="s">
        <v>74</v>
      </c>
      <c r="AE271" t="s">
        <v>74</v>
      </c>
      <c r="AF271" t="s">
        <v>74</v>
      </c>
      <c r="AG271" t="s">
        <v>74</v>
      </c>
      <c r="AH271" t="s">
        <v>74</v>
      </c>
      <c r="AI271" t="s">
        <v>74</v>
      </c>
      <c r="AJ271" t="s">
        <v>74</v>
      </c>
      <c r="AK271" t="s">
        <v>74</v>
      </c>
      <c r="AL271" t="s">
        <v>74</v>
      </c>
      <c r="AM271" t="s">
        <v>74</v>
      </c>
      <c r="AN271" t="s">
        <v>74</v>
      </c>
      <c r="AO271" t="s">
        <v>2211</v>
      </c>
      <c r="AP271" t="s">
        <v>74</v>
      </c>
      <c r="AQ271" t="s">
        <v>74</v>
      </c>
      <c r="AR271" t="s">
        <v>74</v>
      </c>
      <c r="AS271" t="s">
        <v>74</v>
      </c>
      <c r="AT271" t="s">
        <v>204</v>
      </c>
      <c r="AU271">
        <v>2006</v>
      </c>
      <c r="AV271">
        <v>37</v>
      </c>
      <c r="AW271">
        <v>4</v>
      </c>
      <c r="AX271" t="s">
        <v>74</v>
      </c>
      <c r="AY271" t="s">
        <v>74</v>
      </c>
      <c r="AZ271" t="s">
        <v>74</v>
      </c>
      <c r="BA271" t="s">
        <v>74</v>
      </c>
      <c r="BB271">
        <v>339</v>
      </c>
      <c r="BC271">
        <v>348</v>
      </c>
      <c r="BD271" t="s">
        <v>74</v>
      </c>
      <c r="BE271" t="s">
        <v>2212</v>
      </c>
      <c r="BF271" t="str">
        <f>HYPERLINK("http://dx.doi.org/10.1111/j.2006.0908-8857.03655.x","http://dx.doi.org/10.1111/j.2006.0908-8857.03655.x")</f>
        <v>http://dx.doi.org/10.1111/j.2006.0908-8857.03655.x</v>
      </c>
      <c r="BG271" t="s">
        <v>74</v>
      </c>
      <c r="BH271" t="s">
        <v>74</v>
      </c>
      <c r="BI271" t="s">
        <v>74</v>
      </c>
      <c r="BJ271" t="s">
        <v>74</v>
      </c>
      <c r="BK271" t="s">
        <v>74</v>
      </c>
      <c r="BL271" t="s">
        <v>74</v>
      </c>
      <c r="BM271" t="s">
        <v>74</v>
      </c>
      <c r="BN271" t="s">
        <v>74</v>
      </c>
      <c r="BO271" t="s">
        <v>74</v>
      </c>
      <c r="BP271" t="s">
        <v>74</v>
      </c>
      <c r="BQ271" t="s">
        <v>74</v>
      </c>
      <c r="BR271" t="s">
        <v>74</v>
      </c>
      <c r="BS271" t="s">
        <v>2213</v>
      </c>
      <c r="BT271" t="str">
        <f>HYPERLINK("https%3A%2F%2Fwww.webofscience.com%2Fwos%2Fwoscc%2Ffull-record%2FWOS:000238486700008","View Full Record in Web of Science")</f>
        <v>View Full Record in Web of Science</v>
      </c>
    </row>
    <row r="272" spans="1:72" x14ac:dyDescent="0.4">
      <c r="A272" t="s">
        <v>72</v>
      </c>
      <c r="B272" t="s">
        <v>7287</v>
      </c>
      <c r="C272" t="s">
        <v>74</v>
      </c>
      <c r="D272" t="s">
        <v>74</v>
      </c>
      <c r="E272" t="s">
        <v>74</v>
      </c>
      <c r="F272" t="s">
        <v>7287</v>
      </c>
      <c r="G272" t="s">
        <v>74</v>
      </c>
      <c r="H272" t="s">
        <v>74</v>
      </c>
      <c r="I272" t="s">
        <v>7288</v>
      </c>
      <c r="J272" t="s">
        <v>367</v>
      </c>
      <c r="K272" t="s">
        <v>74</v>
      </c>
      <c r="L272" t="s">
        <v>74</v>
      </c>
      <c r="M272" t="s">
        <v>74</v>
      </c>
      <c r="N272" t="s">
        <v>74</v>
      </c>
      <c r="O272" t="s">
        <v>74</v>
      </c>
      <c r="P272" t="s">
        <v>74</v>
      </c>
      <c r="Q272" t="s">
        <v>74</v>
      </c>
      <c r="R272" t="s">
        <v>74</v>
      </c>
      <c r="S272" t="s">
        <v>74</v>
      </c>
      <c r="T272" t="s">
        <v>74</v>
      </c>
      <c r="U272" t="s">
        <v>74</v>
      </c>
      <c r="V272" s="3" t="s">
        <v>7289</v>
      </c>
      <c r="W272" t="s">
        <v>74</v>
      </c>
      <c r="X272" t="s">
        <v>74</v>
      </c>
      <c r="Y272" t="s">
        <v>74</v>
      </c>
      <c r="Z272" t="s">
        <v>74</v>
      </c>
      <c r="AA272" t="s">
        <v>74</v>
      </c>
      <c r="AB272" t="s">
        <v>74</v>
      </c>
      <c r="AC272" t="s">
        <v>74</v>
      </c>
      <c r="AD272" t="s">
        <v>74</v>
      </c>
      <c r="AE272" t="s">
        <v>74</v>
      </c>
      <c r="AF272" t="s">
        <v>74</v>
      </c>
      <c r="AG272" t="s">
        <v>74</v>
      </c>
      <c r="AH272" t="s">
        <v>74</v>
      </c>
      <c r="AI272" t="s">
        <v>74</v>
      </c>
      <c r="AJ272" t="s">
        <v>74</v>
      </c>
      <c r="AK272" t="s">
        <v>74</v>
      </c>
      <c r="AL272" t="s">
        <v>74</v>
      </c>
      <c r="AM272" t="s">
        <v>74</v>
      </c>
      <c r="AN272" t="s">
        <v>74</v>
      </c>
      <c r="AO272" t="s">
        <v>371</v>
      </c>
      <c r="AP272" t="s">
        <v>372</v>
      </c>
      <c r="AQ272" t="s">
        <v>74</v>
      </c>
      <c r="AR272" t="s">
        <v>74</v>
      </c>
      <c r="AS272" t="s">
        <v>74</v>
      </c>
      <c r="AT272" t="s">
        <v>102</v>
      </c>
      <c r="AU272">
        <v>1992</v>
      </c>
      <c r="AV272">
        <v>106</v>
      </c>
      <c r="AW272">
        <v>2</v>
      </c>
      <c r="AX272" t="s">
        <v>74</v>
      </c>
      <c r="AY272" t="s">
        <v>74</v>
      </c>
      <c r="AZ272" t="s">
        <v>74</v>
      </c>
      <c r="BA272" t="s">
        <v>74</v>
      </c>
      <c r="BB272">
        <v>150</v>
      </c>
      <c r="BC272">
        <v>162</v>
      </c>
      <c r="BD272" t="s">
        <v>74</v>
      </c>
      <c r="BE272" t="s">
        <v>74</v>
      </c>
      <c r="BF272" t="s">
        <v>74</v>
      </c>
      <c r="BG272" t="s">
        <v>74</v>
      </c>
      <c r="BH272" t="s">
        <v>74</v>
      </c>
      <c r="BI272" t="s">
        <v>74</v>
      </c>
      <c r="BJ272" t="s">
        <v>74</v>
      </c>
      <c r="BK272" t="s">
        <v>74</v>
      </c>
      <c r="BL272" t="s">
        <v>74</v>
      </c>
      <c r="BM272" t="s">
        <v>74</v>
      </c>
      <c r="BN272" t="s">
        <v>74</v>
      </c>
      <c r="BO272" t="s">
        <v>74</v>
      </c>
      <c r="BP272" t="s">
        <v>74</v>
      </c>
      <c r="BQ272" t="s">
        <v>74</v>
      </c>
      <c r="BR272" t="s">
        <v>74</v>
      </c>
      <c r="BS272" t="s">
        <v>7290</v>
      </c>
      <c r="BT272" t="str">
        <f>HYPERLINK("https%3A%2F%2Fwww.webofscience.com%2Fwos%2Fwoscc%2Ffull-record%2FWOS:A1992HW96900007","View Full Record in Web of Science")</f>
        <v>View Full Record in Web of Science</v>
      </c>
    </row>
    <row r="273" spans="1:72" x14ac:dyDescent="0.4">
      <c r="A273" t="s">
        <v>72</v>
      </c>
      <c r="B273" t="s">
        <v>4178</v>
      </c>
      <c r="C273" t="s">
        <v>74</v>
      </c>
      <c r="D273" t="s">
        <v>74</v>
      </c>
      <c r="E273" t="s">
        <v>74</v>
      </c>
      <c r="F273" t="s">
        <v>4178</v>
      </c>
      <c r="G273" t="s">
        <v>74</v>
      </c>
      <c r="H273" t="s">
        <v>74</v>
      </c>
      <c r="I273" t="s">
        <v>4179</v>
      </c>
      <c r="J273" t="s">
        <v>1126</v>
      </c>
      <c r="K273" t="s">
        <v>74</v>
      </c>
      <c r="L273" t="s">
        <v>74</v>
      </c>
      <c r="M273" t="s">
        <v>74</v>
      </c>
      <c r="N273" t="s">
        <v>74</v>
      </c>
      <c r="O273" t="s">
        <v>74</v>
      </c>
      <c r="P273" t="s">
        <v>74</v>
      </c>
      <c r="Q273" t="s">
        <v>74</v>
      </c>
      <c r="R273" t="s">
        <v>74</v>
      </c>
      <c r="S273" t="s">
        <v>74</v>
      </c>
      <c r="T273" t="s">
        <v>74</v>
      </c>
      <c r="U273" t="s">
        <v>74</v>
      </c>
      <c r="V273" s="3" t="s">
        <v>4180</v>
      </c>
      <c r="W273" t="s">
        <v>74</v>
      </c>
      <c r="X273" t="s">
        <v>74</v>
      </c>
      <c r="Y273" t="s">
        <v>74</v>
      </c>
      <c r="Z273" t="s">
        <v>74</v>
      </c>
      <c r="AA273" t="s">
        <v>4181</v>
      </c>
      <c r="AB273" t="s">
        <v>74</v>
      </c>
      <c r="AC273" t="s">
        <v>74</v>
      </c>
      <c r="AD273" t="s">
        <v>74</v>
      </c>
      <c r="AE273" t="s">
        <v>74</v>
      </c>
      <c r="AF273" t="s">
        <v>74</v>
      </c>
      <c r="AG273" t="s">
        <v>74</v>
      </c>
      <c r="AH273" t="s">
        <v>74</v>
      </c>
      <c r="AI273" t="s">
        <v>74</v>
      </c>
      <c r="AJ273" t="s">
        <v>74</v>
      </c>
      <c r="AK273" t="s">
        <v>74</v>
      </c>
      <c r="AL273" t="s">
        <v>74</v>
      </c>
      <c r="AM273" t="s">
        <v>74</v>
      </c>
      <c r="AN273" t="s">
        <v>74</v>
      </c>
      <c r="AO273" t="s">
        <v>1128</v>
      </c>
      <c r="AP273" t="s">
        <v>1129</v>
      </c>
      <c r="AQ273" t="s">
        <v>74</v>
      </c>
      <c r="AR273" t="s">
        <v>74</v>
      </c>
      <c r="AS273" t="s">
        <v>74</v>
      </c>
      <c r="AT273" t="s">
        <v>2028</v>
      </c>
      <c r="AU273">
        <v>1985</v>
      </c>
      <c r="AV273" t="s">
        <v>74</v>
      </c>
      <c r="AW273">
        <v>4</v>
      </c>
      <c r="AX273" t="s">
        <v>74</v>
      </c>
      <c r="AY273" t="s">
        <v>74</v>
      </c>
      <c r="AZ273" t="s">
        <v>74</v>
      </c>
      <c r="BA273" t="s">
        <v>74</v>
      </c>
      <c r="BB273">
        <v>966</v>
      </c>
      <c r="BC273">
        <v>975</v>
      </c>
      <c r="BD273" t="s">
        <v>74</v>
      </c>
      <c r="BE273" t="s">
        <v>74</v>
      </c>
      <c r="BF273" t="s">
        <v>74</v>
      </c>
      <c r="BG273" t="s">
        <v>74</v>
      </c>
      <c r="BH273" t="s">
        <v>74</v>
      </c>
      <c r="BI273" t="s">
        <v>74</v>
      </c>
      <c r="BJ273" t="s">
        <v>74</v>
      </c>
      <c r="BK273" t="s">
        <v>74</v>
      </c>
      <c r="BL273" t="s">
        <v>74</v>
      </c>
      <c r="BM273" t="s">
        <v>74</v>
      </c>
      <c r="BN273" t="s">
        <v>74</v>
      </c>
      <c r="BO273" t="s">
        <v>74</v>
      </c>
      <c r="BP273" t="s">
        <v>74</v>
      </c>
      <c r="BQ273" t="s">
        <v>74</v>
      </c>
      <c r="BR273" t="s">
        <v>74</v>
      </c>
      <c r="BS273" t="s">
        <v>4182</v>
      </c>
      <c r="BT273" t="str">
        <f>HYPERLINK("https%3A%2F%2Fwww.webofscience.com%2Fwos%2Fwoscc%2Ffull-record%2FWOS:A1985AXC0800019","View Full Record in Web of Science")</f>
        <v>View Full Record in Web of Science</v>
      </c>
    </row>
    <row r="274" spans="1:72" x14ac:dyDescent="0.4">
      <c r="A274" t="s">
        <v>72</v>
      </c>
      <c r="B274" t="s">
        <v>920</v>
      </c>
      <c r="C274" t="s">
        <v>74</v>
      </c>
      <c r="D274" t="s">
        <v>74</v>
      </c>
      <c r="E274" t="s">
        <v>74</v>
      </c>
      <c r="F274" t="s">
        <v>921</v>
      </c>
      <c r="G274" t="s">
        <v>74</v>
      </c>
      <c r="H274" t="s">
        <v>74</v>
      </c>
      <c r="I274" t="s">
        <v>922</v>
      </c>
      <c r="J274" t="s">
        <v>108</v>
      </c>
      <c r="K274" t="s">
        <v>74</v>
      </c>
      <c r="L274" t="s">
        <v>74</v>
      </c>
      <c r="M274" t="s">
        <v>74</v>
      </c>
      <c r="N274" t="s">
        <v>74</v>
      </c>
      <c r="O274" t="s">
        <v>74</v>
      </c>
      <c r="P274" t="s">
        <v>74</v>
      </c>
      <c r="Q274" t="s">
        <v>74</v>
      </c>
      <c r="R274" t="s">
        <v>74</v>
      </c>
      <c r="S274" t="s">
        <v>74</v>
      </c>
      <c r="T274" t="s">
        <v>74</v>
      </c>
      <c r="U274" t="s">
        <v>74</v>
      </c>
      <c r="V274" s="3" t="s">
        <v>923</v>
      </c>
      <c r="W274" t="s">
        <v>74</v>
      </c>
      <c r="X274" t="s">
        <v>74</v>
      </c>
      <c r="Y274" t="s">
        <v>74</v>
      </c>
      <c r="Z274" t="s">
        <v>74</v>
      </c>
      <c r="AA274" t="s">
        <v>74</v>
      </c>
      <c r="AB274" t="s">
        <v>74</v>
      </c>
      <c r="AC274" t="s">
        <v>74</v>
      </c>
      <c r="AD274" t="s">
        <v>74</v>
      </c>
      <c r="AE274" t="s">
        <v>74</v>
      </c>
      <c r="AF274" t="s">
        <v>74</v>
      </c>
      <c r="AG274" t="s">
        <v>74</v>
      </c>
      <c r="AH274" t="s">
        <v>74</v>
      </c>
      <c r="AI274" t="s">
        <v>74</v>
      </c>
      <c r="AJ274" t="s">
        <v>74</v>
      </c>
      <c r="AK274" t="s">
        <v>74</v>
      </c>
      <c r="AL274" t="s">
        <v>74</v>
      </c>
      <c r="AM274" t="s">
        <v>74</v>
      </c>
      <c r="AN274" t="s">
        <v>74</v>
      </c>
      <c r="AO274" t="s">
        <v>111</v>
      </c>
      <c r="AP274" t="s">
        <v>112</v>
      </c>
      <c r="AQ274" t="s">
        <v>74</v>
      </c>
      <c r="AR274" t="s">
        <v>74</v>
      </c>
      <c r="AS274" t="s">
        <v>74</v>
      </c>
      <c r="AT274" t="s">
        <v>924</v>
      </c>
      <c r="AU274">
        <v>2007</v>
      </c>
      <c r="AV274">
        <v>274</v>
      </c>
      <c r="AW274">
        <v>1627</v>
      </c>
      <c r="AX274" t="s">
        <v>74</v>
      </c>
      <c r="AY274" t="s">
        <v>74</v>
      </c>
      <c r="AZ274" t="s">
        <v>74</v>
      </c>
      <c r="BA274" t="s">
        <v>74</v>
      </c>
      <c r="BB274">
        <v>2785</v>
      </c>
      <c r="BC274">
        <v>2790</v>
      </c>
      <c r="BD274" t="s">
        <v>74</v>
      </c>
      <c r="BE274" t="s">
        <v>925</v>
      </c>
      <c r="BF274" t="str">
        <f>HYPERLINK("http://dx.doi.org/10.1098/rspb.2007.1059","http://dx.doi.org/10.1098/rspb.2007.1059")</f>
        <v>http://dx.doi.org/10.1098/rspb.2007.1059</v>
      </c>
      <c r="BG274" t="s">
        <v>74</v>
      </c>
      <c r="BH274" t="s">
        <v>74</v>
      </c>
      <c r="BI274" t="s">
        <v>74</v>
      </c>
      <c r="BJ274" t="s">
        <v>74</v>
      </c>
      <c r="BK274" t="s">
        <v>74</v>
      </c>
      <c r="BL274" t="s">
        <v>74</v>
      </c>
      <c r="BM274" t="s">
        <v>74</v>
      </c>
      <c r="BN274">
        <v>17848366</v>
      </c>
      <c r="BO274" t="s">
        <v>74</v>
      </c>
      <c r="BP274" t="s">
        <v>74</v>
      </c>
      <c r="BQ274" t="s">
        <v>74</v>
      </c>
      <c r="BR274" t="s">
        <v>74</v>
      </c>
      <c r="BS274" t="s">
        <v>926</v>
      </c>
      <c r="BT274" t="str">
        <f>HYPERLINK("https%3A%2F%2Fwww.webofscience.com%2Fwos%2Fwoscc%2Ffull-record%2FWOS:000250555000002","View Full Record in Web of Science")</f>
        <v>View Full Record in Web of Science</v>
      </c>
    </row>
    <row r="275" spans="1:72" x14ac:dyDescent="0.4">
      <c r="A275" t="s">
        <v>72</v>
      </c>
      <c r="B275" t="s">
        <v>7098</v>
      </c>
      <c r="C275" t="s">
        <v>74</v>
      </c>
      <c r="D275" t="s">
        <v>74</v>
      </c>
      <c r="E275" t="s">
        <v>74</v>
      </c>
      <c r="F275" t="s">
        <v>7098</v>
      </c>
      <c r="G275" t="s">
        <v>74</v>
      </c>
      <c r="H275" t="s">
        <v>74</v>
      </c>
      <c r="I275" t="s">
        <v>7099</v>
      </c>
      <c r="J275" t="s">
        <v>4064</v>
      </c>
      <c r="K275" t="s">
        <v>74</v>
      </c>
      <c r="L275" t="s">
        <v>74</v>
      </c>
      <c r="M275" t="s">
        <v>74</v>
      </c>
      <c r="N275" t="s">
        <v>74</v>
      </c>
      <c r="O275" t="s">
        <v>74</v>
      </c>
      <c r="P275" t="s">
        <v>74</v>
      </c>
      <c r="Q275" t="s">
        <v>74</v>
      </c>
      <c r="R275" t="s">
        <v>74</v>
      </c>
      <c r="S275" t="s">
        <v>74</v>
      </c>
      <c r="T275" t="s">
        <v>74</v>
      </c>
      <c r="U275" t="s">
        <v>74</v>
      </c>
      <c r="V275" s="3" t="s">
        <v>7100</v>
      </c>
      <c r="W275" t="s">
        <v>74</v>
      </c>
      <c r="X275" t="s">
        <v>74</v>
      </c>
      <c r="Y275" t="s">
        <v>74</v>
      </c>
      <c r="Z275" t="s">
        <v>74</v>
      </c>
      <c r="AA275" t="s">
        <v>74</v>
      </c>
      <c r="AB275" t="s">
        <v>74</v>
      </c>
      <c r="AC275" t="s">
        <v>74</v>
      </c>
      <c r="AD275" t="s">
        <v>74</v>
      </c>
      <c r="AE275" t="s">
        <v>74</v>
      </c>
      <c r="AF275" t="s">
        <v>74</v>
      </c>
      <c r="AG275" t="s">
        <v>74</v>
      </c>
      <c r="AH275" t="s">
        <v>74</v>
      </c>
      <c r="AI275" t="s">
        <v>74</v>
      </c>
      <c r="AJ275" t="s">
        <v>74</v>
      </c>
      <c r="AK275" t="s">
        <v>74</v>
      </c>
      <c r="AL275" t="s">
        <v>74</v>
      </c>
      <c r="AM275" t="s">
        <v>74</v>
      </c>
      <c r="AN275" t="s">
        <v>74</v>
      </c>
      <c r="AO275" t="s">
        <v>4068</v>
      </c>
      <c r="AP275" t="s">
        <v>4069</v>
      </c>
      <c r="AQ275" t="s">
        <v>74</v>
      </c>
      <c r="AR275" t="s">
        <v>74</v>
      </c>
      <c r="AS275" t="s">
        <v>74</v>
      </c>
      <c r="AT275" t="s">
        <v>7101</v>
      </c>
      <c r="AU275">
        <v>2005</v>
      </c>
      <c r="AV275">
        <v>15</v>
      </c>
      <c r="AW275">
        <v>23</v>
      </c>
      <c r="AX275" t="s">
        <v>74</v>
      </c>
      <c r="AY275" t="s">
        <v>74</v>
      </c>
      <c r="AZ275" t="s">
        <v>74</v>
      </c>
      <c r="BA275" t="s">
        <v>74</v>
      </c>
      <c r="BB275">
        <v>2170</v>
      </c>
      <c r="BC275">
        <v>2174</v>
      </c>
      <c r="BD275" t="s">
        <v>74</v>
      </c>
      <c r="BE275" t="s">
        <v>7102</v>
      </c>
      <c r="BF275" t="str">
        <f>HYPERLINK("http://dx.doi.org/10.1016/j.cub.2005.10.067","http://dx.doi.org/10.1016/j.cub.2005.10.067")</f>
        <v>http://dx.doi.org/10.1016/j.cub.2005.10.067</v>
      </c>
      <c r="BG275" t="s">
        <v>74</v>
      </c>
      <c r="BH275" t="s">
        <v>74</v>
      </c>
      <c r="BI275" t="s">
        <v>74</v>
      </c>
      <c r="BJ275" t="s">
        <v>74</v>
      </c>
      <c r="BK275" t="s">
        <v>74</v>
      </c>
      <c r="BL275" t="s">
        <v>74</v>
      </c>
      <c r="BM275" t="s">
        <v>74</v>
      </c>
      <c r="BN275">
        <v>16332544</v>
      </c>
      <c r="BO275" t="s">
        <v>74</v>
      </c>
      <c r="BP275" t="s">
        <v>74</v>
      </c>
      <c r="BQ275" t="s">
        <v>74</v>
      </c>
      <c r="BR275" t="s">
        <v>74</v>
      </c>
      <c r="BS275" t="s">
        <v>7103</v>
      </c>
      <c r="BT275" t="str">
        <f>HYPERLINK("https%3A%2F%2Fwww.webofscience.com%2Fwos%2Fwoscc%2Ffull-record%2FWOS:000234013400033","View Full Record in Web of Science")</f>
        <v>View Full Record in Web of Science</v>
      </c>
    </row>
    <row r="276" spans="1:72" x14ac:dyDescent="0.4">
      <c r="A276" t="s">
        <v>72</v>
      </c>
      <c r="B276" t="s">
        <v>7460</v>
      </c>
      <c r="C276" t="s">
        <v>74</v>
      </c>
      <c r="D276" t="s">
        <v>74</v>
      </c>
      <c r="E276" t="s">
        <v>74</v>
      </c>
      <c r="F276" t="s">
        <v>7461</v>
      </c>
      <c r="G276" t="s">
        <v>74</v>
      </c>
      <c r="H276" t="s">
        <v>74</v>
      </c>
      <c r="I276" t="s">
        <v>7462</v>
      </c>
      <c r="J276" t="s">
        <v>1026</v>
      </c>
      <c r="K276" t="s">
        <v>74</v>
      </c>
      <c r="L276" t="s">
        <v>74</v>
      </c>
      <c r="M276" t="s">
        <v>74</v>
      </c>
      <c r="N276" t="s">
        <v>74</v>
      </c>
      <c r="O276" t="s">
        <v>7463</v>
      </c>
      <c r="P276" t="s">
        <v>7464</v>
      </c>
      <c r="Q276" t="s">
        <v>7465</v>
      </c>
      <c r="R276" t="s">
        <v>7466</v>
      </c>
      <c r="S276" t="s">
        <v>74</v>
      </c>
      <c r="T276" t="s">
        <v>74</v>
      </c>
      <c r="U276" t="s">
        <v>74</v>
      </c>
      <c r="V276" s="3" t="s">
        <v>7467</v>
      </c>
      <c r="W276" t="s">
        <v>74</v>
      </c>
      <c r="X276" t="s">
        <v>74</v>
      </c>
      <c r="Y276" t="s">
        <v>74</v>
      </c>
      <c r="Z276" t="s">
        <v>74</v>
      </c>
      <c r="AA276" t="s">
        <v>74</v>
      </c>
      <c r="AB276" t="s">
        <v>74</v>
      </c>
      <c r="AC276" t="s">
        <v>74</v>
      </c>
      <c r="AD276" t="s">
        <v>74</v>
      </c>
      <c r="AE276" t="s">
        <v>74</v>
      </c>
      <c r="AF276" t="s">
        <v>74</v>
      </c>
      <c r="AG276" t="s">
        <v>74</v>
      </c>
      <c r="AH276" t="s">
        <v>74</v>
      </c>
      <c r="AI276" t="s">
        <v>74</v>
      </c>
      <c r="AJ276" t="s">
        <v>74</v>
      </c>
      <c r="AK276" t="s">
        <v>74</v>
      </c>
      <c r="AL276" t="s">
        <v>74</v>
      </c>
      <c r="AM276" t="s">
        <v>74</v>
      </c>
      <c r="AN276" t="s">
        <v>74</v>
      </c>
      <c r="AO276" t="s">
        <v>1030</v>
      </c>
      <c r="AP276" t="s">
        <v>1031</v>
      </c>
      <c r="AQ276" t="s">
        <v>74</v>
      </c>
      <c r="AR276" t="s">
        <v>74</v>
      </c>
      <c r="AS276" t="s">
        <v>74</v>
      </c>
      <c r="AT276" t="s">
        <v>964</v>
      </c>
      <c r="AU276">
        <v>2019</v>
      </c>
      <c r="AV276">
        <v>40</v>
      </c>
      <c r="AW276">
        <v>1</v>
      </c>
      <c r="AX276" t="s">
        <v>74</v>
      </c>
      <c r="AY276" t="s">
        <v>74</v>
      </c>
      <c r="AZ276" t="s">
        <v>848</v>
      </c>
      <c r="BA276" t="s">
        <v>74</v>
      </c>
      <c r="BB276">
        <v>28</v>
      </c>
      <c r="BC276">
        <v>52</v>
      </c>
      <c r="BD276" t="s">
        <v>74</v>
      </c>
      <c r="BE276" t="s">
        <v>7468</v>
      </c>
      <c r="BF276" t="str">
        <f>HYPERLINK("http://dx.doi.org/10.1007/s10764-018-0029-7","http://dx.doi.org/10.1007/s10764-018-0029-7")</f>
        <v>http://dx.doi.org/10.1007/s10764-018-0029-7</v>
      </c>
      <c r="BG276" t="s">
        <v>74</v>
      </c>
      <c r="BH276" t="s">
        <v>74</v>
      </c>
      <c r="BI276" t="s">
        <v>74</v>
      </c>
      <c r="BJ276" t="s">
        <v>74</v>
      </c>
      <c r="BK276" t="s">
        <v>74</v>
      </c>
      <c r="BL276" t="s">
        <v>74</v>
      </c>
      <c r="BM276" t="s">
        <v>74</v>
      </c>
      <c r="BN276" t="s">
        <v>74</v>
      </c>
      <c r="BO276" t="s">
        <v>74</v>
      </c>
      <c r="BP276" t="s">
        <v>74</v>
      </c>
      <c r="BQ276" t="s">
        <v>74</v>
      </c>
      <c r="BR276" t="s">
        <v>74</v>
      </c>
      <c r="BS276" t="s">
        <v>7469</v>
      </c>
      <c r="BT276" t="str">
        <f>HYPERLINK("https%3A%2F%2Fwww.webofscience.com%2Fwos%2Fwoscc%2Ffull-record%2FWOS:000460006300003","View Full Record in Web of Science")</f>
        <v>View Full Record in Web of Science</v>
      </c>
    </row>
    <row r="277" spans="1:72" x14ac:dyDescent="0.4">
      <c r="A277" t="s">
        <v>72</v>
      </c>
      <c r="B277" t="s">
        <v>2321</v>
      </c>
      <c r="C277" t="s">
        <v>74</v>
      </c>
      <c r="D277" t="s">
        <v>74</v>
      </c>
      <c r="E277" t="s">
        <v>74</v>
      </c>
      <c r="F277" t="s">
        <v>2322</v>
      </c>
      <c r="G277" t="s">
        <v>74</v>
      </c>
      <c r="H277" t="s">
        <v>74</v>
      </c>
      <c r="I277" t="s">
        <v>2323</v>
      </c>
      <c r="J277" t="s">
        <v>431</v>
      </c>
      <c r="K277" t="s">
        <v>74</v>
      </c>
      <c r="L277" t="s">
        <v>74</v>
      </c>
      <c r="M277" t="s">
        <v>74</v>
      </c>
      <c r="N277" t="s">
        <v>74</v>
      </c>
      <c r="O277" t="s">
        <v>74</v>
      </c>
      <c r="P277" t="s">
        <v>74</v>
      </c>
      <c r="Q277" t="s">
        <v>74</v>
      </c>
      <c r="R277" t="s">
        <v>74</v>
      </c>
      <c r="S277" t="s">
        <v>74</v>
      </c>
      <c r="T277" t="s">
        <v>74</v>
      </c>
      <c r="U277" t="s">
        <v>74</v>
      </c>
      <c r="V277" s="3" t="s">
        <v>2324</v>
      </c>
      <c r="W277" t="s">
        <v>74</v>
      </c>
      <c r="X277" t="s">
        <v>74</v>
      </c>
      <c r="Y277" t="s">
        <v>74</v>
      </c>
      <c r="Z277" t="s">
        <v>74</v>
      </c>
      <c r="AA277" t="s">
        <v>74</v>
      </c>
      <c r="AB277" t="s">
        <v>2325</v>
      </c>
      <c r="AC277" t="s">
        <v>74</v>
      </c>
      <c r="AD277" t="s">
        <v>74</v>
      </c>
      <c r="AE277" t="s">
        <v>74</v>
      </c>
      <c r="AF277" t="s">
        <v>74</v>
      </c>
      <c r="AG277" t="s">
        <v>74</v>
      </c>
      <c r="AH277" t="s">
        <v>74</v>
      </c>
      <c r="AI277" t="s">
        <v>74</v>
      </c>
      <c r="AJ277" t="s">
        <v>74</v>
      </c>
      <c r="AK277" t="s">
        <v>74</v>
      </c>
      <c r="AL277" t="s">
        <v>74</v>
      </c>
      <c r="AM277" t="s">
        <v>74</v>
      </c>
      <c r="AN277" t="s">
        <v>74</v>
      </c>
      <c r="AO277" t="s">
        <v>74</v>
      </c>
      <c r="AP277" t="s">
        <v>435</v>
      </c>
      <c r="AQ277" t="s">
        <v>74</v>
      </c>
      <c r="AR277" t="s">
        <v>74</v>
      </c>
      <c r="AS277" t="s">
        <v>74</v>
      </c>
      <c r="AT277" t="s">
        <v>633</v>
      </c>
      <c r="AU277">
        <v>2017</v>
      </c>
      <c r="AV277">
        <v>134</v>
      </c>
      <c r="AW277">
        <v>2</v>
      </c>
      <c r="AX277" t="s">
        <v>74</v>
      </c>
      <c r="AY277" t="s">
        <v>74</v>
      </c>
      <c r="AZ277" t="s">
        <v>74</v>
      </c>
      <c r="BA277" t="s">
        <v>74</v>
      </c>
      <c r="BB277">
        <v>317</v>
      </c>
      <c r="BC277">
        <v>329</v>
      </c>
      <c r="BD277" t="s">
        <v>74</v>
      </c>
      <c r="BE277" t="s">
        <v>2326</v>
      </c>
      <c r="BF277" t="str">
        <f>HYPERLINK("http://dx.doi.org/10.1642/AUK-16-119.1","http://dx.doi.org/10.1642/AUK-16-119.1")</f>
        <v>http://dx.doi.org/10.1642/AUK-16-119.1</v>
      </c>
      <c r="BG277" t="s">
        <v>74</v>
      </c>
      <c r="BH277" t="s">
        <v>74</v>
      </c>
      <c r="BI277" t="s">
        <v>74</v>
      </c>
      <c r="BJ277" t="s">
        <v>74</v>
      </c>
      <c r="BK277" t="s">
        <v>74</v>
      </c>
      <c r="BL277" t="s">
        <v>74</v>
      </c>
      <c r="BM277" t="s">
        <v>74</v>
      </c>
      <c r="BN277" t="s">
        <v>74</v>
      </c>
      <c r="BO277" t="s">
        <v>74</v>
      </c>
      <c r="BP277" t="s">
        <v>74</v>
      </c>
      <c r="BQ277" t="s">
        <v>74</v>
      </c>
      <c r="BR277" t="s">
        <v>74</v>
      </c>
      <c r="BS277" t="s">
        <v>2327</v>
      </c>
      <c r="BT277" t="str">
        <f>HYPERLINK("https%3A%2F%2Fwww.webofscience.com%2Fwos%2Fwoscc%2Ffull-record%2FWOS:000398573200004","View Full Record in Web of Science")</f>
        <v>View Full Record in Web of Science</v>
      </c>
    </row>
    <row r="278" spans="1:72" x14ac:dyDescent="0.4">
      <c r="A278" t="s">
        <v>72</v>
      </c>
      <c r="B278" t="s">
        <v>3496</v>
      </c>
      <c r="C278" t="s">
        <v>74</v>
      </c>
      <c r="D278" t="s">
        <v>74</v>
      </c>
      <c r="E278" t="s">
        <v>74</v>
      </c>
      <c r="F278" t="s">
        <v>3496</v>
      </c>
      <c r="G278" t="s">
        <v>74</v>
      </c>
      <c r="H278" t="s">
        <v>74</v>
      </c>
      <c r="I278" t="s">
        <v>3497</v>
      </c>
      <c r="J278" t="s">
        <v>3498</v>
      </c>
      <c r="K278" t="s">
        <v>74</v>
      </c>
      <c r="L278" t="s">
        <v>74</v>
      </c>
      <c r="M278" t="s">
        <v>74</v>
      </c>
      <c r="N278" t="s">
        <v>74</v>
      </c>
      <c r="O278" t="s">
        <v>74</v>
      </c>
      <c r="P278" t="s">
        <v>74</v>
      </c>
      <c r="Q278" t="s">
        <v>74</v>
      </c>
      <c r="R278" t="s">
        <v>74</v>
      </c>
      <c r="S278" t="s">
        <v>74</v>
      </c>
      <c r="T278" t="s">
        <v>74</v>
      </c>
      <c r="U278" t="s">
        <v>74</v>
      </c>
      <c r="V278" s="3" t="s">
        <v>3499</v>
      </c>
      <c r="W278" t="s">
        <v>74</v>
      </c>
      <c r="X278" t="s">
        <v>74</v>
      </c>
      <c r="Y278" t="s">
        <v>74</v>
      </c>
      <c r="Z278" t="s">
        <v>74</v>
      </c>
      <c r="AA278" t="s">
        <v>74</v>
      </c>
      <c r="AB278" t="s">
        <v>3500</v>
      </c>
      <c r="AC278" t="s">
        <v>74</v>
      </c>
      <c r="AD278" t="s">
        <v>74</v>
      </c>
      <c r="AE278" t="s">
        <v>74</v>
      </c>
      <c r="AF278" t="s">
        <v>74</v>
      </c>
      <c r="AG278" t="s">
        <v>74</v>
      </c>
      <c r="AH278" t="s">
        <v>74</v>
      </c>
      <c r="AI278" t="s">
        <v>74</v>
      </c>
      <c r="AJ278" t="s">
        <v>74</v>
      </c>
      <c r="AK278" t="s">
        <v>74</v>
      </c>
      <c r="AL278" t="s">
        <v>74</v>
      </c>
      <c r="AM278" t="s">
        <v>74</v>
      </c>
      <c r="AN278" t="s">
        <v>74</v>
      </c>
      <c r="AO278" t="s">
        <v>3501</v>
      </c>
      <c r="AP278" t="s">
        <v>3502</v>
      </c>
      <c r="AQ278" t="s">
        <v>74</v>
      </c>
      <c r="AR278" t="s">
        <v>74</v>
      </c>
      <c r="AS278" t="s">
        <v>74</v>
      </c>
      <c r="AT278" t="s">
        <v>633</v>
      </c>
      <c r="AU278">
        <v>1997</v>
      </c>
      <c r="AV278">
        <v>26</v>
      </c>
      <c r="AW278">
        <v>2</v>
      </c>
      <c r="AX278" t="s">
        <v>74</v>
      </c>
      <c r="AY278" t="s">
        <v>74</v>
      </c>
      <c r="AZ278" t="s">
        <v>74</v>
      </c>
      <c r="BA278" t="s">
        <v>74</v>
      </c>
      <c r="BB278">
        <v>318</v>
      </c>
      <c r="BC278">
        <v>326</v>
      </c>
      <c r="BD278" t="s">
        <v>74</v>
      </c>
      <c r="BE278" t="s">
        <v>3503</v>
      </c>
      <c r="BF278" t="str">
        <f>HYPERLINK("http://dx.doi.org/10.1093/ee/26.2.318","http://dx.doi.org/10.1093/ee/26.2.318")</f>
        <v>http://dx.doi.org/10.1093/ee/26.2.318</v>
      </c>
      <c r="BG278" t="s">
        <v>74</v>
      </c>
      <c r="BH278" t="s">
        <v>74</v>
      </c>
      <c r="BI278" t="s">
        <v>74</v>
      </c>
      <c r="BJ278" t="s">
        <v>74</v>
      </c>
      <c r="BK278" t="s">
        <v>74</v>
      </c>
      <c r="BL278" t="s">
        <v>74</v>
      </c>
      <c r="BM278" t="s">
        <v>74</v>
      </c>
      <c r="BN278" t="s">
        <v>74</v>
      </c>
      <c r="BO278" t="s">
        <v>74</v>
      </c>
      <c r="BP278" t="s">
        <v>74</v>
      </c>
      <c r="BQ278" t="s">
        <v>74</v>
      </c>
      <c r="BR278" t="s">
        <v>74</v>
      </c>
      <c r="BS278" t="s">
        <v>3504</v>
      </c>
      <c r="BT278" t="str">
        <f>HYPERLINK("https%3A%2F%2Fwww.webofscience.com%2Fwos%2Fwoscc%2Ffull-record%2FWOS:A1997WZ11800024","View Full Record in Web of Science")</f>
        <v>View Full Record in Web of Science</v>
      </c>
    </row>
    <row r="279" spans="1:72" x14ac:dyDescent="0.4">
      <c r="A279" t="s">
        <v>72</v>
      </c>
      <c r="B279" t="s">
        <v>6849</v>
      </c>
      <c r="C279" t="s">
        <v>74</v>
      </c>
      <c r="D279" t="s">
        <v>74</v>
      </c>
      <c r="E279" t="s">
        <v>74</v>
      </c>
      <c r="F279" t="s">
        <v>6850</v>
      </c>
      <c r="G279" t="s">
        <v>74</v>
      </c>
      <c r="H279" t="s">
        <v>74</v>
      </c>
      <c r="I279" t="s">
        <v>6851</v>
      </c>
      <c r="J279" t="s">
        <v>2901</v>
      </c>
      <c r="K279" t="s">
        <v>74</v>
      </c>
      <c r="L279" t="s">
        <v>74</v>
      </c>
      <c r="M279" t="s">
        <v>74</v>
      </c>
      <c r="N279" t="s">
        <v>74</v>
      </c>
      <c r="O279" t="s">
        <v>74</v>
      </c>
      <c r="P279" t="s">
        <v>74</v>
      </c>
      <c r="Q279" t="s">
        <v>74</v>
      </c>
      <c r="R279" t="s">
        <v>74</v>
      </c>
      <c r="S279" t="s">
        <v>74</v>
      </c>
      <c r="T279" t="s">
        <v>74</v>
      </c>
      <c r="U279" t="s">
        <v>74</v>
      </c>
      <c r="V279" s="3" t="s">
        <v>6852</v>
      </c>
      <c r="W279" t="s">
        <v>74</v>
      </c>
      <c r="X279" t="s">
        <v>74</v>
      </c>
      <c r="Y279" t="s">
        <v>74</v>
      </c>
      <c r="Z279" t="s">
        <v>74</v>
      </c>
      <c r="AA279" t="s">
        <v>6853</v>
      </c>
      <c r="AB279" t="s">
        <v>6854</v>
      </c>
      <c r="AC279" t="s">
        <v>74</v>
      </c>
      <c r="AD279" t="s">
        <v>74</v>
      </c>
      <c r="AE279" t="s">
        <v>74</v>
      </c>
      <c r="AF279" t="s">
        <v>74</v>
      </c>
      <c r="AG279" t="s">
        <v>74</v>
      </c>
      <c r="AH279" t="s">
        <v>74</v>
      </c>
      <c r="AI279" t="s">
        <v>74</v>
      </c>
      <c r="AJ279" t="s">
        <v>74</v>
      </c>
      <c r="AK279" t="s">
        <v>74</v>
      </c>
      <c r="AL279" t="s">
        <v>74</v>
      </c>
      <c r="AM279" t="s">
        <v>74</v>
      </c>
      <c r="AN279" t="s">
        <v>74</v>
      </c>
      <c r="AO279" t="s">
        <v>2903</v>
      </c>
      <c r="AP279" t="s">
        <v>2904</v>
      </c>
      <c r="AQ279" t="s">
        <v>74</v>
      </c>
      <c r="AR279" t="s">
        <v>74</v>
      </c>
      <c r="AS279" t="s">
        <v>74</v>
      </c>
      <c r="AT279" t="s">
        <v>74</v>
      </c>
      <c r="AU279">
        <v>2016</v>
      </c>
      <c r="AV279">
        <v>28</v>
      </c>
      <c r="AW279">
        <v>4</v>
      </c>
      <c r="AX279" t="s">
        <v>74</v>
      </c>
      <c r="AY279" t="s">
        <v>74</v>
      </c>
      <c r="AZ279" t="s">
        <v>74</v>
      </c>
      <c r="BA279" t="s">
        <v>74</v>
      </c>
      <c r="BB279">
        <v>462</v>
      </c>
      <c r="BC279">
        <v>476</v>
      </c>
      <c r="BD279" t="s">
        <v>74</v>
      </c>
      <c r="BE279" t="s">
        <v>6855</v>
      </c>
      <c r="BF279" t="str">
        <f>HYPERLINK("http://dx.doi.org/10.1080/03949370.2015.1077892","http://dx.doi.org/10.1080/03949370.2015.1077892")</f>
        <v>http://dx.doi.org/10.1080/03949370.2015.1077892</v>
      </c>
      <c r="BG279" t="s">
        <v>74</v>
      </c>
      <c r="BH279" t="s">
        <v>74</v>
      </c>
      <c r="BI279" t="s">
        <v>74</v>
      </c>
      <c r="BJ279" t="s">
        <v>74</v>
      </c>
      <c r="BK279" t="s">
        <v>74</v>
      </c>
      <c r="BL279" t="s">
        <v>74</v>
      </c>
      <c r="BM279" t="s">
        <v>74</v>
      </c>
      <c r="BN279" t="s">
        <v>74</v>
      </c>
      <c r="BO279" t="s">
        <v>74</v>
      </c>
      <c r="BP279" t="s">
        <v>74</v>
      </c>
      <c r="BQ279" t="s">
        <v>74</v>
      </c>
      <c r="BR279" t="s">
        <v>74</v>
      </c>
      <c r="BS279" t="s">
        <v>6856</v>
      </c>
      <c r="BT279" t="str">
        <f>HYPERLINK("https%3A%2F%2Fwww.webofscience.com%2Fwos%2Fwoscc%2Ffull-record%2FWOS:000384547700009","View Full Record in Web of Science")</f>
        <v>View Full Record in Web of Science</v>
      </c>
    </row>
    <row r="280" spans="1:72" x14ac:dyDescent="0.4">
      <c r="A280" t="s">
        <v>72</v>
      </c>
      <c r="B280" t="s">
        <v>7116</v>
      </c>
      <c r="C280" t="s">
        <v>74</v>
      </c>
      <c r="D280" t="s">
        <v>74</v>
      </c>
      <c r="E280" t="s">
        <v>74</v>
      </c>
      <c r="F280" t="s">
        <v>7117</v>
      </c>
      <c r="G280" t="s">
        <v>74</v>
      </c>
      <c r="H280" t="s">
        <v>74</v>
      </c>
      <c r="I280" t="s">
        <v>7118</v>
      </c>
      <c r="J280" t="s">
        <v>5577</v>
      </c>
      <c r="K280" t="s">
        <v>74</v>
      </c>
      <c r="L280" t="s">
        <v>74</v>
      </c>
      <c r="M280" t="s">
        <v>74</v>
      </c>
      <c r="N280" t="s">
        <v>74</v>
      </c>
      <c r="O280" t="s">
        <v>74</v>
      </c>
      <c r="P280" t="s">
        <v>74</v>
      </c>
      <c r="Q280" t="s">
        <v>74</v>
      </c>
      <c r="R280" t="s">
        <v>74</v>
      </c>
      <c r="S280" t="s">
        <v>74</v>
      </c>
      <c r="T280" t="s">
        <v>74</v>
      </c>
      <c r="U280" t="s">
        <v>74</v>
      </c>
      <c r="V280" s="3" t="s">
        <v>7119</v>
      </c>
      <c r="W280" t="s">
        <v>74</v>
      </c>
      <c r="X280" t="s">
        <v>74</v>
      </c>
      <c r="Y280" t="s">
        <v>74</v>
      </c>
      <c r="Z280" t="s">
        <v>74</v>
      </c>
      <c r="AA280" t="s">
        <v>74</v>
      </c>
      <c r="AB280" t="s">
        <v>74</v>
      </c>
      <c r="AC280" t="s">
        <v>74</v>
      </c>
      <c r="AD280" t="s">
        <v>74</v>
      </c>
      <c r="AE280" t="s">
        <v>74</v>
      </c>
      <c r="AF280" t="s">
        <v>74</v>
      </c>
      <c r="AG280" t="s">
        <v>74</v>
      </c>
      <c r="AH280" t="s">
        <v>74</v>
      </c>
      <c r="AI280" t="s">
        <v>74</v>
      </c>
      <c r="AJ280" t="s">
        <v>74</v>
      </c>
      <c r="AK280" t="s">
        <v>74</v>
      </c>
      <c r="AL280" t="s">
        <v>74</v>
      </c>
      <c r="AM280" t="s">
        <v>74</v>
      </c>
      <c r="AN280" t="s">
        <v>74</v>
      </c>
      <c r="AO280" t="s">
        <v>5579</v>
      </c>
      <c r="AP280" t="s">
        <v>74</v>
      </c>
      <c r="AQ280" t="s">
        <v>74</v>
      </c>
      <c r="AR280" t="s">
        <v>74</v>
      </c>
      <c r="AS280" t="s">
        <v>74</v>
      </c>
      <c r="AT280" t="s">
        <v>123</v>
      </c>
      <c r="AU280">
        <v>2022</v>
      </c>
      <c r="AV280">
        <v>101</v>
      </c>
      <c r="AW280">
        <v>3</v>
      </c>
      <c r="AX280" t="s">
        <v>74</v>
      </c>
      <c r="AY280" t="s">
        <v>74</v>
      </c>
      <c r="AZ280" t="s">
        <v>74</v>
      </c>
      <c r="BA280" t="s">
        <v>74</v>
      </c>
      <c r="BB280">
        <v>326</v>
      </c>
      <c r="BC280">
        <v>335</v>
      </c>
      <c r="BD280" t="s">
        <v>74</v>
      </c>
      <c r="BE280" t="s">
        <v>7120</v>
      </c>
      <c r="BF280" t="str">
        <f>HYPERLINK("http://dx.doi.org/10.31857/S0044513422010056","http://dx.doi.org/10.31857/S0044513422010056")</f>
        <v>http://dx.doi.org/10.31857/S0044513422010056</v>
      </c>
      <c r="BG280" t="s">
        <v>74</v>
      </c>
      <c r="BH280" t="s">
        <v>74</v>
      </c>
      <c r="BI280" t="s">
        <v>74</v>
      </c>
      <c r="BJ280" t="s">
        <v>74</v>
      </c>
      <c r="BK280" t="s">
        <v>74</v>
      </c>
      <c r="BL280" t="s">
        <v>74</v>
      </c>
      <c r="BM280" t="s">
        <v>74</v>
      </c>
      <c r="BN280" t="s">
        <v>74</v>
      </c>
      <c r="BO280" t="s">
        <v>74</v>
      </c>
      <c r="BP280" t="s">
        <v>74</v>
      </c>
      <c r="BQ280" t="s">
        <v>74</v>
      </c>
      <c r="BR280" t="s">
        <v>74</v>
      </c>
      <c r="BS280" t="s">
        <v>7121</v>
      </c>
      <c r="BT280" t="str">
        <f>HYPERLINK("https%3A%2F%2Fwww.webofscience.com%2Fwos%2Fwoscc%2Ffull-record%2FWOS:000851044400007","View Full Record in Web of Science")</f>
        <v>View Full Record in Web of Science</v>
      </c>
    </row>
    <row r="281" spans="1:72" x14ac:dyDescent="0.4">
      <c r="A281" t="s">
        <v>72</v>
      </c>
      <c r="B281" t="s">
        <v>8135</v>
      </c>
      <c r="C281" t="s">
        <v>74</v>
      </c>
      <c r="D281" t="s">
        <v>74</v>
      </c>
      <c r="E281" t="s">
        <v>74</v>
      </c>
      <c r="F281" t="s">
        <v>8135</v>
      </c>
      <c r="G281" t="s">
        <v>74</v>
      </c>
      <c r="H281" t="s">
        <v>74</v>
      </c>
      <c r="I281" t="s">
        <v>8136</v>
      </c>
      <c r="J281" t="s">
        <v>1237</v>
      </c>
      <c r="K281" t="s">
        <v>74</v>
      </c>
      <c r="L281" t="s">
        <v>74</v>
      </c>
      <c r="M281" t="s">
        <v>74</v>
      </c>
      <c r="N281" t="s">
        <v>74</v>
      </c>
      <c r="O281" t="s">
        <v>74</v>
      </c>
      <c r="P281" t="s">
        <v>74</v>
      </c>
      <c r="Q281" t="s">
        <v>74</v>
      </c>
      <c r="R281" t="s">
        <v>74</v>
      </c>
      <c r="S281" t="s">
        <v>74</v>
      </c>
      <c r="T281" t="s">
        <v>74</v>
      </c>
      <c r="U281" t="s">
        <v>74</v>
      </c>
      <c r="V281" s="3" t="s">
        <v>8137</v>
      </c>
      <c r="W281" t="s">
        <v>74</v>
      </c>
      <c r="X281" t="s">
        <v>74</v>
      </c>
      <c r="Y281" t="s">
        <v>74</v>
      </c>
      <c r="Z281" t="s">
        <v>74</v>
      </c>
      <c r="AA281" t="s">
        <v>8138</v>
      </c>
      <c r="AB281" t="s">
        <v>8139</v>
      </c>
      <c r="AC281" t="s">
        <v>74</v>
      </c>
      <c r="AD281" t="s">
        <v>74</v>
      </c>
      <c r="AE281" t="s">
        <v>74</v>
      </c>
      <c r="AF281" t="s">
        <v>74</v>
      </c>
      <c r="AG281" t="s">
        <v>74</v>
      </c>
      <c r="AH281" t="s">
        <v>74</v>
      </c>
      <c r="AI281" t="s">
        <v>74</v>
      </c>
      <c r="AJ281" t="s">
        <v>74</v>
      </c>
      <c r="AK281" t="s">
        <v>74</v>
      </c>
      <c r="AL281" t="s">
        <v>74</v>
      </c>
      <c r="AM281" t="s">
        <v>74</v>
      </c>
      <c r="AN281" t="s">
        <v>74</v>
      </c>
      <c r="AO281" t="s">
        <v>1239</v>
      </c>
      <c r="AP281" t="s">
        <v>74</v>
      </c>
      <c r="AQ281" t="s">
        <v>74</v>
      </c>
      <c r="AR281" t="s">
        <v>74</v>
      </c>
      <c r="AS281" t="s">
        <v>74</v>
      </c>
      <c r="AT281" t="s">
        <v>102</v>
      </c>
      <c r="AU281">
        <v>1993</v>
      </c>
      <c r="AV281">
        <v>71</v>
      </c>
      <c r="AW281">
        <v>6</v>
      </c>
      <c r="AX281" t="s">
        <v>74</v>
      </c>
      <c r="AY281" t="s">
        <v>74</v>
      </c>
      <c r="AZ281" t="s">
        <v>74</v>
      </c>
      <c r="BA281" t="s">
        <v>74</v>
      </c>
      <c r="BB281">
        <v>1104</v>
      </c>
      <c r="BC281">
        <v>1110</v>
      </c>
      <c r="BD281" t="s">
        <v>74</v>
      </c>
      <c r="BE281" t="s">
        <v>8140</v>
      </c>
      <c r="BF281" t="str">
        <f>HYPERLINK("http://dx.doi.org/10.1139/z93-150","http://dx.doi.org/10.1139/z93-150")</f>
        <v>http://dx.doi.org/10.1139/z93-150</v>
      </c>
      <c r="BG281" t="s">
        <v>74</v>
      </c>
      <c r="BH281" t="s">
        <v>74</v>
      </c>
      <c r="BI281" t="s">
        <v>74</v>
      </c>
      <c r="BJ281" t="s">
        <v>74</v>
      </c>
      <c r="BK281" t="s">
        <v>74</v>
      </c>
      <c r="BL281" t="s">
        <v>74</v>
      </c>
      <c r="BM281" t="s">
        <v>74</v>
      </c>
      <c r="BN281" t="s">
        <v>74</v>
      </c>
      <c r="BO281" t="s">
        <v>74</v>
      </c>
      <c r="BP281" t="s">
        <v>74</v>
      </c>
      <c r="BQ281" t="s">
        <v>74</v>
      </c>
      <c r="BR281" t="s">
        <v>74</v>
      </c>
      <c r="BS281" t="s">
        <v>8141</v>
      </c>
      <c r="BT281" t="str">
        <f>HYPERLINK("https%3A%2F%2Fwww.webofscience.com%2Fwos%2Fwoscc%2Ffull-record%2FWOS:A1993LU73200006","View Full Record in Web of Science")</f>
        <v>View Full Record in Web of Science</v>
      </c>
    </row>
    <row r="282" spans="1:72" x14ac:dyDescent="0.4">
      <c r="A282" t="s">
        <v>72</v>
      </c>
      <c r="B282" t="s">
        <v>3892</v>
      </c>
      <c r="C282" t="s">
        <v>74</v>
      </c>
      <c r="D282" t="s">
        <v>74</v>
      </c>
      <c r="E282" t="s">
        <v>74</v>
      </c>
      <c r="F282" t="s">
        <v>3893</v>
      </c>
      <c r="G282" t="s">
        <v>74</v>
      </c>
      <c r="H282" t="s">
        <v>74</v>
      </c>
      <c r="I282" t="s">
        <v>3894</v>
      </c>
      <c r="J282" t="s">
        <v>140</v>
      </c>
      <c r="K282" t="s">
        <v>74</v>
      </c>
      <c r="L282" t="s">
        <v>74</v>
      </c>
      <c r="M282" t="s">
        <v>74</v>
      </c>
      <c r="N282" t="s">
        <v>74</v>
      </c>
      <c r="O282" t="s">
        <v>74</v>
      </c>
      <c r="P282" t="s">
        <v>74</v>
      </c>
      <c r="Q282" t="s">
        <v>74</v>
      </c>
      <c r="R282" t="s">
        <v>74</v>
      </c>
      <c r="S282" t="s">
        <v>74</v>
      </c>
      <c r="T282" t="s">
        <v>74</v>
      </c>
      <c r="U282" t="s">
        <v>74</v>
      </c>
      <c r="V282" s="3" t="s">
        <v>3895</v>
      </c>
      <c r="W282" t="s">
        <v>74</v>
      </c>
      <c r="X282" t="s">
        <v>74</v>
      </c>
      <c r="Y282" t="s">
        <v>74</v>
      </c>
      <c r="Z282" t="s">
        <v>74</v>
      </c>
      <c r="AA282" t="s">
        <v>3896</v>
      </c>
      <c r="AB282" t="s">
        <v>3897</v>
      </c>
      <c r="AC282" t="s">
        <v>74</v>
      </c>
      <c r="AD282" t="s">
        <v>74</v>
      </c>
      <c r="AE282" t="s">
        <v>74</v>
      </c>
      <c r="AF282" t="s">
        <v>74</v>
      </c>
      <c r="AG282" t="s">
        <v>74</v>
      </c>
      <c r="AH282" t="s">
        <v>74</v>
      </c>
      <c r="AI282" t="s">
        <v>74</v>
      </c>
      <c r="AJ282" t="s">
        <v>74</v>
      </c>
      <c r="AK282" t="s">
        <v>74</v>
      </c>
      <c r="AL282" t="s">
        <v>74</v>
      </c>
      <c r="AM282" t="s">
        <v>74</v>
      </c>
      <c r="AN282" t="s">
        <v>74</v>
      </c>
      <c r="AO282" t="s">
        <v>143</v>
      </c>
      <c r="AP282" t="s">
        <v>144</v>
      </c>
      <c r="AQ282" t="s">
        <v>74</v>
      </c>
      <c r="AR282" t="s">
        <v>74</v>
      </c>
      <c r="AS282" t="s">
        <v>74</v>
      </c>
      <c r="AT282" t="s">
        <v>305</v>
      </c>
      <c r="AU282">
        <v>2020</v>
      </c>
      <c r="AV282">
        <v>170</v>
      </c>
      <c r="AW282" t="s">
        <v>74</v>
      </c>
      <c r="AX282" t="s">
        <v>74</v>
      </c>
      <c r="AY282" t="s">
        <v>74</v>
      </c>
      <c r="AZ282" t="s">
        <v>74</v>
      </c>
      <c r="BA282" t="s">
        <v>74</v>
      </c>
      <c r="BB282">
        <v>167</v>
      </c>
      <c r="BC282">
        <v>176</v>
      </c>
      <c r="BD282" t="s">
        <v>74</v>
      </c>
      <c r="BE282" t="s">
        <v>3898</v>
      </c>
      <c r="BF282" t="str">
        <f>HYPERLINK("http://dx.doi.org/10.1016/j.anbehav.2020.10.014","http://dx.doi.org/10.1016/j.anbehav.2020.10.014")</f>
        <v>http://dx.doi.org/10.1016/j.anbehav.2020.10.014</v>
      </c>
      <c r="BG282" t="s">
        <v>74</v>
      </c>
      <c r="BH282" t="s">
        <v>74</v>
      </c>
      <c r="BI282" t="s">
        <v>74</v>
      </c>
      <c r="BJ282" t="s">
        <v>74</v>
      </c>
      <c r="BK282" t="s">
        <v>74</v>
      </c>
      <c r="BL282" t="s">
        <v>74</v>
      </c>
      <c r="BM282" t="s">
        <v>74</v>
      </c>
      <c r="BN282" t="s">
        <v>74</v>
      </c>
      <c r="BO282" t="s">
        <v>74</v>
      </c>
      <c r="BP282" t="s">
        <v>74</v>
      </c>
      <c r="BQ282" t="s">
        <v>74</v>
      </c>
      <c r="BR282" t="s">
        <v>74</v>
      </c>
      <c r="BS282" t="s">
        <v>3899</v>
      </c>
      <c r="BT282" t="str">
        <f>HYPERLINK("https%3A%2F%2Fwww.webofscience.com%2Fwos%2Fwoscc%2Ffull-record%2FWOS:000598905300016","View Full Record in Web of Science")</f>
        <v>View Full Record in Web of Science</v>
      </c>
    </row>
    <row r="283" spans="1:72" x14ac:dyDescent="0.4">
      <c r="A283" t="s">
        <v>72</v>
      </c>
      <c r="B283" t="s">
        <v>480</v>
      </c>
      <c r="C283" t="s">
        <v>74</v>
      </c>
      <c r="D283" t="s">
        <v>74</v>
      </c>
      <c r="E283" t="s">
        <v>74</v>
      </c>
      <c r="F283" t="s">
        <v>481</v>
      </c>
      <c r="G283" t="s">
        <v>74</v>
      </c>
      <c r="H283" t="s">
        <v>74</v>
      </c>
      <c r="I283" t="s">
        <v>482</v>
      </c>
      <c r="J283" t="s">
        <v>218</v>
      </c>
      <c r="K283" t="s">
        <v>74</v>
      </c>
      <c r="L283" t="s">
        <v>74</v>
      </c>
      <c r="M283" t="s">
        <v>74</v>
      </c>
      <c r="N283" t="s">
        <v>74</v>
      </c>
      <c r="O283" t="s">
        <v>74</v>
      </c>
      <c r="P283" t="s">
        <v>74</v>
      </c>
      <c r="Q283" t="s">
        <v>74</v>
      </c>
      <c r="R283" t="s">
        <v>74</v>
      </c>
      <c r="S283" t="s">
        <v>74</v>
      </c>
      <c r="T283" t="s">
        <v>74</v>
      </c>
      <c r="U283" t="s">
        <v>74</v>
      </c>
      <c r="V283" s="3" t="s">
        <v>483</v>
      </c>
      <c r="W283" t="s">
        <v>74</v>
      </c>
      <c r="X283" t="s">
        <v>74</v>
      </c>
      <c r="Y283" t="s">
        <v>74</v>
      </c>
      <c r="Z283" t="s">
        <v>74</v>
      </c>
      <c r="AA283" t="s">
        <v>484</v>
      </c>
      <c r="AB283" t="s">
        <v>485</v>
      </c>
      <c r="AC283" t="s">
        <v>74</v>
      </c>
      <c r="AD283" t="s">
        <v>74</v>
      </c>
      <c r="AE283" t="s">
        <v>74</v>
      </c>
      <c r="AF283" t="s">
        <v>74</v>
      </c>
      <c r="AG283" t="s">
        <v>74</v>
      </c>
      <c r="AH283" t="s">
        <v>74</v>
      </c>
      <c r="AI283" t="s">
        <v>74</v>
      </c>
      <c r="AJ283" t="s">
        <v>74</v>
      </c>
      <c r="AK283" t="s">
        <v>74</v>
      </c>
      <c r="AL283" t="s">
        <v>74</v>
      </c>
      <c r="AM283" t="s">
        <v>74</v>
      </c>
      <c r="AN283" t="s">
        <v>74</v>
      </c>
      <c r="AO283" t="s">
        <v>221</v>
      </c>
      <c r="AP283" t="s">
        <v>222</v>
      </c>
      <c r="AQ283" t="s">
        <v>74</v>
      </c>
      <c r="AR283" t="s">
        <v>74</v>
      </c>
      <c r="AS283" t="s">
        <v>74</v>
      </c>
      <c r="AT283" t="s">
        <v>123</v>
      </c>
      <c r="AU283">
        <v>2007</v>
      </c>
      <c r="AV283">
        <v>20</v>
      </c>
      <c r="AW283">
        <v>2</v>
      </c>
      <c r="AX283" t="s">
        <v>74</v>
      </c>
      <c r="AY283" t="s">
        <v>74</v>
      </c>
      <c r="AZ283" t="s">
        <v>74</v>
      </c>
      <c r="BA283" t="s">
        <v>74</v>
      </c>
      <c r="BB283">
        <v>496</v>
      </c>
      <c r="BC283">
        <v>502</v>
      </c>
      <c r="BD283" t="s">
        <v>74</v>
      </c>
      <c r="BE283" t="s">
        <v>486</v>
      </c>
      <c r="BF283" t="str">
        <f>HYPERLINK("http://dx.doi.org/10.1111/j.1420-9101.2006.01266.x","http://dx.doi.org/10.1111/j.1420-9101.2006.01266.x")</f>
        <v>http://dx.doi.org/10.1111/j.1420-9101.2006.01266.x</v>
      </c>
      <c r="BG283" t="s">
        <v>74</v>
      </c>
      <c r="BH283" t="s">
        <v>74</v>
      </c>
      <c r="BI283" t="s">
        <v>74</v>
      </c>
      <c r="BJ283" t="s">
        <v>74</v>
      </c>
      <c r="BK283" t="s">
        <v>74</v>
      </c>
      <c r="BL283" t="s">
        <v>74</v>
      </c>
      <c r="BM283" t="s">
        <v>74</v>
      </c>
      <c r="BN283">
        <v>17305815</v>
      </c>
      <c r="BO283" t="s">
        <v>74</v>
      </c>
      <c r="BP283" t="s">
        <v>74</v>
      </c>
      <c r="BQ283" t="s">
        <v>74</v>
      </c>
      <c r="BR283" t="s">
        <v>74</v>
      </c>
      <c r="BS283" t="s">
        <v>487</v>
      </c>
      <c r="BT283" t="str">
        <f>HYPERLINK("https%3A%2F%2Fwww.webofscience.com%2Fwos%2Fwoscc%2Ffull-record%2FWOS:000244244300008","View Full Record in Web of Science")</f>
        <v>View Full Record in Web of Science</v>
      </c>
    </row>
    <row r="284" spans="1:72" x14ac:dyDescent="0.4">
      <c r="A284" t="s">
        <v>72</v>
      </c>
      <c r="B284" t="s">
        <v>4678</v>
      </c>
      <c r="C284" t="s">
        <v>74</v>
      </c>
      <c r="D284" t="s">
        <v>74</v>
      </c>
      <c r="E284" t="s">
        <v>74</v>
      </c>
      <c r="F284" t="s">
        <v>4679</v>
      </c>
      <c r="G284" t="s">
        <v>74</v>
      </c>
      <c r="H284" t="s">
        <v>74</v>
      </c>
      <c r="I284" t="s">
        <v>4680</v>
      </c>
      <c r="J284" t="s">
        <v>218</v>
      </c>
      <c r="K284" t="s">
        <v>74</v>
      </c>
      <c r="L284" t="s">
        <v>74</v>
      </c>
      <c r="M284" t="s">
        <v>74</v>
      </c>
      <c r="N284" t="s">
        <v>74</v>
      </c>
      <c r="O284" t="s">
        <v>74</v>
      </c>
      <c r="P284" t="s">
        <v>74</v>
      </c>
      <c r="Q284" t="s">
        <v>74</v>
      </c>
      <c r="R284" t="s">
        <v>74</v>
      </c>
      <c r="S284" t="s">
        <v>74</v>
      </c>
      <c r="T284" t="s">
        <v>74</v>
      </c>
      <c r="U284" t="s">
        <v>74</v>
      </c>
      <c r="V284" s="3" t="s">
        <v>4681</v>
      </c>
      <c r="W284" t="s">
        <v>74</v>
      </c>
      <c r="X284" t="s">
        <v>74</v>
      </c>
      <c r="Y284" t="s">
        <v>74</v>
      </c>
      <c r="Z284" t="s">
        <v>74</v>
      </c>
      <c r="AA284" t="s">
        <v>4682</v>
      </c>
      <c r="AB284" t="s">
        <v>4683</v>
      </c>
      <c r="AC284" t="s">
        <v>74</v>
      </c>
      <c r="AD284" t="s">
        <v>74</v>
      </c>
      <c r="AE284" t="s">
        <v>74</v>
      </c>
      <c r="AF284" t="s">
        <v>74</v>
      </c>
      <c r="AG284" t="s">
        <v>74</v>
      </c>
      <c r="AH284" t="s">
        <v>74</v>
      </c>
      <c r="AI284" t="s">
        <v>74</v>
      </c>
      <c r="AJ284" t="s">
        <v>74</v>
      </c>
      <c r="AK284" t="s">
        <v>74</v>
      </c>
      <c r="AL284" t="s">
        <v>74</v>
      </c>
      <c r="AM284" t="s">
        <v>74</v>
      </c>
      <c r="AN284" t="s">
        <v>74</v>
      </c>
      <c r="AO284" t="s">
        <v>221</v>
      </c>
      <c r="AP284" t="s">
        <v>222</v>
      </c>
      <c r="AQ284" t="s">
        <v>74</v>
      </c>
      <c r="AR284" t="s">
        <v>74</v>
      </c>
      <c r="AS284" t="s">
        <v>74</v>
      </c>
      <c r="AT284" t="s">
        <v>305</v>
      </c>
      <c r="AU284">
        <v>2011</v>
      </c>
      <c r="AV284">
        <v>24</v>
      </c>
      <c r="AW284">
        <v>12</v>
      </c>
      <c r="AX284" t="s">
        <v>74</v>
      </c>
      <c r="AY284" t="s">
        <v>74</v>
      </c>
      <c r="AZ284" t="s">
        <v>74</v>
      </c>
      <c r="BA284" t="s">
        <v>74</v>
      </c>
      <c r="BB284">
        <v>2639</v>
      </c>
      <c r="BC284">
        <v>2652</v>
      </c>
      <c r="BD284" t="s">
        <v>74</v>
      </c>
      <c r="BE284" t="s">
        <v>4684</v>
      </c>
      <c r="BF284" t="str">
        <f>HYPERLINK("http://dx.doi.org/10.1111/j.1420-9101.2011.02389.x","http://dx.doi.org/10.1111/j.1420-9101.2011.02389.x")</f>
        <v>http://dx.doi.org/10.1111/j.1420-9101.2011.02389.x</v>
      </c>
      <c r="BG284" t="s">
        <v>74</v>
      </c>
      <c r="BH284" t="s">
        <v>74</v>
      </c>
      <c r="BI284" t="s">
        <v>74</v>
      </c>
      <c r="BJ284" t="s">
        <v>74</v>
      </c>
      <c r="BK284" t="s">
        <v>74</v>
      </c>
      <c r="BL284" t="s">
        <v>74</v>
      </c>
      <c r="BM284" t="s">
        <v>74</v>
      </c>
      <c r="BN284">
        <v>21955260</v>
      </c>
      <c r="BO284" t="s">
        <v>74</v>
      </c>
      <c r="BP284" t="s">
        <v>74</v>
      </c>
      <c r="BQ284" t="s">
        <v>74</v>
      </c>
      <c r="BR284" t="s">
        <v>74</v>
      </c>
      <c r="BS284" t="s">
        <v>4685</v>
      </c>
      <c r="BT284" t="str">
        <f>HYPERLINK("https%3A%2F%2Fwww.webofscience.com%2Fwos%2Fwoscc%2Ffull-record%2FWOS:000297639600010","View Full Record in Web of Science")</f>
        <v>View Full Record in Web of Science</v>
      </c>
    </row>
    <row r="285" spans="1:72" x14ac:dyDescent="0.4">
      <c r="A285" t="s">
        <v>72</v>
      </c>
      <c r="B285" t="s">
        <v>1078</v>
      </c>
      <c r="C285" t="s">
        <v>74</v>
      </c>
      <c r="D285" t="s">
        <v>74</v>
      </c>
      <c r="E285" t="s">
        <v>74</v>
      </c>
      <c r="F285" t="s">
        <v>1078</v>
      </c>
      <c r="G285" t="s">
        <v>74</v>
      </c>
      <c r="H285" t="s">
        <v>74</v>
      </c>
      <c r="I285" t="s">
        <v>1079</v>
      </c>
      <c r="J285" t="s">
        <v>129</v>
      </c>
      <c r="K285" t="s">
        <v>74</v>
      </c>
      <c r="L285" t="s">
        <v>74</v>
      </c>
      <c r="M285" t="s">
        <v>74</v>
      </c>
      <c r="N285" t="s">
        <v>74</v>
      </c>
      <c r="O285" t="s">
        <v>74</v>
      </c>
      <c r="P285" t="s">
        <v>74</v>
      </c>
      <c r="Q285" t="s">
        <v>74</v>
      </c>
      <c r="R285" t="s">
        <v>74</v>
      </c>
      <c r="S285" t="s">
        <v>74</v>
      </c>
      <c r="T285" t="s">
        <v>74</v>
      </c>
      <c r="U285" t="s">
        <v>74</v>
      </c>
      <c r="V285" s="3" t="s">
        <v>1080</v>
      </c>
      <c r="W285" t="s">
        <v>74</v>
      </c>
      <c r="X285" t="s">
        <v>74</v>
      </c>
      <c r="Y285" t="s">
        <v>74</v>
      </c>
      <c r="Z285" t="s">
        <v>74</v>
      </c>
      <c r="AA285" t="s">
        <v>1081</v>
      </c>
      <c r="AB285" t="s">
        <v>1082</v>
      </c>
      <c r="AC285" t="s">
        <v>74</v>
      </c>
      <c r="AD285" t="s">
        <v>74</v>
      </c>
      <c r="AE285" t="s">
        <v>74</v>
      </c>
      <c r="AF285" t="s">
        <v>74</v>
      </c>
      <c r="AG285" t="s">
        <v>74</v>
      </c>
      <c r="AH285" t="s">
        <v>74</v>
      </c>
      <c r="AI285" t="s">
        <v>74</v>
      </c>
      <c r="AJ285" t="s">
        <v>74</v>
      </c>
      <c r="AK285" t="s">
        <v>74</v>
      </c>
      <c r="AL285" t="s">
        <v>74</v>
      </c>
      <c r="AM285" t="s">
        <v>74</v>
      </c>
      <c r="AN285" t="s">
        <v>74</v>
      </c>
      <c r="AO285" t="s">
        <v>132</v>
      </c>
      <c r="AP285" t="s">
        <v>133</v>
      </c>
      <c r="AQ285" t="s">
        <v>74</v>
      </c>
      <c r="AR285" t="s">
        <v>74</v>
      </c>
      <c r="AS285" t="s">
        <v>74</v>
      </c>
      <c r="AT285" t="s">
        <v>123</v>
      </c>
      <c r="AU285">
        <v>2006</v>
      </c>
      <c r="AV285">
        <v>59</v>
      </c>
      <c r="AW285">
        <v>5</v>
      </c>
      <c r="AX285" t="s">
        <v>74</v>
      </c>
      <c r="AY285" t="s">
        <v>74</v>
      </c>
      <c r="AZ285" t="s">
        <v>74</v>
      </c>
      <c r="BA285" t="s">
        <v>74</v>
      </c>
      <c r="BB285">
        <v>704</v>
      </c>
      <c r="BC285">
        <v>713</v>
      </c>
      <c r="BD285" t="s">
        <v>74</v>
      </c>
      <c r="BE285" t="s">
        <v>1083</v>
      </c>
      <c r="BF285" t="str">
        <f>HYPERLINK("http://dx.doi.org/10.1007/s00265-005-0100-1","http://dx.doi.org/10.1007/s00265-005-0100-1")</f>
        <v>http://dx.doi.org/10.1007/s00265-005-0100-1</v>
      </c>
      <c r="BG285" t="s">
        <v>74</v>
      </c>
      <c r="BH285" t="s">
        <v>74</v>
      </c>
      <c r="BI285" t="s">
        <v>74</v>
      </c>
      <c r="BJ285" t="s">
        <v>74</v>
      </c>
      <c r="BK285" t="s">
        <v>74</v>
      </c>
      <c r="BL285" t="s">
        <v>74</v>
      </c>
      <c r="BM285" t="s">
        <v>74</v>
      </c>
      <c r="BN285" t="s">
        <v>74</v>
      </c>
      <c r="BO285" t="s">
        <v>74</v>
      </c>
      <c r="BP285" t="s">
        <v>74</v>
      </c>
      <c r="BQ285" t="s">
        <v>74</v>
      </c>
      <c r="BR285" t="s">
        <v>74</v>
      </c>
      <c r="BS285" t="s">
        <v>1084</v>
      </c>
      <c r="BT285" t="str">
        <f>HYPERLINK("https%3A%2F%2Fwww.webofscience.com%2Fwos%2Fwoscc%2Ffull-record%2FWOS:000235219700015","View Full Record in Web of Science")</f>
        <v>View Full Record in Web of Science</v>
      </c>
    </row>
    <row r="286" spans="1:72" x14ac:dyDescent="0.4">
      <c r="A286" t="s">
        <v>72</v>
      </c>
      <c r="B286" t="s">
        <v>1469</v>
      </c>
      <c r="C286" t="s">
        <v>74</v>
      </c>
      <c r="D286" t="s">
        <v>74</v>
      </c>
      <c r="E286" t="s">
        <v>74</v>
      </c>
      <c r="F286" t="s">
        <v>1470</v>
      </c>
      <c r="G286" t="s">
        <v>74</v>
      </c>
      <c r="H286" t="s">
        <v>74</v>
      </c>
      <c r="I286" t="s">
        <v>1471</v>
      </c>
      <c r="J286" t="s">
        <v>333</v>
      </c>
      <c r="K286" t="s">
        <v>74</v>
      </c>
      <c r="L286" t="s">
        <v>74</v>
      </c>
      <c r="M286" t="s">
        <v>74</v>
      </c>
      <c r="N286" t="s">
        <v>74</v>
      </c>
      <c r="O286" t="s">
        <v>74</v>
      </c>
      <c r="P286" t="s">
        <v>74</v>
      </c>
      <c r="Q286" t="s">
        <v>74</v>
      </c>
      <c r="R286" t="s">
        <v>74</v>
      </c>
      <c r="S286" t="s">
        <v>74</v>
      </c>
      <c r="T286" t="s">
        <v>74</v>
      </c>
      <c r="U286" t="s">
        <v>74</v>
      </c>
      <c r="V286" s="3" t="s">
        <v>1472</v>
      </c>
      <c r="W286" t="s">
        <v>74</v>
      </c>
      <c r="X286" t="s">
        <v>74</v>
      </c>
      <c r="Y286" t="s">
        <v>74</v>
      </c>
      <c r="Z286" t="s">
        <v>74</v>
      </c>
      <c r="AA286" t="s">
        <v>1473</v>
      </c>
      <c r="AB286" t="s">
        <v>1474</v>
      </c>
      <c r="AC286" t="s">
        <v>74</v>
      </c>
      <c r="AD286" t="s">
        <v>74</v>
      </c>
      <c r="AE286" t="s">
        <v>74</v>
      </c>
      <c r="AF286" t="s">
        <v>74</v>
      </c>
      <c r="AG286" t="s">
        <v>74</v>
      </c>
      <c r="AH286" t="s">
        <v>74</v>
      </c>
      <c r="AI286" t="s">
        <v>74</v>
      </c>
      <c r="AJ286" t="s">
        <v>74</v>
      </c>
      <c r="AK286" t="s">
        <v>74</v>
      </c>
      <c r="AL286" t="s">
        <v>74</v>
      </c>
      <c r="AM286" t="s">
        <v>74</v>
      </c>
      <c r="AN286" t="s">
        <v>74</v>
      </c>
      <c r="AO286" t="s">
        <v>337</v>
      </c>
      <c r="AP286" t="s">
        <v>338</v>
      </c>
      <c r="AQ286" t="s">
        <v>74</v>
      </c>
      <c r="AR286" t="s">
        <v>74</v>
      </c>
      <c r="AS286" t="s">
        <v>74</v>
      </c>
      <c r="AT286" t="s">
        <v>1475</v>
      </c>
      <c r="AU286">
        <v>2009</v>
      </c>
      <c r="AV286">
        <v>20</v>
      </c>
      <c r="AW286">
        <v>1</v>
      </c>
      <c r="AX286" t="s">
        <v>74</v>
      </c>
      <c r="AY286" t="s">
        <v>74</v>
      </c>
      <c r="AZ286" t="s">
        <v>74</v>
      </c>
      <c r="BA286" t="s">
        <v>74</v>
      </c>
      <c r="BB286">
        <v>138</v>
      </c>
      <c r="BC286">
        <v>144</v>
      </c>
      <c r="BD286" t="s">
        <v>74</v>
      </c>
      <c r="BE286" t="s">
        <v>1476</v>
      </c>
      <c r="BF286" t="str">
        <f>HYPERLINK("http://dx.doi.org/10.1093/beheco/arn125","http://dx.doi.org/10.1093/beheco/arn125")</f>
        <v>http://dx.doi.org/10.1093/beheco/arn125</v>
      </c>
      <c r="BG286" t="s">
        <v>74</v>
      </c>
      <c r="BH286" t="s">
        <v>74</v>
      </c>
      <c r="BI286" t="s">
        <v>74</v>
      </c>
      <c r="BJ286" t="s">
        <v>74</v>
      </c>
      <c r="BK286" t="s">
        <v>74</v>
      </c>
      <c r="BL286" t="s">
        <v>74</v>
      </c>
      <c r="BM286" t="s">
        <v>74</v>
      </c>
      <c r="BN286" t="s">
        <v>74</v>
      </c>
      <c r="BO286" t="s">
        <v>74</v>
      </c>
      <c r="BP286" t="s">
        <v>74</v>
      </c>
      <c r="BQ286" t="s">
        <v>74</v>
      </c>
      <c r="BR286" t="s">
        <v>74</v>
      </c>
      <c r="BS286" t="s">
        <v>1477</v>
      </c>
      <c r="BT286" t="str">
        <f>HYPERLINK("https%3A%2F%2Fwww.webofscience.com%2Fwos%2Fwoscc%2Ffull-record%2FWOS:000262152300018","View Full Record in Web of Science")</f>
        <v>View Full Record in Web of Science</v>
      </c>
    </row>
    <row r="287" spans="1:72" x14ac:dyDescent="0.4">
      <c r="A287" t="s">
        <v>72</v>
      </c>
      <c r="B287" t="s">
        <v>1913</v>
      </c>
      <c r="C287" t="s">
        <v>74</v>
      </c>
      <c r="D287" t="s">
        <v>74</v>
      </c>
      <c r="E287" t="s">
        <v>74</v>
      </c>
      <c r="F287" t="s">
        <v>1914</v>
      </c>
      <c r="G287" t="s">
        <v>74</v>
      </c>
      <c r="H287" t="s">
        <v>74</v>
      </c>
      <c r="I287" t="s">
        <v>1915</v>
      </c>
      <c r="J287" t="s">
        <v>108</v>
      </c>
      <c r="K287" t="s">
        <v>74</v>
      </c>
      <c r="L287" t="s">
        <v>74</v>
      </c>
      <c r="M287" t="s">
        <v>74</v>
      </c>
      <c r="N287" t="s">
        <v>74</v>
      </c>
      <c r="O287" t="s">
        <v>74</v>
      </c>
      <c r="P287" t="s">
        <v>74</v>
      </c>
      <c r="Q287" t="s">
        <v>74</v>
      </c>
      <c r="R287" t="s">
        <v>74</v>
      </c>
      <c r="S287" t="s">
        <v>74</v>
      </c>
      <c r="T287" t="s">
        <v>74</v>
      </c>
      <c r="U287" t="s">
        <v>74</v>
      </c>
      <c r="V287" s="3" t="s">
        <v>1916</v>
      </c>
      <c r="W287" t="s">
        <v>74</v>
      </c>
      <c r="X287" t="s">
        <v>74</v>
      </c>
      <c r="Y287" t="s">
        <v>74</v>
      </c>
      <c r="Z287" t="s">
        <v>74</v>
      </c>
      <c r="AA287" t="s">
        <v>1917</v>
      </c>
      <c r="AB287" t="s">
        <v>1918</v>
      </c>
      <c r="AC287" t="s">
        <v>74</v>
      </c>
      <c r="AD287" t="s">
        <v>74</v>
      </c>
      <c r="AE287" t="s">
        <v>74</v>
      </c>
      <c r="AF287" t="s">
        <v>74</v>
      </c>
      <c r="AG287" t="s">
        <v>74</v>
      </c>
      <c r="AH287" t="s">
        <v>74</v>
      </c>
      <c r="AI287" t="s">
        <v>74</v>
      </c>
      <c r="AJ287" t="s">
        <v>74</v>
      </c>
      <c r="AK287" t="s">
        <v>74</v>
      </c>
      <c r="AL287" t="s">
        <v>74</v>
      </c>
      <c r="AM287" t="s">
        <v>74</v>
      </c>
      <c r="AN287" t="s">
        <v>74</v>
      </c>
      <c r="AO287" t="s">
        <v>111</v>
      </c>
      <c r="AP287" t="s">
        <v>112</v>
      </c>
      <c r="AQ287" t="s">
        <v>74</v>
      </c>
      <c r="AR287" t="s">
        <v>74</v>
      </c>
      <c r="AS287" t="s">
        <v>74</v>
      </c>
      <c r="AT287" t="s">
        <v>1919</v>
      </c>
      <c r="AU287">
        <v>2017</v>
      </c>
      <c r="AV287">
        <v>284</v>
      </c>
      <c r="AW287">
        <v>1851</v>
      </c>
      <c r="AX287" t="s">
        <v>74</v>
      </c>
      <c r="AY287" t="s">
        <v>74</v>
      </c>
      <c r="AZ287" t="s">
        <v>74</v>
      </c>
      <c r="BA287" t="s">
        <v>74</v>
      </c>
      <c r="BB287" t="s">
        <v>74</v>
      </c>
      <c r="BC287" t="s">
        <v>74</v>
      </c>
      <c r="BD287">
        <v>20162838</v>
      </c>
      <c r="BE287" t="s">
        <v>1920</v>
      </c>
      <c r="BF287" t="str">
        <f>HYPERLINK("http://dx.doi.org/10.1098/rspb.2016.2838","http://dx.doi.org/10.1098/rspb.2016.2838")</f>
        <v>http://dx.doi.org/10.1098/rspb.2016.2838</v>
      </c>
      <c r="BG287" t="s">
        <v>74</v>
      </c>
      <c r="BH287" t="s">
        <v>74</v>
      </c>
      <c r="BI287" t="s">
        <v>74</v>
      </c>
      <c r="BJ287" t="s">
        <v>74</v>
      </c>
      <c r="BK287" t="s">
        <v>74</v>
      </c>
      <c r="BL287" t="s">
        <v>74</v>
      </c>
      <c r="BM287" t="s">
        <v>74</v>
      </c>
      <c r="BN287">
        <v>28356453</v>
      </c>
      <c r="BO287" t="s">
        <v>74</v>
      </c>
      <c r="BP287" t="s">
        <v>74</v>
      </c>
      <c r="BQ287" t="s">
        <v>74</v>
      </c>
      <c r="BR287" t="s">
        <v>74</v>
      </c>
      <c r="BS287" t="s">
        <v>1921</v>
      </c>
      <c r="BT287" t="str">
        <f>HYPERLINK("https%3A%2F%2Fwww.webofscience.com%2Fwos%2Fwoscc%2Ffull-record%2FWOS:000397884000018","View Full Record in Web of Science")</f>
        <v>View Full Record in Web of Science</v>
      </c>
    </row>
    <row r="288" spans="1:72" x14ac:dyDescent="0.4">
      <c r="A288" t="s">
        <v>72</v>
      </c>
      <c r="B288" t="s">
        <v>3398</v>
      </c>
      <c r="C288" t="s">
        <v>74</v>
      </c>
      <c r="D288" t="s">
        <v>74</v>
      </c>
      <c r="E288" t="s">
        <v>74</v>
      </c>
      <c r="F288" t="s">
        <v>3399</v>
      </c>
      <c r="G288" t="s">
        <v>74</v>
      </c>
      <c r="H288" t="s">
        <v>74</v>
      </c>
      <c r="I288" t="s">
        <v>3400</v>
      </c>
      <c r="J288" t="s">
        <v>192</v>
      </c>
      <c r="K288" t="s">
        <v>74</v>
      </c>
      <c r="L288" t="s">
        <v>74</v>
      </c>
      <c r="M288" t="s">
        <v>74</v>
      </c>
      <c r="N288" t="s">
        <v>74</v>
      </c>
      <c r="O288" t="s">
        <v>74</v>
      </c>
      <c r="P288" t="s">
        <v>74</v>
      </c>
      <c r="Q288" t="s">
        <v>74</v>
      </c>
      <c r="R288" t="s">
        <v>74</v>
      </c>
      <c r="S288" t="s">
        <v>74</v>
      </c>
      <c r="T288" t="s">
        <v>74</v>
      </c>
      <c r="U288" t="s">
        <v>74</v>
      </c>
      <c r="V288" s="3" t="s">
        <v>3401</v>
      </c>
      <c r="W288" t="s">
        <v>74</v>
      </c>
      <c r="X288" t="s">
        <v>74</v>
      </c>
      <c r="Y288" t="s">
        <v>74</v>
      </c>
      <c r="Z288" t="s">
        <v>74</v>
      </c>
      <c r="AA288" t="s">
        <v>3402</v>
      </c>
      <c r="AB288" t="s">
        <v>3403</v>
      </c>
      <c r="AC288" t="s">
        <v>74</v>
      </c>
      <c r="AD288" t="s">
        <v>74</v>
      </c>
      <c r="AE288" t="s">
        <v>74</v>
      </c>
      <c r="AF288" t="s">
        <v>74</v>
      </c>
      <c r="AG288" t="s">
        <v>74</v>
      </c>
      <c r="AH288" t="s">
        <v>74</v>
      </c>
      <c r="AI288" t="s">
        <v>74</v>
      </c>
      <c r="AJ288" t="s">
        <v>74</v>
      </c>
      <c r="AK288" t="s">
        <v>74</v>
      </c>
      <c r="AL288" t="s">
        <v>74</v>
      </c>
      <c r="AM288" t="s">
        <v>74</v>
      </c>
      <c r="AN288" t="s">
        <v>74</v>
      </c>
      <c r="AO288" t="s">
        <v>195</v>
      </c>
      <c r="AP288" t="s">
        <v>196</v>
      </c>
      <c r="AQ288" t="s">
        <v>74</v>
      </c>
      <c r="AR288" t="s">
        <v>74</v>
      </c>
      <c r="AS288" t="s">
        <v>74</v>
      </c>
      <c r="AT288" t="s">
        <v>102</v>
      </c>
      <c r="AU288">
        <v>2023</v>
      </c>
      <c r="AV288">
        <v>850</v>
      </c>
      <c r="AW288" t="s">
        <v>3404</v>
      </c>
      <c r="AX288" t="s">
        <v>74</v>
      </c>
      <c r="AY288" t="s">
        <v>74</v>
      </c>
      <c r="AZ288" t="s">
        <v>848</v>
      </c>
      <c r="BA288" t="s">
        <v>74</v>
      </c>
      <c r="BB288">
        <v>2405</v>
      </c>
      <c r="BC288">
        <v>2423</v>
      </c>
      <c r="BD288" t="s">
        <v>74</v>
      </c>
      <c r="BE288" t="s">
        <v>3405</v>
      </c>
      <c r="BF288" t="str">
        <f>HYPERLINK("http://dx.doi.org/10.1007/s10750-022-04980-z","http://dx.doi.org/10.1007/s10750-022-04980-z")</f>
        <v>http://dx.doi.org/10.1007/s10750-022-04980-z</v>
      </c>
      <c r="BG288" t="s">
        <v>74</v>
      </c>
      <c r="BH288" t="s">
        <v>3406</v>
      </c>
      <c r="BI288" t="s">
        <v>74</v>
      </c>
      <c r="BJ288" t="s">
        <v>74</v>
      </c>
      <c r="BK288" t="s">
        <v>74</v>
      </c>
      <c r="BL288" t="s">
        <v>74</v>
      </c>
      <c r="BM288" t="s">
        <v>74</v>
      </c>
      <c r="BN288" t="s">
        <v>74</v>
      </c>
      <c r="BO288" t="s">
        <v>74</v>
      </c>
      <c r="BP288" t="s">
        <v>74</v>
      </c>
      <c r="BQ288" t="s">
        <v>74</v>
      </c>
      <c r="BR288" t="s">
        <v>74</v>
      </c>
      <c r="BS288" t="s">
        <v>3407</v>
      </c>
      <c r="BT288" t="str">
        <f>HYPERLINK("https%3A%2F%2Fwww.webofscience.com%2Fwos%2Fwoscc%2Ffull-record%2FWOS:000849168800001","View Full Record in Web of Science")</f>
        <v>View Full Record in Web of Science</v>
      </c>
    </row>
    <row r="289" spans="1:72" x14ac:dyDescent="0.4">
      <c r="A289" t="s">
        <v>72</v>
      </c>
      <c r="B289" t="s">
        <v>3960</v>
      </c>
      <c r="C289" t="s">
        <v>74</v>
      </c>
      <c r="D289" t="s">
        <v>74</v>
      </c>
      <c r="E289" t="s">
        <v>74</v>
      </c>
      <c r="F289" t="s">
        <v>3961</v>
      </c>
      <c r="G289" t="s">
        <v>74</v>
      </c>
      <c r="H289" t="s">
        <v>74</v>
      </c>
      <c r="I289" t="s">
        <v>3962</v>
      </c>
      <c r="J289" t="s">
        <v>108</v>
      </c>
      <c r="K289" t="s">
        <v>74</v>
      </c>
      <c r="L289" t="s">
        <v>74</v>
      </c>
      <c r="M289" t="s">
        <v>74</v>
      </c>
      <c r="N289" t="s">
        <v>74</v>
      </c>
      <c r="O289" t="s">
        <v>74</v>
      </c>
      <c r="P289" t="s">
        <v>74</v>
      </c>
      <c r="Q289" t="s">
        <v>74</v>
      </c>
      <c r="R289" t="s">
        <v>74</v>
      </c>
      <c r="S289" t="s">
        <v>74</v>
      </c>
      <c r="T289" t="s">
        <v>74</v>
      </c>
      <c r="U289" t="s">
        <v>74</v>
      </c>
      <c r="V289" s="3" t="s">
        <v>3963</v>
      </c>
      <c r="W289" t="s">
        <v>74</v>
      </c>
      <c r="X289" t="s">
        <v>74</v>
      </c>
      <c r="Y289" t="s">
        <v>74</v>
      </c>
      <c r="Z289" t="s">
        <v>74</v>
      </c>
      <c r="AA289" t="s">
        <v>74</v>
      </c>
      <c r="AB289" t="s">
        <v>2478</v>
      </c>
      <c r="AC289" t="s">
        <v>74</v>
      </c>
      <c r="AD289" t="s">
        <v>74</v>
      </c>
      <c r="AE289" t="s">
        <v>74</v>
      </c>
      <c r="AF289" t="s">
        <v>74</v>
      </c>
      <c r="AG289" t="s">
        <v>74</v>
      </c>
      <c r="AH289" t="s">
        <v>74</v>
      </c>
      <c r="AI289" t="s">
        <v>74</v>
      </c>
      <c r="AJ289" t="s">
        <v>74</v>
      </c>
      <c r="AK289" t="s">
        <v>74</v>
      </c>
      <c r="AL289" t="s">
        <v>74</v>
      </c>
      <c r="AM289" t="s">
        <v>74</v>
      </c>
      <c r="AN289" t="s">
        <v>74</v>
      </c>
      <c r="AO289" t="s">
        <v>111</v>
      </c>
      <c r="AP289" t="s">
        <v>112</v>
      </c>
      <c r="AQ289" t="s">
        <v>74</v>
      </c>
      <c r="AR289" t="s">
        <v>74</v>
      </c>
      <c r="AS289" t="s">
        <v>74</v>
      </c>
      <c r="AT289" t="s">
        <v>2345</v>
      </c>
      <c r="AU289">
        <v>2008</v>
      </c>
      <c r="AV289">
        <v>275</v>
      </c>
      <c r="AW289">
        <v>1639</v>
      </c>
      <c r="AX289" t="s">
        <v>74</v>
      </c>
      <c r="AY289" t="s">
        <v>74</v>
      </c>
      <c r="AZ289" t="s">
        <v>74</v>
      </c>
      <c r="BA289" t="s">
        <v>74</v>
      </c>
      <c r="BB289">
        <v>1157</v>
      </c>
      <c r="BC289">
        <v>1162</v>
      </c>
      <c r="BD289" t="s">
        <v>74</v>
      </c>
      <c r="BE289" t="s">
        <v>3964</v>
      </c>
      <c r="BF289" t="str">
        <f>HYPERLINK("http://dx.doi.org/10.1098/rspb.2007.1700","http://dx.doi.org/10.1098/rspb.2007.1700")</f>
        <v>http://dx.doi.org/10.1098/rspb.2007.1700</v>
      </c>
      <c r="BG289" t="s">
        <v>74</v>
      </c>
      <c r="BH289" t="s">
        <v>74</v>
      </c>
      <c r="BI289" t="s">
        <v>74</v>
      </c>
      <c r="BJ289" t="s">
        <v>74</v>
      </c>
      <c r="BK289" t="s">
        <v>74</v>
      </c>
      <c r="BL289" t="s">
        <v>74</v>
      </c>
      <c r="BM289" t="s">
        <v>74</v>
      </c>
      <c r="BN289">
        <v>18270157</v>
      </c>
      <c r="BO289" t="s">
        <v>74</v>
      </c>
      <c r="BP289" t="s">
        <v>74</v>
      </c>
      <c r="BQ289" t="s">
        <v>74</v>
      </c>
      <c r="BR289" t="s">
        <v>74</v>
      </c>
      <c r="BS289" t="s">
        <v>3965</v>
      </c>
      <c r="BT289" t="str">
        <f>HYPERLINK("https%3A%2F%2Fwww.webofscience.com%2Fwos%2Fwoscc%2Ffull-record%2FWOS:000254464000008","View Full Record in Web of Science")</f>
        <v>View Full Record in Web of Science</v>
      </c>
    </row>
    <row r="290" spans="1:72" x14ac:dyDescent="0.4">
      <c r="A290" t="s">
        <v>72</v>
      </c>
      <c r="B290" t="s">
        <v>1700</v>
      </c>
      <c r="C290" t="s">
        <v>74</v>
      </c>
      <c r="D290" t="s">
        <v>74</v>
      </c>
      <c r="E290" t="s">
        <v>74</v>
      </c>
      <c r="F290" t="s">
        <v>1701</v>
      </c>
      <c r="G290" t="s">
        <v>74</v>
      </c>
      <c r="H290" t="s">
        <v>74</v>
      </c>
      <c r="I290" t="s">
        <v>1702</v>
      </c>
      <c r="J290" t="s">
        <v>140</v>
      </c>
      <c r="K290" t="s">
        <v>74</v>
      </c>
      <c r="L290" t="s">
        <v>74</v>
      </c>
      <c r="M290" t="s">
        <v>74</v>
      </c>
      <c r="N290" t="s">
        <v>74</v>
      </c>
      <c r="O290" t="s">
        <v>74</v>
      </c>
      <c r="P290" t="s">
        <v>74</v>
      </c>
      <c r="Q290" t="s">
        <v>74</v>
      </c>
      <c r="R290" t="s">
        <v>74</v>
      </c>
      <c r="S290" t="s">
        <v>74</v>
      </c>
      <c r="T290" t="s">
        <v>74</v>
      </c>
      <c r="U290" t="s">
        <v>74</v>
      </c>
      <c r="V290" s="3" t="s">
        <v>1703</v>
      </c>
      <c r="W290" t="s">
        <v>74</v>
      </c>
      <c r="X290" t="s">
        <v>74</v>
      </c>
      <c r="Y290" t="s">
        <v>74</v>
      </c>
      <c r="Z290" t="s">
        <v>74</v>
      </c>
      <c r="AA290" t="s">
        <v>1106</v>
      </c>
      <c r="AB290" t="s">
        <v>1704</v>
      </c>
      <c r="AC290" t="s">
        <v>74</v>
      </c>
      <c r="AD290" t="s">
        <v>74</v>
      </c>
      <c r="AE290" t="s">
        <v>74</v>
      </c>
      <c r="AF290" t="s">
        <v>74</v>
      </c>
      <c r="AG290" t="s">
        <v>74</v>
      </c>
      <c r="AH290" t="s">
        <v>74</v>
      </c>
      <c r="AI290" t="s">
        <v>74</v>
      </c>
      <c r="AJ290" t="s">
        <v>74</v>
      </c>
      <c r="AK290" t="s">
        <v>74</v>
      </c>
      <c r="AL290" t="s">
        <v>74</v>
      </c>
      <c r="AM290" t="s">
        <v>74</v>
      </c>
      <c r="AN290" t="s">
        <v>74</v>
      </c>
      <c r="AO290" t="s">
        <v>143</v>
      </c>
      <c r="AP290" t="s">
        <v>144</v>
      </c>
      <c r="AQ290" t="s">
        <v>74</v>
      </c>
      <c r="AR290" t="s">
        <v>74</v>
      </c>
      <c r="AS290" t="s">
        <v>74</v>
      </c>
      <c r="AT290" t="s">
        <v>352</v>
      </c>
      <c r="AU290">
        <v>2008</v>
      </c>
      <c r="AV290">
        <v>76</v>
      </c>
      <c r="AW290" t="s">
        <v>74</v>
      </c>
      <c r="AX290">
        <v>3</v>
      </c>
      <c r="AY290" t="s">
        <v>74</v>
      </c>
      <c r="AZ290" t="s">
        <v>74</v>
      </c>
      <c r="BA290" t="s">
        <v>74</v>
      </c>
      <c r="BB290">
        <v>649</v>
      </c>
      <c r="BC290">
        <v>655</v>
      </c>
      <c r="BD290" t="s">
        <v>74</v>
      </c>
      <c r="BE290" t="s">
        <v>1705</v>
      </c>
      <c r="BF290" t="str">
        <f>HYPERLINK("http://dx.doi.org/10.1016/j.anbehav.2008.03.013","http://dx.doi.org/10.1016/j.anbehav.2008.03.013")</f>
        <v>http://dx.doi.org/10.1016/j.anbehav.2008.03.013</v>
      </c>
      <c r="BG290" t="s">
        <v>74</v>
      </c>
      <c r="BH290" t="s">
        <v>74</v>
      </c>
      <c r="BI290" t="s">
        <v>74</v>
      </c>
      <c r="BJ290" t="s">
        <v>74</v>
      </c>
      <c r="BK290" t="s">
        <v>74</v>
      </c>
      <c r="BL290" t="s">
        <v>74</v>
      </c>
      <c r="BM290" t="s">
        <v>74</v>
      </c>
      <c r="BN290" t="s">
        <v>74</v>
      </c>
      <c r="BO290" t="s">
        <v>74</v>
      </c>
      <c r="BP290" t="s">
        <v>74</v>
      </c>
      <c r="BQ290" t="s">
        <v>74</v>
      </c>
      <c r="BR290" t="s">
        <v>74</v>
      </c>
      <c r="BS290" t="s">
        <v>1706</v>
      </c>
      <c r="BT290" t="str">
        <f>HYPERLINK("https%3A%2F%2Fwww.webofscience.com%2Fwos%2Fwoscc%2Ffull-record%2FWOS:000258490800015","View Full Record in Web of Science")</f>
        <v>View Full Record in Web of Science</v>
      </c>
    </row>
    <row r="291" spans="1:72" x14ac:dyDescent="0.4">
      <c r="A291" t="s">
        <v>72</v>
      </c>
      <c r="B291" t="s">
        <v>1956</v>
      </c>
      <c r="C291" t="s">
        <v>74</v>
      </c>
      <c r="D291" t="s">
        <v>74</v>
      </c>
      <c r="E291" t="s">
        <v>74</v>
      </c>
      <c r="F291" t="s">
        <v>1957</v>
      </c>
      <c r="G291" t="s">
        <v>74</v>
      </c>
      <c r="H291" t="s">
        <v>74</v>
      </c>
      <c r="I291" t="s">
        <v>1958</v>
      </c>
      <c r="J291" t="s">
        <v>108</v>
      </c>
      <c r="K291" t="s">
        <v>74</v>
      </c>
      <c r="L291" t="s">
        <v>74</v>
      </c>
      <c r="M291" t="s">
        <v>74</v>
      </c>
      <c r="N291" t="s">
        <v>74</v>
      </c>
      <c r="O291" t="s">
        <v>74</v>
      </c>
      <c r="P291" t="s">
        <v>74</v>
      </c>
      <c r="Q291" t="s">
        <v>74</v>
      </c>
      <c r="R291" t="s">
        <v>74</v>
      </c>
      <c r="S291" t="s">
        <v>74</v>
      </c>
      <c r="T291" t="s">
        <v>74</v>
      </c>
      <c r="U291" t="s">
        <v>74</v>
      </c>
      <c r="V291" s="3" t="s">
        <v>1959</v>
      </c>
      <c r="W291" t="s">
        <v>74</v>
      </c>
      <c r="X291" t="s">
        <v>74</v>
      </c>
      <c r="Y291" t="s">
        <v>74</v>
      </c>
      <c r="Z291" t="s">
        <v>74</v>
      </c>
      <c r="AA291" t="s">
        <v>1106</v>
      </c>
      <c r="AB291" t="s">
        <v>1704</v>
      </c>
      <c r="AC291" t="s">
        <v>74</v>
      </c>
      <c r="AD291" t="s">
        <v>74</v>
      </c>
      <c r="AE291" t="s">
        <v>74</v>
      </c>
      <c r="AF291" t="s">
        <v>74</v>
      </c>
      <c r="AG291" t="s">
        <v>74</v>
      </c>
      <c r="AH291" t="s">
        <v>74</v>
      </c>
      <c r="AI291" t="s">
        <v>74</v>
      </c>
      <c r="AJ291" t="s">
        <v>74</v>
      </c>
      <c r="AK291" t="s">
        <v>74</v>
      </c>
      <c r="AL291" t="s">
        <v>74</v>
      </c>
      <c r="AM291" t="s">
        <v>74</v>
      </c>
      <c r="AN291" t="s">
        <v>74</v>
      </c>
      <c r="AO291" t="s">
        <v>111</v>
      </c>
      <c r="AP291" t="s">
        <v>112</v>
      </c>
      <c r="AQ291" t="s">
        <v>74</v>
      </c>
      <c r="AR291" t="s">
        <v>74</v>
      </c>
      <c r="AS291" t="s">
        <v>74</v>
      </c>
      <c r="AT291" t="s">
        <v>1960</v>
      </c>
      <c r="AU291">
        <v>2008</v>
      </c>
      <c r="AV291">
        <v>275</v>
      </c>
      <c r="AW291">
        <v>1634</v>
      </c>
      <c r="AX291" t="s">
        <v>74</v>
      </c>
      <c r="AY291" t="s">
        <v>74</v>
      </c>
      <c r="AZ291" t="s">
        <v>74</v>
      </c>
      <c r="BA291" t="s">
        <v>74</v>
      </c>
      <c r="BB291">
        <v>519</v>
      </c>
      <c r="BC291">
        <v>526</v>
      </c>
      <c r="BD291" t="s">
        <v>74</v>
      </c>
      <c r="BE291" t="s">
        <v>1961</v>
      </c>
      <c r="BF291" t="str">
        <f>HYPERLINK("http://dx.doi.org/10.1098/rspb.2007.1441","http://dx.doi.org/10.1098/rspb.2007.1441")</f>
        <v>http://dx.doi.org/10.1098/rspb.2007.1441</v>
      </c>
      <c r="BG291" t="s">
        <v>74</v>
      </c>
      <c r="BH291" t="s">
        <v>74</v>
      </c>
      <c r="BI291" t="s">
        <v>74</v>
      </c>
      <c r="BJ291" t="s">
        <v>74</v>
      </c>
      <c r="BK291" t="s">
        <v>74</v>
      </c>
      <c r="BL291" t="s">
        <v>74</v>
      </c>
      <c r="BM291" t="s">
        <v>74</v>
      </c>
      <c r="BN291">
        <v>18077255</v>
      </c>
      <c r="BO291" t="s">
        <v>74</v>
      </c>
      <c r="BP291" t="s">
        <v>74</v>
      </c>
      <c r="BQ291" t="s">
        <v>74</v>
      </c>
      <c r="BR291" t="s">
        <v>74</v>
      </c>
      <c r="BS291" t="s">
        <v>1962</v>
      </c>
      <c r="BT291" t="str">
        <f>HYPERLINK("https%3A%2F%2Fwww.webofscience.com%2Fwos%2Fwoscc%2Ffull-record%2FWOS:000252764800006","View Full Record in Web of Science")</f>
        <v>View Full Record in Web of Science</v>
      </c>
    </row>
    <row r="292" spans="1:72" x14ac:dyDescent="0.4">
      <c r="A292" t="s">
        <v>72</v>
      </c>
      <c r="B292" t="s">
        <v>1360</v>
      </c>
      <c r="C292" t="s">
        <v>74</v>
      </c>
      <c r="D292" t="s">
        <v>74</v>
      </c>
      <c r="E292" t="s">
        <v>74</v>
      </c>
      <c r="F292" t="s">
        <v>1361</v>
      </c>
      <c r="G292" t="s">
        <v>74</v>
      </c>
      <c r="H292" t="s">
        <v>74</v>
      </c>
      <c r="I292" t="s">
        <v>1362</v>
      </c>
      <c r="J292" t="s">
        <v>333</v>
      </c>
      <c r="K292" t="s">
        <v>74</v>
      </c>
      <c r="L292" t="s">
        <v>74</v>
      </c>
      <c r="M292" t="s">
        <v>74</v>
      </c>
      <c r="N292" t="s">
        <v>74</v>
      </c>
      <c r="O292" t="s">
        <v>74</v>
      </c>
      <c r="P292" t="s">
        <v>74</v>
      </c>
      <c r="Q292" t="s">
        <v>74</v>
      </c>
      <c r="R292" t="s">
        <v>74</v>
      </c>
      <c r="S292" t="s">
        <v>74</v>
      </c>
      <c r="T292" t="s">
        <v>74</v>
      </c>
      <c r="U292" t="s">
        <v>74</v>
      </c>
      <c r="V292" s="3" t="s">
        <v>1363</v>
      </c>
      <c r="W292" t="s">
        <v>74</v>
      </c>
      <c r="X292" t="s">
        <v>74</v>
      </c>
      <c r="Y292" t="s">
        <v>74</v>
      </c>
      <c r="Z292" t="s">
        <v>74</v>
      </c>
      <c r="AA292" t="s">
        <v>484</v>
      </c>
      <c r="AB292" t="s">
        <v>485</v>
      </c>
      <c r="AC292" t="s">
        <v>74</v>
      </c>
      <c r="AD292" t="s">
        <v>74</v>
      </c>
      <c r="AE292" t="s">
        <v>74</v>
      </c>
      <c r="AF292" t="s">
        <v>74</v>
      </c>
      <c r="AG292" t="s">
        <v>74</v>
      </c>
      <c r="AH292" t="s">
        <v>74</v>
      </c>
      <c r="AI292" t="s">
        <v>74</v>
      </c>
      <c r="AJ292" t="s">
        <v>74</v>
      </c>
      <c r="AK292" t="s">
        <v>74</v>
      </c>
      <c r="AL292" t="s">
        <v>74</v>
      </c>
      <c r="AM292" t="s">
        <v>74</v>
      </c>
      <c r="AN292" t="s">
        <v>74</v>
      </c>
      <c r="AO292" t="s">
        <v>337</v>
      </c>
      <c r="AP292" t="s">
        <v>338</v>
      </c>
      <c r="AQ292" t="s">
        <v>74</v>
      </c>
      <c r="AR292" t="s">
        <v>74</v>
      </c>
      <c r="AS292" t="s">
        <v>74</v>
      </c>
      <c r="AT292" t="s">
        <v>808</v>
      </c>
      <c r="AU292">
        <v>2009</v>
      </c>
      <c r="AV292">
        <v>20</v>
      </c>
      <c r="AW292">
        <v>3</v>
      </c>
      <c r="AX292" t="s">
        <v>74</v>
      </c>
      <c r="AY292" t="s">
        <v>74</v>
      </c>
      <c r="AZ292" t="s">
        <v>74</v>
      </c>
      <c r="BA292" t="s">
        <v>74</v>
      </c>
      <c r="BB292">
        <v>593</v>
      </c>
      <c r="BC292">
        <v>600</v>
      </c>
      <c r="BD292" t="s">
        <v>74</v>
      </c>
      <c r="BE292" t="s">
        <v>1364</v>
      </c>
      <c r="BF292" t="str">
        <f>HYPERLINK("http://dx.doi.org/10.1093/beheco/arp036","http://dx.doi.org/10.1093/beheco/arp036")</f>
        <v>http://dx.doi.org/10.1093/beheco/arp036</v>
      </c>
      <c r="BG292" t="s">
        <v>74</v>
      </c>
      <c r="BH292" t="s">
        <v>74</v>
      </c>
      <c r="BI292" t="s">
        <v>74</v>
      </c>
      <c r="BJ292" t="s">
        <v>74</v>
      </c>
      <c r="BK292" t="s">
        <v>74</v>
      </c>
      <c r="BL292" t="s">
        <v>74</v>
      </c>
      <c r="BM292" t="s">
        <v>74</v>
      </c>
      <c r="BN292" t="s">
        <v>74</v>
      </c>
      <c r="BO292" t="s">
        <v>74</v>
      </c>
      <c r="BP292" t="s">
        <v>74</v>
      </c>
      <c r="BQ292" t="s">
        <v>74</v>
      </c>
      <c r="BR292" t="s">
        <v>74</v>
      </c>
      <c r="BS292" t="s">
        <v>1365</v>
      </c>
      <c r="BT292" t="str">
        <f>HYPERLINK("https%3A%2F%2Fwww.webofscience.com%2Fwos%2Fwoscc%2Ffull-record%2FWOS:000265950200018","View Full Record in Web of Science")</f>
        <v>View Full Record in Web of Science</v>
      </c>
    </row>
    <row r="293" spans="1:72" x14ac:dyDescent="0.4">
      <c r="A293" t="s">
        <v>72</v>
      </c>
      <c r="B293" t="s">
        <v>1905</v>
      </c>
      <c r="C293" t="s">
        <v>74</v>
      </c>
      <c r="D293" t="s">
        <v>74</v>
      </c>
      <c r="E293" t="s">
        <v>74</v>
      </c>
      <c r="F293" t="s">
        <v>1906</v>
      </c>
      <c r="G293" t="s">
        <v>74</v>
      </c>
      <c r="H293" t="s">
        <v>74</v>
      </c>
      <c r="I293" t="s">
        <v>1907</v>
      </c>
      <c r="J293" t="s">
        <v>509</v>
      </c>
      <c r="K293" t="s">
        <v>74</v>
      </c>
      <c r="L293" t="s">
        <v>74</v>
      </c>
      <c r="M293" t="s">
        <v>74</v>
      </c>
      <c r="N293" t="s">
        <v>74</v>
      </c>
      <c r="O293" t="s">
        <v>74</v>
      </c>
      <c r="P293" t="s">
        <v>74</v>
      </c>
      <c r="Q293" t="s">
        <v>74</v>
      </c>
      <c r="R293" t="s">
        <v>74</v>
      </c>
      <c r="S293" t="s">
        <v>74</v>
      </c>
      <c r="T293" t="s">
        <v>74</v>
      </c>
      <c r="U293" t="s">
        <v>74</v>
      </c>
      <c r="V293" s="3" t="s">
        <v>1908</v>
      </c>
      <c r="W293" t="s">
        <v>74</v>
      </c>
      <c r="X293" t="s">
        <v>74</v>
      </c>
      <c r="Y293" t="s">
        <v>74</v>
      </c>
      <c r="Z293" t="s">
        <v>74</v>
      </c>
      <c r="AA293" t="s">
        <v>1909</v>
      </c>
      <c r="AB293" t="s">
        <v>1910</v>
      </c>
      <c r="AC293" t="s">
        <v>74</v>
      </c>
      <c r="AD293" t="s">
        <v>74</v>
      </c>
      <c r="AE293" t="s">
        <v>74</v>
      </c>
      <c r="AF293" t="s">
        <v>74</v>
      </c>
      <c r="AG293" t="s">
        <v>74</v>
      </c>
      <c r="AH293" t="s">
        <v>74</v>
      </c>
      <c r="AI293" t="s">
        <v>74</v>
      </c>
      <c r="AJ293" t="s">
        <v>74</v>
      </c>
      <c r="AK293" t="s">
        <v>74</v>
      </c>
      <c r="AL293" t="s">
        <v>74</v>
      </c>
      <c r="AM293" t="s">
        <v>74</v>
      </c>
      <c r="AN293" t="s">
        <v>74</v>
      </c>
      <c r="AO293" t="s">
        <v>511</v>
      </c>
      <c r="AP293" t="s">
        <v>512</v>
      </c>
      <c r="AQ293" t="s">
        <v>74</v>
      </c>
      <c r="AR293" t="s">
        <v>74</v>
      </c>
      <c r="AS293" t="s">
        <v>74</v>
      </c>
      <c r="AT293" t="s">
        <v>633</v>
      </c>
      <c r="AU293">
        <v>2012</v>
      </c>
      <c r="AV293">
        <v>61</v>
      </c>
      <c r="AW293">
        <v>4</v>
      </c>
      <c r="AX293" t="s">
        <v>74</v>
      </c>
      <c r="AY293" t="s">
        <v>74</v>
      </c>
      <c r="AZ293" t="s">
        <v>74</v>
      </c>
      <c r="BA293" t="s">
        <v>74</v>
      </c>
      <c r="BB293">
        <v>518</v>
      </c>
      <c r="BC293">
        <v>526</v>
      </c>
      <c r="BD293" t="s">
        <v>74</v>
      </c>
      <c r="BE293" t="s">
        <v>1911</v>
      </c>
      <c r="BF293" t="str">
        <f>HYPERLINK("http://dx.doi.org/10.1016/j.yhbeh.2012.01.011","http://dx.doi.org/10.1016/j.yhbeh.2012.01.011")</f>
        <v>http://dx.doi.org/10.1016/j.yhbeh.2012.01.011</v>
      </c>
      <c r="BG293" t="s">
        <v>74</v>
      </c>
      <c r="BH293" t="s">
        <v>74</v>
      </c>
      <c r="BI293" t="s">
        <v>74</v>
      </c>
      <c r="BJ293" t="s">
        <v>74</v>
      </c>
      <c r="BK293" t="s">
        <v>74</v>
      </c>
      <c r="BL293" t="s">
        <v>74</v>
      </c>
      <c r="BM293" t="s">
        <v>74</v>
      </c>
      <c r="BN293">
        <v>22289206</v>
      </c>
      <c r="BO293" t="s">
        <v>74</v>
      </c>
      <c r="BP293" t="s">
        <v>74</v>
      </c>
      <c r="BQ293" t="s">
        <v>74</v>
      </c>
      <c r="BR293" t="s">
        <v>74</v>
      </c>
      <c r="BS293" t="s">
        <v>1912</v>
      </c>
      <c r="BT293" t="str">
        <f>HYPERLINK("https%3A%2F%2Fwww.webofscience.com%2Fwos%2Fwoscc%2Ffull-record%2FWOS:000302763700008","View Full Record in Web of Science")</f>
        <v>View Full Record in Web of Science</v>
      </c>
    </row>
    <row r="294" spans="1:72" x14ac:dyDescent="0.4">
      <c r="A294" t="s">
        <v>72</v>
      </c>
      <c r="B294" t="s">
        <v>8485</v>
      </c>
      <c r="C294" t="s">
        <v>74</v>
      </c>
      <c r="D294" t="s">
        <v>74</v>
      </c>
      <c r="E294" t="s">
        <v>74</v>
      </c>
      <c r="F294" t="s">
        <v>8485</v>
      </c>
      <c r="G294" t="s">
        <v>74</v>
      </c>
      <c r="H294" t="s">
        <v>74</v>
      </c>
      <c r="I294" t="s">
        <v>8486</v>
      </c>
      <c r="J294" t="s">
        <v>333</v>
      </c>
      <c r="K294" t="s">
        <v>74</v>
      </c>
      <c r="L294" t="s">
        <v>74</v>
      </c>
      <c r="M294" t="s">
        <v>74</v>
      </c>
      <c r="N294" t="s">
        <v>74</v>
      </c>
      <c r="O294" t="s">
        <v>74</v>
      </c>
      <c r="P294" t="s">
        <v>74</v>
      </c>
      <c r="Q294" t="s">
        <v>74</v>
      </c>
      <c r="R294" t="s">
        <v>74</v>
      </c>
      <c r="S294" t="s">
        <v>74</v>
      </c>
      <c r="T294" t="s">
        <v>74</v>
      </c>
      <c r="U294" t="s">
        <v>74</v>
      </c>
      <c r="V294" s="3" t="s">
        <v>8487</v>
      </c>
      <c r="W294" t="s">
        <v>74</v>
      </c>
      <c r="X294" t="s">
        <v>74</v>
      </c>
      <c r="Y294" t="s">
        <v>74</v>
      </c>
      <c r="Z294" t="s">
        <v>74</v>
      </c>
      <c r="AA294" t="s">
        <v>8488</v>
      </c>
      <c r="AB294" t="s">
        <v>8489</v>
      </c>
      <c r="AC294" t="s">
        <v>74</v>
      </c>
      <c r="AD294" t="s">
        <v>74</v>
      </c>
      <c r="AE294" t="s">
        <v>74</v>
      </c>
      <c r="AF294" t="s">
        <v>74</v>
      </c>
      <c r="AG294" t="s">
        <v>74</v>
      </c>
      <c r="AH294" t="s">
        <v>74</v>
      </c>
      <c r="AI294" t="s">
        <v>74</v>
      </c>
      <c r="AJ294" t="s">
        <v>74</v>
      </c>
      <c r="AK294" t="s">
        <v>74</v>
      </c>
      <c r="AL294" t="s">
        <v>74</v>
      </c>
      <c r="AM294" t="s">
        <v>74</v>
      </c>
      <c r="AN294" t="s">
        <v>74</v>
      </c>
      <c r="AO294" t="s">
        <v>337</v>
      </c>
      <c r="AP294" t="s">
        <v>338</v>
      </c>
      <c r="AQ294" t="s">
        <v>74</v>
      </c>
      <c r="AR294" t="s">
        <v>74</v>
      </c>
      <c r="AS294" t="s">
        <v>74</v>
      </c>
      <c r="AT294" t="s">
        <v>213</v>
      </c>
      <c r="AU294">
        <v>2004</v>
      </c>
      <c r="AV294">
        <v>15</v>
      </c>
      <c r="AW294">
        <v>6</v>
      </c>
      <c r="AX294" t="s">
        <v>74</v>
      </c>
      <c r="AY294" t="s">
        <v>74</v>
      </c>
      <c r="AZ294" t="s">
        <v>74</v>
      </c>
      <c r="BA294" t="s">
        <v>74</v>
      </c>
      <c r="BB294">
        <v>1023</v>
      </c>
      <c r="BC294">
        <v>1030</v>
      </c>
      <c r="BD294" t="s">
        <v>74</v>
      </c>
      <c r="BE294" t="s">
        <v>8490</v>
      </c>
      <c r="BF294" t="str">
        <f>HYPERLINK("http://dx.doi.org/10.1093/beheco/arh115","http://dx.doi.org/10.1093/beheco/arh115")</f>
        <v>http://dx.doi.org/10.1093/beheco/arh115</v>
      </c>
      <c r="BG294" t="s">
        <v>74</v>
      </c>
      <c r="BH294" t="s">
        <v>74</v>
      </c>
      <c r="BI294" t="s">
        <v>74</v>
      </c>
      <c r="BJ294" t="s">
        <v>74</v>
      </c>
      <c r="BK294" t="s">
        <v>74</v>
      </c>
      <c r="BL294" t="s">
        <v>74</v>
      </c>
      <c r="BM294" t="s">
        <v>74</v>
      </c>
      <c r="BN294" t="s">
        <v>74</v>
      </c>
      <c r="BO294" t="s">
        <v>74</v>
      </c>
      <c r="BP294" t="s">
        <v>74</v>
      </c>
      <c r="BQ294" t="s">
        <v>74</v>
      </c>
      <c r="BR294" t="s">
        <v>74</v>
      </c>
      <c r="BS294" t="s">
        <v>8491</v>
      </c>
      <c r="BT294" t="str">
        <f>HYPERLINK("https%3A%2F%2Fwww.webofscience.com%2Fwos%2Fwoscc%2Ffull-record%2FWOS:000224482000019","View Full Record in Web of Science")</f>
        <v>View Full Record in Web of Science</v>
      </c>
    </row>
    <row r="295" spans="1:72" x14ac:dyDescent="0.4">
      <c r="A295" t="s">
        <v>72</v>
      </c>
      <c r="B295" t="s">
        <v>7007</v>
      </c>
      <c r="C295" t="s">
        <v>74</v>
      </c>
      <c r="D295" t="s">
        <v>74</v>
      </c>
      <c r="E295" t="s">
        <v>74</v>
      </c>
      <c r="F295" t="s">
        <v>7007</v>
      </c>
      <c r="G295" t="s">
        <v>74</v>
      </c>
      <c r="H295" t="s">
        <v>74</v>
      </c>
      <c r="I295" t="s">
        <v>7008</v>
      </c>
      <c r="J295" t="s">
        <v>7009</v>
      </c>
      <c r="K295" t="s">
        <v>74</v>
      </c>
      <c r="L295" t="s">
        <v>74</v>
      </c>
      <c r="M295" t="s">
        <v>74</v>
      </c>
      <c r="N295" t="s">
        <v>74</v>
      </c>
      <c r="O295" t="s">
        <v>74</v>
      </c>
      <c r="P295" t="s">
        <v>74</v>
      </c>
      <c r="Q295" t="s">
        <v>74</v>
      </c>
      <c r="R295" t="s">
        <v>74</v>
      </c>
      <c r="S295" t="s">
        <v>74</v>
      </c>
      <c r="T295" t="s">
        <v>74</v>
      </c>
      <c r="U295" t="s">
        <v>74</v>
      </c>
      <c r="V295" s="3" t="s">
        <v>7010</v>
      </c>
      <c r="W295" t="s">
        <v>74</v>
      </c>
      <c r="X295" t="s">
        <v>74</v>
      </c>
      <c r="Y295" t="s">
        <v>74</v>
      </c>
      <c r="Z295" t="s">
        <v>74</v>
      </c>
      <c r="AA295" t="s">
        <v>74</v>
      </c>
      <c r="AB295" t="s">
        <v>74</v>
      </c>
      <c r="AC295" t="s">
        <v>74</v>
      </c>
      <c r="AD295" t="s">
        <v>74</v>
      </c>
      <c r="AE295" t="s">
        <v>74</v>
      </c>
      <c r="AF295" t="s">
        <v>74</v>
      </c>
      <c r="AG295" t="s">
        <v>74</v>
      </c>
      <c r="AH295" t="s">
        <v>74</v>
      </c>
      <c r="AI295" t="s">
        <v>74</v>
      </c>
      <c r="AJ295" t="s">
        <v>74</v>
      </c>
      <c r="AK295" t="s">
        <v>74</v>
      </c>
      <c r="AL295" t="s">
        <v>74</v>
      </c>
      <c r="AM295" t="s">
        <v>74</v>
      </c>
      <c r="AN295" t="s">
        <v>74</v>
      </c>
      <c r="AO295" t="s">
        <v>7011</v>
      </c>
      <c r="AP295" t="s">
        <v>74</v>
      </c>
      <c r="AQ295" t="s">
        <v>74</v>
      </c>
      <c r="AR295" t="s">
        <v>74</v>
      </c>
      <c r="AS295" t="s">
        <v>74</v>
      </c>
      <c r="AT295" t="s">
        <v>964</v>
      </c>
      <c r="AU295">
        <v>1998</v>
      </c>
      <c r="AV295">
        <v>33</v>
      </c>
      <c r="AW295">
        <v>1</v>
      </c>
      <c r="AX295" t="s">
        <v>74</v>
      </c>
      <c r="AY295" t="s">
        <v>74</v>
      </c>
      <c r="AZ295" t="s">
        <v>74</v>
      </c>
      <c r="BA295" t="s">
        <v>74</v>
      </c>
      <c r="BB295">
        <v>73</v>
      </c>
      <c r="BC295">
        <v>80</v>
      </c>
      <c r="BD295" t="s">
        <v>74</v>
      </c>
      <c r="BE295" t="s">
        <v>7012</v>
      </c>
      <c r="BF295" t="str">
        <f>HYPERLINK("http://dx.doi.org/10.1017/S0967026298001607","http://dx.doi.org/10.1017/S0967026298001607")</f>
        <v>http://dx.doi.org/10.1017/S0967026298001607</v>
      </c>
      <c r="BG295" t="s">
        <v>74</v>
      </c>
      <c r="BH295" t="s">
        <v>74</v>
      </c>
      <c r="BI295" t="s">
        <v>74</v>
      </c>
      <c r="BJ295" t="s">
        <v>74</v>
      </c>
      <c r="BK295" t="s">
        <v>74</v>
      </c>
      <c r="BL295" t="s">
        <v>74</v>
      </c>
      <c r="BM295" t="s">
        <v>74</v>
      </c>
      <c r="BN295" t="s">
        <v>74</v>
      </c>
      <c r="BO295" t="s">
        <v>74</v>
      </c>
      <c r="BP295" t="s">
        <v>74</v>
      </c>
      <c r="BQ295" t="s">
        <v>74</v>
      </c>
      <c r="BR295" t="s">
        <v>74</v>
      </c>
      <c r="BS295" t="s">
        <v>7013</v>
      </c>
      <c r="BT295" t="str">
        <f>HYPERLINK("https%3A%2F%2Fwww.webofscience.com%2Fwos%2Fwoscc%2Ffull-record%2FWOS:000073192900008","View Full Record in Web of Science")</f>
        <v>View Full Record in Web of Science</v>
      </c>
    </row>
    <row r="296" spans="1:72" x14ac:dyDescent="0.4">
      <c r="A296" t="s">
        <v>72</v>
      </c>
      <c r="B296" t="s">
        <v>6643</v>
      </c>
      <c r="C296" t="s">
        <v>74</v>
      </c>
      <c r="D296" t="s">
        <v>74</v>
      </c>
      <c r="E296" t="s">
        <v>74</v>
      </c>
      <c r="F296" t="s">
        <v>6644</v>
      </c>
      <c r="G296" t="s">
        <v>74</v>
      </c>
      <c r="H296" t="s">
        <v>74</v>
      </c>
      <c r="I296" t="s">
        <v>6645</v>
      </c>
      <c r="J296" t="s">
        <v>171</v>
      </c>
      <c r="K296" t="s">
        <v>74</v>
      </c>
      <c r="L296" t="s">
        <v>74</v>
      </c>
      <c r="M296" t="s">
        <v>74</v>
      </c>
      <c r="N296" t="s">
        <v>74</v>
      </c>
      <c r="O296" t="s">
        <v>74</v>
      </c>
      <c r="P296" t="s">
        <v>74</v>
      </c>
      <c r="Q296" t="s">
        <v>74</v>
      </c>
      <c r="R296" t="s">
        <v>74</v>
      </c>
      <c r="S296" t="s">
        <v>74</v>
      </c>
      <c r="T296" t="s">
        <v>74</v>
      </c>
      <c r="U296" t="s">
        <v>74</v>
      </c>
      <c r="V296" s="3" t="s">
        <v>6646</v>
      </c>
      <c r="W296" t="s">
        <v>74</v>
      </c>
      <c r="X296" t="s">
        <v>74</v>
      </c>
      <c r="Y296" t="s">
        <v>74</v>
      </c>
      <c r="Z296" t="s">
        <v>74</v>
      </c>
      <c r="AA296" t="s">
        <v>74</v>
      </c>
      <c r="AB296" t="s">
        <v>6647</v>
      </c>
      <c r="AC296" t="s">
        <v>74</v>
      </c>
      <c r="AD296" t="s">
        <v>74</v>
      </c>
      <c r="AE296" t="s">
        <v>74</v>
      </c>
      <c r="AF296" t="s">
        <v>74</v>
      </c>
      <c r="AG296" t="s">
        <v>74</v>
      </c>
      <c r="AH296" t="s">
        <v>74</v>
      </c>
      <c r="AI296" t="s">
        <v>74</v>
      </c>
      <c r="AJ296" t="s">
        <v>74</v>
      </c>
      <c r="AK296" t="s">
        <v>74</v>
      </c>
      <c r="AL296" t="s">
        <v>74</v>
      </c>
      <c r="AM296" t="s">
        <v>74</v>
      </c>
      <c r="AN296" t="s">
        <v>74</v>
      </c>
      <c r="AO296" t="s">
        <v>173</v>
      </c>
      <c r="AP296" t="s">
        <v>174</v>
      </c>
      <c r="AQ296" t="s">
        <v>74</v>
      </c>
      <c r="AR296" t="s">
        <v>74</v>
      </c>
      <c r="AS296" t="s">
        <v>74</v>
      </c>
      <c r="AT296" t="s">
        <v>6648</v>
      </c>
      <c r="AU296">
        <v>2023</v>
      </c>
      <c r="AV296">
        <v>77</v>
      </c>
      <c r="AW296">
        <v>10</v>
      </c>
      <c r="AX296" t="s">
        <v>74</v>
      </c>
      <c r="AY296" t="s">
        <v>74</v>
      </c>
      <c r="AZ296" t="s">
        <v>74</v>
      </c>
      <c r="BA296" t="s">
        <v>74</v>
      </c>
      <c r="BB296">
        <v>2224</v>
      </c>
      <c r="BC296">
        <v>2233</v>
      </c>
      <c r="BD296" t="s">
        <v>74</v>
      </c>
      <c r="BE296" t="s">
        <v>6649</v>
      </c>
      <c r="BF296" t="str">
        <f>HYPERLINK("http://dx.doi.org/10.1093/evolut/qpad134","http://dx.doi.org/10.1093/evolut/qpad134")</f>
        <v>http://dx.doi.org/10.1093/evolut/qpad134</v>
      </c>
      <c r="BG296" t="s">
        <v>74</v>
      </c>
      <c r="BH296" t="s">
        <v>2726</v>
      </c>
      <c r="BI296" t="s">
        <v>74</v>
      </c>
      <c r="BJ296" t="s">
        <v>74</v>
      </c>
      <c r="BK296" t="s">
        <v>74</v>
      </c>
      <c r="BL296" t="s">
        <v>74</v>
      </c>
      <c r="BM296" t="s">
        <v>74</v>
      </c>
      <c r="BN296">
        <v>37482374</v>
      </c>
      <c r="BO296" t="s">
        <v>74</v>
      </c>
      <c r="BP296" t="s">
        <v>74</v>
      </c>
      <c r="BQ296" t="s">
        <v>74</v>
      </c>
      <c r="BR296" t="s">
        <v>74</v>
      </c>
      <c r="BS296" t="s">
        <v>6650</v>
      </c>
      <c r="BT296" t="str">
        <f>HYPERLINK("https%3A%2F%2Fwww.webofscience.com%2Fwos%2Fwoscc%2Ffull-record%2FWOS:001050661400001","View Full Record in Web of Science")</f>
        <v>View Full Record in Web of Science</v>
      </c>
    </row>
    <row r="297" spans="1:72" x14ac:dyDescent="0.4">
      <c r="A297" t="s">
        <v>72</v>
      </c>
      <c r="B297" t="s">
        <v>5331</v>
      </c>
      <c r="C297" t="s">
        <v>74</v>
      </c>
      <c r="D297" t="s">
        <v>74</v>
      </c>
      <c r="E297" t="s">
        <v>74</v>
      </c>
      <c r="F297" t="s">
        <v>5331</v>
      </c>
      <c r="G297" t="s">
        <v>74</v>
      </c>
      <c r="H297" t="s">
        <v>74</v>
      </c>
      <c r="I297" t="s">
        <v>5332</v>
      </c>
      <c r="J297" t="s">
        <v>5333</v>
      </c>
      <c r="K297" t="s">
        <v>74</v>
      </c>
      <c r="L297" t="s">
        <v>74</v>
      </c>
      <c r="M297" t="s">
        <v>74</v>
      </c>
      <c r="N297" t="s">
        <v>74</v>
      </c>
      <c r="O297" t="s">
        <v>74</v>
      </c>
      <c r="P297" t="s">
        <v>74</v>
      </c>
      <c r="Q297" t="s">
        <v>74</v>
      </c>
      <c r="R297" t="s">
        <v>74</v>
      </c>
      <c r="S297" t="s">
        <v>74</v>
      </c>
      <c r="T297" t="s">
        <v>74</v>
      </c>
      <c r="U297" t="s">
        <v>74</v>
      </c>
      <c r="V297" s="3" t="s">
        <v>5334</v>
      </c>
      <c r="W297" t="s">
        <v>74</v>
      </c>
      <c r="X297" t="s">
        <v>74</v>
      </c>
      <c r="Y297" t="s">
        <v>74</v>
      </c>
      <c r="Z297" t="s">
        <v>74</v>
      </c>
      <c r="AA297" t="s">
        <v>74</v>
      </c>
      <c r="AB297" t="s">
        <v>74</v>
      </c>
      <c r="AC297" t="s">
        <v>74</v>
      </c>
      <c r="AD297" t="s">
        <v>74</v>
      </c>
      <c r="AE297" t="s">
        <v>74</v>
      </c>
      <c r="AF297" t="s">
        <v>74</v>
      </c>
      <c r="AG297" t="s">
        <v>74</v>
      </c>
      <c r="AH297" t="s">
        <v>74</v>
      </c>
      <c r="AI297" t="s">
        <v>74</v>
      </c>
      <c r="AJ297" t="s">
        <v>74</v>
      </c>
      <c r="AK297" t="s">
        <v>74</v>
      </c>
      <c r="AL297" t="s">
        <v>74</v>
      </c>
      <c r="AM297" t="s">
        <v>74</v>
      </c>
      <c r="AN297" t="s">
        <v>74</v>
      </c>
      <c r="AO297" t="s">
        <v>5335</v>
      </c>
      <c r="AP297" t="s">
        <v>74</v>
      </c>
      <c r="AQ297" t="s">
        <v>74</v>
      </c>
      <c r="AR297" t="s">
        <v>74</v>
      </c>
      <c r="AS297" t="s">
        <v>74</v>
      </c>
      <c r="AT297" t="s">
        <v>74</v>
      </c>
      <c r="AU297">
        <v>1981</v>
      </c>
      <c r="AV297">
        <v>46</v>
      </c>
      <c r="AW297">
        <v>3</v>
      </c>
      <c r="AX297" t="s">
        <v>74</v>
      </c>
      <c r="AY297" t="s">
        <v>74</v>
      </c>
      <c r="AZ297" t="s">
        <v>74</v>
      </c>
      <c r="BA297" t="s">
        <v>74</v>
      </c>
      <c r="BB297">
        <v>151</v>
      </c>
      <c r="BC297">
        <v>161</v>
      </c>
      <c r="BD297" t="s">
        <v>74</v>
      </c>
      <c r="BE297" t="s">
        <v>74</v>
      </c>
      <c r="BF297" t="s">
        <v>74</v>
      </c>
      <c r="BG297" t="s">
        <v>74</v>
      </c>
      <c r="BH297" t="s">
        <v>74</v>
      </c>
      <c r="BI297" t="s">
        <v>74</v>
      </c>
      <c r="BJ297" t="s">
        <v>74</v>
      </c>
      <c r="BK297" t="s">
        <v>74</v>
      </c>
      <c r="BL297" t="s">
        <v>74</v>
      </c>
      <c r="BM297" t="s">
        <v>74</v>
      </c>
      <c r="BN297" t="s">
        <v>74</v>
      </c>
      <c r="BO297" t="s">
        <v>74</v>
      </c>
      <c r="BP297" t="s">
        <v>74</v>
      </c>
      <c r="BQ297" t="s">
        <v>74</v>
      </c>
      <c r="BR297" t="s">
        <v>74</v>
      </c>
      <c r="BS297" t="s">
        <v>5336</v>
      </c>
      <c r="BT297" t="str">
        <f>HYPERLINK("https%3A%2F%2Fwww.webofscience.com%2Fwos%2Fwoscc%2Ffull-record%2FWOS:A1981LX86400004","View Full Record in Web of Science")</f>
        <v>View Full Record in Web of Science</v>
      </c>
    </row>
    <row r="298" spans="1:72" x14ac:dyDescent="0.4">
      <c r="A298" t="s">
        <v>72</v>
      </c>
      <c r="B298" t="s">
        <v>3439</v>
      </c>
      <c r="C298" t="s">
        <v>74</v>
      </c>
      <c r="D298" t="s">
        <v>74</v>
      </c>
      <c r="E298" t="s">
        <v>74</v>
      </c>
      <c r="F298" t="s">
        <v>3440</v>
      </c>
      <c r="G298" t="s">
        <v>74</v>
      </c>
      <c r="H298" t="s">
        <v>74</v>
      </c>
      <c r="I298" t="s">
        <v>3441</v>
      </c>
      <c r="J298" t="s">
        <v>763</v>
      </c>
      <c r="K298" t="s">
        <v>74</v>
      </c>
      <c r="L298" t="s">
        <v>74</v>
      </c>
      <c r="M298" t="s">
        <v>74</v>
      </c>
      <c r="N298" t="s">
        <v>74</v>
      </c>
      <c r="O298" t="s">
        <v>74</v>
      </c>
      <c r="P298" t="s">
        <v>74</v>
      </c>
      <c r="Q298" t="s">
        <v>74</v>
      </c>
      <c r="R298" t="s">
        <v>74</v>
      </c>
      <c r="S298" t="s">
        <v>74</v>
      </c>
      <c r="T298" t="s">
        <v>74</v>
      </c>
      <c r="U298" t="s">
        <v>74</v>
      </c>
      <c r="V298" s="3" t="s">
        <v>3442</v>
      </c>
      <c r="W298" t="s">
        <v>74</v>
      </c>
      <c r="X298" t="s">
        <v>74</v>
      </c>
      <c r="Y298" t="s">
        <v>74</v>
      </c>
      <c r="Z298" t="s">
        <v>74</v>
      </c>
      <c r="AA298" t="s">
        <v>3443</v>
      </c>
      <c r="AB298" t="s">
        <v>3444</v>
      </c>
      <c r="AC298" t="s">
        <v>74</v>
      </c>
      <c r="AD298" t="s">
        <v>74</v>
      </c>
      <c r="AE298" t="s">
        <v>74</v>
      </c>
      <c r="AF298" t="s">
        <v>74</v>
      </c>
      <c r="AG298" t="s">
        <v>74</v>
      </c>
      <c r="AH298" t="s">
        <v>74</v>
      </c>
      <c r="AI298" t="s">
        <v>74</v>
      </c>
      <c r="AJ298" t="s">
        <v>74</v>
      </c>
      <c r="AK298" t="s">
        <v>74</v>
      </c>
      <c r="AL298" t="s">
        <v>74</v>
      </c>
      <c r="AM298" t="s">
        <v>74</v>
      </c>
      <c r="AN298" t="s">
        <v>74</v>
      </c>
      <c r="AO298" t="s">
        <v>767</v>
      </c>
      <c r="AP298" t="s">
        <v>768</v>
      </c>
      <c r="AQ298" t="s">
        <v>74</v>
      </c>
      <c r="AR298" t="s">
        <v>74</v>
      </c>
      <c r="AS298" t="s">
        <v>74</v>
      </c>
      <c r="AT298" t="s">
        <v>3445</v>
      </c>
      <c r="AU298">
        <v>2016</v>
      </c>
      <c r="AV298">
        <v>219</v>
      </c>
      <c r="AW298">
        <v>18</v>
      </c>
      <c r="AX298" t="s">
        <v>74</v>
      </c>
      <c r="AY298" t="s">
        <v>74</v>
      </c>
      <c r="AZ298" t="s">
        <v>74</v>
      </c>
      <c r="BA298" t="s">
        <v>74</v>
      </c>
      <c r="BB298">
        <v>2837</v>
      </c>
      <c r="BC298">
        <v>2843</v>
      </c>
      <c r="BD298" t="s">
        <v>74</v>
      </c>
      <c r="BE298" t="s">
        <v>3446</v>
      </c>
      <c r="BF298" t="str">
        <f>HYPERLINK("http://dx.doi.org/10.1242/jeb.137885","http://dx.doi.org/10.1242/jeb.137885")</f>
        <v>http://dx.doi.org/10.1242/jeb.137885</v>
      </c>
      <c r="BG298" t="s">
        <v>74</v>
      </c>
      <c r="BH298" t="s">
        <v>74</v>
      </c>
      <c r="BI298" t="s">
        <v>74</v>
      </c>
      <c r="BJ298" t="s">
        <v>74</v>
      </c>
      <c r="BK298" t="s">
        <v>74</v>
      </c>
      <c r="BL298" t="s">
        <v>74</v>
      </c>
      <c r="BM298" t="s">
        <v>74</v>
      </c>
      <c r="BN298">
        <v>27401761</v>
      </c>
      <c r="BO298" t="s">
        <v>74</v>
      </c>
      <c r="BP298" t="s">
        <v>74</v>
      </c>
      <c r="BQ298" t="s">
        <v>74</v>
      </c>
      <c r="BR298" t="s">
        <v>74</v>
      </c>
      <c r="BS298" t="s">
        <v>3447</v>
      </c>
      <c r="BT298" t="str">
        <f>HYPERLINK("https%3A%2F%2Fwww.webofscience.com%2Fwos%2Fwoscc%2Ffull-record%2FWOS:000384250600015","View Full Record in Web of Science")</f>
        <v>View Full Record in Web of Science</v>
      </c>
    </row>
    <row r="299" spans="1:72" x14ac:dyDescent="0.4">
      <c r="A299" t="s">
        <v>72</v>
      </c>
      <c r="B299" t="s">
        <v>8591</v>
      </c>
      <c r="C299" t="s">
        <v>74</v>
      </c>
      <c r="D299" t="s">
        <v>74</v>
      </c>
      <c r="E299" t="s">
        <v>74</v>
      </c>
      <c r="F299" t="s">
        <v>8591</v>
      </c>
      <c r="G299" t="s">
        <v>74</v>
      </c>
      <c r="H299" t="s">
        <v>74</v>
      </c>
      <c r="I299" t="s">
        <v>8592</v>
      </c>
      <c r="J299" t="s">
        <v>8067</v>
      </c>
      <c r="K299" t="s">
        <v>74</v>
      </c>
      <c r="L299" t="s">
        <v>74</v>
      </c>
      <c r="M299" t="s">
        <v>74</v>
      </c>
      <c r="N299" t="s">
        <v>74</v>
      </c>
      <c r="O299" t="s">
        <v>74</v>
      </c>
      <c r="P299" t="s">
        <v>74</v>
      </c>
      <c r="Q299" t="s">
        <v>74</v>
      </c>
      <c r="R299" t="s">
        <v>74</v>
      </c>
      <c r="S299" t="s">
        <v>74</v>
      </c>
      <c r="T299" t="s">
        <v>74</v>
      </c>
      <c r="U299" t="s">
        <v>74</v>
      </c>
      <c r="V299" s="3" t="s">
        <v>8593</v>
      </c>
      <c r="W299" t="s">
        <v>74</v>
      </c>
      <c r="X299" t="s">
        <v>74</v>
      </c>
      <c r="Y299" t="s">
        <v>74</v>
      </c>
      <c r="Z299" t="s">
        <v>74</v>
      </c>
      <c r="AA299" t="s">
        <v>8594</v>
      </c>
      <c r="AB299" t="s">
        <v>8595</v>
      </c>
      <c r="AC299" t="s">
        <v>74</v>
      </c>
      <c r="AD299" t="s">
        <v>74</v>
      </c>
      <c r="AE299" t="s">
        <v>74</v>
      </c>
      <c r="AF299" t="s">
        <v>74</v>
      </c>
      <c r="AG299" t="s">
        <v>74</v>
      </c>
      <c r="AH299" t="s">
        <v>74</v>
      </c>
      <c r="AI299" t="s">
        <v>74</v>
      </c>
      <c r="AJ299" t="s">
        <v>74</v>
      </c>
      <c r="AK299" t="s">
        <v>74</v>
      </c>
      <c r="AL299" t="s">
        <v>74</v>
      </c>
      <c r="AM299" t="s">
        <v>74</v>
      </c>
      <c r="AN299" t="s">
        <v>74</v>
      </c>
      <c r="AO299" t="s">
        <v>8071</v>
      </c>
      <c r="AP299" t="s">
        <v>74</v>
      </c>
      <c r="AQ299" t="s">
        <v>74</v>
      </c>
      <c r="AR299" t="s">
        <v>74</v>
      </c>
      <c r="AS299" t="s">
        <v>74</v>
      </c>
      <c r="AT299" t="s">
        <v>305</v>
      </c>
      <c r="AU299">
        <v>1995</v>
      </c>
      <c r="AV299">
        <v>189</v>
      </c>
      <c r="AW299">
        <v>3</v>
      </c>
      <c r="AX299" t="s">
        <v>74</v>
      </c>
      <c r="AY299" t="s">
        <v>74</v>
      </c>
      <c r="AZ299" t="s">
        <v>74</v>
      </c>
      <c r="BA299" t="s">
        <v>74</v>
      </c>
      <c r="BB299">
        <v>288</v>
      </c>
      <c r="BC299">
        <v>297</v>
      </c>
      <c r="BD299" t="s">
        <v>74</v>
      </c>
      <c r="BE299" t="s">
        <v>8596</v>
      </c>
      <c r="BF299" t="str">
        <f>HYPERLINK("http://dx.doi.org/10.2307/1542146","http://dx.doi.org/10.2307/1542146")</f>
        <v>http://dx.doi.org/10.2307/1542146</v>
      </c>
      <c r="BG299" t="s">
        <v>74</v>
      </c>
      <c r="BH299" t="s">
        <v>74</v>
      </c>
      <c r="BI299" t="s">
        <v>74</v>
      </c>
      <c r="BJ299" t="s">
        <v>74</v>
      </c>
      <c r="BK299" t="s">
        <v>74</v>
      </c>
      <c r="BL299" t="s">
        <v>74</v>
      </c>
      <c r="BM299" t="s">
        <v>74</v>
      </c>
      <c r="BN299">
        <v>29244570</v>
      </c>
      <c r="BO299" t="s">
        <v>74</v>
      </c>
      <c r="BP299" t="s">
        <v>74</v>
      </c>
      <c r="BQ299" t="s">
        <v>74</v>
      </c>
      <c r="BR299" t="s">
        <v>74</v>
      </c>
      <c r="BS299" t="s">
        <v>8597</v>
      </c>
      <c r="BT299" t="str">
        <f>HYPERLINK("https%3A%2F%2Fwww.webofscience.com%2Fwos%2Fwoscc%2Ffull-record%2FWOS:A1995TL76800004","View Full Record in Web of Science")</f>
        <v>View Full Record in Web of Science</v>
      </c>
    </row>
    <row r="300" spans="1:72" x14ac:dyDescent="0.4">
      <c r="A300" t="s">
        <v>72</v>
      </c>
      <c r="B300" t="s">
        <v>6529</v>
      </c>
      <c r="C300" t="s">
        <v>74</v>
      </c>
      <c r="D300" t="s">
        <v>74</v>
      </c>
      <c r="E300" t="s">
        <v>74</v>
      </c>
      <c r="F300" t="s">
        <v>6530</v>
      </c>
      <c r="G300" t="s">
        <v>74</v>
      </c>
      <c r="H300" t="s">
        <v>74</v>
      </c>
      <c r="I300" t="s">
        <v>6531</v>
      </c>
      <c r="J300" t="s">
        <v>1302</v>
      </c>
      <c r="K300" t="s">
        <v>74</v>
      </c>
      <c r="L300" t="s">
        <v>74</v>
      </c>
      <c r="M300" t="s">
        <v>74</v>
      </c>
      <c r="N300" t="s">
        <v>74</v>
      </c>
      <c r="O300" t="s">
        <v>74</v>
      </c>
      <c r="P300" t="s">
        <v>74</v>
      </c>
      <c r="Q300" t="s">
        <v>74</v>
      </c>
      <c r="R300" t="s">
        <v>74</v>
      </c>
      <c r="S300" t="s">
        <v>74</v>
      </c>
      <c r="T300" t="s">
        <v>74</v>
      </c>
      <c r="U300" t="s">
        <v>74</v>
      </c>
      <c r="V300" s="3" t="s">
        <v>6532</v>
      </c>
      <c r="W300" t="s">
        <v>74</v>
      </c>
      <c r="X300" t="s">
        <v>74</v>
      </c>
      <c r="Y300" t="s">
        <v>74</v>
      </c>
      <c r="Z300" t="s">
        <v>74</v>
      </c>
      <c r="AA300" t="s">
        <v>74</v>
      </c>
      <c r="AB300" t="s">
        <v>6533</v>
      </c>
      <c r="AC300" t="s">
        <v>74</v>
      </c>
      <c r="AD300" t="s">
        <v>74</v>
      </c>
      <c r="AE300" t="s">
        <v>74</v>
      </c>
      <c r="AF300" t="s">
        <v>74</v>
      </c>
      <c r="AG300" t="s">
        <v>74</v>
      </c>
      <c r="AH300" t="s">
        <v>74</v>
      </c>
      <c r="AI300" t="s">
        <v>74</v>
      </c>
      <c r="AJ300" t="s">
        <v>74</v>
      </c>
      <c r="AK300" t="s">
        <v>74</v>
      </c>
      <c r="AL300" t="s">
        <v>74</v>
      </c>
      <c r="AM300" t="s">
        <v>74</v>
      </c>
      <c r="AN300" t="s">
        <v>74</v>
      </c>
      <c r="AO300" t="s">
        <v>1306</v>
      </c>
      <c r="AP300" t="s">
        <v>74</v>
      </c>
      <c r="AQ300" t="s">
        <v>74</v>
      </c>
      <c r="AR300" t="s">
        <v>74</v>
      </c>
      <c r="AS300" t="s">
        <v>74</v>
      </c>
      <c r="AT300" t="s">
        <v>74</v>
      </c>
      <c r="AU300">
        <v>2022</v>
      </c>
      <c r="AV300">
        <v>20</v>
      </c>
      <c r="AW300">
        <v>4</v>
      </c>
      <c r="AX300" t="s">
        <v>74</v>
      </c>
      <c r="AY300" t="s">
        <v>74</v>
      </c>
      <c r="AZ300" t="s">
        <v>74</v>
      </c>
      <c r="BA300" t="s">
        <v>74</v>
      </c>
      <c r="BB300" t="s">
        <v>74</v>
      </c>
      <c r="BC300" t="s">
        <v>74</v>
      </c>
      <c r="BD300" t="s">
        <v>6534</v>
      </c>
      <c r="BE300" t="s">
        <v>6535</v>
      </c>
      <c r="BF300" t="str">
        <f>HYPERLINK("http://dx.doi.org/10.1590/1982-0224-2022-0067","http://dx.doi.org/10.1590/1982-0224-2022-0067")</f>
        <v>http://dx.doi.org/10.1590/1982-0224-2022-0067</v>
      </c>
      <c r="BG300" t="s">
        <v>74</v>
      </c>
      <c r="BH300" t="s">
        <v>74</v>
      </c>
      <c r="BI300" t="s">
        <v>74</v>
      </c>
      <c r="BJ300" t="s">
        <v>74</v>
      </c>
      <c r="BK300" t="s">
        <v>74</v>
      </c>
      <c r="BL300" t="s">
        <v>74</v>
      </c>
      <c r="BM300" t="s">
        <v>74</v>
      </c>
      <c r="BN300" t="s">
        <v>74</v>
      </c>
      <c r="BO300" t="s">
        <v>74</v>
      </c>
      <c r="BP300" t="s">
        <v>74</v>
      </c>
      <c r="BQ300" t="s">
        <v>74</v>
      </c>
      <c r="BR300" t="s">
        <v>74</v>
      </c>
      <c r="BS300" t="s">
        <v>6536</v>
      </c>
      <c r="BT300" t="str">
        <f>HYPERLINK("https%3A%2F%2Fwww.webofscience.com%2Fwos%2Fwoscc%2Ffull-record%2FWOS:000889065500001","View Full Record in Web of Science")</f>
        <v>View Full Record in Web of Science</v>
      </c>
    </row>
    <row r="301" spans="1:72" x14ac:dyDescent="0.4">
      <c r="A301" t="s">
        <v>72</v>
      </c>
      <c r="B301" t="s">
        <v>5890</v>
      </c>
      <c r="C301" t="s">
        <v>74</v>
      </c>
      <c r="D301" t="s">
        <v>74</v>
      </c>
      <c r="E301" t="s">
        <v>74</v>
      </c>
      <c r="F301" t="s">
        <v>5890</v>
      </c>
      <c r="G301" t="s">
        <v>74</v>
      </c>
      <c r="H301" t="s">
        <v>74</v>
      </c>
      <c r="I301" t="s">
        <v>5891</v>
      </c>
      <c r="J301" t="s">
        <v>367</v>
      </c>
      <c r="K301" t="s">
        <v>74</v>
      </c>
      <c r="L301" t="s">
        <v>74</v>
      </c>
      <c r="M301" t="s">
        <v>74</v>
      </c>
      <c r="N301" t="s">
        <v>74</v>
      </c>
      <c r="O301" t="s">
        <v>74</v>
      </c>
      <c r="P301" t="s">
        <v>74</v>
      </c>
      <c r="Q301" t="s">
        <v>74</v>
      </c>
      <c r="R301" t="s">
        <v>74</v>
      </c>
      <c r="S301" t="s">
        <v>74</v>
      </c>
      <c r="T301" t="s">
        <v>74</v>
      </c>
      <c r="U301" t="s">
        <v>74</v>
      </c>
      <c r="V301" s="3" t="s">
        <v>5892</v>
      </c>
      <c r="W301" t="s">
        <v>74</v>
      </c>
      <c r="X301" t="s">
        <v>74</v>
      </c>
      <c r="Y301" t="s">
        <v>74</v>
      </c>
      <c r="Z301" t="s">
        <v>74</v>
      </c>
      <c r="AA301" t="s">
        <v>74</v>
      </c>
      <c r="AB301" t="s">
        <v>74</v>
      </c>
      <c r="AC301" t="s">
        <v>74</v>
      </c>
      <c r="AD301" t="s">
        <v>74</v>
      </c>
      <c r="AE301" t="s">
        <v>74</v>
      </c>
      <c r="AF301" t="s">
        <v>74</v>
      </c>
      <c r="AG301" t="s">
        <v>74</v>
      </c>
      <c r="AH301" t="s">
        <v>74</v>
      </c>
      <c r="AI301" t="s">
        <v>74</v>
      </c>
      <c r="AJ301" t="s">
        <v>74</v>
      </c>
      <c r="AK301" t="s">
        <v>74</v>
      </c>
      <c r="AL301" t="s">
        <v>74</v>
      </c>
      <c r="AM301" t="s">
        <v>74</v>
      </c>
      <c r="AN301" t="s">
        <v>74</v>
      </c>
      <c r="AO301" t="s">
        <v>371</v>
      </c>
      <c r="AP301" t="s">
        <v>74</v>
      </c>
      <c r="AQ301" t="s">
        <v>74</v>
      </c>
      <c r="AR301" t="s">
        <v>74</v>
      </c>
      <c r="AS301" t="s">
        <v>74</v>
      </c>
      <c r="AT301" t="s">
        <v>102</v>
      </c>
      <c r="AU301">
        <v>1998</v>
      </c>
      <c r="AV301">
        <v>112</v>
      </c>
      <c r="AW301">
        <v>2</v>
      </c>
      <c r="AX301" t="s">
        <v>74</v>
      </c>
      <c r="AY301" t="s">
        <v>74</v>
      </c>
      <c r="AZ301" t="s">
        <v>74</v>
      </c>
      <c r="BA301" t="s">
        <v>74</v>
      </c>
      <c r="BB301">
        <v>170</v>
      </c>
      <c r="BC301">
        <v>182</v>
      </c>
      <c r="BD301" t="s">
        <v>74</v>
      </c>
      <c r="BE301" t="s">
        <v>5893</v>
      </c>
      <c r="BF301" t="str">
        <f>HYPERLINK("http://dx.doi.org/10.1037/0735-7036.112.2.170","http://dx.doi.org/10.1037/0735-7036.112.2.170")</f>
        <v>http://dx.doi.org/10.1037/0735-7036.112.2.170</v>
      </c>
      <c r="BG301" t="s">
        <v>74</v>
      </c>
      <c r="BH301" t="s">
        <v>74</v>
      </c>
      <c r="BI301" t="s">
        <v>74</v>
      </c>
      <c r="BJ301" t="s">
        <v>74</v>
      </c>
      <c r="BK301" t="s">
        <v>74</v>
      </c>
      <c r="BL301" t="s">
        <v>74</v>
      </c>
      <c r="BM301" t="s">
        <v>74</v>
      </c>
      <c r="BN301">
        <v>9642786</v>
      </c>
      <c r="BO301" t="s">
        <v>74</v>
      </c>
      <c r="BP301" t="s">
        <v>74</v>
      </c>
      <c r="BQ301" t="s">
        <v>74</v>
      </c>
      <c r="BR301" t="s">
        <v>74</v>
      </c>
      <c r="BS301" t="s">
        <v>5894</v>
      </c>
      <c r="BT301" t="str">
        <f>HYPERLINK("https%3A%2F%2Fwww.webofscience.com%2Fwos%2Fwoscc%2Ffull-record%2FWOS:000074164800007","View Full Record in Web of Science")</f>
        <v>View Full Record in Web of Science</v>
      </c>
    </row>
    <row r="302" spans="1:72" x14ac:dyDescent="0.4">
      <c r="A302" t="s">
        <v>72</v>
      </c>
      <c r="B302" t="s">
        <v>4463</v>
      </c>
      <c r="C302" t="s">
        <v>74</v>
      </c>
      <c r="D302" t="s">
        <v>74</v>
      </c>
      <c r="E302" t="s">
        <v>74</v>
      </c>
      <c r="F302" t="s">
        <v>4464</v>
      </c>
      <c r="G302" t="s">
        <v>74</v>
      </c>
      <c r="H302" t="s">
        <v>74</v>
      </c>
      <c r="I302" t="s">
        <v>4465</v>
      </c>
      <c r="J302" t="s">
        <v>129</v>
      </c>
      <c r="K302" t="s">
        <v>74</v>
      </c>
      <c r="L302" t="s">
        <v>74</v>
      </c>
      <c r="M302" t="s">
        <v>74</v>
      </c>
      <c r="N302" t="s">
        <v>74</v>
      </c>
      <c r="O302" t="s">
        <v>74</v>
      </c>
      <c r="P302" t="s">
        <v>74</v>
      </c>
      <c r="Q302" t="s">
        <v>74</v>
      </c>
      <c r="R302" t="s">
        <v>74</v>
      </c>
      <c r="S302" t="s">
        <v>74</v>
      </c>
      <c r="T302" t="s">
        <v>74</v>
      </c>
      <c r="U302" t="s">
        <v>74</v>
      </c>
      <c r="V302" s="3" t="s">
        <v>4466</v>
      </c>
      <c r="W302" t="s">
        <v>74</v>
      </c>
      <c r="X302" t="s">
        <v>74</v>
      </c>
      <c r="Y302" t="s">
        <v>74</v>
      </c>
      <c r="Z302" t="s">
        <v>74</v>
      </c>
      <c r="AA302" t="s">
        <v>4467</v>
      </c>
      <c r="AB302" t="s">
        <v>4468</v>
      </c>
      <c r="AC302" t="s">
        <v>74</v>
      </c>
      <c r="AD302" t="s">
        <v>74</v>
      </c>
      <c r="AE302" t="s">
        <v>74</v>
      </c>
      <c r="AF302" t="s">
        <v>74</v>
      </c>
      <c r="AG302" t="s">
        <v>74</v>
      </c>
      <c r="AH302" t="s">
        <v>74</v>
      </c>
      <c r="AI302" t="s">
        <v>74</v>
      </c>
      <c r="AJ302" t="s">
        <v>74</v>
      </c>
      <c r="AK302" t="s">
        <v>74</v>
      </c>
      <c r="AL302" t="s">
        <v>74</v>
      </c>
      <c r="AM302" t="s">
        <v>74</v>
      </c>
      <c r="AN302" t="s">
        <v>74</v>
      </c>
      <c r="AO302" t="s">
        <v>132</v>
      </c>
      <c r="AP302" t="s">
        <v>133</v>
      </c>
      <c r="AQ302" t="s">
        <v>74</v>
      </c>
      <c r="AR302" t="s">
        <v>74</v>
      </c>
      <c r="AS302" t="s">
        <v>74</v>
      </c>
      <c r="AT302" t="s">
        <v>145</v>
      </c>
      <c r="AU302">
        <v>2015</v>
      </c>
      <c r="AV302">
        <v>69</v>
      </c>
      <c r="AW302">
        <v>8</v>
      </c>
      <c r="AX302" t="s">
        <v>74</v>
      </c>
      <c r="AY302" t="s">
        <v>74</v>
      </c>
      <c r="AZ302" t="s">
        <v>74</v>
      </c>
      <c r="BA302" t="s">
        <v>74</v>
      </c>
      <c r="BB302">
        <v>1251</v>
      </c>
      <c r="BC302">
        <v>1264</v>
      </c>
      <c r="BD302" t="s">
        <v>74</v>
      </c>
      <c r="BE302" t="s">
        <v>4469</v>
      </c>
      <c r="BF302" t="str">
        <f>HYPERLINK("http://dx.doi.org/10.1007/s00265-015-1938-5","http://dx.doi.org/10.1007/s00265-015-1938-5")</f>
        <v>http://dx.doi.org/10.1007/s00265-015-1938-5</v>
      </c>
      <c r="BG302" t="s">
        <v>74</v>
      </c>
      <c r="BH302" t="s">
        <v>74</v>
      </c>
      <c r="BI302" t="s">
        <v>74</v>
      </c>
      <c r="BJ302" t="s">
        <v>74</v>
      </c>
      <c r="BK302" t="s">
        <v>74</v>
      </c>
      <c r="BL302" t="s">
        <v>74</v>
      </c>
      <c r="BM302" t="s">
        <v>74</v>
      </c>
      <c r="BN302" t="s">
        <v>74</v>
      </c>
      <c r="BO302" t="s">
        <v>74</v>
      </c>
      <c r="BP302" t="s">
        <v>74</v>
      </c>
      <c r="BQ302" t="s">
        <v>74</v>
      </c>
      <c r="BR302" t="s">
        <v>74</v>
      </c>
      <c r="BS302" t="s">
        <v>4470</v>
      </c>
      <c r="BT302" t="str">
        <f>HYPERLINK("https%3A%2F%2Fwww.webofscience.com%2Fwos%2Fwoscc%2Ffull-record%2FWOS:000358734700002","View Full Record in Web of Science")</f>
        <v>View Full Record in Web of Science</v>
      </c>
    </row>
    <row r="303" spans="1:72" x14ac:dyDescent="0.4">
      <c r="A303" t="s">
        <v>72</v>
      </c>
      <c r="B303" t="s">
        <v>3929</v>
      </c>
      <c r="C303" t="s">
        <v>74</v>
      </c>
      <c r="D303" t="s">
        <v>74</v>
      </c>
      <c r="E303" t="s">
        <v>74</v>
      </c>
      <c r="F303" t="s">
        <v>3930</v>
      </c>
      <c r="G303" t="s">
        <v>74</v>
      </c>
      <c r="H303" t="s">
        <v>74</v>
      </c>
      <c r="I303" t="s">
        <v>3931</v>
      </c>
      <c r="J303" t="s">
        <v>763</v>
      </c>
      <c r="K303" t="s">
        <v>74</v>
      </c>
      <c r="L303" t="s">
        <v>74</v>
      </c>
      <c r="M303" t="s">
        <v>74</v>
      </c>
      <c r="N303" t="s">
        <v>74</v>
      </c>
      <c r="O303" t="s">
        <v>74</v>
      </c>
      <c r="P303" t="s">
        <v>74</v>
      </c>
      <c r="Q303" t="s">
        <v>74</v>
      </c>
      <c r="R303" t="s">
        <v>74</v>
      </c>
      <c r="S303" t="s">
        <v>74</v>
      </c>
      <c r="T303" t="s">
        <v>74</v>
      </c>
      <c r="U303" t="s">
        <v>74</v>
      </c>
      <c r="V303" s="3" t="s">
        <v>3932</v>
      </c>
      <c r="W303" t="s">
        <v>74</v>
      </c>
      <c r="X303" t="s">
        <v>74</v>
      </c>
      <c r="Y303" t="s">
        <v>74</v>
      </c>
      <c r="Z303" t="s">
        <v>74</v>
      </c>
      <c r="AA303" t="s">
        <v>3933</v>
      </c>
      <c r="AB303" t="s">
        <v>3934</v>
      </c>
      <c r="AC303" t="s">
        <v>74</v>
      </c>
      <c r="AD303" t="s">
        <v>74</v>
      </c>
      <c r="AE303" t="s">
        <v>74</v>
      </c>
      <c r="AF303" t="s">
        <v>74</v>
      </c>
      <c r="AG303" t="s">
        <v>74</v>
      </c>
      <c r="AH303" t="s">
        <v>74</v>
      </c>
      <c r="AI303" t="s">
        <v>74</v>
      </c>
      <c r="AJ303" t="s">
        <v>74</v>
      </c>
      <c r="AK303" t="s">
        <v>74</v>
      </c>
      <c r="AL303" t="s">
        <v>74</v>
      </c>
      <c r="AM303" t="s">
        <v>74</v>
      </c>
      <c r="AN303" t="s">
        <v>74</v>
      </c>
      <c r="AO303" t="s">
        <v>767</v>
      </c>
      <c r="AP303" t="s">
        <v>768</v>
      </c>
      <c r="AQ303" t="s">
        <v>74</v>
      </c>
      <c r="AR303" t="s">
        <v>74</v>
      </c>
      <c r="AS303" t="s">
        <v>74</v>
      </c>
      <c r="AT303" t="s">
        <v>134</v>
      </c>
      <c r="AU303">
        <v>2022</v>
      </c>
      <c r="AV303">
        <v>225</v>
      </c>
      <c r="AW303">
        <v>10</v>
      </c>
      <c r="AX303" t="s">
        <v>74</v>
      </c>
      <c r="AY303" t="s">
        <v>74</v>
      </c>
      <c r="AZ303" t="s">
        <v>74</v>
      </c>
      <c r="BA303" t="s">
        <v>74</v>
      </c>
      <c r="BB303" t="s">
        <v>74</v>
      </c>
      <c r="BC303" t="s">
        <v>74</v>
      </c>
      <c r="BD303" t="s">
        <v>3935</v>
      </c>
      <c r="BE303" t="s">
        <v>3936</v>
      </c>
      <c r="BF303" t="str">
        <f>HYPERLINK("http://dx.doi.org/10.1242/jeb.242955","http://dx.doi.org/10.1242/jeb.242955")</f>
        <v>http://dx.doi.org/10.1242/jeb.242955</v>
      </c>
      <c r="BG303" t="s">
        <v>74</v>
      </c>
      <c r="BH303" t="s">
        <v>74</v>
      </c>
      <c r="BI303" t="s">
        <v>74</v>
      </c>
      <c r="BJ303" t="s">
        <v>74</v>
      </c>
      <c r="BK303" t="s">
        <v>74</v>
      </c>
      <c r="BL303" t="s">
        <v>74</v>
      </c>
      <c r="BM303" t="s">
        <v>74</v>
      </c>
      <c r="BN303">
        <v>35514228</v>
      </c>
      <c r="BO303" t="s">
        <v>74</v>
      </c>
      <c r="BP303" t="s">
        <v>74</v>
      </c>
      <c r="BQ303" t="s">
        <v>74</v>
      </c>
      <c r="BR303" t="s">
        <v>74</v>
      </c>
      <c r="BS303" t="s">
        <v>3937</v>
      </c>
      <c r="BT303" t="str">
        <f>HYPERLINK("https%3A%2F%2Fwww.webofscience.com%2Fwos%2Fwoscc%2Ffull-record%2FWOS:000806042900004","View Full Record in Web of Science")</f>
        <v>View Full Record in Web of Science</v>
      </c>
    </row>
    <row r="304" spans="1:72" x14ac:dyDescent="0.4">
      <c r="A304" t="s">
        <v>72</v>
      </c>
      <c r="B304" t="s">
        <v>3304</v>
      </c>
      <c r="C304" t="s">
        <v>74</v>
      </c>
      <c r="D304" t="s">
        <v>74</v>
      </c>
      <c r="E304" t="s">
        <v>74</v>
      </c>
      <c r="F304" t="s">
        <v>3305</v>
      </c>
      <c r="G304" t="s">
        <v>74</v>
      </c>
      <c r="H304" t="s">
        <v>74</v>
      </c>
      <c r="I304" t="s">
        <v>3306</v>
      </c>
      <c r="J304" t="s">
        <v>218</v>
      </c>
      <c r="K304" t="s">
        <v>74</v>
      </c>
      <c r="L304" t="s">
        <v>74</v>
      </c>
      <c r="M304" t="s">
        <v>74</v>
      </c>
      <c r="N304" t="s">
        <v>74</v>
      </c>
      <c r="O304" t="s">
        <v>74</v>
      </c>
      <c r="P304" t="s">
        <v>74</v>
      </c>
      <c r="Q304" t="s">
        <v>74</v>
      </c>
      <c r="R304" t="s">
        <v>74</v>
      </c>
      <c r="S304" t="s">
        <v>74</v>
      </c>
      <c r="T304" t="s">
        <v>74</v>
      </c>
      <c r="U304" t="s">
        <v>74</v>
      </c>
      <c r="V304" s="3" t="s">
        <v>3307</v>
      </c>
      <c r="W304" t="s">
        <v>74</v>
      </c>
      <c r="X304" t="s">
        <v>74</v>
      </c>
      <c r="Y304" t="s">
        <v>74</v>
      </c>
      <c r="Z304" t="s">
        <v>74</v>
      </c>
      <c r="AA304" t="s">
        <v>623</v>
      </c>
      <c r="AB304" t="s">
        <v>1336</v>
      </c>
      <c r="AC304" t="s">
        <v>74</v>
      </c>
      <c r="AD304" t="s">
        <v>74</v>
      </c>
      <c r="AE304" t="s">
        <v>74</v>
      </c>
      <c r="AF304" t="s">
        <v>74</v>
      </c>
      <c r="AG304" t="s">
        <v>74</v>
      </c>
      <c r="AH304" t="s">
        <v>74</v>
      </c>
      <c r="AI304" t="s">
        <v>74</v>
      </c>
      <c r="AJ304" t="s">
        <v>74</v>
      </c>
      <c r="AK304" t="s">
        <v>74</v>
      </c>
      <c r="AL304" t="s">
        <v>74</v>
      </c>
      <c r="AM304" t="s">
        <v>74</v>
      </c>
      <c r="AN304" t="s">
        <v>74</v>
      </c>
      <c r="AO304" t="s">
        <v>221</v>
      </c>
      <c r="AP304" t="s">
        <v>222</v>
      </c>
      <c r="AQ304" t="s">
        <v>74</v>
      </c>
      <c r="AR304" t="s">
        <v>74</v>
      </c>
      <c r="AS304" t="s">
        <v>74</v>
      </c>
      <c r="AT304" t="s">
        <v>145</v>
      </c>
      <c r="AU304">
        <v>2015</v>
      </c>
      <c r="AV304">
        <v>28</v>
      </c>
      <c r="AW304">
        <v>8</v>
      </c>
      <c r="AX304" t="s">
        <v>74</v>
      </c>
      <c r="AY304" t="s">
        <v>74</v>
      </c>
      <c r="AZ304" t="s">
        <v>74</v>
      </c>
      <c r="BA304" t="s">
        <v>74</v>
      </c>
      <c r="BB304">
        <v>1439</v>
      </c>
      <c r="BC304">
        <v>1452</v>
      </c>
      <c r="BD304" t="s">
        <v>74</v>
      </c>
      <c r="BE304" t="s">
        <v>3308</v>
      </c>
      <c r="BF304" t="str">
        <f>HYPERLINK("http://dx.doi.org/10.1111/jeb.12665","http://dx.doi.org/10.1111/jeb.12665")</f>
        <v>http://dx.doi.org/10.1111/jeb.12665</v>
      </c>
      <c r="BG304" t="s">
        <v>74</v>
      </c>
      <c r="BH304" t="s">
        <v>74</v>
      </c>
      <c r="BI304" t="s">
        <v>74</v>
      </c>
      <c r="BJ304" t="s">
        <v>74</v>
      </c>
      <c r="BK304" t="s">
        <v>74</v>
      </c>
      <c r="BL304" t="s">
        <v>74</v>
      </c>
      <c r="BM304" t="s">
        <v>74</v>
      </c>
      <c r="BN304">
        <v>26033550</v>
      </c>
      <c r="BO304" t="s">
        <v>74</v>
      </c>
      <c r="BP304" t="s">
        <v>74</v>
      </c>
      <c r="BQ304" t="s">
        <v>74</v>
      </c>
      <c r="BR304" t="s">
        <v>74</v>
      </c>
      <c r="BS304" t="s">
        <v>3309</v>
      </c>
      <c r="BT304" t="str">
        <f>HYPERLINK("https%3A%2F%2Fwww.webofscience.com%2Fwos%2Fwoscc%2Ffull-record%2FWOS:000359606200002","View Full Record in Web of Science")</f>
        <v>View Full Record in Web of Science</v>
      </c>
    </row>
    <row r="305" spans="1:72" x14ac:dyDescent="0.4">
      <c r="A305" t="s">
        <v>72</v>
      </c>
      <c r="B305" t="s">
        <v>1332</v>
      </c>
      <c r="C305" t="s">
        <v>74</v>
      </c>
      <c r="D305" t="s">
        <v>74</v>
      </c>
      <c r="E305" t="s">
        <v>74</v>
      </c>
      <c r="F305" t="s">
        <v>1333</v>
      </c>
      <c r="G305" t="s">
        <v>74</v>
      </c>
      <c r="H305" t="s">
        <v>74</v>
      </c>
      <c r="I305" t="s">
        <v>1334</v>
      </c>
      <c r="J305" t="s">
        <v>108</v>
      </c>
      <c r="K305" t="s">
        <v>74</v>
      </c>
      <c r="L305" t="s">
        <v>74</v>
      </c>
      <c r="M305" t="s">
        <v>74</v>
      </c>
      <c r="N305" t="s">
        <v>74</v>
      </c>
      <c r="O305" t="s">
        <v>74</v>
      </c>
      <c r="P305" t="s">
        <v>74</v>
      </c>
      <c r="Q305" t="s">
        <v>74</v>
      </c>
      <c r="R305" t="s">
        <v>74</v>
      </c>
      <c r="S305" t="s">
        <v>74</v>
      </c>
      <c r="T305" t="s">
        <v>74</v>
      </c>
      <c r="U305" t="s">
        <v>74</v>
      </c>
      <c r="V305" s="3" t="s">
        <v>1335</v>
      </c>
      <c r="W305" t="s">
        <v>74</v>
      </c>
      <c r="X305" t="s">
        <v>74</v>
      </c>
      <c r="Y305" t="s">
        <v>74</v>
      </c>
      <c r="Z305" t="s">
        <v>74</v>
      </c>
      <c r="AA305" t="s">
        <v>623</v>
      </c>
      <c r="AB305" t="s">
        <v>1336</v>
      </c>
      <c r="AC305" t="s">
        <v>74</v>
      </c>
      <c r="AD305" t="s">
        <v>74</v>
      </c>
      <c r="AE305" t="s">
        <v>74</v>
      </c>
      <c r="AF305" t="s">
        <v>74</v>
      </c>
      <c r="AG305" t="s">
        <v>74</v>
      </c>
      <c r="AH305" t="s">
        <v>74</v>
      </c>
      <c r="AI305" t="s">
        <v>74</v>
      </c>
      <c r="AJ305" t="s">
        <v>74</v>
      </c>
      <c r="AK305" t="s">
        <v>74</v>
      </c>
      <c r="AL305" t="s">
        <v>74</v>
      </c>
      <c r="AM305" t="s">
        <v>74</v>
      </c>
      <c r="AN305" t="s">
        <v>74</v>
      </c>
      <c r="AO305" t="s">
        <v>111</v>
      </c>
      <c r="AP305" t="s">
        <v>112</v>
      </c>
      <c r="AQ305" t="s">
        <v>74</v>
      </c>
      <c r="AR305" t="s">
        <v>74</v>
      </c>
      <c r="AS305" t="s">
        <v>74</v>
      </c>
      <c r="AT305" t="s">
        <v>939</v>
      </c>
      <c r="AU305">
        <v>2014</v>
      </c>
      <c r="AV305">
        <v>281</v>
      </c>
      <c r="AW305">
        <v>1796</v>
      </c>
      <c r="AX305" t="s">
        <v>74</v>
      </c>
      <c r="AY305" t="s">
        <v>74</v>
      </c>
      <c r="AZ305" t="s">
        <v>74</v>
      </c>
      <c r="BA305" t="s">
        <v>74</v>
      </c>
      <c r="BB305" t="s">
        <v>74</v>
      </c>
      <c r="BC305" t="s">
        <v>74</v>
      </c>
      <c r="BD305">
        <v>20141737</v>
      </c>
      <c r="BE305" t="s">
        <v>1337</v>
      </c>
      <c r="BF305" t="str">
        <f>HYPERLINK("http://dx.doi.org/10.1098/rspb.2014.1737","http://dx.doi.org/10.1098/rspb.2014.1737")</f>
        <v>http://dx.doi.org/10.1098/rspb.2014.1737</v>
      </c>
      <c r="BG305" t="s">
        <v>74</v>
      </c>
      <c r="BH305" t="s">
        <v>74</v>
      </c>
      <c r="BI305" t="s">
        <v>74</v>
      </c>
      <c r="BJ305" t="s">
        <v>74</v>
      </c>
      <c r="BK305" t="s">
        <v>74</v>
      </c>
      <c r="BL305" t="s">
        <v>74</v>
      </c>
      <c r="BM305" t="s">
        <v>74</v>
      </c>
      <c r="BN305">
        <v>25339724</v>
      </c>
      <c r="BO305" t="s">
        <v>74</v>
      </c>
      <c r="BP305" t="s">
        <v>74</v>
      </c>
      <c r="BQ305" t="s">
        <v>74</v>
      </c>
      <c r="BR305" t="s">
        <v>74</v>
      </c>
      <c r="BS305" t="s">
        <v>1338</v>
      </c>
      <c r="BT305" t="str">
        <f>HYPERLINK("https%3A%2F%2Fwww.webofscience.com%2Fwos%2Fwoscc%2Ffull-record%2FWOS:000343674500017","View Full Record in Web of Science")</f>
        <v>View Full Record in Web of Science</v>
      </c>
    </row>
    <row r="306" spans="1:72" x14ac:dyDescent="0.4">
      <c r="A306" t="s">
        <v>72</v>
      </c>
      <c r="B306" t="s">
        <v>1979</v>
      </c>
      <c r="C306" t="s">
        <v>74</v>
      </c>
      <c r="D306" t="s">
        <v>74</v>
      </c>
      <c r="E306" t="s">
        <v>74</v>
      </c>
      <c r="F306" t="s">
        <v>1979</v>
      </c>
      <c r="G306" t="s">
        <v>74</v>
      </c>
      <c r="H306" t="s">
        <v>74</v>
      </c>
      <c r="I306" t="s">
        <v>1980</v>
      </c>
      <c r="J306" t="s">
        <v>1981</v>
      </c>
      <c r="K306" t="s">
        <v>74</v>
      </c>
      <c r="L306" t="s">
        <v>74</v>
      </c>
      <c r="M306" t="s">
        <v>74</v>
      </c>
      <c r="N306" t="s">
        <v>74</v>
      </c>
      <c r="O306" t="s">
        <v>74</v>
      </c>
      <c r="P306" t="s">
        <v>74</v>
      </c>
      <c r="Q306" t="s">
        <v>74</v>
      </c>
      <c r="R306" t="s">
        <v>74</v>
      </c>
      <c r="S306" t="s">
        <v>74</v>
      </c>
      <c r="T306" t="s">
        <v>74</v>
      </c>
      <c r="U306" t="s">
        <v>74</v>
      </c>
      <c r="V306" s="3" t="s">
        <v>1982</v>
      </c>
      <c r="W306" t="s">
        <v>74</v>
      </c>
      <c r="X306" t="s">
        <v>74</v>
      </c>
      <c r="Y306" t="s">
        <v>74</v>
      </c>
      <c r="Z306" t="s">
        <v>74</v>
      </c>
      <c r="AA306" t="s">
        <v>74</v>
      </c>
      <c r="AB306" t="s">
        <v>74</v>
      </c>
      <c r="AC306" t="s">
        <v>74</v>
      </c>
      <c r="AD306" t="s">
        <v>74</v>
      </c>
      <c r="AE306" t="s">
        <v>74</v>
      </c>
      <c r="AF306" t="s">
        <v>74</v>
      </c>
      <c r="AG306" t="s">
        <v>74</v>
      </c>
      <c r="AH306" t="s">
        <v>74</v>
      </c>
      <c r="AI306" t="s">
        <v>74</v>
      </c>
      <c r="AJ306" t="s">
        <v>74</v>
      </c>
      <c r="AK306" t="s">
        <v>74</v>
      </c>
      <c r="AL306" t="s">
        <v>74</v>
      </c>
      <c r="AM306" t="s">
        <v>74</v>
      </c>
      <c r="AN306" t="s">
        <v>74</v>
      </c>
      <c r="AO306" t="s">
        <v>1983</v>
      </c>
      <c r="AP306" t="s">
        <v>74</v>
      </c>
      <c r="AQ306" t="s">
        <v>74</v>
      </c>
      <c r="AR306" t="s">
        <v>74</v>
      </c>
      <c r="AS306" t="s">
        <v>74</v>
      </c>
      <c r="AT306" t="s">
        <v>102</v>
      </c>
      <c r="AU306">
        <v>1991</v>
      </c>
      <c r="AV306">
        <v>29</v>
      </c>
      <c r="AW306">
        <v>2</v>
      </c>
      <c r="AX306" t="s">
        <v>74</v>
      </c>
      <c r="AY306" t="s">
        <v>74</v>
      </c>
      <c r="AZ306" t="s">
        <v>74</v>
      </c>
      <c r="BA306" t="s">
        <v>74</v>
      </c>
      <c r="BB306">
        <v>123</v>
      </c>
      <c r="BC306">
        <v>138</v>
      </c>
      <c r="BD306" t="s">
        <v>74</v>
      </c>
      <c r="BE306" t="s">
        <v>74</v>
      </c>
      <c r="BF306" t="s">
        <v>74</v>
      </c>
      <c r="BG306" t="s">
        <v>74</v>
      </c>
      <c r="BH306" t="s">
        <v>74</v>
      </c>
      <c r="BI306" t="s">
        <v>74</v>
      </c>
      <c r="BJ306" t="s">
        <v>74</v>
      </c>
      <c r="BK306" t="s">
        <v>74</v>
      </c>
      <c r="BL306" t="s">
        <v>74</v>
      </c>
      <c r="BM306" t="s">
        <v>74</v>
      </c>
      <c r="BN306" t="s">
        <v>74</v>
      </c>
      <c r="BO306" t="s">
        <v>74</v>
      </c>
      <c r="BP306" t="s">
        <v>74</v>
      </c>
      <c r="BQ306" t="s">
        <v>74</v>
      </c>
      <c r="BR306" t="s">
        <v>74</v>
      </c>
      <c r="BS306" t="s">
        <v>1984</v>
      </c>
      <c r="BT306" t="str">
        <f>HYPERLINK("https%3A%2F%2Fwww.webofscience.com%2Fwos%2Fwoscc%2Ffull-record%2FWOS:A1991FW08800006","View Full Record in Web of Science")</f>
        <v>View Full Record in Web of Science</v>
      </c>
    </row>
    <row r="307" spans="1:72" x14ac:dyDescent="0.4">
      <c r="A307" t="s">
        <v>72</v>
      </c>
      <c r="B307" t="s">
        <v>7477</v>
      </c>
      <c r="C307" t="s">
        <v>74</v>
      </c>
      <c r="D307" t="s">
        <v>74</v>
      </c>
      <c r="E307" t="s">
        <v>74</v>
      </c>
      <c r="F307" t="s">
        <v>7477</v>
      </c>
      <c r="G307" t="s">
        <v>74</v>
      </c>
      <c r="H307" t="s">
        <v>74</v>
      </c>
      <c r="I307" t="s">
        <v>7478</v>
      </c>
      <c r="J307" t="s">
        <v>408</v>
      </c>
      <c r="K307" t="s">
        <v>74</v>
      </c>
      <c r="L307" t="s">
        <v>74</v>
      </c>
      <c r="M307" t="s">
        <v>74</v>
      </c>
      <c r="N307" t="s">
        <v>74</v>
      </c>
      <c r="O307" t="s">
        <v>74</v>
      </c>
      <c r="P307" t="s">
        <v>74</v>
      </c>
      <c r="Q307" t="s">
        <v>74</v>
      </c>
      <c r="R307" t="s">
        <v>74</v>
      </c>
      <c r="S307" t="s">
        <v>74</v>
      </c>
      <c r="T307" t="s">
        <v>74</v>
      </c>
      <c r="U307" t="s">
        <v>74</v>
      </c>
      <c r="V307" s="3" t="s">
        <v>7479</v>
      </c>
      <c r="W307" t="s">
        <v>74</v>
      </c>
      <c r="X307" t="s">
        <v>74</v>
      </c>
      <c r="Y307" t="s">
        <v>74</v>
      </c>
      <c r="Z307" t="s">
        <v>74</v>
      </c>
      <c r="AA307" t="s">
        <v>7480</v>
      </c>
      <c r="AB307" t="s">
        <v>7481</v>
      </c>
      <c r="AC307" t="s">
        <v>74</v>
      </c>
      <c r="AD307" t="s">
        <v>74</v>
      </c>
      <c r="AE307" t="s">
        <v>74</v>
      </c>
      <c r="AF307" t="s">
        <v>74</v>
      </c>
      <c r="AG307" t="s">
        <v>74</v>
      </c>
      <c r="AH307" t="s">
        <v>74</v>
      </c>
      <c r="AI307" t="s">
        <v>74</v>
      </c>
      <c r="AJ307" t="s">
        <v>74</v>
      </c>
      <c r="AK307" t="s">
        <v>74</v>
      </c>
      <c r="AL307" t="s">
        <v>74</v>
      </c>
      <c r="AM307" t="s">
        <v>74</v>
      </c>
      <c r="AN307" t="s">
        <v>74</v>
      </c>
      <c r="AO307" t="s">
        <v>412</v>
      </c>
      <c r="AP307" t="s">
        <v>74</v>
      </c>
      <c r="AQ307" t="s">
        <v>74</v>
      </c>
      <c r="AR307" t="s">
        <v>74</v>
      </c>
      <c r="AS307" t="s">
        <v>74</v>
      </c>
      <c r="AT307" t="s">
        <v>204</v>
      </c>
      <c r="AU307">
        <v>1996</v>
      </c>
      <c r="AV307">
        <v>58</v>
      </c>
      <c r="AW307">
        <v>3</v>
      </c>
      <c r="AX307" t="s">
        <v>74</v>
      </c>
      <c r="AY307" t="s">
        <v>74</v>
      </c>
      <c r="AZ307" t="s">
        <v>74</v>
      </c>
      <c r="BA307" t="s">
        <v>74</v>
      </c>
      <c r="BB307">
        <v>307</v>
      </c>
      <c r="BC307">
        <v>324</v>
      </c>
      <c r="BD307" t="s">
        <v>74</v>
      </c>
      <c r="BE307" t="s">
        <v>7482</v>
      </c>
      <c r="BF307" t="str">
        <f>HYPERLINK("http://dx.doi.org/10.1111/j.1095-8312.1996.tb01437.x","http://dx.doi.org/10.1111/j.1095-8312.1996.tb01437.x")</f>
        <v>http://dx.doi.org/10.1111/j.1095-8312.1996.tb01437.x</v>
      </c>
      <c r="BG307" t="s">
        <v>74</v>
      </c>
      <c r="BH307" t="s">
        <v>74</v>
      </c>
      <c r="BI307" t="s">
        <v>74</v>
      </c>
      <c r="BJ307" t="s">
        <v>74</v>
      </c>
      <c r="BK307" t="s">
        <v>74</v>
      </c>
      <c r="BL307" t="s">
        <v>74</v>
      </c>
      <c r="BM307" t="s">
        <v>74</v>
      </c>
      <c r="BN307" t="s">
        <v>74</v>
      </c>
      <c r="BO307" t="s">
        <v>74</v>
      </c>
      <c r="BP307" t="s">
        <v>74</v>
      </c>
      <c r="BQ307" t="s">
        <v>74</v>
      </c>
      <c r="BR307" t="s">
        <v>74</v>
      </c>
      <c r="BS307" t="s">
        <v>7483</v>
      </c>
      <c r="BT307" t="str">
        <f>HYPERLINK("https%3A%2F%2Fwww.webofscience.com%2Fwos%2Fwoscc%2Ffull-record%2FWOS:A1996UY83000004","View Full Record in Web of Science")</f>
        <v>View Full Record in Web of Science</v>
      </c>
    </row>
    <row r="308" spans="1:72" x14ac:dyDescent="0.4">
      <c r="A308" t="s">
        <v>72</v>
      </c>
      <c r="B308" t="s">
        <v>6091</v>
      </c>
      <c r="C308" t="s">
        <v>74</v>
      </c>
      <c r="D308" t="s">
        <v>74</v>
      </c>
      <c r="E308" t="s">
        <v>74</v>
      </c>
      <c r="F308" t="s">
        <v>6092</v>
      </c>
      <c r="G308" t="s">
        <v>74</v>
      </c>
      <c r="H308" t="s">
        <v>74</v>
      </c>
      <c r="I308" t="s">
        <v>6093</v>
      </c>
      <c r="J308" t="s">
        <v>4064</v>
      </c>
      <c r="K308" t="s">
        <v>74</v>
      </c>
      <c r="L308" t="s">
        <v>74</v>
      </c>
      <c r="M308" t="s">
        <v>74</v>
      </c>
      <c r="N308" t="s">
        <v>74</v>
      </c>
      <c r="O308" t="s">
        <v>74</v>
      </c>
      <c r="P308" t="s">
        <v>74</v>
      </c>
      <c r="Q308" t="s">
        <v>74</v>
      </c>
      <c r="R308" t="s">
        <v>74</v>
      </c>
      <c r="S308" t="s">
        <v>74</v>
      </c>
      <c r="T308" t="s">
        <v>74</v>
      </c>
      <c r="U308" t="s">
        <v>74</v>
      </c>
      <c r="V308" s="3" t="s">
        <v>6094</v>
      </c>
      <c r="W308" t="s">
        <v>74</v>
      </c>
      <c r="X308" t="s">
        <v>74</v>
      </c>
      <c r="Y308" t="s">
        <v>74</v>
      </c>
      <c r="Z308" t="s">
        <v>74</v>
      </c>
      <c r="AA308" t="s">
        <v>74</v>
      </c>
      <c r="AB308" t="s">
        <v>6095</v>
      </c>
      <c r="AC308" t="s">
        <v>74</v>
      </c>
      <c r="AD308" t="s">
        <v>74</v>
      </c>
      <c r="AE308" t="s">
        <v>74</v>
      </c>
      <c r="AF308" t="s">
        <v>74</v>
      </c>
      <c r="AG308" t="s">
        <v>74</v>
      </c>
      <c r="AH308" t="s">
        <v>74</v>
      </c>
      <c r="AI308" t="s">
        <v>74</v>
      </c>
      <c r="AJ308" t="s">
        <v>74</v>
      </c>
      <c r="AK308" t="s">
        <v>74</v>
      </c>
      <c r="AL308" t="s">
        <v>74</v>
      </c>
      <c r="AM308" t="s">
        <v>74</v>
      </c>
      <c r="AN308" t="s">
        <v>74</v>
      </c>
      <c r="AO308" t="s">
        <v>4068</v>
      </c>
      <c r="AP308" t="s">
        <v>4069</v>
      </c>
      <c r="AQ308" t="s">
        <v>74</v>
      </c>
      <c r="AR308" t="s">
        <v>74</v>
      </c>
      <c r="AS308" t="s">
        <v>74</v>
      </c>
      <c r="AT308" t="s">
        <v>6096</v>
      </c>
      <c r="AU308">
        <v>2016</v>
      </c>
      <c r="AV308">
        <v>26</v>
      </c>
      <c r="AW308">
        <v>9</v>
      </c>
      <c r="AX308" t="s">
        <v>74</v>
      </c>
      <c r="AY308" t="s">
        <v>74</v>
      </c>
      <c r="AZ308" t="s">
        <v>74</v>
      </c>
      <c r="BA308" t="s">
        <v>74</v>
      </c>
      <c r="BB308">
        <v>1195</v>
      </c>
      <c r="BC308">
        <v>1199</v>
      </c>
      <c r="BD308" t="s">
        <v>74</v>
      </c>
      <c r="BE308" t="s">
        <v>6097</v>
      </c>
      <c r="BF308" t="str">
        <f>HYPERLINK("http://dx.doi.org/10.1016/j.cub.2016.03.009","http://dx.doi.org/10.1016/j.cub.2016.03.009")</f>
        <v>http://dx.doi.org/10.1016/j.cub.2016.03.009</v>
      </c>
      <c r="BG308" t="s">
        <v>74</v>
      </c>
      <c r="BH308" t="s">
        <v>74</v>
      </c>
      <c r="BI308" t="s">
        <v>74</v>
      </c>
      <c r="BJ308" t="s">
        <v>74</v>
      </c>
      <c r="BK308" t="s">
        <v>74</v>
      </c>
      <c r="BL308" t="s">
        <v>74</v>
      </c>
      <c r="BM308" t="s">
        <v>74</v>
      </c>
      <c r="BN308">
        <v>27133871</v>
      </c>
      <c r="BO308" t="s">
        <v>74</v>
      </c>
      <c r="BP308" t="s">
        <v>74</v>
      </c>
      <c r="BQ308" t="s">
        <v>74</v>
      </c>
      <c r="BR308" t="s">
        <v>74</v>
      </c>
      <c r="BS308" t="s">
        <v>6098</v>
      </c>
      <c r="BT308" t="str">
        <f>HYPERLINK("https%3A%2F%2Fwww.webofscience.com%2Fwos%2Fwoscc%2Ffull-record%2FWOS:000375413700026","View Full Record in Web of Science")</f>
        <v>View Full Record in Web of Science</v>
      </c>
    </row>
    <row r="309" spans="1:72" x14ac:dyDescent="0.4">
      <c r="A309" t="s">
        <v>72</v>
      </c>
      <c r="B309" t="s">
        <v>8037</v>
      </c>
      <c r="C309" t="s">
        <v>74</v>
      </c>
      <c r="D309" t="s">
        <v>74</v>
      </c>
      <c r="E309" t="s">
        <v>74</v>
      </c>
      <c r="F309" t="s">
        <v>8037</v>
      </c>
      <c r="G309" t="s">
        <v>74</v>
      </c>
      <c r="H309" t="s">
        <v>74</v>
      </c>
      <c r="I309" t="s">
        <v>8038</v>
      </c>
      <c r="J309" t="s">
        <v>77</v>
      </c>
      <c r="K309" t="s">
        <v>74</v>
      </c>
      <c r="L309" t="s">
        <v>74</v>
      </c>
      <c r="M309" t="s">
        <v>74</v>
      </c>
      <c r="N309" t="s">
        <v>74</v>
      </c>
      <c r="O309" t="s">
        <v>74</v>
      </c>
      <c r="P309" t="s">
        <v>74</v>
      </c>
      <c r="Q309" t="s">
        <v>74</v>
      </c>
      <c r="R309" t="s">
        <v>74</v>
      </c>
      <c r="S309" t="s">
        <v>74</v>
      </c>
      <c r="T309" t="s">
        <v>74</v>
      </c>
      <c r="U309" t="s">
        <v>74</v>
      </c>
      <c r="V309" s="3" t="s">
        <v>8039</v>
      </c>
      <c r="W309" t="s">
        <v>74</v>
      </c>
      <c r="X309" t="s">
        <v>74</v>
      </c>
      <c r="Y309" t="s">
        <v>74</v>
      </c>
      <c r="Z309" t="s">
        <v>74</v>
      </c>
      <c r="AA309" t="s">
        <v>74</v>
      </c>
      <c r="AB309" t="s">
        <v>74</v>
      </c>
      <c r="AC309" t="s">
        <v>74</v>
      </c>
      <c r="AD309" t="s">
        <v>74</v>
      </c>
      <c r="AE309" t="s">
        <v>74</v>
      </c>
      <c r="AF309" t="s">
        <v>74</v>
      </c>
      <c r="AG309" t="s">
        <v>74</v>
      </c>
      <c r="AH309" t="s">
        <v>74</v>
      </c>
      <c r="AI309" t="s">
        <v>74</v>
      </c>
      <c r="AJ309" t="s">
        <v>74</v>
      </c>
      <c r="AK309" t="s">
        <v>74</v>
      </c>
      <c r="AL309" t="s">
        <v>74</v>
      </c>
      <c r="AM309" t="s">
        <v>74</v>
      </c>
      <c r="AN309" t="s">
        <v>74</v>
      </c>
      <c r="AO309" t="s">
        <v>81</v>
      </c>
      <c r="AP309" t="s">
        <v>74</v>
      </c>
      <c r="AQ309" t="s">
        <v>74</v>
      </c>
      <c r="AR309" t="s">
        <v>74</v>
      </c>
      <c r="AS309" t="s">
        <v>74</v>
      </c>
      <c r="AT309" t="s">
        <v>964</v>
      </c>
      <c r="AU309">
        <v>1997</v>
      </c>
      <c r="AV309">
        <v>134</v>
      </c>
      <c r="AW309" t="s">
        <v>74</v>
      </c>
      <c r="AX309" t="s">
        <v>548</v>
      </c>
      <c r="AY309" t="s">
        <v>74</v>
      </c>
      <c r="AZ309" t="s">
        <v>74</v>
      </c>
      <c r="BA309" t="s">
        <v>74</v>
      </c>
      <c r="BB309">
        <v>127</v>
      </c>
      <c r="BC309">
        <v>142</v>
      </c>
      <c r="BD309" t="s">
        <v>74</v>
      </c>
      <c r="BE309" t="s">
        <v>8040</v>
      </c>
      <c r="BF309" t="str">
        <f>HYPERLINK("http://dx.doi.org/10.1163/156853997X00313","http://dx.doi.org/10.1163/156853997X00313")</f>
        <v>http://dx.doi.org/10.1163/156853997X00313</v>
      </c>
      <c r="BG309" t="s">
        <v>74</v>
      </c>
      <c r="BH309" t="s">
        <v>74</v>
      </c>
      <c r="BI309" t="s">
        <v>74</v>
      </c>
      <c r="BJ309" t="s">
        <v>74</v>
      </c>
      <c r="BK309" t="s">
        <v>74</v>
      </c>
      <c r="BL309" t="s">
        <v>74</v>
      </c>
      <c r="BM309" t="s">
        <v>74</v>
      </c>
      <c r="BN309" t="s">
        <v>74</v>
      </c>
      <c r="BO309" t="s">
        <v>74</v>
      </c>
      <c r="BP309" t="s">
        <v>74</v>
      </c>
      <c r="BQ309" t="s">
        <v>74</v>
      </c>
      <c r="BR309" t="s">
        <v>74</v>
      </c>
      <c r="BS309" t="s">
        <v>8041</v>
      </c>
      <c r="BT309" t="str">
        <f>HYPERLINK("https%3A%2F%2Fwww.webofscience.com%2Fwos%2Fwoscc%2Ffull-record%2FWOS:A1997WJ21600007","View Full Record in Web of Science")</f>
        <v>View Full Record in Web of Science</v>
      </c>
    </row>
    <row r="310" spans="1:72" x14ac:dyDescent="0.4">
      <c r="A310" t="s">
        <v>72</v>
      </c>
      <c r="B310" t="s">
        <v>2659</v>
      </c>
      <c r="C310" t="s">
        <v>74</v>
      </c>
      <c r="D310" t="s">
        <v>74</v>
      </c>
      <c r="E310" t="s">
        <v>74</v>
      </c>
      <c r="F310" t="s">
        <v>2660</v>
      </c>
      <c r="G310" t="s">
        <v>74</v>
      </c>
      <c r="H310" t="s">
        <v>74</v>
      </c>
      <c r="I310" t="s">
        <v>2661</v>
      </c>
      <c r="J310" t="s">
        <v>2662</v>
      </c>
      <c r="K310" t="s">
        <v>74</v>
      </c>
      <c r="L310" t="s">
        <v>74</v>
      </c>
      <c r="M310" t="s">
        <v>74</v>
      </c>
      <c r="N310" t="s">
        <v>74</v>
      </c>
      <c r="O310" t="s">
        <v>74</v>
      </c>
      <c r="P310" t="s">
        <v>74</v>
      </c>
      <c r="Q310" t="s">
        <v>74</v>
      </c>
      <c r="R310" t="s">
        <v>74</v>
      </c>
      <c r="S310" t="s">
        <v>74</v>
      </c>
      <c r="T310" t="s">
        <v>74</v>
      </c>
      <c r="U310" t="s">
        <v>74</v>
      </c>
      <c r="V310" s="3" t="s">
        <v>2663</v>
      </c>
      <c r="W310" t="s">
        <v>74</v>
      </c>
      <c r="X310" t="s">
        <v>74</v>
      </c>
      <c r="Y310" t="s">
        <v>74</v>
      </c>
      <c r="Z310" t="s">
        <v>74</v>
      </c>
      <c r="AA310" t="s">
        <v>74</v>
      </c>
      <c r="AB310" t="s">
        <v>74</v>
      </c>
      <c r="AC310" t="s">
        <v>74</v>
      </c>
      <c r="AD310" t="s">
        <v>74</v>
      </c>
      <c r="AE310" t="s">
        <v>74</v>
      </c>
      <c r="AF310" t="s">
        <v>74</v>
      </c>
      <c r="AG310" t="s">
        <v>74</v>
      </c>
      <c r="AH310" t="s">
        <v>74</v>
      </c>
      <c r="AI310" t="s">
        <v>74</v>
      </c>
      <c r="AJ310" t="s">
        <v>74</v>
      </c>
      <c r="AK310" t="s">
        <v>74</v>
      </c>
      <c r="AL310" t="s">
        <v>74</v>
      </c>
      <c r="AM310" t="s">
        <v>74</v>
      </c>
      <c r="AN310" t="s">
        <v>74</v>
      </c>
      <c r="AO310" t="s">
        <v>2664</v>
      </c>
      <c r="AP310" t="s">
        <v>2665</v>
      </c>
      <c r="AQ310" t="s">
        <v>74</v>
      </c>
      <c r="AR310" t="s">
        <v>74</v>
      </c>
      <c r="AS310" t="s">
        <v>74</v>
      </c>
      <c r="AT310" t="s">
        <v>352</v>
      </c>
      <c r="AU310">
        <v>2014</v>
      </c>
      <c r="AV310">
        <v>48</v>
      </c>
      <c r="AW310">
        <v>3</v>
      </c>
      <c r="AX310" t="s">
        <v>74</v>
      </c>
      <c r="AY310" t="s">
        <v>74</v>
      </c>
      <c r="AZ310" t="s">
        <v>74</v>
      </c>
      <c r="BA310" t="s">
        <v>74</v>
      </c>
      <c r="BB310">
        <v>240</v>
      </c>
      <c r="BC310">
        <v>247</v>
      </c>
      <c r="BD310" t="s">
        <v>74</v>
      </c>
      <c r="BE310" t="s">
        <v>2666</v>
      </c>
      <c r="BF310" t="str">
        <f>HYPERLINK("http://dx.doi.org/10.3356/0892-1016-48.3.240","http://dx.doi.org/10.3356/0892-1016-48.3.240")</f>
        <v>http://dx.doi.org/10.3356/0892-1016-48.3.240</v>
      </c>
      <c r="BG310" t="s">
        <v>74</v>
      </c>
      <c r="BH310" t="s">
        <v>74</v>
      </c>
      <c r="BI310" t="s">
        <v>74</v>
      </c>
      <c r="BJ310" t="s">
        <v>74</v>
      </c>
      <c r="BK310" t="s">
        <v>74</v>
      </c>
      <c r="BL310" t="s">
        <v>74</v>
      </c>
      <c r="BM310" t="s">
        <v>74</v>
      </c>
      <c r="BN310" t="s">
        <v>74</v>
      </c>
      <c r="BO310" t="s">
        <v>74</v>
      </c>
      <c r="BP310" t="s">
        <v>74</v>
      </c>
      <c r="BQ310" t="s">
        <v>74</v>
      </c>
      <c r="BR310" t="s">
        <v>74</v>
      </c>
      <c r="BS310" t="s">
        <v>2667</v>
      </c>
      <c r="BT310" t="str">
        <f>HYPERLINK("https%3A%2F%2Fwww.webofscience.com%2Fwos%2Fwoscc%2Ffull-record%2FWOS:000341096200005","View Full Record in Web of Science")</f>
        <v>View Full Record in Web of Science</v>
      </c>
    </row>
    <row r="311" spans="1:72" x14ac:dyDescent="0.4">
      <c r="A311" t="s">
        <v>72</v>
      </c>
      <c r="B311" t="s">
        <v>1624</v>
      </c>
      <c r="C311" t="s">
        <v>74</v>
      </c>
      <c r="D311" t="s">
        <v>74</v>
      </c>
      <c r="E311" t="s">
        <v>74</v>
      </c>
      <c r="F311" t="s">
        <v>1625</v>
      </c>
      <c r="G311" t="s">
        <v>74</v>
      </c>
      <c r="H311" t="s">
        <v>74</v>
      </c>
      <c r="I311" t="s">
        <v>1626</v>
      </c>
      <c r="J311" t="s">
        <v>129</v>
      </c>
      <c r="K311" t="s">
        <v>74</v>
      </c>
      <c r="L311" t="s">
        <v>74</v>
      </c>
      <c r="M311" t="s">
        <v>74</v>
      </c>
      <c r="N311" t="s">
        <v>74</v>
      </c>
      <c r="O311" t="s">
        <v>74</v>
      </c>
      <c r="P311" t="s">
        <v>74</v>
      </c>
      <c r="Q311" t="s">
        <v>74</v>
      </c>
      <c r="R311" t="s">
        <v>74</v>
      </c>
      <c r="S311" t="s">
        <v>74</v>
      </c>
      <c r="T311" t="s">
        <v>74</v>
      </c>
      <c r="U311" t="s">
        <v>74</v>
      </c>
      <c r="V311" s="3" t="s">
        <v>1627</v>
      </c>
      <c r="W311" t="s">
        <v>74</v>
      </c>
      <c r="X311" t="s">
        <v>74</v>
      </c>
      <c r="Y311" t="s">
        <v>74</v>
      </c>
      <c r="Z311" t="s">
        <v>74</v>
      </c>
      <c r="AA311" t="s">
        <v>74</v>
      </c>
      <c r="AB311" t="s">
        <v>1628</v>
      </c>
      <c r="AC311" t="s">
        <v>74</v>
      </c>
      <c r="AD311" t="s">
        <v>74</v>
      </c>
      <c r="AE311" t="s">
        <v>74</v>
      </c>
      <c r="AF311" t="s">
        <v>74</v>
      </c>
      <c r="AG311" t="s">
        <v>74</v>
      </c>
      <c r="AH311" t="s">
        <v>74</v>
      </c>
      <c r="AI311" t="s">
        <v>74</v>
      </c>
      <c r="AJ311" t="s">
        <v>74</v>
      </c>
      <c r="AK311" t="s">
        <v>74</v>
      </c>
      <c r="AL311" t="s">
        <v>74</v>
      </c>
      <c r="AM311" t="s">
        <v>74</v>
      </c>
      <c r="AN311" t="s">
        <v>74</v>
      </c>
      <c r="AO311" t="s">
        <v>132</v>
      </c>
      <c r="AP311" t="s">
        <v>133</v>
      </c>
      <c r="AQ311" t="s">
        <v>74</v>
      </c>
      <c r="AR311" t="s">
        <v>74</v>
      </c>
      <c r="AS311" t="s">
        <v>74</v>
      </c>
      <c r="AT311" t="s">
        <v>1629</v>
      </c>
      <c r="AU311">
        <v>2020</v>
      </c>
      <c r="AV311">
        <v>74</v>
      </c>
      <c r="AW311">
        <v>10</v>
      </c>
      <c r="AX311" t="s">
        <v>74</v>
      </c>
      <c r="AY311" t="s">
        <v>74</v>
      </c>
      <c r="AZ311" t="s">
        <v>74</v>
      </c>
      <c r="BA311" t="s">
        <v>74</v>
      </c>
      <c r="BB311" t="s">
        <v>74</v>
      </c>
      <c r="BC311" t="s">
        <v>74</v>
      </c>
      <c r="BD311">
        <v>116</v>
      </c>
      <c r="BE311" t="s">
        <v>1630</v>
      </c>
      <c r="BF311" t="str">
        <f>HYPERLINK("http://dx.doi.org/10.1007/s00265-020-02899-w","http://dx.doi.org/10.1007/s00265-020-02899-w")</f>
        <v>http://dx.doi.org/10.1007/s00265-020-02899-w</v>
      </c>
      <c r="BG311" t="s">
        <v>74</v>
      </c>
      <c r="BH311" t="s">
        <v>74</v>
      </c>
      <c r="BI311" t="s">
        <v>74</v>
      </c>
      <c r="BJ311" t="s">
        <v>74</v>
      </c>
      <c r="BK311" t="s">
        <v>74</v>
      </c>
      <c r="BL311" t="s">
        <v>74</v>
      </c>
      <c r="BM311" t="s">
        <v>74</v>
      </c>
      <c r="BN311" t="s">
        <v>74</v>
      </c>
      <c r="BO311" t="s">
        <v>74</v>
      </c>
      <c r="BP311" t="s">
        <v>74</v>
      </c>
      <c r="BQ311" t="s">
        <v>74</v>
      </c>
      <c r="BR311" t="s">
        <v>74</v>
      </c>
      <c r="BS311" t="s">
        <v>1631</v>
      </c>
      <c r="BT311" t="str">
        <f>HYPERLINK("https%3A%2F%2Fwww.webofscience.com%2Fwos%2Fwoscc%2Ffull-record%2FWOS:000565883300001","View Full Record in Web of Science")</f>
        <v>View Full Record in Web of Science</v>
      </c>
    </row>
    <row r="312" spans="1:72" x14ac:dyDescent="0.4">
      <c r="A312" t="s">
        <v>72</v>
      </c>
      <c r="B312" t="s">
        <v>3408</v>
      </c>
      <c r="C312" t="s">
        <v>74</v>
      </c>
      <c r="D312" t="s">
        <v>74</v>
      </c>
      <c r="E312" t="s">
        <v>74</v>
      </c>
      <c r="F312" t="s">
        <v>3409</v>
      </c>
      <c r="G312" t="s">
        <v>74</v>
      </c>
      <c r="H312" t="s">
        <v>74</v>
      </c>
      <c r="I312" t="s">
        <v>3410</v>
      </c>
      <c r="J312" t="s">
        <v>3411</v>
      </c>
      <c r="K312" t="s">
        <v>74</v>
      </c>
      <c r="L312" t="s">
        <v>74</v>
      </c>
      <c r="M312" t="s">
        <v>74</v>
      </c>
      <c r="N312" t="s">
        <v>74</v>
      </c>
      <c r="O312" t="s">
        <v>74</v>
      </c>
      <c r="P312" t="s">
        <v>74</v>
      </c>
      <c r="Q312" t="s">
        <v>74</v>
      </c>
      <c r="R312" t="s">
        <v>74</v>
      </c>
      <c r="S312" t="s">
        <v>74</v>
      </c>
      <c r="T312" t="s">
        <v>74</v>
      </c>
      <c r="U312" t="s">
        <v>74</v>
      </c>
      <c r="V312" s="3" t="s">
        <v>3412</v>
      </c>
      <c r="W312" t="s">
        <v>74</v>
      </c>
      <c r="X312" t="s">
        <v>74</v>
      </c>
      <c r="Y312" t="s">
        <v>74</v>
      </c>
      <c r="Z312" t="s">
        <v>74</v>
      </c>
      <c r="AA312" t="s">
        <v>3413</v>
      </c>
      <c r="AB312" t="s">
        <v>3414</v>
      </c>
      <c r="AC312" t="s">
        <v>74</v>
      </c>
      <c r="AD312" t="s">
        <v>74</v>
      </c>
      <c r="AE312" t="s">
        <v>74</v>
      </c>
      <c r="AF312" t="s">
        <v>74</v>
      </c>
      <c r="AG312" t="s">
        <v>74</v>
      </c>
      <c r="AH312" t="s">
        <v>74</v>
      </c>
      <c r="AI312" t="s">
        <v>74</v>
      </c>
      <c r="AJ312" t="s">
        <v>74</v>
      </c>
      <c r="AK312" t="s">
        <v>74</v>
      </c>
      <c r="AL312" t="s">
        <v>74</v>
      </c>
      <c r="AM312" t="s">
        <v>74</v>
      </c>
      <c r="AN312" t="s">
        <v>74</v>
      </c>
      <c r="AO312" t="s">
        <v>3415</v>
      </c>
      <c r="AP312" t="s">
        <v>3416</v>
      </c>
      <c r="AQ312" t="s">
        <v>74</v>
      </c>
      <c r="AR312" t="s">
        <v>74</v>
      </c>
      <c r="AS312" t="s">
        <v>74</v>
      </c>
      <c r="AT312" t="s">
        <v>74</v>
      </c>
      <c r="AU312">
        <v>2018</v>
      </c>
      <c r="AV312">
        <v>118</v>
      </c>
      <c r="AW312">
        <v>4</v>
      </c>
      <c r="AX312" t="s">
        <v>74</v>
      </c>
      <c r="AY312" t="s">
        <v>74</v>
      </c>
      <c r="AZ312" t="s">
        <v>74</v>
      </c>
      <c r="BA312" t="s">
        <v>74</v>
      </c>
      <c r="BB312">
        <v>369</v>
      </c>
      <c r="BC312">
        <v>374</v>
      </c>
      <c r="BD312" t="s">
        <v>74</v>
      </c>
      <c r="BE312" t="s">
        <v>3417</v>
      </c>
      <c r="BF312" t="str">
        <f>HYPERLINK("http://dx.doi.org/10.1080/01584197.2018.1453304","http://dx.doi.org/10.1080/01584197.2018.1453304")</f>
        <v>http://dx.doi.org/10.1080/01584197.2018.1453304</v>
      </c>
      <c r="BG312" t="s">
        <v>74</v>
      </c>
      <c r="BH312" t="s">
        <v>74</v>
      </c>
      <c r="BI312" t="s">
        <v>74</v>
      </c>
      <c r="BJ312" t="s">
        <v>74</v>
      </c>
      <c r="BK312" t="s">
        <v>74</v>
      </c>
      <c r="BL312" t="s">
        <v>74</v>
      </c>
      <c r="BM312" t="s">
        <v>74</v>
      </c>
      <c r="BN312" t="s">
        <v>74</v>
      </c>
      <c r="BO312" t="s">
        <v>74</v>
      </c>
      <c r="BP312" t="s">
        <v>74</v>
      </c>
      <c r="BQ312" t="s">
        <v>74</v>
      </c>
      <c r="BR312" t="s">
        <v>74</v>
      </c>
      <c r="BS312" t="s">
        <v>3418</v>
      </c>
      <c r="BT312" t="str">
        <f>HYPERLINK("https%3A%2F%2Fwww.webofscience.com%2Fwos%2Fwoscc%2Ffull-record%2FWOS:000451715900007","View Full Record in Web of Science")</f>
        <v>View Full Record in Web of Science</v>
      </c>
    </row>
    <row r="313" spans="1:72" x14ac:dyDescent="0.4">
      <c r="A313" t="s">
        <v>72</v>
      </c>
      <c r="B313" t="s">
        <v>2356</v>
      </c>
      <c r="C313" t="s">
        <v>74</v>
      </c>
      <c r="D313" t="s">
        <v>74</v>
      </c>
      <c r="E313" t="s">
        <v>74</v>
      </c>
      <c r="F313" t="s">
        <v>2357</v>
      </c>
      <c r="G313" t="s">
        <v>74</v>
      </c>
      <c r="H313" t="s">
        <v>74</v>
      </c>
      <c r="I313" t="s">
        <v>2358</v>
      </c>
      <c r="J313" t="s">
        <v>509</v>
      </c>
      <c r="K313" t="s">
        <v>74</v>
      </c>
      <c r="L313" t="s">
        <v>74</v>
      </c>
      <c r="M313" t="s">
        <v>74</v>
      </c>
      <c r="N313" t="s">
        <v>74</v>
      </c>
      <c r="O313" t="s">
        <v>74</v>
      </c>
      <c r="P313" t="s">
        <v>74</v>
      </c>
      <c r="Q313" t="s">
        <v>74</v>
      </c>
      <c r="R313" t="s">
        <v>74</v>
      </c>
      <c r="S313" t="s">
        <v>74</v>
      </c>
      <c r="T313" t="s">
        <v>74</v>
      </c>
      <c r="U313" t="s">
        <v>74</v>
      </c>
      <c r="V313" s="3" t="s">
        <v>2359</v>
      </c>
      <c r="W313" t="s">
        <v>74</v>
      </c>
      <c r="X313" t="s">
        <v>74</v>
      </c>
      <c r="Y313" t="s">
        <v>74</v>
      </c>
      <c r="Z313" t="s">
        <v>74</v>
      </c>
      <c r="AA313" t="s">
        <v>2360</v>
      </c>
      <c r="AB313" t="s">
        <v>2361</v>
      </c>
      <c r="AC313" t="s">
        <v>74</v>
      </c>
      <c r="AD313" t="s">
        <v>74</v>
      </c>
      <c r="AE313" t="s">
        <v>74</v>
      </c>
      <c r="AF313" t="s">
        <v>74</v>
      </c>
      <c r="AG313" t="s">
        <v>74</v>
      </c>
      <c r="AH313" t="s">
        <v>74</v>
      </c>
      <c r="AI313" t="s">
        <v>74</v>
      </c>
      <c r="AJ313" t="s">
        <v>74</v>
      </c>
      <c r="AK313" t="s">
        <v>74</v>
      </c>
      <c r="AL313" t="s">
        <v>74</v>
      </c>
      <c r="AM313" t="s">
        <v>74</v>
      </c>
      <c r="AN313" t="s">
        <v>74</v>
      </c>
      <c r="AO313" t="s">
        <v>511</v>
      </c>
      <c r="AP313" t="s">
        <v>512</v>
      </c>
      <c r="AQ313" t="s">
        <v>74</v>
      </c>
      <c r="AR313" t="s">
        <v>74</v>
      </c>
      <c r="AS313" t="s">
        <v>74</v>
      </c>
      <c r="AT313" t="s">
        <v>134</v>
      </c>
      <c r="AU313">
        <v>2015</v>
      </c>
      <c r="AV313">
        <v>71</v>
      </c>
      <c r="AW313" t="s">
        <v>74</v>
      </c>
      <c r="AX313" t="s">
        <v>74</v>
      </c>
      <c r="AY313" t="s">
        <v>74</v>
      </c>
      <c r="AZ313" t="s">
        <v>74</v>
      </c>
      <c r="BA313" t="s">
        <v>74</v>
      </c>
      <c r="BB313">
        <v>10</v>
      </c>
      <c r="BC313">
        <v>15</v>
      </c>
      <c r="BD313" t="s">
        <v>74</v>
      </c>
      <c r="BE313" t="s">
        <v>2362</v>
      </c>
      <c r="BF313" t="str">
        <f>HYPERLINK("http://dx.doi.org/10.1016/j.yhbeh.2015.03.005","http://dx.doi.org/10.1016/j.yhbeh.2015.03.005")</f>
        <v>http://dx.doi.org/10.1016/j.yhbeh.2015.03.005</v>
      </c>
      <c r="BG313" t="s">
        <v>74</v>
      </c>
      <c r="BH313" t="s">
        <v>74</v>
      </c>
      <c r="BI313" t="s">
        <v>74</v>
      </c>
      <c r="BJ313" t="s">
        <v>74</v>
      </c>
      <c r="BK313" t="s">
        <v>74</v>
      </c>
      <c r="BL313" t="s">
        <v>74</v>
      </c>
      <c r="BM313" t="s">
        <v>74</v>
      </c>
      <c r="BN313">
        <v>25840012</v>
      </c>
      <c r="BO313" t="s">
        <v>74</v>
      </c>
      <c r="BP313" t="s">
        <v>74</v>
      </c>
      <c r="BQ313" t="s">
        <v>74</v>
      </c>
      <c r="BR313" t="s">
        <v>74</v>
      </c>
      <c r="BS313" t="s">
        <v>2363</v>
      </c>
      <c r="BT313" t="str">
        <f>HYPERLINK("https%3A%2F%2Fwww.webofscience.com%2Fwos%2Fwoscc%2Ffull-record%2FWOS:000355573500002","View Full Record in Web of Science")</f>
        <v>View Full Record in Web of Science</v>
      </c>
    </row>
    <row r="314" spans="1:72" x14ac:dyDescent="0.4">
      <c r="A314" t="s">
        <v>72</v>
      </c>
      <c r="B314" t="s">
        <v>5806</v>
      </c>
      <c r="C314" t="s">
        <v>74</v>
      </c>
      <c r="D314" t="s">
        <v>74</v>
      </c>
      <c r="E314" t="s">
        <v>74</v>
      </c>
      <c r="F314" t="s">
        <v>5806</v>
      </c>
      <c r="G314" t="s">
        <v>74</v>
      </c>
      <c r="H314" t="s">
        <v>74</v>
      </c>
      <c r="I314" t="s">
        <v>5807</v>
      </c>
      <c r="J314" t="s">
        <v>1533</v>
      </c>
      <c r="K314" t="s">
        <v>74</v>
      </c>
      <c r="L314" t="s">
        <v>74</v>
      </c>
      <c r="M314" t="s">
        <v>74</v>
      </c>
      <c r="N314" t="s">
        <v>74</v>
      </c>
      <c r="O314" t="s">
        <v>74</v>
      </c>
      <c r="P314" t="s">
        <v>74</v>
      </c>
      <c r="Q314" t="s">
        <v>74</v>
      </c>
      <c r="R314" t="s">
        <v>74</v>
      </c>
      <c r="S314" t="s">
        <v>74</v>
      </c>
      <c r="T314" t="s">
        <v>74</v>
      </c>
      <c r="U314" t="s">
        <v>74</v>
      </c>
      <c r="V314" s="3" t="s">
        <v>5808</v>
      </c>
      <c r="W314" t="s">
        <v>74</v>
      </c>
      <c r="X314" t="s">
        <v>74</v>
      </c>
      <c r="Y314" t="s">
        <v>74</v>
      </c>
      <c r="Z314" t="s">
        <v>74</v>
      </c>
      <c r="AA314" t="s">
        <v>74</v>
      </c>
      <c r="AB314" t="s">
        <v>74</v>
      </c>
      <c r="AC314" t="s">
        <v>74</v>
      </c>
      <c r="AD314" t="s">
        <v>74</v>
      </c>
      <c r="AE314" t="s">
        <v>74</v>
      </c>
      <c r="AF314" t="s">
        <v>74</v>
      </c>
      <c r="AG314" t="s">
        <v>74</v>
      </c>
      <c r="AH314" t="s">
        <v>74</v>
      </c>
      <c r="AI314" t="s">
        <v>74</v>
      </c>
      <c r="AJ314" t="s">
        <v>74</v>
      </c>
      <c r="AK314" t="s">
        <v>74</v>
      </c>
      <c r="AL314" t="s">
        <v>74</v>
      </c>
      <c r="AM314" t="s">
        <v>74</v>
      </c>
      <c r="AN314" t="s">
        <v>74</v>
      </c>
      <c r="AO314" t="s">
        <v>1535</v>
      </c>
      <c r="AP314" t="s">
        <v>1536</v>
      </c>
      <c r="AQ314" t="s">
        <v>74</v>
      </c>
      <c r="AR314" t="s">
        <v>74</v>
      </c>
      <c r="AS314" t="s">
        <v>74</v>
      </c>
      <c r="AT314" t="s">
        <v>74</v>
      </c>
      <c r="AU314">
        <v>1980</v>
      </c>
      <c r="AV314">
        <v>33</v>
      </c>
      <c r="AW314">
        <v>3</v>
      </c>
      <c r="AX314" t="s">
        <v>74</v>
      </c>
      <c r="AY314" t="s">
        <v>74</v>
      </c>
      <c r="AZ314" t="s">
        <v>74</v>
      </c>
      <c r="BA314" t="s">
        <v>74</v>
      </c>
      <c r="BB314">
        <v>383</v>
      </c>
      <c r="BC314">
        <v>395</v>
      </c>
      <c r="BD314" t="s">
        <v>74</v>
      </c>
      <c r="BE314" t="s">
        <v>5809</v>
      </c>
      <c r="BF314" t="str">
        <f>HYPERLINK("http://dx.doi.org/10.1901/jeab.1980.33-383","http://dx.doi.org/10.1901/jeab.1980.33-383")</f>
        <v>http://dx.doi.org/10.1901/jeab.1980.33-383</v>
      </c>
      <c r="BG314" t="s">
        <v>74</v>
      </c>
      <c r="BH314" t="s">
        <v>74</v>
      </c>
      <c r="BI314" t="s">
        <v>74</v>
      </c>
      <c r="BJ314" t="s">
        <v>74</v>
      </c>
      <c r="BK314" t="s">
        <v>74</v>
      </c>
      <c r="BL314" t="s">
        <v>74</v>
      </c>
      <c r="BM314" t="s">
        <v>74</v>
      </c>
      <c r="BN314">
        <v>16812171</v>
      </c>
      <c r="BO314" t="s">
        <v>74</v>
      </c>
      <c r="BP314" t="s">
        <v>74</v>
      </c>
      <c r="BQ314" t="s">
        <v>74</v>
      </c>
      <c r="BR314" t="s">
        <v>74</v>
      </c>
      <c r="BS314" t="s">
        <v>5810</v>
      </c>
      <c r="BT314" t="str">
        <f>HYPERLINK("https%3A%2F%2Fwww.webofscience.com%2Fwos%2Fwoscc%2Ffull-record%2FWOS:A1980JR70200008","View Full Record in Web of Science")</f>
        <v>View Full Record in Web of Science</v>
      </c>
    </row>
    <row r="315" spans="1:72" x14ac:dyDescent="0.4">
      <c r="A315" t="s">
        <v>72</v>
      </c>
      <c r="B315" t="s">
        <v>7332</v>
      </c>
      <c r="C315" t="s">
        <v>74</v>
      </c>
      <c r="D315" t="s">
        <v>74</v>
      </c>
      <c r="E315" t="s">
        <v>74</v>
      </c>
      <c r="F315" t="s">
        <v>7333</v>
      </c>
      <c r="G315" t="s">
        <v>74</v>
      </c>
      <c r="H315" t="s">
        <v>74</v>
      </c>
      <c r="I315" t="s">
        <v>7334</v>
      </c>
      <c r="J315" t="s">
        <v>1384</v>
      </c>
      <c r="K315" t="s">
        <v>74</v>
      </c>
      <c r="L315" t="s">
        <v>74</v>
      </c>
      <c r="M315" t="s">
        <v>74</v>
      </c>
      <c r="N315" t="s">
        <v>74</v>
      </c>
      <c r="O315" t="s">
        <v>74</v>
      </c>
      <c r="P315" t="s">
        <v>74</v>
      </c>
      <c r="Q315" t="s">
        <v>74</v>
      </c>
      <c r="R315" t="s">
        <v>74</v>
      </c>
      <c r="S315" t="s">
        <v>74</v>
      </c>
      <c r="T315" t="s">
        <v>74</v>
      </c>
      <c r="U315" t="s">
        <v>74</v>
      </c>
      <c r="V315" s="3" t="s">
        <v>7335</v>
      </c>
      <c r="W315" t="s">
        <v>74</v>
      </c>
      <c r="X315" t="s">
        <v>74</v>
      </c>
      <c r="Y315" t="s">
        <v>74</v>
      </c>
      <c r="Z315" t="s">
        <v>74</v>
      </c>
      <c r="AA315" t="s">
        <v>7336</v>
      </c>
      <c r="AB315" t="s">
        <v>7337</v>
      </c>
      <c r="AC315" t="s">
        <v>74</v>
      </c>
      <c r="AD315" t="s">
        <v>74</v>
      </c>
      <c r="AE315" t="s">
        <v>74</v>
      </c>
      <c r="AF315" t="s">
        <v>74</v>
      </c>
      <c r="AG315" t="s">
        <v>74</v>
      </c>
      <c r="AH315" t="s">
        <v>74</v>
      </c>
      <c r="AI315" t="s">
        <v>74</v>
      </c>
      <c r="AJ315" t="s">
        <v>74</v>
      </c>
      <c r="AK315" t="s">
        <v>74</v>
      </c>
      <c r="AL315" t="s">
        <v>74</v>
      </c>
      <c r="AM315" t="s">
        <v>74</v>
      </c>
      <c r="AN315" t="s">
        <v>74</v>
      </c>
      <c r="AO315" t="s">
        <v>1388</v>
      </c>
      <c r="AP315" t="s">
        <v>1389</v>
      </c>
      <c r="AQ315" t="s">
        <v>74</v>
      </c>
      <c r="AR315" t="s">
        <v>74</v>
      </c>
      <c r="AS315" t="s">
        <v>74</v>
      </c>
      <c r="AT315" t="s">
        <v>633</v>
      </c>
      <c r="AU315">
        <v>2007</v>
      </c>
      <c r="AV315">
        <v>149</v>
      </c>
      <c r="AW315">
        <v>2</v>
      </c>
      <c r="AX315" t="s">
        <v>74</v>
      </c>
      <c r="AY315" t="s">
        <v>74</v>
      </c>
      <c r="AZ315" t="s">
        <v>74</v>
      </c>
      <c r="BA315" t="s">
        <v>74</v>
      </c>
      <c r="BB315">
        <v>313</v>
      </c>
      <c r="BC315">
        <v>320</v>
      </c>
      <c r="BD315" t="s">
        <v>74</v>
      </c>
      <c r="BE315" t="s">
        <v>7338</v>
      </c>
      <c r="BF315" t="str">
        <f>HYPERLINK("http://dx.doi.org/10.1111/j.1474-919X.2006.00632.x","http://dx.doi.org/10.1111/j.1474-919X.2006.00632.x")</f>
        <v>http://dx.doi.org/10.1111/j.1474-919X.2006.00632.x</v>
      </c>
      <c r="BG315" t="s">
        <v>74</v>
      </c>
      <c r="BH315" t="s">
        <v>74</v>
      </c>
      <c r="BI315" t="s">
        <v>74</v>
      </c>
      <c r="BJ315" t="s">
        <v>74</v>
      </c>
      <c r="BK315" t="s">
        <v>74</v>
      </c>
      <c r="BL315" t="s">
        <v>74</v>
      </c>
      <c r="BM315" t="s">
        <v>74</v>
      </c>
      <c r="BN315" t="s">
        <v>74</v>
      </c>
      <c r="BO315" t="s">
        <v>74</v>
      </c>
      <c r="BP315" t="s">
        <v>74</v>
      </c>
      <c r="BQ315" t="s">
        <v>74</v>
      </c>
      <c r="BR315" t="s">
        <v>74</v>
      </c>
      <c r="BS315" t="s">
        <v>7339</v>
      </c>
      <c r="BT315" t="str">
        <f>HYPERLINK("https%3A%2F%2Fwww.webofscience.com%2Fwos%2Fwoscc%2Ffull-record%2FWOS:000245312000012","View Full Record in Web of Science")</f>
        <v>View Full Record in Web of Science</v>
      </c>
    </row>
    <row r="316" spans="1:72" x14ac:dyDescent="0.4">
      <c r="A316" t="s">
        <v>72</v>
      </c>
      <c r="B316" t="s">
        <v>8550</v>
      </c>
      <c r="C316" t="s">
        <v>74</v>
      </c>
      <c r="D316" t="s">
        <v>74</v>
      </c>
      <c r="E316" t="s">
        <v>74</v>
      </c>
      <c r="F316" t="s">
        <v>8551</v>
      </c>
      <c r="G316" t="s">
        <v>74</v>
      </c>
      <c r="H316" t="s">
        <v>74</v>
      </c>
      <c r="I316" t="s">
        <v>8552</v>
      </c>
      <c r="J316" t="s">
        <v>3595</v>
      </c>
      <c r="K316" t="s">
        <v>74</v>
      </c>
      <c r="L316" t="s">
        <v>74</v>
      </c>
      <c r="M316" t="s">
        <v>74</v>
      </c>
      <c r="N316" t="s">
        <v>74</v>
      </c>
      <c r="O316" t="s">
        <v>74</v>
      </c>
      <c r="P316" t="s">
        <v>74</v>
      </c>
      <c r="Q316" t="s">
        <v>74</v>
      </c>
      <c r="R316" t="s">
        <v>74</v>
      </c>
      <c r="S316" t="s">
        <v>74</v>
      </c>
      <c r="T316" t="s">
        <v>74</v>
      </c>
      <c r="U316" t="s">
        <v>74</v>
      </c>
      <c r="V316" s="3" t="s">
        <v>8553</v>
      </c>
      <c r="W316" t="s">
        <v>74</v>
      </c>
      <c r="X316" t="s">
        <v>74</v>
      </c>
      <c r="Y316" t="s">
        <v>74</v>
      </c>
      <c r="Z316" t="s">
        <v>74</v>
      </c>
      <c r="AA316" t="s">
        <v>74</v>
      </c>
      <c r="AB316" t="s">
        <v>8554</v>
      </c>
      <c r="AC316" t="s">
        <v>74</v>
      </c>
      <c r="AD316" t="s">
        <v>74</v>
      </c>
      <c r="AE316" t="s">
        <v>74</v>
      </c>
      <c r="AF316" t="s">
        <v>74</v>
      </c>
      <c r="AG316" t="s">
        <v>74</v>
      </c>
      <c r="AH316" t="s">
        <v>74</v>
      </c>
      <c r="AI316" t="s">
        <v>74</v>
      </c>
      <c r="AJ316" t="s">
        <v>74</v>
      </c>
      <c r="AK316" t="s">
        <v>74</v>
      </c>
      <c r="AL316" t="s">
        <v>74</v>
      </c>
      <c r="AM316" t="s">
        <v>74</v>
      </c>
      <c r="AN316" t="s">
        <v>74</v>
      </c>
      <c r="AO316" t="s">
        <v>3599</v>
      </c>
      <c r="AP316" t="s">
        <v>3600</v>
      </c>
      <c r="AQ316" t="s">
        <v>74</v>
      </c>
      <c r="AR316" t="s">
        <v>74</v>
      </c>
      <c r="AS316" t="s">
        <v>74</v>
      </c>
      <c r="AT316" t="s">
        <v>134</v>
      </c>
      <c r="AU316">
        <v>2020</v>
      </c>
      <c r="AV316">
        <v>172</v>
      </c>
      <c r="AW316">
        <v>1</v>
      </c>
      <c r="AX316" t="s">
        <v>74</v>
      </c>
      <c r="AY316" t="s">
        <v>74</v>
      </c>
      <c r="AZ316" t="s">
        <v>74</v>
      </c>
      <c r="BA316" t="s">
        <v>74</v>
      </c>
      <c r="BB316">
        <v>140</v>
      </c>
      <c r="BC316">
        <v>147</v>
      </c>
      <c r="BD316" t="s">
        <v>74</v>
      </c>
      <c r="BE316" t="s">
        <v>8555</v>
      </c>
      <c r="BF316" t="str">
        <f>HYPERLINK("http://dx.doi.org/10.1002/ajpa.24049","http://dx.doi.org/10.1002/ajpa.24049")</f>
        <v>http://dx.doi.org/10.1002/ajpa.24049</v>
      </c>
      <c r="BG316" t="s">
        <v>74</v>
      </c>
      <c r="BH316" t="s">
        <v>74</v>
      </c>
      <c r="BI316" t="s">
        <v>74</v>
      </c>
      <c r="BJ316" t="s">
        <v>74</v>
      </c>
      <c r="BK316" t="s">
        <v>74</v>
      </c>
      <c r="BL316" t="s">
        <v>74</v>
      </c>
      <c r="BM316" t="s">
        <v>74</v>
      </c>
      <c r="BN316">
        <v>32170724</v>
      </c>
      <c r="BO316" t="s">
        <v>74</v>
      </c>
      <c r="BP316" t="s">
        <v>74</v>
      </c>
      <c r="BQ316" t="s">
        <v>74</v>
      </c>
      <c r="BR316" t="s">
        <v>74</v>
      </c>
      <c r="BS316" t="s">
        <v>8556</v>
      </c>
      <c r="BT316" t="str">
        <f>HYPERLINK("https%3A%2F%2Fwww.webofscience.com%2Fwos%2Fwoscc%2Ffull-record%2FWOS:000527838500012","View Full Record in Web of Science")</f>
        <v>View Full Record in Web of Science</v>
      </c>
    </row>
    <row r="317" spans="1:72" x14ac:dyDescent="0.4">
      <c r="A317" t="s">
        <v>72</v>
      </c>
      <c r="B317" t="s">
        <v>8114</v>
      </c>
      <c r="C317" t="s">
        <v>74</v>
      </c>
      <c r="D317" t="s">
        <v>74</v>
      </c>
      <c r="E317" t="s">
        <v>74</v>
      </c>
      <c r="F317" t="s">
        <v>8115</v>
      </c>
      <c r="G317" t="s">
        <v>74</v>
      </c>
      <c r="H317" t="s">
        <v>74</v>
      </c>
      <c r="I317" t="s">
        <v>8116</v>
      </c>
      <c r="J317" t="s">
        <v>2662</v>
      </c>
      <c r="K317" t="s">
        <v>74</v>
      </c>
      <c r="L317" t="s">
        <v>74</v>
      </c>
      <c r="M317" t="s">
        <v>74</v>
      </c>
      <c r="N317" t="s">
        <v>74</v>
      </c>
      <c r="O317" t="s">
        <v>74</v>
      </c>
      <c r="P317" t="s">
        <v>74</v>
      </c>
      <c r="Q317" t="s">
        <v>74</v>
      </c>
      <c r="R317" t="s">
        <v>74</v>
      </c>
      <c r="S317" t="s">
        <v>74</v>
      </c>
      <c r="T317" t="s">
        <v>74</v>
      </c>
      <c r="U317" t="s">
        <v>74</v>
      </c>
      <c r="V317" s="3" t="s">
        <v>8117</v>
      </c>
      <c r="W317" t="s">
        <v>74</v>
      </c>
      <c r="X317" t="s">
        <v>74</v>
      </c>
      <c r="Y317" t="s">
        <v>74</v>
      </c>
      <c r="Z317" t="s">
        <v>74</v>
      </c>
      <c r="AA317" t="s">
        <v>74</v>
      </c>
      <c r="AB317" t="s">
        <v>2537</v>
      </c>
      <c r="AC317" t="s">
        <v>74</v>
      </c>
      <c r="AD317" t="s">
        <v>74</v>
      </c>
      <c r="AE317" t="s">
        <v>74</v>
      </c>
      <c r="AF317" t="s">
        <v>74</v>
      </c>
      <c r="AG317" t="s">
        <v>74</v>
      </c>
      <c r="AH317" t="s">
        <v>74</v>
      </c>
      <c r="AI317" t="s">
        <v>74</v>
      </c>
      <c r="AJ317" t="s">
        <v>74</v>
      </c>
      <c r="AK317" t="s">
        <v>74</v>
      </c>
      <c r="AL317" t="s">
        <v>74</v>
      </c>
      <c r="AM317" t="s">
        <v>74</v>
      </c>
      <c r="AN317" t="s">
        <v>74</v>
      </c>
      <c r="AO317" t="s">
        <v>2664</v>
      </c>
      <c r="AP317" t="s">
        <v>2665</v>
      </c>
      <c r="AQ317" t="s">
        <v>74</v>
      </c>
      <c r="AR317" t="s">
        <v>74</v>
      </c>
      <c r="AS317" t="s">
        <v>74</v>
      </c>
      <c r="AT317" t="s">
        <v>123</v>
      </c>
      <c r="AU317">
        <v>2006</v>
      </c>
      <c r="AV317">
        <v>40</v>
      </c>
      <c r="AW317">
        <v>1</v>
      </c>
      <c r="AX317" t="s">
        <v>74</v>
      </c>
      <c r="AY317" t="s">
        <v>74</v>
      </c>
      <c r="AZ317" t="s">
        <v>74</v>
      </c>
      <c r="BA317" t="s">
        <v>74</v>
      </c>
      <c r="BB317">
        <v>1</v>
      </c>
      <c r="BC317">
        <v>28</v>
      </c>
      <c r="BD317" t="s">
        <v>74</v>
      </c>
      <c r="BE317" t="s">
        <v>8118</v>
      </c>
      <c r="BF317" t="str">
        <f>HYPERLINK("http://dx.doi.org/10.3356/0892-1016(2006)40[1:TAFAOG]2.0.CO;2","http://dx.doi.org/10.3356/0892-1016(2006)40[1:TAFAOG]2.0.CO;2")</f>
        <v>http://dx.doi.org/10.3356/0892-1016(2006)40[1:TAFAOG]2.0.CO;2</v>
      </c>
      <c r="BG317" t="s">
        <v>74</v>
      </c>
      <c r="BH317" t="s">
        <v>74</v>
      </c>
      <c r="BI317" t="s">
        <v>74</v>
      </c>
      <c r="BJ317" t="s">
        <v>74</v>
      </c>
      <c r="BK317" t="s">
        <v>74</v>
      </c>
      <c r="BL317" t="s">
        <v>74</v>
      </c>
      <c r="BM317" t="s">
        <v>74</v>
      </c>
      <c r="BN317" t="s">
        <v>74</v>
      </c>
      <c r="BO317" t="s">
        <v>74</v>
      </c>
      <c r="BP317" t="s">
        <v>74</v>
      </c>
      <c r="BQ317" t="s">
        <v>74</v>
      </c>
      <c r="BR317" t="s">
        <v>74</v>
      </c>
      <c r="BS317" t="s">
        <v>8119</v>
      </c>
      <c r="BT317" t="str">
        <f>HYPERLINK("https%3A%2F%2Fwww.webofscience.com%2Fwos%2Fwoscc%2Ffull-record%2FWOS:000237905000001","View Full Record in Web of Science")</f>
        <v>View Full Record in Web of Science</v>
      </c>
    </row>
    <row r="318" spans="1:72" x14ac:dyDescent="0.4">
      <c r="A318" t="s">
        <v>72</v>
      </c>
      <c r="B318" t="s">
        <v>2534</v>
      </c>
      <c r="C318" t="s">
        <v>74</v>
      </c>
      <c r="D318" t="s">
        <v>74</v>
      </c>
      <c r="E318" t="s">
        <v>74</v>
      </c>
      <c r="F318" t="s">
        <v>2534</v>
      </c>
      <c r="G318" t="s">
        <v>74</v>
      </c>
      <c r="H318" t="s">
        <v>74</v>
      </c>
      <c r="I318" t="s">
        <v>2535</v>
      </c>
      <c r="J318" t="s">
        <v>431</v>
      </c>
      <c r="K318" t="s">
        <v>74</v>
      </c>
      <c r="L318" t="s">
        <v>74</v>
      </c>
      <c r="M318" t="s">
        <v>74</v>
      </c>
      <c r="N318" t="s">
        <v>74</v>
      </c>
      <c r="O318" t="s">
        <v>74</v>
      </c>
      <c r="P318" t="s">
        <v>74</v>
      </c>
      <c r="Q318" t="s">
        <v>74</v>
      </c>
      <c r="R318" t="s">
        <v>74</v>
      </c>
      <c r="S318" t="s">
        <v>74</v>
      </c>
      <c r="T318" t="s">
        <v>74</v>
      </c>
      <c r="U318" t="s">
        <v>74</v>
      </c>
      <c r="V318" s="3" t="s">
        <v>2536</v>
      </c>
      <c r="W318" t="s">
        <v>74</v>
      </c>
      <c r="X318" t="s">
        <v>74</v>
      </c>
      <c r="Y318" t="s">
        <v>74</v>
      </c>
      <c r="Z318" t="s">
        <v>74</v>
      </c>
      <c r="AA318" t="s">
        <v>74</v>
      </c>
      <c r="AB318" t="s">
        <v>2537</v>
      </c>
      <c r="AC318" t="s">
        <v>74</v>
      </c>
      <c r="AD318" t="s">
        <v>74</v>
      </c>
      <c r="AE318" t="s">
        <v>74</v>
      </c>
      <c r="AF318" t="s">
        <v>74</v>
      </c>
      <c r="AG318" t="s">
        <v>74</v>
      </c>
      <c r="AH318" t="s">
        <v>74</v>
      </c>
      <c r="AI318" t="s">
        <v>74</v>
      </c>
      <c r="AJ318" t="s">
        <v>74</v>
      </c>
      <c r="AK318" t="s">
        <v>74</v>
      </c>
      <c r="AL318" t="s">
        <v>74</v>
      </c>
      <c r="AM318" t="s">
        <v>74</v>
      </c>
      <c r="AN318" t="s">
        <v>74</v>
      </c>
      <c r="AO318" t="s">
        <v>74</v>
      </c>
      <c r="AP318" t="s">
        <v>435</v>
      </c>
      <c r="AQ318" t="s">
        <v>74</v>
      </c>
      <c r="AR318" t="s">
        <v>74</v>
      </c>
      <c r="AS318" t="s">
        <v>74</v>
      </c>
      <c r="AT318" t="s">
        <v>74</v>
      </c>
      <c r="AU318">
        <v>1983</v>
      </c>
      <c r="AV318">
        <v>100</v>
      </c>
      <c r="AW318">
        <v>2</v>
      </c>
      <c r="AX318" t="s">
        <v>74</v>
      </c>
      <c r="AY318" t="s">
        <v>74</v>
      </c>
      <c r="AZ318" t="s">
        <v>74</v>
      </c>
      <c r="BA318" t="s">
        <v>74</v>
      </c>
      <c r="BB318">
        <v>269</v>
      </c>
      <c r="BC318" t="s">
        <v>726</v>
      </c>
      <c r="BD318" t="s">
        <v>74</v>
      </c>
      <c r="BE318" t="s">
        <v>2538</v>
      </c>
      <c r="BF318" t="str">
        <f>HYPERLINK("http://dx.doi.org/10.1093/auk/100.2.269","http://dx.doi.org/10.1093/auk/100.2.269")</f>
        <v>http://dx.doi.org/10.1093/auk/100.2.269</v>
      </c>
      <c r="BG318" t="s">
        <v>74</v>
      </c>
      <c r="BH318" t="s">
        <v>74</v>
      </c>
      <c r="BI318" t="s">
        <v>74</v>
      </c>
      <c r="BJ318" t="s">
        <v>74</v>
      </c>
      <c r="BK318" t="s">
        <v>74</v>
      </c>
      <c r="BL318" t="s">
        <v>74</v>
      </c>
      <c r="BM318" t="s">
        <v>74</v>
      </c>
      <c r="BN318" t="s">
        <v>74</v>
      </c>
      <c r="BO318" t="s">
        <v>74</v>
      </c>
      <c r="BP318" t="s">
        <v>74</v>
      </c>
      <c r="BQ318" t="s">
        <v>74</v>
      </c>
      <c r="BR318" t="s">
        <v>74</v>
      </c>
      <c r="BS318" t="s">
        <v>2539</v>
      </c>
      <c r="BT318" t="str">
        <f>HYPERLINK("https%3A%2F%2Fwww.webofscience.com%2Fwos%2Fwoscc%2Ffull-record%2FWOS:A1983QX26300001","View Full Record in Web of Science")</f>
        <v>View Full Record in Web of Science</v>
      </c>
    </row>
    <row r="319" spans="1:72" x14ac:dyDescent="0.4">
      <c r="A319" t="s">
        <v>72</v>
      </c>
      <c r="B319" t="s">
        <v>707</v>
      </c>
      <c r="C319" t="s">
        <v>74</v>
      </c>
      <c r="D319" t="s">
        <v>74</v>
      </c>
      <c r="E319" t="s">
        <v>74</v>
      </c>
      <c r="F319" t="s">
        <v>707</v>
      </c>
      <c r="G319" t="s">
        <v>74</v>
      </c>
      <c r="H319" t="s">
        <v>74</v>
      </c>
      <c r="I319" t="s">
        <v>708</v>
      </c>
      <c r="J319" t="s">
        <v>408</v>
      </c>
      <c r="K319" t="s">
        <v>74</v>
      </c>
      <c r="L319" t="s">
        <v>74</v>
      </c>
      <c r="M319" t="s">
        <v>74</v>
      </c>
      <c r="N319" t="s">
        <v>74</v>
      </c>
      <c r="O319" t="s">
        <v>74</v>
      </c>
      <c r="P319" t="s">
        <v>74</v>
      </c>
      <c r="Q319" t="s">
        <v>74</v>
      </c>
      <c r="R319" t="s">
        <v>74</v>
      </c>
      <c r="S319" t="s">
        <v>74</v>
      </c>
      <c r="T319" t="s">
        <v>74</v>
      </c>
      <c r="U319" t="s">
        <v>74</v>
      </c>
      <c r="V319" s="3" t="s">
        <v>709</v>
      </c>
      <c r="W319" t="s">
        <v>74</v>
      </c>
      <c r="X319" t="s">
        <v>74</v>
      </c>
      <c r="Y319" t="s">
        <v>74</v>
      </c>
      <c r="Z319" t="s">
        <v>74</v>
      </c>
      <c r="AA319" t="s">
        <v>710</v>
      </c>
      <c r="AB319" t="s">
        <v>711</v>
      </c>
      <c r="AC319" t="s">
        <v>74</v>
      </c>
      <c r="AD319" t="s">
        <v>74</v>
      </c>
      <c r="AE319" t="s">
        <v>74</v>
      </c>
      <c r="AF319" t="s">
        <v>74</v>
      </c>
      <c r="AG319" t="s">
        <v>74</v>
      </c>
      <c r="AH319" t="s">
        <v>74</v>
      </c>
      <c r="AI319" t="s">
        <v>74</v>
      </c>
      <c r="AJ319" t="s">
        <v>74</v>
      </c>
      <c r="AK319" t="s">
        <v>74</v>
      </c>
      <c r="AL319" t="s">
        <v>74</v>
      </c>
      <c r="AM319" t="s">
        <v>74</v>
      </c>
      <c r="AN319" t="s">
        <v>74</v>
      </c>
      <c r="AO319" t="s">
        <v>412</v>
      </c>
      <c r="AP319" t="s">
        <v>413</v>
      </c>
      <c r="AQ319" t="s">
        <v>74</v>
      </c>
      <c r="AR319" t="s">
        <v>74</v>
      </c>
      <c r="AS319" t="s">
        <v>74</v>
      </c>
      <c r="AT319" t="s">
        <v>305</v>
      </c>
      <c r="AU319">
        <v>1990</v>
      </c>
      <c r="AV319">
        <v>41</v>
      </c>
      <c r="AW319">
        <v>4</v>
      </c>
      <c r="AX319" t="s">
        <v>74</v>
      </c>
      <c r="AY319" t="s">
        <v>74</v>
      </c>
      <c r="AZ319" t="s">
        <v>74</v>
      </c>
      <c r="BA319" t="s">
        <v>74</v>
      </c>
      <c r="BB319">
        <v>315</v>
      </c>
      <c r="BC319">
        <v>352</v>
      </c>
      <c r="BD319" t="s">
        <v>74</v>
      </c>
      <c r="BE319" t="s">
        <v>712</v>
      </c>
      <c r="BF319" t="str">
        <f>HYPERLINK("http://dx.doi.org/10.1111/j.1095-8312.1990.tb00839.x","http://dx.doi.org/10.1111/j.1095-8312.1990.tb00839.x")</f>
        <v>http://dx.doi.org/10.1111/j.1095-8312.1990.tb00839.x</v>
      </c>
      <c r="BG319" t="s">
        <v>74</v>
      </c>
      <c r="BH319" t="s">
        <v>74</v>
      </c>
      <c r="BI319" t="s">
        <v>74</v>
      </c>
      <c r="BJ319" t="s">
        <v>74</v>
      </c>
      <c r="BK319" t="s">
        <v>74</v>
      </c>
      <c r="BL319" t="s">
        <v>74</v>
      </c>
      <c r="BM319" t="s">
        <v>74</v>
      </c>
      <c r="BN319" t="s">
        <v>74</v>
      </c>
      <c r="BO319" t="s">
        <v>74</v>
      </c>
      <c r="BP319" t="s">
        <v>74</v>
      </c>
      <c r="BQ319" t="s">
        <v>74</v>
      </c>
      <c r="BR319" t="s">
        <v>74</v>
      </c>
      <c r="BS319" t="s">
        <v>713</v>
      </c>
      <c r="BT319" t="str">
        <f>HYPERLINK("https%3A%2F%2Fwww.webofscience.com%2Fwos%2Fwoscc%2Ffull-record%2FWOS:A1990EQ25300002","View Full Record in Web of Science")</f>
        <v>View Full Record in Web of Science</v>
      </c>
    </row>
    <row r="320" spans="1:72" x14ac:dyDescent="0.4">
      <c r="A320" t="s">
        <v>72</v>
      </c>
      <c r="B320" t="s">
        <v>5434</v>
      </c>
      <c r="C320" t="s">
        <v>74</v>
      </c>
      <c r="D320" t="s">
        <v>74</v>
      </c>
      <c r="E320" t="s">
        <v>74</v>
      </c>
      <c r="F320" t="s">
        <v>5435</v>
      </c>
      <c r="G320" t="s">
        <v>74</v>
      </c>
      <c r="H320" t="s">
        <v>74</v>
      </c>
      <c r="I320" t="s">
        <v>5436</v>
      </c>
      <c r="J320" t="s">
        <v>229</v>
      </c>
      <c r="K320" t="s">
        <v>74</v>
      </c>
      <c r="L320" t="s">
        <v>74</v>
      </c>
      <c r="M320" t="s">
        <v>74</v>
      </c>
      <c r="N320" t="s">
        <v>74</v>
      </c>
      <c r="O320" t="s">
        <v>74</v>
      </c>
      <c r="P320" t="s">
        <v>74</v>
      </c>
      <c r="Q320" t="s">
        <v>74</v>
      </c>
      <c r="R320" t="s">
        <v>74</v>
      </c>
      <c r="S320" t="s">
        <v>74</v>
      </c>
      <c r="T320" t="s">
        <v>74</v>
      </c>
      <c r="U320" t="s">
        <v>74</v>
      </c>
      <c r="V320" s="3" t="s">
        <v>5437</v>
      </c>
      <c r="W320" t="s">
        <v>74</v>
      </c>
      <c r="X320" t="s">
        <v>74</v>
      </c>
      <c r="Y320" t="s">
        <v>74</v>
      </c>
      <c r="Z320" t="s">
        <v>74</v>
      </c>
      <c r="AA320" t="s">
        <v>5438</v>
      </c>
      <c r="AB320" t="s">
        <v>5439</v>
      </c>
      <c r="AC320" t="s">
        <v>74</v>
      </c>
      <c r="AD320" t="s">
        <v>74</v>
      </c>
      <c r="AE320" t="s">
        <v>74</v>
      </c>
      <c r="AF320" t="s">
        <v>74</v>
      </c>
      <c r="AG320" t="s">
        <v>74</v>
      </c>
      <c r="AH320" t="s">
        <v>74</v>
      </c>
      <c r="AI320" t="s">
        <v>74</v>
      </c>
      <c r="AJ320" t="s">
        <v>74</v>
      </c>
      <c r="AK320" t="s">
        <v>74</v>
      </c>
      <c r="AL320" t="s">
        <v>74</v>
      </c>
      <c r="AM320" t="s">
        <v>74</v>
      </c>
      <c r="AN320" t="s">
        <v>74</v>
      </c>
      <c r="AO320" t="s">
        <v>233</v>
      </c>
      <c r="AP320" t="s">
        <v>234</v>
      </c>
      <c r="AQ320" t="s">
        <v>74</v>
      </c>
      <c r="AR320" t="s">
        <v>74</v>
      </c>
      <c r="AS320" t="s">
        <v>74</v>
      </c>
      <c r="AT320" t="s">
        <v>123</v>
      </c>
      <c r="AU320">
        <v>2014</v>
      </c>
      <c r="AV320">
        <v>40</v>
      </c>
      <c r="AW320">
        <v>2</v>
      </c>
      <c r="AX320" t="s">
        <v>74</v>
      </c>
      <c r="AY320" t="s">
        <v>74</v>
      </c>
      <c r="AZ320" t="s">
        <v>74</v>
      </c>
      <c r="BA320" t="s">
        <v>74</v>
      </c>
      <c r="BB320">
        <v>109</v>
      </c>
      <c r="BC320">
        <v>119</v>
      </c>
      <c r="BD320" t="s">
        <v>74</v>
      </c>
      <c r="BE320" t="s">
        <v>5440</v>
      </c>
      <c r="BF320" t="str">
        <f>HYPERLINK("http://dx.doi.org/10.1002/ab.21508","http://dx.doi.org/10.1002/ab.21508")</f>
        <v>http://dx.doi.org/10.1002/ab.21508</v>
      </c>
      <c r="BG320" t="s">
        <v>74</v>
      </c>
      <c r="BH320" t="s">
        <v>74</v>
      </c>
      <c r="BI320" t="s">
        <v>74</v>
      </c>
      <c r="BJ320" t="s">
        <v>74</v>
      </c>
      <c r="BK320" t="s">
        <v>74</v>
      </c>
      <c r="BL320" t="s">
        <v>74</v>
      </c>
      <c r="BM320" t="s">
        <v>74</v>
      </c>
      <c r="BN320">
        <v>24497000</v>
      </c>
      <c r="BO320" t="s">
        <v>74</v>
      </c>
      <c r="BP320" t="s">
        <v>74</v>
      </c>
      <c r="BQ320" t="s">
        <v>74</v>
      </c>
      <c r="BR320" t="s">
        <v>74</v>
      </c>
      <c r="BS320" t="s">
        <v>5441</v>
      </c>
      <c r="BT320" t="str">
        <f>HYPERLINK("https%3A%2F%2Fwww.webofscience.com%2Fwos%2Fwoscc%2Ffull-record%2FWOS:000331255700002","View Full Record in Web of Science")</f>
        <v>View Full Record in Web of Science</v>
      </c>
    </row>
    <row r="321" spans="1:72" x14ac:dyDescent="0.4">
      <c r="A321" t="s">
        <v>72</v>
      </c>
      <c r="B321" t="s">
        <v>5383</v>
      </c>
      <c r="C321" t="s">
        <v>74</v>
      </c>
      <c r="D321" t="s">
        <v>74</v>
      </c>
      <c r="E321" t="s">
        <v>74</v>
      </c>
      <c r="F321" t="s">
        <v>5383</v>
      </c>
      <c r="G321" t="s">
        <v>74</v>
      </c>
      <c r="H321" t="s">
        <v>74</v>
      </c>
      <c r="I321" t="s">
        <v>5384</v>
      </c>
      <c r="J321" t="s">
        <v>5385</v>
      </c>
      <c r="K321" t="s">
        <v>74</v>
      </c>
      <c r="L321" t="s">
        <v>74</v>
      </c>
      <c r="M321" t="s">
        <v>74</v>
      </c>
      <c r="N321" t="s">
        <v>74</v>
      </c>
      <c r="O321" t="s">
        <v>74</v>
      </c>
      <c r="P321" t="s">
        <v>74</v>
      </c>
      <c r="Q321" t="s">
        <v>74</v>
      </c>
      <c r="R321" t="s">
        <v>74</v>
      </c>
      <c r="S321" t="s">
        <v>74</v>
      </c>
      <c r="T321" t="s">
        <v>74</v>
      </c>
      <c r="U321" t="s">
        <v>74</v>
      </c>
      <c r="V321" s="3" t="s">
        <v>5386</v>
      </c>
      <c r="W321" t="s">
        <v>74</v>
      </c>
      <c r="X321" t="s">
        <v>74</v>
      </c>
      <c r="Y321" t="s">
        <v>74</v>
      </c>
      <c r="Z321" t="s">
        <v>74</v>
      </c>
      <c r="AA321" t="s">
        <v>74</v>
      </c>
      <c r="AB321" t="s">
        <v>74</v>
      </c>
      <c r="AC321" t="s">
        <v>74</v>
      </c>
      <c r="AD321" t="s">
        <v>74</v>
      </c>
      <c r="AE321" t="s">
        <v>74</v>
      </c>
      <c r="AF321" t="s">
        <v>74</v>
      </c>
      <c r="AG321" t="s">
        <v>74</v>
      </c>
      <c r="AH321" t="s">
        <v>74</v>
      </c>
      <c r="AI321" t="s">
        <v>74</v>
      </c>
      <c r="AJ321" t="s">
        <v>74</v>
      </c>
      <c r="AK321" t="s">
        <v>74</v>
      </c>
      <c r="AL321" t="s">
        <v>74</v>
      </c>
      <c r="AM321" t="s">
        <v>74</v>
      </c>
      <c r="AN321" t="s">
        <v>74</v>
      </c>
      <c r="AO321" t="s">
        <v>5387</v>
      </c>
      <c r="AP321" t="s">
        <v>74</v>
      </c>
      <c r="AQ321" t="s">
        <v>74</v>
      </c>
      <c r="AR321" t="s">
        <v>74</v>
      </c>
      <c r="AS321" t="s">
        <v>74</v>
      </c>
      <c r="AT321" t="s">
        <v>74</v>
      </c>
      <c r="AU321">
        <v>1993</v>
      </c>
      <c r="AV321">
        <v>35</v>
      </c>
      <c r="AW321">
        <v>2</v>
      </c>
      <c r="AX321" t="s">
        <v>74</v>
      </c>
      <c r="AY321" t="s">
        <v>74</v>
      </c>
      <c r="AZ321" t="s">
        <v>74</v>
      </c>
      <c r="BA321" t="s">
        <v>74</v>
      </c>
      <c r="BB321">
        <v>371</v>
      </c>
      <c r="BC321">
        <v>388</v>
      </c>
      <c r="BD321" t="s">
        <v>74</v>
      </c>
      <c r="BE321" t="s">
        <v>74</v>
      </c>
      <c r="BF321" t="s">
        <v>74</v>
      </c>
      <c r="BG321" t="s">
        <v>74</v>
      </c>
      <c r="BH321" t="s">
        <v>74</v>
      </c>
      <c r="BI321" t="s">
        <v>74</v>
      </c>
      <c r="BJ321" t="s">
        <v>74</v>
      </c>
      <c r="BK321" t="s">
        <v>74</v>
      </c>
      <c r="BL321" t="s">
        <v>74</v>
      </c>
      <c r="BM321" t="s">
        <v>74</v>
      </c>
      <c r="BN321" t="s">
        <v>74</v>
      </c>
      <c r="BO321" t="s">
        <v>74</v>
      </c>
      <c r="BP321" t="s">
        <v>74</v>
      </c>
      <c r="BQ321" t="s">
        <v>74</v>
      </c>
      <c r="BR321" t="s">
        <v>74</v>
      </c>
      <c r="BS321" t="s">
        <v>5388</v>
      </c>
      <c r="BT321" t="str">
        <f>HYPERLINK("https%3A%2F%2Fwww.webofscience.com%2Fwos%2Fwoscc%2Ffull-record%2FWOS:A1993MK18700007","View Full Record in Web of Science")</f>
        <v>View Full Record in Web of Science</v>
      </c>
    </row>
    <row r="322" spans="1:72" x14ac:dyDescent="0.4">
      <c r="A322" t="s">
        <v>72</v>
      </c>
      <c r="B322" t="s">
        <v>7131</v>
      </c>
      <c r="C322" t="s">
        <v>74</v>
      </c>
      <c r="D322" t="s">
        <v>74</v>
      </c>
      <c r="E322" t="s">
        <v>74</v>
      </c>
      <c r="F322" t="s">
        <v>7132</v>
      </c>
      <c r="G322" t="s">
        <v>74</v>
      </c>
      <c r="H322" t="s">
        <v>74</v>
      </c>
      <c r="I322" t="s">
        <v>7133</v>
      </c>
      <c r="J322" t="s">
        <v>119</v>
      </c>
      <c r="K322" t="s">
        <v>74</v>
      </c>
      <c r="L322" t="s">
        <v>74</v>
      </c>
      <c r="M322" t="s">
        <v>74</v>
      </c>
      <c r="N322" t="s">
        <v>74</v>
      </c>
      <c r="O322" t="s">
        <v>74</v>
      </c>
      <c r="P322" t="s">
        <v>74</v>
      </c>
      <c r="Q322" t="s">
        <v>74</v>
      </c>
      <c r="R322" t="s">
        <v>74</v>
      </c>
      <c r="S322" t="s">
        <v>74</v>
      </c>
      <c r="T322" t="s">
        <v>74</v>
      </c>
      <c r="U322" t="s">
        <v>74</v>
      </c>
      <c r="V322" s="3" t="s">
        <v>7134</v>
      </c>
      <c r="W322" t="s">
        <v>74</v>
      </c>
      <c r="X322" t="s">
        <v>74</v>
      </c>
      <c r="Y322" t="s">
        <v>74</v>
      </c>
      <c r="Z322" t="s">
        <v>74</v>
      </c>
      <c r="AA322" t="s">
        <v>7135</v>
      </c>
      <c r="AB322" t="s">
        <v>7136</v>
      </c>
      <c r="AC322" t="s">
        <v>74</v>
      </c>
      <c r="AD322" t="s">
        <v>74</v>
      </c>
      <c r="AE322" t="s">
        <v>74</v>
      </c>
      <c r="AF322" t="s">
        <v>74</v>
      </c>
      <c r="AG322" t="s">
        <v>74</v>
      </c>
      <c r="AH322" t="s">
        <v>74</v>
      </c>
      <c r="AI322" t="s">
        <v>74</v>
      </c>
      <c r="AJ322" t="s">
        <v>74</v>
      </c>
      <c r="AK322" t="s">
        <v>74</v>
      </c>
      <c r="AL322" t="s">
        <v>74</v>
      </c>
      <c r="AM322" t="s">
        <v>74</v>
      </c>
      <c r="AN322" t="s">
        <v>74</v>
      </c>
      <c r="AO322" t="s">
        <v>121</v>
      </c>
      <c r="AP322" t="s">
        <v>122</v>
      </c>
      <c r="AQ322" t="s">
        <v>74</v>
      </c>
      <c r="AR322" t="s">
        <v>74</v>
      </c>
      <c r="AS322" t="s">
        <v>74</v>
      </c>
      <c r="AT322" t="s">
        <v>352</v>
      </c>
      <c r="AU322">
        <v>2017</v>
      </c>
      <c r="AV322">
        <v>142</v>
      </c>
      <c r="AW322" t="s">
        <v>74</v>
      </c>
      <c r="AX322" t="s">
        <v>74</v>
      </c>
      <c r="AY322" t="s">
        <v>74</v>
      </c>
      <c r="AZ322" t="s">
        <v>74</v>
      </c>
      <c r="BA322" t="s">
        <v>74</v>
      </c>
      <c r="BB322">
        <v>116</v>
      </c>
      <c r="BC322">
        <v>118</v>
      </c>
      <c r="BD322" t="s">
        <v>74</v>
      </c>
      <c r="BE322" t="s">
        <v>7137</v>
      </c>
      <c r="BF322" t="str">
        <f>HYPERLINK("http://dx.doi.org/10.1016/j.beproc.2017.07.002","http://dx.doi.org/10.1016/j.beproc.2017.07.002")</f>
        <v>http://dx.doi.org/10.1016/j.beproc.2017.07.002</v>
      </c>
      <c r="BG322" t="s">
        <v>74</v>
      </c>
      <c r="BH322" t="s">
        <v>74</v>
      </c>
      <c r="BI322" t="s">
        <v>74</v>
      </c>
      <c r="BJ322" t="s">
        <v>74</v>
      </c>
      <c r="BK322" t="s">
        <v>74</v>
      </c>
      <c r="BL322" t="s">
        <v>74</v>
      </c>
      <c r="BM322" t="s">
        <v>74</v>
      </c>
      <c r="BN322">
        <v>28694127</v>
      </c>
      <c r="BO322" t="s">
        <v>74</v>
      </c>
      <c r="BP322" t="s">
        <v>74</v>
      </c>
      <c r="BQ322" t="s">
        <v>74</v>
      </c>
      <c r="BR322" t="s">
        <v>74</v>
      </c>
      <c r="BS322" t="s">
        <v>7138</v>
      </c>
      <c r="BT322" t="str">
        <f>HYPERLINK("https%3A%2F%2Fwww.webofscience.com%2Fwos%2Fwoscc%2Ffull-record%2FWOS:000411539500017","View Full Record in Web of Science")</f>
        <v>View Full Record in Web of Science</v>
      </c>
    </row>
    <row r="323" spans="1:72" x14ac:dyDescent="0.4">
      <c r="A323" t="s">
        <v>72</v>
      </c>
      <c r="B323" t="s">
        <v>6651</v>
      </c>
      <c r="C323" t="s">
        <v>74</v>
      </c>
      <c r="D323" t="s">
        <v>74</v>
      </c>
      <c r="E323" t="s">
        <v>74</v>
      </c>
      <c r="F323" t="s">
        <v>6652</v>
      </c>
      <c r="G323" t="s">
        <v>74</v>
      </c>
      <c r="H323" t="s">
        <v>74</v>
      </c>
      <c r="I323" t="s">
        <v>6653</v>
      </c>
      <c r="J323" t="s">
        <v>824</v>
      </c>
      <c r="K323" t="s">
        <v>74</v>
      </c>
      <c r="L323" t="s">
        <v>74</v>
      </c>
      <c r="M323" t="s">
        <v>74</v>
      </c>
      <c r="N323" t="s">
        <v>74</v>
      </c>
      <c r="O323" t="s">
        <v>74</v>
      </c>
      <c r="P323" t="s">
        <v>74</v>
      </c>
      <c r="Q323" t="s">
        <v>74</v>
      </c>
      <c r="R323" t="s">
        <v>74</v>
      </c>
      <c r="S323" t="s">
        <v>74</v>
      </c>
      <c r="T323" t="s">
        <v>74</v>
      </c>
      <c r="U323" t="s">
        <v>74</v>
      </c>
      <c r="V323" s="3" t="s">
        <v>6654</v>
      </c>
      <c r="W323" t="s">
        <v>74</v>
      </c>
      <c r="X323" t="s">
        <v>74</v>
      </c>
      <c r="Y323" t="s">
        <v>74</v>
      </c>
      <c r="Z323" t="s">
        <v>74</v>
      </c>
      <c r="AA323" t="s">
        <v>6655</v>
      </c>
      <c r="AB323" t="s">
        <v>6656</v>
      </c>
      <c r="AC323" t="s">
        <v>74</v>
      </c>
      <c r="AD323" t="s">
        <v>74</v>
      </c>
      <c r="AE323" t="s">
        <v>74</v>
      </c>
      <c r="AF323" t="s">
        <v>74</v>
      </c>
      <c r="AG323" t="s">
        <v>74</v>
      </c>
      <c r="AH323" t="s">
        <v>74</v>
      </c>
      <c r="AI323" t="s">
        <v>74</v>
      </c>
      <c r="AJ323" t="s">
        <v>74</v>
      </c>
      <c r="AK323" t="s">
        <v>74</v>
      </c>
      <c r="AL323" t="s">
        <v>74</v>
      </c>
      <c r="AM323" t="s">
        <v>74</v>
      </c>
      <c r="AN323" t="s">
        <v>74</v>
      </c>
      <c r="AO323" t="s">
        <v>828</v>
      </c>
      <c r="AP323" t="s">
        <v>829</v>
      </c>
      <c r="AQ323" t="s">
        <v>74</v>
      </c>
      <c r="AR323" t="s">
        <v>74</v>
      </c>
      <c r="AS323" t="s">
        <v>74</v>
      </c>
      <c r="AT323" t="s">
        <v>352</v>
      </c>
      <c r="AU323">
        <v>2018</v>
      </c>
      <c r="AV323">
        <v>87</v>
      </c>
      <c r="AW323">
        <v>5</v>
      </c>
      <c r="AX323" t="s">
        <v>74</v>
      </c>
      <c r="AY323" t="s">
        <v>74</v>
      </c>
      <c r="AZ323" t="s">
        <v>74</v>
      </c>
      <c r="BA323" t="s">
        <v>74</v>
      </c>
      <c r="BB323">
        <v>1274</v>
      </c>
      <c r="BC323">
        <v>1285</v>
      </c>
      <c r="BD323" t="s">
        <v>74</v>
      </c>
      <c r="BE323" t="s">
        <v>6657</v>
      </c>
      <c r="BF323" t="str">
        <f>HYPERLINK("http://dx.doi.org/10.1111/1365-2656.12855","http://dx.doi.org/10.1111/1365-2656.12855")</f>
        <v>http://dx.doi.org/10.1111/1365-2656.12855</v>
      </c>
      <c r="BG323" t="s">
        <v>74</v>
      </c>
      <c r="BH323" t="s">
        <v>74</v>
      </c>
      <c r="BI323" t="s">
        <v>74</v>
      </c>
      <c r="BJ323" t="s">
        <v>74</v>
      </c>
      <c r="BK323" t="s">
        <v>74</v>
      </c>
      <c r="BL323" t="s">
        <v>74</v>
      </c>
      <c r="BM323" t="s">
        <v>74</v>
      </c>
      <c r="BN323">
        <v>29943467</v>
      </c>
      <c r="BO323" t="s">
        <v>74</v>
      </c>
      <c r="BP323" t="s">
        <v>74</v>
      </c>
      <c r="BQ323" t="s">
        <v>74</v>
      </c>
      <c r="BR323" t="s">
        <v>74</v>
      </c>
      <c r="BS323" t="s">
        <v>6658</v>
      </c>
      <c r="BT323" t="str">
        <f>HYPERLINK("https%3A%2F%2Fwww.webofscience.com%2Fwos%2Fwoscc%2Ffull-record%2FWOS:000441246100008","View Full Record in Web of Science")</f>
        <v>View Full Record in Web of Science</v>
      </c>
    </row>
    <row r="324" spans="1:72" x14ac:dyDescent="0.4">
      <c r="A324" t="s">
        <v>72</v>
      </c>
      <c r="B324" t="s">
        <v>6470</v>
      </c>
      <c r="C324" t="s">
        <v>74</v>
      </c>
      <c r="D324" t="s">
        <v>74</v>
      </c>
      <c r="E324" t="s">
        <v>74</v>
      </c>
      <c r="F324" t="s">
        <v>6470</v>
      </c>
      <c r="G324" t="s">
        <v>74</v>
      </c>
      <c r="H324" t="s">
        <v>74</v>
      </c>
      <c r="I324" t="s">
        <v>6471</v>
      </c>
      <c r="J324" t="s">
        <v>77</v>
      </c>
      <c r="K324" t="s">
        <v>74</v>
      </c>
      <c r="L324" t="s">
        <v>74</v>
      </c>
      <c r="M324" t="s">
        <v>74</v>
      </c>
      <c r="N324" t="s">
        <v>74</v>
      </c>
      <c r="O324" t="s">
        <v>74</v>
      </c>
      <c r="P324" t="s">
        <v>74</v>
      </c>
      <c r="Q324" t="s">
        <v>74</v>
      </c>
      <c r="R324" t="s">
        <v>74</v>
      </c>
      <c r="S324" t="s">
        <v>74</v>
      </c>
      <c r="T324" t="s">
        <v>74</v>
      </c>
      <c r="U324" t="s">
        <v>74</v>
      </c>
      <c r="V324" s="3" t="s">
        <v>6472</v>
      </c>
      <c r="W324" t="s">
        <v>74</v>
      </c>
      <c r="X324" t="s">
        <v>74</v>
      </c>
      <c r="Y324" t="s">
        <v>74</v>
      </c>
      <c r="Z324" t="s">
        <v>74</v>
      </c>
      <c r="AA324" t="s">
        <v>6473</v>
      </c>
      <c r="AB324" t="s">
        <v>74</v>
      </c>
      <c r="AC324" t="s">
        <v>74</v>
      </c>
      <c r="AD324" t="s">
        <v>74</v>
      </c>
      <c r="AE324" t="s">
        <v>74</v>
      </c>
      <c r="AF324" t="s">
        <v>74</v>
      </c>
      <c r="AG324" t="s">
        <v>74</v>
      </c>
      <c r="AH324" t="s">
        <v>74</v>
      </c>
      <c r="AI324" t="s">
        <v>74</v>
      </c>
      <c r="AJ324" t="s">
        <v>74</v>
      </c>
      <c r="AK324" t="s">
        <v>74</v>
      </c>
      <c r="AL324" t="s">
        <v>74</v>
      </c>
      <c r="AM324" t="s">
        <v>74</v>
      </c>
      <c r="AN324" t="s">
        <v>74</v>
      </c>
      <c r="AO324" t="s">
        <v>81</v>
      </c>
      <c r="AP324" t="s">
        <v>82</v>
      </c>
      <c r="AQ324" t="s">
        <v>74</v>
      </c>
      <c r="AR324" t="s">
        <v>74</v>
      </c>
      <c r="AS324" t="s">
        <v>74</v>
      </c>
      <c r="AT324" t="s">
        <v>74</v>
      </c>
      <c r="AU324">
        <v>1980</v>
      </c>
      <c r="AV324">
        <v>74</v>
      </c>
      <c r="AW324" t="s">
        <v>74</v>
      </c>
      <c r="AX324" t="s">
        <v>548</v>
      </c>
      <c r="AY324" t="s">
        <v>74</v>
      </c>
      <c r="AZ324" t="s">
        <v>74</v>
      </c>
      <c r="BA324" t="s">
        <v>74</v>
      </c>
      <c r="BB324">
        <v>38</v>
      </c>
      <c r="BC324">
        <v>91</v>
      </c>
      <c r="BD324" t="s">
        <v>74</v>
      </c>
      <c r="BE324" t="s">
        <v>6474</v>
      </c>
      <c r="BF324" t="str">
        <f>HYPERLINK("http://dx.doi.org/10.1163/156853980X00311","http://dx.doi.org/10.1163/156853980X00311")</f>
        <v>http://dx.doi.org/10.1163/156853980X00311</v>
      </c>
      <c r="BG324" t="s">
        <v>74</v>
      </c>
      <c r="BH324" t="s">
        <v>74</v>
      </c>
      <c r="BI324" t="s">
        <v>74</v>
      </c>
      <c r="BJ324" t="s">
        <v>74</v>
      </c>
      <c r="BK324" t="s">
        <v>74</v>
      </c>
      <c r="BL324" t="s">
        <v>74</v>
      </c>
      <c r="BM324" t="s">
        <v>74</v>
      </c>
      <c r="BN324" t="s">
        <v>74</v>
      </c>
      <c r="BO324" t="s">
        <v>74</v>
      </c>
      <c r="BP324" t="s">
        <v>74</v>
      </c>
      <c r="BQ324" t="s">
        <v>74</v>
      </c>
      <c r="BR324" t="s">
        <v>74</v>
      </c>
      <c r="BS324" t="s">
        <v>6475</v>
      </c>
      <c r="BT324" t="str">
        <f>HYPERLINK("https%3A%2F%2Fwww.webofscience.com%2Fwos%2Fwoscc%2Ffull-record%2FWOS:A1980KK26100003","View Full Record in Web of Science")</f>
        <v>View Full Record in Web of Science</v>
      </c>
    </row>
    <row r="325" spans="1:72" x14ac:dyDescent="0.4">
      <c r="A325" t="s">
        <v>72</v>
      </c>
      <c r="B325" t="s">
        <v>3886</v>
      </c>
      <c r="C325" t="s">
        <v>74</v>
      </c>
      <c r="D325" t="s">
        <v>74</v>
      </c>
      <c r="E325" t="s">
        <v>74</v>
      </c>
      <c r="F325" t="s">
        <v>3887</v>
      </c>
      <c r="G325" t="s">
        <v>74</v>
      </c>
      <c r="H325" t="s">
        <v>74</v>
      </c>
      <c r="I325" t="s">
        <v>3888</v>
      </c>
      <c r="J325" t="s">
        <v>140</v>
      </c>
      <c r="K325" t="s">
        <v>74</v>
      </c>
      <c r="L325" t="s">
        <v>74</v>
      </c>
      <c r="M325" t="s">
        <v>74</v>
      </c>
      <c r="N325" t="s">
        <v>74</v>
      </c>
      <c r="O325" t="s">
        <v>74</v>
      </c>
      <c r="P325" t="s">
        <v>74</v>
      </c>
      <c r="Q325" t="s">
        <v>74</v>
      </c>
      <c r="R325" t="s">
        <v>74</v>
      </c>
      <c r="S325" t="s">
        <v>74</v>
      </c>
      <c r="T325" t="s">
        <v>74</v>
      </c>
      <c r="U325" t="s">
        <v>74</v>
      </c>
      <c r="V325" s="3" t="s">
        <v>3889</v>
      </c>
      <c r="W325" t="s">
        <v>74</v>
      </c>
      <c r="X325" t="s">
        <v>74</v>
      </c>
      <c r="Y325" t="s">
        <v>74</v>
      </c>
      <c r="Z325" t="s">
        <v>74</v>
      </c>
      <c r="AA325" t="s">
        <v>74</v>
      </c>
      <c r="AB325" t="s">
        <v>74</v>
      </c>
      <c r="AC325" t="s">
        <v>74</v>
      </c>
      <c r="AD325" t="s">
        <v>74</v>
      </c>
      <c r="AE325" t="s">
        <v>74</v>
      </c>
      <c r="AF325" t="s">
        <v>74</v>
      </c>
      <c r="AG325" t="s">
        <v>74</v>
      </c>
      <c r="AH325" t="s">
        <v>74</v>
      </c>
      <c r="AI325" t="s">
        <v>74</v>
      </c>
      <c r="AJ325" t="s">
        <v>74</v>
      </c>
      <c r="AK325" t="s">
        <v>74</v>
      </c>
      <c r="AL325" t="s">
        <v>74</v>
      </c>
      <c r="AM325" t="s">
        <v>74</v>
      </c>
      <c r="AN325" t="s">
        <v>74</v>
      </c>
      <c r="AO325" t="s">
        <v>143</v>
      </c>
      <c r="AP325" t="s">
        <v>144</v>
      </c>
      <c r="AQ325" t="s">
        <v>74</v>
      </c>
      <c r="AR325" t="s">
        <v>74</v>
      </c>
      <c r="AS325" t="s">
        <v>74</v>
      </c>
      <c r="AT325" t="s">
        <v>134</v>
      </c>
      <c r="AU325">
        <v>2006</v>
      </c>
      <c r="AV325">
        <v>71</v>
      </c>
      <c r="AW325" t="s">
        <v>74</v>
      </c>
      <c r="AX325">
        <v>5</v>
      </c>
      <c r="AY325" t="s">
        <v>74</v>
      </c>
      <c r="AZ325" t="s">
        <v>74</v>
      </c>
      <c r="BA325" t="s">
        <v>74</v>
      </c>
      <c r="BB325">
        <v>1155</v>
      </c>
      <c r="BC325">
        <v>1164</v>
      </c>
      <c r="BD325" t="s">
        <v>74</v>
      </c>
      <c r="BE325" t="s">
        <v>3890</v>
      </c>
      <c r="BF325" t="str">
        <f>HYPERLINK("http://dx.doi.org/10.1016/j.anbehav.2005.10.006","http://dx.doi.org/10.1016/j.anbehav.2005.10.006")</f>
        <v>http://dx.doi.org/10.1016/j.anbehav.2005.10.006</v>
      </c>
      <c r="BG325" t="s">
        <v>74</v>
      </c>
      <c r="BH325" t="s">
        <v>74</v>
      </c>
      <c r="BI325" t="s">
        <v>74</v>
      </c>
      <c r="BJ325" t="s">
        <v>74</v>
      </c>
      <c r="BK325" t="s">
        <v>74</v>
      </c>
      <c r="BL325" t="s">
        <v>74</v>
      </c>
      <c r="BM325" t="s">
        <v>74</v>
      </c>
      <c r="BN325" t="s">
        <v>74</v>
      </c>
      <c r="BO325" t="s">
        <v>74</v>
      </c>
      <c r="BP325" t="s">
        <v>74</v>
      </c>
      <c r="BQ325" t="s">
        <v>74</v>
      </c>
      <c r="BR325" t="s">
        <v>74</v>
      </c>
      <c r="BS325" t="s">
        <v>3891</v>
      </c>
      <c r="BT325" t="str">
        <f>HYPERLINK("https%3A%2F%2Fwww.webofscience.com%2Fwos%2Fwoscc%2Ffull-record%2FWOS:000238108600018","View Full Record in Web of Science")</f>
        <v>View Full Record in Web of Science</v>
      </c>
    </row>
    <row r="326" spans="1:72" x14ac:dyDescent="0.4">
      <c r="A326" t="s">
        <v>72</v>
      </c>
      <c r="B326" t="s">
        <v>8276</v>
      </c>
      <c r="C326" t="s">
        <v>74</v>
      </c>
      <c r="D326" t="s">
        <v>74</v>
      </c>
      <c r="E326" t="s">
        <v>74</v>
      </c>
      <c r="F326" t="s">
        <v>8277</v>
      </c>
      <c r="G326" t="s">
        <v>74</v>
      </c>
      <c r="H326" t="s">
        <v>74</v>
      </c>
      <c r="I326" t="s">
        <v>8278</v>
      </c>
      <c r="J326" t="s">
        <v>108</v>
      </c>
      <c r="K326" t="s">
        <v>74</v>
      </c>
      <c r="L326" t="s">
        <v>74</v>
      </c>
      <c r="M326" t="s">
        <v>74</v>
      </c>
      <c r="N326" t="s">
        <v>74</v>
      </c>
      <c r="O326" t="s">
        <v>74</v>
      </c>
      <c r="P326" t="s">
        <v>74</v>
      </c>
      <c r="Q326" t="s">
        <v>74</v>
      </c>
      <c r="R326" t="s">
        <v>74</v>
      </c>
      <c r="S326" t="s">
        <v>74</v>
      </c>
      <c r="T326" t="s">
        <v>74</v>
      </c>
      <c r="U326" t="s">
        <v>74</v>
      </c>
      <c r="V326" s="3" t="s">
        <v>8279</v>
      </c>
      <c r="W326" t="s">
        <v>74</v>
      </c>
      <c r="X326" t="s">
        <v>74</v>
      </c>
      <c r="Y326" t="s">
        <v>74</v>
      </c>
      <c r="Z326" t="s">
        <v>74</v>
      </c>
      <c r="AA326" t="s">
        <v>8280</v>
      </c>
      <c r="AB326" t="s">
        <v>8281</v>
      </c>
      <c r="AC326" t="s">
        <v>74</v>
      </c>
      <c r="AD326" t="s">
        <v>74</v>
      </c>
      <c r="AE326" t="s">
        <v>74</v>
      </c>
      <c r="AF326" t="s">
        <v>74</v>
      </c>
      <c r="AG326" t="s">
        <v>74</v>
      </c>
      <c r="AH326" t="s">
        <v>74</v>
      </c>
      <c r="AI326" t="s">
        <v>74</v>
      </c>
      <c r="AJ326" t="s">
        <v>74</v>
      </c>
      <c r="AK326" t="s">
        <v>74</v>
      </c>
      <c r="AL326" t="s">
        <v>74</v>
      </c>
      <c r="AM326" t="s">
        <v>74</v>
      </c>
      <c r="AN326" t="s">
        <v>74</v>
      </c>
      <c r="AO326" t="s">
        <v>111</v>
      </c>
      <c r="AP326" t="s">
        <v>112</v>
      </c>
      <c r="AQ326" t="s">
        <v>74</v>
      </c>
      <c r="AR326" t="s">
        <v>74</v>
      </c>
      <c r="AS326" t="s">
        <v>74</v>
      </c>
      <c r="AT326" t="s">
        <v>8282</v>
      </c>
      <c r="AU326">
        <v>2020</v>
      </c>
      <c r="AV326">
        <v>287</v>
      </c>
      <c r="AW326">
        <v>1924</v>
      </c>
      <c r="AX326" t="s">
        <v>74</v>
      </c>
      <c r="AY326" t="s">
        <v>74</v>
      </c>
      <c r="AZ326" t="s">
        <v>74</v>
      </c>
      <c r="BA326" t="s">
        <v>74</v>
      </c>
      <c r="BB326" t="s">
        <v>74</v>
      </c>
      <c r="BC326" t="s">
        <v>74</v>
      </c>
      <c r="BD326" t="s">
        <v>74</v>
      </c>
      <c r="BE326" t="s">
        <v>8283</v>
      </c>
      <c r="BF326" t="str">
        <f>HYPERLINK("http://dx.doi.org/10.1098/rspb.2020.0270","http://dx.doi.org/10.1098/rspb.2020.0270")</f>
        <v>http://dx.doi.org/10.1098/rspb.2020.0270</v>
      </c>
      <c r="BG326" t="s">
        <v>74</v>
      </c>
      <c r="BH326" t="s">
        <v>74</v>
      </c>
      <c r="BI326" t="s">
        <v>74</v>
      </c>
      <c r="BJ326" t="s">
        <v>74</v>
      </c>
      <c r="BK326" t="s">
        <v>74</v>
      </c>
      <c r="BL326" t="s">
        <v>74</v>
      </c>
      <c r="BM326" t="s">
        <v>74</v>
      </c>
      <c r="BN326">
        <v>32259470</v>
      </c>
      <c r="BO326" t="s">
        <v>74</v>
      </c>
      <c r="BP326" t="s">
        <v>74</v>
      </c>
      <c r="BQ326" t="s">
        <v>74</v>
      </c>
      <c r="BR326" t="s">
        <v>74</v>
      </c>
      <c r="BS326" t="s">
        <v>8284</v>
      </c>
      <c r="BT326" t="str">
        <f>HYPERLINK("https%3A%2F%2Fwww.webofscience.com%2Fwos%2Fwoscc%2Ffull-record%2FWOS:000546947600014","View Full Record in Web of Science")</f>
        <v>View Full Record in Web of Science</v>
      </c>
    </row>
    <row r="327" spans="1:72" x14ac:dyDescent="0.4">
      <c r="A327" t="s">
        <v>72</v>
      </c>
      <c r="B327" t="s">
        <v>8700</v>
      </c>
      <c r="C327" t="s">
        <v>74</v>
      </c>
      <c r="D327" t="s">
        <v>74</v>
      </c>
      <c r="E327" t="s">
        <v>74</v>
      </c>
      <c r="F327" t="s">
        <v>8701</v>
      </c>
      <c r="G327" t="s">
        <v>74</v>
      </c>
      <c r="H327" t="s">
        <v>74</v>
      </c>
      <c r="I327" t="s">
        <v>8702</v>
      </c>
      <c r="J327" t="s">
        <v>610</v>
      </c>
      <c r="K327" t="s">
        <v>74</v>
      </c>
      <c r="L327" t="s">
        <v>74</v>
      </c>
      <c r="M327" t="s">
        <v>74</v>
      </c>
      <c r="N327" t="s">
        <v>74</v>
      </c>
      <c r="O327" t="s">
        <v>74</v>
      </c>
      <c r="P327" t="s">
        <v>74</v>
      </c>
      <c r="Q327" t="s">
        <v>74</v>
      </c>
      <c r="R327" t="s">
        <v>74</v>
      </c>
      <c r="S327" t="s">
        <v>74</v>
      </c>
      <c r="T327" t="s">
        <v>74</v>
      </c>
      <c r="U327" t="s">
        <v>74</v>
      </c>
      <c r="V327" s="3" t="s">
        <v>8703</v>
      </c>
      <c r="W327" t="s">
        <v>74</v>
      </c>
      <c r="X327" t="s">
        <v>74</v>
      </c>
      <c r="Y327" t="s">
        <v>74</v>
      </c>
      <c r="Z327" t="s">
        <v>74</v>
      </c>
      <c r="AA327" t="s">
        <v>74</v>
      </c>
      <c r="AB327" t="s">
        <v>74</v>
      </c>
      <c r="AC327" t="s">
        <v>74</v>
      </c>
      <c r="AD327" t="s">
        <v>74</v>
      </c>
      <c r="AE327" t="s">
        <v>74</v>
      </c>
      <c r="AF327" t="s">
        <v>74</v>
      </c>
      <c r="AG327" t="s">
        <v>74</v>
      </c>
      <c r="AH327" t="s">
        <v>74</v>
      </c>
      <c r="AI327" t="s">
        <v>74</v>
      </c>
      <c r="AJ327" t="s">
        <v>74</v>
      </c>
      <c r="AK327" t="s">
        <v>74</v>
      </c>
      <c r="AL327" t="s">
        <v>74</v>
      </c>
      <c r="AM327" t="s">
        <v>74</v>
      </c>
      <c r="AN327" t="s">
        <v>74</v>
      </c>
      <c r="AO327" t="s">
        <v>614</v>
      </c>
      <c r="AP327" t="s">
        <v>615</v>
      </c>
      <c r="AQ327" t="s">
        <v>74</v>
      </c>
      <c r="AR327" t="s">
        <v>74</v>
      </c>
      <c r="AS327" t="s">
        <v>74</v>
      </c>
      <c r="AT327" t="s">
        <v>255</v>
      </c>
      <c r="AU327">
        <v>2024</v>
      </c>
      <c r="AV327">
        <v>130</v>
      </c>
      <c r="AW327">
        <v>1</v>
      </c>
      <c r="AX327" t="s">
        <v>74</v>
      </c>
      <c r="AY327" t="s">
        <v>74</v>
      </c>
      <c r="AZ327" t="s">
        <v>74</v>
      </c>
      <c r="BA327" t="s">
        <v>74</v>
      </c>
      <c r="BB327" t="s">
        <v>74</v>
      </c>
      <c r="BC327" t="s">
        <v>74</v>
      </c>
      <c r="BD327" t="s">
        <v>74</v>
      </c>
      <c r="BE327" t="s">
        <v>8704</v>
      </c>
      <c r="BF327" t="str">
        <f>HYPERLINK("http://dx.doi.org/10.1111/eth.13410","http://dx.doi.org/10.1111/eth.13410")</f>
        <v>http://dx.doi.org/10.1111/eth.13410</v>
      </c>
      <c r="BG327" t="s">
        <v>74</v>
      </c>
      <c r="BH327" t="s">
        <v>902</v>
      </c>
      <c r="BI327" t="s">
        <v>74</v>
      </c>
      <c r="BJ327" t="s">
        <v>74</v>
      </c>
      <c r="BK327" t="s">
        <v>74</v>
      </c>
      <c r="BL327" t="s">
        <v>74</v>
      </c>
      <c r="BM327" t="s">
        <v>74</v>
      </c>
      <c r="BN327" t="s">
        <v>74</v>
      </c>
      <c r="BO327" t="s">
        <v>74</v>
      </c>
      <c r="BP327" t="s">
        <v>74</v>
      </c>
      <c r="BQ327" t="s">
        <v>74</v>
      </c>
      <c r="BR327" t="s">
        <v>74</v>
      </c>
      <c r="BS327" t="s">
        <v>8705</v>
      </c>
      <c r="BT327" t="str">
        <f>HYPERLINK("https%3A%2F%2Fwww.webofscience.com%2Fwos%2Fwoscc%2Ffull-record%2FWOS:001084830100001","View Full Record in Web of Science")</f>
        <v>View Full Record in Web of Science</v>
      </c>
    </row>
    <row r="328" spans="1:72" x14ac:dyDescent="0.4">
      <c r="A328" t="s">
        <v>72</v>
      </c>
      <c r="B328" t="s">
        <v>2487</v>
      </c>
      <c r="C328" t="s">
        <v>74</v>
      </c>
      <c r="D328" t="s">
        <v>74</v>
      </c>
      <c r="E328" t="s">
        <v>74</v>
      </c>
      <c r="F328" t="s">
        <v>2487</v>
      </c>
      <c r="G328" t="s">
        <v>74</v>
      </c>
      <c r="H328" t="s">
        <v>74</v>
      </c>
      <c r="I328" t="s">
        <v>2488</v>
      </c>
      <c r="J328" t="s">
        <v>119</v>
      </c>
      <c r="K328" t="s">
        <v>74</v>
      </c>
      <c r="L328" t="s">
        <v>74</v>
      </c>
      <c r="M328" t="s">
        <v>74</v>
      </c>
      <c r="N328" t="s">
        <v>74</v>
      </c>
      <c r="O328" t="s">
        <v>74</v>
      </c>
      <c r="P328" t="s">
        <v>74</v>
      </c>
      <c r="Q328" t="s">
        <v>74</v>
      </c>
      <c r="R328" t="s">
        <v>74</v>
      </c>
      <c r="S328" t="s">
        <v>74</v>
      </c>
      <c r="T328" t="s">
        <v>74</v>
      </c>
      <c r="U328" t="s">
        <v>74</v>
      </c>
      <c r="V328" s="3" t="s">
        <v>2489</v>
      </c>
      <c r="W328" t="s">
        <v>74</v>
      </c>
      <c r="X328" t="s">
        <v>74</v>
      </c>
      <c r="Y328" t="s">
        <v>74</v>
      </c>
      <c r="Z328" t="s">
        <v>74</v>
      </c>
      <c r="AA328" t="s">
        <v>2490</v>
      </c>
      <c r="AB328" t="s">
        <v>2491</v>
      </c>
      <c r="AC328" t="s">
        <v>74</v>
      </c>
      <c r="AD328" t="s">
        <v>74</v>
      </c>
      <c r="AE328" t="s">
        <v>74</v>
      </c>
      <c r="AF328" t="s">
        <v>74</v>
      </c>
      <c r="AG328" t="s">
        <v>74</v>
      </c>
      <c r="AH328" t="s">
        <v>74</v>
      </c>
      <c r="AI328" t="s">
        <v>74</v>
      </c>
      <c r="AJ328" t="s">
        <v>74</v>
      </c>
      <c r="AK328" t="s">
        <v>74</v>
      </c>
      <c r="AL328" t="s">
        <v>74</v>
      </c>
      <c r="AM328" t="s">
        <v>74</v>
      </c>
      <c r="AN328" t="s">
        <v>74</v>
      </c>
      <c r="AO328" t="s">
        <v>121</v>
      </c>
      <c r="AP328" t="s">
        <v>74</v>
      </c>
      <c r="AQ328" t="s">
        <v>74</v>
      </c>
      <c r="AR328" t="s">
        <v>74</v>
      </c>
      <c r="AS328" t="s">
        <v>74</v>
      </c>
      <c r="AT328" t="s">
        <v>2492</v>
      </c>
      <c r="AU328">
        <v>2004</v>
      </c>
      <c r="AV328">
        <v>67</v>
      </c>
      <c r="AW328">
        <v>3</v>
      </c>
      <c r="AX328" t="s">
        <v>74</v>
      </c>
      <c r="AY328" t="s">
        <v>74</v>
      </c>
      <c r="AZ328" t="s">
        <v>74</v>
      </c>
      <c r="BA328" t="s">
        <v>74</v>
      </c>
      <c r="BB328">
        <v>491</v>
      </c>
      <c r="BC328">
        <v>499</v>
      </c>
      <c r="BD328" t="s">
        <v>74</v>
      </c>
      <c r="BE328" t="s">
        <v>2493</v>
      </c>
      <c r="BF328" t="str">
        <f>HYPERLINK("http://dx.doi.org/10.1016/j.beproc.2004.08.005","http://dx.doi.org/10.1016/j.beproc.2004.08.005")</f>
        <v>http://dx.doi.org/10.1016/j.beproc.2004.08.005</v>
      </c>
      <c r="BG328" t="s">
        <v>74</v>
      </c>
      <c r="BH328" t="s">
        <v>74</v>
      </c>
      <c r="BI328" t="s">
        <v>74</v>
      </c>
      <c r="BJ328" t="s">
        <v>74</v>
      </c>
      <c r="BK328" t="s">
        <v>74</v>
      </c>
      <c r="BL328" t="s">
        <v>74</v>
      </c>
      <c r="BM328" t="s">
        <v>74</v>
      </c>
      <c r="BN328">
        <v>15518998</v>
      </c>
      <c r="BO328" t="s">
        <v>74</v>
      </c>
      <c r="BP328" t="s">
        <v>74</v>
      </c>
      <c r="BQ328" t="s">
        <v>74</v>
      </c>
      <c r="BR328" t="s">
        <v>74</v>
      </c>
      <c r="BS328" t="s">
        <v>2494</v>
      </c>
      <c r="BT328" t="str">
        <f>HYPERLINK("https%3A%2F%2Fwww.webofscience.com%2Fwos%2Fwoscc%2Ffull-record%2FWOS:000225051100016","View Full Record in Web of Science")</f>
        <v>View Full Record in Web of Science</v>
      </c>
    </row>
    <row r="329" spans="1:72" x14ac:dyDescent="0.4">
      <c r="A329" t="s">
        <v>72</v>
      </c>
      <c r="B329" t="s">
        <v>2108</v>
      </c>
      <c r="C329" t="s">
        <v>74</v>
      </c>
      <c r="D329" t="s">
        <v>74</v>
      </c>
      <c r="E329" t="s">
        <v>74</v>
      </c>
      <c r="F329" t="s">
        <v>2108</v>
      </c>
      <c r="G329" t="s">
        <v>74</v>
      </c>
      <c r="H329" t="s">
        <v>74</v>
      </c>
      <c r="I329" t="s">
        <v>2109</v>
      </c>
      <c r="J329" t="s">
        <v>2110</v>
      </c>
      <c r="K329" t="s">
        <v>74</v>
      </c>
      <c r="L329" t="s">
        <v>74</v>
      </c>
      <c r="M329" t="s">
        <v>74</v>
      </c>
      <c r="N329" t="s">
        <v>74</v>
      </c>
      <c r="O329" t="s">
        <v>74</v>
      </c>
      <c r="P329" t="s">
        <v>74</v>
      </c>
      <c r="Q329" t="s">
        <v>74</v>
      </c>
      <c r="R329" t="s">
        <v>74</v>
      </c>
      <c r="S329" t="s">
        <v>74</v>
      </c>
      <c r="T329" t="s">
        <v>74</v>
      </c>
      <c r="U329" t="s">
        <v>74</v>
      </c>
      <c r="V329" s="3" t="s">
        <v>2111</v>
      </c>
      <c r="W329" t="s">
        <v>74</v>
      </c>
      <c r="X329" t="s">
        <v>74</v>
      </c>
      <c r="Y329" t="s">
        <v>74</v>
      </c>
      <c r="Z329" t="s">
        <v>74</v>
      </c>
      <c r="AA329" t="s">
        <v>74</v>
      </c>
      <c r="AB329" t="s">
        <v>74</v>
      </c>
      <c r="AC329" t="s">
        <v>74</v>
      </c>
      <c r="AD329" t="s">
        <v>74</v>
      </c>
      <c r="AE329" t="s">
        <v>74</v>
      </c>
      <c r="AF329" t="s">
        <v>74</v>
      </c>
      <c r="AG329" t="s">
        <v>74</v>
      </c>
      <c r="AH329" t="s">
        <v>74</v>
      </c>
      <c r="AI329" t="s">
        <v>74</v>
      </c>
      <c r="AJ329" t="s">
        <v>74</v>
      </c>
      <c r="AK329" t="s">
        <v>74</v>
      </c>
      <c r="AL329" t="s">
        <v>74</v>
      </c>
      <c r="AM329" t="s">
        <v>74</v>
      </c>
      <c r="AN329" t="s">
        <v>74</v>
      </c>
      <c r="AO329" t="s">
        <v>2112</v>
      </c>
      <c r="AP329" t="s">
        <v>74</v>
      </c>
      <c r="AQ329" t="s">
        <v>74</v>
      </c>
      <c r="AR329" t="s">
        <v>74</v>
      </c>
      <c r="AS329" t="s">
        <v>74</v>
      </c>
      <c r="AT329" t="s">
        <v>74</v>
      </c>
      <c r="AU329">
        <v>1978</v>
      </c>
      <c r="AV329">
        <v>46</v>
      </c>
      <c r="AW329">
        <v>1</v>
      </c>
      <c r="AX329" t="s">
        <v>74</v>
      </c>
      <c r="AY329" t="s">
        <v>74</v>
      </c>
      <c r="AZ329" t="s">
        <v>74</v>
      </c>
      <c r="BA329" t="s">
        <v>74</v>
      </c>
      <c r="BB329">
        <v>43</v>
      </c>
      <c r="BC329">
        <v>57</v>
      </c>
      <c r="BD329" t="s">
        <v>74</v>
      </c>
      <c r="BE329" t="s">
        <v>74</v>
      </c>
      <c r="BF329" t="s">
        <v>74</v>
      </c>
      <c r="BG329" t="s">
        <v>74</v>
      </c>
      <c r="BH329" t="s">
        <v>74</v>
      </c>
      <c r="BI329" t="s">
        <v>74</v>
      </c>
      <c r="BJ329" t="s">
        <v>74</v>
      </c>
      <c r="BK329" t="s">
        <v>74</v>
      </c>
      <c r="BL329" t="s">
        <v>74</v>
      </c>
      <c r="BM329" t="s">
        <v>74</v>
      </c>
      <c r="BN329">
        <v>566001</v>
      </c>
      <c r="BO329" t="s">
        <v>74</v>
      </c>
      <c r="BP329" t="s">
        <v>74</v>
      </c>
      <c r="BQ329" t="s">
        <v>74</v>
      </c>
      <c r="BR329" t="s">
        <v>74</v>
      </c>
      <c r="BS329" t="s">
        <v>2113</v>
      </c>
      <c r="BT329" t="str">
        <f>HYPERLINK("https%3A%2F%2Fwww.webofscience.com%2Fwos%2Fwoscc%2Ffull-record%2FWOS:A1978ES06300004","View Full Record in Web of Science")</f>
        <v>View Full Record in Web of Science</v>
      </c>
    </row>
    <row r="330" spans="1:72" x14ac:dyDescent="0.4">
      <c r="A330" t="s">
        <v>72</v>
      </c>
      <c r="B330" t="s">
        <v>2142</v>
      </c>
      <c r="C330" t="s">
        <v>74</v>
      </c>
      <c r="D330" t="s">
        <v>74</v>
      </c>
      <c r="E330" t="s">
        <v>74</v>
      </c>
      <c r="F330" t="s">
        <v>2142</v>
      </c>
      <c r="G330" t="s">
        <v>74</v>
      </c>
      <c r="H330" t="s">
        <v>74</v>
      </c>
      <c r="I330" t="s">
        <v>2143</v>
      </c>
      <c r="J330" t="s">
        <v>2144</v>
      </c>
      <c r="K330" t="s">
        <v>74</v>
      </c>
      <c r="L330" t="s">
        <v>74</v>
      </c>
      <c r="M330" t="s">
        <v>74</v>
      </c>
      <c r="N330" t="s">
        <v>74</v>
      </c>
      <c r="O330" t="s">
        <v>74</v>
      </c>
      <c r="P330" t="s">
        <v>74</v>
      </c>
      <c r="Q330" t="s">
        <v>74</v>
      </c>
      <c r="R330" t="s">
        <v>74</v>
      </c>
      <c r="S330" t="s">
        <v>74</v>
      </c>
      <c r="T330" t="s">
        <v>74</v>
      </c>
      <c r="U330" t="s">
        <v>74</v>
      </c>
      <c r="V330" s="3" t="s">
        <v>2145</v>
      </c>
      <c r="W330" t="s">
        <v>74</v>
      </c>
      <c r="X330" t="s">
        <v>74</v>
      </c>
      <c r="Y330" t="s">
        <v>74</v>
      </c>
      <c r="Z330" t="s">
        <v>74</v>
      </c>
      <c r="AA330" t="s">
        <v>74</v>
      </c>
      <c r="AB330" t="s">
        <v>74</v>
      </c>
      <c r="AC330" t="s">
        <v>74</v>
      </c>
      <c r="AD330" t="s">
        <v>74</v>
      </c>
      <c r="AE330" t="s">
        <v>74</v>
      </c>
      <c r="AF330" t="s">
        <v>74</v>
      </c>
      <c r="AG330" t="s">
        <v>74</v>
      </c>
      <c r="AH330" t="s">
        <v>74</v>
      </c>
      <c r="AI330" t="s">
        <v>74</v>
      </c>
      <c r="AJ330" t="s">
        <v>74</v>
      </c>
      <c r="AK330" t="s">
        <v>74</v>
      </c>
      <c r="AL330" t="s">
        <v>74</v>
      </c>
      <c r="AM330" t="s">
        <v>74</v>
      </c>
      <c r="AN330" t="s">
        <v>74</v>
      </c>
      <c r="AO330" t="s">
        <v>2146</v>
      </c>
      <c r="AP330" t="s">
        <v>2147</v>
      </c>
      <c r="AQ330" t="s">
        <v>74</v>
      </c>
      <c r="AR330" t="s">
        <v>74</v>
      </c>
      <c r="AS330" t="s">
        <v>74</v>
      </c>
      <c r="AT330" t="s">
        <v>74</v>
      </c>
      <c r="AU330">
        <v>1980</v>
      </c>
      <c r="AV330">
        <v>7</v>
      </c>
      <c r="AW330">
        <v>2</v>
      </c>
      <c r="AX330" t="s">
        <v>74</v>
      </c>
      <c r="AY330" t="s">
        <v>74</v>
      </c>
      <c r="AZ330" t="s">
        <v>74</v>
      </c>
      <c r="BA330" t="s">
        <v>74</v>
      </c>
      <c r="BB330">
        <v>211</v>
      </c>
      <c r="BC330">
        <v>220</v>
      </c>
      <c r="BD330" t="s">
        <v>74</v>
      </c>
      <c r="BE330" t="s">
        <v>2148</v>
      </c>
      <c r="BF330" t="str">
        <f>HYPERLINK("http://dx.doi.org/10.1080/03014223.1980.10423778","http://dx.doi.org/10.1080/03014223.1980.10423778")</f>
        <v>http://dx.doi.org/10.1080/03014223.1980.10423778</v>
      </c>
      <c r="BG330" t="s">
        <v>74</v>
      </c>
      <c r="BH330" t="s">
        <v>74</v>
      </c>
      <c r="BI330" t="s">
        <v>74</v>
      </c>
      <c r="BJ330" t="s">
        <v>74</v>
      </c>
      <c r="BK330" t="s">
        <v>74</v>
      </c>
      <c r="BL330" t="s">
        <v>74</v>
      </c>
      <c r="BM330" t="s">
        <v>74</v>
      </c>
      <c r="BN330" t="s">
        <v>74</v>
      </c>
      <c r="BO330" t="s">
        <v>74</v>
      </c>
      <c r="BP330" t="s">
        <v>74</v>
      </c>
      <c r="BQ330" t="s">
        <v>74</v>
      </c>
      <c r="BR330" t="s">
        <v>74</v>
      </c>
      <c r="BS330" t="s">
        <v>2149</v>
      </c>
      <c r="BT330" t="str">
        <f>HYPERLINK("https%3A%2F%2Fwww.webofscience.com%2Fwos%2Fwoscc%2Ffull-record%2FWOS:A1980JX22800006","View Full Record in Web of Science")</f>
        <v>View Full Record in Web of Science</v>
      </c>
    </row>
    <row r="331" spans="1:72" x14ac:dyDescent="0.4">
      <c r="A331" t="s">
        <v>72</v>
      </c>
      <c r="B331" t="s">
        <v>2985</v>
      </c>
      <c r="C331" t="s">
        <v>74</v>
      </c>
      <c r="D331" t="s">
        <v>74</v>
      </c>
      <c r="E331" t="s">
        <v>74</v>
      </c>
      <c r="F331" t="s">
        <v>2986</v>
      </c>
      <c r="G331" t="s">
        <v>74</v>
      </c>
      <c r="H331" t="s">
        <v>74</v>
      </c>
      <c r="I331" t="s">
        <v>2987</v>
      </c>
      <c r="J331" t="s">
        <v>129</v>
      </c>
      <c r="K331" t="s">
        <v>74</v>
      </c>
      <c r="L331" t="s">
        <v>74</v>
      </c>
      <c r="M331" t="s">
        <v>74</v>
      </c>
      <c r="N331" t="s">
        <v>74</v>
      </c>
      <c r="O331" t="s">
        <v>74</v>
      </c>
      <c r="P331" t="s">
        <v>74</v>
      </c>
      <c r="Q331" t="s">
        <v>74</v>
      </c>
      <c r="R331" t="s">
        <v>74</v>
      </c>
      <c r="S331" t="s">
        <v>74</v>
      </c>
      <c r="T331" t="s">
        <v>74</v>
      </c>
      <c r="U331" t="s">
        <v>74</v>
      </c>
      <c r="V331" s="3" t="s">
        <v>2988</v>
      </c>
      <c r="W331" t="s">
        <v>74</v>
      </c>
      <c r="X331" t="s">
        <v>74</v>
      </c>
      <c r="Y331" t="s">
        <v>74</v>
      </c>
      <c r="Z331" t="s">
        <v>74</v>
      </c>
      <c r="AA331" t="s">
        <v>2989</v>
      </c>
      <c r="AB331" t="s">
        <v>2990</v>
      </c>
      <c r="AC331" t="s">
        <v>74</v>
      </c>
      <c r="AD331" t="s">
        <v>74</v>
      </c>
      <c r="AE331" t="s">
        <v>74</v>
      </c>
      <c r="AF331" t="s">
        <v>74</v>
      </c>
      <c r="AG331" t="s">
        <v>74</v>
      </c>
      <c r="AH331" t="s">
        <v>74</v>
      </c>
      <c r="AI331" t="s">
        <v>74</v>
      </c>
      <c r="AJ331" t="s">
        <v>74</v>
      </c>
      <c r="AK331" t="s">
        <v>74</v>
      </c>
      <c r="AL331" t="s">
        <v>74</v>
      </c>
      <c r="AM331" t="s">
        <v>74</v>
      </c>
      <c r="AN331" t="s">
        <v>74</v>
      </c>
      <c r="AO331" t="s">
        <v>132</v>
      </c>
      <c r="AP331" t="s">
        <v>133</v>
      </c>
      <c r="AQ331" t="s">
        <v>74</v>
      </c>
      <c r="AR331" t="s">
        <v>74</v>
      </c>
      <c r="AS331" t="s">
        <v>74</v>
      </c>
      <c r="AT331" t="s">
        <v>134</v>
      </c>
      <c r="AU331">
        <v>2007</v>
      </c>
      <c r="AV331">
        <v>61</v>
      </c>
      <c r="AW331">
        <v>7</v>
      </c>
      <c r="AX331" t="s">
        <v>74</v>
      </c>
      <c r="AY331" t="s">
        <v>74</v>
      </c>
      <c r="AZ331" t="s">
        <v>74</v>
      </c>
      <c r="BA331" t="s">
        <v>74</v>
      </c>
      <c r="BB331">
        <v>1121</v>
      </c>
      <c r="BC331">
        <v>1131</v>
      </c>
      <c r="BD331" t="s">
        <v>74</v>
      </c>
      <c r="BE331" t="s">
        <v>2991</v>
      </c>
      <c r="BF331" t="str">
        <f>HYPERLINK("http://dx.doi.org/10.1007/s00265-006-0345-3","http://dx.doi.org/10.1007/s00265-006-0345-3")</f>
        <v>http://dx.doi.org/10.1007/s00265-006-0345-3</v>
      </c>
      <c r="BG331" t="s">
        <v>74</v>
      </c>
      <c r="BH331" t="s">
        <v>74</v>
      </c>
      <c r="BI331" t="s">
        <v>74</v>
      </c>
      <c r="BJ331" t="s">
        <v>74</v>
      </c>
      <c r="BK331" t="s">
        <v>74</v>
      </c>
      <c r="BL331" t="s">
        <v>74</v>
      </c>
      <c r="BM331" t="s">
        <v>74</v>
      </c>
      <c r="BN331" t="s">
        <v>74</v>
      </c>
      <c r="BO331" t="s">
        <v>74</v>
      </c>
      <c r="BP331" t="s">
        <v>74</v>
      </c>
      <c r="BQ331" t="s">
        <v>74</v>
      </c>
      <c r="BR331" t="s">
        <v>74</v>
      </c>
      <c r="BS331" t="s">
        <v>2992</v>
      </c>
      <c r="BT331" t="str">
        <f>HYPERLINK("https%3A%2F%2Fwww.webofscience.com%2Fwos%2Fwoscc%2Ffull-record%2FWOS:000245519700015","View Full Record in Web of Science")</f>
        <v>View Full Record in Web of Science</v>
      </c>
    </row>
    <row r="332" spans="1:72" x14ac:dyDescent="0.4">
      <c r="A332" t="s">
        <v>72</v>
      </c>
      <c r="B332" t="s">
        <v>7291</v>
      </c>
      <c r="C332" t="s">
        <v>74</v>
      </c>
      <c r="D332" t="s">
        <v>74</v>
      </c>
      <c r="E332" t="s">
        <v>74</v>
      </c>
      <c r="F332" t="s">
        <v>7291</v>
      </c>
      <c r="G332" t="s">
        <v>74</v>
      </c>
      <c r="H332" t="s">
        <v>74</v>
      </c>
      <c r="I332" t="s">
        <v>7292</v>
      </c>
      <c r="J332" t="s">
        <v>2629</v>
      </c>
      <c r="K332" t="s">
        <v>74</v>
      </c>
      <c r="L332" t="s">
        <v>74</v>
      </c>
      <c r="M332" t="s">
        <v>74</v>
      </c>
      <c r="N332" t="s">
        <v>74</v>
      </c>
      <c r="O332" t="s">
        <v>74</v>
      </c>
      <c r="P332" t="s">
        <v>74</v>
      </c>
      <c r="Q332" t="s">
        <v>74</v>
      </c>
      <c r="R332" t="s">
        <v>74</v>
      </c>
      <c r="S332" t="s">
        <v>74</v>
      </c>
      <c r="T332" t="s">
        <v>74</v>
      </c>
      <c r="U332" t="s">
        <v>74</v>
      </c>
      <c r="V332" s="3" t="s">
        <v>7293</v>
      </c>
      <c r="W332" t="s">
        <v>74</v>
      </c>
      <c r="X332" t="s">
        <v>74</v>
      </c>
      <c r="Y332" t="s">
        <v>74</v>
      </c>
      <c r="Z332" t="s">
        <v>74</v>
      </c>
      <c r="AA332" t="s">
        <v>74</v>
      </c>
      <c r="AB332" t="s">
        <v>74</v>
      </c>
      <c r="AC332" t="s">
        <v>74</v>
      </c>
      <c r="AD332" t="s">
        <v>74</v>
      </c>
      <c r="AE332" t="s">
        <v>74</v>
      </c>
      <c r="AF332" t="s">
        <v>74</v>
      </c>
      <c r="AG332" t="s">
        <v>74</v>
      </c>
      <c r="AH332" t="s">
        <v>74</v>
      </c>
      <c r="AI332" t="s">
        <v>74</v>
      </c>
      <c r="AJ332" t="s">
        <v>74</v>
      </c>
      <c r="AK332" t="s">
        <v>74</v>
      </c>
      <c r="AL332" t="s">
        <v>74</v>
      </c>
      <c r="AM332" t="s">
        <v>74</v>
      </c>
      <c r="AN332" t="s">
        <v>74</v>
      </c>
      <c r="AO332" t="s">
        <v>2632</v>
      </c>
      <c r="AP332" t="s">
        <v>74</v>
      </c>
      <c r="AQ332" t="s">
        <v>74</v>
      </c>
      <c r="AR332" t="s">
        <v>74</v>
      </c>
      <c r="AS332" t="s">
        <v>74</v>
      </c>
      <c r="AT332" t="s">
        <v>74</v>
      </c>
      <c r="AU332">
        <v>2000</v>
      </c>
      <c r="AV332">
        <v>48</v>
      </c>
      <c r="AW332">
        <v>4</v>
      </c>
      <c r="AX332" t="s">
        <v>74</v>
      </c>
      <c r="AY332" t="s">
        <v>74</v>
      </c>
      <c r="AZ332" t="s">
        <v>74</v>
      </c>
      <c r="BA332" t="s">
        <v>74</v>
      </c>
      <c r="BB332">
        <v>393</v>
      </c>
      <c r="BC332">
        <v>409</v>
      </c>
      <c r="BD332" t="s">
        <v>74</v>
      </c>
      <c r="BE332" t="s">
        <v>7294</v>
      </c>
      <c r="BF332" t="str">
        <f>HYPERLINK("http://dx.doi.org/10.1071/ZO00046","http://dx.doi.org/10.1071/ZO00046")</f>
        <v>http://dx.doi.org/10.1071/ZO00046</v>
      </c>
      <c r="BG332" t="s">
        <v>74</v>
      </c>
      <c r="BH332" t="s">
        <v>74</v>
      </c>
      <c r="BI332" t="s">
        <v>74</v>
      </c>
      <c r="BJ332" t="s">
        <v>74</v>
      </c>
      <c r="BK332" t="s">
        <v>74</v>
      </c>
      <c r="BL332" t="s">
        <v>74</v>
      </c>
      <c r="BM332" t="s">
        <v>74</v>
      </c>
      <c r="BN332" t="s">
        <v>74</v>
      </c>
      <c r="BO332" t="s">
        <v>74</v>
      </c>
      <c r="BP332" t="s">
        <v>74</v>
      </c>
      <c r="BQ332" t="s">
        <v>74</v>
      </c>
      <c r="BR332" t="s">
        <v>74</v>
      </c>
      <c r="BS332" t="s">
        <v>7295</v>
      </c>
      <c r="BT332" t="str">
        <f>HYPERLINK("https%3A%2F%2Fwww.webofscience.com%2Fwos%2Fwoscc%2Ffull-record%2FWOS:000089592900007","View Full Record in Web of Science")</f>
        <v>View Full Record in Web of Science</v>
      </c>
    </row>
    <row r="333" spans="1:72" x14ac:dyDescent="0.4">
      <c r="A333" t="s">
        <v>72</v>
      </c>
      <c r="B333" t="s">
        <v>8175</v>
      </c>
      <c r="C333" t="s">
        <v>74</v>
      </c>
      <c r="D333" t="s">
        <v>74</v>
      </c>
      <c r="E333" t="s">
        <v>74</v>
      </c>
      <c r="F333" t="s">
        <v>8176</v>
      </c>
      <c r="G333" t="s">
        <v>74</v>
      </c>
      <c r="H333" t="s">
        <v>74</v>
      </c>
      <c r="I333" t="s">
        <v>8177</v>
      </c>
      <c r="J333" t="s">
        <v>8178</v>
      </c>
      <c r="K333" t="s">
        <v>74</v>
      </c>
      <c r="L333" t="s">
        <v>74</v>
      </c>
      <c r="M333" t="s">
        <v>74</v>
      </c>
      <c r="N333" t="s">
        <v>74</v>
      </c>
      <c r="O333" t="s">
        <v>74</v>
      </c>
      <c r="P333" t="s">
        <v>74</v>
      </c>
      <c r="Q333" t="s">
        <v>74</v>
      </c>
      <c r="R333" t="s">
        <v>74</v>
      </c>
      <c r="S333" t="s">
        <v>74</v>
      </c>
      <c r="T333" t="s">
        <v>74</v>
      </c>
      <c r="U333" t="s">
        <v>74</v>
      </c>
      <c r="V333" s="3" t="s">
        <v>8179</v>
      </c>
      <c r="W333" t="s">
        <v>74</v>
      </c>
      <c r="X333" t="s">
        <v>74</v>
      </c>
      <c r="Y333" t="s">
        <v>74</v>
      </c>
      <c r="Z333" t="s">
        <v>74</v>
      </c>
      <c r="AA333" t="s">
        <v>74</v>
      </c>
      <c r="AB333" t="s">
        <v>74</v>
      </c>
      <c r="AC333" t="s">
        <v>74</v>
      </c>
      <c r="AD333" t="s">
        <v>74</v>
      </c>
      <c r="AE333" t="s">
        <v>74</v>
      </c>
      <c r="AF333" t="s">
        <v>74</v>
      </c>
      <c r="AG333" t="s">
        <v>74</v>
      </c>
      <c r="AH333" t="s">
        <v>74</v>
      </c>
      <c r="AI333" t="s">
        <v>74</v>
      </c>
      <c r="AJ333" t="s">
        <v>74</v>
      </c>
      <c r="AK333" t="s">
        <v>74</v>
      </c>
      <c r="AL333" t="s">
        <v>74</v>
      </c>
      <c r="AM333" t="s">
        <v>74</v>
      </c>
      <c r="AN333" t="s">
        <v>74</v>
      </c>
      <c r="AO333" t="s">
        <v>8180</v>
      </c>
      <c r="AP333" t="s">
        <v>8181</v>
      </c>
      <c r="AQ333" t="s">
        <v>74</v>
      </c>
      <c r="AR333" t="s">
        <v>74</v>
      </c>
      <c r="AS333" t="s">
        <v>74</v>
      </c>
      <c r="AT333" t="s">
        <v>134</v>
      </c>
      <c r="AU333">
        <v>2020</v>
      </c>
      <c r="AV333">
        <v>148</v>
      </c>
      <c r="AW333" t="s">
        <v>74</v>
      </c>
      <c r="AX333" t="s">
        <v>74</v>
      </c>
      <c r="AY333" t="s">
        <v>74</v>
      </c>
      <c r="AZ333" t="s">
        <v>74</v>
      </c>
      <c r="BA333" t="s">
        <v>74</v>
      </c>
      <c r="BB333">
        <v>132</v>
      </c>
      <c r="BC333">
        <v>139</v>
      </c>
      <c r="BD333" t="s">
        <v>74</v>
      </c>
      <c r="BE333" t="s">
        <v>8182</v>
      </c>
      <c r="BF333" t="str">
        <f>HYPERLINK("http://dx.doi.org/10.1016/j.theriogenology.2020.03.004","http://dx.doi.org/10.1016/j.theriogenology.2020.03.004")</f>
        <v>http://dx.doi.org/10.1016/j.theriogenology.2020.03.004</v>
      </c>
      <c r="BG333" t="s">
        <v>74</v>
      </c>
      <c r="BH333" t="s">
        <v>74</v>
      </c>
      <c r="BI333" t="s">
        <v>74</v>
      </c>
      <c r="BJ333" t="s">
        <v>74</v>
      </c>
      <c r="BK333" t="s">
        <v>74</v>
      </c>
      <c r="BL333" t="s">
        <v>74</v>
      </c>
      <c r="BM333" t="s">
        <v>74</v>
      </c>
      <c r="BN333">
        <v>32171972</v>
      </c>
      <c r="BO333" t="s">
        <v>74</v>
      </c>
      <c r="BP333" t="s">
        <v>74</v>
      </c>
      <c r="BQ333" t="s">
        <v>74</v>
      </c>
      <c r="BR333" t="s">
        <v>74</v>
      </c>
      <c r="BS333" t="s">
        <v>8183</v>
      </c>
      <c r="BT333" t="str">
        <f>HYPERLINK("https%3A%2F%2Fwww.webofscience.com%2Fwos%2Fwoscc%2Ffull-record%2FWOS:000527365800015","View Full Record in Web of Science")</f>
        <v>View Full Record in Web of Science</v>
      </c>
    </row>
    <row r="334" spans="1:72" x14ac:dyDescent="0.4">
      <c r="A334" t="s">
        <v>72</v>
      </c>
      <c r="B334" t="s">
        <v>7871</v>
      </c>
      <c r="C334" t="s">
        <v>74</v>
      </c>
      <c r="D334" t="s">
        <v>74</v>
      </c>
      <c r="E334" t="s">
        <v>74</v>
      </c>
      <c r="F334" t="s">
        <v>7871</v>
      </c>
      <c r="G334" t="s">
        <v>74</v>
      </c>
      <c r="H334" t="s">
        <v>74</v>
      </c>
      <c r="I334" t="s">
        <v>7872</v>
      </c>
      <c r="J334" t="s">
        <v>576</v>
      </c>
      <c r="K334" t="s">
        <v>74</v>
      </c>
      <c r="L334" t="s">
        <v>74</v>
      </c>
      <c r="M334" t="s">
        <v>74</v>
      </c>
      <c r="N334" t="s">
        <v>74</v>
      </c>
      <c r="O334" t="s">
        <v>74</v>
      </c>
      <c r="P334" t="s">
        <v>74</v>
      </c>
      <c r="Q334" t="s">
        <v>74</v>
      </c>
      <c r="R334" t="s">
        <v>74</v>
      </c>
      <c r="S334" t="s">
        <v>74</v>
      </c>
      <c r="T334" t="s">
        <v>74</v>
      </c>
      <c r="U334" t="s">
        <v>74</v>
      </c>
      <c r="V334" s="3" t="s">
        <v>7873</v>
      </c>
      <c r="W334" t="s">
        <v>74</v>
      </c>
      <c r="X334" t="s">
        <v>74</v>
      </c>
      <c r="Y334" t="s">
        <v>74</v>
      </c>
      <c r="Z334" t="s">
        <v>74</v>
      </c>
      <c r="AA334" t="s">
        <v>74</v>
      </c>
      <c r="AB334" t="s">
        <v>74</v>
      </c>
      <c r="AC334" t="s">
        <v>74</v>
      </c>
      <c r="AD334" t="s">
        <v>74</v>
      </c>
      <c r="AE334" t="s">
        <v>74</v>
      </c>
      <c r="AF334" t="s">
        <v>74</v>
      </c>
      <c r="AG334" t="s">
        <v>74</v>
      </c>
      <c r="AH334" t="s">
        <v>74</v>
      </c>
      <c r="AI334" t="s">
        <v>74</v>
      </c>
      <c r="AJ334" t="s">
        <v>74</v>
      </c>
      <c r="AK334" t="s">
        <v>74</v>
      </c>
      <c r="AL334" t="s">
        <v>74</v>
      </c>
      <c r="AM334" t="s">
        <v>74</v>
      </c>
      <c r="AN334" t="s">
        <v>74</v>
      </c>
      <c r="AO334" t="s">
        <v>579</v>
      </c>
      <c r="AP334" t="s">
        <v>74</v>
      </c>
      <c r="AQ334" t="s">
        <v>74</v>
      </c>
      <c r="AR334" t="s">
        <v>74</v>
      </c>
      <c r="AS334" t="s">
        <v>74</v>
      </c>
      <c r="AT334" t="s">
        <v>204</v>
      </c>
      <c r="AU334">
        <v>1994</v>
      </c>
      <c r="AV334">
        <v>8</v>
      </c>
      <c r="AW334">
        <v>4</v>
      </c>
      <c r="AX334" t="s">
        <v>74</v>
      </c>
      <c r="AY334" t="s">
        <v>74</v>
      </c>
      <c r="AZ334" t="s">
        <v>74</v>
      </c>
      <c r="BA334" t="s">
        <v>74</v>
      </c>
      <c r="BB334">
        <v>348</v>
      </c>
      <c r="BC334">
        <v>356</v>
      </c>
      <c r="BD334" t="s">
        <v>74</v>
      </c>
      <c r="BE334" t="s">
        <v>7874</v>
      </c>
      <c r="BF334" t="str">
        <f>HYPERLINK("http://dx.doi.org/10.1007/BF01238187","http://dx.doi.org/10.1007/BF01238187")</f>
        <v>http://dx.doi.org/10.1007/BF01238187</v>
      </c>
      <c r="BG334" t="s">
        <v>74</v>
      </c>
      <c r="BH334" t="s">
        <v>74</v>
      </c>
      <c r="BI334" t="s">
        <v>74</v>
      </c>
      <c r="BJ334" t="s">
        <v>74</v>
      </c>
      <c r="BK334" t="s">
        <v>74</v>
      </c>
      <c r="BL334" t="s">
        <v>74</v>
      </c>
      <c r="BM334" t="s">
        <v>74</v>
      </c>
      <c r="BN334" t="s">
        <v>74</v>
      </c>
      <c r="BO334" t="s">
        <v>74</v>
      </c>
      <c r="BP334" t="s">
        <v>74</v>
      </c>
      <c r="BQ334" t="s">
        <v>74</v>
      </c>
      <c r="BR334" t="s">
        <v>74</v>
      </c>
      <c r="BS334" t="s">
        <v>7875</v>
      </c>
      <c r="BT334" t="str">
        <f>HYPERLINK("https%3A%2F%2Fwww.webofscience.com%2Fwos%2Fwoscc%2Ffull-record%2FWOS:A1994NY27800002","View Full Record in Web of Science")</f>
        <v>View Full Record in Web of Science</v>
      </c>
    </row>
    <row r="335" spans="1:72" x14ac:dyDescent="0.4">
      <c r="A335" t="s">
        <v>72</v>
      </c>
      <c r="B335" t="s">
        <v>4047</v>
      </c>
      <c r="C335" t="s">
        <v>74</v>
      </c>
      <c r="D335" t="s">
        <v>74</v>
      </c>
      <c r="E335" t="s">
        <v>74</v>
      </c>
      <c r="F335" t="s">
        <v>4048</v>
      </c>
      <c r="G335" t="s">
        <v>74</v>
      </c>
      <c r="H335" t="s">
        <v>74</v>
      </c>
      <c r="I335" t="s">
        <v>4049</v>
      </c>
      <c r="J335" t="s">
        <v>763</v>
      </c>
      <c r="K335" t="s">
        <v>74</v>
      </c>
      <c r="L335" t="s">
        <v>74</v>
      </c>
      <c r="M335" t="s">
        <v>74</v>
      </c>
      <c r="N335" t="s">
        <v>74</v>
      </c>
      <c r="O335" t="s">
        <v>74</v>
      </c>
      <c r="P335" t="s">
        <v>74</v>
      </c>
      <c r="Q335" t="s">
        <v>74</v>
      </c>
      <c r="R335" t="s">
        <v>74</v>
      </c>
      <c r="S335" t="s">
        <v>74</v>
      </c>
      <c r="T335" t="s">
        <v>74</v>
      </c>
      <c r="U335" t="s">
        <v>74</v>
      </c>
      <c r="V335" s="3" t="s">
        <v>4050</v>
      </c>
      <c r="W335" t="s">
        <v>74</v>
      </c>
      <c r="X335" t="s">
        <v>74</v>
      </c>
      <c r="Y335" t="s">
        <v>74</v>
      </c>
      <c r="Z335" t="s">
        <v>74</v>
      </c>
      <c r="AA335" t="s">
        <v>74</v>
      </c>
      <c r="AB335" t="s">
        <v>74</v>
      </c>
      <c r="AC335" t="s">
        <v>74</v>
      </c>
      <c r="AD335" t="s">
        <v>74</v>
      </c>
      <c r="AE335" t="s">
        <v>74</v>
      </c>
      <c r="AF335" t="s">
        <v>74</v>
      </c>
      <c r="AG335" t="s">
        <v>74</v>
      </c>
      <c r="AH335" t="s">
        <v>74</v>
      </c>
      <c r="AI335" t="s">
        <v>74</v>
      </c>
      <c r="AJ335" t="s">
        <v>74</v>
      </c>
      <c r="AK335" t="s">
        <v>74</v>
      </c>
      <c r="AL335" t="s">
        <v>74</v>
      </c>
      <c r="AM335" t="s">
        <v>74</v>
      </c>
      <c r="AN335" t="s">
        <v>74</v>
      </c>
      <c r="AO335" t="s">
        <v>767</v>
      </c>
      <c r="AP335" t="s">
        <v>768</v>
      </c>
      <c r="AQ335" t="s">
        <v>74</v>
      </c>
      <c r="AR335" t="s">
        <v>74</v>
      </c>
      <c r="AS335" t="s">
        <v>74</v>
      </c>
      <c r="AT335" t="s">
        <v>145</v>
      </c>
      <c r="AU335">
        <v>2013</v>
      </c>
      <c r="AV335">
        <v>216</v>
      </c>
      <c r="AW335">
        <v>15</v>
      </c>
      <c r="AX335" t="s">
        <v>74</v>
      </c>
      <c r="AY335" t="s">
        <v>74</v>
      </c>
      <c r="AZ335" t="s">
        <v>74</v>
      </c>
      <c r="BA335" t="s">
        <v>74</v>
      </c>
      <c r="BB335">
        <v>2806</v>
      </c>
      <c r="BC335">
        <v>2812</v>
      </c>
      <c r="BD335" t="s">
        <v>74</v>
      </c>
      <c r="BE335" t="s">
        <v>4051</v>
      </c>
      <c r="BF335" t="str">
        <f>HYPERLINK("http://dx.doi.org/10.1242/jeb.084889","http://dx.doi.org/10.1242/jeb.084889")</f>
        <v>http://dx.doi.org/10.1242/jeb.084889</v>
      </c>
      <c r="BG335" t="s">
        <v>74</v>
      </c>
      <c r="BH335" t="s">
        <v>74</v>
      </c>
      <c r="BI335" t="s">
        <v>74</v>
      </c>
      <c r="BJ335" t="s">
        <v>74</v>
      </c>
      <c r="BK335" t="s">
        <v>74</v>
      </c>
      <c r="BL335" t="s">
        <v>74</v>
      </c>
      <c r="BM335" t="s">
        <v>74</v>
      </c>
      <c r="BN335">
        <v>23580716</v>
      </c>
      <c r="BO335" t="s">
        <v>74</v>
      </c>
      <c r="BP335" t="s">
        <v>74</v>
      </c>
      <c r="BQ335" t="s">
        <v>74</v>
      </c>
      <c r="BR335" t="s">
        <v>74</v>
      </c>
      <c r="BS335" t="s">
        <v>4052</v>
      </c>
      <c r="BT335" t="str">
        <f>HYPERLINK("https%3A%2F%2Fwww.webofscience.com%2Fwos%2Fwoscc%2Ffull-record%2FWOS:000321614700015","View Full Record in Web of Science")</f>
        <v>View Full Record in Web of Science</v>
      </c>
    </row>
    <row r="336" spans="1:72" x14ac:dyDescent="0.4">
      <c r="A336" t="s">
        <v>72</v>
      </c>
      <c r="B336" t="s">
        <v>3134</v>
      </c>
      <c r="C336" t="s">
        <v>74</v>
      </c>
      <c r="D336" t="s">
        <v>74</v>
      </c>
      <c r="E336" t="s">
        <v>74</v>
      </c>
      <c r="F336" t="s">
        <v>3135</v>
      </c>
      <c r="G336" t="s">
        <v>74</v>
      </c>
      <c r="H336" t="s">
        <v>74</v>
      </c>
      <c r="I336" t="s">
        <v>3136</v>
      </c>
      <c r="J336" t="s">
        <v>108</v>
      </c>
      <c r="K336" t="s">
        <v>74</v>
      </c>
      <c r="L336" t="s">
        <v>74</v>
      </c>
      <c r="M336" t="s">
        <v>74</v>
      </c>
      <c r="N336" t="s">
        <v>74</v>
      </c>
      <c r="O336" t="s">
        <v>74</v>
      </c>
      <c r="P336" t="s">
        <v>74</v>
      </c>
      <c r="Q336" t="s">
        <v>74</v>
      </c>
      <c r="R336" t="s">
        <v>74</v>
      </c>
      <c r="S336" t="s">
        <v>74</v>
      </c>
      <c r="T336" t="s">
        <v>74</v>
      </c>
      <c r="U336" t="s">
        <v>74</v>
      </c>
      <c r="V336" s="3" t="s">
        <v>3137</v>
      </c>
      <c r="W336" t="s">
        <v>74</v>
      </c>
      <c r="X336" t="s">
        <v>74</v>
      </c>
      <c r="Y336" t="s">
        <v>74</v>
      </c>
      <c r="Z336" t="s">
        <v>74</v>
      </c>
      <c r="AA336" t="s">
        <v>3138</v>
      </c>
      <c r="AB336" t="s">
        <v>3139</v>
      </c>
      <c r="AC336" t="s">
        <v>74</v>
      </c>
      <c r="AD336" t="s">
        <v>74</v>
      </c>
      <c r="AE336" t="s">
        <v>74</v>
      </c>
      <c r="AF336" t="s">
        <v>74</v>
      </c>
      <c r="AG336" t="s">
        <v>74</v>
      </c>
      <c r="AH336" t="s">
        <v>74</v>
      </c>
      <c r="AI336" t="s">
        <v>74</v>
      </c>
      <c r="AJ336" t="s">
        <v>74</v>
      </c>
      <c r="AK336" t="s">
        <v>74</v>
      </c>
      <c r="AL336" t="s">
        <v>74</v>
      </c>
      <c r="AM336" t="s">
        <v>74</v>
      </c>
      <c r="AN336" t="s">
        <v>74</v>
      </c>
      <c r="AO336" t="s">
        <v>111</v>
      </c>
      <c r="AP336" t="s">
        <v>74</v>
      </c>
      <c r="AQ336" t="s">
        <v>74</v>
      </c>
      <c r="AR336" t="s">
        <v>74</v>
      </c>
      <c r="AS336" t="s">
        <v>74</v>
      </c>
      <c r="AT336" t="s">
        <v>3140</v>
      </c>
      <c r="AU336">
        <v>2011</v>
      </c>
      <c r="AV336">
        <v>278</v>
      </c>
      <c r="AW336">
        <v>1720</v>
      </c>
      <c r="AX336" t="s">
        <v>74</v>
      </c>
      <c r="AY336" t="s">
        <v>74</v>
      </c>
      <c r="AZ336" t="s">
        <v>74</v>
      </c>
      <c r="BA336" t="s">
        <v>74</v>
      </c>
      <c r="BB336">
        <v>2891</v>
      </c>
      <c r="BC336">
        <v>2899</v>
      </c>
      <c r="BD336" t="s">
        <v>74</v>
      </c>
      <c r="BE336" t="s">
        <v>3141</v>
      </c>
      <c r="BF336" t="str">
        <f>HYPERLINK("http://dx.doi.org/10.1098/rspb.2011.0118","http://dx.doi.org/10.1098/rspb.2011.0118")</f>
        <v>http://dx.doi.org/10.1098/rspb.2011.0118</v>
      </c>
      <c r="BG336" t="s">
        <v>74</v>
      </c>
      <c r="BH336" t="s">
        <v>74</v>
      </c>
      <c r="BI336" t="s">
        <v>74</v>
      </c>
      <c r="BJ336" t="s">
        <v>74</v>
      </c>
      <c r="BK336" t="s">
        <v>74</v>
      </c>
      <c r="BL336" t="s">
        <v>74</v>
      </c>
      <c r="BM336" t="s">
        <v>74</v>
      </c>
      <c r="BN336">
        <v>21389031</v>
      </c>
      <c r="BO336" t="s">
        <v>74</v>
      </c>
      <c r="BP336" t="s">
        <v>74</v>
      </c>
      <c r="BQ336" t="s">
        <v>74</v>
      </c>
      <c r="BR336" t="s">
        <v>74</v>
      </c>
      <c r="BS336" t="s">
        <v>3142</v>
      </c>
      <c r="BT336" t="str">
        <f>HYPERLINK("https%3A%2F%2Fwww.webofscience.com%2Fwos%2Fwoscc%2Ffull-record%2FWOS:000294244900005","View Full Record in Web of Science")</f>
        <v>View Full Record in Web of Science</v>
      </c>
    </row>
    <row r="337" spans="1:72" x14ac:dyDescent="0.4">
      <c r="A337" t="s">
        <v>72</v>
      </c>
      <c r="B337" t="s">
        <v>2873</v>
      </c>
      <c r="C337" t="s">
        <v>74</v>
      </c>
      <c r="D337" t="s">
        <v>74</v>
      </c>
      <c r="E337" t="s">
        <v>74</v>
      </c>
      <c r="F337" t="s">
        <v>2874</v>
      </c>
      <c r="G337" t="s">
        <v>74</v>
      </c>
      <c r="H337" t="s">
        <v>74</v>
      </c>
      <c r="I337" t="s">
        <v>2875</v>
      </c>
      <c r="J337" t="s">
        <v>312</v>
      </c>
      <c r="K337" t="s">
        <v>74</v>
      </c>
      <c r="L337" t="s">
        <v>74</v>
      </c>
      <c r="M337" t="s">
        <v>74</v>
      </c>
      <c r="N337" t="s">
        <v>74</v>
      </c>
      <c r="O337" t="s">
        <v>74</v>
      </c>
      <c r="P337" t="s">
        <v>74</v>
      </c>
      <c r="Q337" t="s">
        <v>74</v>
      </c>
      <c r="R337" t="s">
        <v>74</v>
      </c>
      <c r="S337" t="s">
        <v>74</v>
      </c>
      <c r="T337" t="s">
        <v>74</v>
      </c>
      <c r="U337" t="s">
        <v>74</v>
      </c>
      <c r="V337" s="3" t="s">
        <v>2876</v>
      </c>
      <c r="W337" t="s">
        <v>74</v>
      </c>
      <c r="X337" t="s">
        <v>74</v>
      </c>
      <c r="Y337" t="s">
        <v>74</v>
      </c>
      <c r="Z337" t="s">
        <v>74</v>
      </c>
      <c r="AA337" t="s">
        <v>74</v>
      </c>
      <c r="AB337" t="s">
        <v>931</v>
      </c>
      <c r="AC337" t="s">
        <v>74</v>
      </c>
      <c r="AD337" t="s">
        <v>74</v>
      </c>
      <c r="AE337" t="s">
        <v>74</v>
      </c>
      <c r="AF337" t="s">
        <v>74</v>
      </c>
      <c r="AG337" t="s">
        <v>74</v>
      </c>
      <c r="AH337" t="s">
        <v>74</v>
      </c>
      <c r="AI337" t="s">
        <v>74</v>
      </c>
      <c r="AJ337" t="s">
        <v>74</v>
      </c>
      <c r="AK337" t="s">
        <v>74</v>
      </c>
      <c r="AL337" t="s">
        <v>74</v>
      </c>
      <c r="AM337" t="s">
        <v>74</v>
      </c>
      <c r="AN337" t="s">
        <v>74</v>
      </c>
      <c r="AO337" t="s">
        <v>314</v>
      </c>
      <c r="AP337" t="s">
        <v>315</v>
      </c>
      <c r="AQ337" t="s">
        <v>74</v>
      </c>
      <c r="AR337" t="s">
        <v>74</v>
      </c>
      <c r="AS337" t="s">
        <v>74</v>
      </c>
      <c r="AT337" t="s">
        <v>1146</v>
      </c>
      <c r="AU337">
        <v>2022</v>
      </c>
      <c r="AV337">
        <v>200</v>
      </c>
      <c r="AW337">
        <v>2</v>
      </c>
      <c r="AX337" t="s">
        <v>74</v>
      </c>
      <c r="AY337" t="s">
        <v>74</v>
      </c>
      <c r="AZ337" t="s">
        <v>74</v>
      </c>
      <c r="BA337" t="s">
        <v>74</v>
      </c>
      <c r="BB337">
        <v>236</v>
      </c>
      <c r="BC337">
        <v>249</v>
      </c>
      <c r="BD337" t="s">
        <v>74</v>
      </c>
      <c r="BE337" t="s">
        <v>2877</v>
      </c>
      <c r="BF337" t="str">
        <f>HYPERLINK("http://dx.doi.org/10.1086/720267","http://dx.doi.org/10.1086/720267")</f>
        <v>http://dx.doi.org/10.1086/720267</v>
      </c>
      <c r="BG337" t="s">
        <v>74</v>
      </c>
      <c r="BH337" t="s">
        <v>307</v>
      </c>
      <c r="BI337" t="s">
        <v>74</v>
      </c>
      <c r="BJ337" t="s">
        <v>74</v>
      </c>
      <c r="BK337" t="s">
        <v>74</v>
      </c>
      <c r="BL337" t="s">
        <v>74</v>
      </c>
      <c r="BM337" t="s">
        <v>74</v>
      </c>
      <c r="BN337">
        <v>35905402</v>
      </c>
      <c r="BO337" t="s">
        <v>74</v>
      </c>
      <c r="BP337" t="s">
        <v>74</v>
      </c>
      <c r="BQ337" t="s">
        <v>74</v>
      </c>
      <c r="BR337" t="s">
        <v>74</v>
      </c>
      <c r="BS337" t="s">
        <v>2878</v>
      </c>
      <c r="BT337" t="str">
        <f>HYPERLINK("https%3A%2F%2Fwww.webofscience.com%2Fwos%2Fwoscc%2Ffull-record%2FWOS:000815766400001","View Full Record in Web of Science")</f>
        <v>View Full Record in Web of Science</v>
      </c>
    </row>
    <row r="338" spans="1:72" x14ac:dyDescent="0.4">
      <c r="A338" t="s">
        <v>72</v>
      </c>
      <c r="B338" t="s">
        <v>927</v>
      </c>
      <c r="C338" t="s">
        <v>74</v>
      </c>
      <c r="D338" t="s">
        <v>74</v>
      </c>
      <c r="E338" t="s">
        <v>74</v>
      </c>
      <c r="F338" t="s">
        <v>928</v>
      </c>
      <c r="G338" t="s">
        <v>74</v>
      </c>
      <c r="H338" t="s">
        <v>74</v>
      </c>
      <c r="I338" t="s">
        <v>929</v>
      </c>
      <c r="J338" t="s">
        <v>763</v>
      </c>
      <c r="K338" t="s">
        <v>74</v>
      </c>
      <c r="L338" t="s">
        <v>74</v>
      </c>
      <c r="M338" t="s">
        <v>74</v>
      </c>
      <c r="N338" t="s">
        <v>74</v>
      </c>
      <c r="O338" t="s">
        <v>74</v>
      </c>
      <c r="P338" t="s">
        <v>74</v>
      </c>
      <c r="Q338" t="s">
        <v>74</v>
      </c>
      <c r="R338" t="s">
        <v>74</v>
      </c>
      <c r="S338" t="s">
        <v>74</v>
      </c>
      <c r="T338" t="s">
        <v>74</v>
      </c>
      <c r="U338" t="s">
        <v>74</v>
      </c>
      <c r="V338" s="3" t="s">
        <v>930</v>
      </c>
      <c r="W338" t="s">
        <v>74</v>
      </c>
      <c r="X338" t="s">
        <v>74</v>
      </c>
      <c r="Y338" t="s">
        <v>74</v>
      </c>
      <c r="Z338" t="s">
        <v>74</v>
      </c>
      <c r="AA338" t="s">
        <v>74</v>
      </c>
      <c r="AB338" t="s">
        <v>931</v>
      </c>
      <c r="AC338" t="s">
        <v>74</v>
      </c>
      <c r="AD338" t="s">
        <v>74</v>
      </c>
      <c r="AE338" t="s">
        <v>74</v>
      </c>
      <c r="AF338" t="s">
        <v>74</v>
      </c>
      <c r="AG338" t="s">
        <v>74</v>
      </c>
      <c r="AH338" t="s">
        <v>74</v>
      </c>
      <c r="AI338" t="s">
        <v>74</v>
      </c>
      <c r="AJ338" t="s">
        <v>74</v>
      </c>
      <c r="AK338" t="s">
        <v>74</v>
      </c>
      <c r="AL338" t="s">
        <v>74</v>
      </c>
      <c r="AM338" t="s">
        <v>74</v>
      </c>
      <c r="AN338" t="s">
        <v>74</v>
      </c>
      <c r="AO338" t="s">
        <v>767</v>
      </c>
      <c r="AP338" t="s">
        <v>768</v>
      </c>
      <c r="AQ338" t="s">
        <v>74</v>
      </c>
      <c r="AR338" t="s">
        <v>74</v>
      </c>
      <c r="AS338" t="s">
        <v>74</v>
      </c>
      <c r="AT338" t="s">
        <v>932</v>
      </c>
      <c r="AU338">
        <v>2017</v>
      </c>
      <c r="AV338">
        <v>220</v>
      </c>
      <c r="AW338">
        <v>12</v>
      </c>
      <c r="AX338" t="s">
        <v>74</v>
      </c>
      <c r="AY338" t="s">
        <v>74</v>
      </c>
      <c r="AZ338" t="s">
        <v>74</v>
      </c>
      <c r="BA338" t="s">
        <v>74</v>
      </c>
      <c r="BB338">
        <v>2154</v>
      </c>
      <c r="BC338">
        <v>2158</v>
      </c>
      <c r="BD338" t="s">
        <v>74</v>
      </c>
      <c r="BE338" t="s">
        <v>933</v>
      </c>
      <c r="BF338" t="str">
        <f>HYPERLINK("http://dx.doi.org/10.1242/jeb.150458","http://dx.doi.org/10.1242/jeb.150458")</f>
        <v>http://dx.doi.org/10.1242/jeb.150458</v>
      </c>
      <c r="BG338" t="s">
        <v>74</v>
      </c>
      <c r="BH338" t="s">
        <v>74</v>
      </c>
      <c r="BI338" t="s">
        <v>74</v>
      </c>
      <c r="BJ338" t="s">
        <v>74</v>
      </c>
      <c r="BK338" t="s">
        <v>74</v>
      </c>
      <c r="BL338" t="s">
        <v>74</v>
      </c>
      <c r="BM338" t="s">
        <v>74</v>
      </c>
      <c r="BN338">
        <v>28385798</v>
      </c>
      <c r="BO338" t="s">
        <v>74</v>
      </c>
      <c r="BP338" t="s">
        <v>74</v>
      </c>
      <c r="BQ338" t="s">
        <v>74</v>
      </c>
      <c r="BR338" t="s">
        <v>74</v>
      </c>
      <c r="BS338" t="s">
        <v>934</v>
      </c>
      <c r="BT338" t="str">
        <f>HYPERLINK("https%3A%2F%2Fwww.webofscience.com%2Fwos%2Fwoscc%2Ffull-record%2FWOS:000403337600009","View Full Record in Web of Science")</f>
        <v>View Full Record in Web of Science</v>
      </c>
    </row>
    <row r="339" spans="1:72" x14ac:dyDescent="0.4">
      <c r="A339" t="s">
        <v>72</v>
      </c>
      <c r="B339" t="s">
        <v>5211</v>
      </c>
      <c r="C339" t="s">
        <v>74</v>
      </c>
      <c r="D339" t="s">
        <v>74</v>
      </c>
      <c r="E339" t="s">
        <v>74</v>
      </c>
      <c r="F339" t="s">
        <v>5212</v>
      </c>
      <c r="G339" t="s">
        <v>74</v>
      </c>
      <c r="H339" t="s">
        <v>74</v>
      </c>
      <c r="I339" t="s">
        <v>5213</v>
      </c>
      <c r="J339" t="s">
        <v>431</v>
      </c>
      <c r="K339" t="s">
        <v>74</v>
      </c>
      <c r="L339" t="s">
        <v>74</v>
      </c>
      <c r="M339" t="s">
        <v>74</v>
      </c>
      <c r="N339" t="s">
        <v>74</v>
      </c>
      <c r="O339" t="s">
        <v>74</v>
      </c>
      <c r="P339" t="s">
        <v>74</v>
      </c>
      <c r="Q339" t="s">
        <v>74</v>
      </c>
      <c r="R339" t="s">
        <v>74</v>
      </c>
      <c r="S339" t="s">
        <v>74</v>
      </c>
      <c r="T339" t="s">
        <v>74</v>
      </c>
      <c r="U339" t="s">
        <v>74</v>
      </c>
      <c r="V339" s="3" t="s">
        <v>5214</v>
      </c>
      <c r="W339" t="s">
        <v>74</v>
      </c>
      <c r="X339" t="s">
        <v>74</v>
      </c>
      <c r="Y339" t="s">
        <v>74</v>
      </c>
      <c r="Z339" t="s">
        <v>74</v>
      </c>
      <c r="AA339" t="s">
        <v>5215</v>
      </c>
      <c r="AB339" t="s">
        <v>5216</v>
      </c>
      <c r="AC339" t="s">
        <v>74</v>
      </c>
      <c r="AD339" t="s">
        <v>74</v>
      </c>
      <c r="AE339" t="s">
        <v>74</v>
      </c>
      <c r="AF339" t="s">
        <v>74</v>
      </c>
      <c r="AG339" t="s">
        <v>74</v>
      </c>
      <c r="AH339" t="s">
        <v>74</v>
      </c>
      <c r="AI339" t="s">
        <v>74</v>
      </c>
      <c r="AJ339" t="s">
        <v>74</v>
      </c>
      <c r="AK339" t="s">
        <v>74</v>
      </c>
      <c r="AL339" t="s">
        <v>74</v>
      </c>
      <c r="AM339" t="s">
        <v>74</v>
      </c>
      <c r="AN339" t="s">
        <v>74</v>
      </c>
      <c r="AO339" t="s">
        <v>1458</v>
      </c>
      <c r="AP339" t="s">
        <v>435</v>
      </c>
      <c r="AQ339" t="s">
        <v>74</v>
      </c>
      <c r="AR339" t="s">
        <v>74</v>
      </c>
      <c r="AS339" t="s">
        <v>74</v>
      </c>
      <c r="AT339" t="s">
        <v>633</v>
      </c>
      <c r="AU339">
        <v>2009</v>
      </c>
      <c r="AV339">
        <v>126</v>
      </c>
      <c r="AW339">
        <v>2</v>
      </c>
      <c r="AX339" t="s">
        <v>74</v>
      </c>
      <c r="AY339" t="s">
        <v>74</v>
      </c>
      <c r="AZ339" t="s">
        <v>74</v>
      </c>
      <c r="BA339" t="s">
        <v>74</v>
      </c>
      <c r="BB339">
        <v>351</v>
      </c>
      <c r="BC339">
        <v>358</v>
      </c>
      <c r="BD339" t="s">
        <v>74</v>
      </c>
      <c r="BE339" t="s">
        <v>5217</v>
      </c>
      <c r="BF339" t="str">
        <f>HYPERLINK("http://dx.doi.org/10.1525/auk.2009.08086","http://dx.doi.org/10.1525/auk.2009.08086")</f>
        <v>http://dx.doi.org/10.1525/auk.2009.08086</v>
      </c>
      <c r="BG339" t="s">
        <v>74</v>
      </c>
      <c r="BH339" t="s">
        <v>74</v>
      </c>
      <c r="BI339" t="s">
        <v>74</v>
      </c>
      <c r="BJ339" t="s">
        <v>74</v>
      </c>
      <c r="BK339" t="s">
        <v>74</v>
      </c>
      <c r="BL339" t="s">
        <v>74</v>
      </c>
      <c r="BM339" t="s">
        <v>74</v>
      </c>
      <c r="BN339" t="s">
        <v>74</v>
      </c>
      <c r="BO339" t="s">
        <v>74</v>
      </c>
      <c r="BP339" t="s">
        <v>74</v>
      </c>
      <c r="BQ339" t="s">
        <v>74</v>
      </c>
      <c r="BR339" t="s">
        <v>74</v>
      </c>
      <c r="BS339" t="s">
        <v>5218</v>
      </c>
      <c r="BT339" t="str">
        <f>HYPERLINK("https%3A%2F%2Fwww.webofscience.com%2Fwos%2Fwoscc%2Ffull-record%2FWOS:000265754300013","View Full Record in Web of Science")</f>
        <v>View Full Record in Web of Science</v>
      </c>
    </row>
    <row r="340" spans="1:72" x14ac:dyDescent="0.4">
      <c r="A340" t="s">
        <v>72</v>
      </c>
      <c r="B340" t="s">
        <v>5337</v>
      </c>
      <c r="C340" t="s">
        <v>74</v>
      </c>
      <c r="D340" t="s">
        <v>74</v>
      </c>
      <c r="E340" t="s">
        <v>74</v>
      </c>
      <c r="F340" t="s">
        <v>5337</v>
      </c>
      <c r="G340" t="s">
        <v>74</v>
      </c>
      <c r="H340" t="s">
        <v>74</v>
      </c>
      <c r="I340" t="s">
        <v>5338</v>
      </c>
      <c r="J340" t="s">
        <v>129</v>
      </c>
      <c r="K340" t="s">
        <v>74</v>
      </c>
      <c r="L340" t="s">
        <v>74</v>
      </c>
      <c r="M340" t="s">
        <v>74</v>
      </c>
      <c r="N340" t="s">
        <v>74</v>
      </c>
      <c r="O340" t="s">
        <v>74</v>
      </c>
      <c r="P340" t="s">
        <v>74</v>
      </c>
      <c r="Q340" t="s">
        <v>74</v>
      </c>
      <c r="R340" t="s">
        <v>74</v>
      </c>
      <c r="S340" t="s">
        <v>74</v>
      </c>
      <c r="T340" t="s">
        <v>74</v>
      </c>
      <c r="U340" t="s">
        <v>74</v>
      </c>
      <c r="V340" s="3" t="s">
        <v>5339</v>
      </c>
      <c r="W340" t="s">
        <v>74</v>
      </c>
      <c r="X340" t="s">
        <v>74</v>
      </c>
      <c r="Y340" t="s">
        <v>74</v>
      </c>
      <c r="Z340" t="s">
        <v>74</v>
      </c>
      <c r="AA340" t="s">
        <v>74</v>
      </c>
      <c r="AB340" t="s">
        <v>74</v>
      </c>
      <c r="AC340" t="s">
        <v>74</v>
      </c>
      <c r="AD340" t="s">
        <v>74</v>
      </c>
      <c r="AE340" t="s">
        <v>74</v>
      </c>
      <c r="AF340" t="s">
        <v>74</v>
      </c>
      <c r="AG340" t="s">
        <v>74</v>
      </c>
      <c r="AH340" t="s">
        <v>74</v>
      </c>
      <c r="AI340" t="s">
        <v>74</v>
      </c>
      <c r="AJ340" t="s">
        <v>74</v>
      </c>
      <c r="AK340" t="s">
        <v>74</v>
      </c>
      <c r="AL340" t="s">
        <v>74</v>
      </c>
      <c r="AM340" t="s">
        <v>74</v>
      </c>
      <c r="AN340" t="s">
        <v>74</v>
      </c>
      <c r="AO340" t="s">
        <v>132</v>
      </c>
      <c r="AP340" t="s">
        <v>133</v>
      </c>
      <c r="AQ340" t="s">
        <v>74</v>
      </c>
      <c r="AR340" t="s">
        <v>74</v>
      </c>
      <c r="AS340" t="s">
        <v>74</v>
      </c>
      <c r="AT340" t="s">
        <v>74</v>
      </c>
      <c r="AU340">
        <v>1989</v>
      </c>
      <c r="AV340">
        <v>25</v>
      </c>
      <c r="AW340">
        <v>1</v>
      </c>
      <c r="AX340" t="s">
        <v>74</v>
      </c>
      <c r="AY340" t="s">
        <v>74</v>
      </c>
      <c r="AZ340" t="s">
        <v>74</v>
      </c>
      <c r="BA340" t="s">
        <v>74</v>
      </c>
      <c r="BB340">
        <v>49</v>
      </c>
      <c r="BC340">
        <v>56</v>
      </c>
      <c r="BD340" t="s">
        <v>74</v>
      </c>
      <c r="BE340" t="s">
        <v>5340</v>
      </c>
      <c r="BF340" t="str">
        <f>HYPERLINK("http://dx.doi.org/10.1007/BF00299710","http://dx.doi.org/10.1007/BF00299710")</f>
        <v>http://dx.doi.org/10.1007/BF00299710</v>
      </c>
      <c r="BG340" t="s">
        <v>74</v>
      </c>
      <c r="BH340" t="s">
        <v>74</v>
      </c>
      <c r="BI340" t="s">
        <v>74</v>
      </c>
      <c r="BJ340" t="s">
        <v>74</v>
      </c>
      <c r="BK340" t="s">
        <v>74</v>
      </c>
      <c r="BL340" t="s">
        <v>74</v>
      </c>
      <c r="BM340" t="s">
        <v>74</v>
      </c>
      <c r="BN340" t="s">
        <v>74</v>
      </c>
      <c r="BO340" t="s">
        <v>74</v>
      </c>
      <c r="BP340" t="s">
        <v>74</v>
      </c>
      <c r="BQ340" t="s">
        <v>74</v>
      </c>
      <c r="BR340" t="s">
        <v>74</v>
      </c>
      <c r="BS340" t="s">
        <v>5341</v>
      </c>
      <c r="BT340" t="str">
        <f>HYPERLINK("https%3A%2F%2Fwww.webofscience.com%2Fwos%2Fwoscc%2Ffull-record%2FWOS:A1989AJ00400006","View Full Record in Web of Science")</f>
        <v>View Full Record in Web of Science</v>
      </c>
    </row>
    <row r="341" spans="1:72" x14ac:dyDescent="0.4">
      <c r="A341" t="s">
        <v>72</v>
      </c>
      <c r="B341" t="s">
        <v>5337</v>
      </c>
      <c r="C341" t="s">
        <v>74</v>
      </c>
      <c r="D341" t="s">
        <v>74</v>
      </c>
      <c r="E341" t="s">
        <v>74</v>
      </c>
      <c r="F341" t="s">
        <v>5337</v>
      </c>
      <c r="G341" t="s">
        <v>74</v>
      </c>
      <c r="H341" t="s">
        <v>74</v>
      </c>
      <c r="I341" t="s">
        <v>7139</v>
      </c>
      <c r="J341" t="s">
        <v>171</v>
      </c>
      <c r="K341" t="s">
        <v>74</v>
      </c>
      <c r="L341" t="s">
        <v>74</v>
      </c>
      <c r="M341" t="s">
        <v>74</v>
      </c>
      <c r="N341" t="s">
        <v>74</v>
      </c>
      <c r="O341" t="s">
        <v>74</v>
      </c>
      <c r="P341" t="s">
        <v>74</v>
      </c>
      <c r="Q341" t="s">
        <v>74</v>
      </c>
      <c r="R341" t="s">
        <v>74</v>
      </c>
      <c r="S341" t="s">
        <v>74</v>
      </c>
      <c r="T341" t="s">
        <v>74</v>
      </c>
      <c r="U341" t="s">
        <v>74</v>
      </c>
      <c r="V341" s="3" t="s">
        <v>7140</v>
      </c>
      <c r="W341" t="s">
        <v>74</v>
      </c>
      <c r="X341" t="s">
        <v>74</v>
      </c>
      <c r="Y341" t="s">
        <v>74</v>
      </c>
      <c r="Z341" t="s">
        <v>74</v>
      </c>
      <c r="AA341" t="s">
        <v>74</v>
      </c>
      <c r="AB341" t="s">
        <v>74</v>
      </c>
      <c r="AC341" t="s">
        <v>74</v>
      </c>
      <c r="AD341" t="s">
        <v>74</v>
      </c>
      <c r="AE341" t="s">
        <v>74</v>
      </c>
      <c r="AF341" t="s">
        <v>74</v>
      </c>
      <c r="AG341" t="s">
        <v>74</v>
      </c>
      <c r="AH341" t="s">
        <v>74</v>
      </c>
      <c r="AI341" t="s">
        <v>74</v>
      </c>
      <c r="AJ341" t="s">
        <v>74</v>
      </c>
      <c r="AK341" t="s">
        <v>74</v>
      </c>
      <c r="AL341" t="s">
        <v>74</v>
      </c>
      <c r="AM341" t="s">
        <v>74</v>
      </c>
      <c r="AN341" t="s">
        <v>74</v>
      </c>
      <c r="AO341" t="s">
        <v>173</v>
      </c>
      <c r="AP341" t="s">
        <v>174</v>
      </c>
      <c r="AQ341" t="s">
        <v>74</v>
      </c>
      <c r="AR341" t="s">
        <v>74</v>
      </c>
      <c r="AS341" t="s">
        <v>74</v>
      </c>
      <c r="AT341" t="s">
        <v>74</v>
      </c>
      <c r="AU341">
        <v>1984</v>
      </c>
      <c r="AV341">
        <v>38</v>
      </c>
      <c r="AW341">
        <v>2</v>
      </c>
      <c r="AX341" t="s">
        <v>74</v>
      </c>
      <c r="AY341" t="s">
        <v>74</v>
      </c>
      <c r="AZ341" t="s">
        <v>74</v>
      </c>
      <c r="BA341" t="s">
        <v>74</v>
      </c>
      <c r="BB341">
        <v>267</v>
      </c>
      <c r="BC341">
        <v>279</v>
      </c>
      <c r="BD341" t="s">
        <v>74</v>
      </c>
      <c r="BE341" t="s">
        <v>7141</v>
      </c>
      <c r="BF341" t="str">
        <f>HYPERLINK("http://dx.doi.org/10.2307/2408486","http://dx.doi.org/10.2307/2408486")</f>
        <v>http://dx.doi.org/10.2307/2408486</v>
      </c>
      <c r="BG341" t="s">
        <v>74</v>
      </c>
      <c r="BH341" t="s">
        <v>74</v>
      </c>
      <c r="BI341" t="s">
        <v>74</v>
      </c>
      <c r="BJ341" t="s">
        <v>74</v>
      </c>
      <c r="BK341" t="s">
        <v>74</v>
      </c>
      <c r="BL341" t="s">
        <v>74</v>
      </c>
      <c r="BM341" t="s">
        <v>74</v>
      </c>
      <c r="BN341">
        <v>28555921</v>
      </c>
      <c r="BO341" t="s">
        <v>74</v>
      </c>
      <c r="BP341" t="s">
        <v>74</v>
      </c>
      <c r="BQ341" t="s">
        <v>74</v>
      </c>
      <c r="BR341" t="s">
        <v>74</v>
      </c>
      <c r="BS341" t="s">
        <v>7142</v>
      </c>
      <c r="BT341" t="str">
        <f>HYPERLINK("https%3A%2F%2Fwww.webofscience.com%2Fwos%2Fwoscc%2Ffull-record%2FWOS:A1984SL13500004","View Full Record in Web of Science")</f>
        <v>View Full Record in Web of Science</v>
      </c>
    </row>
    <row r="342" spans="1:72" x14ac:dyDescent="0.4">
      <c r="A342" t="s">
        <v>72</v>
      </c>
      <c r="B342" t="s">
        <v>1922</v>
      </c>
      <c r="C342" t="s">
        <v>74</v>
      </c>
      <c r="D342" t="s">
        <v>74</v>
      </c>
      <c r="E342" t="s">
        <v>74</v>
      </c>
      <c r="F342" t="s">
        <v>1923</v>
      </c>
      <c r="G342" t="s">
        <v>74</v>
      </c>
      <c r="H342" t="s">
        <v>74</v>
      </c>
      <c r="I342" t="s">
        <v>1924</v>
      </c>
      <c r="J342" t="s">
        <v>119</v>
      </c>
      <c r="K342" t="s">
        <v>74</v>
      </c>
      <c r="L342" t="s">
        <v>74</v>
      </c>
      <c r="M342" t="s">
        <v>74</v>
      </c>
      <c r="N342" t="s">
        <v>74</v>
      </c>
      <c r="O342" t="s">
        <v>74</v>
      </c>
      <c r="P342" t="s">
        <v>74</v>
      </c>
      <c r="Q342" t="s">
        <v>74</v>
      </c>
      <c r="R342" t="s">
        <v>74</v>
      </c>
      <c r="S342" t="s">
        <v>74</v>
      </c>
      <c r="T342" t="s">
        <v>74</v>
      </c>
      <c r="U342" t="s">
        <v>74</v>
      </c>
      <c r="V342" s="3" t="s">
        <v>1925</v>
      </c>
      <c r="W342" t="s">
        <v>74</v>
      </c>
      <c r="X342" t="s">
        <v>74</v>
      </c>
      <c r="Y342" t="s">
        <v>74</v>
      </c>
      <c r="Z342" t="s">
        <v>74</v>
      </c>
      <c r="AA342" t="s">
        <v>1926</v>
      </c>
      <c r="AB342" t="s">
        <v>1927</v>
      </c>
      <c r="AC342" t="s">
        <v>74</v>
      </c>
      <c r="AD342" t="s">
        <v>74</v>
      </c>
      <c r="AE342" t="s">
        <v>74</v>
      </c>
      <c r="AF342" t="s">
        <v>74</v>
      </c>
      <c r="AG342" t="s">
        <v>74</v>
      </c>
      <c r="AH342" t="s">
        <v>74</v>
      </c>
      <c r="AI342" t="s">
        <v>74</v>
      </c>
      <c r="AJ342" t="s">
        <v>74</v>
      </c>
      <c r="AK342" t="s">
        <v>74</v>
      </c>
      <c r="AL342" t="s">
        <v>74</v>
      </c>
      <c r="AM342" t="s">
        <v>74</v>
      </c>
      <c r="AN342" t="s">
        <v>74</v>
      </c>
      <c r="AO342" t="s">
        <v>121</v>
      </c>
      <c r="AP342" t="s">
        <v>122</v>
      </c>
      <c r="AQ342" t="s">
        <v>74</v>
      </c>
      <c r="AR342" t="s">
        <v>74</v>
      </c>
      <c r="AS342" t="s">
        <v>74</v>
      </c>
      <c r="AT342" t="s">
        <v>964</v>
      </c>
      <c r="AU342">
        <v>2018</v>
      </c>
      <c r="AV342">
        <v>147</v>
      </c>
      <c r="AW342" t="s">
        <v>74</v>
      </c>
      <c r="AX342" t="s">
        <v>74</v>
      </c>
      <c r="AY342" t="s">
        <v>74</v>
      </c>
      <c r="AZ342" t="s">
        <v>74</v>
      </c>
      <c r="BA342" t="s">
        <v>74</v>
      </c>
      <c r="BB342">
        <v>61</v>
      </c>
      <c r="BC342">
        <v>69</v>
      </c>
      <c r="BD342" t="s">
        <v>74</v>
      </c>
      <c r="BE342" t="s">
        <v>1928</v>
      </c>
      <c r="BF342" t="str">
        <f>HYPERLINK("http://dx.doi.org/10.1016/j.beproc.2017.12.015","http://dx.doi.org/10.1016/j.beproc.2017.12.015")</f>
        <v>http://dx.doi.org/10.1016/j.beproc.2017.12.015</v>
      </c>
      <c r="BG342" t="s">
        <v>74</v>
      </c>
      <c r="BH342" t="s">
        <v>74</v>
      </c>
      <c r="BI342" t="s">
        <v>74</v>
      </c>
      <c r="BJ342" t="s">
        <v>74</v>
      </c>
      <c r="BK342" t="s">
        <v>74</v>
      </c>
      <c r="BL342" t="s">
        <v>74</v>
      </c>
      <c r="BM342" t="s">
        <v>74</v>
      </c>
      <c r="BN342">
        <v>29273550</v>
      </c>
      <c r="BO342" t="s">
        <v>74</v>
      </c>
      <c r="BP342" t="s">
        <v>74</v>
      </c>
      <c r="BQ342" t="s">
        <v>74</v>
      </c>
      <c r="BR342" t="s">
        <v>74</v>
      </c>
      <c r="BS342" t="s">
        <v>1929</v>
      </c>
      <c r="BT342" t="str">
        <f>HYPERLINK("https%3A%2F%2Fwww.webofscience.com%2Fwos%2Fwoscc%2Ffull-record%2FWOS:000423645400009","View Full Record in Web of Science")</f>
        <v>View Full Record in Web of Science</v>
      </c>
    </row>
    <row r="343" spans="1:72" x14ac:dyDescent="0.4">
      <c r="A343" t="s">
        <v>72</v>
      </c>
      <c r="B343" t="s">
        <v>6394</v>
      </c>
      <c r="C343" t="s">
        <v>74</v>
      </c>
      <c r="D343" t="s">
        <v>74</v>
      </c>
      <c r="E343" t="s">
        <v>74</v>
      </c>
      <c r="F343" t="s">
        <v>6394</v>
      </c>
      <c r="G343" t="s">
        <v>74</v>
      </c>
      <c r="H343" t="s">
        <v>74</v>
      </c>
      <c r="I343" t="s">
        <v>6395</v>
      </c>
      <c r="J343" t="s">
        <v>691</v>
      </c>
      <c r="K343" t="s">
        <v>74</v>
      </c>
      <c r="L343" t="s">
        <v>74</v>
      </c>
      <c r="M343" t="s">
        <v>74</v>
      </c>
      <c r="N343" t="s">
        <v>74</v>
      </c>
      <c r="O343" t="s">
        <v>74</v>
      </c>
      <c r="P343" t="s">
        <v>74</v>
      </c>
      <c r="Q343" t="s">
        <v>74</v>
      </c>
      <c r="R343" t="s">
        <v>74</v>
      </c>
      <c r="S343" t="s">
        <v>74</v>
      </c>
      <c r="T343" t="s">
        <v>74</v>
      </c>
      <c r="U343" t="s">
        <v>74</v>
      </c>
      <c r="V343" s="3" t="s">
        <v>6396</v>
      </c>
      <c r="W343" t="s">
        <v>74</v>
      </c>
      <c r="X343" t="s">
        <v>74</v>
      </c>
      <c r="Y343" t="s">
        <v>74</v>
      </c>
      <c r="Z343" t="s">
        <v>74</v>
      </c>
      <c r="AA343" t="s">
        <v>74</v>
      </c>
      <c r="AB343" t="s">
        <v>74</v>
      </c>
      <c r="AC343" t="s">
        <v>74</v>
      </c>
      <c r="AD343" t="s">
        <v>74</v>
      </c>
      <c r="AE343" t="s">
        <v>74</v>
      </c>
      <c r="AF343" t="s">
        <v>74</v>
      </c>
      <c r="AG343" t="s">
        <v>74</v>
      </c>
      <c r="AH343" t="s">
        <v>74</v>
      </c>
      <c r="AI343" t="s">
        <v>74</v>
      </c>
      <c r="AJ343" t="s">
        <v>74</v>
      </c>
      <c r="AK343" t="s">
        <v>74</v>
      </c>
      <c r="AL343" t="s">
        <v>74</v>
      </c>
      <c r="AM343" t="s">
        <v>74</v>
      </c>
      <c r="AN343" t="s">
        <v>74</v>
      </c>
      <c r="AO343" t="s">
        <v>695</v>
      </c>
      <c r="AP343" t="s">
        <v>981</v>
      </c>
      <c r="AQ343" t="s">
        <v>74</v>
      </c>
      <c r="AR343" t="s">
        <v>74</v>
      </c>
      <c r="AS343" t="s">
        <v>74</v>
      </c>
      <c r="AT343" t="s">
        <v>74</v>
      </c>
      <c r="AU343">
        <v>1985</v>
      </c>
      <c r="AV343">
        <v>34</v>
      </c>
      <c r="AW343">
        <v>3</v>
      </c>
      <c r="AX343" t="s">
        <v>74</v>
      </c>
      <c r="AY343" t="s">
        <v>74</v>
      </c>
      <c r="AZ343" t="s">
        <v>74</v>
      </c>
      <c r="BA343" t="s">
        <v>74</v>
      </c>
      <c r="BB343">
        <v>341</v>
      </c>
      <c r="BC343">
        <v>348</v>
      </c>
      <c r="BD343" t="s">
        <v>74</v>
      </c>
      <c r="BE343" t="s">
        <v>6397</v>
      </c>
      <c r="BF343" t="str">
        <f>HYPERLINK("http://dx.doi.org/10.1016/0031-9384(85)90193-3","http://dx.doi.org/10.1016/0031-9384(85)90193-3")</f>
        <v>http://dx.doi.org/10.1016/0031-9384(85)90193-3</v>
      </c>
      <c r="BG343" t="s">
        <v>74</v>
      </c>
      <c r="BH343" t="s">
        <v>74</v>
      </c>
      <c r="BI343" t="s">
        <v>74</v>
      </c>
      <c r="BJ343" t="s">
        <v>74</v>
      </c>
      <c r="BK343" t="s">
        <v>74</v>
      </c>
      <c r="BL343" t="s">
        <v>74</v>
      </c>
      <c r="BM343" t="s">
        <v>74</v>
      </c>
      <c r="BN343">
        <v>4040250</v>
      </c>
      <c r="BO343" t="s">
        <v>74</v>
      </c>
      <c r="BP343" t="s">
        <v>74</v>
      </c>
      <c r="BQ343" t="s">
        <v>74</v>
      </c>
      <c r="BR343" t="s">
        <v>74</v>
      </c>
      <c r="BS343" t="s">
        <v>6398</v>
      </c>
      <c r="BT343" t="str">
        <f>HYPERLINK("https%3A%2F%2Fwww.webofscience.com%2Fwos%2Fwoscc%2Ffull-record%2FWOS:A1985AFN3500003","View Full Record in Web of Science")</f>
        <v>View Full Record in Web of Science</v>
      </c>
    </row>
    <row r="344" spans="1:72" x14ac:dyDescent="0.4">
      <c r="A344" t="s">
        <v>72</v>
      </c>
      <c r="B344" t="s">
        <v>1531</v>
      </c>
      <c r="C344" t="s">
        <v>74</v>
      </c>
      <c r="D344" t="s">
        <v>74</v>
      </c>
      <c r="E344" t="s">
        <v>74</v>
      </c>
      <c r="F344" t="s">
        <v>1531</v>
      </c>
      <c r="G344" t="s">
        <v>74</v>
      </c>
      <c r="H344" t="s">
        <v>74</v>
      </c>
      <c r="I344" t="s">
        <v>1532</v>
      </c>
      <c r="J344" t="s">
        <v>1533</v>
      </c>
      <c r="K344" t="s">
        <v>74</v>
      </c>
      <c r="L344" t="s">
        <v>74</v>
      </c>
      <c r="M344" t="s">
        <v>74</v>
      </c>
      <c r="N344" t="s">
        <v>74</v>
      </c>
      <c r="O344" t="s">
        <v>74</v>
      </c>
      <c r="P344" t="s">
        <v>74</v>
      </c>
      <c r="Q344" t="s">
        <v>74</v>
      </c>
      <c r="R344" t="s">
        <v>74</v>
      </c>
      <c r="S344" t="s">
        <v>74</v>
      </c>
      <c r="T344" t="s">
        <v>74</v>
      </c>
      <c r="U344" t="s">
        <v>74</v>
      </c>
      <c r="V344" s="3" t="s">
        <v>1534</v>
      </c>
      <c r="W344" t="s">
        <v>74</v>
      </c>
      <c r="X344" t="s">
        <v>74</v>
      </c>
      <c r="Y344" t="s">
        <v>74</v>
      </c>
      <c r="Z344" t="s">
        <v>74</v>
      </c>
      <c r="AA344" t="s">
        <v>74</v>
      </c>
      <c r="AB344" t="s">
        <v>74</v>
      </c>
      <c r="AC344" t="s">
        <v>74</v>
      </c>
      <c r="AD344" t="s">
        <v>74</v>
      </c>
      <c r="AE344" t="s">
        <v>74</v>
      </c>
      <c r="AF344" t="s">
        <v>74</v>
      </c>
      <c r="AG344" t="s">
        <v>74</v>
      </c>
      <c r="AH344" t="s">
        <v>74</v>
      </c>
      <c r="AI344" t="s">
        <v>74</v>
      </c>
      <c r="AJ344" t="s">
        <v>74</v>
      </c>
      <c r="AK344" t="s">
        <v>74</v>
      </c>
      <c r="AL344" t="s">
        <v>74</v>
      </c>
      <c r="AM344" t="s">
        <v>74</v>
      </c>
      <c r="AN344" t="s">
        <v>74</v>
      </c>
      <c r="AO344" t="s">
        <v>1535</v>
      </c>
      <c r="AP344" t="s">
        <v>1536</v>
      </c>
      <c r="AQ344" t="s">
        <v>74</v>
      </c>
      <c r="AR344" t="s">
        <v>74</v>
      </c>
      <c r="AS344" t="s">
        <v>74</v>
      </c>
      <c r="AT344" t="s">
        <v>74</v>
      </c>
      <c r="AU344">
        <v>1977</v>
      </c>
      <c r="AV344">
        <v>27</v>
      </c>
      <c r="AW344">
        <v>1</v>
      </c>
      <c r="AX344" t="s">
        <v>74</v>
      </c>
      <c r="AY344" t="s">
        <v>74</v>
      </c>
      <c r="AZ344" t="s">
        <v>74</v>
      </c>
      <c r="BA344" t="s">
        <v>74</v>
      </c>
      <c r="BB344">
        <v>5</v>
      </c>
      <c r="BC344">
        <v>15</v>
      </c>
      <c r="BD344" t="s">
        <v>74</v>
      </c>
      <c r="BE344" t="s">
        <v>1537</v>
      </c>
      <c r="BF344" t="str">
        <f>HYPERLINK("http://dx.doi.org/10.1901/jeab.1977.27-5","http://dx.doi.org/10.1901/jeab.1977.27-5")</f>
        <v>http://dx.doi.org/10.1901/jeab.1977.27-5</v>
      </c>
      <c r="BG344" t="s">
        <v>74</v>
      </c>
      <c r="BH344" t="s">
        <v>74</v>
      </c>
      <c r="BI344" t="s">
        <v>74</v>
      </c>
      <c r="BJ344" t="s">
        <v>74</v>
      </c>
      <c r="BK344" t="s">
        <v>74</v>
      </c>
      <c r="BL344" t="s">
        <v>74</v>
      </c>
      <c r="BM344" t="s">
        <v>74</v>
      </c>
      <c r="BN344">
        <v>556755</v>
      </c>
      <c r="BO344" t="s">
        <v>74</v>
      </c>
      <c r="BP344" t="s">
        <v>74</v>
      </c>
      <c r="BQ344" t="s">
        <v>74</v>
      </c>
      <c r="BR344" t="s">
        <v>74</v>
      </c>
      <c r="BS344" t="s">
        <v>1538</v>
      </c>
      <c r="BT344" t="str">
        <f>HYPERLINK("https%3A%2F%2Fwww.webofscience.com%2Fwos%2Fwoscc%2Ffull-record%2FWOS:A1977CV62300001","View Full Record in Web of Science")</f>
        <v>View Full Record in Web of Science</v>
      </c>
    </row>
    <row r="345" spans="1:72" x14ac:dyDescent="0.4">
      <c r="A345" t="s">
        <v>72</v>
      </c>
      <c r="B345" t="s">
        <v>1875</v>
      </c>
      <c r="C345" t="s">
        <v>74</v>
      </c>
      <c r="D345" t="s">
        <v>74</v>
      </c>
      <c r="E345" t="s">
        <v>74</v>
      </c>
      <c r="F345" t="s">
        <v>1876</v>
      </c>
      <c r="G345" t="s">
        <v>74</v>
      </c>
      <c r="H345" t="s">
        <v>74</v>
      </c>
      <c r="I345" t="s">
        <v>1877</v>
      </c>
      <c r="J345" t="s">
        <v>1878</v>
      </c>
      <c r="K345" t="s">
        <v>74</v>
      </c>
      <c r="L345" t="s">
        <v>74</v>
      </c>
      <c r="M345" t="s">
        <v>74</v>
      </c>
      <c r="N345" t="s">
        <v>74</v>
      </c>
      <c r="O345" t="s">
        <v>74</v>
      </c>
      <c r="P345" t="s">
        <v>74</v>
      </c>
      <c r="Q345" t="s">
        <v>74</v>
      </c>
      <c r="R345" t="s">
        <v>74</v>
      </c>
      <c r="S345" t="s">
        <v>74</v>
      </c>
      <c r="T345" t="s">
        <v>74</v>
      </c>
      <c r="U345" t="s">
        <v>74</v>
      </c>
      <c r="V345" s="3" t="s">
        <v>1879</v>
      </c>
      <c r="W345" t="s">
        <v>74</v>
      </c>
      <c r="X345" t="s">
        <v>74</v>
      </c>
      <c r="Y345" t="s">
        <v>74</v>
      </c>
      <c r="Z345" t="s">
        <v>74</v>
      </c>
      <c r="AA345" t="s">
        <v>1880</v>
      </c>
      <c r="AB345" t="s">
        <v>1881</v>
      </c>
      <c r="AC345" t="s">
        <v>74</v>
      </c>
      <c r="AD345" t="s">
        <v>74</v>
      </c>
      <c r="AE345" t="s">
        <v>74</v>
      </c>
      <c r="AF345" t="s">
        <v>74</v>
      </c>
      <c r="AG345" t="s">
        <v>74</v>
      </c>
      <c r="AH345" t="s">
        <v>74</v>
      </c>
      <c r="AI345" t="s">
        <v>74</v>
      </c>
      <c r="AJ345" t="s">
        <v>74</v>
      </c>
      <c r="AK345" t="s">
        <v>74</v>
      </c>
      <c r="AL345" t="s">
        <v>74</v>
      </c>
      <c r="AM345" t="s">
        <v>74</v>
      </c>
      <c r="AN345" t="s">
        <v>74</v>
      </c>
      <c r="AO345" t="s">
        <v>1882</v>
      </c>
      <c r="AP345" t="s">
        <v>1883</v>
      </c>
      <c r="AQ345" t="s">
        <v>74</v>
      </c>
      <c r="AR345" t="s">
        <v>74</v>
      </c>
      <c r="AS345" t="s">
        <v>74</v>
      </c>
      <c r="AT345" t="s">
        <v>964</v>
      </c>
      <c r="AU345">
        <v>2016</v>
      </c>
      <c r="AV345">
        <v>141</v>
      </c>
      <c r="AW345" t="s">
        <v>74</v>
      </c>
      <c r="AX345" t="s">
        <v>74</v>
      </c>
      <c r="AY345" t="s">
        <v>74</v>
      </c>
      <c r="AZ345" t="s">
        <v>74</v>
      </c>
      <c r="BA345" t="s">
        <v>74</v>
      </c>
      <c r="BB345">
        <v>18</v>
      </c>
      <c r="BC345">
        <v>27</v>
      </c>
      <c r="BD345" t="s">
        <v>74</v>
      </c>
      <c r="BE345" t="s">
        <v>1884</v>
      </c>
      <c r="BF345" t="str">
        <f>HYPERLINK("http://dx.doi.org/10.1016/j.pbb.2015.11.011","http://dx.doi.org/10.1016/j.pbb.2015.11.011")</f>
        <v>http://dx.doi.org/10.1016/j.pbb.2015.11.011</v>
      </c>
      <c r="BG345" t="s">
        <v>74</v>
      </c>
      <c r="BH345" t="s">
        <v>74</v>
      </c>
      <c r="BI345" t="s">
        <v>74</v>
      </c>
      <c r="BJ345" t="s">
        <v>74</v>
      </c>
      <c r="BK345" t="s">
        <v>74</v>
      </c>
      <c r="BL345" t="s">
        <v>74</v>
      </c>
      <c r="BM345" t="s">
        <v>74</v>
      </c>
      <c r="BN345">
        <v>26631619</v>
      </c>
      <c r="BO345" t="s">
        <v>74</v>
      </c>
      <c r="BP345" t="s">
        <v>74</v>
      </c>
      <c r="BQ345" t="s">
        <v>74</v>
      </c>
      <c r="BR345" t="s">
        <v>74</v>
      </c>
      <c r="BS345" t="s">
        <v>1885</v>
      </c>
      <c r="BT345" t="str">
        <f>HYPERLINK("https%3A%2F%2Fwww.webofscience.com%2Fwos%2Fwoscc%2Ffull-record%2FWOS:000369466100003","View Full Record in Web of Science")</f>
        <v>View Full Record in Web of Science</v>
      </c>
    </row>
    <row r="346" spans="1:72" x14ac:dyDescent="0.4">
      <c r="A346" t="s">
        <v>72</v>
      </c>
      <c r="B346" t="s">
        <v>6715</v>
      </c>
      <c r="C346" t="s">
        <v>74</v>
      </c>
      <c r="D346" t="s">
        <v>74</v>
      </c>
      <c r="E346" t="s">
        <v>74</v>
      </c>
      <c r="F346" t="s">
        <v>6715</v>
      </c>
      <c r="G346" t="s">
        <v>74</v>
      </c>
      <c r="H346" t="s">
        <v>74</v>
      </c>
      <c r="I346" t="s">
        <v>6716</v>
      </c>
      <c r="J346" t="s">
        <v>2087</v>
      </c>
      <c r="K346" t="s">
        <v>74</v>
      </c>
      <c r="L346" t="s">
        <v>74</v>
      </c>
      <c r="M346" t="s">
        <v>74</v>
      </c>
      <c r="N346" t="s">
        <v>74</v>
      </c>
      <c r="O346" t="s">
        <v>74</v>
      </c>
      <c r="P346" t="s">
        <v>74</v>
      </c>
      <c r="Q346" t="s">
        <v>74</v>
      </c>
      <c r="R346" t="s">
        <v>74</v>
      </c>
      <c r="S346" t="s">
        <v>74</v>
      </c>
      <c r="T346" t="s">
        <v>74</v>
      </c>
      <c r="U346" t="s">
        <v>74</v>
      </c>
      <c r="V346" s="3" t="s">
        <v>6717</v>
      </c>
      <c r="W346" t="s">
        <v>74</v>
      </c>
      <c r="X346" t="s">
        <v>74</v>
      </c>
      <c r="Y346" t="s">
        <v>74</v>
      </c>
      <c r="Z346" t="s">
        <v>74</v>
      </c>
      <c r="AA346" t="s">
        <v>6718</v>
      </c>
      <c r="AB346" t="s">
        <v>6719</v>
      </c>
      <c r="AC346" t="s">
        <v>74</v>
      </c>
      <c r="AD346" t="s">
        <v>74</v>
      </c>
      <c r="AE346" t="s">
        <v>74</v>
      </c>
      <c r="AF346" t="s">
        <v>74</v>
      </c>
      <c r="AG346" t="s">
        <v>74</v>
      </c>
      <c r="AH346" t="s">
        <v>74</v>
      </c>
      <c r="AI346" t="s">
        <v>74</v>
      </c>
      <c r="AJ346" t="s">
        <v>74</v>
      </c>
      <c r="AK346" t="s">
        <v>74</v>
      </c>
      <c r="AL346" t="s">
        <v>74</v>
      </c>
      <c r="AM346" t="s">
        <v>74</v>
      </c>
      <c r="AN346" t="s">
        <v>74</v>
      </c>
      <c r="AO346" t="s">
        <v>2089</v>
      </c>
      <c r="AP346" t="s">
        <v>6720</v>
      </c>
      <c r="AQ346" t="s">
        <v>74</v>
      </c>
      <c r="AR346" t="s">
        <v>74</v>
      </c>
      <c r="AS346" t="s">
        <v>74</v>
      </c>
      <c r="AT346" t="s">
        <v>74</v>
      </c>
      <c r="AU346">
        <v>1995</v>
      </c>
      <c r="AV346">
        <v>2</v>
      </c>
      <c r="AW346">
        <v>1</v>
      </c>
      <c r="AX346" t="s">
        <v>74</v>
      </c>
      <c r="AY346" t="s">
        <v>74</v>
      </c>
      <c r="AZ346" t="s">
        <v>74</v>
      </c>
      <c r="BA346" t="s">
        <v>74</v>
      </c>
      <c r="BB346">
        <v>28</v>
      </c>
      <c r="BC346">
        <v>33</v>
      </c>
      <c r="BD346" t="s">
        <v>74</v>
      </c>
      <c r="BE346" t="s">
        <v>6721</v>
      </c>
      <c r="BF346" t="str">
        <f>HYPERLINK("http://dx.doi.org/10.1080/11956860.1995.11682265","http://dx.doi.org/10.1080/11956860.1995.11682265")</f>
        <v>http://dx.doi.org/10.1080/11956860.1995.11682265</v>
      </c>
      <c r="BG346" t="s">
        <v>74</v>
      </c>
      <c r="BH346" t="s">
        <v>74</v>
      </c>
      <c r="BI346" t="s">
        <v>74</v>
      </c>
      <c r="BJ346" t="s">
        <v>74</v>
      </c>
      <c r="BK346" t="s">
        <v>74</v>
      </c>
      <c r="BL346" t="s">
        <v>74</v>
      </c>
      <c r="BM346" t="s">
        <v>74</v>
      </c>
      <c r="BN346" t="s">
        <v>74</v>
      </c>
      <c r="BO346" t="s">
        <v>74</v>
      </c>
      <c r="BP346" t="s">
        <v>74</v>
      </c>
      <c r="BQ346" t="s">
        <v>74</v>
      </c>
      <c r="BR346" t="s">
        <v>74</v>
      </c>
      <c r="BS346" t="s">
        <v>6722</v>
      </c>
      <c r="BT346" t="str">
        <f>HYPERLINK("https%3A%2F%2Fwww.webofscience.com%2Fwos%2Fwoscc%2Ffull-record%2FWOS:A1995TF50700003","View Full Record in Web of Science")</f>
        <v>View Full Record in Web of Science</v>
      </c>
    </row>
    <row r="347" spans="1:72" x14ac:dyDescent="0.4">
      <c r="A347" t="s">
        <v>72</v>
      </c>
      <c r="B347" t="s">
        <v>8379</v>
      </c>
      <c r="C347" t="s">
        <v>74</v>
      </c>
      <c r="D347" t="s">
        <v>74</v>
      </c>
      <c r="E347" t="s">
        <v>74</v>
      </c>
      <c r="F347" t="s">
        <v>8380</v>
      </c>
      <c r="G347" t="s">
        <v>74</v>
      </c>
      <c r="H347" t="s">
        <v>74</v>
      </c>
      <c r="I347" t="s">
        <v>8381</v>
      </c>
      <c r="J347" t="s">
        <v>8382</v>
      </c>
      <c r="K347" t="s">
        <v>74</v>
      </c>
      <c r="L347" t="s">
        <v>74</v>
      </c>
      <c r="M347" t="s">
        <v>74</v>
      </c>
      <c r="N347" t="s">
        <v>74</v>
      </c>
      <c r="O347" t="s">
        <v>74</v>
      </c>
      <c r="P347" t="s">
        <v>74</v>
      </c>
      <c r="Q347" t="s">
        <v>74</v>
      </c>
      <c r="R347" t="s">
        <v>74</v>
      </c>
      <c r="S347" t="s">
        <v>74</v>
      </c>
      <c r="T347" t="s">
        <v>74</v>
      </c>
      <c r="U347" t="s">
        <v>74</v>
      </c>
      <c r="V347" s="3" t="s">
        <v>8383</v>
      </c>
      <c r="W347" t="s">
        <v>74</v>
      </c>
      <c r="X347" t="s">
        <v>74</v>
      </c>
      <c r="Y347" t="s">
        <v>74</v>
      </c>
      <c r="Z347" t="s">
        <v>74</v>
      </c>
      <c r="AA347" t="s">
        <v>8384</v>
      </c>
      <c r="AB347" t="s">
        <v>8385</v>
      </c>
      <c r="AC347" t="s">
        <v>74</v>
      </c>
      <c r="AD347" t="s">
        <v>74</v>
      </c>
      <c r="AE347" t="s">
        <v>74</v>
      </c>
      <c r="AF347" t="s">
        <v>74</v>
      </c>
      <c r="AG347" t="s">
        <v>74</v>
      </c>
      <c r="AH347" t="s">
        <v>74</v>
      </c>
      <c r="AI347" t="s">
        <v>74</v>
      </c>
      <c r="AJ347" t="s">
        <v>74</v>
      </c>
      <c r="AK347" t="s">
        <v>74</v>
      </c>
      <c r="AL347" t="s">
        <v>74</v>
      </c>
      <c r="AM347" t="s">
        <v>74</v>
      </c>
      <c r="AN347" t="s">
        <v>74</v>
      </c>
      <c r="AO347" t="s">
        <v>8386</v>
      </c>
      <c r="AP347" t="s">
        <v>8387</v>
      </c>
      <c r="AQ347" t="s">
        <v>74</v>
      </c>
      <c r="AR347" t="s">
        <v>74</v>
      </c>
      <c r="AS347" t="s">
        <v>74</v>
      </c>
      <c r="AT347" t="s">
        <v>352</v>
      </c>
      <c r="AU347">
        <v>2021</v>
      </c>
      <c r="AV347">
        <v>35</v>
      </c>
      <c r="AW347">
        <v>3</v>
      </c>
      <c r="AX347" t="s">
        <v>74</v>
      </c>
      <c r="AY347" t="s">
        <v>74</v>
      </c>
      <c r="AZ347" t="s">
        <v>74</v>
      </c>
      <c r="BA347" t="s">
        <v>74</v>
      </c>
      <c r="BB347">
        <v>313</v>
      </c>
      <c r="BC347">
        <v>324</v>
      </c>
      <c r="BD347" t="s">
        <v>74</v>
      </c>
      <c r="BE347" t="s">
        <v>8388</v>
      </c>
      <c r="BF347" t="str">
        <f>HYPERLINK("http://dx.doi.org/10.1647/20-00009","http://dx.doi.org/10.1647/20-00009")</f>
        <v>http://dx.doi.org/10.1647/20-00009</v>
      </c>
      <c r="BG347" t="s">
        <v>74</v>
      </c>
      <c r="BH347" t="s">
        <v>74</v>
      </c>
      <c r="BI347" t="s">
        <v>74</v>
      </c>
      <c r="BJ347" t="s">
        <v>74</v>
      </c>
      <c r="BK347" t="s">
        <v>74</v>
      </c>
      <c r="BL347" t="s">
        <v>74</v>
      </c>
      <c r="BM347" t="s">
        <v>74</v>
      </c>
      <c r="BN347">
        <v>34677030</v>
      </c>
      <c r="BO347" t="s">
        <v>74</v>
      </c>
      <c r="BP347" t="s">
        <v>74</v>
      </c>
      <c r="BQ347" t="s">
        <v>74</v>
      </c>
      <c r="BR347" t="s">
        <v>74</v>
      </c>
      <c r="BS347" t="s">
        <v>8389</v>
      </c>
      <c r="BT347" t="str">
        <f>HYPERLINK("https%3A%2F%2Fwww.webofscience.com%2Fwos%2Fwoscc%2Ffull-record%2FWOS:000704164200007","View Full Record in Web of Science")</f>
        <v>View Full Record in Web of Science</v>
      </c>
    </row>
    <row r="348" spans="1:72" x14ac:dyDescent="0.4">
      <c r="A348" t="s">
        <v>72</v>
      </c>
      <c r="B348" t="s">
        <v>4084</v>
      </c>
      <c r="C348" t="s">
        <v>74</v>
      </c>
      <c r="D348" t="s">
        <v>74</v>
      </c>
      <c r="E348" t="s">
        <v>74</v>
      </c>
      <c r="F348" t="s">
        <v>4084</v>
      </c>
      <c r="G348" t="s">
        <v>74</v>
      </c>
      <c r="H348" t="s">
        <v>74</v>
      </c>
      <c r="I348" t="s">
        <v>4085</v>
      </c>
      <c r="J348" t="s">
        <v>3605</v>
      </c>
      <c r="K348" t="s">
        <v>74</v>
      </c>
      <c r="L348" t="s">
        <v>74</v>
      </c>
      <c r="M348" t="s">
        <v>74</v>
      </c>
      <c r="N348" t="s">
        <v>74</v>
      </c>
      <c r="O348" t="s">
        <v>74</v>
      </c>
      <c r="P348" t="s">
        <v>74</v>
      </c>
      <c r="Q348" t="s">
        <v>74</v>
      </c>
      <c r="R348" t="s">
        <v>74</v>
      </c>
      <c r="S348" t="s">
        <v>74</v>
      </c>
      <c r="T348" t="s">
        <v>74</v>
      </c>
      <c r="U348" t="s">
        <v>74</v>
      </c>
      <c r="V348" s="3" t="s">
        <v>4086</v>
      </c>
      <c r="W348" t="s">
        <v>74</v>
      </c>
      <c r="X348" t="s">
        <v>74</v>
      </c>
      <c r="Y348" t="s">
        <v>74</v>
      </c>
      <c r="Z348" t="s">
        <v>74</v>
      </c>
      <c r="AA348" t="s">
        <v>74</v>
      </c>
      <c r="AB348" t="s">
        <v>74</v>
      </c>
      <c r="AC348" t="s">
        <v>74</v>
      </c>
      <c r="AD348" t="s">
        <v>74</v>
      </c>
      <c r="AE348" t="s">
        <v>74</v>
      </c>
      <c r="AF348" t="s">
        <v>74</v>
      </c>
      <c r="AG348" t="s">
        <v>74</v>
      </c>
      <c r="AH348" t="s">
        <v>74</v>
      </c>
      <c r="AI348" t="s">
        <v>74</v>
      </c>
      <c r="AJ348" t="s">
        <v>74</v>
      </c>
      <c r="AK348" t="s">
        <v>74</v>
      </c>
      <c r="AL348" t="s">
        <v>74</v>
      </c>
      <c r="AM348" t="s">
        <v>74</v>
      </c>
      <c r="AN348" t="s">
        <v>74</v>
      </c>
      <c r="AO348" t="s">
        <v>3607</v>
      </c>
      <c r="AP348" t="s">
        <v>3608</v>
      </c>
      <c r="AQ348" t="s">
        <v>74</v>
      </c>
      <c r="AR348" t="s">
        <v>74</v>
      </c>
      <c r="AS348" t="s">
        <v>74</v>
      </c>
      <c r="AT348" t="s">
        <v>74</v>
      </c>
      <c r="AU348">
        <v>1965</v>
      </c>
      <c r="AV348">
        <v>45</v>
      </c>
      <c r="AW348">
        <v>3</v>
      </c>
      <c r="AX348" t="s">
        <v>74</v>
      </c>
      <c r="AY348" t="s">
        <v>74</v>
      </c>
      <c r="AZ348" t="s">
        <v>74</v>
      </c>
      <c r="BA348" t="s">
        <v>74</v>
      </c>
      <c r="BB348">
        <v>773</v>
      </c>
      <c r="BC348" t="s">
        <v>726</v>
      </c>
      <c r="BD348" t="s">
        <v>74</v>
      </c>
      <c r="BE348" t="s">
        <v>4087</v>
      </c>
      <c r="BF348" t="str">
        <f>HYPERLINK("http://dx.doi.org/10.1017/S0025315400016581","http://dx.doi.org/10.1017/S0025315400016581")</f>
        <v>http://dx.doi.org/10.1017/S0025315400016581</v>
      </c>
      <c r="BG348" t="s">
        <v>74</v>
      </c>
      <c r="BH348" t="s">
        <v>74</v>
      </c>
      <c r="BI348" t="s">
        <v>74</v>
      </c>
      <c r="BJ348" t="s">
        <v>74</v>
      </c>
      <c r="BK348" t="s">
        <v>74</v>
      </c>
      <c r="BL348" t="s">
        <v>74</v>
      </c>
      <c r="BM348" t="s">
        <v>74</v>
      </c>
      <c r="BN348" t="s">
        <v>74</v>
      </c>
      <c r="BO348" t="s">
        <v>74</v>
      </c>
      <c r="BP348" t="s">
        <v>74</v>
      </c>
      <c r="BQ348" t="s">
        <v>74</v>
      </c>
      <c r="BR348" t="s">
        <v>74</v>
      </c>
      <c r="BS348" t="s">
        <v>4088</v>
      </c>
      <c r="BT348" t="str">
        <f>HYPERLINK("https%3A%2F%2Fwww.webofscience.com%2Fwos%2Fwoscc%2Ffull-record%2FWOS:A19657014900017","View Full Record in Web of Science")</f>
        <v>View Full Record in Web of Science</v>
      </c>
    </row>
    <row r="349" spans="1:72" x14ac:dyDescent="0.4">
      <c r="A349" t="s">
        <v>72</v>
      </c>
      <c r="B349" t="s">
        <v>6789</v>
      </c>
      <c r="C349" t="s">
        <v>74</v>
      </c>
      <c r="D349" t="s">
        <v>74</v>
      </c>
      <c r="E349" t="s">
        <v>74</v>
      </c>
      <c r="F349" t="s">
        <v>6789</v>
      </c>
      <c r="G349" t="s">
        <v>74</v>
      </c>
      <c r="H349" t="s">
        <v>74</v>
      </c>
      <c r="I349" t="s">
        <v>6790</v>
      </c>
      <c r="J349" t="s">
        <v>140</v>
      </c>
      <c r="K349" t="s">
        <v>74</v>
      </c>
      <c r="L349" t="s">
        <v>74</v>
      </c>
      <c r="M349" t="s">
        <v>74</v>
      </c>
      <c r="N349" t="s">
        <v>74</v>
      </c>
      <c r="O349" t="s">
        <v>74</v>
      </c>
      <c r="P349" t="s">
        <v>74</v>
      </c>
      <c r="Q349" t="s">
        <v>74</v>
      </c>
      <c r="R349" t="s">
        <v>74</v>
      </c>
      <c r="S349" t="s">
        <v>74</v>
      </c>
      <c r="T349" t="s">
        <v>74</v>
      </c>
      <c r="U349" t="s">
        <v>74</v>
      </c>
      <c r="V349" s="3" t="s">
        <v>6791</v>
      </c>
      <c r="W349" t="s">
        <v>74</v>
      </c>
      <c r="X349" t="s">
        <v>74</v>
      </c>
      <c r="Y349" t="s">
        <v>74</v>
      </c>
      <c r="Z349" t="s">
        <v>74</v>
      </c>
      <c r="AA349" t="s">
        <v>74</v>
      </c>
      <c r="AB349" t="s">
        <v>74</v>
      </c>
      <c r="AC349" t="s">
        <v>74</v>
      </c>
      <c r="AD349" t="s">
        <v>74</v>
      </c>
      <c r="AE349" t="s">
        <v>74</v>
      </c>
      <c r="AF349" t="s">
        <v>74</v>
      </c>
      <c r="AG349" t="s">
        <v>74</v>
      </c>
      <c r="AH349" t="s">
        <v>74</v>
      </c>
      <c r="AI349" t="s">
        <v>74</v>
      </c>
      <c r="AJ349" t="s">
        <v>74</v>
      </c>
      <c r="AK349" t="s">
        <v>74</v>
      </c>
      <c r="AL349" t="s">
        <v>74</v>
      </c>
      <c r="AM349" t="s">
        <v>74</v>
      </c>
      <c r="AN349" t="s">
        <v>74</v>
      </c>
      <c r="AO349" t="s">
        <v>143</v>
      </c>
      <c r="AP349" t="s">
        <v>144</v>
      </c>
      <c r="AQ349" t="s">
        <v>74</v>
      </c>
      <c r="AR349" t="s">
        <v>74</v>
      </c>
      <c r="AS349" t="s">
        <v>74</v>
      </c>
      <c r="AT349" t="s">
        <v>213</v>
      </c>
      <c r="AU349">
        <v>2004</v>
      </c>
      <c r="AV349">
        <v>68</v>
      </c>
      <c r="AW349" t="s">
        <v>74</v>
      </c>
      <c r="AX349">
        <v>5</v>
      </c>
      <c r="AY349" t="s">
        <v>74</v>
      </c>
      <c r="AZ349" t="s">
        <v>74</v>
      </c>
      <c r="BA349" t="s">
        <v>74</v>
      </c>
      <c r="BB349">
        <v>1005</v>
      </c>
      <c r="BC349">
        <v>1015</v>
      </c>
      <c r="BD349" t="s">
        <v>74</v>
      </c>
      <c r="BE349" t="s">
        <v>6792</v>
      </c>
      <c r="BF349" t="str">
        <f>HYPERLINK("http://dx.doi.org/10.1016/j.anbehav.2004.02.003","http://dx.doi.org/10.1016/j.anbehav.2004.02.003")</f>
        <v>http://dx.doi.org/10.1016/j.anbehav.2004.02.003</v>
      </c>
      <c r="BG349" t="s">
        <v>74</v>
      </c>
      <c r="BH349" t="s">
        <v>74</v>
      </c>
      <c r="BI349" t="s">
        <v>74</v>
      </c>
      <c r="BJ349" t="s">
        <v>74</v>
      </c>
      <c r="BK349" t="s">
        <v>74</v>
      </c>
      <c r="BL349" t="s">
        <v>74</v>
      </c>
      <c r="BM349" t="s">
        <v>74</v>
      </c>
      <c r="BN349" t="s">
        <v>74</v>
      </c>
      <c r="BO349" t="s">
        <v>74</v>
      </c>
      <c r="BP349" t="s">
        <v>74</v>
      </c>
      <c r="BQ349" t="s">
        <v>74</v>
      </c>
      <c r="BR349" t="s">
        <v>74</v>
      </c>
      <c r="BS349" t="s">
        <v>6793</v>
      </c>
      <c r="BT349" t="str">
        <f>HYPERLINK("https%3A%2F%2Fwww.webofscience.com%2Fwos%2Fwoscc%2Ffull-record%2FWOS:000225064400004","View Full Record in Web of Science")</f>
        <v>View Full Record in Web of Science</v>
      </c>
    </row>
    <row r="350" spans="1:72" x14ac:dyDescent="0.4">
      <c r="A350" t="s">
        <v>72</v>
      </c>
      <c r="B350" t="s">
        <v>6822</v>
      </c>
      <c r="C350" t="s">
        <v>74</v>
      </c>
      <c r="D350" t="s">
        <v>74</v>
      </c>
      <c r="E350" t="s">
        <v>74</v>
      </c>
      <c r="F350" t="s">
        <v>6822</v>
      </c>
      <c r="G350" t="s">
        <v>74</v>
      </c>
      <c r="H350" t="s">
        <v>74</v>
      </c>
      <c r="I350" t="s">
        <v>6823</v>
      </c>
      <c r="J350" t="s">
        <v>1237</v>
      </c>
      <c r="K350" t="s">
        <v>74</v>
      </c>
      <c r="L350" t="s">
        <v>74</v>
      </c>
      <c r="M350" t="s">
        <v>74</v>
      </c>
      <c r="N350" t="s">
        <v>74</v>
      </c>
      <c r="O350" t="s">
        <v>74</v>
      </c>
      <c r="P350" t="s">
        <v>74</v>
      </c>
      <c r="Q350" t="s">
        <v>74</v>
      </c>
      <c r="R350" t="s">
        <v>74</v>
      </c>
      <c r="S350" t="s">
        <v>74</v>
      </c>
      <c r="T350" t="s">
        <v>74</v>
      </c>
      <c r="U350" t="s">
        <v>74</v>
      </c>
      <c r="V350" s="3" t="s">
        <v>6824</v>
      </c>
      <c r="W350" t="s">
        <v>74</v>
      </c>
      <c r="X350" t="s">
        <v>74</v>
      </c>
      <c r="Y350" t="s">
        <v>74</v>
      </c>
      <c r="Z350" t="s">
        <v>74</v>
      </c>
      <c r="AA350" t="s">
        <v>74</v>
      </c>
      <c r="AB350" t="s">
        <v>74</v>
      </c>
      <c r="AC350" t="s">
        <v>74</v>
      </c>
      <c r="AD350" t="s">
        <v>74</v>
      </c>
      <c r="AE350" t="s">
        <v>74</v>
      </c>
      <c r="AF350" t="s">
        <v>74</v>
      </c>
      <c r="AG350" t="s">
        <v>74</v>
      </c>
      <c r="AH350" t="s">
        <v>74</v>
      </c>
      <c r="AI350" t="s">
        <v>74</v>
      </c>
      <c r="AJ350" t="s">
        <v>74</v>
      </c>
      <c r="AK350" t="s">
        <v>74</v>
      </c>
      <c r="AL350" t="s">
        <v>74</v>
      </c>
      <c r="AM350" t="s">
        <v>74</v>
      </c>
      <c r="AN350" t="s">
        <v>74</v>
      </c>
      <c r="AO350" t="s">
        <v>1239</v>
      </c>
      <c r="AP350" t="s">
        <v>74</v>
      </c>
      <c r="AQ350" t="s">
        <v>74</v>
      </c>
      <c r="AR350" t="s">
        <v>74</v>
      </c>
      <c r="AS350" t="s">
        <v>74</v>
      </c>
      <c r="AT350" t="s">
        <v>134</v>
      </c>
      <c r="AU350">
        <v>1995</v>
      </c>
      <c r="AV350">
        <v>73</v>
      </c>
      <c r="AW350">
        <v>5</v>
      </c>
      <c r="AX350" t="s">
        <v>74</v>
      </c>
      <c r="AY350" t="s">
        <v>74</v>
      </c>
      <c r="AZ350" t="s">
        <v>74</v>
      </c>
      <c r="BA350" t="s">
        <v>74</v>
      </c>
      <c r="BB350">
        <v>858</v>
      </c>
      <c r="BC350">
        <v>868</v>
      </c>
      <c r="BD350" t="s">
        <v>74</v>
      </c>
      <c r="BE350" t="s">
        <v>6825</v>
      </c>
      <c r="BF350" t="str">
        <f>HYPERLINK("http://dx.doi.org/10.1139/z95-101","http://dx.doi.org/10.1139/z95-101")</f>
        <v>http://dx.doi.org/10.1139/z95-101</v>
      </c>
      <c r="BG350" t="s">
        <v>74</v>
      </c>
      <c r="BH350" t="s">
        <v>74</v>
      </c>
      <c r="BI350" t="s">
        <v>74</v>
      </c>
      <c r="BJ350" t="s">
        <v>74</v>
      </c>
      <c r="BK350" t="s">
        <v>74</v>
      </c>
      <c r="BL350" t="s">
        <v>74</v>
      </c>
      <c r="BM350" t="s">
        <v>74</v>
      </c>
      <c r="BN350" t="s">
        <v>74</v>
      </c>
      <c r="BO350" t="s">
        <v>74</v>
      </c>
      <c r="BP350" t="s">
        <v>74</v>
      </c>
      <c r="BQ350" t="s">
        <v>74</v>
      </c>
      <c r="BR350" t="s">
        <v>74</v>
      </c>
      <c r="BS350" t="s">
        <v>6826</v>
      </c>
      <c r="BT350" t="str">
        <f>HYPERLINK("https%3A%2F%2Fwww.webofscience.com%2Fwos%2Fwoscc%2Ffull-record%2FWOS:A1995RR09100006","View Full Record in Web of Science")</f>
        <v>View Full Record in Web of Science</v>
      </c>
    </row>
    <row r="351" spans="1:72" x14ac:dyDescent="0.4">
      <c r="A351" t="s">
        <v>72</v>
      </c>
      <c r="B351" t="s">
        <v>6334</v>
      </c>
      <c r="C351" t="s">
        <v>74</v>
      </c>
      <c r="D351" t="s">
        <v>74</v>
      </c>
      <c r="E351" t="s">
        <v>74</v>
      </c>
      <c r="F351" t="s">
        <v>6335</v>
      </c>
      <c r="G351" t="s">
        <v>74</v>
      </c>
      <c r="H351" t="s">
        <v>74</v>
      </c>
      <c r="I351" t="s">
        <v>6336</v>
      </c>
      <c r="J351" t="s">
        <v>408</v>
      </c>
      <c r="K351" t="s">
        <v>74</v>
      </c>
      <c r="L351" t="s">
        <v>74</v>
      </c>
      <c r="M351" t="s">
        <v>74</v>
      </c>
      <c r="N351" t="s">
        <v>74</v>
      </c>
      <c r="O351" t="s">
        <v>74</v>
      </c>
      <c r="P351" t="s">
        <v>74</v>
      </c>
      <c r="Q351" t="s">
        <v>74</v>
      </c>
      <c r="R351" t="s">
        <v>74</v>
      </c>
      <c r="S351" t="s">
        <v>74</v>
      </c>
      <c r="T351" t="s">
        <v>74</v>
      </c>
      <c r="U351" t="s">
        <v>74</v>
      </c>
      <c r="V351" s="3" t="s">
        <v>6337</v>
      </c>
      <c r="W351" t="s">
        <v>74</v>
      </c>
      <c r="X351" t="s">
        <v>74</v>
      </c>
      <c r="Y351" t="s">
        <v>74</v>
      </c>
      <c r="Z351" t="s">
        <v>74</v>
      </c>
      <c r="AA351" t="s">
        <v>74</v>
      </c>
      <c r="AB351" t="s">
        <v>74</v>
      </c>
      <c r="AC351" t="s">
        <v>74</v>
      </c>
      <c r="AD351" t="s">
        <v>74</v>
      </c>
      <c r="AE351" t="s">
        <v>74</v>
      </c>
      <c r="AF351" t="s">
        <v>74</v>
      </c>
      <c r="AG351" t="s">
        <v>74</v>
      </c>
      <c r="AH351" t="s">
        <v>74</v>
      </c>
      <c r="AI351" t="s">
        <v>74</v>
      </c>
      <c r="AJ351" t="s">
        <v>74</v>
      </c>
      <c r="AK351" t="s">
        <v>74</v>
      </c>
      <c r="AL351" t="s">
        <v>74</v>
      </c>
      <c r="AM351" t="s">
        <v>74</v>
      </c>
      <c r="AN351" t="s">
        <v>74</v>
      </c>
      <c r="AO351" t="s">
        <v>412</v>
      </c>
      <c r="AP351" t="s">
        <v>413</v>
      </c>
      <c r="AQ351" t="s">
        <v>74</v>
      </c>
      <c r="AR351" t="s">
        <v>74</v>
      </c>
      <c r="AS351" t="s">
        <v>74</v>
      </c>
      <c r="AT351" t="s">
        <v>102</v>
      </c>
      <c r="AU351">
        <v>2020</v>
      </c>
      <c r="AV351">
        <v>130</v>
      </c>
      <c r="AW351">
        <v>2</v>
      </c>
      <c r="AX351" t="s">
        <v>74</v>
      </c>
      <c r="AY351" t="s">
        <v>74</v>
      </c>
      <c r="AZ351" t="s">
        <v>74</v>
      </c>
      <c r="BA351" t="s">
        <v>74</v>
      </c>
      <c r="BB351">
        <v>336</v>
      </c>
      <c r="BC351">
        <v>344</v>
      </c>
      <c r="BD351" t="s">
        <v>74</v>
      </c>
      <c r="BE351" t="s">
        <v>6338</v>
      </c>
      <c r="BF351" t="str">
        <f>HYPERLINK("http://dx.doi.org/10.1093/biolinnean/blaa045","http://dx.doi.org/10.1093/biolinnean/blaa045")</f>
        <v>http://dx.doi.org/10.1093/biolinnean/blaa045</v>
      </c>
      <c r="BG351" t="s">
        <v>74</v>
      </c>
      <c r="BH351" t="s">
        <v>74</v>
      </c>
      <c r="BI351" t="s">
        <v>74</v>
      </c>
      <c r="BJ351" t="s">
        <v>74</v>
      </c>
      <c r="BK351" t="s">
        <v>74</v>
      </c>
      <c r="BL351" t="s">
        <v>74</v>
      </c>
      <c r="BM351" t="s">
        <v>74</v>
      </c>
      <c r="BN351" t="s">
        <v>74</v>
      </c>
      <c r="BO351" t="s">
        <v>74</v>
      </c>
      <c r="BP351" t="s">
        <v>74</v>
      </c>
      <c r="BQ351" t="s">
        <v>74</v>
      </c>
      <c r="BR351" t="s">
        <v>74</v>
      </c>
      <c r="BS351" t="s">
        <v>6339</v>
      </c>
      <c r="BT351" t="str">
        <f>HYPERLINK("https%3A%2F%2Fwww.webofscience.com%2Fwos%2Fwoscc%2Ffull-record%2FWOS:000562378200007","View Full Record in Web of Science")</f>
        <v>View Full Record in Web of Science</v>
      </c>
    </row>
    <row r="352" spans="1:72" x14ac:dyDescent="0.4">
      <c r="A352" t="s">
        <v>72</v>
      </c>
      <c r="B352" t="s">
        <v>7228</v>
      </c>
      <c r="C352" t="s">
        <v>74</v>
      </c>
      <c r="D352" t="s">
        <v>74</v>
      </c>
      <c r="E352" t="s">
        <v>74</v>
      </c>
      <c r="F352" t="s">
        <v>7229</v>
      </c>
      <c r="G352" t="s">
        <v>74</v>
      </c>
      <c r="H352" t="s">
        <v>74</v>
      </c>
      <c r="I352" t="s">
        <v>7230</v>
      </c>
      <c r="J352" t="s">
        <v>333</v>
      </c>
      <c r="K352" t="s">
        <v>74</v>
      </c>
      <c r="L352" t="s">
        <v>74</v>
      </c>
      <c r="M352" t="s">
        <v>74</v>
      </c>
      <c r="N352" t="s">
        <v>74</v>
      </c>
      <c r="O352" t="s">
        <v>74</v>
      </c>
      <c r="P352" t="s">
        <v>74</v>
      </c>
      <c r="Q352" t="s">
        <v>74</v>
      </c>
      <c r="R352" t="s">
        <v>74</v>
      </c>
      <c r="S352" t="s">
        <v>74</v>
      </c>
      <c r="T352" t="s">
        <v>74</v>
      </c>
      <c r="U352" t="s">
        <v>74</v>
      </c>
      <c r="V352" s="3" t="s">
        <v>7231</v>
      </c>
      <c r="W352" t="s">
        <v>74</v>
      </c>
      <c r="X352" t="s">
        <v>74</v>
      </c>
      <c r="Y352" t="s">
        <v>74</v>
      </c>
      <c r="Z352" t="s">
        <v>74</v>
      </c>
      <c r="AA352" t="s">
        <v>74</v>
      </c>
      <c r="AB352" t="s">
        <v>7232</v>
      </c>
      <c r="AC352" t="s">
        <v>74</v>
      </c>
      <c r="AD352" t="s">
        <v>74</v>
      </c>
      <c r="AE352" t="s">
        <v>74</v>
      </c>
      <c r="AF352" t="s">
        <v>74</v>
      </c>
      <c r="AG352" t="s">
        <v>74</v>
      </c>
      <c r="AH352" t="s">
        <v>74</v>
      </c>
      <c r="AI352" t="s">
        <v>74</v>
      </c>
      <c r="AJ352" t="s">
        <v>74</v>
      </c>
      <c r="AK352" t="s">
        <v>74</v>
      </c>
      <c r="AL352" t="s">
        <v>74</v>
      </c>
      <c r="AM352" t="s">
        <v>74</v>
      </c>
      <c r="AN352" t="s">
        <v>74</v>
      </c>
      <c r="AO352" t="s">
        <v>337</v>
      </c>
      <c r="AP352" t="s">
        <v>338</v>
      </c>
      <c r="AQ352" t="s">
        <v>74</v>
      </c>
      <c r="AR352" t="s">
        <v>74</v>
      </c>
      <c r="AS352" t="s">
        <v>74</v>
      </c>
      <c r="AT352" t="s">
        <v>1013</v>
      </c>
      <c r="AU352">
        <v>2017</v>
      </c>
      <c r="AV352">
        <v>28</v>
      </c>
      <c r="AW352">
        <v>5</v>
      </c>
      <c r="AX352" t="s">
        <v>74</v>
      </c>
      <c r="AY352" t="s">
        <v>74</v>
      </c>
      <c r="AZ352" t="s">
        <v>74</v>
      </c>
      <c r="BA352" t="s">
        <v>74</v>
      </c>
      <c r="BB352">
        <v>1329</v>
      </c>
      <c r="BC352">
        <v>1336</v>
      </c>
      <c r="BD352" t="s">
        <v>74</v>
      </c>
      <c r="BE352" t="s">
        <v>7233</v>
      </c>
      <c r="BF352" t="str">
        <f>HYPERLINK("http://dx.doi.org/10.1093/beheco/arx096","http://dx.doi.org/10.1093/beheco/arx096")</f>
        <v>http://dx.doi.org/10.1093/beheco/arx096</v>
      </c>
      <c r="BG352" t="s">
        <v>74</v>
      </c>
      <c r="BH352" t="s">
        <v>74</v>
      </c>
      <c r="BI352" t="s">
        <v>74</v>
      </c>
      <c r="BJ352" t="s">
        <v>74</v>
      </c>
      <c r="BK352" t="s">
        <v>74</v>
      </c>
      <c r="BL352" t="s">
        <v>74</v>
      </c>
      <c r="BM352" t="s">
        <v>74</v>
      </c>
      <c r="BN352" t="s">
        <v>74</v>
      </c>
      <c r="BO352" t="s">
        <v>74</v>
      </c>
      <c r="BP352" t="s">
        <v>74</v>
      </c>
      <c r="BQ352" t="s">
        <v>74</v>
      </c>
      <c r="BR352" t="s">
        <v>74</v>
      </c>
      <c r="BS352" t="s">
        <v>7234</v>
      </c>
      <c r="BT352" t="str">
        <f>HYPERLINK("https%3A%2F%2Fwww.webofscience.com%2Fwos%2Fwoscc%2Ffull-record%2FWOS:000412182400016","View Full Record in Web of Science")</f>
        <v>View Full Record in Web of Science</v>
      </c>
    </row>
    <row r="353" spans="1:72" x14ac:dyDescent="0.4">
      <c r="A353" t="s">
        <v>72</v>
      </c>
      <c r="B353" t="s">
        <v>8064</v>
      </c>
      <c r="C353" t="s">
        <v>74</v>
      </c>
      <c r="D353" t="s">
        <v>74</v>
      </c>
      <c r="E353" t="s">
        <v>74</v>
      </c>
      <c r="F353" t="s">
        <v>8065</v>
      </c>
      <c r="G353" t="s">
        <v>74</v>
      </c>
      <c r="H353" t="s">
        <v>74</v>
      </c>
      <c r="I353" t="s">
        <v>8066</v>
      </c>
      <c r="J353" t="s">
        <v>8067</v>
      </c>
      <c r="K353" t="s">
        <v>74</v>
      </c>
      <c r="L353" t="s">
        <v>74</v>
      </c>
      <c r="M353" t="s">
        <v>74</v>
      </c>
      <c r="N353" t="s">
        <v>74</v>
      </c>
      <c r="O353" t="s">
        <v>74</v>
      </c>
      <c r="P353" t="s">
        <v>74</v>
      </c>
      <c r="Q353" t="s">
        <v>74</v>
      </c>
      <c r="R353" t="s">
        <v>74</v>
      </c>
      <c r="S353" t="s">
        <v>74</v>
      </c>
      <c r="T353" t="s">
        <v>74</v>
      </c>
      <c r="U353" t="s">
        <v>74</v>
      </c>
      <c r="V353" s="3" t="s">
        <v>8068</v>
      </c>
      <c r="W353" t="s">
        <v>74</v>
      </c>
      <c r="X353" t="s">
        <v>74</v>
      </c>
      <c r="Y353" t="s">
        <v>74</v>
      </c>
      <c r="Z353" t="s">
        <v>74</v>
      </c>
      <c r="AA353" t="s">
        <v>8069</v>
      </c>
      <c r="AB353" t="s">
        <v>8070</v>
      </c>
      <c r="AC353" t="s">
        <v>74</v>
      </c>
      <c r="AD353" t="s">
        <v>74</v>
      </c>
      <c r="AE353" t="s">
        <v>74</v>
      </c>
      <c r="AF353" t="s">
        <v>74</v>
      </c>
      <c r="AG353" t="s">
        <v>74</v>
      </c>
      <c r="AH353" t="s">
        <v>74</v>
      </c>
      <c r="AI353" t="s">
        <v>74</v>
      </c>
      <c r="AJ353" t="s">
        <v>74</v>
      </c>
      <c r="AK353" t="s">
        <v>74</v>
      </c>
      <c r="AL353" t="s">
        <v>74</v>
      </c>
      <c r="AM353" t="s">
        <v>74</v>
      </c>
      <c r="AN353" t="s">
        <v>74</v>
      </c>
      <c r="AO353" t="s">
        <v>8071</v>
      </c>
      <c r="AP353" t="s">
        <v>8072</v>
      </c>
      <c r="AQ353" t="s">
        <v>74</v>
      </c>
      <c r="AR353" t="s">
        <v>74</v>
      </c>
      <c r="AS353" t="s">
        <v>74</v>
      </c>
      <c r="AT353" t="s">
        <v>769</v>
      </c>
      <c r="AU353">
        <v>2019</v>
      </c>
      <c r="AV353">
        <v>236</v>
      </c>
      <c r="AW353">
        <v>1</v>
      </c>
      <c r="AX353" t="s">
        <v>74</v>
      </c>
      <c r="AY353" t="s">
        <v>74</v>
      </c>
      <c r="AZ353" t="s">
        <v>74</v>
      </c>
      <c r="BA353" t="s">
        <v>74</v>
      </c>
      <c r="BB353">
        <v>43</v>
      </c>
      <c r="BC353">
        <v>54</v>
      </c>
      <c r="BD353" t="s">
        <v>74</v>
      </c>
      <c r="BE353" t="s">
        <v>8073</v>
      </c>
      <c r="BF353" t="str">
        <f>HYPERLINK("http://dx.doi.org/10.1086/700836","http://dx.doi.org/10.1086/700836")</f>
        <v>http://dx.doi.org/10.1086/700836</v>
      </c>
      <c r="BG353" t="s">
        <v>74</v>
      </c>
      <c r="BH353" t="s">
        <v>74</v>
      </c>
      <c r="BI353" t="s">
        <v>74</v>
      </c>
      <c r="BJ353" t="s">
        <v>74</v>
      </c>
      <c r="BK353" t="s">
        <v>74</v>
      </c>
      <c r="BL353" t="s">
        <v>74</v>
      </c>
      <c r="BM353" t="s">
        <v>74</v>
      </c>
      <c r="BN353">
        <v>30707606</v>
      </c>
      <c r="BO353" t="s">
        <v>74</v>
      </c>
      <c r="BP353" t="s">
        <v>74</v>
      </c>
      <c r="BQ353" t="s">
        <v>74</v>
      </c>
      <c r="BR353" t="s">
        <v>74</v>
      </c>
      <c r="BS353" t="s">
        <v>8074</v>
      </c>
      <c r="BT353" t="str">
        <f>HYPERLINK("https%3A%2F%2Fwww.webofscience.com%2Fwos%2Fwoscc%2Ffull-record%2FWOS:000457792100004","View Full Record in Web of Science")</f>
        <v>View Full Record in Web of Science</v>
      </c>
    </row>
    <row r="354" spans="1:72" x14ac:dyDescent="0.4">
      <c r="A354" t="s">
        <v>72</v>
      </c>
      <c r="B354" t="s">
        <v>879</v>
      </c>
      <c r="C354" t="s">
        <v>74</v>
      </c>
      <c r="D354" t="s">
        <v>74</v>
      </c>
      <c r="E354" t="s">
        <v>74</v>
      </c>
      <c r="F354" t="s">
        <v>880</v>
      </c>
      <c r="G354" t="s">
        <v>74</v>
      </c>
      <c r="H354" t="s">
        <v>74</v>
      </c>
      <c r="I354" t="s">
        <v>881</v>
      </c>
      <c r="J354" t="s">
        <v>882</v>
      </c>
      <c r="K354" t="s">
        <v>74</v>
      </c>
      <c r="L354" t="s">
        <v>74</v>
      </c>
      <c r="M354" t="s">
        <v>74</v>
      </c>
      <c r="N354" t="s">
        <v>74</v>
      </c>
      <c r="O354" t="s">
        <v>74</v>
      </c>
      <c r="P354" t="s">
        <v>74</v>
      </c>
      <c r="Q354" t="s">
        <v>74</v>
      </c>
      <c r="R354" t="s">
        <v>74</v>
      </c>
      <c r="S354" t="s">
        <v>74</v>
      </c>
      <c r="T354" t="s">
        <v>74</v>
      </c>
      <c r="U354" t="s">
        <v>74</v>
      </c>
      <c r="V354" s="3" t="s">
        <v>883</v>
      </c>
      <c r="W354" t="s">
        <v>74</v>
      </c>
      <c r="X354" t="s">
        <v>74</v>
      </c>
      <c r="Y354" t="s">
        <v>74</v>
      </c>
      <c r="Z354" t="s">
        <v>74</v>
      </c>
      <c r="AA354" t="s">
        <v>884</v>
      </c>
      <c r="AB354" t="s">
        <v>885</v>
      </c>
      <c r="AC354" t="s">
        <v>74</v>
      </c>
      <c r="AD354" t="s">
        <v>74</v>
      </c>
      <c r="AE354" t="s">
        <v>74</v>
      </c>
      <c r="AF354" t="s">
        <v>74</v>
      </c>
      <c r="AG354" t="s">
        <v>74</v>
      </c>
      <c r="AH354" t="s">
        <v>74</v>
      </c>
      <c r="AI354" t="s">
        <v>74</v>
      </c>
      <c r="AJ354" t="s">
        <v>74</v>
      </c>
      <c r="AK354" t="s">
        <v>74</v>
      </c>
      <c r="AL354" t="s">
        <v>74</v>
      </c>
      <c r="AM354" t="s">
        <v>74</v>
      </c>
      <c r="AN354" t="s">
        <v>74</v>
      </c>
      <c r="AO354" t="s">
        <v>886</v>
      </c>
      <c r="AP354" t="s">
        <v>887</v>
      </c>
      <c r="AQ354" t="s">
        <v>74</v>
      </c>
      <c r="AR354" t="s">
        <v>74</v>
      </c>
      <c r="AS354" t="s">
        <v>74</v>
      </c>
      <c r="AT354" t="s">
        <v>74</v>
      </c>
      <c r="AU354">
        <v>2010</v>
      </c>
      <c r="AV354">
        <v>9</v>
      </c>
      <c r="AW354">
        <v>3</v>
      </c>
      <c r="AX354" t="s">
        <v>74</v>
      </c>
      <c r="AY354" t="s">
        <v>74</v>
      </c>
      <c r="AZ354" t="s">
        <v>74</v>
      </c>
      <c r="BA354" t="s">
        <v>74</v>
      </c>
      <c r="BB354">
        <v>271</v>
      </c>
      <c r="BC354">
        <v>277</v>
      </c>
      <c r="BD354" t="s">
        <v>74</v>
      </c>
      <c r="BE354" t="s">
        <v>888</v>
      </c>
      <c r="BF354" t="str">
        <f>HYPERLINK("http://dx.doi.org/10.3354/ab00257","http://dx.doi.org/10.3354/ab00257")</f>
        <v>http://dx.doi.org/10.3354/ab00257</v>
      </c>
      <c r="BG354" t="s">
        <v>74</v>
      </c>
      <c r="BH354" t="s">
        <v>74</v>
      </c>
      <c r="BI354" t="s">
        <v>74</v>
      </c>
      <c r="BJ354" t="s">
        <v>74</v>
      </c>
      <c r="BK354" t="s">
        <v>74</v>
      </c>
      <c r="BL354" t="s">
        <v>74</v>
      </c>
      <c r="BM354" t="s">
        <v>74</v>
      </c>
      <c r="BN354" t="s">
        <v>74</v>
      </c>
      <c r="BO354" t="s">
        <v>74</v>
      </c>
      <c r="BP354" t="s">
        <v>74</v>
      </c>
      <c r="BQ354" t="s">
        <v>74</v>
      </c>
      <c r="BR354" t="s">
        <v>74</v>
      </c>
      <c r="BS354" t="s">
        <v>889</v>
      </c>
      <c r="BT354" t="str">
        <f>HYPERLINK("https%3A%2F%2Fwww.webofscience.com%2Fwos%2Fwoscc%2Ffull-record%2FWOS:000278977700007","View Full Record in Web of Science")</f>
        <v>View Full Record in Web of Science</v>
      </c>
    </row>
    <row r="355" spans="1:72" x14ac:dyDescent="0.4">
      <c r="A355" t="s">
        <v>72</v>
      </c>
      <c r="B355" t="s">
        <v>488</v>
      </c>
      <c r="C355" t="s">
        <v>74</v>
      </c>
      <c r="D355" t="s">
        <v>74</v>
      </c>
      <c r="E355" t="s">
        <v>74</v>
      </c>
      <c r="F355" t="s">
        <v>488</v>
      </c>
      <c r="G355" t="s">
        <v>74</v>
      </c>
      <c r="H355" t="s">
        <v>74</v>
      </c>
      <c r="I355" t="s">
        <v>489</v>
      </c>
      <c r="J355" t="s">
        <v>108</v>
      </c>
      <c r="K355" t="s">
        <v>74</v>
      </c>
      <c r="L355" t="s">
        <v>74</v>
      </c>
      <c r="M355" t="s">
        <v>74</v>
      </c>
      <c r="N355" t="s">
        <v>74</v>
      </c>
      <c r="O355" t="s">
        <v>74</v>
      </c>
      <c r="P355" t="s">
        <v>74</v>
      </c>
      <c r="Q355" t="s">
        <v>74</v>
      </c>
      <c r="R355" t="s">
        <v>74</v>
      </c>
      <c r="S355" t="s">
        <v>74</v>
      </c>
      <c r="T355" t="s">
        <v>74</v>
      </c>
      <c r="U355" t="s">
        <v>74</v>
      </c>
      <c r="V355" s="3" t="s">
        <v>490</v>
      </c>
      <c r="W355" t="s">
        <v>74</v>
      </c>
      <c r="X355" t="s">
        <v>74</v>
      </c>
      <c r="Y355" t="s">
        <v>74</v>
      </c>
      <c r="Z355" t="s">
        <v>74</v>
      </c>
      <c r="AA355" t="s">
        <v>491</v>
      </c>
      <c r="AB355" t="s">
        <v>492</v>
      </c>
      <c r="AC355" t="s">
        <v>74</v>
      </c>
      <c r="AD355" t="s">
        <v>74</v>
      </c>
      <c r="AE355" t="s">
        <v>74</v>
      </c>
      <c r="AF355" t="s">
        <v>74</v>
      </c>
      <c r="AG355" t="s">
        <v>74</v>
      </c>
      <c r="AH355" t="s">
        <v>74</v>
      </c>
      <c r="AI355" t="s">
        <v>74</v>
      </c>
      <c r="AJ355" t="s">
        <v>74</v>
      </c>
      <c r="AK355" t="s">
        <v>74</v>
      </c>
      <c r="AL355" t="s">
        <v>74</v>
      </c>
      <c r="AM355" t="s">
        <v>74</v>
      </c>
      <c r="AN355" t="s">
        <v>74</v>
      </c>
      <c r="AO355" t="s">
        <v>111</v>
      </c>
      <c r="AP355" t="s">
        <v>112</v>
      </c>
      <c r="AQ355" t="s">
        <v>74</v>
      </c>
      <c r="AR355" t="s">
        <v>74</v>
      </c>
      <c r="AS355" t="s">
        <v>74</v>
      </c>
      <c r="AT355" t="s">
        <v>493</v>
      </c>
      <c r="AU355">
        <v>2001</v>
      </c>
      <c r="AV355">
        <v>268</v>
      </c>
      <c r="AW355">
        <v>1475</v>
      </c>
      <c r="AX355" t="s">
        <v>74</v>
      </c>
      <c r="AY355" t="s">
        <v>74</v>
      </c>
      <c r="AZ355" t="s">
        <v>74</v>
      </c>
      <c r="BA355" t="s">
        <v>74</v>
      </c>
      <c r="BB355">
        <v>1519</v>
      </c>
      <c r="BC355">
        <v>1526</v>
      </c>
      <c r="BD355" t="s">
        <v>74</v>
      </c>
      <c r="BE355" t="s">
        <v>494</v>
      </c>
      <c r="BF355" t="str">
        <f>HYPERLINK("http://dx.doi.org/10.1098/rspb.2001.1701","http://dx.doi.org/10.1098/rspb.2001.1701")</f>
        <v>http://dx.doi.org/10.1098/rspb.2001.1701</v>
      </c>
      <c r="BG355" t="s">
        <v>74</v>
      </c>
      <c r="BH355" t="s">
        <v>74</v>
      </c>
      <c r="BI355" t="s">
        <v>74</v>
      </c>
      <c r="BJ355" t="s">
        <v>74</v>
      </c>
      <c r="BK355" t="s">
        <v>74</v>
      </c>
      <c r="BL355" t="s">
        <v>74</v>
      </c>
      <c r="BM355" t="s">
        <v>74</v>
      </c>
      <c r="BN355">
        <v>11454297</v>
      </c>
      <c r="BO355" t="s">
        <v>74</v>
      </c>
      <c r="BP355" t="s">
        <v>74</v>
      </c>
      <c r="BQ355" t="s">
        <v>74</v>
      </c>
      <c r="BR355" t="s">
        <v>74</v>
      </c>
      <c r="BS355" t="s">
        <v>495</v>
      </c>
      <c r="BT355" t="str">
        <f>HYPERLINK("https%3A%2F%2Fwww.webofscience.com%2Fwos%2Fwoscc%2Ffull-record%2FWOS:000170003600013","View Full Record in Web of Science")</f>
        <v>View Full Record in Web of Science</v>
      </c>
    </row>
    <row r="356" spans="1:72" x14ac:dyDescent="0.4">
      <c r="A356" t="s">
        <v>72</v>
      </c>
      <c r="B356" t="s">
        <v>5024</v>
      </c>
      <c r="C356" t="s">
        <v>74</v>
      </c>
      <c r="D356" t="s">
        <v>74</v>
      </c>
      <c r="E356" t="s">
        <v>74</v>
      </c>
      <c r="F356" t="s">
        <v>5025</v>
      </c>
      <c r="G356" t="s">
        <v>74</v>
      </c>
      <c r="H356" t="s">
        <v>74</v>
      </c>
      <c r="I356" t="s">
        <v>5026</v>
      </c>
      <c r="J356" t="s">
        <v>2578</v>
      </c>
      <c r="K356" t="s">
        <v>74</v>
      </c>
      <c r="L356" t="s">
        <v>74</v>
      </c>
      <c r="M356" t="s">
        <v>74</v>
      </c>
      <c r="N356" t="s">
        <v>74</v>
      </c>
      <c r="O356" t="s">
        <v>74</v>
      </c>
      <c r="P356" t="s">
        <v>74</v>
      </c>
      <c r="Q356" t="s">
        <v>74</v>
      </c>
      <c r="R356" t="s">
        <v>74</v>
      </c>
      <c r="S356" t="s">
        <v>74</v>
      </c>
      <c r="T356" t="s">
        <v>74</v>
      </c>
      <c r="U356" t="s">
        <v>74</v>
      </c>
      <c r="V356" s="3" t="s">
        <v>5027</v>
      </c>
      <c r="W356" t="s">
        <v>74</v>
      </c>
      <c r="X356" t="s">
        <v>74</v>
      </c>
      <c r="Y356" t="s">
        <v>74</v>
      </c>
      <c r="Z356" t="s">
        <v>74</v>
      </c>
      <c r="AA356" t="s">
        <v>74</v>
      </c>
      <c r="AB356" t="s">
        <v>74</v>
      </c>
      <c r="AC356" t="s">
        <v>74</v>
      </c>
      <c r="AD356" t="s">
        <v>74</v>
      </c>
      <c r="AE356" t="s">
        <v>74</v>
      </c>
      <c r="AF356" t="s">
        <v>74</v>
      </c>
      <c r="AG356" t="s">
        <v>74</v>
      </c>
      <c r="AH356" t="s">
        <v>74</v>
      </c>
      <c r="AI356" t="s">
        <v>74</v>
      </c>
      <c r="AJ356" t="s">
        <v>74</v>
      </c>
      <c r="AK356" t="s">
        <v>74</v>
      </c>
      <c r="AL356" t="s">
        <v>74</v>
      </c>
      <c r="AM356" t="s">
        <v>74</v>
      </c>
      <c r="AN356" t="s">
        <v>74</v>
      </c>
      <c r="AO356" t="s">
        <v>2582</v>
      </c>
      <c r="AP356" t="s">
        <v>2583</v>
      </c>
      <c r="AQ356" t="s">
        <v>74</v>
      </c>
      <c r="AR356" t="s">
        <v>74</v>
      </c>
      <c r="AS356" t="s">
        <v>74</v>
      </c>
      <c r="AT356" t="s">
        <v>5028</v>
      </c>
      <c r="AU356">
        <v>2024</v>
      </c>
      <c r="AV356" t="s">
        <v>74</v>
      </c>
      <c r="AW356" t="s">
        <v>74</v>
      </c>
      <c r="AX356" t="s">
        <v>74</v>
      </c>
      <c r="AY356" t="s">
        <v>74</v>
      </c>
      <c r="AZ356" t="s">
        <v>74</v>
      </c>
      <c r="BA356" t="s">
        <v>74</v>
      </c>
      <c r="BB356" t="s">
        <v>74</v>
      </c>
      <c r="BC356" t="s">
        <v>74</v>
      </c>
      <c r="BD356" t="s">
        <v>74</v>
      </c>
      <c r="BE356" t="s">
        <v>5029</v>
      </c>
      <c r="BF356" t="str">
        <f>HYPERLINK("http://dx.doi.org/10.3758/s13420-024-00638-z","http://dx.doi.org/10.3758/s13420-024-00638-z")</f>
        <v>http://dx.doi.org/10.3758/s13420-024-00638-z</v>
      </c>
      <c r="BG356" t="s">
        <v>74</v>
      </c>
      <c r="BH356" t="s">
        <v>5030</v>
      </c>
      <c r="BI356" t="s">
        <v>74</v>
      </c>
      <c r="BJ356" t="s">
        <v>74</v>
      </c>
      <c r="BK356" t="s">
        <v>74</v>
      </c>
      <c r="BL356" t="s">
        <v>74</v>
      </c>
      <c r="BM356" t="s">
        <v>74</v>
      </c>
      <c r="BN356">
        <v>39150659</v>
      </c>
      <c r="BO356" t="s">
        <v>74</v>
      </c>
      <c r="BP356" t="s">
        <v>74</v>
      </c>
      <c r="BQ356" t="s">
        <v>74</v>
      </c>
      <c r="BR356" t="s">
        <v>74</v>
      </c>
      <c r="BS356" t="s">
        <v>5031</v>
      </c>
      <c r="BT356" t="str">
        <f>HYPERLINK("https%3A%2F%2Fwww.webofscience.com%2Fwos%2Fwoscc%2Ffull-record%2FWOS:001291940700001","View Full Record in Web of Science")</f>
        <v>View Full Record in Web of Science</v>
      </c>
    </row>
    <row r="357" spans="1:72" x14ac:dyDescent="0.4">
      <c r="A357" t="s">
        <v>72</v>
      </c>
      <c r="B357" t="s">
        <v>7026</v>
      </c>
      <c r="C357" t="s">
        <v>74</v>
      </c>
      <c r="D357" t="s">
        <v>74</v>
      </c>
      <c r="E357" t="s">
        <v>74</v>
      </c>
      <c r="F357" t="s">
        <v>7027</v>
      </c>
      <c r="G357" t="s">
        <v>74</v>
      </c>
      <c r="H357" t="s">
        <v>74</v>
      </c>
      <c r="I357" t="s">
        <v>7028</v>
      </c>
      <c r="J357" t="s">
        <v>814</v>
      </c>
      <c r="K357" t="s">
        <v>74</v>
      </c>
      <c r="L357" t="s">
        <v>74</v>
      </c>
      <c r="M357" t="s">
        <v>74</v>
      </c>
      <c r="N357" t="s">
        <v>74</v>
      </c>
      <c r="O357" t="s">
        <v>74</v>
      </c>
      <c r="P357" t="s">
        <v>74</v>
      </c>
      <c r="Q357" t="s">
        <v>74</v>
      </c>
      <c r="R357" t="s">
        <v>74</v>
      </c>
      <c r="S357" t="s">
        <v>74</v>
      </c>
      <c r="T357" t="s">
        <v>74</v>
      </c>
      <c r="U357" t="s">
        <v>74</v>
      </c>
      <c r="V357" s="3" t="s">
        <v>7029</v>
      </c>
      <c r="W357" t="s">
        <v>74</v>
      </c>
      <c r="X357" t="s">
        <v>74</v>
      </c>
      <c r="Y357" t="s">
        <v>74</v>
      </c>
      <c r="Z357" t="s">
        <v>74</v>
      </c>
      <c r="AA357" t="s">
        <v>7030</v>
      </c>
      <c r="AB357" t="s">
        <v>7031</v>
      </c>
      <c r="AC357" t="s">
        <v>74</v>
      </c>
      <c r="AD357" t="s">
        <v>74</v>
      </c>
      <c r="AE357" t="s">
        <v>74</v>
      </c>
      <c r="AF357" t="s">
        <v>74</v>
      </c>
      <c r="AG357" t="s">
        <v>74</v>
      </c>
      <c r="AH357" t="s">
        <v>74</v>
      </c>
      <c r="AI357" t="s">
        <v>74</v>
      </c>
      <c r="AJ357" t="s">
        <v>74</v>
      </c>
      <c r="AK357" t="s">
        <v>74</v>
      </c>
      <c r="AL357" t="s">
        <v>74</v>
      </c>
      <c r="AM357" t="s">
        <v>74</v>
      </c>
      <c r="AN357" t="s">
        <v>74</v>
      </c>
      <c r="AO357" t="s">
        <v>818</v>
      </c>
      <c r="AP357" t="s">
        <v>1505</v>
      </c>
      <c r="AQ357" t="s">
        <v>74</v>
      </c>
      <c r="AR357" t="s">
        <v>74</v>
      </c>
      <c r="AS357" t="s">
        <v>74</v>
      </c>
      <c r="AT357" t="s">
        <v>102</v>
      </c>
      <c r="AU357">
        <v>2014</v>
      </c>
      <c r="AV357">
        <v>117</v>
      </c>
      <c r="AW357">
        <v>3</v>
      </c>
      <c r="AX357" t="s">
        <v>74</v>
      </c>
      <c r="AY357" t="s">
        <v>74</v>
      </c>
      <c r="AZ357" t="s">
        <v>74</v>
      </c>
      <c r="BA357" t="s">
        <v>74</v>
      </c>
      <c r="BB357">
        <v>179</v>
      </c>
      <c r="BC357">
        <v>184</v>
      </c>
      <c r="BD357" t="s">
        <v>74</v>
      </c>
      <c r="BE357" t="s">
        <v>7032</v>
      </c>
      <c r="BF357" t="str">
        <f>HYPERLINK("http://dx.doi.org/10.1016/j.zool.2013.09.005","http://dx.doi.org/10.1016/j.zool.2013.09.005")</f>
        <v>http://dx.doi.org/10.1016/j.zool.2013.09.005</v>
      </c>
      <c r="BG357" t="s">
        <v>74</v>
      </c>
      <c r="BH357" t="s">
        <v>74</v>
      </c>
      <c r="BI357" t="s">
        <v>74</v>
      </c>
      <c r="BJ357" t="s">
        <v>74</v>
      </c>
      <c r="BK357" t="s">
        <v>74</v>
      </c>
      <c r="BL357" t="s">
        <v>74</v>
      </c>
      <c r="BM357" t="s">
        <v>74</v>
      </c>
      <c r="BN357">
        <v>24783997</v>
      </c>
      <c r="BO357" t="s">
        <v>74</v>
      </c>
      <c r="BP357" t="s">
        <v>74</v>
      </c>
      <c r="BQ357" t="s">
        <v>74</v>
      </c>
      <c r="BR357" t="s">
        <v>74</v>
      </c>
      <c r="BS357" t="s">
        <v>7033</v>
      </c>
      <c r="BT357" t="str">
        <f>HYPERLINK("https%3A%2F%2Fwww.webofscience.com%2Fwos%2Fwoscc%2Ffull-record%2FWOS:000337884800004","View Full Record in Web of Science")</f>
        <v>View Full Record in Web of Science</v>
      </c>
    </row>
    <row r="358" spans="1:72" x14ac:dyDescent="0.4">
      <c r="A358" t="s">
        <v>72</v>
      </c>
      <c r="B358" t="s">
        <v>912</v>
      </c>
      <c r="C358" t="s">
        <v>74</v>
      </c>
      <c r="D358" t="s">
        <v>74</v>
      </c>
      <c r="E358" t="s">
        <v>74</v>
      </c>
      <c r="F358" t="s">
        <v>913</v>
      </c>
      <c r="G358" t="s">
        <v>74</v>
      </c>
      <c r="H358" t="s">
        <v>74</v>
      </c>
      <c r="I358" t="s">
        <v>914</v>
      </c>
      <c r="J358" t="s">
        <v>140</v>
      </c>
      <c r="K358" t="s">
        <v>74</v>
      </c>
      <c r="L358" t="s">
        <v>74</v>
      </c>
      <c r="M358" t="s">
        <v>74</v>
      </c>
      <c r="N358" t="s">
        <v>74</v>
      </c>
      <c r="O358" t="s">
        <v>74</v>
      </c>
      <c r="P358" t="s">
        <v>74</v>
      </c>
      <c r="Q358" t="s">
        <v>74</v>
      </c>
      <c r="R358" t="s">
        <v>74</v>
      </c>
      <c r="S358" t="s">
        <v>74</v>
      </c>
      <c r="T358" t="s">
        <v>74</v>
      </c>
      <c r="U358" t="s">
        <v>74</v>
      </c>
      <c r="V358" s="3" t="s">
        <v>915</v>
      </c>
      <c r="W358" t="s">
        <v>74</v>
      </c>
      <c r="X358" t="s">
        <v>74</v>
      </c>
      <c r="Y358" t="s">
        <v>74</v>
      </c>
      <c r="Z358" t="s">
        <v>74</v>
      </c>
      <c r="AA358" t="s">
        <v>916</v>
      </c>
      <c r="AB358" t="s">
        <v>917</v>
      </c>
      <c r="AC358" t="s">
        <v>74</v>
      </c>
      <c r="AD358" t="s">
        <v>74</v>
      </c>
      <c r="AE358" t="s">
        <v>74</v>
      </c>
      <c r="AF358" t="s">
        <v>74</v>
      </c>
      <c r="AG358" t="s">
        <v>74</v>
      </c>
      <c r="AH358" t="s">
        <v>74</v>
      </c>
      <c r="AI358" t="s">
        <v>74</v>
      </c>
      <c r="AJ358" t="s">
        <v>74</v>
      </c>
      <c r="AK358" t="s">
        <v>74</v>
      </c>
      <c r="AL358" t="s">
        <v>74</v>
      </c>
      <c r="AM358" t="s">
        <v>74</v>
      </c>
      <c r="AN358" t="s">
        <v>74</v>
      </c>
      <c r="AO358" t="s">
        <v>143</v>
      </c>
      <c r="AP358" t="s">
        <v>144</v>
      </c>
      <c r="AQ358" t="s">
        <v>74</v>
      </c>
      <c r="AR358" t="s">
        <v>74</v>
      </c>
      <c r="AS358" t="s">
        <v>74</v>
      </c>
      <c r="AT358" t="s">
        <v>633</v>
      </c>
      <c r="AU358">
        <v>2015</v>
      </c>
      <c r="AV358">
        <v>102</v>
      </c>
      <c r="AW358" t="s">
        <v>74</v>
      </c>
      <c r="AX358" t="s">
        <v>74</v>
      </c>
      <c r="AY358" t="s">
        <v>74</v>
      </c>
      <c r="AZ358" t="s">
        <v>74</v>
      </c>
      <c r="BA358" t="s">
        <v>74</v>
      </c>
      <c r="BB358">
        <v>59</v>
      </c>
      <c r="BC358">
        <v>67</v>
      </c>
      <c r="BD358" t="s">
        <v>74</v>
      </c>
      <c r="BE358" t="s">
        <v>918</v>
      </c>
      <c r="BF358" t="str">
        <f>HYPERLINK("http://dx.doi.org/10.1016/j.anbehav.2015.01.004","http://dx.doi.org/10.1016/j.anbehav.2015.01.004")</f>
        <v>http://dx.doi.org/10.1016/j.anbehav.2015.01.004</v>
      </c>
      <c r="BG358" t="s">
        <v>74</v>
      </c>
      <c r="BH358" t="s">
        <v>74</v>
      </c>
      <c r="BI358" t="s">
        <v>74</v>
      </c>
      <c r="BJ358" t="s">
        <v>74</v>
      </c>
      <c r="BK358" t="s">
        <v>74</v>
      </c>
      <c r="BL358" t="s">
        <v>74</v>
      </c>
      <c r="BM358" t="s">
        <v>74</v>
      </c>
      <c r="BN358" t="s">
        <v>74</v>
      </c>
      <c r="BO358" t="s">
        <v>74</v>
      </c>
      <c r="BP358" t="s">
        <v>74</v>
      </c>
      <c r="BQ358" t="s">
        <v>74</v>
      </c>
      <c r="BR358" t="s">
        <v>74</v>
      </c>
      <c r="BS358" t="s">
        <v>919</v>
      </c>
      <c r="BT358" t="str">
        <f>HYPERLINK("https%3A%2F%2Fwww.webofscience.com%2Fwos%2Fwoscc%2Ffull-record%2FWOS:000351058700007","View Full Record in Web of Science")</f>
        <v>View Full Record in Web of Science</v>
      </c>
    </row>
    <row r="359" spans="1:72" x14ac:dyDescent="0.4">
      <c r="A359" t="s">
        <v>72</v>
      </c>
      <c r="B359" t="s">
        <v>2853</v>
      </c>
      <c r="C359" t="s">
        <v>74</v>
      </c>
      <c r="D359" t="s">
        <v>74</v>
      </c>
      <c r="E359" t="s">
        <v>74</v>
      </c>
      <c r="F359" t="s">
        <v>2854</v>
      </c>
      <c r="G359" t="s">
        <v>74</v>
      </c>
      <c r="H359" t="s">
        <v>74</v>
      </c>
      <c r="I359" t="s">
        <v>2855</v>
      </c>
      <c r="J359" t="s">
        <v>2856</v>
      </c>
      <c r="K359" t="s">
        <v>74</v>
      </c>
      <c r="L359" t="s">
        <v>74</v>
      </c>
      <c r="M359" t="s">
        <v>74</v>
      </c>
      <c r="N359" t="s">
        <v>74</v>
      </c>
      <c r="O359" t="s">
        <v>2857</v>
      </c>
      <c r="P359" t="s">
        <v>2858</v>
      </c>
      <c r="Q359" t="s">
        <v>2859</v>
      </c>
      <c r="R359" t="s">
        <v>74</v>
      </c>
      <c r="S359" t="s">
        <v>74</v>
      </c>
      <c r="T359" t="s">
        <v>74</v>
      </c>
      <c r="U359" t="s">
        <v>74</v>
      </c>
      <c r="V359" s="3" t="s">
        <v>2860</v>
      </c>
      <c r="W359" t="s">
        <v>74</v>
      </c>
      <c r="X359" t="s">
        <v>74</v>
      </c>
      <c r="Y359" t="s">
        <v>74</v>
      </c>
      <c r="Z359" t="s">
        <v>74</v>
      </c>
      <c r="AA359" t="s">
        <v>74</v>
      </c>
      <c r="AB359" t="s">
        <v>74</v>
      </c>
      <c r="AC359" t="s">
        <v>74</v>
      </c>
      <c r="AD359" t="s">
        <v>74</v>
      </c>
      <c r="AE359" t="s">
        <v>74</v>
      </c>
      <c r="AF359" t="s">
        <v>74</v>
      </c>
      <c r="AG359" t="s">
        <v>74</v>
      </c>
      <c r="AH359" t="s">
        <v>74</v>
      </c>
      <c r="AI359" t="s">
        <v>74</v>
      </c>
      <c r="AJ359" t="s">
        <v>74</v>
      </c>
      <c r="AK359" t="s">
        <v>74</v>
      </c>
      <c r="AL359" t="s">
        <v>74</v>
      </c>
      <c r="AM359" t="s">
        <v>74</v>
      </c>
      <c r="AN359" t="s">
        <v>74</v>
      </c>
      <c r="AO359" t="s">
        <v>2861</v>
      </c>
      <c r="AP359" t="s">
        <v>2862</v>
      </c>
      <c r="AQ359" t="s">
        <v>74</v>
      </c>
      <c r="AR359" t="s">
        <v>74</v>
      </c>
      <c r="AS359" t="s">
        <v>74</v>
      </c>
      <c r="AT359" t="s">
        <v>123</v>
      </c>
      <c r="AU359">
        <v>2019</v>
      </c>
      <c r="AV359">
        <v>14</v>
      </c>
      <c r="AW359">
        <v>2</v>
      </c>
      <c r="AX359" t="s">
        <v>74</v>
      </c>
      <c r="AY359" t="s">
        <v>74</v>
      </c>
      <c r="AZ359" t="s">
        <v>848</v>
      </c>
      <c r="BA359" t="s">
        <v>74</v>
      </c>
      <c r="BB359">
        <v>214</v>
      </c>
      <c r="BC359">
        <v>222</v>
      </c>
      <c r="BD359" t="s">
        <v>74</v>
      </c>
      <c r="BE359" t="s">
        <v>2863</v>
      </c>
      <c r="BF359" t="str">
        <f>HYPERLINK("http://dx.doi.org/10.1111/1749-4877.12303","http://dx.doi.org/10.1111/1749-4877.12303")</f>
        <v>http://dx.doi.org/10.1111/1749-4877.12303</v>
      </c>
      <c r="BG359" t="s">
        <v>74</v>
      </c>
      <c r="BH359" t="s">
        <v>74</v>
      </c>
      <c r="BI359" t="s">
        <v>74</v>
      </c>
      <c r="BJ359" t="s">
        <v>74</v>
      </c>
      <c r="BK359" t="s">
        <v>74</v>
      </c>
      <c r="BL359" t="s">
        <v>74</v>
      </c>
      <c r="BM359" t="s">
        <v>74</v>
      </c>
      <c r="BN359">
        <v>29316228</v>
      </c>
      <c r="BO359" t="s">
        <v>74</v>
      </c>
      <c r="BP359" t="s">
        <v>74</v>
      </c>
      <c r="BQ359" t="s">
        <v>74</v>
      </c>
      <c r="BR359" t="s">
        <v>74</v>
      </c>
      <c r="BS359" t="s">
        <v>2864</v>
      </c>
      <c r="BT359" t="str">
        <f>HYPERLINK("https%3A%2F%2Fwww.webofscience.com%2Fwos%2Fwoscc%2Ffull-record%2FWOS:000462130200009","View Full Record in Web of Science")</f>
        <v>View Full Record in Web of Science</v>
      </c>
    </row>
    <row r="360" spans="1:72" x14ac:dyDescent="0.4">
      <c r="A360" t="s">
        <v>72</v>
      </c>
      <c r="B360" t="s">
        <v>7280</v>
      </c>
      <c r="C360" t="s">
        <v>74</v>
      </c>
      <c r="D360" t="s">
        <v>74</v>
      </c>
      <c r="E360" t="s">
        <v>74</v>
      </c>
      <c r="F360" t="s">
        <v>7281</v>
      </c>
      <c r="G360" t="s">
        <v>74</v>
      </c>
      <c r="H360" t="s">
        <v>74</v>
      </c>
      <c r="I360" t="s">
        <v>7282</v>
      </c>
      <c r="J360" t="s">
        <v>77</v>
      </c>
      <c r="K360" t="s">
        <v>74</v>
      </c>
      <c r="L360" t="s">
        <v>74</v>
      </c>
      <c r="M360" t="s">
        <v>74</v>
      </c>
      <c r="N360" t="s">
        <v>74</v>
      </c>
      <c r="O360" t="s">
        <v>74</v>
      </c>
      <c r="P360" t="s">
        <v>74</v>
      </c>
      <c r="Q360" t="s">
        <v>74</v>
      </c>
      <c r="R360" t="s">
        <v>74</v>
      </c>
      <c r="S360" t="s">
        <v>74</v>
      </c>
      <c r="T360" t="s">
        <v>74</v>
      </c>
      <c r="U360" t="s">
        <v>74</v>
      </c>
      <c r="V360" s="3" t="s">
        <v>7283</v>
      </c>
      <c r="W360" t="s">
        <v>74</v>
      </c>
      <c r="X360" t="s">
        <v>74</v>
      </c>
      <c r="Y360" t="s">
        <v>74</v>
      </c>
      <c r="Z360" t="s">
        <v>74</v>
      </c>
      <c r="AA360" t="s">
        <v>7284</v>
      </c>
      <c r="AB360" t="s">
        <v>6078</v>
      </c>
      <c r="AC360" t="s">
        <v>74</v>
      </c>
      <c r="AD360" t="s">
        <v>74</v>
      </c>
      <c r="AE360" t="s">
        <v>74</v>
      </c>
      <c r="AF360" t="s">
        <v>74</v>
      </c>
      <c r="AG360" t="s">
        <v>74</v>
      </c>
      <c r="AH360" t="s">
        <v>74</v>
      </c>
      <c r="AI360" t="s">
        <v>74</v>
      </c>
      <c r="AJ360" t="s">
        <v>74</v>
      </c>
      <c r="AK360" t="s">
        <v>74</v>
      </c>
      <c r="AL360" t="s">
        <v>74</v>
      </c>
      <c r="AM360" t="s">
        <v>74</v>
      </c>
      <c r="AN360" t="s">
        <v>74</v>
      </c>
      <c r="AO360" t="s">
        <v>81</v>
      </c>
      <c r="AP360" t="s">
        <v>82</v>
      </c>
      <c r="AQ360" t="s">
        <v>74</v>
      </c>
      <c r="AR360" t="s">
        <v>74</v>
      </c>
      <c r="AS360" t="s">
        <v>74</v>
      </c>
      <c r="AT360" t="s">
        <v>74</v>
      </c>
      <c r="AU360">
        <v>2015</v>
      </c>
      <c r="AV360">
        <v>152</v>
      </c>
      <c r="AW360" t="s">
        <v>6362</v>
      </c>
      <c r="AX360" t="s">
        <v>74</v>
      </c>
      <c r="AY360" t="s">
        <v>74</v>
      </c>
      <c r="AZ360" t="s">
        <v>74</v>
      </c>
      <c r="BA360" t="s">
        <v>74</v>
      </c>
      <c r="BB360">
        <v>1769</v>
      </c>
      <c r="BC360">
        <v>1781</v>
      </c>
      <c r="BD360" t="s">
        <v>74</v>
      </c>
      <c r="BE360" t="s">
        <v>7285</v>
      </c>
      <c r="BF360" t="str">
        <f>HYPERLINK("http://dx.doi.org/10.1163/1568539X-00003303","http://dx.doi.org/10.1163/1568539X-00003303")</f>
        <v>http://dx.doi.org/10.1163/1568539X-00003303</v>
      </c>
      <c r="BG360" t="s">
        <v>74</v>
      </c>
      <c r="BH360" t="s">
        <v>74</v>
      </c>
      <c r="BI360" t="s">
        <v>74</v>
      </c>
      <c r="BJ360" t="s">
        <v>74</v>
      </c>
      <c r="BK360" t="s">
        <v>74</v>
      </c>
      <c r="BL360" t="s">
        <v>74</v>
      </c>
      <c r="BM360" t="s">
        <v>74</v>
      </c>
      <c r="BN360" t="s">
        <v>74</v>
      </c>
      <c r="BO360" t="s">
        <v>74</v>
      </c>
      <c r="BP360" t="s">
        <v>74</v>
      </c>
      <c r="BQ360" t="s">
        <v>74</v>
      </c>
      <c r="BR360" t="s">
        <v>74</v>
      </c>
      <c r="BS360" t="s">
        <v>7286</v>
      </c>
      <c r="BT360" t="str">
        <f>HYPERLINK("https%3A%2F%2Fwww.webofscience.com%2Fwos%2Fwoscc%2Ffull-record%2FWOS:000362911000009","View Full Record in Web of Science")</f>
        <v>View Full Record in Web of Science</v>
      </c>
    </row>
    <row r="361" spans="1:72" x14ac:dyDescent="0.4">
      <c r="A361" t="s">
        <v>72</v>
      </c>
      <c r="B361" t="s">
        <v>3511</v>
      </c>
      <c r="C361" t="s">
        <v>74</v>
      </c>
      <c r="D361" t="s">
        <v>74</v>
      </c>
      <c r="E361" t="s">
        <v>74</v>
      </c>
      <c r="F361" t="s">
        <v>3511</v>
      </c>
      <c r="G361" t="s">
        <v>74</v>
      </c>
      <c r="H361" t="s">
        <v>74</v>
      </c>
      <c r="I361" t="s">
        <v>3512</v>
      </c>
      <c r="J361" t="s">
        <v>344</v>
      </c>
      <c r="K361" t="s">
        <v>74</v>
      </c>
      <c r="L361" t="s">
        <v>74</v>
      </c>
      <c r="M361" t="s">
        <v>74</v>
      </c>
      <c r="N361" t="s">
        <v>74</v>
      </c>
      <c r="O361" t="s">
        <v>74</v>
      </c>
      <c r="P361" t="s">
        <v>74</v>
      </c>
      <c r="Q361" t="s">
        <v>74</v>
      </c>
      <c r="R361" t="s">
        <v>74</v>
      </c>
      <c r="S361" t="s">
        <v>74</v>
      </c>
      <c r="T361" t="s">
        <v>74</v>
      </c>
      <c r="U361" t="s">
        <v>74</v>
      </c>
      <c r="V361" s="3" t="s">
        <v>3513</v>
      </c>
      <c r="W361" t="s">
        <v>74</v>
      </c>
      <c r="X361" t="s">
        <v>74</v>
      </c>
      <c r="Y361" t="s">
        <v>74</v>
      </c>
      <c r="Z361" t="s">
        <v>74</v>
      </c>
      <c r="AA361" t="s">
        <v>74</v>
      </c>
      <c r="AB361" t="s">
        <v>3514</v>
      </c>
      <c r="AC361" t="s">
        <v>74</v>
      </c>
      <c r="AD361" t="s">
        <v>74</v>
      </c>
      <c r="AE361" t="s">
        <v>74</v>
      </c>
      <c r="AF361" t="s">
        <v>74</v>
      </c>
      <c r="AG361" t="s">
        <v>74</v>
      </c>
      <c r="AH361" t="s">
        <v>74</v>
      </c>
      <c r="AI361" t="s">
        <v>74</v>
      </c>
      <c r="AJ361" t="s">
        <v>74</v>
      </c>
      <c r="AK361" t="s">
        <v>74</v>
      </c>
      <c r="AL361" t="s">
        <v>74</v>
      </c>
      <c r="AM361" t="s">
        <v>74</v>
      </c>
      <c r="AN361" t="s">
        <v>74</v>
      </c>
      <c r="AO361" t="s">
        <v>346</v>
      </c>
      <c r="AP361" t="s">
        <v>74</v>
      </c>
      <c r="AQ361" t="s">
        <v>74</v>
      </c>
      <c r="AR361" t="s">
        <v>74</v>
      </c>
      <c r="AS361" t="s">
        <v>74</v>
      </c>
      <c r="AT361" t="s">
        <v>145</v>
      </c>
      <c r="AU361">
        <v>2001</v>
      </c>
      <c r="AV361">
        <v>61</v>
      </c>
      <c r="AW361">
        <v>4</v>
      </c>
      <c r="AX361" t="s">
        <v>74</v>
      </c>
      <c r="AY361" t="s">
        <v>74</v>
      </c>
      <c r="AZ361" t="s">
        <v>74</v>
      </c>
      <c r="BA361" t="s">
        <v>74</v>
      </c>
      <c r="BB361">
        <v>419</v>
      </c>
      <c r="BC361">
        <v>426</v>
      </c>
      <c r="BD361" t="s">
        <v>74</v>
      </c>
      <c r="BE361" t="s">
        <v>3515</v>
      </c>
      <c r="BF361" t="str">
        <f>HYPERLINK("http://dx.doi.org/10.1023/A:1011658503017","http://dx.doi.org/10.1023/A:1011658503017")</f>
        <v>http://dx.doi.org/10.1023/A:1011658503017</v>
      </c>
      <c r="BG361" t="s">
        <v>74</v>
      </c>
      <c r="BH361" t="s">
        <v>74</v>
      </c>
      <c r="BI361" t="s">
        <v>74</v>
      </c>
      <c r="BJ361" t="s">
        <v>74</v>
      </c>
      <c r="BK361" t="s">
        <v>74</v>
      </c>
      <c r="BL361" t="s">
        <v>74</v>
      </c>
      <c r="BM361" t="s">
        <v>74</v>
      </c>
      <c r="BN361" t="s">
        <v>74</v>
      </c>
      <c r="BO361" t="s">
        <v>74</v>
      </c>
      <c r="BP361" t="s">
        <v>74</v>
      </c>
      <c r="BQ361" t="s">
        <v>74</v>
      </c>
      <c r="BR361" t="s">
        <v>74</v>
      </c>
      <c r="BS361" t="s">
        <v>3516</v>
      </c>
      <c r="BT361" t="str">
        <f>HYPERLINK("https%3A%2F%2Fwww.webofscience.com%2Fwos%2Fwoscc%2Ffull-record%2FWOS:000170725900008","View Full Record in Web of Science")</f>
        <v>View Full Record in Web of Science</v>
      </c>
    </row>
    <row r="362" spans="1:72" x14ac:dyDescent="0.4">
      <c r="A362" t="s">
        <v>72</v>
      </c>
      <c r="B362" t="s">
        <v>2375</v>
      </c>
      <c r="C362" t="s">
        <v>74</v>
      </c>
      <c r="D362" t="s">
        <v>74</v>
      </c>
      <c r="E362" t="s">
        <v>74</v>
      </c>
      <c r="F362" t="s">
        <v>2376</v>
      </c>
      <c r="G362" t="s">
        <v>74</v>
      </c>
      <c r="H362" t="s">
        <v>74</v>
      </c>
      <c r="I362" t="s">
        <v>2377</v>
      </c>
      <c r="J362" t="s">
        <v>775</v>
      </c>
      <c r="K362" t="s">
        <v>74</v>
      </c>
      <c r="L362" t="s">
        <v>74</v>
      </c>
      <c r="M362" t="s">
        <v>74</v>
      </c>
      <c r="N362" t="s">
        <v>74</v>
      </c>
      <c r="O362" t="s">
        <v>74</v>
      </c>
      <c r="P362" t="s">
        <v>74</v>
      </c>
      <c r="Q362" t="s">
        <v>74</v>
      </c>
      <c r="R362" t="s">
        <v>74</v>
      </c>
      <c r="S362" t="s">
        <v>74</v>
      </c>
      <c r="T362" t="s">
        <v>74</v>
      </c>
      <c r="U362" t="s">
        <v>74</v>
      </c>
      <c r="V362" s="3" t="s">
        <v>2378</v>
      </c>
      <c r="W362" t="s">
        <v>74</v>
      </c>
      <c r="X362" t="s">
        <v>74</v>
      </c>
      <c r="Y362" t="s">
        <v>74</v>
      </c>
      <c r="Z362" t="s">
        <v>74</v>
      </c>
      <c r="AA362" t="s">
        <v>74</v>
      </c>
      <c r="AB362" t="s">
        <v>74</v>
      </c>
      <c r="AC362" t="s">
        <v>74</v>
      </c>
      <c r="AD362" t="s">
        <v>74</v>
      </c>
      <c r="AE362" t="s">
        <v>74</v>
      </c>
      <c r="AF362" t="s">
        <v>74</v>
      </c>
      <c r="AG362" t="s">
        <v>74</v>
      </c>
      <c r="AH362" t="s">
        <v>74</v>
      </c>
      <c r="AI362" t="s">
        <v>74</v>
      </c>
      <c r="AJ362" t="s">
        <v>74</v>
      </c>
      <c r="AK362" t="s">
        <v>74</v>
      </c>
      <c r="AL362" t="s">
        <v>74</v>
      </c>
      <c r="AM362" t="s">
        <v>74</v>
      </c>
      <c r="AN362" t="s">
        <v>74</v>
      </c>
      <c r="AO362" t="s">
        <v>778</v>
      </c>
      <c r="AP362" t="s">
        <v>779</v>
      </c>
      <c r="AQ362" t="s">
        <v>74</v>
      </c>
      <c r="AR362" t="s">
        <v>74</v>
      </c>
      <c r="AS362" t="s">
        <v>74</v>
      </c>
      <c r="AT362" t="s">
        <v>102</v>
      </c>
      <c r="AU362">
        <v>2019</v>
      </c>
      <c r="AV362">
        <v>65</v>
      </c>
      <c r="AW362">
        <v>3</v>
      </c>
      <c r="AX362" t="s">
        <v>74</v>
      </c>
      <c r="AY362" t="s">
        <v>74</v>
      </c>
      <c r="AZ362" t="s">
        <v>74</v>
      </c>
      <c r="BA362" t="s">
        <v>74</v>
      </c>
      <c r="BB362">
        <v>323</v>
      </c>
      <c r="BC362">
        <v>332</v>
      </c>
      <c r="BD362" t="s">
        <v>74</v>
      </c>
      <c r="BE362" t="s">
        <v>2379</v>
      </c>
      <c r="BF362" t="str">
        <f>HYPERLINK("http://dx.doi.org/10.1093/cz/zoz029","http://dx.doi.org/10.1093/cz/zoz029")</f>
        <v>http://dx.doi.org/10.1093/cz/zoz029</v>
      </c>
      <c r="BG362" t="s">
        <v>74</v>
      </c>
      <c r="BH362" t="s">
        <v>74</v>
      </c>
      <c r="BI362" t="s">
        <v>74</v>
      </c>
      <c r="BJ362" t="s">
        <v>74</v>
      </c>
      <c r="BK362" t="s">
        <v>74</v>
      </c>
      <c r="BL362" t="s">
        <v>74</v>
      </c>
      <c r="BM362" t="s">
        <v>74</v>
      </c>
      <c r="BN362">
        <v>31263491</v>
      </c>
      <c r="BO362" t="s">
        <v>74</v>
      </c>
      <c r="BP362" t="s">
        <v>74</v>
      </c>
      <c r="BQ362" t="s">
        <v>74</v>
      </c>
      <c r="BR362" t="s">
        <v>74</v>
      </c>
      <c r="BS362" t="s">
        <v>2380</v>
      </c>
      <c r="BT362" t="str">
        <f>HYPERLINK("https%3A%2F%2Fwww.webofscience.com%2Fwos%2Fwoscc%2Ffull-record%2FWOS:000475905500012","View Full Record in Web of Science")</f>
        <v>View Full Record in Web of Science</v>
      </c>
    </row>
    <row r="363" spans="1:72" x14ac:dyDescent="0.4">
      <c r="A363" t="s">
        <v>72</v>
      </c>
      <c r="B363" t="s">
        <v>7445</v>
      </c>
      <c r="C363" t="s">
        <v>74</v>
      </c>
      <c r="D363" t="s">
        <v>74</v>
      </c>
      <c r="E363" t="s">
        <v>74</v>
      </c>
      <c r="F363" t="s">
        <v>7446</v>
      </c>
      <c r="G363" t="s">
        <v>74</v>
      </c>
      <c r="H363" t="s">
        <v>74</v>
      </c>
      <c r="I363" t="s">
        <v>7447</v>
      </c>
      <c r="J363" t="s">
        <v>6226</v>
      </c>
      <c r="K363" t="s">
        <v>74</v>
      </c>
      <c r="L363" t="s">
        <v>74</v>
      </c>
      <c r="M363" t="s">
        <v>74</v>
      </c>
      <c r="N363" t="s">
        <v>74</v>
      </c>
      <c r="O363" t="s">
        <v>74</v>
      </c>
      <c r="P363" t="s">
        <v>74</v>
      </c>
      <c r="Q363" t="s">
        <v>74</v>
      </c>
      <c r="R363" t="s">
        <v>74</v>
      </c>
      <c r="S363" t="s">
        <v>74</v>
      </c>
      <c r="T363" t="s">
        <v>74</v>
      </c>
      <c r="U363" t="s">
        <v>74</v>
      </c>
      <c r="V363" s="3" t="s">
        <v>7448</v>
      </c>
      <c r="W363" t="s">
        <v>74</v>
      </c>
      <c r="X363" t="s">
        <v>74</v>
      </c>
      <c r="Y363" t="s">
        <v>74</v>
      </c>
      <c r="Z363" t="s">
        <v>74</v>
      </c>
      <c r="AA363" t="s">
        <v>74</v>
      </c>
      <c r="AB363" t="s">
        <v>74</v>
      </c>
      <c r="AC363" t="s">
        <v>74</v>
      </c>
      <c r="AD363" t="s">
        <v>74</v>
      </c>
      <c r="AE363" t="s">
        <v>74</v>
      </c>
      <c r="AF363" t="s">
        <v>74</v>
      </c>
      <c r="AG363" t="s">
        <v>74</v>
      </c>
      <c r="AH363" t="s">
        <v>74</v>
      </c>
      <c r="AI363" t="s">
        <v>74</v>
      </c>
      <c r="AJ363" t="s">
        <v>74</v>
      </c>
      <c r="AK363" t="s">
        <v>74</v>
      </c>
      <c r="AL363" t="s">
        <v>74</v>
      </c>
      <c r="AM363" t="s">
        <v>74</v>
      </c>
      <c r="AN363" t="s">
        <v>74</v>
      </c>
      <c r="AO363" t="s">
        <v>6228</v>
      </c>
      <c r="AP363" t="s">
        <v>6229</v>
      </c>
      <c r="AQ363" t="s">
        <v>74</v>
      </c>
      <c r="AR363" t="s">
        <v>74</v>
      </c>
      <c r="AS363" t="s">
        <v>74</v>
      </c>
      <c r="AT363" t="s">
        <v>2177</v>
      </c>
      <c r="AU363">
        <v>2022</v>
      </c>
      <c r="AV363">
        <v>61</v>
      </c>
      <c r="AW363" t="s">
        <v>74</v>
      </c>
      <c r="AX363" t="s">
        <v>74</v>
      </c>
      <c r="AY363" t="s">
        <v>74</v>
      </c>
      <c r="AZ363" t="s">
        <v>74</v>
      </c>
      <c r="BA363" t="s">
        <v>74</v>
      </c>
      <c r="BB363" t="s">
        <v>74</v>
      </c>
      <c r="BC363" t="s">
        <v>74</v>
      </c>
      <c r="BD363">
        <v>76</v>
      </c>
      <c r="BE363" t="s">
        <v>7449</v>
      </c>
      <c r="BF363" t="str">
        <f>HYPERLINK("http://dx.doi.org/10.6620/ZS.2022.61-76","http://dx.doi.org/10.6620/ZS.2022.61-76")</f>
        <v>http://dx.doi.org/10.6620/ZS.2022.61-76</v>
      </c>
      <c r="BG363" t="s">
        <v>74</v>
      </c>
      <c r="BH363" t="s">
        <v>74</v>
      </c>
      <c r="BI363" t="s">
        <v>74</v>
      </c>
      <c r="BJ363" t="s">
        <v>74</v>
      </c>
      <c r="BK363" t="s">
        <v>74</v>
      </c>
      <c r="BL363" t="s">
        <v>74</v>
      </c>
      <c r="BM363" t="s">
        <v>74</v>
      </c>
      <c r="BN363">
        <v>37007821</v>
      </c>
      <c r="BO363" t="s">
        <v>74</v>
      </c>
      <c r="BP363" t="s">
        <v>74</v>
      </c>
      <c r="BQ363" t="s">
        <v>74</v>
      </c>
      <c r="BR363" t="s">
        <v>74</v>
      </c>
      <c r="BS363" t="s">
        <v>7450</v>
      </c>
      <c r="BT363" t="str">
        <f>HYPERLINK("https%3A%2F%2Fwww.webofscience.com%2Fwos%2Fwoscc%2Ffull-record%2FWOS:001026426500001","View Full Record in Web of Science")</f>
        <v>View Full Record in Web of Science</v>
      </c>
    </row>
    <row r="364" spans="1:72" x14ac:dyDescent="0.4">
      <c r="A364" t="s">
        <v>72</v>
      </c>
      <c r="B364" t="s">
        <v>8149</v>
      </c>
      <c r="C364" t="s">
        <v>74</v>
      </c>
      <c r="D364" t="s">
        <v>74</v>
      </c>
      <c r="E364" t="s">
        <v>74</v>
      </c>
      <c r="F364" t="s">
        <v>8149</v>
      </c>
      <c r="G364" t="s">
        <v>74</v>
      </c>
      <c r="H364" t="s">
        <v>74</v>
      </c>
      <c r="I364" t="s">
        <v>8150</v>
      </c>
      <c r="J364" t="s">
        <v>129</v>
      </c>
      <c r="K364" t="s">
        <v>74</v>
      </c>
      <c r="L364" t="s">
        <v>74</v>
      </c>
      <c r="M364" t="s">
        <v>74</v>
      </c>
      <c r="N364" t="s">
        <v>74</v>
      </c>
      <c r="O364" t="s">
        <v>74</v>
      </c>
      <c r="P364" t="s">
        <v>74</v>
      </c>
      <c r="Q364" t="s">
        <v>74</v>
      </c>
      <c r="R364" t="s">
        <v>74</v>
      </c>
      <c r="S364" t="s">
        <v>74</v>
      </c>
      <c r="T364" t="s">
        <v>74</v>
      </c>
      <c r="U364" t="s">
        <v>74</v>
      </c>
      <c r="V364" s="3" t="s">
        <v>8151</v>
      </c>
      <c r="W364" t="s">
        <v>74</v>
      </c>
      <c r="X364" t="s">
        <v>74</v>
      </c>
      <c r="Y364" t="s">
        <v>74</v>
      </c>
      <c r="Z364" t="s">
        <v>74</v>
      </c>
      <c r="AA364" t="s">
        <v>8152</v>
      </c>
      <c r="AB364" t="s">
        <v>8153</v>
      </c>
      <c r="AC364" t="s">
        <v>74</v>
      </c>
      <c r="AD364" t="s">
        <v>74</v>
      </c>
      <c r="AE364" t="s">
        <v>74</v>
      </c>
      <c r="AF364" t="s">
        <v>74</v>
      </c>
      <c r="AG364" t="s">
        <v>74</v>
      </c>
      <c r="AH364" t="s">
        <v>74</v>
      </c>
      <c r="AI364" t="s">
        <v>74</v>
      </c>
      <c r="AJ364" t="s">
        <v>74</v>
      </c>
      <c r="AK364" t="s">
        <v>74</v>
      </c>
      <c r="AL364" t="s">
        <v>74</v>
      </c>
      <c r="AM364" t="s">
        <v>74</v>
      </c>
      <c r="AN364" t="s">
        <v>74</v>
      </c>
      <c r="AO364" t="s">
        <v>132</v>
      </c>
      <c r="AP364" t="s">
        <v>74</v>
      </c>
      <c r="AQ364" t="s">
        <v>74</v>
      </c>
      <c r="AR364" t="s">
        <v>74</v>
      </c>
      <c r="AS364" t="s">
        <v>74</v>
      </c>
      <c r="AT364" t="s">
        <v>175</v>
      </c>
      <c r="AU364">
        <v>1999</v>
      </c>
      <c r="AV364">
        <v>46</v>
      </c>
      <c r="AW364">
        <v>5</v>
      </c>
      <c r="AX364" t="s">
        <v>74</v>
      </c>
      <c r="AY364" t="s">
        <v>74</v>
      </c>
      <c r="AZ364" t="s">
        <v>74</v>
      </c>
      <c r="BA364" t="s">
        <v>74</v>
      </c>
      <c r="BB364">
        <v>333</v>
      </c>
      <c r="BC364">
        <v>340</v>
      </c>
      <c r="BD364" t="s">
        <v>74</v>
      </c>
      <c r="BE364" t="s">
        <v>8154</v>
      </c>
      <c r="BF364" t="str">
        <f>HYPERLINK("http://dx.doi.org/10.1007/s002650050627","http://dx.doi.org/10.1007/s002650050627")</f>
        <v>http://dx.doi.org/10.1007/s002650050627</v>
      </c>
      <c r="BG364" t="s">
        <v>74</v>
      </c>
      <c r="BH364" t="s">
        <v>74</v>
      </c>
      <c r="BI364" t="s">
        <v>74</v>
      </c>
      <c r="BJ364" t="s">
        <v>74</v>
      </c>
      <c r="BK364" t="s">
        <v>74</v>
      </c>
      <c r="BL364" t="s">
        <v>74</v>
      </c>
      <c r="BM364" t="s">
        <v>74</v>
      </c>
      <c r="BN364" t="s">
        <v>74</v>
      </c>
      <c r="BO364" t="s">
        <v>74</v>
      </c>
      <c r="BP364" t="s">
        <v>74</v>
      </c>
      <c r="BQ364" t="s">
        <v>74</v>
      </c>
      <c r="BR364" t="s">
        <v>74</v>
      </c>
      <c r="BS364" t="s">
        <v>8155</v>
      </c>
      <c r="BT364" t="str">
        <f>HYPERLINK("https%3A%2F%2Fwww.webofscience.com%2Fwos%2Fwoscc%2Ffull-record%2FWOS:000083089800006","View Full Record in Web of Science")</f>
        <v>View Full Record in Web of Science</v>
      </c>
    </row>
    <row r="365" spans="1:72" x14ac:dyDescent="0.4">
      <c r="A365" t="s">
        <v>72</v>
      </c>
      <c r="B365" t="s">
        <v>1060</v>
      </c>
      <c r="C365" t="s">
        <v>74</v>
      </c>
      <c r="D365" t="s">
        <v>74</v>
      </c>
      <c r="E365" t="s">
        <v>74</v>
      </c>
      <c r="F365" t="s">
        <v>1061</v>
      </c>
      <c r="G365" t="s">
        <v>74</v>
      </c>
      <c r="H365" t="s">
        <v>74</v>
      </c>
      <c r="I365" t="s">
        <v>1062</v>
      </c>
      <c r="J365" t="s">
        <v>654</v>
      </c>
      <c r="K365" t="s">
        <v>74</v>
      </c>
      <c r="L365" t="s">
        <v>74</v>
      </c>
      <c r="M365" t="s">
        <v>74</v>
      </c>
      <c r="N365" t="s">
        <v>74</v>
      </c>
      <c r="O365" t="s">
        <v>74</v>
      </c>
      <c r="P365" t="s">
        <v>74</v>
      </c>
      <c r="Q365" t="s">
        <v>74</v>
      </c>
      <c r="R365" t="s">
        <v>74</v>
      </c>
      <c r="S365" t="s">
        <v>74</v>
      </c>
      <c r="T365" t="s">
        <v>74</v>
      </c>
      <c r="U365" t="s">
        <v>74</v>
      </c>
      <c r="V365" s="3" t="s">
        <v>1063</v>
      </c>
      <c r="W365" t="s">
        <v>74</v>
      </c>
      <c r="X365" t="s">
        <v>74</v>
      </c>
      <c r="Y365" t="s">
        <v>74</v>
      </c>
      <c r="Z365" t="s">
        <v>74</v>
      </c>
      <c r="AA365" t="s">
        <v>1064</v>
      </c>
      <c r="AB365" t="s">
        <v>1065</v>
      </c>
      <c r="AC365" t="s">
        <v>74</v>
      </c>
      <c r="AD365" t="s">
        <v>74</v>
      </c>
      <c r="AE365" t="s">
        <v>74</v>
      </c>
      <c r="AF365" t="s">
        <v>74</v>
      </c>
      <c r="AG365" t="s">
        <v>74</v>
      </c>
      <c r="AH365" t="s">
        <v>74</v>
      </c>
      <c r="AI365" t="s">
        <v>74</v>
      </c>
      <c r="AJ365" t="s">
        <v>74</v>
      </c>
      <c r="AK365" t="s">
        <v>74</v>
      </c>
      <c r="AL365" t="s">
        <v>74</v>
      </c>
      <c r="AM365" t="s">
        <v>74</v>
      </c>
      <c r="AN365" t="s">
        <v>74</v>
      </c>
      <c r="AO365" t="s">
        <v>658</v>
      </c>
      <c r="AP365" t="s">
        <v>74</v>
      </c>
      <c r="AQ365" t="s">
        <v>74</v>
      </c>
      <c r="AR365" t="s">
        <v>74</v>
      </c>
      <c r="AS365" t="s">
        <v>74</v>
      </c>
      <c r="AT365" t="s">
        <v>352</v>
      </c>
      <c r="AU365">
        <v>2020</v>
      </c>
      <c r="AV365">
        <v>10</v>
      </c>
      <c r="AW365">
        <v>18</v>
      </c>
      <c r="AX365" t="s">
        <v>74</v>
      </c>
      <c r="AY365" t="s">
        <v>74</v>
      </c>
      <c r="AZ365" t="s">
        <v>74</v>
      </c>
      <c r="BA365" t="s">
        <v>74</v>
      </c>
      <c r="BB365">
        <v>9663</v>
      </c>
      <c r="BC365">
        <v>9681</v>
      </c>
      <c r="BD365" t="s">
        <v>74</v>
      </c>
      <c r="BE365" t="s">
        <v>1066</v>
      </c>
      <c r="BF365" t="str">
        <f>HYPERLINK("http://dx.doi.org/10.1002/ece3.6566","http://dx.doi.org/10.1002/ece3.6566")</f>
        <v>http://dx.doi.org/10.1002/ece3.6566</v>
      </c>
      <c r="BG365" t="s">
        <v>74</v>
      </c>
      <c r="BH365" t="s">
        <v>1067</v>
      </c>
      <c r="BI365" t="s">
        <v>74</v>
      </c>
      <c r="BJ365" t="s">
        <v>74</v>
      </c>
      <c r="BK365" t="s">
        <v>74</v>
      </c>
      <c r="BL365" t="s">
        <v>74</v>
      </c>
      <c r="BM365" t="s">
        <v>74</v>
      </c>
      <c r="BN365">
        <v>33005338</v>
      </c>
      <c r="BO365" t="s">
        <v>74</v>
      </c>
      <c r="BP365" t="s">
        <v>74</v>
      </c>
      <c r="BQ365" t="s">
        <v>74</v>
      </c>
      <c r="BR365" t="s">
        <v>74</v>
      </c>
      <c r="BS365" t="s">
        <v>1068</v>
      </c>
      <c r="BT365" t="str">
        <f>HYPERLINK("https%3A%2F%2Fwww.webofscience.com%2Fwos%2Fwoscc%2Ffull-record%2FWOS:000565433500001","View Full Record in Web of Science")</f>
        <v>View Full Record in Web of Science</v>
      </c>
    </row>
    <row r="366" spans="1:72" x14ac:dyDescent="0.4">
      <c r="A366" t="s">
        <v>72</v>
      </c>
      <c r="B366" t="s">
        <v>2712</v>
      </c>
      <c r="C366" t="s">
        <v>74</v>
      </c>
      <c r="D366" t="s">
        <v>74</v>
      </c>
      <c r="E366" t="s">
        <v>74</v>
      </c>
      <c r="F366" t="s">
        <v>2713</v>
      </c>
      <c r="G366" t="s">
        <v>74</v>
      </c>
      <c r="H366" t="s">
        <v>74</v>
      </c>
      <c r="I366" t="s">
        <v>2714</v>
      </c>
      <c r="J366" t="s">
        <v>129</v>
      </c>
      <c r="K366" t="s">
        <v>74</v>
      </c>
      <c r="L366" t="s">
        <v>74</v>
      </c>
      <c r="M366" t="s">
        <v>74</v>
      </c>
      <c r="N366" t="s">
        <v>74</v>
      </c>
      <c r="O366" t="s">
        <v>74</v>
      </c>
      <c r="P366" t="s">
        <v>74</v>
      </c>
      <c r="Q366" t="s">
        <v>74</v>
      </c>
      <c r="R366" t="s">
        <v>74</v>
      </c>
      <c r="S366" t="s">
        <v>74</v>
      </c>
      <c r="T366" t="s">
        <v>74</v>
      </c>
      <c r="U366" t="s">
        <v>74</v>
      </c>
      <c r="V366" s="3" t="s">
        <v>2715</v>
      </c>
      <c r="W366" t="s">
        <v>74</v>
      </c>
      <c r="X366" t="s">
        <v>74</v>
      </c>
      <c r="Y366" t="s">
        <v>74</v>
      </c>
      <c r="Z366" t="s">
        <v>74</v>
      </c>
      <c r="AA366" t="s">
        <v>2716</v>
      </c>
      <c r="AB366" t="s">
        <v>2717</v>
      </c>
      <c r="AC366" t="s">
        <v>74</v>
      </c>
      <c r="AD366" t="s">
        <v>74</v>
      </c>
      <c r="AE366" t="s">
        <v>74</v>
      </c>
      <c r="AF366" t="s">
        <v>74</v>
      </c>
      <c r="AG366" t="s">
        <v>74</v>
      </c>
      <c r="AH366" t="s">
        <v>74</v>
      </c>
      <c r="AI366" t="s">
        <v>74</v>
      </c>
      <c r="AJ366" t="s">
        <v>74</v>
      </c>
      <c r="AK366" t="s">
        <v>74</v>
      </c>
      <c r="AL366" t="s">
        <v>74</v>
      </c>
      <c r="AM366" t="s">
        <v>74</v>
      </c>
      <c r="AN366" t="s">
        <v>74</v>
      </c>
      <c r="AO366" t="s">
        <v>132</v>
      </c>
      <c r="AP366" t="s">
        <v>133</v>
      </c>
      <c r="AQ366" t="s">
        <v>74</v>
      </c>
      <c r="AR366" t="s">
        <v>74</v>
      </c>
      <c r="AS366" t="s">
        <v>74</v>
      </c>
      <c r="AT366" t="s">
        <v>255</v>
      </c>
      <c r="AU366">
        <v>2016</v>
      </c>
      <c r="AV366">
        <v>70</v>
      </c>
      <c r="AW366">
        <v>1</v>
      </c>
      <c r="AX366" t="s">
        <v>74</v>
      </c>
      <c r="AY366" t="s">
        <v>74</v>
      </c>
      <c r="AZ366" t="s">
        <v>74</v>
      </c>
      <c r="BA366" t="s">
        <v>74</v>
      </c>
      <c r="BB366">
        <v>83</v>
      </c>
      <c r="BC366">
        <v>97</v>
      </c>
      <c r="BD366" t="s">
        <v>74</v>
      </c>
      <c r="BE366" t="s">
        <v>2718</v>
      </c>
      <c r="BF366" t="str">
        <f>HYPERLINK("http://dx.doi.org/10.1007/s00265-015-2027-5","http://dx.doi.org/10.1007/s00265-015-2027-5")</f>
        <v>http://dx.doi.org/10.1007/s00265-015-2027-5</v>
      </c>
      <c r="BG366" t="s">
        <v>74</v>
      </c>
      <c r="BH366" t="s">
        <v>74</v>
      </c>
      <c r="BI366" t="s">
        <v>74</v>
      </c>
      <c r="BJ366" t="s">
        <v>74</v>
      </c>
      <c r="BK366" t="s">
        <v>74</v>
      </c>
      <c r="BL366" t="s">
        <v>74</v>
      </c>
      <c r="BM366" t="s">
        <v>74</v>
      </c>
      <c r="BN366" t="s">
        <v>74</v>
      </c>
      <c r="BO366" t="s">
        <v>74</v>
      </c>
      <c r="BP366" t="s">
        <v>74</v>
      </c>
      <c r="BQ366" t="s">
        <v>74</v>
      </c>
      <c r="BR366" t="s">
        <v>74</v>
      </c>
      <c r="BS366" t="s">
        <v>2719</v>
      </c>
      <c r="BT366" t="str">
        <f>HYPERLINK("https%3A%2F%2Fwww.webofscience.com%2Fwos%2Fwoscc%2Ffull-record%2FWOS:000367686200008","View Full Record in Web of Science")</f>
        <v>View Full Record in Web of Science</v>
      </c>
    </row>
    <row r="367" spans="1:72" x14ac:dyDescent="0.4">
      <c r="A367" t="s">
        <v>72</v>
      </c>
      <c r="B367" t="s">
        <v>4361</v>
      </c>
      <c r="C367" t="s">
        <v>74</v>
      </c>
      <c r="D367" t="s">
        <v>74</v>
      </c>
      <c r="E367" t="s">
        <v>74</v>
      </c>
      <c r="F367" t="s">
        <v>4362</v>
      </c>
      <c r="G367" t="s">
        <v>74</v>
      </c>
      <c r="H367" t="s">
        <v>74</v>
      </c>
      <c r="I367" t="s">
        <v>4363</v>
      </c>
      <c r="J367" t="s">
        <v>4364</v>
      </c>
      <c r="K367" t="s">
        <v>74</v>
      </c>
      <c r="L367" t="s">
        <v>74</v>
      </c>
      <c r="M367" t="s">
        <v>74</v>
      </c>
      <c r="N367" t="s">
        <v>74</v>
      </c>
      <c r="O367" t="s">
        <v>74</v>
      </c>
      <c r="P367" t="s">
        <v>74</v>
      </c>
      <c r="Q367" t="s">
        <v>74</v>
      </c>
      <c r="R367" t="s">
        <v>74</v>
      </c>
      <c r="S367" t="s">
        <v>74</v>
      </c>
      <c r="T367" t="s">
        <v>74</v>
      </c>
      <c r="U367" t="s">
        <v>74</v>
      </c>
      <c r="V367" s="3" t="s">
        <v>4365</v>
      </c>
      <c r="W367" t="s">
        <v>74</v>
      </c>
      <c r="X367" t="s">
        <v>74</v>
      </c>
      <c r="Y367" t="s">
        <v>74</v>
      </c>
      <c r="Z367" t="s">
        <v>74</v>
      </c>
      <c r="AA367" t="s">
        <v>4366</v>
      </c>
      <c r="AB367" t="s">
        <v>4367</v>
      </c>
      <c r="AC367" t="s">
        <v>74</v>
      </c>
      <c r="AD367" t="s">
        <v>74</v>
      </c>
      <c r="AE367" t="s">
        <v>74</v>
      </c>
      <c r="AF367" t="s">
        <v>74</v>
      </c>
      <c r="AG367" t="s">
        <v>74</v>
      </c>
      <c r="AH367" t="s">
        <v>74</v>
      </c>
      <c r="AI367" t="s">
        <v>74</v>
      </c>
      <c r="AJ367" t="s">
        <v>74</v>
      </c>
      <c r="AK367" t="s">
        <v>74</v>
      </c>
      <c r="AL367" t="s">
        <v>74</v>
      </c>
      <c r="AM367" t="s">
        <v>74</v>
      </c>
      <c r="AN367" t="s">
        <v>74</v>
      </c>
      <c r="AO367" t="s">
        <v>4368</v>
      </c>
      <c r="AP367" t="s">
        <v>4369</v>
      </c>
      <c r="AQ367" t="s">
        <v>74</v>
      </c>
      <c r="AR367" t="s">
        <v>74</v>
      </c>
      <c r="AS367" t="s">
        <v>74</v>
      </c>
      <c r="AT367" t="s">
        <v>4370</v>
      </c>
      <c r="AU367">
        <v>2009</v>
      </c>
      <c r="AV367">
        <v>46</v>
      </c>
      <c r="AW367">
        <v>4</v>
      </c>
      <c r="AX367" t="s">
        <v>74</v>
      </c>
      <c r="AY367" t="s">
        <v>74</v>
      </c>
      <c r="AZ367" t="s">
        <v>74</v>
      </c>
      <c r="BA367" t="s">
        <v>74</v>
      </c>
      <c r="BB367">
        <v>271</v>
      </c>
      <c r="BC367">
        <v>282</v>
      </c>
      <c r="BD367" t="s">
        <v>74</v>
      </c>
      <c r="BE367" t="s">
        <v>4371</v>
      </c>
      <c r="BF367" t="str">
        <f>HYPERLINK("http://dx.doi.org/10.5735/086.046.0404","http://dx.doi.org/10.5735/086.046.0404")</f>
        <v>http://dx.doi.org/10.5735/086.046.0404</v>
      </c>
      <c r="BG367" t="s">
        <v>74</v>
      </c>
      <c r="BH367" t="s">
        <v>74</v>
      </c>
      <c r="BI367" t="s">
        <v>74</v>
      </c>
      <c r="BJ367" t="s">
        <v>74</v>
      </c>
      <c r="BK367" t="s">
        <v>74</v>
      </c>
      <c r="BL367" t="s">
        <v>74</v>
      </c>
      <c r="BM367" t="s">
        <v>74</v>
      </c>
      <c r="BN367" t="s">
        <v>74</v>
      </c>
      <c r="BO367" t="s">
        <v>74</v>
      </c>
      <c r="BP367" t="s">
        <v>74</v>
      </c>
      <c r="BQ367" t="s">
        <v>74</v>
      </c>
      <c r="BR367" t="s">
        <v>74</v>
      </c>
      <c r="BS367" t="s">
        <v>4372</v>
      </c>
      <c r="BT367" t="str">
        <f>HYPERLINK("https%3A%2F%2Fwww.webofscience.com%2Fwos%2Fwoscc%2Ffull-record%2FWOS:000269935900004","View Full Record in Web of Science")</f>
        <v>View Full Record in Web of Science</v>
      </c>
    </row>
    <row r="368" spans="1:72" x14ac:dyDescent="0.4">
      <c r="A368" t="s">
        <v>72</v>
      </c>
      <c r="B368" t="s">
        <v>1256</v>
      </c>
      <c r="C368" t="s">
        <v>74</v>
      </c>
      <c r="D368" t="s">
        <v>74</v>
      </c>
      <c r="E368" t="s">
        <v>74</v>
      </c>
      <c r="F368" t="s">
        <v>1257</v>
      </c>
      <c r="G368" t="s">
        <v>74</v>
      </c>
      <c r="H368" t="s">
        <v>74</v>
      </c>
      <c r="I368" t="s">
        <v>1258</v>
      </c>
      <c r="J368" t="s">
        <v>333</v>
      </c>
      <c r="K368" t="s">
        <v>74</v>
      </c>
      <c r="L368" t="s">
        <v>74</v>
      </c>
      <c r="M368" t="s">
        <v>74</v>
      </c>
      <c r="N368" t="s">
        <v>74</v>
      </c>
      <c r="O368" t="s">
        <v>74</v>
      </c>
      <c r="P368" t="s">
        <v>74</v>
      </c>
      <c r="Q368" t="s">
        <v>74</v>
      </c>
      <c r="R368" t="s">
        <v>74</v>
      </c>
      <c r="S368" t="s">
        <v>74</v>
      </c>
      <c r="T368" t="s">
        <v>74</v>
      </c>
      <c r="U368" t="s">
        <v>74</v>
      </c>
      <c r="V368" s="3" t="s">
        <v>1259</v>
      </c>
      <c r="W368" t="s">
        <v>74</v>
      </c>
      <c r="X368" t="s">
        <v>74</v>
      </c>
      <c r="Y368" t="s">
        <v>74</v>
      </c>
      <c r="Z368" t="s">
        <v>74</v>
      </c>
      <c r="AA368" t="s">
        <v>1260</v>
      </c>
      <c r="AB368" t="s">
        <v>1261</v>
      </c>
      <c r="AC368" t="s">
        <v>74</v>
      </c>
      <c r="AD368" t="s">
        <v>74</v>
      </c>
      <c r="AE368" t="s">
        <v>74</v>
      </c>
      <c r="AF368" t="s">
        <v>74</v>
      </c>
      <c r="AG368" t="s">
        <v>74</v>
      </c>
      <c r="AH368" t="s">
        <v>74</v>
      </c>
      <c r="AI368" t="s">
        <v>74</v>
      </c>
      <c r="AJ368" t="s">
        <v>74</v>
      </c>
      <c r="AK368" t="s">
        <v>74</v>
      </c>
      <c r="AL368" t="s">
        <v>74</v>
      </c>
      <c r="AM368" t="s">
        <v>74</v>
      </c>
      <c r="AN368" t="s">
        <v>74</v>
      </c>
      <c r="AO368" t="s">
        <v>337</v>
      </c>
      <c r="AP368" t="s">
        <v>338</v>
      </c>
      <c r="AQ368" t="s">
        <v>74</v>
      </c>
      <c r="AR368" t="s">
        <v>74</v>
      </c>
      <c r="AS368" t="s">
        <v>74</v>
      </c>
      <c r="AT368" t="s">
        <v>1075</v>
      </c>
      <c r="AU368">
        <v>2018</v>
      </c>
      <c r="AV368">
        <v>29</v>
      </c>
      <c r="AW368">
        <v>6</v>
      </c>
      <c r="AX368" t="s">
        <v>74</v>
      </c>
      <c r="AY368" t="s">
        <v>74</v>
      </c>
      <c r="AZ368" t="s">
        <v>74</v>
      </c>
      <c r="BA368" t="s">
        <v>74</v>
      </c>
      <c r="BB368">
        <v>1286</v>
      </c>
      <c r="BC368">
        <v>1297</v>
      </c>
      <c r="BD368" t="s">
        <v>74</v>
      </c>
      <c r="BE368" t="s">
        <v>1262</v>
      </c>
      <c r="BF368" t="str">
        <f>HYPERLINK("http://dx.doi.org/10.1093/beheco/ary127","http://dx.doi.org/10.1093/beheco/ary127")</f>
        <v>http://dx.doi.org/10.1093/beheco/ary127</v>
      </c>
      <c r="BG368" t="s">
        <v>74</v>
      </c>
      <c r="BH368" t="s">
        <v>74</v>
      </c>
      <c r="BI368" t="s">
        <v>74</v>
      </c>
      <c r="BJ368" t="s">
        <v>74</v>
      </c>
      <c r="BK368" t="s">
        <v>74</v>
      </c>
      <c r="BL368" t="s">
        <v>74</v>
      </c>
      <c r="BM368" t="s">
        <v>74</v>
      </c>
      <c r="BN368" t="s">
        <v>74</v>
      </c>
      <c r="BO368" t="s">
        <v>74</v>
      </c>
      <c r="BP368" t="s">
        <v>74</v>
      </c>
      <c r="BQ368" t="s">
        <v>74</v>
      </c>
      <c r="BR368" t="s">
        <v>74</v>
      </c>
      <c r="BS368" t="s">
        <v>1263</v>
      </c>
      <c r="BT368" t="str">
        <f>HYPERLINK("https%3A%2F%2Fwww.webofscience.com%2Fwos%2Fwoscc%2Ffull-record%2FWOS:000453209600018","View Full Record in Web of Science")</f>
        <v>View Full Record in Web of Science</v>
      </c>
    </row>
    <row r="369" spans="1:72" x14ac:dyDescent="0.4">
      <c r="A369" t="s">
        <v>72</v>
      </c>
      <c r="B369" t="s">
        <v>3419</v>
      </c>
      <c r="C369" t="s">
        <v>74</v>
      </c>
      <c r="D369" t="s">
        <v>74</v>
      </c>
      <c r="E369" t="s">
        <v>74</v>
      </c>
      <c r="F369" t="s">
        <v>3419</v>
      </c>
      <c r="G369" t="s">
        <v>74</v>
      </c>
      <c r="H369" t="s">
        <v>74</v>
      </c>
      <c r="I369" t="s">
        <v>3420</v>
      </c>
      <c r="J369" t="s">
        <v>2207</v>
      </c>
      <c r="K369" t="s">
        <v>74</v>
      </c>
      <c r="L369" t="s">
        <v>74</v>
      </c>
      <c r="M369" t="s">
        <v>74</v>
      </c>
      <c r="N369" t="s">
        <v>74</v>
      </c>
      <c r="O369" t="s">
        <v>74</v>
      </c>
      <c r="P369" t="s">
        <v>74</v>
      </c>
      <c r="Q369" t="s">
        <v>74</v>
      </c>
      <c r="R369" t="s">
        <v>74</v>
      </c>
      <c r="S369" t="s">
        <v>74</v>
      </c>
      <c r="T369" t="s">
        <v>74</v>
      </c>
      <c r="U369" t="s">
        <v>74</v>
      </c>
      <c r="V369" s="3" t="s">
        <v>3421</v>
      </c>
      <c r="W369" t="s">
        <v>74</v>
      </c>
      <c r="X369" t="s">
        <v>74</v>
      </c>
      <c r="Y369" t="s">
        <v>74</v>
      </c>
      <c r="Z369" t="s">
        <v>74</v>
      </c>
      <c r="AA369" t="s">
        <v>3422</v>
      </c>
      <c r="AB369" t="s">
        <v>3423</v>
      </c>
      <c r="AC369" t="s">
        <v>74</v>
      </c>
      <c r="AD369" t="s">
        <v>74</v>
      </c>
      <c r="AE369" t="s">
        <v>74</v>
      </c>
      <c r="AF369" t="s">
        <v>74</v>
      </c>
      <c r="AG369" t="s">
        <v>74</v>
      </c>
      <c r="AH369" t="s">
        <v>74</v>
      </c>
      <c r="AI369" t="s">
        <v>74</v>
      </c>
      <c r="AJ369" t="s">
        <v>74</v>
      </c>
      <c r="AK369" t="s">
        <v>74</v>
      </c>
      <c r="AL369" t="s">
        <v>74</v>
      </c>
      <c r="AM369" t="s">
        <v>74</v>
      </c>
      <c r="AN369" t="s">
        <v>74</v>
      </c>
      <c r="AO369" t="s">
        <v>2211</v>
      </c>
      <c r="AP369" t="s">
        <v>2461</v>
      </c>
      <c r="AQ369" t="s">
        <v>74</v>
      </c>
      <c r="AR369" t="s">
        <v>74</v>
      </c>
      <c r="AS369" t="s">
        <v>74</v>
      </c>
      <c r="AT369" t="s">
        <v>305</v>
      </c>
      <c r="AU369">
        <v>2003</v>
      </c>
      <c r="AV369">
        <v>34</v>
      </c>
      <c r="AW369">
        <v>4</v>
      </c>
      <c r="AX369" t="s">
        <v>74</v>
      </c>
      <c r="AY369" t="s">
        <v>74</v>
      </c>
      <c r="AZ369" t="s">
        <v>74</v>
      </c>
      <c r="BA369" t="s">
        <v>74</v>
      </c>
      <c r="BB369">
        <v>402</v>
      </c>
      <c r="BC369">
        <v>408</v>
      </c>
      <c r="BD369" t="s">
        <v>74</v>
      </c>
      <c r="BE369" t="s">
        <v>3424</v>
      </c>
      <c r="BF369" t="str">
        <f>HYPERLINK("http://dx.doi.org/10.1111/j.0908-8857.2003.03064.x","http://dx.doi.org/10.1111/j.0908-8857.2003.03064.x")</f>
        <v>http://dx.doi.org/10.1111/j.0908-8857.2003.03064.x</v>
      </c>
      <c r="BG369" t="s">
        <v>74</v>
      </c>
      <c r="BH369" t="s">
        <v>74</v>
      </c>
      <c r="BI369" t="s">
        <v>74</v>
      </c>
      <c r="BJ369" t="s">
        <v>74</v>
      </c>
      <c r="BK369" t="s">
        <v>74</v>
      </c>
      <c r="BL369" t="s">
        <v>74</v>
      </c>
      <c r="BM369" t="s">
        <v>74</v>
      </c>
      <c r="BN369" t="s">
        <v>74</v>
      </c>
      <c r="BO369" t="s">
        <v>74</v>
      </c>
      <c r="BP369" t="s">
        <v>74</v>
      </c>
      <c r="BQ369" t="s">
        <v>74</v>
      </c>
      <c r="BR369" t="s">
        <v>74</v>
      </c>
      <c r="BS369" t="s">
        <v>3425</v>
      </c>
      <c r="BT369" t="str">
        <f>HYPERLINK("https%3A%2F%2Fwww.webofscience.com%2Fwos%2Fwoscc%2Ffull-record%2FWOS:000187792000014","View Full Record in Web of Science")</f>
        <v>View Full Record in Web of Science</v>
      </c>
    </row>
    <row r="370" spans="1:72" x14ac:dyDescent="0.4">
      <c r="A370" t="s">
        <v>72</v>
      </c>
      <c r="B370" t="s">
        <v>5008</v>
      </c>
      <c r="C370" t="s">
        <v>74</v>
      </c>
      <c r="D370" t="s">
        <v>74</v>
      </c>
      <c r="E370" t="s">
        <v>74</v>
      </c>
      <c r="F370" t="s">
        <v>5009</v>
      </c>
      <c r="G370" t="s">
        <v>74</v>
      </c>
      <c r="H370" t="s">
        <v>74</v>
      </c>
      <c r="I370" t="s">
        <v>5010</v>
      </c>
      <c r="J370" t="s">
        <v>545</v>
      </c>
      <c r="K370" t="s">
        <v>74</v>
      </c>
      <c r="L370" t="s">
        <v>74</v>
      </c>
      <c r="M370" t="s">
        <v>74</v>
      </c>
      <c r="N370" t="s">
        <v>74</v>
      </c>
      <c r="O370" t="s">
        <v>74</v>
      </c>
      <c r="P370" t="s">
        <v>74</v>
      </c>
      <c r="Q370" t="s">
        <v>74</v>
      </c>
      <c r="R370" t="s">
        <v>74</v>
      </c>
      <c r="S370" t="s">
        <v>74</v>
      </c>
      <c r="T370" t="s">
        <v>74</v>
      </c>
      <c r="U370" t="s">
        <v>74</v>
      </c>
      <c r="V370" s="3" t="s">
        <v>5011</v>
      </c>
      <c r="W370" t="s">
        <v>74</v>
      </c>
      <c r="X370" t="s">
        <v>74</v>
      </c>
      <c r="Y370" t="s">
        <v>74</v>
      </c>
      <c r="Z370" t="s">
        <v>74</v>
      </c>
      <c r="AA370" t="s">
        <v>5012</v>
      </c>
      <c r="AB370" t="s">
        <v>5013</v>
      </c>
      <c r="AC370" t="s">
        <v>74</v>
      </c>
      <c r="AD370" t="s">
        <v>74</v>
      </c>
      <c r="AE370" t="s">
        <v>74</v>
      </c>
      <c r="AF370" t="s">
        <v>74</v>
      </c>
      <c r="AG370" t="s">
        <v>74</v>
      </c>
      <c r="AH370" t="s">
        <v>74</v>
      </c>
      <c r="AI370" t="s">
        <v>74</v>
      </c>
      <c r="AJ370" t="s">
        <v>74</v>
      </c>
      <c r="AK370" t="s">
        <v>74</v>
      </c>
      <c r="AL370" t="s">
        <v>74</v>
      </c>
      <c r="AM370" t="s">
        <v>74</v>
      </c>
      <c r="AN370" t="s">
        <v>74</v>
      </c>
      <c r="AO370" t="s">
        <v>547</v>
      </c>
      <c r="AP370" t="s">
        <v>74</v>
      </c>
      <c r="AQ370" t="s">
        <v>74</v>
      </c>
      <c r="AR370" t="s">
        <v>74</v>
      </c>
      <c r="AS370" t="s">
        <v>74</v>
      </c>
      <c r="AT370" t="s">
        <v>74</v>
      </c>
      <c r="AU370">
        <v>2017</v>
      </c>
      <c r="AV370">
        <v>267</v>
      </c>
      <c r="AW370" t="s">
        <v>74</v>
      </c>
      <c r="AX370" t="s">
        <v>74</v>
      </c>
      <c r="AY370" t="s">
        <v>74</v>
      </c>
      <c r="AZ370" t="s">
        <v>74</v>
      </c>
      <c r="BA370" t="s">
        <v>74</v>
      </c>
      <c r="BB370">
        <v>21</v>
      </c>
      <c r="BC370">
        <v>30</v>
      </c>
      <c r="BD370" t="s">
        <v>74</v>
      </c>
      <c r="BE370" t="s">
        <v>5014</v>
      </c>
      <c r="BF370" t="str">
        <f>HYPERLINK("http://dx.doi.org/10.1016/j.jcz.2017.01.002","http://dx.doi.org/10.1016/j.jcz.2017.01.002")</f>
        <v>http://dx.doi.org/10.1016/j.jcz.2017.01.002</v>
      </c>
      <c r="BG370" t="s">
        <v>74</v>
      </c>
      <c r="BH370" t="s">
        <v>74</v>
      </c>
      <c r="BI370" t="s">
        <v>74</v>
      </c>
      <c r="BJ370" t="s">
        <v>74</v>
      </c>
      <c r="BK370" t="s">
        <v>74</v>
      </c>
      <c r="BL370" t="s">
        <v>74</v>
      </c>
      <c r="BM370" t="s">
        <v>74</v>
      </c>
      <c r="BN370" t="s">
        <v>74</v>
      </c>
      <c r="BO370" t="s">
        <v>74</v>
      </c>
      <c r="BP370" t="s">
        <v>74</v>
      </c>
      <c r="BQ370" t="s">
        <v>74</v>
      </c>
      <c r="BR370" t="s">
        <v>74</v>
      </c>
      <c r="BS370" t="s">
        <v>5015</v>
      </c>
      <c r="BT370" t="str">
        <f>HYPERLINK("https%3A%2F%2Fwww.webofscience.com%2Fwos%2Fwoscc%2Ffull-record%2FWOS:000403123700004","View Full Record in Web of Science")</f>
        <v>View Full Record in Web of Science</v>
      </c>
    </row>
    <row r="371" spans="1:72" x14ac:dyDescent="0.4">
      <c r="A371" t="s">
        <v>72</v>
      </c>
      <c r="B371" t="s">
        <v>3431</v>
      </c>
      <c r="C371" t="s">
        <v>74</v>
      </c>
      <c r="D371" t="s">
        <v>74</v>
      </c>
      <c r="E371" t="s">
        <v>74</v>
      </c>
      <c r="F371" t="s">
        <v>3432</v>
      </c>
      <c r="G371" t="s">
        <v>74</v>
      </c>
      <c r="H371" t="s">
        <v>74</v>
      </c>
      <c r="I371" t="s">
        <v>3433</v>
      </c>
      <c r="J371" t="s">
        <v>610</v>
      </c>
      <c r="K371" t="s">
        <v>74</v>
      </c>
      <c r="L371" t="s">
        <v>74</v>
      </c>
      <c r="M371" t="s">
        <v>74</v>
      </c>
      <c r="N371" t="s">
        <v>74</v>
      </c>
      <c r="O371" t="s">
        <v>74</v>
      </c>
      <c r="P371" t="s">
        <v>74</v>
      </c>
      <c r="Q371" t="s">
        <v>74</v>
      </c>
      <c r="R371" t="s">
        <v>74</v>
      </c>
      <c r="S371" t="s">
        <v>74</v>
      </c>
      <c r="T371" t="s">
        <v>74</v>
      </c>
      <c r="U371" t="s">
        <v>74</v>
      </c>
      <c r="V371" s="3" t="s">
        <v>3434</v>
      </c>
      <c r="W371" t="s">
        <v>74</v>
      </c>
      <c r="X371" t="s">
        <v>74</v>
      </c>
      <c r="Y371" t="s">
        <v>74</v>
      </c>
      <c r="Z371" t="s">
        <v>74</v>
      </c>
      <c r="AA371" t="s">
        <v>3435</v>
      </c>
      <c r="AB371" t="s">
        <v>3436</v>
      </c>
      <c r="AC371" t="s">
        <v>74</v>
      </c>
      <c r="AD371" t="s">
        <v>74</v>
      </c>
      <c r="AE371" t="s">
        <v>74</v>
      </c>
      <c r="AF371" t="s">
        <v>74</v>
      </c>
      <c r="AG371" t="s">
        <v>74</v>
      </c>
      <c r="AH371" t="s">
        <v>74</v>
      </c>
      <c r="AI371" t="s">
        <v>74</v>
      </c>
      <c r="AJ371" t="s">
        <v>74</v>
      </c>
      <c r="AK371" t="s">
        <v>74</v>
      </c>
      <c r="AL371" t="s">
        <v>74</v>
      </c>
      <c r="AM371" t="s">
        <v>74</v>
      </c>
      <c r="AN371" t="s">
        <v>74</v>
      </c>
      <c r="AO371" t="s">
        <v>614</v>
      </c>
      <c r="AP371" t="s">
        <v>615</v>
      </c>
      <c r="AQ371" t="s">
        <v>74</v>
      </c>
      <c r="AR371" t="s">
        <v>74</v>
      </c>
      <c r="AS371" t="s">
        <v>74</v>
      </c>
      <c r="AT371" t="s">
        <v>305</v>
      </c>
      <c r="AU371">
        <v>2021</v>
      </c>
      <c r="AV371">
        <v>127</v>
      </c>
      <c r="AW371">
        <v>12</v>
      </c>
      <c r="AX371" t="s">
        <v>74</v>
      </c>
      <c r="AY371" t="s">
        <v>74</v>
      </c>
      <c r="AZ371" t="s">
        <v>74</v>
      </c>
      <c r="BA371" t="s">
        <v>74</v>
      </c>
      <c r="BB371">
        <v>1053</v>
      </c>
      <c r="BC371">
        <v>1063</v>
      </c>
      <c r="BD371" t="s">
        <v>74</v>
      </c>
      <c r="BE371" t="s">
        <v>3437</v>
      </c>
      <c r="BF371" t="str">
        <f>HYPERLINK("http://dx.doi.org/10.1111/eth.13228","http://dx.doi.org/10.1111/eth.13228")</f>
        <v>http://dx.doi.org/10.1111/eth.13228</v>
      </c>
      <c r="BG371" t="s">
        <v>74</v>
      </c>
      <c r="BH371" t="s">
        <v>675</v>
      </c>
      <c r="BI371" t="s">
        <v>74</v>
      </c>
      <c r="BJ371" t="s">
        <v>74</v>
      </c>
      <c r="BK371" t="s">
        <v>74</v>
      </c>
      <c r="BL371" t="s">
        <v>74</v>
      </c>
      <c r="BM371" t="s">
        <v>74</v>
      </c>
      <c r="BN371" t="s">
        <v>74</v>
      </c>
      <c r="BO371" t="s">
        <v>74</v>
      </c>
      <c r="BP371" t="s">
        <v>74</v>
      </c>
      <c r="BQ371" t="s">
        <v>74</v>
      </c>
      <c r="BR371" t="s">
        <v>74</v>
      </c>
      <c r="BS371" t="s">
        <v>3438</v>
      </c>
      <c r="BT371" t="str">
        <f>HYPERLINK("https%3A%2F%2Fwww.webofscience.com%2Fwos%2Fwoscc%2Ffull-record%2FWOS:000692844500001","View Full Record in Web of Science")</f>
        <v>View Full Record in Web of Science</v>
      </c>
    </row>
    <row r="372" spans="1:72" x14ac:dyDescent="0.4">
      <c r="A372" t="s">
        <v>72</v>
      </c>
      <c r="B372" t="s">
        <v>7510</v>
      </c>
      <c r="C372" t="s">
        <v>74</v>
      </c>
      <c r="D372" t="s">
        <v>74</v>
      </c>
      <c r="E372" t="s">
        <v>74</v>
      </c>
      <c r="F372" t="s">
        <v>7510</v>
      </c>
      <c r="G372" t="s">
        <v>74</v>
      </c>
      <c r="H372" t="s">
        <v>74</v>
      </c>
      <c r="I372" t="s">
        <v>7511</v>
      </c>
      <c r="J372" t="s">
        <v>140</v>
      </c>
      <c r="K372" t="s">
        <v>74</v>
      </c>
      <c r="L372" t="s">
        <v>74</v>
      </c>
      <c r="M372" t="s">
        <v>74</v>
      </c>
      <c r="N372" t="s">
        <v>74</v>
      </c>
      <c r="O372" t="s">
        <v>74</v>
      </c>
      <c r="P372" t="s">
        <v>74</v>
      </c>
      <c r="Q372" t="s">
        <v>74</v>
      </c>
      <c r="R372" t="s">
        <v>74</v>
      </c>
      <c r="S372" t="s">
        <v>74</v>
      </c>
      <c r="T372" t="s">
        <v>74</v>
      </c>
      <c r="U372" t="s">
        <v>74</v>
      </c>
      <c r="V372" s="3" t="s">
        <v>7512</v>
      </c>
      <c r="W372" t="s">
        <v>74</v>
      </c>
      <c r="X372" t="s">
        <v>74</v>
      </c>
      <c r="Y372" t="s">
        <v>74</v>
      </c>
      <c r="Z372" t="s">
        <v>74</v>
      </c>
      <c r="AA372" t="s">
        <v>7513</v>
      </c>
      <c r="AB372" t="s">
        <v>7514</v>
      </c>
      <c r="AC372" t="s">
        <v>74</v>
      </c>
      <c r="AD372" t="s">
        <v>74</v>
      </c>
      <c r="AE372" t="s">
        <v>74</v>
      </c>
      <c r="AF372" t="s">
        <v>74</v>
      </c>
      <c r="AG372" t="s">
        <v>74</v>
      </c>
      <c r="AH372" t="s">
        <v>74</v>
      </c>
      <c r="AI372" t="s">
        <v>74</v>
      </c>
      <c r="AJ372" t="s">
        <v>74</v>
      </c>
      <c r="AK372" t="s">
        <v>74</v>
      </c>
      <c r="AL372" t="s">
        <v>74</v>
      </c>
      <c r="AM372" t="s">
        <v>74</v>
      </c>
      <c r="AN372" t="s">
        <v>74</v>
      </c>
      <c r="AO372" t="s">
        <v>143</v>
      </c>
      <c r="AP372" t="s">
        <v>74</v>
      </c>
      <c r="AQ372" t="s">
        <v>74</v>
      </c>
      <c r="AR372" t="s">
        <v>74</v>
      </c>
      <c r="AS372" t="s">
        <v>74</v>
      </c>
      <c r="AT372" t="s">
        <v>352</v>
      </c>
      <c r="AU372">
        <v>2003</v>
      </c>
      <c r="AV372">
        <v>66</v>
      </c>
      <c r="AW372" t="s">
        <v>74</v>
      </c>
      <c r="AX372">
        <v>3</v>
      </c>
      <c r="AY372" t="s">
        <v>74</v>
      </c>
      <c r="AZ372" t="s">
        <v>74</v>
      </c>
      <c r="BA372" t="s">
        <v>74</v>
      </c>
      <c r="BB372">
        <v>521</v>
      </c>
      <c r="BC372">
        <v>530</v>
      </c>
      <c r="BD372" t="s">
        <v>74</v>
      </c>
      <c r="BE372" t="s">
        <v>7515</v>
      </c>
      <c r="BF372" t="str">
        <f>HYPERLINK("http://dx.doi.org/10.1006/anbe.2003.2206","http://dx.doi.org/10.1006/anbe.2003.2206")</f>
        <v>http://dx.doi.org/10.1006/anbe.2003.2206</v>
      </c>
      <c r="BG372" t="s">
        <v>74</v>
      </c>
      <c r="BH372" t="s">
        <v>74</v>
      </c>
      <c r="BI372" t="s">
        <v>74</v>
      </c>
      <c r="BJ372" t="s">
        <v>74</v>
      </c>
      <c r="BK372" t="s">
        <v>74</v>
      </c>
      <c r="BL372" t="s">
        <v>74</v>
      </c>
      <c r="BM372" t="s">
        <v>74</v>
      </c>
      <c r="BN372" t="s">
        <v>74</v>
      </c>
      <c r="BO372" t="s">
        <v>74</v>
      </c>
      <c r="BP372" t="s">
        <v>74</v>
      </c>
      <c r="BQ372" t="s">
        <v>74</v>
      </c>
      <c r="BR372" t="s">
        <v>74</v>
      </c>
      <c r="BS372" t="s">
        <v>7516</v>
      </c>
      <c r="BT372" t="str">
        <f>HYPERLINK("https%3A%2F%2Fwww.webofscience.com%2Fwos%2Fwoscc%2Ffull-record%2FWOS:000185477900013","View Full Record in Web of Science")</f>
        <v>View Full Record in Web of Science</v>
      </c>
    </row>
    <row r="373" spans="1:72" x14ac:dyDescent="0.4">
      <c r="A373" t="s">
        <v>72</v>
      </c>
      <c r="B373" t="s">
        <v>1085</v>
      </c>
      <c r="C373" t="s">
        <v>74</v>
      </c>
      <c r="D373" t="s">
        <v>74</v>
      </c>
      <c r="E373" t="s">
        <v>74</v>
      </c>
      <c r="F373" t="s">
        <v>1086</v>
      </c>
      <c r="G373" t="s">
        <v>74</v>
      </c>
      <c r="H373" t="s">
        <v>74</v>
      </c>
      <c r="I373" t="s">
        <v>1087</v>
      </c>
      <c r="J373" t="s">
        <v>475</v>
      </c>
      <c r="K373" t="s">
        <v>74</v>
      </c>
      <c r="L373" t="s">
        <v>74</v>
      </c>
      <c r="M373" t="s">
        <v>74</v>
      </c>
      <c r="N373" t="s">
        <v>74</v>
      </c>
      <c r="O373" t="s">
        <v>74</v>
      </c>
      <c r="P373" t="s">
        <v>74</v>
      </c>
      <c r="Q373" t="s">
        <v>74</v>
      </c>
      <c r="R373" t="s">
        <v>74</v>
      </c>
      <c r="S373" t="s">
        <v>74</v>
      </c>
      <c r="T373" t="s">
        <v>74</v>
      </c>
      <c r="U373" t="s">
        <v>74</v>
      </c>
      <c r="V373" s="3" t="s">
        <v>1088</v>
      </c>
      <c r="W373" t="s">
        <v>74</v>
      </c>
      <c r="X373" t="s">
        <v>74</v>
      </c>
      <c r="Y373" t="s">
        <v>74</v>
      </c>
      <c r="Z373" t="s">
        <v>74</v>
      </c>
      <c r="AA373" t="s">
        <v>74</v>
      </c>
      <c r="AB373" t="s">
        <v>74</v>
      </c>
      <c r="AC373" t="s">
        <v>74</v>
      </c>
      <c r="AD373" t="s">
        <v>74</v>
      </c>
      <c r="AE373" t="s">
        <v>74</v>
      </c>
      <c r="AF373" t="s">
        <v>74</v>
      </c>
      <c r="AG373" t="s">
        <v>74</v>
      </c>
      <c r="AH373" t="s">
        <v>74</v>
      </c>
      <c r="AI373" t="s">
        <v>74</v>
      </c>
      <c r="AJ373" t="s">
        <v>74</v>
      </c>
      <c r="AK373" t="s">
        <v>74</v>
      </c>
      <c r="AL373" t="s">
        <v>74</v>
      </c>
      <c r="AM373" t="s">
        <v>74</v>
      </c>
      <c r="AN373" t="s">
        <v>74</v>
      </c>
      <c r="AO373" t="s">
        <v>477</v>
      </c>
      <c r="AP373" t="s">
        <v>1089</v>
      </c>
      <c r="AQ373" t="s">
        <v>74</v>
      </c>
      <c r="AR373" t="s">
        <v>74</v>
      </c>
      <c r="AS373" t="s">
        <v>74</v>
      </c>
      <c r="AT373" t="s">
        <v>1090</v>
      </c>
      <c r="AU373">
        <v>2020</v>
      </c>
      <c r="AV373">
        <v>285</v>
      </c>
      <c r="AW373" t="s">
        <v>74</v>
      </c>
      <c r="AX373" t="s">
        <v>74</v>
      </c>
      <c r="AY373" t="s">
        <v>74</v>
      </c>
      <c r="AZ373" t="s">
        <v>74</v>
      </c>
      <c r="BA373" t="s">
        <v>74</v>
      </c>
      <c r="BB373" t="s">
        <v>74</v>
      </c>
      <c r="BC373" t="s">
        <v>74</v>
      </c>
      <c r="BD373">
        <v>113292</v>
      </c>
      <c r="BE373" t="s">
        <v>1091</v>
      </c>
      <c r="BF373" t="str">
        <f>HYPERLINK("http://dx.doi.org/10.1016/j.ygcen.2019.113292","http://dx.doi.org/10.1016/j.ygcen.2019.113292")</f>
        <v>http://dx.doi.org/10.1016/j.ygcen.2019.113292</v>
      </c>
      <c r="BG373" t="s">
        <v>74</v>
      </c>
      <c r="BH373" t="s">
        <v>74</v>
      </c>
      <c r="BI373" t="s">
        <v>74</v>
      </c>
      <c r="BJ373" t="s">
        <v>74</v>
      </c>
      <c r="BK373" t="s">
        <v>74</v>
      </c>
      <c r="BL373" t="s">
        <v>74</v>
      </c>
      <c r="BM373" t="s">
        <v>74</v>
      </c>
      <c r="BN373">
        <v>31580882</v>
      </c>
      <c r="BO373" t="s">
        <v>74</v>
      </c>
      <c r="BP373" t="s">
        <v>74</v>
      </c>
      <c r="BQ373" t="s">
        <v>74</v>
      </c>
      <c r="BR373" t="s">
        <v>74</v>
      </c>
      <c r="BS373" t="s">
        <v>1092</v>
      </c>
      <c r="BT373" t="str">
        <f>HYPERLINK("https%3A%2F%2Fwww.webofscience.com%2Fwos%2Fwoscc%2Ffull-record%2FWOS:000504341800024","View Full Record in Web of Science")</f>
        <v>View Full Record in Web of Science</v>
      </c>
    </row>
    <row r="374" spans="1:72" x14ac:dyDescent="0.4">
      <c r="A374" t="s">
        <v>72</v>
      </c>
      <c r="B374" t="s">
        <v>3383</v>
      </c>
      <c r="C374" t="s">
        <v>74</v>
      </c>
      <c r="D374" t="s">
        <v>74</v>
      </c>
      <c r="E374" t="s">
        <v>74</v>
      </c>
      <c r="F374" t="s">
        <v>3384</v>
      </c>
      <c r="G374" t="s">
        <v>74</v>
      </c>
      <c r="H374" t="s">
        <v>74</v>
      </c>
      <c r="I374" t="s">
        <v>3385</v>
      </c>
      <c r="J374" t="s">
        <v>610</v>
      </c>
      <c r="K374" t="s">
        <v>74</v>
      </c>
      <c r="L374" t="s">
        <v>74</v>
      </c>
      <c r="M374" t="s">
        <v>74</v>
      </c>
      <c r="N374" t="s">
        <v>74</v>
      </c>
      <c r="O374" t="s">
        <v>74</v>
      </c>
      <c r="P374" t="s">
        <v>74</v>
      </c>
      <c r="Q374" t="s">
        <v>74</v>
      </c>
      <c r="R374" t="s">
        <v>74</v>
      </c>
      <c r="S374" t="s">
        <v>74</v>
      </c>
      <c r="T374" t="s">
        <v>74</v>
      </c>
      <c r="U374" t="s">
        <v>74</v>
      </c>
      <c r="V374" s="3" t="s">
        <v>3386</v>
      </c>
      <c r="W374" t="s">
        <v>74</v>
      </c>
      <c r="X374" t="s">
        <v>74</v>
      </c>
      <c r="Y374" t="s">
        <v>74</v>
      </c>
      <c r="Z374" t="s">
        <v>74</v>
      </c>
      <c r="AA374" t="s">
        <v>74</v>
      </c>
      <c r="AB374" t="s">
        <v>3387</v>
      </c>
      <c r="AC374" t="s">
        <v>74</v>
      </c>
      <c r="AD374" t="s">
        <v>74</v>
      </c>
      <c r="AE374" t="s">
        <v>74</v>
      </c>
      <c r="AF374" t="s">
        <v>74</v>
      </c>
      <c r="AG374" t="s">
        <v>74</v>
      </c>
      <c r="AH374" t="s">
        <v>74</v>
      </c>
      <c r="AI374" t="s">
        <v>74</v>
      </c>
      <c r="AJ374" t="s">
        <v>74</v>
      </c>
      <c r="AK374" t="s">
        <v>74</v>
      </c>
      <c r="AL374" t="s">
        <v>74</v>
      </c>
      <c r="AM374" t="s">
        <v>74</v>
      </c>
      <c r="AN374" t="s">
        <v>74</v>
      </c>
      <c r="AO374" t="s">
        <v>614</v>
      </c>
      <c r="AP374" t="s">
        <v>615</v>
      </c>
      <c r="AQ374" t="s">
        <v>74</v>
      </c>
      <c r="AR374" t="s">
        <v>74</v>
      </c>
      <c r="AS374" t="s">
        <v>74</v>
      </c>
      <c r="AT374" t="s">
        <v>102</v>
      </c>
      <c r="AU374">
        <v>2021</v>
      </c>
      <c r="AV374">
        <v>127</v>
      </c>
      <c r="AW374">
        <v>6</v>
      </c>
      <c r="AX374" t="s">
        <v>74</v>
      </c>
      <c r="AY374" t="s">
        <v>74</v>
      </c>
      <c r="AZ374" t="s">
        <v>74</v>
      </c>
      <c r="BA374" t="s">
        <v>74</v>
      </c>
      <c r="BB374">
        <v>475</v>
      </c>
      <c r="BC374">
        <v>483</v>
      </c>
      <c r="BD374" t="s">
        <v>74</v>
      </c>
      <c r="BE374" t="s">
        <v>3388</v>
      </c>
      <c r="BF374" t="str">
        <f>HYPERLINK("http://dx.doi.org/10.1111/eth.13156","http://dx.doi.org/10.1111/eth.13156")</f>
        <v>http://dx.doi.org/10.1111/eth.13156</v>
      </c>
      <c r="BG374" t="s">
        <v>74</v>
      </c>
      <c r="BH374" t="s">
        <v>1051</v>
      </c>
      <c r="BI374" t="s">
        <v>74</v>
      </c>
      <c r="BJ374" t="s">
        <v>74</v>
      </c>
      <c r="BK374" t="s">
        <v>74</v>
      </c>
      <c r="BL374" t="s">
        <v>74</v>
      </c>
      <c r="BM374" t="s">
        <v>74</v>
      </c>
      <c r="BN374" t="s">
        <v>74</v>
      </c>
      <c r="BO374" t="s">
        <v>74</v>
      </c>
      <c r="BP374" t="s">
        <v>74</v>
      </c>
      <c r="BQ374" t="s">
        <v>74</v>
      </c>
      <c r="BR374" t="s">
        <v>74</v>
      </c>
      <c r="BS374" t="s">
        <v>3389</v>
      </c>
      <c r="BT374" t="str">
        <f>HYPERLINK("https%3A%2F%2Fwww.webofscience.com%2Fwos%2Fwoscc%2Ffull-record%2FWOS:000640929900001","View Full Record in Web of Science")</f>
        <v>View Full Record in Web of Science</v>
      </c>
    </row>
    <row r="375" spans="1:72" x14ac:dyDescent="0.4">
      <c r="A375" t="s">
        <v>72</v>
      </c>
      <c r="B375" t="s">
        <v>7432</v>
      </c>
      <c r="C375" t="s">
        <v>74</v>
      </c>
      <c r="D375" t="s">
        <v>74</v>
      </c>
      <c r="E375" t="s">
        <v>74</v>
      </c>
      <c r="F375" t="s">
        <v>7433</v>
      </c>
      <c r="G375" t="s">
        <v>74</v>
      </c>
      <c r="H375" t="s">
        <v>74</v>
      </c>
      <c r="I375" t="s">
        <v>7434</v>
      </c>
      <c r="J375" t="s">
        <v>1995</v>
      </c>
      <c r="K375" t="s">
        <v>74</v>
      </c>
      <c r="L375" t="s">
        <v>74</v>
      </c>
      <c r="M375" t="s">
        <v>74</v>
      </c>
      <c r="N375" t="s">
        <v>74</v>
      </c>
      <c r="O375" t="s">
        <v>74</v>
      </c>
      <c r="P375" t="s">
        <v>74</v>
      </c>
      <c r="Q375" t="s">
        <v>74</v>
      </c>
      <c r="R375" t="s">
        <v>74</v>
      </c>
      <c r="S375" t="s">
        <v>74</v>
      </c>
      <c r="T375" t="s">
        <v>74</v>
      </c>
      <c r="U375" t="s">
        <v>74</v>
      </c>
      <c r="V375" s="3" t="s">
        <v>7435</v>
      </c>
      <c r="W375" t="s">
        <v>74</v>
      </c>
      <c r="X375" t="s">
        <v>74</v>
      </c>
      <c r="Y375" t="s">
        <v>74</v>
      </c>
      <c r="Z375" t="s">
        <v>74</v>
      </c>
      <c r="AA375" t="s">
        <v>74</v>
      </c>
      <c r="AB375" t="s">
        <v>7436</v>
      </c>
      <c r="AC375" t="s">
        <v>74</v>
      </c>
      <c r="AD375" t="s">
        <v>74</v>
      </c>
      <c r="AE375" t="s">
        <v>74</v>
      </c>
      <c r="AF375" t="s">
        <v>74</v>
      </c>
      <c r="AG375" t="s">
        <v>74</v>
      </c>
      <c r="AH375" t="s">
        <v>74</v>
      </c>
      <c r="AI375" t="s">
        <v>74</v>
      </c>
      <c r="AJ375" t="s">
        <v>74</v>
      </c>
      <c r="AK375" t="s">
        <v>74</v>
      </c>
      <c r="AL375" t="s">
        <v>74</v>
      </c>
      <c r="AM375" t="s">
        <v>74</v>
      </c>
      <c r="AN375" t="s">
        <v>74</v>
      </c>
      <c r="AO375" t="s">
        <v>1997</v>
      </c>
      <c r="AP375" t="s">
        <v>3917</v>
      </c>
      <c r="AQ375" t="s">
        <v>74</v>
      </c>
      <c r="AR375" t="s">
        <v>74</v>
      </c>
      <c r="AS375" t="s">
        <v>74</v>
      </c>
      <c r="AT375" t="s">
        <v>305</v>
      </c>
      <c r="AU375">
        <v>2021</v>
      </c>
      <c r="AV375">
        <v>92</v>
      </c>
      <c r="AW375">
        <v>4</v>
      </c>
      <c r="AX375" t="s">
        <v>74</v>
      </c>
      <c r="AY375" t="s">
        <v>74</v>
      </c>
      <c r="AZ375" t="s">
        <v>74</v>
      </c>
      <c r="BA375" t="s">
        <v>74</v>
      </c>
      <c r="BB375">
        <v>365</v>
      </c>
      <c r="BC375">
        <v>376</v>
      </c>
      <c r="BD375" t="s">
        <v>74</v>
      </c>
      <c r="BE375" t="s">
        <v>7437</v>
      </c>
      <c r="BF375" t="str">
        <f>HYPERLINK("http://dx.doi.org/10.1111/jofo.12395","http://dx.doi.org/10.1111/jofo.12395")</f>
        <v>http://dx.doi.org/10.1111/jofo.12395</v>
      </c>
      <c r="BG375" t="s">
        <v>74</v>
      </c>
      <c r="BH375" t="s">
        <v>7438</v>
      </c>
      <c r="BI375" t="s">
        <v>74</v>
      </c>
      <c r="BJ375" t="s">
        <v>74</v>
      </c>
      <c r="BK375" t="s">
        <v>74</v>
      </c>
      <c r="BL375" t="s">
        <v>74</v>
      </c>
      <c r="BM375" t="s">
        <v>74</v>
      </c>
      <c r="BN375" t="s">
        <v>74</v>
      </c>
      <c r="BO375" t="s">
        <v>74</v>
      </c>
      <c r="BP375" t="s">
        <v>74</v>
      </c>
      <c r="BQ375" t="s">
        <v>74</v>
      </c>
      <c r="BR375" t="s">
        <v>74</v>
      </c>
      <c r="BS375" t="s">
        <v>7439</v>
      </c>
      <c r="BT375" t="str">
        <f>HYPERLINK("https%3A%2F%2Fwww.webofscience.com%2Fwos%2Fwoscc%2Ffull-record%2FWOS:000751937600001","View Full Record in Web of Science")</f>
        <v>View Full Record in Web of Science</v>
      </c>
    </row>
    <row r="376" spans="1:72" x14ac:dyDescent="0.4">
      <c r="A376" t="s">
        <v>72</v>
      </c>
      <c r="B376" t="s">
        <v>8324</v>
      </c>
      <c r="C376" t="s">
        <v>74</v>
      </c>
      <c r="D376" t="s">
        <v>74</v>
      </c>
      <c r="E376" t="s">
        <v>74</v>
      </c>
      <c r="F376" t="s">
        <v>8325</v>
      </c>
      <c r="G376" t="s">
        <v>74</v>
      </c>
      <c r="H376" t="s">
        <v>74</v>
      </c>
      <c r="I376" t="s">
        <v>8326</v>
      </c>
      <c r="J376" t="s">
        <v>408</v>
      </c>
      <c r="K376" t="s">
        <v>74</v>
      </c>
      <c r="L376" t="s">
        <v>74</v>
      </c>
      <c r="M376" t="s">
        <v>74</v>
      </c>
      <c r="N376" t="s">
        <v>74</v>
      </c>
      <c r="O376" t="s">
        <v>74</v>
      </c>
      <c r="P376" t="s">
        <v>74</v>
      </c>
      <c r="Q376" t="s">
        <v>74</v>
      </c>
      <c r="R376" t="s">
        <v>74</v>
      </c>
      <c r="S376" t="s">
        <v>74</v>
      </c>
      <c r="T376" t="s">
        <v>74</v>
      </c>
      <c r="U376" t="s">
        <v>74</v>
      </c>
      <c r="V376" s="3" t="s">
        <v>8327</v>
      </c>
      <c r="W376" t="s">
        <v>74</v>
      </c>
      <c r="X376" t="s">
        <v>74</v>
      </c>
      <c r="Y376" t="s">
        <v>74</v>
      </c>
      <c r="Z376" t="s">
        <v>74</v>
      </c>
      <c r="AA376" t="s">
        <v>8328</v>
      </c>
      <c r="AB376" t="s">
        <v>8329</v>
      </c>
      <c r="AC376" t="s">
        <v>74</v>
      </c>
      <c r="AD376" t="s">
        <v>74</v>
      </c>
      <c r="AE376" t="s">
        <v>74</v>
      </c>
      <c r="AF376" t="s">
        <v>74</v>
      </c>
      <c r="AG376" t="s">
        <v>74</v>
      </c>
      <c r="AH376" t="s">
        <v>74</v>
      </c>
      <c r="AI376" t="s">
        <v>74</v>
      </c>
      <c r="AJ376" t="s">
        <v>74</v>
      </c>
      <c r="AK376" t="s">
        <v>74</v>
      </c>
      <c r="AL376" t="s">
        <v>74</v>
      </c>
      <c r="AM376" t="s">
        <v>74</v>
      </c>
      <c r="AN376" t="s">
        <v>74</v>
      </c>
      <c r="AO376" t="s">
        <v>412</v>
      </c>
      <c r="AP376" t="s">
        <v>413</v>
      </c>
      <c r="AQ376" t="s">
        <v>74</v>
      </c>
      <c r="AR376" t="s">
        <v>74</v>
      </c>
      <c r="AS376" t="s">
        <v>74</v>
      </c>
      <c r="AT376" t="s">
        <v>175</v>
      </c>
      <c r="AU376">
        <v>2013</v>
      </c>
      <c r="AV376">
        <v>110</v>
      </c>
      <c r="AW376">
        <v>2</v>
      </c>
      <c r="AX376" t="s">
        <v>74</v>
      </c>
      <c r="AY376" t="s">
        <v>74</v>
      </c>
      <c r="AZ376" t="s">
        <v>74</v>
      </c>
      <c r="BA376" t="s">
        <v>74</v>
      </c>
      <c r="BB376">
        <v>409</v>
      </c>
      <c r="BC376">
        <v>426</v>
      </c>
      <c r="BD376" t="s">
        <v>74</v>
      </c>
      <c r="BE376" t="s">
        <v>8330</v>
      </c>
      <c r="BF376" t="str">
        <f>HYPERLINK("http://dx.doi.org/10.1111/bij.12131","http://dx.doi.org/10.1111/bij.12131")</f>
        <v>http://dx.doi.org/10.1111/bij.12131</v>
      </c>
      <c r="BG376" t="s">
        <v>74</v>
      </c>
      <c r="BH376" t="s">
        <v>74</v>
      </c>
      <c r="BI376" t="s">
        <v>74</v>
      </c>
      <c r="BJ376" t="s">
        <v>74</v>
      </c>
      <c r="BK376" t="s">
        <v>74</v>
      </c>
      <c r="BL376" t="s">
        <v>74</v>
      </c>
      <c r="BM376" t="s">
        <v>74</v>
      </c>
      <c r="BN376" t="s">
        <v>74</v>
      </c>
      <c r="BO376" t="s">
        <v>74</v>
      </c>
      <c r="BP376" t="s">
        <v>74</v>
      </c>
      <c r="BQ376" t="s">
        <v>74</v>
      </c>
      <c r="BR376" t="s">
        <v>74</v>
      </c>
      <c r="BS376" t="s">
        <v>8331</v>
      </c>
      <c r="BT376" t="str">
        <f>HYPERLINK("https%3A%2F%2Fwww.webofscience.com%2Fwos%2Fwoscc%2Ffull-record%2FWOS:000324302400012","View Full Record in Web of Science")</f>
        <v>View Full Record in Web of Science</v>
      </c>
    </row>
    <row r="377" spans="1:72" x14ac:dyDescent="0.4">
      <c r="A377" t="s">
        <v>72</v>
      </c>
      <c r="B377" t="s">
        <v>7777</v>
      </c>
      <c r="C377" t="s">
        <v>74</v>
      </c>
      <c r="D377" t="s">
        <v>74</v>
      </c>
      <c r="E377" t="s">
        <v>74</v>
      </c>
      <c r="F377" t="s">
        <v>7777</v>
      </c>
      <c r="G377" t="s">
        <v>74</v>
      </c>
      <c r="H377" t="s">
        <v>74</v>
      </c>
      <c r="I377" t="s">
        <v>7778</v>
      </c>
      <c r="J377" t="s">
        <v>129</v>
      </c>
      <c r="K377" t="s">
        <v>74</v>
      </c>
      <c r="L377" t="s">
        <v>74</v>
      </c>
      <c r="M377" t="s">
        <v>74</v>
      </c>
      <c r="N377" t="s">
        <v>74</v>
      </c>
      <c r="O377" t="s">
        <v>74</v>
      </c>
      <c r="P377" t="s">
        <v>74</v>
      </c>
      <c r="Q377" t="s">
        <v>74</v>
      </c>
      <c r="R377" t="s">
        <v>74</v>
      </c>
      <c r="S377" t="s">
        <v>74</v>
      </c>
      <c r="T377" t="s">
        <v>74</v>
      </c>
      <c r="U377" t="s">
        <v>74</v>
      </c>
      <c r="V377" s="3" t="s">
        <v>7779</v>
      </c>
      <c r="W377" t="s">
        <v>74</v>
      </c>
      <c r="X377" t="s">
        <v>74</v>
      </c>
      <c r="Y377" t="s">
        <v>74</v>
      </c>
      <c r="Z377" t="s">
        <v>74</v>
      </c>
      <c r="AA377" t="s">
        <v>7780</v>
      </c>
      <c r="AB377" t="s">
        <v>7781</v>
      </c>
      <c r="AC377" t="s">
        <v>74</v>
      </c>
      <c r="AD377" t="s">
        <v>74</v>
      </c>
      <c r="AE377" t="s">
        <v>74</v>
      </c>
      <c r="AF377" t="s">
        <v>74</v>
      </c>
      <c r="AG377" t="s">
        <v>74</v>
      </c>
      <c r="AH377" t="s">
        <v>74</v>
      </c>
      <c r="AI377" t="s">
        <v>74</v>
      </c>
      <c r="AJ377" t="s">
        <v>74</v>
      </c>
      <c r="AK377" t="s">
        <v>74</v>
      </c>
      <c r="AL377" t="s">
        <v>74</v>
      </c>
      <c r="AM377" t="s">
        <v>74</v>
      </c>
      <c r="AN377" t="s">
        <v>74</v>
      </c>
      <c r="AO377" t="s">
        <v>132</v>
      </c>
      <c r="AP377" t="s">
        <v>74</v>
      </c>
      <c r="AQ377" t="s">
        <v>74</v>
      </c>
      <c r="AR377" t="s">
        <v>74</v>
      </c>
      <c r="AS377" t="s">
        <v>74</v>
      </c>
      <c r="AT377" t="s">
        <v>123</v>
      </c>
      <c r="AU377">
        <v>1994</v>
      </c>
      <c r="AV377">
        <v>34</v>
      </c>
      <c r="AW377">
        <v>3</v>
      </c>
      <c r="AX377" t="s">
        <v>74</v>
      </c>
      <c r="AY377" t="s">
        <v>74</v>
      </c>
      <c r="AZ377" t="s">
        <v>74</v>
      </c>
      <c r="BA377" t="s">
        <v>74</v>
      </c>
      <c r="BB377">
        <v>203</v>
      </c>
      <c r="BC377">
        <v>210</v>
      </c>
      <c r="BD377" t="s">
        <v>74</v>
      </c>
      <c r="BE377" t="s">
        <v>7782</v>
      </c>
      <c r="BF377" t="str">
        <f>HYPERLINK("http://dx.doi.org/10.1007/s002650050034","http://dx.doi.org/10.1007/s002650050034")</f>
        <v>http://dx.doi.org/10.1007/s002650050034</v>
      </c>
      <c r="BG377" t="s">
        <v>74</v>
      </c>
      <c r="BH377" t="s">
        <v>74</v>
      </c>
      <c r="BI377" t="s">
        <v>74</v>
      </c>
      <c r="BJ377" t="s">
        <v>74</v>
      </c>
      <c r="BK377" t="s">
        <v>74</v>
      </c>
      <c r="BL377" t="s">
        <v>74</v>
      </c>
      <c r="BM377" t="s">
        <v>74</v>
      </c>
      <c r="BN377" t="s">
        <v>74</v>
      </c>
      <c r="BO377" t="s">
        <v>74</v>
      </c>
      <c r="BP377" t="s">
        <v>74</v>
      </c>
      <c r="BQ377" t="s">
        <v>74</v>
      </c>
      <c r="BR377" t="s">
        <v>74</v>
      </c>
      <c r="BS377" t="s">
        <v>7783</v>
      </c>
      <c r="BT377" t="str">
        <f>HYPERLINK("https%3A%2F%2Fwww.webofscience.com%2Fwos%2Fwoscc%2Ffull-record%2FWOS:A1994NG04500006","View Full Record in Web of Science")</f>
        <v>View Full Record in Web of Science</v>
      </c>
    </row>
    <row r="378" spans="1:72" x14ac:dyDescent="0.4">
      <c r="A378" t="s">
        <v>72</v>
      </c>
      <c r="B378" t="s">
        <v>5575</v>
      </c>
      <c r="C378" t="s">
        <v>74</v>
      </c>
      <c r="D378" t="s">
        <v>74</v>
      </c>
      <c r="E378" t="s">
        <v>74</v>
      </c>
      <c r="F378" t="s">
        <v>5575</v>
      </c>
      <c r="G378" t="s">
        <v>74</v>
      </c>
      <c r="H378" t="s">
        <v>74</v>
      </c>
      <c r="I378" t="s">
        <v>5576</v>
      </c>
      <c r="J378" t="s">
        <v>5577</v>
      </c>
      <c r="K378" t="s">
        <v>74</v>
      </c>
      <c r="L378" t="s">
        <v>74</v>
      </c>
      <c r="M378" t="s">
        <v>74</v>
      </c>
      <c r="N378" t="s">
        <v>74</v>
      </c>
      <c r="O378" t="s">
        <v>74</v>
      </c>
      <c r="P378" t="s">
        <v>74</v>
      </c>
      <c r="Q378" t="s">
        <v>74</v>
      </c>
      <c r="R378" t="s">
        <v>74</v>
      </c>
      <c r="S378" t="s">
        <v>74</v>
      </c>
      <c r="T378" t="s">
        <v>74</v>
      </c>
      <c r="U378" t="s">
        <v>74</v>
      </c>
      <c r="V378" s="3" t="s">
        <v>5578</v>
      </c>
      <c r="W378" t="s">
        <v>74</v>
      </c>
      <c r="X378" t="s">
        <v>74</v>
      </c>
      <c r="Y378" t="s">
        <v>74</v>
      </c>
      <c r="Z378" t="s">
        <v>74</v>
      </c>
      <c r="AA378" t="s">
        <v>74</v>
      </c>
      <c r="AB378" t="s">
        <v>74</v>
      </c>
      <c r="AC378" t="s">
        <v>74</v>
      </c>
      <c r="AD378" t="s">
        <v>74</v>
      </c>
      <c r="AE378" t="s">
        <v>74</v>
      </c>
      <c r="AF378" t="s">
        <v>74</v>
      </c>
      <c r="AG378" t="s">
        <v>74</v>
      </c>
      <c r="AH378" t="s">
        <v>74</v>
      </c>
      <c r="AI378" t="s">
        <v>74</v>
      </c>
      <c r="AJ378" t="s">
        <v>74</v>
      </c>
      <c r="AK378" t="s">
        <v>74</v>
      </c>
      <c r="AL378" t="s">
        <v>74</v>
      </c>
      <c r="AM378" t="s">
        <v>74</v>
      </c>
      <c r="AN378" t="s">
        <v>74</v>
      </c>
      <c r="AO378" t="s">
        <v>5579</v>
      </c>
      <c r="AP378" t="s">
        <v>74</v>
      </c>
      <c r="AQ378" t="s">
        <v>74</v>
      </c>
      <c r="AR378" t="s">
        <v>74</v>
      </c>
      <c r="AS378" t="s">
        <v>74</v>
      </c>
      <c r="AT378" t="s">
        <v>123</v>
      </c>
      <c r="AU378">
        <v>1989</v>
      </c>
      <c r="AV378">
        <v>68</v>
      </c>
      <c r="AW378">
        <v>3</v>
      </c>
      <c r="AX378" t="s">
        <v>74</v>
      </c>
      <c r="AY378" t="s">
        <v>74</v>
      </c>
      <c r="AZ378" t="s">
        <v>74</v>
      </c>
      <c r="BA378" t="s">
        <v>74</v>
      </c>
      <c r="BB378">
        <v>67</v>
      </c>
      <c r="BC378">
        <v>76</v>
      </c>
      <c r="BD378" t="s">
        <v>74</v>
      </c>
      <c r="BE378" t="s">
        <v>74</v>
      </c>
      <c r="BF378" t="s">
        <v>74</v>
      </c>
      <c r="BG378" t="s">
        <v>74</v>
      </c>
      <c r="BH378" t="s">
        <v>74</v>
      </c>
      <c r="BI378" t="s">
        <v>74</v>
      </c>
      <c r="BJ378" t="s">
        <v>74</v>
      </c>
      <c r="BK378" t="s">
        <v>74</v>
      </c>
      <c r="BL378" t="s">
        <v>74</v>
      </c>
      <c r="BM378" t="s">
        <v>74</v>
      </c>
      <c r="BN378" t="s">
        <v>74</v>
      </c>
      <c r="BO378" t="s">
        <v>74</v>
      </c>
      <c r="BP378" t="s">
        <v>74</v>
      </c>
      <c r="BQ378" t="s">
        <v>74</v>
      </c>
      <c r="BR378" t="s">
        <v>74</v>
      </c>
      <c r="BS378" t="s">
        <v>5580</v>
      </c>
      <c r="BT378" t="str">
        <f>HYPERLINK("https%3A%2F%2Fwww.webofscience.com%2Fwos%2Fwoscc%2Ffull-record%2FWOS:A1989U136200008","View Full Record in Web of Science")</f>
        <v>View Full Record in Web of Science</v>
      </c>
    </row>
    <row r="379" spans="1:72" x14ac:dyDescent="0.4">
      <c r="A379" t="s">
        <v>72</v>
      </c>
      <c r="B379" t="s">
        <v>6932</v>
      </c>
      <c r="C379" t="s">
        <v>74</v>
      </c>
      <c r="D379" t="s">
        <v>74</v>
      </c>
      <c r="E379" t="s">
        <v>74</v>
      </c>
      <c r="F379" t="s">
        <v>6933</v>
      </c>
      <c r="G379" t="s">
        <v>74</v>
      </c>
      <c r="H379" t="s">
        <v>74</v>
      </c>
      <c r="I379" t="s">
        <v>6934</v>
      </c>
      <c r="J379" t="s">
        <v>129</v>
      </c>
      <c r="K379" t="s">
        <v>74</v>
      </c>
      <c r="L379" t="s">
        <v>74</v>
      </c>
      <c r="M379" t="s">
        <v>74</v>
      </c>
      <c r="N379" t="s">
        <v>74</v>
      </c>
      <c r="O379" t="s">
        <v>74</v>
      </c>
      <c r="P379" t="s">
        <v>74</v>
      </c>
      <c r="Q379" t="s">
        <v>74</v>
      </c>
      <c r="R379" t="s">
        <v>74</v>
      </c>
      <c r="S379" t="s">
        <v>74</v>
      </c>
      <c r="T379" t="s">
        <v>74</v>
      </c>
      <c r="U379" t="s">
        <v>74</v>
      </c>
      <c r="V379" s="3" t="s">
        <v>6935</v>
      </c>
      <c r="W379" t="s">
        <v>74</v>
      </c>
      <c r="X379" t="s">
        <v>74</v>
      </c>
      <c r="Y379" t="s">
        <v>74</v>
      </c>
      <c r="Z379" t="s">
        <v>74</v>
      </c>
      <c r="AA379" t="s">
        <v>6936</v>
      </c>
      <c r="AB379" t="s">
        <v>6937</v>
      </c>
      <c r="AC379" t="s">
        <v>74</v>
      </c>
      <c r="AD379" t="s">
        <v>74</v>
      </c>
      <c r="AE379" t="s">
        <v>74</v>
      </c>
      <c r="AF379" t="s">
        <v>74</v>
      </c>
      <c r="AG379" t="s">
        <v>74</v>
      </c>
      <c r="AH379" t="s">
        <v>74</v>
      </c>
      <c r="AI379" t="s">
        <v>74</v>
      </c>
      <c r="AJ379" t="s">
        <v>74</v>
      </c>
      <c r="AK379" t="s">
        <v>74</v>
      </c>
      <c r="AL379" t="s">
        <v>74</v>
      </c>
      <c r="AM379" t="s">
        <v>74</v>
      </c>
      <c r="AN379" t="s">
        <v>74</v>
      </c>
      <c r="AO379" t="s">
        <v>132</v>
      </c>
      <c r="AP379" t="s">
        <v>133</v>
      </c>
      <c r="AQ379" t="s">
        <v>74</v>
      </c>
      <c r="AR379" t="s">
        <v>74</v>
      </c>
      <c r="AS379" t="s">
        <v>74</v>
      </c>
      <c r="AT379" t="s">
        <v>255</v>
      </c>
      <c r="AU379">
        <v>2022</v>
      </c>
      <c r="AV379">
        <v>76</v>
      </c>
      <c r="AW379">
        <v>1</v>
      </c>
      <c r="AX379" t="s">
        <v>74</v>
      </c>
      <c r="AY379" t="s">
        <v>74</v>
      </c>
      <c r="AZ379" t="s">
        <v>74</v>
      </c>
      <c r="BA379" t="s">
        <v>74</v>
      </c>
      <c r="BB379" t="s">
        <v>74</v>
      </c>
      <c r="BC379" t="s">
        <v>74</v>
      </c>
      <c r="BD379">
        <v>5</v>
      </c>
      <c r="BE379" t="s">
        <v>6938</v>
      </c>
      <c r="BF379" t="str">
        <f>HYPERLINK("http://dx.doi.org/10.1007/s00265-021-03122-0","http://dx.doi.org/10.1007/s00265-021-03122-0")</f>
        <v>http://dx.doi.org/10.1007/s00265-021-03122-0</v>
      </c>
      <c r="BG379" t="s">
        <v>74</v>
      </c>
      <c r="BH379" t="s">
        <v>74</v>
      </c>
      <c r="BI379" t="s">
        <v>74</v>
      </c>
      <c r="BJ379" t="s">
        <v>74</v>
      </c>
      <c r="BK379" t="s">
        <v>74</v>
      </c>
      <c r="BL379" t="s">
        <v>74</v>
      </c>
      <c r="BM379" t="s">
        <v>74</v>
      </c>
      <c r="BN379" t="s">
        <v>74</v>
      </c>
      <c r="BO379" t="s">
        <v>74</v>
      </c>
      <c r="BP379" t="s">
        <v>74</v>
      </c>
      <c r="BQ379" t="s">
        <v>74</v>
      </c>
      <c r="BR379" t="s">
        <v>74</v>
      </c>
      <c r="BS379" t="s">
        <v>6939</v>
      </c>
      <c r="BT379" t="str">
        <f>HYPERLINK("https%3A%2F%2Fwww.webofscience.com%2Fwos%2Fwoscc%2Ffull-record%2FWOS:000736712500001","View Full Record in Web of Science")</f>
        <v>View Full Record in Web of Science</v>
      </c>
    </row>
    <row r="380" spans="1:72" x14ac:dyDescent="0.4">
      <c r="A380" t="s">
        <v>72</v>
      </c>
      <c r="B380" t="s">
        <v>2507</v>
      </c>
      <c r="C380" t="s">
        <v>74</v>
      </c>
      <c r="D380" t="s">
        <v>74</v>
      </c>
      <c r="E380" t="s">
        <v>74</v>
      </c>
      <c r="F380" t="s">
        <v>2508</v>
      </c>
      <c r="G380" t="s">
        <v>74</v>
      </c>
      <c r="H380" t="s">
        <v>74</v>
      </c>
      <c r="I380" t="s">
        <v>2509</v>
      </c>
      <c r="J380" t="s">
        <v>509</v>
      </c>
      <c r="K380" t="s">
        <v>74</v>
      </c>
      <c r="L380" t="s">
        <v>74</v>
      </c>
      <c r="M380" t="s">
        <v>74</v>
      </c>
      <c r="N380" t="s">
        <v>74</v>
      </c>
      <c r="O380" t="s">
        <v>74</v>
      </c>
      <c r="P380" t="s">
        <v>74</v>
      </c>
      <c r="Q380" t="s">
        <v>74</v>
      </c>
      <c r="R380" t="s">
        <v>74</v>
      </c>
      <c r="S380" t="s">
        <v>74</v>
      </c>
      <c r="T380" t="s">
        <v>74</v>
      </c>
      <c r="U380" t="s">
        <v>74</v>
      </c>
      <c r="V380" s="3" t="s">
        <v>2510</v>
      </c>
      <c r="W380" t="s">
        <v>74</v>
      </c>
      <c r="X380" t="s">
        <v>74</v>
      </c>
      <c r="Y380" t="s">
        <v>74</v>
      </c>
      <c r="Z380" t="s">
        <v>74</v>
      </c>
      <c r="AA380" t="s">
        <v>2511</v>
      </c>
      <c r="AB380" t="s">
        <v>2512</v>
      </c>
      <c r="AC380" t="s">
        <v>74</v>
      </c>
      <c r="AD380" t="s">
        <v>74</v>
      </c>
      <c r="AE380" t="s">
        <v>74</v>
      </c>
      <c r="AF380" t="s">
        <v>74</v>
      </c>
      <c r="AG380" t="s">
        <v>74</v>
      </c>
      <c r="AH380" t="s">
        <v>74</v>
      </c>
      <c r="AI380" t="s">
        <v>74</v>
      </c>
      <c r="AJ380" t="s">
        <v>74</v>
      </c>
      <c r="AK380" t="s">
        <v>74</v>
      </c>
      <c r="AL380" t="s">
        <v>74</v>
      </c>
      <c r="AM380" t="s">
        <v>74</v>
      </c>
      <c r="AN380" t="s">
        <v>74</v>
      </c>
      <c r="AO380" t="s">
        <v>511</v>
      </c>
      <c r="AP380" t="s">
        <v>512</v>
      </c>
      <c r="AQ380" t="s">
        <v>74</v>
      </c>
      <c r="AR380" t="s">
        <v>74</v>
      </c>
      <c r="AS380" t="s">
        <v>74</v>
      </c>
      <c r="AT380" t="s">
        <v>204</v>
      </c>
      <c r="AU380">
        <v>2018</v>
      </c>
      <c r="AV380">
        <v>103</v>
      </c>
      <c r="AW380" t="s">
        <v>74</v>
      </c>
      <c r="AX380" t="s">
        <v>74</v>
      </c>
      <c r="AY380" t="s">
        <v>74</v>
      </c>
      <c r="AZ380" t="s">
        <v>74</v>
      </c>
      <c r="BA380" t="s">
        <v>74</v>
      </c>
      <c r="BB380">
        <v>28</v>
      </c>
      <c r="BC380">
        <v>35</v>
      </c>
      <c r="BD380" t="s">
        <v>74</v>
      </c>
      <c r="BE380" t="s">
        <v>2513</v>
      </c>
      <c r="BF380" t="str">
        <f>HYPERLINK("http://dx.doi.org/10.1016/j.yhbeh.2018.05.015","http://dx.doi.org/10.1016/j.yhbeh.2018.05.015")</f>
        <v>http://dx.doi.org/10.1016/j.yhbeh.2018.05.015</v>
      </c>
      <c r="BG380" t="s">
        <v>74</v>
      </c>
      <c r="BH380" t="s">
        <v>74</v>
      </c>
      <c r="BI380" t="s">
        <v>74</v>
      </c>
      <c r="BJ380" t="s">
        <v>74</v>
      </c>
      <c r="BK380" t="s">
        <v>74</v>
      </c>
      <c r="BL380" t="s">
        <v>74</v>
      </c>
      <c r="BM380" t="s">
        <v>74</v>
      </c>
      <c r="BN380">
        <v>29807035</v>
      </c>
      <c r="BO380" t="s">
        <v>74</v>
      </c>
      <c r="BP380" t="s">
        <v>74</v>
      </c>
      <c r="BQ380" t="s">
        <v>74</v>
      </c>
      <c r="BR380" t="s">
        <v>74</v>
      </c>
      <c r="BS380" t="s">
        <v>2514</v>
      </c>
      <c r="BT380" t="str">
        <f>HYPERLINK("https%3A%2F%2Fwww.webofscience.com%2Fwos%2Fwoscc%2Ffull-record%2FWOS:000441368400004","View Full Record in Web of Science")</f>
        <v>View Full Record in Web of Science</v>
      </c>
    </row>
    <row r="381" spans="1:72" x14ac:dyDescent="0.4">
      <c r="A381" t="s">
        <v>72</v>
      </c>
      <c r="B381" t="s">
        <v>5095</v>
      </c>
      <c r="C381" t="s">
        <v>74</v>
      </c>
      <c r="D381" t="s">
        <v>74</v>
      </c>
      <c r="E381" t="s">
        <v>74</v>
      </c>
      <c r="F381" t="s">
        <v>5096</v>
      </c>
      <c r="G381" t="s">
        <v>74</v>
      </c>
      <c r="H381" t="s">
        <v>74</v>
      </c>
      <c r="I381" t="s">
        <v>5097</v>
      </c>
      <c r="J381" t="s">
        <v>333</v>
      </c>
      <c r="K381" t="s">
        <v>74</v>
      </c>
      <c r="L381" t="s">
        <v>74</v>
      </c>
      <c r="M381" t="s">
        <v>74</v>
      </c>
      <c r="N381" t="s">
        <v>74</v>
      </c>
      <c r="O381" t="s">
        <v>74</v>
      </c>
      <c r="P381" t="s">
        <v>74</v>
      </c>
      <c r="Q381" t="s">
        <v>74</v>
      </c>
      <c r="R381" t="s">
        <v>74</v>
      </c>
      <c r="S381" t="s">
        <v>74</v>
      </c>
      <c r="T381" t="s">
        <v>74</v>
      </c>
      <c r="U381" t="s">
        <v>74</v>
      </c>
      <c r="V381" s="3" t="s">
        <v>5098</v>
      </c>
      <c r="W381" t="s">
        <v>74</v>
      </c>
      <c r="X381" t="s">
        <v>74</v>
      </c>
      <c r="Y381" t="s">
        <v>74</v>
      </c>
      <c r="Z381" t="s">
        <v>74</v>
      </c>
      <c r="AA381" t="s">
        <v>2511</v>
      </c>
      <c r="AB381" t="s">
        <v>5099</v>
      </c>
      <c r="AC381" t="s">
        <v>74</v>
      </c>
      <c r="AD381" t="s">
        <v>74</v>
      </c>
      <c r="AE381" t="s">
        <v>74</v>
      </c>
      <c r="AF381" t="s">
        <v>74</v>
      </c>
      <c r="AG381" t="s">
        <v>74</v>
      </c>
      <c r="AH381" t="s">
        <v>74</v>
      </c>
      <c r="AI381" t="s">
        <v>74</v>
      </c>
      <c r="AJ381" t="s">
        <v>74</v>
      </c>
      <c r="AK381" t="s">
        <v>74</v>
      </c>
      <c r="AL381" t="s">
        <v>74</v>
      </c>
      <c r="AM381" t="s">
        <v>74</v>
      </c>
      <c r="AN381" t="s">
        <v>74</v>
      </c>
      <c r="AO381" t="s">
        <v>337</v>
      </c>
      <c r="AP381" t="s">
        <v>338</v>
      </c>
      <c r="AQ381" t="s">
        <v>74</v>
      </c>
      <c r="AR381" t="s">
        <v>74</v>
      </c>
      <c r="AS381" t="s">
        <v>74</v>
      </c>
      <c r="AT381" t="s">
        <v>5100</v>
      </c>
      <c r="AU381">
        <v>2022</v>
      </c>
      <c r="AV381">
        <v>33</v>
      </c>
      <c r="AW381">
        <v>1</v>
      </c>
      <c r="AX381" t="s">
        <v>74</v>
      </c>
      <c r="AY381" t="s">
        <v>74</v>
      </c>
      <c r="AZ381" t="s">
        <v>74</v>
      </c>
      <c r="BA381" t="s">
        <v>74</v>
      </c>
      <c r="BB381">
        <v>233</v>
      </c>
      <c r="BC381">
        <v>244</v>
      </c>
      <c r="BD381" t="s">
        <v>5101</v>
      </c>
      <c r="BE381" t="s">
        <v>5102</v>
      </c>
      <c r="BF381" t="str">
        <f>HYPERLINK("http://dx.doi.org/10.1093/beheco/arab129","http://dx.doi.org/10.1093/beheco/arab129")</f>
        <v>http://dx.doi.org/10.1093/beheco/arab129</v>
      </c>
      <c r="BG381" t="s">
        <v>74</v>
      </c>
      <c r="BH381" t="s">
        <v>5103</v>
      </c>
      <c r="BI381" t="s">
        <v>74</v>
      </c>
      <c r="BJ381" t="s">
        <v>74</v>
      </c>
      <c r="BK381" t="s">
        <v>74</v>
      </c>
      <c r="BL381" t="s">
        <v>74</v>
      </c>
      <c r="BM381" t="s">
        <v>74</v>
      </c>
      <c r="BN381">
        <v>35210941</v>
      </c>
      <c r="BO381" t="s">
        <v>74</v>
      </c>
      <c r="BP381" t="s">
        <v>74</v>
      </c>
      <c r="BQ381" t="s">
        <v>74</v>
      </c>
      <c r="BR381" t="s">
        <v>74</v>
      </c>
      <c r="BS381" t="s">
        <v>5104</v>
      </c>
      <c r="BT381" t="str">
        <f>HYPERLINK("https%3A%2F%2Fwww.webofscience.com%2Fwos%2Fwoscc%2Ffull-record%2FWOS:000757960400024","View Full Record in Web of Science")</f>
        <v>View Full Record in Web of Science</v>
      </c>
    </row>
    <row r="382" spans="1:72" x14ac:dyDescent="0.4">
      <c r="A382" t="s">
        <v>72</v>
      </c>
      <c r="B382" t="s">
        <v>7619</v>
      </c>
      <c r="C382" t="s">
        <v>74</v>
      </c>
      <c r="D382" t="s">
        <v>74</v>
      </c>
      <c r="E382" t="s">
        <v>74</v>
      </c>
      <c r="F382" t="s">
        <v>7620</v>
      </c>
      <c r="G382" t="s">
        <v>74</v>
      </c>
      <c r="H382" t="s">
        <v>74</v>
      </c>
      <c r="I382" t="s">
        <v>7621</v>
      </c>
      <c r="J382" t="s">
        <v>7622</v>
      </c>
      <c r="K382" t="s">
        <v>74</v>
      </c>
      <c r="L382" t="s">
        <v>74</v>
      </c>
      <c r="M382" t="s">
        <v>74</v>
      </c>
      <c r="N382" t="s">
        <v>74</v>
      </c>
      <c r="O382" t="s">
        <v>74</v>
      </c>
      <c r="P382" t="s">
        <v>74</v>
      </c>
      <c r="Q382" t="s">
        <v>74</v>
      </c>
      <c r="R382" t="s">
        <v>74</v>
      </c>
      <c r="S382" t="s">
        <v>74</v>
      </c>
      <c r="T382" t="s">
        <v>74</v>
      </c>
      <c r="U382" t="s">
        <v>74</v>
      </c>
      <c r="V382" s="3" t="s">
        <v>7623</v>
      </c>
      <c r="W382" t="s">
        <v>74</v>
      </c>
      <c r="X382" t="s">
        <v>74</v>
      </c>
      <c r="Y382" t="s">
        <v>74</v>
      </c>
      <c r="Z382" t="s">
        <v>74</v>
      </c>
      <c r="AA382" t="s">
        <v>74</v>
      </c>
      <c r="AB382" t="s">
        <v>74</v>
      </c>
      <c r="AC382" t="s">
        <v>74</v>
      </c>
      <c r="AD382" t="s">
        <v>74</v>
      </c>
      <c r="AE382" t="s">
        <v>74</v>
      </c>
      <c r="AF382" t="s">
        <v>74</v>
      </c>
      <c r="AG382" t="s">
        <v>74</v>
      </c>
      <c r="AH382" t="s">
        <v>74</v>
      </c>
      <c r="AI382" t="s">
        <v>74</v>
      </c>
      <c r="AJ382" t="s">
        <v>74</v>
      </c>
      <c r="AK382" t="s">
        <v>74</v>
      </c>
      <c r="AL382" t="s">
        <v>74</v>
      </c>
      <c r="AM382" t="s">
        <v>74</v>
      </c>
      <c r="AN382" t="s">
        <v>74</v>
      </c>
      <c r="AO382" t="s">
        <v>7624</v>
      </c>
      <c r="AP382" t="s">
        <v>74</v>
      </c>
      <c r="AQ382" t="s">
        <v>74</v>
      </c>
      <c r="AR382" t="s">
        <v>74</v>
      </c>
      <c r="AS382" t="s">
        <v>74</v>
      </c>
      <c r="AT382" t="s">
        <v>305</v>
      </c>
      <c r="AU382">
        <v>2007</v>
      </c>
      <c r="AV382">
        <v>36</v>
      </c>
      <c r="AW382">
        <v>6</v>
      </c>
      <c r="AX382" t="s">
        <v>74</v>
      </c>
      <c r="AY382" t="s">
        <v>74</v>
      </c>
      <c r="AZ382" t="s">
        <v>74</v>
      </c>
      <c r="BA382" t="s">
        <v>74</v>
      </c>
      <c r="BB382">
        <v>348</v>
      </c>
      <c r="BC382">
        <v>354</v>
      </c>
      <c r="BD382" t="s">
        <v>74</v>
      </c>
      <c r="BE382" t="s">
        <v>7625</v>
      </c>
      <c r="BF382" t="str">
        <f>HYPERLINK("http://dx.doi.org/10.1111/j.1600-0684.2007.00227.x","http://dx.doi.org/10.1111/j.1600-0684.2007.00227.x")</f>
        <v>http://dx.doi.org/10.1111/j.1600-0684.2007.00227.x</v>
      </c>
      <c r="BG382" t="s">
        <v>74</v>
      </c>
      <c r="BH382" t="s">
        <v>74</v>
      </c>
      <c r="BI382" t="s">
        <v>74</v>
      </c>
      <c r="BJ382" t="s">
        <v>74</v>
      </c>
      <c r="BK382" t="s">
        <v>74</v>
      </c>
      <c r="BL382" t="s">
        <v>74</v>
      </c>
      <c r="BM382" t="s">
        <v>74</v>
      </c>
      <c r="BN382">
        <v>17976039</v>
      </c>
      <c r="BO382" t="s">
        <v>74</v>
      </c>
      <c r="BP382" t="s">
        <v>74</v>
      </c>
      <c r="BQ382" t="s">
        <v>74</v>
      </c>
      <c r="BR382" t="s">
        <v>74</v>
      </c>
      <c r="BS382" t="s">
        <v>7626</v>
      </c>
      <c r="BT382" t="str">
        <f>HYPERLINK("https%3A%2F%2Fwww.webofscience.com%2Fwos%2Fwoscc%2Ffull-record%2FWOS:000250553200003","View Full Record in Web of Science")</f>
        <v>View Full Record in Web of Science</v>
      </c>
    </row>
    <row r="383" spans="1:72" x14ac:dyDescent="0.4">
      <c r="A383" t="s">
        <v>72</v>
      </c>
      <c r="B383" t="s">
        <v>207</v>
      </c>
      <c r="C383" t="s">
        <v>74</v>
      </c>
      <c r="D383" t="s">
        <v>74</v>
      </c>
      <c r="E383" t="s">
        <v>74</v>
      </c>
      <c r="F383" t="s">
        <v>208</v>
      </c>
      <c r="G383" t="s">
        <v>74</v>
      </c>
      <c r="H383" t="s">
        <v>74</v>
      </c>
      <c r="I383" t="s">
        <v>209</v>
      </c>
      <c r="J383" t="s">
        <v>210</v>
      </c>
      <c r="K383" t="s">
        <v>74</v>
      </c>
      <c r="L383" t="s">
        <v>74</v>
      </c>
      <c r="M383" t="s">
        <v>74</v>
      </c>
      <c r="N383" t="s">
        <v>74</v>
      </c>
      <c r="O383" t="s">
        <v>74</v>
      </c>
      <c r="P383" t="s">
        <v>74</v>
      </c>
      <c r="Q383" t="s">
        <v>74</v>
      </c>
      <c r="R383" t="s">
        <v>74</v>
      </c>
      <c r="S383" t="s">
        <v>74</v>
      </c>
      <c r="T383" t="s">
        <v>74</v>
      </c>
      <c r="U383" t="s">
        <v>74</v>
      </c>
      <c r="V383" s="3" t="s">
        <v>211</v>
      </c>
      <c r="W383" t="s">
        <v>74</v>
      </c>
      <c r="X383" t="s">
        <v>74</v>
      </c>
      <c r="Y383" t="s">
        <v>74</v>
      </c>
      <c r="Z383" t="s">
        <v>74</v>
      </c>
      <c r="AA383" t="s">
        <v>74</v>
      </c>
      <c r="AB383" t="s">
        <v>74</v>
      </c>
      <c r="AC383" t="s">
        <v>74</v>
      </c>
      <c r="AD383" t="s">
        <v>74</v>
      </c>
      <c r="AE383" t="s">
        <v>74</v>
      </c>
      <c r="AF383" t="s">
        <v>74</v>
      </c>
      <c r="AG383" t="s">
        <v>74</v>
      </c>
      <c r="AH383" t="s">
        <v>74</v>
      </c>
      <c r="AI383" t="s">
        <v>74</v>
      </c>
      <c r="AJ383" t="s">
        <v>74</v>
      </c>
      <c r="AK383" t="s">
        <v>74</v>
      </c>
      <c r="AL383" t="s">
        <v>74</v>
      </c>
      <c r="AM383" t="s">
        <v>74</v>
      </c>
      <c r="AN383" t="s">
        <v>74</v>
      </c>
      <c r="AO383" t="s">
        <v>212</v>
      </c>
      <c r="AP383" t="s">
        <v>74</v>
      </c>
      <c r="AQ383" t="s">
        <v>74</v>
      </c>
      <c r="AR383" t="s">
        <v>74</v>
      </c>
      <c r="AS383" t="s">
        <v>74</v>
      </c>
      <c r="AT383" t="s">
        <v>213</v>
      </c>
      <c r="AU383">
        <v>2006</v>
      </c>
      <c r="AV383">
        <v>15</v>
      </c>
      <c r="AW383">
        <v>4</v>
      </c>
      <c r="AX383" t="s">
        <v>74</v>
      </c>
      <c r="AY383" t="s">
        <v>74</v>
      </c>
      <c r="AZ383" t="s">
        <v>74</v>
      </c>
      <c r="BA383" t="s">
        <v>74</v>
      </c>
      <c r="BB383">
        <v>363</v>
      </c>
      <c r="BC383">
        <v>369</v>
      </c>
      <c r="BD383" t="s">
        <v>74</v>
      </c>
      <c r="BE383" t="s">
        <v>74</v>
      </c>
      <c r="BF383" t="s">
        <v>74</v>
      </c>
      <c r="BG383" t="s">
        <v>74</v>
      </c>
      <c r="BH383" t="s">
        <v>74</v>
      </c>
      <c r="BI383" t="s">
        <v>74</v>
      </c>
      <c r="BJ383" t="s">
        <v>74</v>
      </c>
      <c r="BK383" t="s">
        <v>74</v>
      </c>
      <c r="BL383" t="s">
        <v>74</v>
      </c>
      <c r="BM383" t="s">
        <v>74</v>
      </c>
      <c r="BN383" t="s">
        <v>74</v>
      </c>
      <c r="BO383" t="s">
        <v>74</v>
      </c>
      <c r="BP383" t="s">
        <v>74</v>
      </c>
      <c r="BQ383" t="s">
        <v>74</v>
      </c>
      <c r="BR383" t="s">
        <v>74</v>
      </c>
      <c r="BS383" t="s">
        <v>214</v>
      </c>
      <c r="BT383" t="str">
        <f>HYPERLINK("https%3A%2F%2Fwww.webofscience.com%2Fwos%2Fwoscc%2Ffull-record%2FWOS:000241770100007","View Full Record in Web of Science")</f>
        <v>View Full Record in Web of Science</v>
      </c>
    </row>
    <row r="384" spans="1:72" x14ac:dyDescent="0.4">
      <c r="A384" t="s">
        <v>72</v>
      </c>
      <c r="B384" t="s">
        <v>3316</v>
      </c>
      <c r="C384" t="s">
        <v>74</v>
      </c>
      <c r="D384" t="s">
        <v>74</v>
      </c>
      <c r="E384" t="s">
        <v>74</v>
      </c>
      <c r="F384" t="s">
        <v>3317</v>
      </c>
      <c r="G384" t="s">
        <v>74</v>
      </c>
      <c r="H384" t="s">
        <v>74</v>
      </c>
      <c r="I384" t="s">
        <v>3318</v>
      </c>
      <c r="J384" t="s">
        <v>119</v>
      </c>
      <c r="K384" t="s">
        <v>74</v>
      </c>
      <c r="L384" t="s">
        <v>74</v>
      </c>
      <c r="M384" t="s">
        <v>74</v>
      </c>
      <c r="N384" t="s">
        <v>74</v>
      </c>
      <c r="O384" t="s">
        <v>74</v>
      </c>
      <c r="P384" t="s">
        <v>74</v>
      </c>
      <c r="Q384" t="s">
        <v>74</v>
      </c>
      <c r="R384" t="s">
        <v>74</v>
      </c>
      <c r="S384" t="s">
        <v>74</v>
      </c>
      <c r="T384" t="s">
        <v>74</v>
      </c>
      <c r="U384" t="s">
        <v>74</v>
      </c>
      <c r="V384" s="3" t="s">
        <v>3319</v>
      </c>
      <c r="W384" t="s">
        <v>74</v>
      </c>
      <c r="X384" t="s">
        <v>74</v>
      </c>
      <c r="Y384" t="s">
        <v>74</v>
      </c>
      <c r="Z384" t="s">
        <v>74</v>
      </c>
      <c r="AA384" t="s">
        <v>1028</v>
      </c>
      <c r="AB384" t="s">
        <v>1029</v>
      </c>
      <c r="AC384" t="s">
        <v>74</v>
      </c>
      <c r="AD384" t="s">
        <v>74</v>
      </c>
      <c r="AE384" t="s">
        <v>74</v>
      </c>
      <c r="AF384" t="s">
        <v>74</v>
      </c>
      <c r="AG384" t="s">
        <v>74</v>
      </c>
      <c r="AH384" t="s">
        <v>74</v>
      </c>
      <c r="AI384" t="s">
        <v>74</v>
      </c>
      <c r="AJ384" t="s">
        <v>74</v>
      </c>
      <c r="AK384" t="s">
        <v>74</v>
      </c>
      <c r="AL384" t="s">
        <v>74</v>
      </c>
      <c r="AM384" t="s">
        <v>74</v>
      </c>
      <c r="AN384" t="s">
        <v>74</v>
      </c>
      <c r="AO384" t="s">
        <v>121</v>
      </c>
      <c r="AP384" t="s">
        <v>74</v>
      </c>
      <c r="AQ384" t="s">
        <v>74</v>
      </c>
      <c r="AR384" t="s">
        <v>74</v>
      </c>
      <c r="AS384" t="s">
        <v>74</v>
      </c>
      <c r="AT384" t="s">
        <v>255</v>
      </c>
      <c r="AU384">
        <v>2009</v>
      </c>
      <c r="AV384">
        <v>80</v>
      </c>
      <c r="AW384">
        <v>1</v>
      </c>
      <c r="AX384" t="s">
        <v>74</v>
      </c>
      <c r="AY384" t="s">
        <v>74</v>
      </c>
      <c r="AZ384" t="s">
        <v>74</v>
      </c>
      <c r="BA384" t="s">
        <v>74</v>
      </c>
      <c r="BB384">
        <v>7</v>
      </c>
      <c r="BC384">
        <v>11</v>
      </c>
      <c r="BD384" t="s">
        <v>74</v>
      </c>
      <c r="BE384" t="s">
        <v>3320</v>
      </c>
      <c r="BF384" t="str">
        <f>HYPERLINK("http://dx.doi.org/10.1016/j.beproc.2008.08.001","http://dx.doi.org/10.1016/j.beproc.2008.08.001")</f>
        <v>http://dx.doi.org/10.1016/j.beproc.2008.08.001</v>
      </c>
      <c r="BG384" t="s">
        <v>74</v>
      </c>
      <c r="BH384" t="s">
        <v>74</v>
      </c>
      <c r="BI384" t="s">
        <v>74</v>
      </c>
      <c r="BJ384" t="s">
        <v>74</v>
      </c>
      <c r="BK384" t="s">
        <v>74</v>
      </c>
      <c r="BL384" t="s">
        <v>74</v>
      </c>
      <c r="BM384" t="s">
        <v>74</v>
      </c>
      <c r="BN384">
        <v>18761061</v>
      </c>
      <c r="BO384" t="s">
        <v>74</v>
      </c>
      <c r="BP384" t="s">
        <v>74</v>
      </c>
      <c r="BQ384" t="s">
        <v>74</v>
      </c>
      <c r="BR384" t="s">
        <v>74</v>
      </c>
      <c r="BS384" t="s">
        <v>3321</v>
      </c>
      <c r="BT384" t="str">
        <f>HYPERLINK("https%3A%2F%2Fwww.webofscience.com%2Fwos%2Fwoscc%2Ffull-record%2FWOS:000262546900002","View Full Record in Web of Science")</f>
        <v>View Full Record in Web of Science</v>
      </c>
    </row>
    <row r="385" spans="1:72" x14ac:dyDescent="0.4">
      <c r="A385" t="s">
        <v>72</v>
      </c>
      <c r="B385" t="s">
        <v>1023</v>
      </c>
      <c r="C385" t="s">
        <v>74</v>
      </c>
      <c r="D385" t="s">
        <v>74</v>
      </c>
      <c r="E385" t="s">
        <v>74</v>
      </c>
      <c r="F385" t="s">
        <v>1024</v>
      </c>
      <c r="G385" t="s">
        <v>74</v>
      </c>
      <c r="H385" t="s">
        <v>74</v>
      </c>
      <c r="I385" t="s">
        <v>1025</v>
      </c>
      <c r="J385" t="s">
        <v>1026</v>
      </c>
      <c r="K385" t="s">
        <v>74</v>
      </c>
      <c r="L385" t="s">
        <v>74</v>
      </c>
      <c r="M385" t="s">
        <v>74</v>
      </c>
      <c r="N385" t="s">
        <v>74</v>
      </c>
      <c r="O385" t="s">
        <v>74</v>
      </c>
      <c r="P385" t="s">
        <v>74</v>
      </c>
      <c r="Q385" t="s">
        <v>74</v>
      </c>
      <c r="R385" t="s">
        <v>74</v>
      </c>
      <c r="S385" t="s">
        <v>74</v>
      </c>
      <c r="T385" t="s">
        <v>74</v>
      </c>
      <c r="U385" t="s">
        <v>74</v>
      </c>
      <c r="V385" s="3" t="s">
        <v>1027</v>
      </c>
      <c r="W385" t="s">
        <v>74</v>
      </c>
      <c r="X385" t="s">
        <v>74</v>
      </c>
      <c r="Y385" t="s">
        <v>74</v>
      </c>
      <c r="Z385" t="s">
        <v>74</v>
      </c>
      <c r="AA385" t="s">
        <v>1028</v>
      </c>
      <c r="AB385" t="s">
        <v>1029</v>
      </c>
      <c r="AC385" t="s">
        <v>74</v>
      </c>
      <c r="AD385" t="s">
        <v>74</v>
      </c>
      <c r="AE385" t="s">
        <v>74</v>
      </c>
      <c r="AF385" t="s">
        <v>74</v>
      </c>
      <c r="AG385" t="s">
        <v>74</v>
      </c>
      <c r="AH385" t="s">
        <v>74</v>
      </c>
      <c r="AI385" t="s">
        <v>74</v>
      </c>
      <c r="AJ385" t="s">
        <v>74</v>
      </c>
      <c r="AK385" t="s">
        <v>74</v>
      </c>
      <c r="AL385" t="s">
        <v>74</v>
      </c>
      <c r="AM385" t="s">
        <v>74</v>
      </c>
      <c r="AN385" t="s">
        <v>74</v>
      </c>
      <c r="AO385" t="s">
        <v>1030</v>
      </c>
      <c r="AP385" t="s">
        <v>1031</v>
      </c>
      <c r="AQ385" t="s">
        <v>74</v>
      </c>
      <c r="AR385" t="s">
        <v>74</v>
      </c>
      <c r="AS385" t="s">
        <v>74</v>
      </c>
      <c r="AT385" t="s">
        <v>964</v>
      </c>
      <c r="AU385">
        <v>2007</v>
      </c>
      <c r="AV385">
        <v>28</v>
      </c>
      <c r="AW385">
        <v>1</v>
      </c>
      <c r="AX385" t="s">
        <v>74</v>
      </c>
      <c r="AY385" t="s">
        <v>74</v>
      </c>
      <c r="AZ385" t="s">
        <v>74</v>
      </c>
      <c r="BA385" t="s">
        <v>74</v>
      </c>
      <c r="BB385">
        <v>1</v>
      </c>
      <c r="BC385">
        <v>7</v>
      </c>
      <c r="BD385" t="s">
        <v>74</v>
      </c>
      <c r="BE385" t="s">
        <v>1032</v>
      </c>
      <c r="BF385" t="str">
        <f>HYPERLINK("http://dx.doi.org/10.1007/s10764-006-9110-8","http://dx.doi.org/10.1007/s10764-006-9110-8")</f>
        <v>http://dx.doi.org/10.1007/s10764-006-9110-8</v>
      </c>
      <c r="BG385" t="s">
        <v>74</v>
      </c>
      <c r="BH385" t="s">
        <v>74</v>
      </c>
      <c r="BI385" t="s">
        <v>74</v>
      </c>
      <c r="BJ385" t="s">
        <v>74</v>
      </c>
      <c r="BK385" t="s">
        <v>74</v>
      </c>
      <c r="BL385" t="s">
        <v>74</v>
      </c>
      <c r="BM385" t="s">
        <v>74</v>
      </c>
      <c r="BN385" t="s">
        <v>74</v>
      </c>
      <c r="BO385" t="s">
        <v>74</v>
      </c>
      <c r="BP385" t="s">
        <v>74</v>
      </c>
      <c r="BQ385" t="s">
        <v>74</v>
      </c>
      <c r="BR385" t="s">
        <v>74</v>
      </c>
      <c r="BS385" t="s">
        <v>1033</v>
      </c>
      <c r="BT385" t="str">
        <f>HYPERLINK("https%3A%2F%2Fwww.webofscience.com%2Fwos%2Fwoscc%2Ffull-record%2FWOS:000246843800001","View Full Record in Web of Science")</f>
        <v>View Full Record in Web of Science</v>
      </c>
    </row>
    <row r="386" spans="1:72" x14ac:dyDescent="0.4">
      <c r="A386" t="s">
        <v>72</v>
      </c>
      <c r="B386" t="s">
        <v>7627</v>
      </c>
      <c r="C386" t="s">
        <v>74</v>
      </c>
      <c r="D386" t="s">
        <v>74</v>
      </c>
      <c r="E386" t="s">
        <v>74</v>
      </c>
      <c r="F386" t="s">
        <v>7628</v>
      </c>
      <c r="G386" t="s">
        <v>74</v>
      </c>
      <c r="H386" t="s">
        <v>74</v>
      </c>
      <c r="I386" t="s">
        <v>7629</v>
      </c>
      <c r="J386" t="s">
        <v>1526</v>
      </c>
      <c r="K386" t="s">
        <v>74</v>
      </c>
      <c r="L386" t="s">
        <v>74</v>
      </c>
      <c r="M386" t="s">
        <v>74</v>
      </c>
      <c r="N386" t="s">
        <v>74</v>
      </c>
      <c r="O386" t="s">
        <v>74</v>
      </c>
      <c r="P386" t="s">
        <v>74</v>
      </c>
      <c r="Q386" t="s">
        <v>74</v>
      </c>
      <c r="R386" t="s">
        <v>74</v>
      </c>
      <c r="S386" t="s">
        <v>74</v>
      </c>
      <c r="T386" t="s">
        <v>74</v>
      </c>
      <c r="U386" t="s">
        <v>74</v>
      </c>
      <c r="V386" s="3" t="s">
        <v>7630</v>
      </c>
      <c r="W386" t="s">
        <v>74</v>
      </c>
      <c r="X386" t="s">
        <v>74</v>
      </c>
      <c r="Y386" t="s">
        <v>74</v>
      </c>
      <c r="Z386" t="s">
        <v>74</v>
      </c>
      <c r="AA386" t="s">
        <v>7631</v>
      </c>
      <c r="AB386" t="s">
        <v>7632</v>
      </c>
      <c r="AC386" t="s">
        <v>74</v>
      </c>
      <c r="AD386" t="s">
        <v>74</v>
      </c>
      <c r="AE386" t="s">
        <v>74</v>
      </c>
      <c r="AF386" t="s">
        <v>74</v>
      </c>
      <c r="AG386" t="s">
        <v>74</v>
      </c>
      <c r="AH386" t="s">
        <v>74</v>
      </c>
      <c r="AI386" t="s">
        <v>74</v>
      </c>
      <c r="AJ386" t="s">
        <v>74</v>
      </c>
      <c r="AK386" t="s">
        <v>74</v>
      </c>
      <c r="AL386" t="s">
        <v>74</v>
      </c>
      <c r="AM386" t="s">
        <v>74</v>
      </c>
      <c r="AN386" t="s">
        <v>74</v>
      </c>
      <c r="AO386" t="s">
        <v>1528</v>
      </c>
      <c r="AP386" t="s">
        <v>74</v>
      </c>
      <c r="AQ386" t="s">
        <v>74</v>
      </c>
      <c r="AR386" t="s">
        <v>74</v>
      </c>
      <c r="AS386" t="s">
        <v>74</v>
      </c>
      <c r="AT386" t="s">
        <v>213</v>
      </c>
      <c r="AU386">
        <v>2010</v>
      </c>
      <c r="AV386">
        <v>112</v>
      </c>
      <c r="AW386">
        <v>4</v>
      </c>
      <c r="AX386" t="s">
        <v>74</v>
      </c>
      <c r="AY386" t="s">
        <v>74</v>
      </c>
      <c r="AZ386" t="s">
        <v>74</v>
      </c>
      <c r="BA386" t="s">
        <v>74</v>
      </c>
      <c r="BB386">
        <v>676</v>
      </c>
      <c r="BC386">
        <v>682</v>
      </c>
      <c r="BD386" t="s">
        <v>74</v>
      </c>
      <c r="BE386" t="s">
        <v>7633</v>
      </c>
      <c r="BF386" t="str">
        <f>HYPERLINK("http://dx.doi.org/10.1525/cond.2010.090193","http://dx.doi.org/10.1525/cond.2010.090193")</f>
        <v>http://dx.doi.org/10.1525/cond.2010.090193</v>
      </c>
      <c r="BG386" t="s">
        <v>74</v>
      </c>
      <c r="BH386" t="s">
        <v>74</v>
      </c>
      <c r="BI386" t="s">
        <v>74</v>
      </c>
      <c r="BJ386" t="s">
        <v>74</v>
      </c>
      <c r="BK386" t="s">
        <v>74</v>
      </c>
      <c r="BL386" t="s">
        <v>74</v>
      </c>
      <c r="BM386" t="s">
        <v>74</v>
      </c>
      <c r="BN386" t="s">
        <v>74</v>
      </c>
      <c r="BO386" t="s">
        <v>74</v>
      </c>
      <c r="BP386" t="s">
        <v>74</v>
      </c>
      <c r="BQ386" t="s">
        <v>74</v>
      </c>
      <c r="BR386" t="s">
        <v>74</v>
      </c>
      <c r="BS386" t="s">
        <v>7634</v>
      </c>
      <c r="BT386" t="str">
        <f>HYPERLINK("https%3A%2F%2Fwww.webofscience.com%2Fwos%2Fwoscc%2Ffull-record%2FWOS:000285727700006","View Full Record in Web of Science")</f>
        <v>View Full Record in Web of Science</v>
      </c>
    </row>
    <row r="387" spans="1:72" x14ac:dyDescent="0.4">
      <c r="A387" t="s">
        <v>72</v>
      </c>
      <c r="B387" t="s">
        <v>4659</v>
      </c>
      <c r="C387" t="s">
        <v>74</v>
      </c>
      <c r="D387" t="s">
        <v>74</v>
      </c>
      <c r="E387" t="s">
        <v>74</v>
      </c>
      <c r="F387" t="s">
        <v>4659</v>
      </c>
      <c r="G387" t="s">
        <v>74</v>
      </c>
      <c r="H387" t="s">
        <v>74</v>
      </c>
      <c r="I387" t="s">
        <v>4660</v>
      </c>
      <c r="J387" t="s">
        <v>4661</v>
      </c>
      <c r="K387" t="s">
        <v>74</v>
      </c>
      <c r="L387" t="s">
        <v>74</v>
      </c>
      <c r="M387" t="s">
        <v>74</v>
      </c>
      <c r="N387" t="s">
        <v>74</v>
      </c>
      <c r="O387" t="s">
        <v>74</v>
      </c>
      <c r="P387" t="s">
        <v>74</v>
      </c>
      <c r="Q387" t="s">
        <v>74</v>
      </c>
      <c r="R387" t="s">
        <v>74</v>
      </c>
      <c r="S387" t="s">
        <v>74</v>
      </c>
      <c r="T387" t="s">
        <v>74</v>
      </c>
      <c r="U387" t="s">
        <v>74</v>
      </c>
      <c r="V387" s="3" t="s">
        <v>4662</v>
      </c>
      <c r="W387" t="s">
        <v>74</v>
      </c>
      <c r="X387" t="s">
        <v>74</v>
      </c>
      <c r="Y387" t="s">
        <v>74</v>
      </c>
      <c r="Z387" t="s">
        <v>74</v>
      </c>
      <c r="AA387" t="s">
        <v>74</v>
      </c>
      <c r="AB387" t="s">
        <v>74</v>
      </c>
      <c r="AC387" t="s">
        <v>74</v>
      </c>
      <c r="AD387" t="s">
        <v>74</v>
      </c>
      <c r="AE387" t="s">
        <v>74</v>
      </c>
      <c r="AF387" t="s">
        <v>74</v>
      </c>
      <c r="AG387" t="s">
        <v>74</v>
      </c>
      <c r="AH387" t="s">
        <v>74</v>
      </c>
      <c r="AI387" t="s">
        <v>74</v>
      </c>
      <c r="AJ387" t="s">
        <v>74</v>
      </c>
      <c r="AK387" t="s">
        <v>74</v>
      </c>
      <c r="AL387" t="s">
        <v>74</v>
      </c>
      <c r="AM387" t="s">
        <v>74</v>
      </c>
      <c r="AN387" t="s">
        <v>74</v>
      </c>
      <c r="AO387" t="s">
        <v>4663</v>
      </c>
      <c r="AP387" t="s">
        <v>74</v>
      </c>
      <c r="AQ387" t="s">
        <v>74</v>
      </c>
      <c r="AR387" t="s">
        <v>74</v>
      </c>
      <c r="AS387" t="s">
        <v>74</v>
      </c>
      <c r="AT387" t="s">
        <v>74</v>
      </c>
      <c r="AU387">
        <v>1996</v>
      </c>
      <c r="AV387">
        <v>24</v>
      </c>
      <c r="AW387">
        <v>2</v>
      </c>
      <c r="AX387" t="s">
        <v>74</v>
      </c>
      <c r="AY387" t="s">
        <v>74</v>
      </c>
      <c r="AZ387" t="s">
        <v>74</v>
      </c>
      <c r="BA387" t="s">
        <v>74</v>
      </c>
      <c r="BB387">
        <v>93</v>
      </c>
      <c r="BC387">
        <v>100</v>
      </c>
      <c r="BD387" t="s">
        <v>74</v>
      </c>
      <c r="BE387" t="s">
        <v>74</v>
      </c>
      <c r="BF387" t="s">
        <v>74</v>
      </c>
      <c r="BG387" t="s">
        <v>74</v>
      </c>
      <c r="BH387" t="s">
        <v>74</v>
      </c>
      <c r="BI387" t="s">
        <v>74</v>
      </c>
      <c r="BJ387" t="s">
        <v>74</v>
      </c>
      <c r="BK387" t="s">
        <v>74</v>
      </c>
      <c r="BL387" t="s">
        <v>74</v>
      </c>
      <c r="BM387" t="s">
        <v>74</v>
      </c>
      <c r="BN387" t="s">
        <v>74</v>
      </c>
      <c r="BO387" t="s">
        <v>74</v>
      </c>
      <c r="BP387" t="s">
        <v>74</v>
      </c>
      <c r="BQ387" t="s">
        <v>74</v>
      </c>
      <c r="BR387" t="s">
        <v>74</v>
      </c>
      <c r="BS387" t="s">
        <v>4664</v>
      </c>
      <c r="BT387" t="str">
        <f>HYPERLINK("https%3A%2F%2Fwww.webofscience.com%2Fwos%2Fwoscc%2Ffull-record%2FWOS:A1996VW78600003","View Full Record in Web of Science")</f>
        <v>View Full Record in Web of Science</v>
      </c>
    </row>
    <row r="388" spans="1:72" x14ac:dyDescent="0.4">
      <c r="A388" t="s">
        <v>72</v>
      </c>
      <c r="B388" t="s">
        <v>7730</v>
      </c>
      <c r="C388" t="s">
        <v>74</v>
      </c>
      <c r="D388" t="s">
        <v>74</v>
      </c>
      <c r="E388" t="s">
        <v>74</v>
      </c>
      <c r="F388" t="s">
        <v>7731</v>
      </c>
      <c r="G388" t="s">
        <v>74</v>
      </c>
      <c r="H388" t="s">
        <v>74</v>
      </c>
      <c r="I388" t="s">
        <v>7732</v>
      </c>
      <c r="J388" t="s">
        <v>1656</v>
      </c>
      <c r="K388" t="s">
        <v>74</v>
      </c>
      <c r="L388" t="s">
        <v>74</v>
      </c>
      <c r="M388" t="s">
        <v>74</v>
      </c>
      <c r="N388" t="s">
        <v>74</v>
      </c>
      <c r="O388" t="s">
        <v>74</v>
      </c>
      <c r="P388" t="s">
        <v>74</v>
      </c>
      <c r="Q388" t="s">
        <v>74</v>
      </c>
      <c r="R388" t="s">
        <v>74</v>
      </c>
      <c r="S388" t="s">
        <v>74</v>
      </c>
      <c r="T388" t="s">
        <v>74</v>
      </c>
      <c r="U388" t="s">
        <v>74</v>
      </c>
      <c r="V388" s="3" t="s">
        <v>7733</v>
      </c>
      <c r="W388" t="s">
        <v>74</v>
      </c>
      <c r="X388" t="s">
        <v>74</v>
      </c>
      <c r="Y388" t="s">
        <v>74</v>
      </c>
      <c r="Z388" t="s">
        <v>74</v>
      </c>
      <c r="AA388" t="s">
        <v>7734</v>
      </c>
      <c r="AB388" t="s">
        <v>7735</v>
      </c>
      <c r="AC388" t="s">
        <v>74</v>
      </c>
      <c r="AD388" t="s">
        <v>74</v>
      </c>
      <c r="AE388" t="s">
        <v>74</v>
      </c>
      <c r="AF388" t="s">
        <v>74</v>
      </c>
      <c r="AG388" t="s">
        <v>74</v>
      </c>
      <c r="AH388" t="s">
        <v>74</v>
      </c>
      <c r="AI388" t="s">
        <v>74</v>
      </c>
      <c r="AJ388" t="s">
        <v>74</v>
      </c>
      <c r="AK388" t="s">
        <v>74</v>
      </c>
      <c r="AL388" t="s">
        <v>74</v>
      </c>
      <c r="AM388" t="s">
        <v>74</v>
      </c>
      <c r="AN388" t="s">
        <v>74</v>
      </c>
      <c r="AO388" t="s">
        <v>1658</v>
      </c>
      <c r="AP388" t="s">
        <v>1659</v>
      </c>
      <c r="AQ388" t="s">
        <v>74</v>
      </c>
      <c r="AR388" t="s">
        <v>74</v>
      </c>
      <c r="AS388" t="s">
        <v>74</v>
      </c>
      <c r="AT388" t="s">
        <v>275</v>
      </c>
      <c r="AU388">
        <v>2022</v>
      </c>
      <c r="AV388">
        <v>5128</v>
      </c>
      <c r="AW388">
        <v>4</v>
      </c>
      <c r="AX388" t="s">
        <v>74</v>
      </c>
      <c r="AY388" t="s">
        <v>74</v>
      </c>
      <c r="AZ388" t="s">
        <v>74</v>
      </c>
      <c r="BA388" t="s">
        <v>74</v>
      </c>
      <c r="BB388">
        <v>486</v>
      </c>
      <c r="BC388">
        <v>502</v>
      </c>
      <c r="BD388" t="s">
        <v>74</v>
      </c>
      <c r="BE388" t="s">
        <v>7736</v>
      </c>
      <c r="BF388" t="str">
        <f>HYPERLINK("http://dx.doi.org/10.11646/zootaxa.5128.4.2","http://dx.doi.org/10.11646/zootaxa.5128.4.2")</f>
        <v>http://dx.doi.org/10.11646/zootaxa.5128.4.2</v>
      </c>
      <c r="BG388" t="s">
        <v>74</v>
      </c>
      <c r="BH388" t="s">
        <v>74</v>
      </c>
      <c r="BI388" t="s">
        <v>74</v>
      </c>
      <c r="BJ388" t="s">
        <v>74</v>
      </c>
      <c r="BK388" t="s">
        <v>74</v>
      </c>
      <c r="BL388" t="s">
        <v>74</v>
      </c>
      <c r="BM388" t="s">
        <v>74</v>
      </c>
      <c r="BN388">
        <v>36101160</v>
      </c>
      <c r="BO388" t="s">
        <v>74</v>
      </c>
      <c r="BP388" t="s">
        <v>74</v>
      </c>
      <c r="BQ388" t="s">
        <v>74</v>
      </c>
      <c r="BR388" t="s">
        <v>74</v>
      </c>
      <c r="BS388" t="s">
        <v>7737</v>
      </c>
      <c r="BT388" t="str">
        <f>HYPERLINK("https%3A%2F%2Fwww.webofscience.com%2Fwos%2Fwoscc%2Ffull-record%2FWOS:000792772900002","View Full Record in Web of Science")</f>
        <v>View Full Record in Web of Science</v>
      </c>
    </row>
    <row r="389" spans="1:72" x14ac:dyDescent="0.4">
      <c r="A389" t="s">
        <v>72</v>
      </c>
      <c r="B389" t="s">
        <v>6811</v>
      </c>
      <c r="C389" t="s">
        <v>74</v>
      </c>
      <c r="D389" t="s">
        <v>74</v>
      </c>
      <c r="E389" t="s">
        <v>74</v>
      </c>
      <c r="F389" t="s">
        <v>6812</v>
      </c>
      <c r="G389" t="s">
        <v>74</v>
      </c>
      <c r="H389" t="s">
        <v>74</v>
      </c>
      <c r="I389" t="s">
        <v>6813</v>
      </c>
      <c r="J389" t="s">
        <v>6814</v>
      </c>
      <c r="K389" t="s">
        <v>74</v>
      </c>
      <c r="L389" t="s">
        <v>74</v>
      </c>
      <c r="M389" t="s">
        <v>74</v>
      </c>
      <c r="N389" t="s">
        <v>74</v>
      </c>
      <c r="O389" t="s">
        <v>74</v>
      </c>
      <c r="P389" t="s">
        <v>74</v>
      </c>
      <c r="Q389" t="s">
        <v>74</v>
      </c>
      <c r="R389" t="s">
        <v>74</v>
      </c>
      <c r="S389" t="s">
        <v>74</v>
      </c>
      <c r="T389" t="s">
        <v>74</v>
      </c>
      <c r="U389" t="s">
        <v>74</v>
      </c>
      <c r="V389" s="3" t="s">
        <v>6815</v>
      </c>
      <c r="W389" t="s">
        <v>74</v>
      </c>
      <c r="X389" t="s">
        <v>74</v>
      </c>
      <c r="Y389" t="s">
        <v>74</v>
      </c>
      <c r="Z389" t="s">
        <v>74</v>
      </c>
      <c r="AA389" t="s">
        <v>6816</v>
      </c>
      <c r="AB389" t="s">
        <v>6817</v>
      </c>
      <c r="AC389" t="s">
        <v>74</v>
      </c>
      <c r="AD389" t="s">
        <v>74</v>
      </c>
      <c r="AE389" t="s">
        <v>74</v>
      </c>
      <c r="AF389" t="s">
        <v>74</v>
      </c>
      <c r="AG389" t="s">
        <v>74</v>
      </c>
      <c r="AH389" t="s">
        <v>74</v>
      </c>
      <c r="AI389" t="s">
        <v>74</v>
      </c>
      <c r="AJ389" t="s">
        <v>74</v>
      </c>
      <c r="AK389" t="s">
        <v>74</v>
      </c>
      <c r="AL389" t="s">
        <v>74</v>
      </c>
      <c r="AM389" t="s">
        <v>74</v>
      </c>
      <c r="AN389" t="s">
        <v>74</v>
      </c>
      <c r="AO389" t="s">
        <v>6818</v>
      </c>
      <c r="AP389" t="s">
        <v>6819</v>
      </c>
      <c r="AQ389" t="s">
        <v>74</v>
      </c>
      <c r="AR389" t="s">
        <v>74</v>
      </c>
      <c r="AS389" t="s">
        <v>74</v>
      </c>
      <c r="AT389" t="s">
        <v>352</v>
      </c>
      <c r="AU389">
        <v>2021</v>
      </c>
      <c r="AV389">
        <v>14</v>
      </c>
      <c r="AW389">
        <v>5</v>
      </c>
      <c r="AX389" t="s">
        <v>74</v>
      </c>
      <c r="AY389" t="s">
        <v>74</v>
      </c>
      <c r="AZ389" t="s">
        <v>74</v>
      </c>
      <c r="BA389" t="s">
        <v>74</v>
      </c>
      <c r="BB389">
        <v>661</v>
      </c>
      <c r="BC389">
        <v>674</v>
      </c>
      <c r="BD389" t="s">
        <v>74</v>
      </c>
      <c r="BE389" t="s">
        <v>6820</v>
      </c>
      <c r="BF389" t="str">
        <f>HYPERLINK("http://dx.doi.org/10.1111/icad.12500","http://dx.doi.org/10.1111/icad.12500")</f>
        <v>http://dx.doi.org/10.1111/icad.12500</v>
      </c>
      <c r="BG389" t="s">
        <v>74</v>
      </c>
      <c r="BH389" t="s">
        <v>571</v>
      </c>
      <c r="BI389" t="s">
        <v>74</v>
      </c>
      <c r="BJ389" t="s">
        <v>74</v>
      </c>
      <c r="BK389" t="s">
        <v>74</v>
      </c>
      <c r="BL389" t="s">
        <v>74</v>
      </c>
      <c r="BM389" t="s">
        <v>74</v>
      </c>
      <c r="BN389" t="s">
        <v>74</v>
      </c>
      <c r="BO389" t="s">
        <v>74</v>
      </c>
      <c r="BP389" t="s">
        <v>74</v>
      </c>
      <c r="BQ389" t="s">
        <v>74</v>
      </c>
      <c r="BR389" t="s">
        <v>74</v>
      </c>
      <c r="BS389" t="s">
        <v>6821</v>
      </c>
      <c r="BT389" t="str">
        <f>HYPERLINK("https%3A%2F%2Fwww.webofscience.com%2Fwos%2Fwoscc%2Ffull-record%2FWOS:000653231000001","View Full Record in Web of Science")</f>
        <v>View Full Record in Web of Science</v>
      </c>
    </row>
    <row r="390" spans="1:72" x14ac:dyDescent="0.4">
      <c r="A390" t="s">
        <v>72</v>
      </c>
      <c r="B390" t="s">
        <v>7206</v>
      </c>
      <c r="C390" t="s">
        <v>74</v>
      </c>
      <c r="D390" t="s">
        <v>74</v>
      </c>
      <c r="E390" t="s">
        <v>74</v>
      </c>
      <c r="F390" t="s">
        <v>7207</v>
      </c>
      <c r="G390" t="s">
        <v>74</v>
      </c>
      <c r="H390" t="s">
        <v>74</v>
      </c>
      <c r="I390" t="s">
        <v>7208</v>
      </c>
      <c r="J390" t="s">
        <v>1237</v>
      </c>
      <c r="K390" t="s">
        <v>74</v>
      </c>
      <c r="L390" t="s">
        <v>74</v>
      </c>
      <c r="M390" t="s">
        <v>74</v>
      </c>
      <c r="N390" t="s">
        <v>74</v>
      </c>
      <c r="O390" t="s">
        <v>74</v>
      </c>
      <c r="P390" t="s">
        <v>74</v>
      </c>
      <c r="Q390" t="s">
        <v>74</v>
      </c>
      <c r="R390" t="s">
        <v>74</v>
      </c>
      <c r="S390" t="s">
        <v>74</v>
      </c>
      <c r="T390" t="s">
        <v>74</v>
      </c>
      <c r="U390" t="s">
        <v>74</v>
      </c>
      <c r="V390" s="3" t="s">
        <v>7209</v>
      </c>
      <c r="W390" t="s">
        <v>74</v>
      </c>
      <c r="X390" t="s">
        <v>74</v>
      </c>
      <c r="Y390" t="s">
        <v>74</v>
      </c>
      <c r="Z390" t="s">
        <v>74</v>
      </c>
      <c r="AA390" t="s">
        <v>74</v>
      </c>
      <c r="AB390" t="s">
        <v>74</v>
      </c>
      <c r="AC390" t="s">
        <v>74</v>
      </c>
      <c r="AD390" t="s">
        <v>74</v>
      </c>
      <c r="AE390" t="s">
        <v>74</v>
      </c>
      <c r="AF390" t="s">
        <v>74</v>
      </c>
      <c r="AG390" t="s">
        <v>74</v>
      </c>
      <c r="AH390" t="s">
        <v>74</v>
      </c>
      <c r="AI390" t="s">
        <v>74</v>
      </c>
      <c r="AJ390" t="s">
        <v>74</v>
      </c>
      <c r="AK390" t="s">
        <v>74</v>
      </c>
      <c r="AL390" t="s">
        <v>74</v>
      </c>
      <c r="AM390" t="s">
        <v>74</v>
      </c>
      <c r="AN390" t="s">
        <v>74</v>
      </c>
      <c r="AO390" t="s">
        <v>1239</v>
      </c>
      <c r="AP390" t="s">
        <v>74</v>
      </c>
      <c r="AQ390" t="s">
        <v>74</v>
      </c>
      <c r="AR390" t="s">
        <v>74</v>
      </c>
      <c r="AS390" t="s">
        <v>74</v>
      </c>
      <c r="AT390" t="s">
        <v>102</v>
      </c>
      <c r="AU390">
        <v>2009</v>
      </c>
      <c r="AV390">
        <v>87</v>
      </c>
      <c r="AW390">
        <v>6</v>
      </c>
      <c r="AX390" t="s">
        <v>74</v>
      </c>
      <c r="AY390" t="s">
        <v>74</v>
      </c>
      <c r="AZ390" t="s">
        <v>74</v>
      </c>
      <c r="BA390" t="s">
        <v>74</v>
      </c>
      <c r="BB390">
        <v>529</v>
      </c>
      <c r="BC390">
        <v>536</v>
      </c>
      <c r="BD390" t="s">
        <v>74</v>
      </c>
      <c r="BE390" t="s">
        <v>7210</v>
      </c>
      <c r="BF390" t="str">
        <f>HYPERLINK("http://dx.doi.org/10.1139/Z09-039","http://dx.doi.org/10.1139/Z09-039")</f>
        <v>http://dx.doi.org/10.1139/Z09-039</v>
      </c>
      <c r="BG390" t="s">
        <v>74</v>
      </c>
      <c r="BH390" t="s">
        <v>74</v>
      </c>
      <c r="BI390" t="s">
        <v>74</v>
      </c>
      <c r="BJ390" t="s">
        <v>74</v>
      </c>
      <c r="BK390" t="s">
        <v>74</v>
      </c>
      <c r="BL390" t="s">
        <v>74</v>
      </c>
      <c r="BM390" t="s">
        <v>74</v>
      </c>
      <c r="BN390" t="s">
        <v>74</v>
      </c>
      <c r="BO390" t="s">
        <v>74</v>
      </c>
      <c r="BP390" t="s">
        <v>74</v>
      </c>
      <c r="BQ390" t="s">
        <v>74</v>
      </c>
      <c r="BR390" t="s">
        <v>74</v>
      </c>
      <c r="BS390" t="s">
        <v>7211</v>
      </c>
      <c r="BT390" t="str">
        <f>HYPERLINK("https%3A%2F%2Fwww.webofscience.com%2Fwos%2Fwoscc%2Ffull-record%2FWOS:000267075500008","View Full Record in Web of Science")</f>
        <v>View Full Record in Web of Science</v>
      </c>
    </row>
    <row r="391" spans="1:72" x14ac:dyDescent="0.4">
      <c r="A391" t="s">
        <v>72</v>
      </c>
      <c r="B391" t="s">
        <v>4257</v>
      </c>
      <c r="C391" t="s">
        <v>74</v>
      </c>
      <c r="D391" t="s">
        <v>74</v>
      </c>
      <c r="E391" t="s">
        <v>74</v>
      </c>
      <c r="F391" t="s">
        <v>4257</v>
      </c>
      <c r="G391" t="s">
        <v>74</v>
      </c>
      <c r="H391" t="s">
        <v>74</v>
      </c>
      <c r="I391" t="s">
        <v>4258</v>
      </c>
      <c r="J391" t="s">
        <v>431</v>
      </c>
      <c r="K391" t="s">
        <v>74</v>
      </c>
      <c r="L391" t="s">
        <v>74</v>
      </c>
      <c r="M391" t="s">
        <v>74</v>
      </c>
      <c r="N391" t="s">
        <v>74</v>
      </c>
      <c r="O391" t="s">
        <v>74</v>
      </c>
      <c r="P391" t="s">
        <v>74</v>
      </c>
      <c r="Q391" t="s">
        <v>74</v>
      </c>
      <c r="R391" t="s">
        <v>74</v>
      </c>
      <c r="S391" t="s">
        <v>74</v>
      </c>
      <c r="T391" t="s">
        <v>74</v>
      </c>
      <c r="U391" t="s">
        <v>74</v>
      </c>
      <c r="V391" s="3" t="s">
        <v>4259</v>
      </c>
      <c r="W391" t="s">
        <v>74</v>
      </c>
      <c r="X391" t="s">
        <v>74</v>
      </c>
      <c r="Y391" t="s">
        <v>74</v>
      </c>
      <c r="Z391" t="s">
        <v>74</v>
      </c>
      <c r="AA391" t="s">
        <v>74</v>
      </c>
      <c r="AB391" t="s">
        <v>74</v>
      </c>
      <c r="AC391" t="s">
        <v>74</v>
      </c>
      <c r="AD391" t="s">
        <v>74</v>
      </c>
      <c r="AE391" t="s">
        <v>74</v>
      </c>
      <c r="AF391" t="s">
        <v>74</v>
      </c>
      <c r="AG391" t="s">
        <v>74</v>
      </c>
      <c r="AH391" t="s">
        <v>74</v>
      </c>
      <c r="AI391" t="s">
        <v>74</v>
      </c>
      <c r="AJ391" t="s">
        <v>74</v>
      </c>
      <c r="AK391" t="s">
        <v>74</v>
      </c>
      <c r="AL391" t="s">
        <v>74</v>
      </c>
      <c r="AM391" t="s">
        <v>74</v>
      </c>
      <c r="AN391" t="s">
        <v>74</v>
      </c>
      <c r="AO391" t="s">
        <v>74</v>
      </c>
      <c r="AP391" t="s">
        <v>435</v>
      </c>
      <c r="AQ391" t="s">
        <v>74</v>
      </c>
      <c r="AR391" t="s">
        <v>74</v>
      </c>
      <c r="AS391" t="s">
        <v>74</v>
      </c>
      <c r="AT391" t="s">
        <v>204</v>
      </c>
      <c r="AU391">
        <v>1987</v>
      </c>
      <c r="AV391">
        <v>104</v>
      </c>
      <c r="AW391">
        <v>3</v>
      </c>
      <c r="AX391" t="s">
        <v>74</v>
      </c>
      <c r="AY391" t="s">
        <v>74</v>
      </c>
      <c r="AZ391" t="s">
        <v>74</v>
      </c>
      <c r="BA391" t="s">
        <v>74</v>
      </c>
      <c r="BB391">
        <v>444</v>
      </c>
      <c r="BC391">
        <v>449</v>
      </c>
      <c r="BD391" t="s">
        <v>74</v>
      </c>
      <c r="BE391" t="s">
        <v>4260</v>
      </c>
      <c r="BF391" t="str">
        <f>HYPERLINK("http://dx.doi.org/10.2307/4087543","http://dx.doi.org/10.2307/4087543")</f>
        <v>http://dx.doi.org/10.2307/4087543</v>
      </c>
      <c r="BG391" t="s">
        <v>74</v>
      </c>
      <c r="BH391" t="s">
        <v>74</v>
      </c>
      <c r="BI391" t="s">
        <v>74</v>
      </c>
      <c r="BJ391" t="s">
        <v>74</v>
      </c>
      <c r="BK391" t="s">
        <v>74</v>
      </c>
      <c r="BL391" t="s">
        <v>74</v>
      </c>
      <c r="BM391" t="s">
        <v>74</v>
      </c>
      <c r="BN391" t="s">
        <v>74</v>
      </c>
      <c r="BO391" t="s">
        <v>74</v>
      </c>
      <c r="BP391" t="s">
        <v>74</v>
      </c>
      <c r="BQ391" t="s">
        <v>74</v>
      </c>
      <c r="BR391" t="s">
        <v>74</v>
      </c>
      <c r="BS391" t="s">
        <v>4261</v>
      </c>
      <c r="BT391" t="str">
        <f>HYPERLINK("https%3A%2F%2Fwww.webofscience.com%2Fwos%2Fwoscc%2Ffull-record%2FWOS:A1987J266100010","View Full Record in Web of Science")</f>
        <v>View Full Record in Web of Science</v>
      </c>
    </row>
    <row r="392" spans="1:72" x14ac:dyDescent="0.4">
      <c r="A392" t="s">
        <v>72</v>
      </c>
      <c r="B392" t="s">
        <v>2794</v>
      </c>
      <c r="C392" t="s">
        <v>74</v>
      </c>
      <c r="D392" t="s">
        <v>74</v>
      </c>
      <c r="E392" t="s">
        <v>74</v>
      </c>
      <c r="F392" t="s">
        <v>2795</v>
      </c>
      <c r="G392" t="s">
        <v>74</v>
      </c>
      <c r="H392" t="s">
        <v>74</v>
      </c>
      <c r="I392" t="s">
        <v>2796</v>
      </c>
      <c r="J392" t="s">
        <v>1656</v>
      </c>
      <c r="K392" t="s">
        <v>74</v>
      </c>
      <c r="L392" t="s">
        <v>74</v>
      </c>
      <c r="M392" t="s">
        <v>74</v>
      </c>
      <c r="N392" t="s">
        <v>74</v>
      </c>
      <c r="O392" t="s">
        <v>74</v>
      </c>
      <c r="P392" t="s">
        <v>74</v>
      </c>
      <c r="Q392" t="s">
        <v>74</v>
      </c>
      <c r="R392" t="s">
        <v>74</v>
      </c>
      <c r="S392" t="s">
        <v>74</v>
      </c>
      <c r="T392" t="s">
        <v>74</v>
      </c>
      <c r="U392" t="s">
        <v>74</v>
      </c>
      <c r="V392" s="3" t="s">
        <v>2797</v>
      </c>
      <c r="W392" t="s">
        <v>74</v>
      </c>
      <c r="X392" t="s">
        <v>74</v>
      </c>
      <c r="Y392" t="s">
        <v>74</v>
      </c>
      <c r="Z392" t="s">
        <v>74</v>
      </c>
      <c r="AA392" t="s">
        <v>2798</v>
      </c>
      <c r="AB392" t="s">
        <v>2799</v>
      </c>
      <c r="AC392" t="s">
        <v>74</v>
      </c>
      <c r="AD392" t="s">
        <v>74</v>
      </c>
      <c r="AE392" t="s">
        <v>74</v>
      </c>
      <c r="AF392" t="s">
        <v>74</v>
      </c>
      <c r="AG392" t="s">
        <v>74</v>
      </c>
      <c r="AH392" t="s">
        <v>74</v>
      </c>
      <c r="AI392" t="s">
        <v>74</v>
      </c>
      <c r="AJ392" t="s">
        <v>74</v>
      </c>
      <c r="AK392" t="s">
        <v>74</v>
      </c>
      <c r="AL392" t="s">
        <v>74</v>
      </c>
      <c r="AM392" t="s">
        <v>74</v>
      </c>
      <c r="AN392" t="s">
        <v>74</v>
      </c>
      <c r="AO392" t="s">
        <v>1658</v>
      </c>
      <c r="AP392" t="s">
        <v>1659</v>
      </c>
      <c r="AQ392" t="s">
        <v>74</v>
      </c>
      <c r="AR392" t="s">
        <v>74</v>
      </c>
      <c r="AS392" t="s">
        <v>74</v>
      </c>
      <c r="AT392" t="s">
        <v>2800</v>
      </c>
      <c r="AU392">
        <v>2013</v>
      </c>
      <c r="AV392">
        <v>3700</v>
      </c>
      <c r="AW392">
        <v>3</v>
      </c>
      <c r="AX392" t="s">
        <v>74</v>
      </c>
      <c r="AY392" t="s">
        <v>74</v>
      </c>
      <c r="AZ392" t="s">
        <v>74</v>
      </c>
      <c r="BA392" t="s">
        <v>74</v>
      </c>
      <c r="BB392">
        <v>348</v>
      </c>
      <c r="BC392">
        <v>360</v>
      </c>
      <c r="BD392" t="s">
        <v>74</v>
      </c>
      <c r="BE392" t="s">
        <v>2801</v>
      </c>
      <c r="BF392" t="str">
        <f>HYPERLINK("http://dx.doi.org/10.11646/zootaxa.3700.3.2","http://dx.doi.org/10.11646/zootaxa.3700.3.2")</f>
        <v>http://dx.doi.org/10.11646/zootaxa.3700.3.2</v>
      </c>
      <c r="BG392" t="s">
        <v>74</v>
      </c>
      <c r="BH392" t="s">
        <v>74</v>
      </c>
      <c r="BI392" t="s">
        <v>74</v>
      </c>
      <c r="BJ392" t="s">
        <v>74</v>
      </c>
      <c r="BK392" t="s">
        <v>74</v>
      </c>
      <c r="BL392" t="s">
        <v>74</v>
      </c>
      <c r="BM392" t="s">
        <v>74</v>
      </c>
      <c r="BN392">
        <v>26106731</v>
      </c>
      <c r="BO392" t="s">
        <v>74</v>
      </c>
      <c r="BP392" t="s">
        <v>74</v>
      </c>
      <c r="BQ392" t="s">
        <v>74</v>
      </c>
      <c r="BR392" t="s">
        <v>74</v>
      </c>
      <c r="BS392" t="s">
        <v>2802</v>
      </c>
      <c r="BT392" t="str">
        <f>HYPERLINK("https%3A%2F%2Fwww.webofscience.com%2Fwos%2Fwoscc%2Ffull-record%2FWOS:000323105800002","View Full Record in Web of Science")</f>
        <v>View Full Record in Web of Science</v>
      </c>
    </row>
    <row r="393" spans="1:72" x14ac:dyDescent="0.4">
      <c r="A393" t="s">
        <v>72</v>
      </c>
      <c r="B393" t="s">
        <v>6424</v>
      </c>
      <c r="C393" t="s">
        <v>74</v>
      </c>
      <c r="D393" t="s">
        <v>74</v>
      </c>
      <c r="E393" t="s">
        <v>74</v>
      </c>
      <c r="F393" t="s">
        <v>6425</v>
      </c>
      <c r="G393" t="s">
        <v>74</v>
      </c>
      <c r="H393" t="s">
        <v>74</v>
      </c>
      <c r="I393" t="s">
        <v>6426</v>
      </c>
      <c r="J393" t="s">
        <v>6427</v>
      </c>
      <c r="K393" t="s">
        <v>74</v>
      </c>
      <c r="L393" t="s">
        <v>74</v>
      </c>
      <c r="M393" t="s">
        <v>74</v>
      </c>
      <c r="N393" t="s">
        <v>74</v>
      </c>
      <c r="O393" t="s">
        <v>74</v>
      </c>
      <c r="P393" t="s">
        <v>74</v>
      </c>
      <c r="Q393" t="s">
        <v>74</v>
      </c>
      <c r="R393" t="s">
        <v>74</v>
      </c>
      <c r="S393" t="s">
        <v>74</v>
      </c>
      <c r="T393" t="s">
        <v>74</v>
      </c>
      <c r="U393" t="s">
        <v>74</v>
      </c>
      <c r="V393" s="3" t="s">
        <v>6428</v>
      </c>
      <c r="W393" t="s">
        <v>74</v>
      </c>
      <c r="X393" t="s">
        <v>74</v>
      </c>
      <c r="Y393" t="s">
        <v>74</v>
      </c>
      <c r="Z393" t="s">
        <v>74</v>
      </c>
      <c r="AA393" t="s">
        <v>6429</v>
      </c>
      <c r="AB393" t="s">
        <v>6430</v>
      </c>
      <c r="AC393" t="s">
        <v>74</v>
      </c>
      <c r="AD393" t="s">
        <v>74</v>
      </c>
      <c r="AE393" t="s">
        <v>74</v>
      </c>
      <c r="AF393" t="s">
        <v>74</v>
      </c>
      <c r="AG393" t="s">
        <v>74</v>
      </c>
      <c r="AH393" t="s">
        <v>74</v>
      </c>
      <c r="AI393" t="s">
        <v>74</v>
      </c>
      <c r="AJ393" t="s">
        <v>74</v>
      </c>
      <c r="AK393" t="s">
        <v>74</v>
      </c>
      <c r="AL393" t="s">
        <v>74</v>
      </c>
      <c r="AM393" t="s">
        <v>74</v>
      </c>
      <c r="AN393" t="s">
        <v>74</v>
      </c>
      <c r="AO393" t="s">
        <v>6431</v>
      </c>
      <c r="AP393" t="s">
        <v>74</v>
      </c>
      <c r="AQ393" t="s">
        <v>74</v>
      </c>
      <c r="AR393" t="s">
        <v>74</v>
      </c>
      <c r="AS393" t="s">
        <v>74</v>
      </c>
      <c r="AT393" t="s">
        <v>113</v>
      </c>
      <c r="AU393">
        <v>2023</v>
      </c>
      <c r="AV393">
        <v>59</v>
      </c>
      <c r="AW393">
        <v>3</v>
      </c>
      <c r="AX393" t="s">
        <v>74</v>
      </c>
      <c r="AY393" t="s">
        <v>74</v>
      </c>
      <c r="AZ393" t="s">
        <v>74</v>
      </c>
      <c r="BA393" t="s">
        <v>74</v>
      </c>
      <c r="BB393">
        <v>239</v>
      </c>
      <c r="BC393">
        <v>261</v>
      </c>
      <c r="BD393" t="s">
        <v>74</v>
      </c>
      <c r="BE393" t="s">
        <v>74</v>
      </c>
      <c r="BF393" t="s">
        <v>74</v>
      </c>
      <c r="BG393" t="s">
        <v>74</v>
      </c>
      <c r="BH393" t="s">
        <v>74</v>
      </c>
      <c r="BI393" t="s">
        <v>74</v>
      </c>
      <c r="BJ393" t="s">
        <v>74</v>
      </c>
      <c r="BK393" t="s">
        <v>74</v>
      </c>
      <c r="BL393" t="s">
        <v>74</v>
      </c>
      <c r="BM393" t="s">
        <v>74</v>
      </c>
      <c r="BN393" t="s">
        <v>74</v>
      </c>
      <c r="BO393" t="s">
        <v>74</v>
      </c>
      <c r="BP393" t="s">
        <v>74</v>
      </c>
      <c r="BQ393" t="s">
        <v>74</v>
      </c>
      <c r="BR393" t="s">
        <v>74</v>
      </c>
      <c r="BS393" t="s">
        <v>6432</v>
      </c>
      <c r="BT393" t="str">
        <f>HYPERLINK("https%3A%2F%2Fwww.webofscience.com%2Fwos%2Fwoscc%2Ffull-record%2FWOS:001051428100001","View Full Record in Web of Science")</f>
        <v>View Full Record in Web of Science</v>
      </c>
    </row>
    <row r="394" spans="1:72" x14ac:dyDescent="0.4">
      <c r="A394" t="s">
        <v>72</v>
      </c>
      <c r="B394" t="s">
        <v>7841</v>
      </c>
      <c r="C394" t="s">
        <v>74</v>
      </c>
      <c r="D394" t="s">
        <v>74</v>
      </c>
      <c r="E394" t="s">
        <v>74</v>
      </c>
      <c r="F394" t="s">
        <v>7842</v>
      </c>
      <c r="G394" t="s">
        <v>74</v>
      </c>
      <c r="H394" t="s">
        <v>74</v>
      </c>
      <c r="I394" t="s">
        <v>7843</v>
      </c>
      <c r="J394" t="s">
        <v>7612</v>
      </c>
      <c r="K394" t="s">
        <v>74</v>
      </c>
      <c r="L394" t="s">
        <v>74</v>
      </c>
      <c r="M394" t="s">
        <v>74</v>
      </c>
      <c r="N394" t="s">
        <v>74</v>
      </c>
      <c r="O394" t="s">
        <v>74</v>
      </c>
      <c r="P394" t="s">
        <v>74</v>
      </c>
      <c r="Q394" t="s">
        <v>74</v>
      </c>
      <c r="R394" t="s">
        <v>74</v>
      </c>
      <c r="S394" t="s">
        <v>74</v>
      </c>
      <c r="T394" t="s">
        <v>74</v>
      </c>
      <c r="U394" t="s">
        <v>74</v>
      </c>
      <c r="V394" s="3" t="s">
        <v>7844</v>
      </c>
      <c r="W394" t="s">
        <v>74</v>
      </c>
      <c r="X394" t="s">
        <v>74</v>
      </c>
      <c r="Y394" t="s">
        <v>74</v>
      </c>
      <c r="Z394" t="s">
        <v>74</v>
      </c>
      <c r="AA394" t="s">
        <v>74</v>
      </c>
      <c r="AB394" t="s">
        <v>7845</v>
      </c>
      <c r="AC394" t="s">
        <v>74</v>
      </c>
      <c r="AD394" t="s">
        <v>74</v>
      </c>
      <c r="AE394" t="s">
        <v>74</v>
      </c>
      <c r="AF394" t="s">
        <v>74</v>
      </c>
      <c r="AG394" t="s">
        <v>74</v>
      </c>
      <c r="AH394" t="s">
        <v>74</v>
      </c>
      <c r="AI394" t="s">
        <v>74</v>
      </c>
      <c r="AJ394" t="s">
        <v>74</v>
      </c>
      <c r="AK394" t="s">
        <v>74</v>
      </c>
      <c r="AL394" t="s">
        <v>74</v>
      </c>
      <c r="AM394" t="s">
        <v>74</v>
      </c>
      <c r="AN394" t="s">
        <v>74</v>
      </c>
      <c r="AO394" t="s">
        <v>7615</v>
      </c>
      <c r="AP394" t="s">
        <v>7616</v>
      </c>
      <c r="AQ394" t="s">
        <v>74</v>
      </c>
      <c r="AR394" t="s">
        <v>74</v>
      </c>
      <c r="AS394" t="s">
        <v>74</v>
      </c>
      <c r="AT394" t="s">
        <v>7846</v>
      </c>
      <c r="AU394">
        <v>2023</v>
      </c>
      <c r="AV394">
        <v>2023</v>
      </c>
      <c r="AW394" t="s">
        <v>74</v>
      </c>
      <c r="AX394" t="s">
        <v>74</v>
      </c>
      <c r="AY394" t="s">
        <v>74</v>
      </c>
      <c r="AZ394" t="s">
        <v>74</v>
      </c>
      <c r="BA394" t="s">
        <v>74</v>
      </c>
      <c r="BB394" t="s">
        <v>74</v>
      </c>
      <c r="BC394" t="s">
        <v>74</v>
      </c>
      <c r="BD394">
        <v>8868453</v>
      </c>
      <c r="BE394" t="s">
        <v>7847</v>
      </c>
      <c r="BF394" t="str">
        <f>HYPERLINK("http://dx.doi.org/10.1155/2023/8868453","http://dx.doi.org/10.1155/2023/8868453")</f>
        <v>http://dx.doi.org/10.1155/2023/8868453</v>
      </c>
      <c r="BG394" t="s">
        <v>74</v>
      </c>
      <c r="BH394" t="s">
        <v>74</v>
      </c>
      <c r="BI394" t="s">
        <v>74</v>
      </c>
      <c r="BJ394" t="s">
        <v>74</v>
      </c>
      <c r="BK394" t="s">
        <v>74</v>
      </c>
      <c r="BL394" t="s">
        <v>74</v>
      </c>
      <c r="BM394" t="s">
        <v>74</v>
      </c>
      <c r="BN394" t="s">
        <v>74</v>
      </c>
      <c r="BO394" t="s">
        <v>74</v>
      </c>
      <c r="BP394" t="s">
        <v>74</v>
      </c>
      <c r="BQ394" t="s">
        <v>74</v>
      </c>
      <c r="BR394" t="s">
        <v>74</v>
      </c>
      <c r="BS394" t="s">
        <v>7848</v>
      </c>
      <c r="BT394" t="str">
        <f>HYPERLINK("https%3A%2F%2Fwww.webofscience.com%2Fwos%2Fwoscc%2Ffull-record%2FWOS:000982639500001","View Full Record in Web of Science")</f>
        <v>View Full Record in Web of Science</v>
      </c>
    </row>
    <row r="395" spans="1:72" x14ac:dyDescent="0.4">
      <c r="A395" t="s">
        <v>72</v>
      </c>
      <c r="B395" t="s">
        <v>7002</v>
      </c>
      <c r="C395" t="s">
        <v>74</v>
      </c>
      <c r="D395" t="s">
        <v>74</v>
      </c>
      <c r="E395" t="s">
        <v>74</v>
      </c>
      <c r="F395" t="s">
        <v>7002</v>
      </c>
      <c r="G395" t="s">
        <v>74</v>
      </c>
      <c r="H395" t="s">
        <v>74</v>
      </c>
      <c r="I395" t="s">
        <v>7003</v>
      </c>
      <c r="J395" t="s">
        <v>140</v>
      </c>
      <c r="K395" t="s">
        <v>74</v>
      </c>
      <c r="L395" t="s">
        <v>74</v>
      </c>
      <c r="M395" t="s">
        <v>74</v>
      </c>
      <c r="N395" t="s">
        <v>74</v>
      </c>
      <c r="O395" t="s">
        <v>74</v>
      </c>
      <c r="P395" t="s">
        <v>74</v>
      </c>
      <c r="Q395" t="s">
        <v>74</v>
      </c>
      <c r="R395" t="s">
        <v>74</v>
      </c>
      <c r="S395" t="s">
        <v>74</v>
      </c>
      <c r="T395" t="s">
        <v>74</v>
      </c>
      <c r="U395" t="s">
        <v>74</v>
      </c>
      <c r="V395" s="3" t="s">
        <v>7004</v>
      </c>
      <c r="W395" t="s">
        <v>74</v>
      </c>
      <c r="X395" t="s">
        <v>74</v>
      </c>
      <c r="Y395" t="s">
        <v>74</v>
      </c>
      <c r="Z395" t="s">
        <v>74</v>
      </c>
      <c r="AA395" t="s">
        <v>74</v>
      </c>
      <c r="AB395" t="s">
        <v>74</v>
      </c>
      <c r="AC395" t="s">
        <v>74</v>
      </c>
      <c r="AD395" t="s">
        <v>74</v>
      </c>
      <c r="AE395" t="s">
        <v>74</v>
      </c>
      <c r="AF395" t="s">
        <v>74</v>
      </c>
      <c r="AG395" t="s">
        <v>74</v>
      </c>
      <c r="AH395" t="s">
        <v>74</v>
      </c>
      <c r="AI395" t="s">
        <v>74</v>
      </c>
      <c r="AJ395" t="s">
        <v>74</v>
      </c>
      <c r="AK395" t="s">
        <v>74</v>
      </c>
      <c r="AL395" t="s">
        <v>74</v>
      </c>
      <c r="AM395" t="s">
        <v>74</v>
      </c>
      <c r="AN395" t="s">
        <v>74</v>
      </c>
      <c r="AO395" t="s">
        <v>143</v>
      </c>
      <c r="AP395" t="s">
        <v>144</v>
      </c>
      <c r="AQ395" t="s">
        <v>74</v>
      </c>
      <c r="AR395" t="s">
        <v>74</v>
      </c>
      <c r="AS395" t="s">
        <v>74</v>
      </c>
      <c r="AT395" t="s">
        <v>633</v>
      </c>
      <c r="AU395">
        <v>2005</v>
      </c>
      <c r="AV395">
        <v>69</v>
      </c>
      <c r="AW395" t="s">
        <v>74</v>
      </c>
      <c r="AX395">
        <v>4</v>
      </c>
      <c r="AY395" t="s">
        <v>74</v>
      </c>
      <c r="AZ395" t="s">
        <v>74</v>
      </c>
      <c r="BA395" t="s">
        <v>74</v>
      </c>
      <c r="BB395">
        <v>999</v>
      </c>
      <c r="BC395">
        <v>1005</v>
      </c>
      <c r="BD395" t="s">
        <v>74</v>
      </c>
      <c r="BE395" t="s">
        <v>7005</v>
      </c>
      <c r="BF395" t="str">
        <f>HYPERLINK("http://dx.doi.org/10.1016/j.anbehav.2004.07.016","http://dx.doi.org/10.1016/j.anbehav.2004.07.016")</f>
        <v>http://dx.doi.org/10.1016/j.anbehav.2004.07.016</v>
      </c>
      <c r="BG395" t="s">
        <v>74</v>
      </c>
      <c r="BH395" t="s">
        <v>74</v>
      </c>
      <c r="BI395" t="s">
        <v>74</v>
      </c>
      <c r="BJ395" t="s">
        <v>74</v>
      </c>
      <c r="BK395" t="s">
        <v>74</v>
      </c>
      <c r="BL395" t="s">
        <v>74</v>
      </c>
      <c r="BM395" t="s">
        <v>74</v>
      </c>
      <c r="BN395" t="s">
        <v>74</v>
      </c>
      <c r="BO395" t="s">
        <v>74</v>
      </c>
      <c r="BP395" t="s">
        <v>74</v>
      </c>
      <c r="BQ395" t="s">
        <v>74</v>
      </c>
      <c r="BR395" t="s">
        <v>74</v>
      </c>
      <c r="BS395" t="s">
        <v>7006</v>
      </c>
      <c r="BT395" t="str">
        <f>HYPERLINK("https%3A%2F%2Fwww.webofscience.com%2Fwos%2Fwoscc%2Ffull-record%2FWOS:000228511900028","View Full Record in Web of Science")</f>
        <v>View Full Record in Web of Science</v>
      </c>
    </row>
    <row r="396" spans="1:72" x14ac:dyDescent="0.4">
      <c r="A396" t="s">
        <v>72</v>
      </c>
      <c r="B396" t="s">
        <v>4143</v>
      </c>
      <c r="C396" t="s">
        <v>74</v>
      </c>
      <c r="D396" t="s">
        <v>74</v>
      </c>
      <c r="E396" t="s">
        <v>74</v>
      </c>
      <c r="F396" t="s">
        <v>4143</v>
      </c>
      <c r="G396" t="s">
        <v>74</v>
      </c>
      <c r="H396" t="s">
        <v>74</v>
      </c>
      <c r="I396" t="s">
        <v>4144</v>
      </c>
      <c r="J396" t="s">
        <v>4145</v>
      </c>
      <c r="K396" t="s">
        <v>74</v>
      </c>
      <c r="L396" t="s">
        <v>74</v>
      </c>
      <c r="M396" t="s">
        <v>74</v>
      </c>
      <c r="N396" t="s">
        <v>74</v>
      </c>
      <c r="O396" t="s">
        <v>74</v>
      </c>
      <c r="P396" t="s">
        <v>74</v>
      </c>
      <c r="Q396" t="s">
        <v>74</v>
      </c>
      <c r="R396" t="s">
        <v>74</v>
      </c>
      <c r="S396" t="s">
        <v>74</v>
      </c>
      <c r="T396" t="s">
        <v>74</v>
      </c>
      <c r="U396" t="s">
        <v>74</v>
      </c>
      <c r="V396" s="3" t="s">
        <v>4146</v>
      </c>
      <c r="W396" t="s">
        <v>74</v>
      </c>
      <c r="X396" t="s">
        <v>74</v>
      </c>
      <c r="Y396" t="s">
        <v>74</v>
      </c>
      <c r="Z396" t="s">
        <v>74</v>
      </c>
      <c r="AA396" t="s">
        <v>74</v>
      </c>
      <c r="AB396" t="s">
        <v>74</v>
      </c>
      <c r="AC396" t="s">
        <v>74</v>
      </c>
      <c r="AD396" t="s">
        <v>74</v>
      </c>
      <c r="AE396" t="s">
        <v>74</v>
      </c>
      <c r="AF396" t="s">
        <v>74</v>
      </c>
      <c r="AG396" t="s">
        <v>74</v>
      </c>
      <c r="AH396" t="s">
        <v>74</v>
      </c>
      <c r="AI396" t="s">
        <v>74</v>
      </c>
      <c r="AJ396" t="s">
        <v>74</v>
      </c>
      <c r="AK396" t="s">
        <v>74</v>
      </c>
      <c r="AL396" t="s">
        <v>74</v>
      </c>
      <c r="AM396" t="s">
        <v>74</v>
      </c>
      <c r="AN396" t="s">
        <v>74</v>
      </c>
      <c r="AO396" t="s">
        <v>4147</v>
      </c>
      <c r="AP396" t="s">
        <v>74</v>
      </c>
      <c r="AQ396" t="s">
        <v>74</v>
      </c>
      <c r="AR396" t="s">
        <v>74</v>
      </c>
      <c r="AS396" t="s">
        <v>74</v>
      </c>
      <c r="AT396" t="s">
        <v>964</v>
      </c>
      <c r="AU396">
        <v>2003</v>
      </c>
      <c r="AV396">
        <v>189</v>
      </c>
      <c r="AW396">
        <v>2</v>
      </c>
      <c r="AX396" t="s">
        <v>74</v>
      </c>
      <c r="AY396" t="s">
        <v>74</v>
      </c>
      <c r="AZ396" t="s">
        <v>74</v>
      </c>
      <c r="BA396" t="s">
        <v>74</v>
      </c>
      <c r="BB396">
        <v>135</v>
      </c>
      <c r="BC396">
        <v>142</v>
      </c>
      <c r="BD396" t="s">
        <v>74</v>
      </c>
      <c r="BE396" t="s">
        <v>4148</v>
      </c>
      <c r="BF396" t="str">
        <f>HYPERLINK("http://dx.doi.org/10.1007/s00359-002-0385-8","http://dx.doi.org/10.1007/s00359-002-0385-8")</f>
        <v>http://dx.doi.org/10.1007/s00359-002-0385-8</v>
      </c>
      <c r="BG396" t="s">
        <v>74</v>
      </c>
      <c r="BH396" t="s">
        <v>74</v>
      </c>
      <c r="BI396" t="s">
        <v>74</v>
      </c>
      <c r="BJ396" t="s">
        <v>74</v>
      </c>
      <c r="BK396" t="s">
        <v>74</v>
      </c>
      <c r="BL396" t="s">
        <v>74</v>
      </c>
      <c r="BM396" t="s">
        <v>74</v>
      </c>
      <c r="BN396">
        <v>12607042</v>
      </c>
      <c r="BO396" t="s">
        <v>74</v>
      </c>
      <c r="BP396" t="s">
        <v>74</v>
      </c>
      <c r="BQ396" t="s">
        <v>74</v>
      </c>
      <c r="BR396" t="s">
        <v>74</v>
      </c>
      <c r="BS396" t="s">
        <v>4149</v>
      </c>
      <c r="BT396" t="str">
        <f>HYPERLINK("https%3A%2F%2Fwww.webofscience.com%2Fwos%2Fwoscc%2Ffull-record%2FWOS:000181896800007","View Full Record in Web of Science")</f>
        <v>View Full Record in Web of Science</v>
      </c>
    </row>
    <row r="397" spans="1:72" x14ac:dyDescent="0.4">
      <c r="A397" t="s">
        <v>72</v>
      </c>
      <c r="B397" t="s">
        <v>7768</v>
      </c>
      <c r="C397" t="s">
        <v>74</v>
      </c>
      <c r="D397" t="s">
        <v>74</v>
      </c>
      <c r="E397" t="s">
        <v>74</v>
      </c>
      <c r="F397" t="s">
        <v>7769</v>
      </c>
      <c r="G397" t="s">
        <v>74</v>
      </c>
      <c r="H397" t="s">
        <v>74</v>
      </c>
      <c r="I397" t="s">
        <v>7770</v>
      </c>
      <c r="J397" t="s">
        <v>1656</v>
      </c>
      <c r="K397" t="s">
        <v>74</v>
      </c>
      <c r="L397" t="s">
        <v>74</v>
      </c>
      <c r="M397" t="s">
        <v>74</v>
      </c>
      <c r="N397" t="s">
        <v>74</v>
      </c>
      <c r="O397" t="s">
        <v>74</v>
      </c>
      <c r="P397" t="s">
        <v>74</v>
      </c>
      <c r="Q397" t="s">
        <v>74</v>
      </c>
      <c r="R397" t="s">
        <v>74</v>
      </c>
      <c r="S397" t="s">
        <v>74</v>
      </c>
      <c r="T397" t="s">
        <v>74</v>
      </c>
      <c r="U397" t="s">
        <v>74</v>
      </c>
      <c r="V397" s="3" t="s">
        <v>7771</v>
      </c>
      <c r="W397" t="s">
        <v>74</v>
      </c>
      <c r="X397" t="s">
        <v>74</v>
      </c>
      <c r="Y397" t="s">
        <v>74</v>
      </c>
      <c r="Z397" t="s">
        <v>74</v>
      </c>
      <c r="AA397" t="s">
        <v>7772</v>
      </c>
      <c r="AB397" t="s">
        <v>7773</v>
      </c>
      <c r="AC397" t="s">
        <v>74</v>
      </c>
      <c r="AD397" t="s">
        <v>74</v>
      </c>
      <c r="AE397" t="s">
        <v>74</v>
      </c>
      <c r="AF397" t="s">
        <v>74</v>
      </c>
      <c r="AG397" t="s">
        <v>74</v>
      </c>
      <c r="AH397" t="s">
        <v>74</v>
      </c>
      <c r="AI397" t="s">
        <v>74</v>
      </c>
      <c r="AJ397" t="s">
        <v>74</v>
      </c>
      <c r="AK397" t="s">
        <v>74</v>
      </c>
      <c r="AL397" t="s">
        <v>74</v>
      </c>
      <c r="AM397" t="s">
        <v>74</v>
      </c>
      <c r="AN397" t="s">
        <v>74</v>
      </c>
      <c r="AO397" t="s">
        <v>1658</v>
      </c>
      <c r="AP397" t="s">
        <v>1659</v>
      </c>
      <c r="AQ397" t="s">
        <v>74</v>
      </c>
      <c r="AR397" t="s">
        <v>74</v>
      </c>
      <c r="AS397" t="s">
        <v>74</v>
      </c>
      <c r="AT397" t="s">
        <v>7774</v>
      </c>
      <c r="AU397">
        <v>2020</v>
      </c>
      <c r="AV397">
        <v>4819</v>
      </c>
      <c r="AW397">
        <v>2</v>
      </c>
      <c r="AX397" t="s">
        <v>74</v>
      </c>
      <c r="AY397" t="s">
        <v>74</v>
      </c>
      <c r="AZ397" t="s">
        <v>74</v>
      </c>
      <c r="BA397" t="s">
        <v>74</v>
      </c>
      <c r="BB397">
        <v>316</v>
      </c>
      <c r="BC397">
        <v>334</v>
      </c>
      <c r="BD397" t="s">
        <v>74</v>
      </c>
      <c r="BE397" t="s">
        <v>7775</v>
      </c>
      <c r="BF397" t="str">
        <f>HYPERLINK("http://dx.doi.org/10.11646/zootaxa.4819.2.5","http://dx.doi.org/10.11646/zootaxa.4819.2.5")</f>
        <v>http://dx.doi.org/10.11646/zootaxa.4819.2.5</v>
      </c>
      <c r="BG397" t="s">
        <v>74</v>
      </c>
      <c r="BH397" t="s">
        <v>74</v>
      </c>
      <c r="BI397" t="s">
        <v>74</v>
      </c>
      <c r="BJ397" t="s">
        <v>74</v>
      </c>
      <c r="BK397" t="s">
        <v>74</v>
      </c>
      <c r="BL397" t="s">
        <v>74</v>
      </c>
      <c r="BM397" t="s">
        <v>74</v>
      </c>
      <c r="BN397">
        <v>33055661</v>
      </c>
      <c r="BO397" t="s">
        <v>74</v>
      </c>
      <c r="BP397" t="s">
        <v>74</v>
      </c>
      <c r="BQ397" t="s">
        <v>74</v>
      </c>
      <c r="BR397" t="s">
        <v>74</v>
      </c>
      <c r="BS397" t="s">
        <v>7776</v>
      </c>
      <c r="BT397" t="str">
        <f>HYPERLINK("https%3A%2F%2Fwww.webofscience.com%2Fwos%2Fwoscc%2Ffull-record%2FWOS:000552250100005","View Full Record in Web of Science")</f>
        <v>View Full Record in Web of Science</v>
      </c>
    </row>
    <row r="398" spans="1:72" x14ac:dyDescent="0.4">
      <c r="A398" t="s">
        <v>72</v>
      </c>
      <c r="B398" t="s">
        <v>8259</v>
      </c>
      <c r="C398" t="s">
        <v>74</v>
      </c>
      <c r="D398" t="s">
        <v>74</v>
      </c>
      <c r="E398" t="s">
        <v>74</v>
      </c>
      <c r="F398" t="s">
        <v>8259</v>
      </c>
      <c r="G398" t="s">
        <v>74</v>
      </c>
      <c r="H398" t="s">
        <v>74</v>
      </c>
      <c r="I398" t="s">
        <v>8260</v>
      </c>
      <c r="J398" t="s">
        <v>77</v>
      </c>
      <c r="K398" t="s">
        <v>74</v>
      </c>
      <c r="L398" t="s">
        <v>74</v>
      </c>
      <c r="M398" t="s">
        <v>74</v>
      </c>
      <c r="N398" t="s">
        <v>74</v>
      </c>
      <c r="O398" t="s">
        <v>74</v>
      </c>
      <c r="P398" t="s">
        <v>74</v>
      </c>
      <c r="Q398" t="s">
        <v>74</v>
      </c>
      <c r="R398" t="s">
        <v>74</v>
      </c>
      <c r="S398" t="s">
        <v>74</v>
      </c>
      <c r="T398" t="s">
        <v>74</v>
      </c>
      <c r="U398" t="s">
        <v>74</v>
      </c>
      <c r="V398" s="3" t="s">
        <v>8261</v>
      </c>
      <c r="W398" t="s">
        <v>74</v>
      </c>
      <c r="X398" t="s">
        <v>74</v>
      </c>
      <c r="Y398" t="s">
        <v>74</v>
      </c>
      <c r="Z398" t="s">
        <v>74</v>
      </c>
      <c r="AA398" t="s">
        <v>8262</v>
      </c>
      <c r="AB398" t="s">
        <v>8263</v>
      </c>
      <c r="AC398" t="s">
        <v>74</v>
      </c>
      <c r="AD398" t="s">
        <v>74</v>
      </c>
      <c r="AE398" t="s">
        <v>74</v>
      </c>
      <c r="AF398" t="s">
        <v>74</v>
      </c>
      <c r="AG398" t="s">
        <v>74</v>
      </c>
      <c r="AH398" t="s">
        <v>74</v>
      </c>
      <c r="AI398" t="s">
        <v>74</v>
      </c>
      <c r="AJ398" t="s">
        <v>74</v>
      </c>
      <c r="AK398" t="s">
        <v>74</v>
      </c>
      <c r="AL398" t="s">
        <v>74</v>
      </c>
      <c r="AM398" t="s">
        <v>74</v>
      </c>
      <c r="AN398" t="s">
        <v>74</v>
      </c>
      <c r="AO398" t="s">
        <v>81</v>
      </c>
      <c r="AP398" t="s">
        <v>82</v>
      </c>
      <c r="AQ398" t="s">
        <v>74</v>
      </c>
      <c r="AR398" t="s">
        <v>74</v>
      </c>
      <c r="AS398" t="s">
        <v>74</v>
      </c>
      <c r="AT398" t="s">
        <v>102</v>
      </c>
      <c r="AU398">
        <v>2005</v>
      </c>
      <c r="AV398">
        <v>142</v>
      </c>
      <c r="AW398" t="s">
        <v>74</v>
      </c>
      <c r="AX398">
        <v>6</v>
      </c>
      <c r="AY398" t="s">
        <v>74</v>
      </c>
      <c r="AZ398" t="s">
        <v>74</v>
      </c>
      <c r="BA398" t="s">
        <v>74</v>
      </c>
      <c r="BB398">
        <v>827</v>
      </c>
      <c r="BC398">
        <v>844</v>
      </c>
      <c r="BD398" t="s">
        <v>74</v>
      </c>
      <c r="BE398" t="s">
        <v>8264</v>
      </c>
      <c r="BF398" t="str">
        <f>HYPERLINK("http://dx.doi.org/10.1163/1568539054729141","http://dx.doi.org/10.1163/1568539054729141")</f>
        <v>http://dx.doi.org/10.1163/1568539054729141</v>
      </c>
      <c r="BG398" t="s">
        <v>74</v>
      </c>
      <c r="BH398" t="s">
        <v>74</v>
      </c>
      <c r="BI398" t="s">
        <v>74</v>
      </c>
      <c r="BJ398" t="s">
        <v>74</v>
      </c>
      <c r="BK398" t="s">
        <v>74</v>
      </c>
      <c r="BL398" t="s">
        <v>74</v>
      </c>
      <c r="BM398" t="s">
        <v>74</v>
      </c>
      <c r="BN398" t="s">
        <v>74</v>
      </c>
      <c r="BO398" t="s">
        <v>74</v>
      </c>
      <c r="BP398" t="s">
        <v>74</v>
      </c>
      <c r="BQ398" t="s">
        <v>74</v>
      </c>
      <c r="BR398" t="s">
        <v>74</v>
      </c>
      <c r="BS398" t="s">
        <v>8265</v>
      </c>
      <c r="BT398" t="str">
        <f>HYPERLINK("https%3A%2F%2Fwww.webofscience.com%2Fwos%2Fwoscc%2Ffull-record%2FWOS:000231869400008","View Full Record in Web of Science")</f>
        <v>View Full Record in Web of Science</v>
      </c>
    </row>
    <row r="399" spans="1:72" x14ac:dyDescent="0.4">
      <c r="A399" t="s">
        <v>72</v>
      </c>
      <c r="B399" t="s">
        <v>5504</v>
      </c>
      <c r="C399" t="s">
        <v>74</v>
      </c>
      <c r="D399" t="s">
        <v>74</v>
      </c>
      <c r="E399" t="s">
        <v>74</v>
      </c>
      <c r="F399" t="s">
        <v>5505</v>
      </c>
      <c r="G399" t="s">
        <v>74</v>
      </c>
      <c r="H399" t="s">
        <v>74</v>
      </c>
      <c r="I399" t="s">
        <v>5506</v>
      </c>
      <c r="J399" t="s">
        <v>545</v>
      </c>
      <c r="K399" t="s">
        <v>74</v>
      </c>
      <c r="L399" t="s">
        <v>74</v>
      </c>
      <c r="M399" t="s">
        <v>74</v>
      </c>
      <c r="N399" t="s">
        <v>74</v>
      </c>
      <c r="O399" t="s">
        <v>74</v>
      </c>
      <c r="P399" t="s">
        <v>74</v>
      </c>
      <c r="Q399" t="s">
        <v>74</v>
      </c>
      <c r="R399" t="s">
        <v>74</v>
      </c>
      <c r="S399" t="s">
        <v>74</v>
      </c>
      <c r="T399" t="s">
        <v>74</v>
      </c>
      <c r="U399" t="s">
        <v>74</v>
      </c>
      <c r="V399" s="3" t="s">
        <v>5507</v>
      </c>
      <c r="W399" t="s">
        <v>74</v>
      </c>
      <c r="X399" t="s">
        <v>74</v>
      </c>
      <c r="Y399" t="s">
        <v>74</v>
      </c>
      <c r="Z399" t="s">
        <v>74</v>
      </c>
      <c r="AA399" t="s">
        <v>5508</v>
      </c>
      <c r="AB399" t="s">
        <v>5509</v>
      </c>
      <c r="AC399" t="s">
        <v>74</v>
      </c>
      <c r="AD399" t="s">
        <v>74</v>
      </c>
      <c r="AE399" t="s">
        <v>74</v>
      </c>
      <c r="AF399" t="s">
        <v>74</v>
      </c>
      <c r="AG399" t="s">
        <v>74</v>
      </c>
      <c r="AH399" t="s">
        <v>74</v>
      </c>
      <c r="AI399" t="s">
        <v>74</v>
      </c>
      <c r="AJ399" t="s">
        <v>74</v>
      </c>
      <c r="AK399" t="s">
        <v>74</v>
      </c>
      <c r="AL399" t="s">
        <v>74</v>
      </c>
      <c r="AM399" t="s">
        <v>74</v>
      </c>
      <c r="AN399" t="s">
        <v>74</v>
      </c>
      <c r="AO399" t="s">
        <v>547</v>
      </c>
      <c r="AP399" t="s">
        <v>74</v>
      </c>
      <c r="AQ399" t="s">
        <v>74</v>
      </c>
      <c r="AR399" t="s">
        <v>74</v>
      </c>
      <c r="AS399" t="s">
        <v>74</v>
      </c>
      <c r="AT399" t="s">
        <v>213</v>
      </c>
      <c r="AU399">
        <v>2021</v>
      </c>
      <c r="AV399">
        <v>295</v>
      </c>
      <c r="AW399" t="s">
        <v>74</v>
      </c>
      <c r="AX399" t="s">
        <v>74</v>
      </c>
      <c r="AY399" t="s">
        <v>74</v>
      </c>
      <c r="AZ399" t="s">
        <v>74</v>
      </c>
      <c r="BA399" t="s">
        <v>74</v>
      </c>
      <c r="BB399">
        <v>1</v>
      </c>
      <c r="BC399">
        <v>11</v>
      </c>
      <c r="BD399" t="s">
        <v>74</v>
      </c>
      <c r="BE399" t="s">
        <v>5510</v>
      </c>
      <c r="BF399" t="str">
        <f>HYPERLINK("http://dx.doi.org/10.1016/j.jcz.2021.08.009","http://dx.doi.org/10.1016/j.jcz.2021.08.009")</f>
        <v>http://dx.doi.org/10.1016/j.jcz.2021.08.009</v>
      </c>
      <c r="BG399" t="s">
        <v>74</v>
      </c>
      <c r="BH399" t="s">
        <v>675</v>
      </c>
      <c r="BI399" t="s">
        <v>74</v>
      </c>
      <c r="BJ399" t="s">
        <v>74</v>
      </c>
      <c r="BK399" t="s">
        <v>74</v>
      </c>
      <c r="BL399" t="s">
        <v>74</v>
      </c>
      <c r="BM399" t="s">
        <v>74</v>
      </c>
      <c r="BN399" t="s">
        <v>74</v>
      </c>
      <c r="BO399" t="s">
        <v>74</v>
      </c>
      <c r="BP399" t="s">
        <v>74</v>
      </c>
      <c r="BQ399" t="s">
        <v>74</v>
      </c>
      <c r="BR399" t="s">
        <v>74</v>
      </c>
      <c r="BS399" t="s">
        <v>5511</v>
      </c>
      <c r="BT399" t="str">
        <f>HYPERLINK("https%3A%2F%2Fwww.webofscience.com%2Fwos%2Fwoscc%2Ffull-record%2FWOS:000697574600001","View Full Record in Web of Science")</f>
        <v>View Full Record in Web of Science</v>
      </c>
    </row>
    <row r="400" spans="1:72" x14ac:dyDescent="0.4">
      <c r="A400" t="s">
        <v>72</v>
      </c>
      <c r="B400" t="s">
        <v>5202</v>
      </c>
      <c r="C400" t="s">
        <v>74</v>
      </c>
      <c r="D400" t="s">
        <v>74</v>
      </c>
      <c r="E400" t="s">
        <v>74</v>
      </c>
      <c r="F400" t="s">
        <v>5203</v>
      </c>
      <c r="G400" t="s">
        <v>74</v>
      </c>
      <c r="H400" t="s">
        <v>74</v>
      </c>
      <c r="I400" t="s">
        <v>5204</v>
      </c>
      <c r="J400" t="s">
        <v>108</v>
      </c>
      <c r="K400" t="s">
        <v>74</v>
      </c>
      <c r="L400" t="s">
        <v>74</v>
      </c>
      <c r="M400" t="s">
        <v>74</v>
      </c>
      <c r="N400" t="s">
        <v>74</v>
      </c>
      <c r="O400" t="s">
        <v>74</v>
      </c>
      <c r="P400" t="s">
        <v>74</v>
      </c>
      <c r="Q400" t="s">
        <v>74</v>
      </c>
      <c r="R400" t="s">
        <v>74</v>
      </c>
      <c r="S400" t="s">
        <v>74</v>
      </c>
      <c r="T400" t="s">
        <v>74</v>
      </c>
      <c r="U400" t="s">
        <v>74</v>
      </c>
      <c r="V400" s="3" t="s">
        <v>5205</v>
      </c>
      <c r="W400" t="s">
        <v>74</v>
      </c>
      <c r="X400" t="s">
        <v>74</v>
      </c>
      <c r="Y400" t="s">
        <v>74</v>
      </c>
      <c r="Z400" t="s">
        <v>74</v>
      </c>
      <c r="AA400" t="s">
        <v>5206</v>
      </c>
      <c r="AB400" t="s">
        <v>5207</v>
      </c>
      <c r="AC400" t="s">
        <v>74</v>
      </c>
      <c r="AD400" t="s">
        <v>74</v>
      </c>
      <c r="AE400" t="s">
        <v>74</v>
      </c>
      <c r="AF400" t="s">
        <v>74</v>
      </c>
      <c r="AG400" t="s">
        <v>74</v>
      </c>
      <c r="AH400" t="s">
        <v>74</v>
      </c>
      <c r="AI400" t="s">
        <v>74</v>
      </c>
      <c r="AJ400" t="s">
        <v>74</v>
      </c>
      <c r="AK400" t="s">
        <v>74</v>
      </c>
      <c r="AL400" t="s">
        <v>74</v>
      </c>
      <c r="AM400" t="s">
        <v>74</v>
      </c>
      <c r="AN400" t="s">
        <v>74</v>
      </c>
      <c r="AO400" t="s">
        <v>111</v>
      </c>
      <c r="AP400" t="s">
        <v>112</v>
      </c>
      <c r="AQ400" t="s">
        <v>74</v>
      </c>
      <c r="AR400" t="s">
        <v>74</v>
      </c>
      <c r="AS400" t="s">
        <v>74</v>
      </c>
      <c r="AT400" t="s">
        <v>5208</v>
      </c>
      <c r="AU400">
        <v>2020</v>
      </c>
      <c r="AV400">
        <v>287</v>
      </c>
      <c r="AW400">
        <v>1926</v>
      </c>
      <c r="AX400" t="s">
        <v>74</v>
      </c>
      <c r="AY400" t="s">
        <v>74</v>
      </c>
      <c r="AZ400" t="s">
        <v>74</v>
      </c>
      <c r="BA400" t="s">
        <v>74</v>
      </c>
      <c r="BB400" t="s">
        <v>74</v>
      </c>
      <c r="BC400" t="s">
        <v>74</v>
      </c>
      <c r="BD400" t="s">
        <v>74</v>
      </c>
      <c r="BE400" t="s">
        <v>5209</v>
      </c>
      <c r="BF400" t="str">
        <f>HYPERLINK("http://dx.doi.org/10.1098/rspb.2020.0587","http://dx.doi.org/10.1098/rspb.2020.0587")</f>
        <v>http://dx.doi.org/10.1098/rspb.2020.0587</v>
      </c>
      <c r="BG400" t="s">
        <v>74</v>
      </c>
      <c r="BH400" t="s">
        <v>74</v>
      </c>
      <c r="BI400" t="s">
        <v>74</v>
      </c>
      <c r="BJ400" t="s">
        <v>74</v>
      </c>
      <c r="BK400" t="s">
        <v>74</v>
      </c>
      <c r="BL400" t="s">
        <v>74</v>
      </c>
      <c r="BM400" t="s">
        <v>74</v>
      </c>
      <c r="BN400">
        <v>32370676</v>
      </c>
      <c r="BO400" t="s">
        <v>74</v>
      </c>
      <c r="BP400" t="s">
        <v>74</v>
      </c>
      <c r="BQ400" t="s">
        <v>74</v>
      </c>
      <c r="BR400" t="s">
        <v>74</v>
      </c>
      <c r="BS400" t="s">
        <v>5210</v>
      </c>
      <c r="BT400" t="str">
        <f>HYPERLINK("https%3A%2F%2Fwww.webofscience.com%2Fwos%2Fwoscc%2Ffull-record%2FWOS:000540446700001","View Full Record in Web of Science")</f>
        <v>View Full Record in Web of Science</v>
      </c>
    </row>
    <row r="401" spans="1:72" x14ac:dyDescent="0.4">
      <c r="A401" t="s">
        <v>72</v>
      </c>
      <c r="B401" t="s">
        <v>6198</v>
      </c>
      <c r="C401" t="s">
        <v>74</v>
      </c>
      <c r="D401" t="s">
        <v>74</v>
      </c>
      <c r="E401" t="s">
        <v>74</v>
      </c>
      <c r="F401" t="s">
        <v>6198</v>
      </c>
      <c r="G401" t="s">
        <v>74</v>
      </c>
      <c r="H401" t="s">
        <v>74</v>
      </c>
      <c r="I401" t="s">
        <v>6199</v>
      </c>
      <c r="J401" t="s">
        <v>6200</v>
      </c>
      <c r="K401" t="s">
        <v>74</v>
      </c>
      <c r="L401" t="s">
        <v>74</v>
      </c>
      <c r="M401" t="s">
        <v>74</v>
      </c>
      <c r="N401" t="s">
        <v>74</v>
      </c>
      <c r="O401" t="s">
        <v>74</v>
      </c>
      <c r="P401" t="s">
        <v>74</v>
      </c>
      <c r="Q401" t="s">
        <v>74</v>
      </c>
      <c r="R401" t="s">
        <v>74</v>
      </c>
      <c r="S401" t="s">
        <v>74</v>
      </c>
      <c r="T401" t="s">
        <v>74</v>
      </c>
      <c r="U401" t="s">
        <v>74</v>
      </c>
      <c r="V401" s="3" t="s">
        <v>6201</v>
      </c>
      <c r="W401" t="s">
        <v>74</v>
      </c>
      <c r="X401" t="s">
        <v>74</v>
      </c>
      <c r="Y401" t="s">
        <v>74</v>
      </c>
      <c r="Z401" t="s">
        <v>74</v>
      </c>
      <c r="AA401" t="s">
        <v>74</v>
      </c>
      <c r="AB401" t="s">
        <v>74</v>
      </c>
      <c r="AC401" t="s">
        <v>74</v>
      </c>
      <c r="AD401" t="s">
        <v>74</v>
      </c>
      <c r="AE401" t="s">
        <v>74</v>
      </c>
      <c r="AF401" t="s">
        <v>74</v>
      </c>
      <c r="AG401" t="s">
        <v>74</v>
      </c>
      <c r="AH401" t="s">
        <v>74</v>
      </c>
      <c r="AI401" t="s">
        <v>74</v>
      </c>
      <c r="AJ401" t="s">
        <v>74</v>
      </c>
      <c r="AK401" t="s">
        <v>74</v>
      </c>
      <c r="AL401" t="s">
        <v>74</v>
      </c>
      <c r="AM401" t="s">
        <v>74</v>
      </c>
      <c r="AN401" t="s">
        <v>74</v>
      </c>
      <c r="AO401" t="s">
        <v>6202</v>
      </c>
      <c r="AP401" t="s">
        <v>74</v>
      </c>
      <c r="AQ401" t="s">
        <v>74</v>
      </c>
      <c r="AR401" t="s">
        <v>74</v>
      </c>
      <c r="AS401" t="s">
        <v>74</v>
      </c>
      <c r="AT401" t="s">
        <v>1620</v>
      </c>
      <c r="AU401">
        <v>1999</v>
      </c>
      <c r="AV401">
        <v>42</v>
      </c>
      <c r="AW401">
        <v>3</v>
      </c>
      <c r="AX401" t="s">
        <v>74</v>
      </c>
      <c r="AY401" t="s">
        <v>74</v>
      </c>
      <c r="AZ401" t="s">
        <v>74</v>
      </c>
      <c r="BA401" t="s">
        <v>74</v>
      </c>
      <c r="BB401">
        <v>201</v>
      </c>
      <c r="BC401">
        <v>210</v>
      </c>
      <c r="BD401" t="s">
        <v>74</v>
      </c>
      <c r="BE401" t="s">
        <v>74</v>
      </c>
      <c r="BF401" t="s">
        <v>74</v>
      </c>
      <c r="BG401" t="s">
        <v>74</v>
      </c>
      <c r="BH401" t="s">
        <v>74</v>
      </c>
      <c r="BI401" t="s">
        <v>74</v>
      </c>
      <c r="BJ401" t="s">
        <v>74</v>
      </c>
      <c r="BK401" t="s">
        <v>74</v>
      </c>
      <c r="BL401" t="s">
        <v>74</v>
      </c>
      <c r="BM401" t="s">
        <v>74</v>
      </c>
      <c r="BN401" t="s">
        <v>74</v>
      </c>
      <c r="BO401" t="s">
        <v>74</v>
      </c>
      <c r="BP401" t="s">
        <v>74</v>
      </c>
      <c r="BQ401" t="s">
        <v>74</v>
      </c>
      <c r="BR401" t="s">
        <v>74</v>
      </c>
      <c r="BS401" t="s">
        <v>6203</v>
      </c>
      <c r="BT401" t="str">
        <f>HYPERLINK("https%3A%2F%2Fwww.webofscience.com%2Fwos%2Fwoscc%2Ffull-record%2FWOS:000081353100001","View Full Record in Web of Science")</f>
        <v>View Full Record in Web of Science</v>
      </c>
    </row>
    <row r="402" spans="1:72" x14ac:dyDescent="0.4">
      <c r="A402" t="s">
        <v>72</v>
      </c>
      <c r="B402" t="s">
        <v>8723</v>
      </c>
      <c r="C402" t="s">
        <v>74</v>
      </c>
      <c r="D402" t="s">
        <v>74</v>
      </c>
      <c r="E402" t="s">
        <v>74</v>
      </c>
      <c r="F402" t="s">
        <v>8724</v>
      </c>
      <c r="G402" t="s">
        <v>74</v>
      </c>
      <c r="H402" t="s">
        <v>74</v>
      </c>
      <c r="I402" t="s">
        <v>8725</v>
      </c>
      <c r="J402" t="s">
        <v>397</v>
      </c>
      <c r="K402" t="s">
        <v>74</v>
      </c>
      <c r="L402" t="s">
        <v>74</v>
      </c>
      <c r="M402" t="s">
        <v>74</v>
      </c>
      <c r="N402" t="s">
        <v>74</v>
      </c>
      <c r="O402" t="s">
        <v>74</v>
      </c>
      <c r="P402" t="s">
        <v>74</v>
      </c>
      <c r="Q402" t="s">
        <v>74</v>
      </c>
      <c r="R402" t="s">
        <v>74</v>
      </c>
      <c r="S402" t="s">
        <v>74</v>
      </c>
      <c r="T402" t="s">
        <v>74</v>
      </c>
      <c r="U402" t="s">
        <v>74</v>
      </c>
      <c r="V402" s="3" t="s">
        <v>8726</v>
      </c>
      <c r="W402" t="s">
        <v>74</v>
      </c>
      <c r="X402" t="s">
        <v>74</v>
      </c>
      <c r="Y402" t="s">
        <v>74</v>
      </c>
      <c r="Z402" t="s">
        <v>74</v>
      </c>
      <c r="AA402" t="s">
        <v>8727</v>
      </c>
      <c r="AB402" t="s">
        <v>8728</v>
      </c>
      <c r="AC402" t="s">
        <v>74</v>
      </c>
      <c r="AD402" t="s">
        <v>74</v>
      </c>
      <c r="AE402" t="s">
        <v>74</v>
      </c>
      <c r="AF402" t="s">
        <v>74</v>
      </c>
      <c r="AG402" t="s">
        <v>74</v>
      </c>
      <c r="AH402" t="s">
        <v>74</v>
      </c>
      <c r="AI402" t="s">
        <v>74</v>
      </c>
      <c r="AJ402" t="s">
        <v>74</v>
      </c>
      <c r="AK402" t="s">
        <v>74</v>
      </c>
      <c r="AL402" t="s">
        <v>74</v>
      </c>
      <c r="AM402" t="s">
        <v>74</v>
      </c>
      <c r="AN402" t="s">
        <v>74</v>
      </c>
      <c r="AO402" t="s">
        <v>401</v>
      </c>
      <c r="AP402" t="s">
        <v>402</v>
      </c>
      <c r="AQ402" t="s">
        <v>74</v>
      </c>
      <c r="AR402" t="s">
        <v>74</v>
      </c>
      <c r="AS402" t="s">
        <v>74</v>
      </c>
      <c r="AT402" t="s">
        <v>213</v>
      </c>
      <c r="AU402">
        <v>2013</v>
      </c>
      <c r="AV402">
        <v>12</v>
      </c>
      <c r="AW402">
        <v>8</v>
      </c>
      <c r="AX402" t="s">
        <v>74</v>
      </c>
      <c r="AY402" t="s">
        <v>74</v>
      </c>
      <c r="AZ402" t="s">
        <v>74</v>
      </c>
      <c r="BA402" t="s">
        <v>74</v>
      </c>
      <c r="BB402">
        <v>760</v>
      </c>
      <c r="BC402">
        <v>770</v>
      </c>
      <c r="BD402" t="s">
        <v>74</v>
      </c>
      <c r="BE402" t="s">
        <v>8729</v>
      </c>
      <c r="BF402" t="str">
        <f>HYPERLINK("http://dx.doi.org/10.1111/gbb.12088","http://dx.doi.org/10.1111/gbb.12088")</f>
        <v>http://dx.doi.org/10.1111/gbb.12088</v>
      </c>
      <c r="BG402" t="s">
        <v>74</v>
      </c>
      <c r="BH402" t="s">
        <v>74</v>
      </c>
      <c r="BI402" t="s">
        <v>74</v>
      </c>
      <c r="BJ402" t="s">
        <v>74</v>
      </c>
      <c r="BK402" t="s">
        <v>74</v>
      </c>
      <c r="BL402" t="s">
        <v>74</v>
      </c>
      <c r="BM402" t="s">
        <v>74</v>
      </c>
      <c r="BN402">
        <v>24034605</v>
      </c>
      <c r="BO402" t="s">
        <v>74</v>
      </c>
      <c r="BP402" t="s">
        <v>74</v>
      </c>
      <c r="BQ402" t="s">
        <v>74</v>
      </c>
      <c r="BR402" t="s">
        <v>74</v>
      </c>
      <c r="BS402" t="s">
        <v>8730</v>
      </c>
      <c r="BT402" t="str">
        <f>HYPERLINK("https%3A%2F%2Fwww.webofscience.com%2Fwos%2Fwoscc%2Ffull-record%2FWOS:000330101600002","View Full Record in Web of Science")</f>
        <v>View Full Record in Web of Science</v>
      </c>
    </row>
    <row r="403" spans="1:72" x14ac:dyDescent="0.4">
      <c r="A403" t="s">
        <v>72</v>
      </c>
      <c r="B403" t="s">
        <v>6520</v>
      </c>
      <c r="C403" t="s">
        <v>74</v>
      </c>
      <c r="D403" t="s">
        <v>74</v>
      </c>
      <c r="E403" t="s">
        <v>74</v>
      </c>
      <c r="F403" t="s">
        <v>6521</v>
      </c>
      <c r="G403" t="s">
        <v>74</v>
      </c>
      <c r="H403" t="s">
        <v>74</v>
      </c>
      <c r="I403" t="s">
        <v>6522</v>
      </c>
      <c r="J403" t="s">
        <v>129</v>
      </c>
      <c r="K403" t="s">
        <v>74</v>
      </c>
      <c r="L403" t="s">
        <v>74</v>
      </c>
      <c r="M403" t="s">
        <v>74</v>
      </c>
      <c r="N403" t="s">
        <v>74</v>
      </c>
      <c r="O403" t="s">
        <v>74</v>
      </c>
      <c r="P403" t="s">
        <v>74</v>
      </c>
      <c r="Q403" t="s">
        <v>74</v>
      </c>
      <c r="R403" t="s">
        <v>74</v>
      </c>
      <c r="S403" t="s">
        <v>74</v>
      </c>
      <c r="T403" t="s">
        <v>74</v>
      </c>
      <c r="U403" t="s">
        <v>74</v>
      </c>
      <c r="V403" s="3" t="s">
        <v>6523</v>
      </c>
      <c r="W403" t="s">
        <v>74</v>
      </c>
      <c r="X403" t="s">
        <v>74</v>
      </c>
      <c r="Y403" t="s">
        <v>74</v>
      </c>
      <c r="Z403" t="s">
        <v>74</v>
      </c>
      <c r="AA403" t="s">
        <v>6524</v>
      </c>
      <c r="AB403" t="s">
        <v>6525</v>
      </c>
      <c r="AC403" t="s">
        <v>74</v>
      </c>
      <c r="AD403" t="s">
        <v>74</v>
      </c>
      <c r="AE403" t="s">
        <v>74</v>
      </c>
      <c r="AF403" t="s">
        <v>74</v>
      </c>
      <c r="AG403" t="s">
        <v>74</v>
      </c>
      <c r="AH403" t="s">
        <v>74</v>
      </c>
      <c r="AI403" t="s">
        <v>74</v>
      </c>
      <c r="AJ403" t="s">
        <v>74</v>
      </c>
      <c r="AK403" t="s">
        <v>74</v>
      </c>
      <c r="AL403" t="s">
        <v>74</v>
      </c>
      <c r="AM403" t="s">
        <v>74</v>
      </c>
      <c r="AN403" t="s">
        <v>74</v>
      </c>
      <c r="AO403" t="s">
        <v>132</v>
      </c>
      <c r="AP403" t="s">
        <v>133</v>
      </c>
      <c r="AQ403" t="s">
        <v>74</v>
      </c>
      <c r="AR403" t="s">
        <v>74</v>
      </c>
      <c r="AS403" t="s">
        <v>74</v>
      </c>
      <c r="AT403" t="s">
        <v>6526</v>
      </c>
      <c r="AU403">
        <v>2020</v>
      </c>
      <c r="AV403">
        <v>74</v>
      </c>
      <c r="AW403">
        <v>11</v>
      </c>
      <c r="AX403" t="s">
        <v>74</v>
      </c>
      <c r="AY403" t="s">
        <v>74</v>
      </c>
      <c r="AZ403" t="s">
        <v>74</v>
      </c>
      <c r="BA403" t="s">
        <v>74</v>
      </c>
      <c r="BB403" t="s">
        <v>74</v>
      </c>
      <c r="BC403" t="s">
        <v>74</v>
      </c>
      <c r="BD403">
        <v>137</v>
      </c>
      <c r="BE403" t="s">
        <v>6527</v>
      </c>
      <c r="BF403" t="str">
        <f>HYPERLINK("http://dx.doi.org/10.1007/s00265-020-02920-2","http://dx.doi.org/10.1007/s00265-020-02920-2")</f>
        <v>http://dx.doi.org/10.1007/s00265-020-02920-2</v>
      </c>
      <c r="BG403" t="s">
        <v>74</v>
      </c>
      <c r="BH403" t="s">
        <v>74</v>
      </c>
      <c r="BI403" t="s">
        <v>74</v>
      </c>
      <c r="BJ403" t="s">
        <v>74</v>
      </c>
      <c r="BK403" t="s">
        <v>74</v>
      </c>
      <c r="BL403" t="s">
        <v>74</v>
      </c>
      <c r="BM403" t="s">
        <v>74</v>
      </c>
      <c r="BN403" t="s">
        <v>74</v>
      </c>
      <c r="BO403" t="s">
        <v>74</v>
      </c>
      <c r="BP403" t="s">
        <v>74</v>
      </c>
      <c r="BQ403" t="s">
        <v>74</v>
      </c>
      <c r="BR403" t="s">
        <v>74</v>
      </c>
      <c r="BS403" t="s">
        <v>6528</v>
      </c>
      <c r="BT403" t="str">
        <f>HYPERLINK("https%3A%2F%2Fwww.webofscience.com%2Fwos%2Fwoscc%2Ffull-record%2FWOS:000588357200001","View Full Record in Web of Science")</f>
        <v>View Full Record in Web of Science</v>
      </c>
    </row>
    <row r="404" spans="1:72" x14ac:dyDescent="0.4">
      <c r="A404" t="s">
        <v>72</v>
      </c>
      <c r="B404" t="s">
        <v>6739</v>
      </c>
      <c r="C404" t="s">
        <v>74</v>
      </c>
      <c r="D404" t="s">
        <v>74</v>
      </c>
      <c r="E404" t="s">
        <v>74</v>
      </c>
      <c r="F404" t="s">
        <v>6739</v>
      </c>
      <c r="G404" t="s">
        <v>74</v>
      </c>
      <c r="H404" t="s">
        <v>74</v>
      </c>
      <c r="I404" t="s">
        <v>6740</v>
      </c>
      <c r="J404" t="s">
        <v>201</v>
      </c>
      <c r="K404" t="s">
        <v>74</v>
      </c>
      <c r="L404" t="s">
        <v>74</v>
      </c>
      <c r="M404" t="s">
        <v>74</v>
      </c>
      <c r="N404" t="s">
        <v>74</v>
      </c>
      <c r="O404" t="s">
        <v>6741</v>
      </c>
      <c r="P404" t="s">
        <v>6742</v>
      </c>
      <c r="Q404" t="s">
        <v>6743</v>
      </c>
      <c r="R404" t="s">
        <v>6744</v>
      </c>
      <c r="S404" t="s">
        <v>74</v>
      </c>
      <c r="T404" t="s">
        <v>74</v>
      </c>
      <c r="U404" t="s">
        <v>74</v>
      </c>
      <c r="V404" s="3" t="s">
        <v>6745</v>
      </c>
      <c r="W404" t="s">
        <v>74</v>
      </c>
      <c r="X404" t="s">
        <v>74</v>
      </c>
      <c r="Y404" t="s">
        <v>74</v>
      </c>
      <c r="Z404" t="s">
        <v>74</v>
      </c>
      <c r="AA404" t="s">
        <v>6746</v>
      </c>
      <c r="AB404" t="s">
        <v>74</v>
      </c>
      <c r="AC404" t="s">
        <v>74</v>
      </c>
      <c r="AD404" t="s">
        <v>74</v>
      </c>
      <c r="AE404" t="s">
        <v>74</v>
      </c>
      <c r="AF404" t="s">
        <v>74</v>
      </c>
      <c r="AG404" t="s">
        <v>74</v>
      </c>
      <c r="AH404" t="s">
        <v>74</v>
      </c>
      <c r="AI404" t="s">
        <v>74</v>
      </c>
      <c r="AJ404" t="s">
        <v>74</v>
      </c>
      <c r="AK404" t="s">
        <v>74</v>
      </c>
      <c r="AL404" t="s">
        <v>74</v>
      </c>
      <c r="AM404" t="s">
        <v>74</v>
      </c>
      <c r="AN404" t="s">
        <v>74</v>
      </c>
      <c r="AO404" t="s">
        <v>203</v>
      </c>
      <c r="AP404" t="s">
        <v>1192</v>
      </c>
      <c r="AQ404" t="s">
        <v>74</v>
      </c>
      <c r="AR404" t="s">
        <v>74</v>
      </c>
      <c r="AS404" t="s">
        <v>74</v>
      </c>
      <c r="AT404" t="s">
        <v>305</v>
      </c>
      <c r="AU404">
        <v>2003</v>
      </c>
      <c r="AV404">
        <v>63</v>
      </c>
      <c r="AW404" t="s">
        <v>74</v>
      </c>
      <c r="AX404" t="s">
        <v>74</v>
      </c>
      <c r="AY404" t="s">
        <v>6747</v>
      </c>
      <c r="AZ404" t="s">
        <v>74</v>
      </c>
      <c r="BA404" t="s">
        <v>74</v>
      </c>
      <c r="BB404">
        <v>131</v>
      </c>
      <c r="BC404">
        <v>143</v>
      </c>
      <c r="BD404" t="s">
        <v>74</v>
      </c>
      <c r="BE404" t="s">
        <v>6748</v>
      </c>
      <c r="BF404" t="str">
        <f>HYPERLINK("http://dx.doi.org/10.1111/j.1095-8649.2003.00210.x","http://dx.doi.org/10.1111/j.1095-8649.2003.00210.x")</f>
        <v>http://dx.doi.org/10.1111/j.1095-8649.2003.00210.x</v>
      </c>
      <c r="BG404" t="s">
        <v>74</v>
      </c>
      <c r="BH404" t="s">
        <v>74</v>
      </c>
      <c r="BI404" t="s">
        <v>74</v>
      </c>
      <c r="BJ404" t="s">
        <v>74</v>
      </c>
      <c r="BK404" t="s">
        <v>74</v>
      </c>
      <c r="BL404" t="s">
        <v>74</v>
      </c>
      <c r="BM404" t="s">
        <v>74</v>
      </c>
      <c r="BN404" t="s">
        <v>74</v>
      </c>
      <c r="BO404" t="s">
        <v>74</v>
      </c>
      <c r="BP404" t="s">
        <v>74</v>
      </c>
      <c r="BQ404" t="s">
        <v>74</v>
      </c>
      <c r="BR404" t="s">
        <v>74</v>
      </c>
      <c r="BS404" t="s">
        <v>6749</v>
      </c>
      <c r="BT404" t="str">
        <f>HYPERLINK("https%3A%2F%2Fwww.webofscience.com%2Fwos%2Fwoscc%2Ffull-record%2FWOS:000187879700008","View Full Record in Web of Science")</f>
        <v>View Full Record in Web of Science</v>
      </c>
    </row>
    <row r="405" spans="1:72" x14ac:dyDescent="0.4">
      <c r="A405" t="s">
        <v>72</v>
      </c>
      <c r="B405" t="s">
        <v>8101</v>
      </c>
      <c r="C405" t="s">
        <v>74</v>
      </c>
      <c r="D405" t="s">
        <v>74</v>
      </c>
      <c r="E405" t="s">
        <v>74</v>
      </c>
      <c r="F405" t="s">
        <v>8101</v>
      </c>
      <c r="G405" t="s">
        <v>74</v>
      </c>
      <c r="H405" t="s">
        <v>74</v>
      </c>
      <c r="I405" t="s">
        <v>8102</v>
      </c>
      <c r="J405" t="s">
        <v>8103</v>
      </c>
      <c r="K405" t="s">
        <v>74</v>
      </c>
      <c r="L405" t="s">
        <v>74</v>
      </c>
      <c r="M405" t="s">
        <v>74</v>
      </c>
      <c r="N405" t="s">
        <v>74</v>
      </c>
      <c r="O405" t="s">
        <v>74</v>
      </c>
      <c r="P405" t="s">
        <v>74</v>
      </c>
      <c r="Q405" t="s">
        <v>74</v>
      </c>
      <c r="R405" t="s">
        <v>74</v>
      </c>
      <c r="S405" t="s">
        <v>74</v>
      </c>
      <c r="T405" t="s">
        <v>74</v>
      </c>
      <c r="U405" t="s">
        <v>74</v>
      </c>
      <c r="V405" s="3" t="s">
        <v>8104</v>
      </c>
      <c r="W405" t="s">
        <v>74</v>
      </c>
      <c r="X405" t="s">
        <v>74</v>
      </c>
      <c r="Y405" t="s">
        <v>74</v>
      </c>
      <c r="Z405" t="s">
        <v>74</v>
      </c>
      <c r="AA405" t="s">
        <v>74</v>
      </c>
      <c r="AB405" t="s">
        <v>74</v>
      </c>
      <c r="AC405" t="s">
        <v>74</v>
      </c>
      <c r="AD405" t="s">
        <v>74</v>
      </c>
      <c r="AE405" t="s">
        <v>74</v>
      </c>
      <c r="AF405" t="s">
        <v>74</v>
      </c>
      <c r="AG405" t="s">
        <v>74</v>
      </c>
      <c r="AH405" t="s">
        <v>74</v>
      </c>
      <c r="AI405" t="s">
        <v>74</v>
      </c>
      <c r="AJ405" t="s">
        <v>74</v>
      </c>
      <c r="AK405" t="s">
        <v>74</v>
      </c>
      <c r="AL405" t="s">
        <v>74</v>
      </c>
      <c r="AM405" t="s">
        <v>74</v>
      </c>
      <c r="AN405" t="s">
        <v>74</v>
      </c>
      <c r="AO405" t="s">
        <v>8105</v>
      </c>
      <c r="AP405" t="s">
        <v>74</v>
      </c>
      <c r="AQ405" t="s">
        <v>74</v>
      </c>
      <c r="AR405" t="s">
        <v>74</v>
      </c>
      <c r="AS405" t="s">
        <v>74</v>
      </c>
      <c r="AT405" t="s">
        <v>74</v>
      </c>
      <c r="AU405">
        <v>2006</v>
      </c>
      <c r="AV405">
        <v>47</v>
      </c>
      <c r="AW405">
        <v>2</v>
      </c>
      <c r="AX405" t="s">
        <v>74</v>
      </c>
      <c r="AY405" t="s">
        <v>74</v>
      </c>
      <c r="AZ405" t="s">
        <v>74</v>
      </c>
      <c r="BA405" t="s">
        <v>74</v>
      </c>
      <c r="BB405">
        <v>315</v>
      </c>
      <c r="BC405">
        <v>327</v>
      </c>
      <c r="BD405" t="s">
        <v>74</v>
      </c>
      <c r="BE405" t="s">
        <v>74</v>
      </c>
      <c r="BF405" t="s">
        <v>74</v>
      </c>
      <c r="BG405" t="s">
        <v>74</v>
      </c>
      <c r="BH405" t="s">
        <v>74</v>
      </c>
      <c r="BI405" t="s">
        <v>74</v>
      </c>
      <c r="BJ405" t="s">
        <v>74</v>
      </c>
      <c r="BK405" t="s">
        <v>74</v>
      </c>
      <c r="BL405" t="s">
        <v>74</v>
      </c>
      <c r="BM405" t="s">
        <v>74</v>
      </c>
      <c r="BN405" t="s">
        <v>74</v>
      </c>
      <c r="BO405" t="s">
        <v>74</v>
      </c>
      <c r="BP405" t="s">
        <v>74</v>
      </c>
      <c r="BQ405" t="s">
        <v>74</v>
      </c>
      <c r="BR405" t="s">
        <v>74</v>
      </c>
      <c r="BS405" t="s">
        <v>8106</v>
      </c>
      <c r="BT405" t="str">
        <f>HYPERLINK("https%3A%2F%2Fwww.webofscience.com%2Fwos%2Fwoscc%2Ffull-record%2FWOS:000236117900003","View Full Record in Web of Science")</f>
        <v>View Full Record in Web of Science</v>
      </c>
    </row>
    <row r="406" spans="1:72" x14ac:dyDescent="0.4">
      <c r="A406" t="s">
        <v>72</v>
      </c>
      <c r="B406" t="s">
        <v>5219</v>
      </c>
      <c r="C406" t="s">
        <v>74</v>
      </c>
      <c r="D406" t="s">
        <v>74</v>
      </c>
      <c r="E406" t="s">
        <v>74</v>
      </c>
      <c r="F406" t="s">
        <v>5220</v>
      </c>
      <c r="G406" t="s">
        <v>74</v>
      </c>
      <c r="H406" t="s">
        <v>74</v>
      </c>
      <c r="I406" t="s">
        <v>5221</v>
      </c>
      <c r="J406" t="s">
        <v>475</v>
      </c>
      <c r="K406" t="s">
        <v>74</v>
      </c>
      <c r="L406" t="s">
        <v>74</v>
      </c>
      <c r="M406" t="s">
        <v>74</v>
      </c>
      <c r="N406" t="s">
        <v>74</v>
      </c>
      <c r="O406" t="s">
        <v>74</v>
      </c>
      <c r="P406" t="s">
        <v>74</v>
      </c>
      <c r="Q406" t="s">
        <v>74</v>
      </c>
      <c r="R406" t="s">
        <v>74</v>
      </c>
      <c r="S406" t="s">
        <v>74</v>
      </c>
      <c r="T406" t="s">
        <v>74</v>
      </c>
      <c r="U406" t="s">
        <v>74</v>
      </c>
      <c r="V406" s="3" t="s">
        <v>5222</v>
      </c>
      <c r="W406" t="s">
        <v>74</v>
      </c>
      <c r="X406" t="s">
        <v>74</v>
      </c>
      <c r="Y406" t="s">
        <v>74</v>
      </c>
      <c r="Z406" t="s">
        <v>74</v>
      </c>
      <c r="AA406" t="s">
        <v>74</v>
      </c>
      <c r="AB406" t="s">
        <v>5223</v>
      </c>
      <c r="AC406" t="s">
        <v>74</v>
      </c>
      <c r="AD406" t="s">
        <v>74</v>
      </c>
      <c r="AE406" t="s">
        <v>74</v>
      </c>
      <c r="AF406" t="s">
        <v>74</v>
      </c>
      <c r="AG406" t="s">
        <v>74</v>
      </c>
      <c r="AH406" t="s">
        <v>74</v>
      </c>
      <c r="AI406" t="s">
        <v>74</v>
      </c>
      <c r="AJ406" t="s">
        <v>74</v>
      </c>
      <c r="AK406" t="s">
        <v>74</v>
      </c>
      <c r="AL406" t="s">
        <v>74</v>
      </c>
      <c r="AM406" t="s">
        <v>74</v>
      </c>
      <c r="AN406" t="s">
        <v>74</v>
      </c>
      <c r="AO406" t="s">
        <v>477</v>
      </c>
      <c r="AP406" t="s">
        <v>1089</v>
      </c>
      <c r="AQ406" t="s">
        <v>74</v>
      </c>
      <c r="AR406" t="s">
        <v>74</v>
      </c>
      <c r="AS406" t="s">
        <v>74</v>
      </c>
      <c r="AT406" t="s">
        <v>3671</v>
      </c>
      <c r="AU406">
        <v>2022</v>
      </c>
      <c r="AV406">
        <v>316</v>
      </c>
      <c r="AW406" t="s">
        <v>74</v>
      </c>
      <c r="AX406" t="s">
        <v>74</v>
      </c>
      <c r="AY406" t="s">
        <v>74</v>
      </c>
      <c r="AZ406" t="s">
        <v>74</v>
      </c>
      <c r="BA406" t="s">
        <v>74</v>
      </c>
      <c r="BB406" t="s">
        <v>74</v>
      </c>
      <c r="BC406" t="s">
        <v>74</v>
      </c>
      <c r="BD406">
        <v>113948</v>
      </c>
      <c r="BE406" t="s">
        <v>5224</v>
      </c>
      <c r="BF406" t="str">
        <f>HYPERLINK("http://dx.doi.org/10.1016/j.ygcen.2021.113948","http://dx.doi.org/10.1016/j.ygcen.2021.113948")</f>
        <v>http://dx.doi.org/10.1016/j.ygcen.2021.113948</v>
      </c>
      <c r="BG406" t="s">
        <v>74</v>
      </c>
      <c r="BH406" t="s">
        <v>74</v>
      </c>
      <c r="BI406" t="s">
        <v>74</v>
      </c>
      <c r="BJ406" t="s">
        <v>74</v>
      </c>
      <c r="BK406" t="s">
        <v>74</v>
      </c>
      <c r="BL406" t="s">
        <v>74</v>
      </c>
      <c r="BM406" t="s">
        <v>74</v>
      </c>
      <c r="BN406">
        <v>34826430</v>
      </c>
      <c r="BO406" t="s">
        <v>74</v>
      </c>
      <c r="BP406" t="s">
        <v>74</v>
      </c>
      <c r="BQ406" t="s">
        <v>74</v>
      </c>
      <c r="BR406" t="s">
        <v>74</v>
      </c>
      <c r="BS406" t="s">
        <v>5225</v>
      </c>
      <c r="BT406" t="str">
        <f>HYPERLINK("https%3A%2F%2Fwww.webofscience.com%2Fwos%2Fwoscc%2Ffull-record%2FWOS:000784337800003","View Full Record in Web of Science")</f>
        <v>View Full Record in Web of Science</v>
      </c>
    </row>
    <row r="407" spans="1:72" x14ac:dyDescent="0.4">
      <c r="A407" t="s">
        <v>72</v>
      </c>
      <c r="B407" t="s">
        <v>6600</v>
      </c>
      <c r="C407" t="s">
        <v>74</v>
      </c>
      <c r="D407" t="s">
        <v>74</v>
      </c>
      <c r="E407" t="s">
        <v>74</v>
      </c>
      <c r="F407" t="s">
        <v>6600</v>
      </c>
      <c r="G407" t="s">
        <v>74</v>
      </c>
      <c r="H407" t="s">
        <v>74</v>
      </c>
      <c r="I407" t="s">
        <v>6601</v>
      </c>
      <c r="J407" t="s">
        <v>691</v>
      </c>
      <c r="K407" t="s">
        <v>74</v>
      </c>
      <c r="L407" t="s">
        <v>74</v>
      </c>
      <c r="M407" t="s">
        <v>74</v>
      </c>
      <c r="N407" t="s">
        <v>74</v>
      </c>
      <c r="O407" t="s">
        <v>6602</v>
      </c>
      <c r="P407" t="s">
        <v>6603</v>
      </c>
      <c r="Q407" t="s">
        <v>6604</v>
      </c>
      <c r="R407" t="s">
        <v>6605</v>
      </c>
      <c r="S407" t="s">
        <v>74</v>
      </c>
      <c r="T407" t="s">
        <v>74</v>
      </c>
      <c r="U407" t="s">
        <v>74</v>
      </c>
      <c r="V407" s="3" t="s">
        <v>6606</v>
      </c>
      <c r="W407" t="s">
        <v>74</v>
      </c>
      <c r="X407" t="s">
        <v>74</v>
      </c>
      <c r="Y407" t="s">
        <v>74</v>
      </c>
      <c r="Z407" t="s">
        <v>74</v>
      </c>
      <c r="AA407" t="s">
        <v>74</v>
      </c>
      <c r="AB407" t="s">
        <v>74</v>
      </c>
      <c r="AC407" t="s">
        <v>74</v>
      </c>
      <c r="AD407" t="s">
        <v>74</v>
      </c>
      <c r="AE407" t="s">
        <v>74</v>
      </c>
      <c r="AF407" t="s">
        <v>74</v>
      </c>
      <c r="AG407" t="s">
        <v>74</v>
      </c>
      <c r="AH407" t="s">
        <v>74</v>
      </c>
      <c r="AI407" t="s">
        <v>74</v>
      </c>
      <c r="AJ407" t="s">
        <v>74</v>
      </c>
      <c r="AK407" t="s">
        <v>74</v>
      </c>
      <c r="AL407" t="s">
        <v>74</v>
      </c>
      <c r="AM407" t="s">
        <v>74</v>
      </c>
      <c r="AN407" t="s">
        <v>74</v>
      </c>
      <c r="AO407" t="s">
        <v>695</v>
      </c>
      <c r="AP407" t="s">
        <v>74</v>
      </c>
      <c r="AQ407" t="s">
        <v>74</v>
      </c>
      <c r="AR407" t="s">
        <v>74</v>
      </c>
      <c r="AS407" t="s">
        <v>74</v>
      </c>
      <c r="AT407" t="s">
        <v>145</v>
      </c>
      <c r="AU407">
        <v>2003</v>
      </c>
      <c r="AV407">
        <v>79</v>
      </c>
      <c r="AW407">
        <v>3</v>
      </c>
      <c r="AX407" t="s">
        <v>74</v>
      </c>
      <c r="AY407" t="s">
        <v>74</v>
      </c>
      <c r="AZ407" t="s">
        <v>74</v>
      </c>
      <c r="BA407" t="s">
        <v>74</v>
      </c>
      <c r="BB407">
        <v>429</v>
      </c>
      <c r="BC407">
        <v>440</v>
      </c>
      <c r="BD407" t="s">
        <v>74</v>
      </c>
      <c r="BE407" t="s">
        <v>6607</v>
      </c>
      <c r="BF407" t="str">
        <f>HYPERLINK("http://dx.doi.org/10.1016/S0031-9384(03)00162-8","http://dx.doi.org/10.1016/S0031-9384(03)00162-8")</f>
        <v>http://dx.doi.org/10.1016/S0031-9384(03)00162-8</v>
      </c>
      <c r="BG407" t="s">
        <v>74</v>
      </c>
      <c r="BH407" t="s">
        <v>74</v>
      </c>
      <c r="BI407" t="s">
        <v>74</v>
      </c>
      <c r="BJ407" t="s">
        <v>74</v>
      </c>
      <c r="BK407" t="s">
        <v>74</v>
      </c>
      <c r="BL407" t="s">
        <v>74</v>
      </c>
      <c r="BM407" t="s">
        <v>74</v>
      </c>
      <c r="BN407">
        <v>12954437</v>
      </c>
      <c r="BO407" t="s">
        <v>74</v>
      </c>
      <c r="BP407" t="s">
        <v>74</v>
      </c>
      <c r="BQ407" t="s">
        <v>74</v>
      </c>
      <c r="BR407" t="s">
        <v>74</v>
      </c>
      <c r="BS407" t="s">
        <v>6608</v>
      </c>
      <c r="BT407" t="str">
        <f>HYPERLINK("https%3A%2F%2Fwww.webofscience.com%2Fwos%2Fwoscc%2Ffull-record%2FWOS:000185291300010","View Full Record in Web of Science")</f>
        <v>View Full Record in Web of Science</v>
      </c>
    </row>
    <row r="408" spans="1:72" ht="14.25" customHeight="1" x14ac:dyDescent="0.4">
      <c r="A408" t="s">
        <v>72</v>
      </c>
      <c r="B408" t="s">
        <v>5164</v>
      </c>
      <c r="C408" t="s">
        <v>74</v>
      </c>
      <c r="D408" t="s">
        <v>74</v>
      </c>
      <c r="E408" t="s">
        <v>74</v>
      </c>
      <c r="F408" t="s">
        <v>5164</v>
      </c>
      <c r="G408" t="s">
        <v>74</v>
      </c>
      <c r="H408" t="s">
        <v>74</v>
      </c>
      <c r="I408" t="s">
        <v>5165</v>
      </c>
      <c r="J408" t="s">
        <v>509</v>
      </c>
      <c r="K408" t="s">
        <v>74</v>
      </c>
      <c r="L408" t="s">
        <v>74</v>
      </c>
      <c r="M408" t="s">
        <v>74</v>
      </c>
      <c r="N408" t="s">
        <v>74</v>
      </c>
      <c r="O408" t="s">
        <v>74</v>
      </c>
      <c r="P408" t="s">
        <v>74</v>
      </c>
      <c r="Q408" t="s">
        <v>74</v>
      </c>
      <c r="R408" t="s">
        <v>74</v>
      </c>
      <c r="S408" t="s">
        <v>74</v>
      </c>
      <c r="T408" t="s">
        <v>74</v>
      </c>
      <c r="U408" t="s">
        <v>74</v>
      </c>
      <c r="V408" s="3" t="s">
        <v>5166</v>
      </c>
      <c r="W408" t="s">
        <v>74</v>
      </c>
      <c r="X408" t="s">
        <v>74</v>
      </c>
      <c r="Y408" t="s">
        <v>74</v>
      </c>
      <c r="Z408" t="s">
        <v>74</v>
      </c>
      <c r="AA408" t="s">
        <v>74</v>
      </c>
      <c r="AB408" t="s">
        <v>74</v>
      </c>
      <c r="AC408" t="s">
        <v>74</v>
      </c>
      <c r="AD408" t="s">
        <v>74</v>
      </c>
      <c r="AE408" t="s">
        <v>74</v>
      </c>
      <c r="AF408" t="s">
        <v>74</v>
      </c>
      <c r="AG408" t="s">
        <v>74</v>
      </c>
      <c r="AH408" t="s">
        <v>74</v>
      </c>
      <c r="AI408" t="s">
        <v>74</v>
      </c>
      <c r="AJ408" t="s">
        <v>74</v>
      </c>
      <c r="AK408" t="s">
        <v>74</v>
      </c>
      <c r="AL408" t="s">
        <v>74</v>
      </c>
      <c r="AM408" t="s">
        <v>74</v>
      </c>
      <c r="AN408" t="s">
        <v>74</v>
      </c>
      <c r="AO408" t="s">
        <v>511</v>
      </c>
      <c r="AP408" t="s">
        <v>512</v>
      </c>
      <c r="AQ408" t="s">
        <v>74</v>
      </c>
      <c r="AR408" t="s">
        <v>74</v>
      </c>
      <c r="AS408" t="s">
        <v>74</v>
      </c>
      <c r="AT408" t="s">
        <v>74</v>
      </c>
      <c r="AU408">
        <v>1984</v>
      </c>
      <c r="AV408">
        <v>18</v>
      </c>
      <c r="AW408">
        <v>1</v>
      </c>
      <c r="AX408" t="s">
        <v>74</v>
      </c>
      <c r="AY408" t="s">
        <v>74</v>
      </c>
      <c r="AZ408" t="s">
        <v>74</v>
      </c>
      <c r="BA408" t="s">
        <v>74</v>
      </c>
      <c r="BB408">
        <v>1</v>
      </c>
      <c r="BC408">
        <v>11</v>
      </c>
      <c r="BD408" t="s">
        <v>74</v>
      </c>
      <c r="BE408" t="s">
        <v>5167</v>
      </c>
      <c r="BF408" t="str">
        <f>HYPERLINK("http://dx.doi.org/10.1016/0018-506X(84)90045-X","http://dx.doi.org/10.1016/0018-506X(84)90045-X")</f>
        <v>http://dx.doi.org/10.1016/0018-506X(84)90045-X</v>
      </c>
      <c r="BG408" t="s">
        <v>74</v>
      </c>
      <c r="BH408" t="s">
        <v>74</v>
      </c>
      <c r="BI408" t="s">
        <v>74</v>
      </c>
      <c r="BJ408" t="s">
        <v>74</v>
      </c>
      <c r="BK408" t="s">
        <v>74</v>
      </c>
      <c r="BL408" t="s">
        <v>74</v>
      </c>
      <c r="BM408" t="s">
        <v>74</v>
      </c>
      <c r="BN408">
        <v>6706316</v>
      </c>
      <c r="BO408" t="s">
        <v>74</v>
      </c>
      <c r="BP408" t="s">
        <v>74</v>
      </c>
      <c r="BQ408" t="s">
        <v>74</v>
      </c>
      <c r="BR408" t="s">
        <v>74</v>
      </c>
      <c r="BS408" t="s">
        <v>5168</v>
      </c>
      <c r="BT408" t="str">
        <f>HYPERLINK("https%3A%2F%2Fwww.webofscience.com%2Fwos%2Fwoscc%2Ffull-record%2FWOS:A1984SG50600001","View Full Record in Web of Science")</f>
        <v>View Full Record in Web of Science</v>
      </c>
    </row>
    <row r="409" spans="1:72" x14ac:dyDescent="0.4">
      <c r="A409" t="s">
        <v>72</v>
      </c>
      <c r="B409" t="s">
        <v>3660</v>
      </c>
      <c r="C409" t="s">
        <v>74</v>
      </c>
      <c r="D409" t="s">
        <v>74</v>
      </c>
      <c r="E409" t="s">
        <v>74</v>
      </c>
      <c r="F409" t="s">
        <v>3660</v>
      </c>
      <c r="G409" t="s">
        <v>74</v>
      </c>
      <c r="H409" t="s">
        <v>74</v>
      </c>
      <c r="I409" t="s">
        <v>3661</v>
      </c>
      <c r="J409" t="s">
        <v>475</v>
      </c>
      <c r="K409" t="s">
        <v>74</v>
      </c>
      <c r="L409" t="s">
        <v>74</v>
      </c>
      <c r="M409" t="s">
        <v>74</v>
      </c>
      <c r="N409" t="s">
        <v>74</v>
      </c>
      <c r="O409" t="s">
        <v>74</v>
      </c>
      <c r="P409" t="s">
        <v>74</v>
      </c>
      <c r="Q409" t="s">
        <v>74</v>
      </c>
      <c r="R409" t="s">
        <v>74</v>
      </c>
      <c r="S409" t="s">
        <v>74</v>
      </c>
      <c r="T409" t="s">
        <v>74</v>
      </c>
      <c r="U409" t="s">
        <v>74</v>
      </c>
      <c r="V409" s="3" t="s">
        <v>3662</v>
      </c>
      <c r="W409" t="s">
        <v>74</v>
      </c>
      <c r="X409" t="s">
        <v>74</v>
      </c>
      <c r="Y409" t="s">
        <v>74</v>
      </c>
      <c r="Z409" t="s">
        <v>74</v>
      </c>
      <c r="AA409" t="s">
        <v>74</v>
      </c>
      <c r="AB409" t="s">
        <v>74</v>
      </c>
      <c r="AC409" t="s">
        <v>74</v>
      </c>
      <c r="AD409" t="s">
        <v>74</v>
      </c>
      <c r="AE409" t="s">
        <v>74</v>
      </c>
      <c r="AF409" t="s">
        <v>74</v>
      </c>
      <c r="AG409" t="s">
        <v>74</v>
      </c>
      <c r="AH409" t="s">
        <v>74</v>
      </c>
      <c r="AI409" t="s">
        <v>74</v>
      </c>
      <c r="AJ409" t="s">
        <v>74</v>
      </c>
      <c r="AK409" t="s">
        <v>74</v>
      </c>
      <c r="AL409" t="s">
        <v>74</v>
      </c>
      <c r="AM409" t="s">
        <v>74</v>
      </c>
      <c r="AN409" t="s">
        <v>74</v>
      </c>
      <c r="AO409" t="s">
        <v>477</v>
      </c>
      <c r="AP409" t="s">
        <v>1089</v>
      </c>
      <c r="AQ409" t="s">
        <v>74</v>
      </c>
      <c r="AR409" t="s">
        <v>74</v>
      </c>
      <c r="AS409" t="s">
        <v>74</v>
      </c>
      <c r="AT409" t="s">
        <v>964</v>
      </c>
      <c r="AU409">
        <v>1990</v>
      </c>
      <c r="AV409">
        <v>77</v>
      </c>
      <c r="AW409">
        <v>2</v>
      </c>
      <c r="AX409" t="s">
        <v>74</v>
      </c>
      <c r="AY409" t="s">
        <v>74</v>
      </c>
      <c r="AZ409" t="s">
        <v>74</v>
      </c>
      <c r="BA409" t="s">
        <v>74</v>
      </c>
      <c r="BB409">
        <v>246</v>
      </c>
      <c r="BC409">
        <v>255</v>
      </c>
      <c r="BD409" t="s">
        <v>74</v>
      </c>
      <c r="BE409" t="s">
        <v>3663</v>
      </c>
      <c r="BF409" t="str">
        <f>HYPERLINK("http://dx.doi.org/10.1016/0016-6480(90)90309-A","http://dx.doi.org/10.1016/0016-6480(90)90309-A")</f>
        <v>http://dx.doi.org/10.1016/0016-6480(90)90309-A</v>
      </c>
      <c r="BG409" t="s">
        <v>74</v>
      </c>
      <c r="BH409" t="s">
        <v>74</v>
      </c>
      <c r="BI409" t="s">
        <v>74</v>
      </c>
      <c r="BJ409" t="s">
        <v>74</v>
      </c>
      <c r="BK409" t="s">
        <v>74</v>
      </c>
      <c r="BL409" t="s">
        <v>74</v>
      </c>
      <c r="BM409" t="s">
        <v>74</v>
      </c>
      <c r="BN409">
        <v>2307346</v>
      </c>
      <c r="BO409" t="s">
        <v>74</v>
      </c>
      <c r="BP409" t="s">
        <v>74</v>
      </c>
      <c r="BQ409" t="s">
        <v>74</v>
      </c>
      <c r="BR409" t="s">
        <v>74</v>
      </c>
      <c r="BS409" t="s">
        <v>3664</v>
      </c>
      <c r="BT409" t="str">
        <f>HYPERLINK("https%3A%2F%2Fwww.webofscience.com%2Fwos%2Fwoscc%2Ffull-record%2FWOS:A1990CN99400009","View Full Record in Web of Science")</f>
        <v>View Full Record in Web of Science</v>
      </c>
    </row>
    <row r="410" spans="1:72" x14ac:dyDescent="0.4">
      <c r="A410" t="s">
        <v>72</v>
      </c>
      <c r="B410" t="s">
        <v>6913</v>
      </c>
      <c r="C410" t="s">
        <v>74</v>
      </c>
      <c r="D410" t="s">
        <v>74</v>
      </c>
      <c r="E410" t="s">
        <v>74</v>
      </c>
      <c r="F410" t="s">
        <v>6914</v>
      </c>
      <c r="G410" t="s">
        <v>74</v>
      </c>
      <c r="H410" t="s">
        <v>74</v>
      </c>
      <c r="I410" t="s">
        <v>6915</v>
      </c>
      <c r="J410" t="s">
        <v>171</v>
      </c>
      <c r="K410" t="s">
        <v>74</v>
      </c>
      <c r="L410" t="s">
        <v>74</v>
      </c>
      <c r="M410" t="s">
        <v>74</v>
      </c>
      <c r="N410" t="s">
        <v>74</v>
      </c>
      <c r="O410" t="s">
        <v>74</v>
      </c>
      <c r="P410" t="s">
        <v>74</v>
      </c>
      <c r="Q410" t="s">
        <v>74</v>
      </c>
      <c r="R410" t="s">
        <v>74</v>
      </c>
      <c r="S410" t="s">
        <v>74</v>
      </c>
      <c r="T410" t="s">
        <v>74</v>
      </c>
      <c r="U410" t="s">
        <v>74</v>
      </c>
      <c r="V410" s="3" t="s">
        <v>6916</v>
      </c>
      <c r="W410" t="s">
        <v>74</v>
      </c>
      <c r="X410" t="s">
        <v>74</v>
      </c>
      <c r="Y410" t="s">
        <v>74</v>
      </c>
      <c r="Z410" t="s">
        <v>74</v>
      </c>
      <c r="AA410" t="s">
        <v>4216</v>
      </c>
      <c r="AB410" t="s">
        <v>4217</v>
      </c>
      <c r="AC410" t="s">
        <v>74</v>
      </c>
      <c r="AD410" t="s">
        <v>74</v>
      </c>
      <c r="AE410" t="s">
        <v>74</v>
      </c>
      <c r="AF410" t="s">
        <v>74</v>
      </c>
      <c r="AG410" t="s">
        <v>74</v>
      </c>
      <c r="AH410" t="s">
        <v>74</v>
      </c>
      <c r="AI410" t="s">
        <v>74</v>
      </c>
      <c r="AJ410" t="s">
        <v>74</v>
      </c>
      <c r="AK410" t="s">
        <v>74</v>
      </c>
      <c r="AL410" t="s">
        <v>74</v>
      </c>
      <c r="AM410" t="s">
        <v>74</v>
      </c>
      <c r="AN410" t="s">
        <v>74</v>
      </c>
      <c r="AO410" t="s">
        <v>173</v>
      </c>
      <c r="AP410" t="s">
        <v>174</v>
      </c>
      <c r="AQ410" t="s">
        <v>74</v>
      </c>
      <c r="AR410" t="s">
        <v>74</v>
      </c>
      <c r="AS410" t="s">
        <v>74</v>
      </c>
      <c r="AT410" t="s">
        <v>175</v>
      </c>
      <c r="AU410">
        <v>2015</v>
      </c>
      <c r="AV410">
        <v>69</v>
      </c>
      <c r="AW410">
        <v>10</v>
      </c>
      <c r="AX410" t="s">
        <v>74</v>
      </c>
      <c r="AY410" t="s">
        <v>74</v>
      </c>
      <c r="AZ410" t="s">
        <v>74</v>
      </c>
      <c r="BA410" t="s">
        <v>74</v>
      </c>
      <c r="BB410">
        <v>2602</v>
      </c>
      <c r="BC410">
        <v>2612</v>
      </c>
      <c r="BD410" t="s">
        <v>74</v>
      </c>
      <c r="BE410" t="s">
        <v>6917</v>
      </c>
      <c r="BF410" t="str">
        <f>HYPERLINK("http://dx.doi.org/10.1111/evo.12756","http://dx.doi.org/10.1111/evo.12756")</f>
        <v>http://dx.doi.org/10.1111/evo.12756</v>
      </c>
      <c r="BG410" t="s">
        <v>74</v>
      </c>
      <c r="BH410" t="s">
        <v>74</v>
      </c>
      <c r="BI410" t="s">
        <v>74</v>
      </c>
      <c r="BJ410" t="s">
        <v>74</v>
      </c>
      <c r="BK410" t="s">
        <v>74</v>
      </c>
      <c r="BL410" t="s">
        <v>74</v>
      </c>
      <c r="BM410" t="s">
        <v>74</v>
      </c>
      <c r="BN410">
        <v>26292844</v>
      </c>
      <c r="BO410" t="s">
        <v>74</v>
      </c>
      <c r="BP410" t="s">
        <v>74</v>
      </c>
      <c r="BQ410" t="s">
        <v>74</v>
      </c>
      <c r="BR410" t="s">
        <v>74</v>
      </c>
      <c r="BS410" t="s">
        <v>6918</v>
      </c>
      <c r="BT410" t="str">
        <f>HYPERLINK("https%3A%2F%2Fwww.webofscience.com%2Fwos%2Fwoscc%2Ffull-record%2FWOS:000362970600006","View Full Record in Web of Science")</f>
        <v>View Full Record in Web of Science</v>
      </c>
    </row>
    <row r="411" spans="1:72" x14ac:dyDescent="0.4">
      <c r="A411" t="s">
        <v>72</v>
      </c>
      <c r="B411" t="s">
        <v>6630</v>
      </c>
      <c r="C411" t="s">
        <v>74</v>
      </c>
      <c r="D411" t="s">
        <v>74</v>
      </c>
      <c r="E411" t="s">
        <v>74</v>
      </c>
      <c r="F411" t="s">
        <v>6631</v>
      </c>
      <c r="G411" t="s">
        <v>74</v>
      </c>
      <c r="H411" t="s">
        <v>74</v>
      </c>
      <c r="I411" t="s">
        <v>6632</v>
      </c>
      <c r="J411" t="s">
        <v>6633</v>
      </c>
      <c r="K411" t="s">
        <v>74</v>
      </c>
      <c r="L411" t="s">
        <v>74</v>
      </c>
      <c r="M411" t="s">
        <v>74</v>
      </c>
      <c r="N411" t="s">
        <v>74</v>
      </c>
      <c r="O411" t="s">
        <v>6634</v>
      </c>
      <c r="P411" t="s">
        <v>6635</v>
      </c>
      <c r="Q411" t="s">
        <v>6636</v>
      </c>
      <c r="R411" t="s">
        <v>6637</v>
      </c>
      <c r="S411" t="s">
        <v>74</v>
      </c>
      <c r="T411" t="s">
        <v>74</v>
      </c>
      <c r="U411" t="s">
        <v>74</v>
      </c>
      <c r="V411" s="3" t="s">
        <v>6638</v>
      </c>
      <c r="W411" t="s">
        <v>74</v>
      </c>
      <c r="X411" t="s">
        <v>74</v>
      </c>
      <c r="Y411" t="s">
        <v>74</v>
      </c>
      <c r="Z411" t="s">
        <v>74</v>
      </c>
      <c r="AA411" t="s">
        <v>74</v>
      </c>
      <c r="AB411" t="s">
        <v>624</v>
      </c>
      <c r="AC411" t="s">
        <v>74</v>
      </c>
      <c r="AD411" t="s">
        <v>74</v>
      </c>
      <c r="AE411" t="s">
        <v>74</v>
      </c>
      <c r="AF411" t="s">
        <v>74</v>
      </c>
      <c r="AG411" t="s">
        <v>74</v>
      </c>
      <c r="AH411" t="s">
        <v>74</v>
      </c>
      <c r="AI411" t="s">
        <v>74</v>
      </c>
      <c r="AJ411" t="s">
        <v>74</v>
      </c>
      <c r="AK411" t="s">
        <v>74</v>
      </c>
      <c r="AL411" t="s">
        <v>74</v>
      </c>
      <c r="AM411" t="s">
        <v>74</v>
      </c>
      <c r="AN411" t="s">
        <v>74</v>
      </c>
      <c r="AO411" t="s">
        <v>6639</v>
      </c>
      <c r="AP411" t="s">
        <v>6640</v>
      </c>
      <c r="AQ411" t="s">
        <v>74</v>
      </c>
      <c r="AR411" t="s">
        <v>74</v>
      </c>
      <c r="AS411" t="s">
        <v>74</v>
      </c>
      <c r="AT411" t="s">
        <v>213</v>
      </c>
      <c r="AU411">
        <v>2011</v>
      </c>
      <c r="AV411">
        <v>51</v>
      </c>
      <c r="AW411">
        <v>5</v>
      </c>
      <c r="AX411" t="s">
        <v>74</v>
      </c>
      <c r="AY411" t="s">
        <v>74</v>
      </c>
      <c r="AZ411" t="s">
        <v>74</v>
      </c>
      <c r="BA411" t="s">
        <v>74</v>
      </c>
      <c r="BB411">
        <v>807</v>
      </c>
      <c r="BC411">
        <v>818</v>
      </c>
      <c r="BD411" t="s">
        <v>74</v>
      </c>
      <c r="BE411" t="s">
        <v>6641</v>
      </c>
      <c r="BF411" t="str">
        <f>HYPERLINK("http://dx.doi.org/10.1093/icb/icr060","http://dx.doi.org/10.1093/icb/icr060")</f>
        <v>http://dx.doi.org/10.1093/icb/icr060</v>
      </c>
      <c r="BG411" t="s">
        <v>74</v>
      </c>
      <c r="BH411" t="s">
        <v>74</v>
      </c>
      <c r="BI411" t="s">
        <v>74</v>
      </c>
      <c r="BJ411" t="s">
        <v>74</v>
      </c>
      <c r="BK411" t="s">
        <v>74</v>
      </c>
      <c r="BL411" t="s">
        <v>74</v>
      </c>
      <c r="BM411" t="s">
        <v>74</v>
      </c>
      <c r="BN411">
        <v>21700572</v>
      </c>
      <c r="BO411" t="s">
        <v>74</v>
      </c>
      <c r="BP411" t="s">
        <v>74</v>
      </c>
      <c r="BQ411" t="s">
        <v>74</v>
      </c>
      <c r="BR411" t="s">
        <v>74</v>
      </c>
      <c r="BS411" t="s">
        <v>6642</v>
      </c>
      <c r="BT411" t="str">
        <f>HYPERLINK("https%3A%2F%2Fwww.webofscience.com%2Fwos%2Fwoscc%2Ffull-record%2FWOS:000296101600014","View Full Record in Web of Science")</f>
        <v>View Full Record in Web of Science</v>
      </c>
    </row>
    <row r="412" spans="1:72" x14ac:dyDescent="0.4">
      <c r="A412" t="s">
        <v>72</v>
      </c>
      <c r="B412" t="s">
        <v>7804</v>
      </c>
      <c r="C412" t="s">
        <v>74</v>
      </c>
      <c r="D412" t="s">
        <v>74</v>
      </c>
      <c r="E412" t="s">
        <v>74</v>
      </c>
      <c r="F412" t="s">
        <v>7805</v>
      </c>
      <c r="G412" t="s">
        <v>74</v>
      </c>
      <c r="H412" t="s">
        <v>74</v>
      </c>
      <c r="I412" t="s">
        <v>7806</v>
      </c>
      <c r="J412" t="s">
        <v>333</v>
      </c>
      <c r="K412" t="s">
        <v>74</v>
      </c>
      <c r="L412" t="s">
        <v>74</v>
      </c>
      <c r="M412" t="s">
        <v>74</v>
      </c>
      <c r="N412" t="s">
        <v>74</v>
      </c>
      <c r="O412" t="s">
        <v>74</v>
      </c>
      <c r="P412" t="s">
        <v>74</v>
      </c>
      <c r="Q412" t="s">
        <v>74</v>
      </c>
      <c r="R412" t="s">
        <v>74</v>
      </c>
      <c r="S412" t="s">
        <v>74</v>
      </c>
      <c r="T412" t="s">
        <v>74</v>
      </c>
      <c r="U412" t="s">
        <v>74</v>
      </c>
      <c r="V412" s="3" t="s">
        <v>7807</v>
      </c>
      <c r="W412" t="s">
        <v>74</v>
      </c>
      <c r="X412" t="s">
        <v>74</v>
      </c>
      <c r="Y412" t="s">
        <v>74</v>
      </c>
      <c r="Z412" t="s">
        <v>74</v>
      </c>
      <c r="AA412" t="s">
        <v>7808</v>
      </c>
      <c r="AB412" t="s">
        <v>7809</v>
      </c>
      <c r="AC412" t="s">
        <v>74</v>
      </c>
      <c r="AD412" t="s">
        <v>74</v>
      </c>
      <c r="AE412" t="s">
        <v>74</v>
      </c>
      <c r="AF412" t="s">
        <v>74</v>
      </c>
      <c r="AG412" t="s">
        <v>74</v>
      </c>
      <c r="AH412" t="s">
        <v>74</v>
      </c>
      <c r="AI412" t="s">
        <v>74</v>
      </c>
      <c r="AJ412" t="s">
        <v>74</v>
      </c>
      <c r="AK412" t="s">
        <v>74</v>
      </c>
      <c r="AL412" t="s">
        <v>74</v>
      </c>
      <c r="AM412" t="s">
        <v>74</v>
      </c>
      <c r="AN412" t="s">
        <v>74</v>
      </c>
      <c r="AO412" t="s">
        <v>337</v>
      </c>
      <c r="AP412" t="s">
        <v>338</v>
      </c>
      <c r="AQ412" t="s">
        <v>74</v>
      </c>
      <c r="AR412" t="s">
        <v>74</v>
      </c>
      <c r="AS412" t="s">
        <v>74</v>
      </c>
      <c r="AT412" t="s">
        <v>1013</v>
      </c>
      <c r="AU412">
        <v>2009</v>
      </c>
      <c r="AV412">
        <v>20</v>
      </c>
      <c r="AW412">
        <v>5</v>
      </c>
      <c r="AX412" t="s">
        <v>74</v>
      </c>
      <c r="AY412" t="s">
        <v>74</v>
      </c>
      <c r="AZ412" t="s">
        <v>74</v>
      </c>
      <c r="BA412" t="s">
        <v>74</v>
      </c>
      <c r="BB412">
        <v>1072</v>
      </c>
      <c r="BC412">
        <v>1078</v>
      </c>
      <c r="BD412" t="s">
        <v>74</v>
      </c>
      <c r="BE412" t="s">
        <v>7810</v>
      </c>
      <c r="BF412" t="str">
        <f>HYPERLINK("http://dx.doi.org/10.1093/beheco/arp099","http://dx.doi.org/10.1093/beheco/arp099")</f>
        <v>http://dx.doi.org/10.1093/beheco/arp099</v>
      </c>
      <c r="BG412" t="s">
        <v>74</v>
      </c>
      <c r="BH412" t="s">
        <v>74</v>
      </c>
      <c r="BI412" t="s">
        <v>74</v>
      </c>
      <c r="BJ412" t="s">
        <v>74</v>
      </c>
      <c r="BK412" t="s">
        <v>74</v>
      </c>
      <c r="BL412" t="s">
        <v>74</v>
      </c>
      <c r="BM412" t="s">
        <v>74</v>
      </c>
      <c r="BN412" t="s">
        <v>74</v>
      </c>
      <c r="BO412" t="s">
        <v>74</v>
      </c>
      <c r="BP412" t="s">
        <v>74</v>
      </c>
      <c r="BQ412" t="s">
        <v>74</v>
      </c>
      <c r="BR412" t="s">
        <v>74</v>
      </c>
      <c r="BS412" t="s">
        <v>7811</v>
      </c>
      <c r="BT412" t="str">
        <f>HYPERLINK("https%3A%2F%2Fwww.webofscience.com%2Fwos%2Fwoscc%2Ffull-record%2FWOS:000269956400023","View Full Record in Web of Science")</f>
        <v>View Full Record in Web of Science</v>
      </c>
    </row>
    <row r="413" spans="1:72" x14ac:dyDescent="0.4">
      <c r="A413" t="s">
        <v>72</v>
      </c>
      <c r="B413" t="s">
        <v>5032</v>
      </c>
      <c r="C413" t="s">
        <v>74</v>
      </c>
      <c r="D413" t="s">
        <v>74</v>
      </c>
      <c r="E413" t="s">
        <v>74</v>
      </c>
      <c r="F413" t="s">
        <v>5033</v>
      </c>
      <c r="G413" t="s">
        <v>74</v>
      </c>
      <c r="H413" t="s">
        <v>74</v>
      </c>
      <c r="I413" t="s">
        <v>5034</v>
      </c>
      <c r="J413" t="s">
        <v>1656</v>
      </c>
      <c r="K413" t="s">
        <v>74</v>
      </c>
      <c r="L413" t="s">
        <v>74</v>
      </c>
      <c r="M413" t="s">
        <v>74</v>
      </c>
      <c r="N413" t="s">
        <v>74</v>
      </c>
      <c r="O413" t="s">
        <v>74</v>
      </c>
      <c r="P413" t="s">
        <v>74</v>
      </c>
      <c r="Q413" t="s">
        <v>74</v>
      </c>
      <c r="R413" t="s">
        <v>74</v>
      </c>
      <c r="S413" t="s">
        <v>74</v>
      </c>
      <c r="T413" t="s">
        <v>74</v>
      </c>
      <c r="U413" t="s">
        <v>74</v>
      </c>
      <c r="V413" s="3" t="s">
        <v>5035</v>
      </c>
      <c r="W413" t="s">
        <v>74</v>
      </c>
      <c r="X413" t="s">
        <v>74</v>
      </c>
      <c r="Y413" t="s">
        <v>74</v>
      </c>
      <c r="Z413" t="s">
        <v>74</v>
      </c>
      <c r="AA413" t="s">
        <v>74</v>
      </c>
      <c r="AB413" t="s">
        <v>74</v>
      </c>
      <c r="AC413" t="s">
        <v>74</v>
      </c>
      <c r="AD413" t="s">
        <v>74</v>
      </c>
      <c r="AE413" t="s">
        <v>74</v>
      </c>
      <c r="AF413" t="s">
        <v>74</v>
      </c>
      <c r="AG413" t="s">
        <v>74</v>
      </c>
      <c r="AH413" t="s">
        <v>74</v>
      </c>
      <c r="AI413" t="s">
        <v>74</v>
      </c>
      <c r="AJ413" t="s">
        <v>74</v>
      </c>
      <c r="AK413" t="s">
        <v>74</v>
      </c>
      <c r="AL413" t="s">
        <v>74</v>
      </c>
      <c r="AM413" t="s">
        <v>74</v>
      </c>
      <c r="AN413" t="s">
        <v>74</v>
      </c>
      <c r="AO413" t="s">
        <v>1658</v>
      </c>
      <c r="AP413" t="s">
        <v>1659</v>
      </c>
      <c r="AQ413" t="s">
        <v>74</v>
      </c>
      <c r="AR413" t="s">
        <v>74</v>
      </c>
      <c r="AS413" t="s">
        <v>74</v>
      </c>
      <c r="AT413" t="s">
        <v>5036</v>
      </c>
      <c r="AU413">
        <v>2006</v>
      </c>
      <c r="AV413" t="s">
        <v>74</v>
      </c>
      <c r="AW413">
        <v>1327</v>
      </c>
      <c r="AX413" t="s">
        <v>74</v>
      </c>
      <c r="AY413" t="s">
        <v>74</v>
      </c>
      <c r="AZ413" t="s">
        <v>74</v>
      </c>
      <c r="BA413" t="s">
        <v>74</v>
      </c>
      <c r="BB413">
        <v>1</v>
      </c>
      <c r="BC413">
        <v>21</v>
      </c>
      <c r="BD413" t="s">
        <v>74</v>
      </c>
      <c r="BE413" t="s">
        <v>74</v>
      </c>
      <c r="BF413" t="s">
        <v>74</v>
      </c>
      <c r="BG413" t="s">
        <v>74</v>
      </c>
      <c r="BH413" t="s">
        <v>74</v>
      </c>
      <c r="BI413" t="s">
        <v>74</v>
      </c>
      <c r="BJ413" t="s">
        <v>74</v>
      </c>
      <c r="BK413" t="s">
        <v>74</v>
      </c>
      <c r="BL413" t="s">
        <v>74</v>
      </c>
      <c r="BM413" t="s">
        <v>74</v>
      </c>
      <c r="BN413" t="s">
        <v>74</v>
      </c>
      <c r="BO413" t="s">
        <v>74</v>
      </c>
      <c r="BP413" t="s">
        <v>74</v>
      </c>
      <c r="BQ413" t="s">
        <v>74</v>
      </c>
      <c r="BR413" t="s">
        <v>74</v>
      </c>
      <c r="BS413" t="s">
        <v>5037</v>
      </c>
      <c r="BT413" t="str">
        <f>HYPERLINK("https%3A%2F%2Fwww.webofscience.com%2Fwos%2Fwoscc%2Ffull-record%2FWOS:000240866100001","View Full Record in Web of Science")</f>
        <v>View Full Record in Web of Science</v>
      </c>
    </row>
    <row r="414" spans="1:72" x14ac:dyDescent="0.4">
      <c r="A414" t="s">
        <v>72</v>
      </c>
      <c r="B414" t="s">
        <v>5322</v>
      </c>
      <c r="C414" t="s">
        <v>74</v>
      </c>
      <c r="D414" t="s">
        <v>74</v>
      </c>
      <c r="E414" t="s">
        <v>74</v>
      </c>
      <c r="F414" t="s">
        <v>5323</v>
      </c>
      <c r="G414" t="s">
        <v>74</v>
      </c>
      <c r="H414" t="s">
        <v>74</v>
      </c>
      <c r="I414" t="s">
        <v>5324</v>
      </c>
      <c r="J414" t="s">
        <v>1656</v>
      </c>
      <c r="K414" t="s">
        <v>74</v>
      </c>
      <c r="L414" t="s">
        <v>74</v>
      </c>
      <c r="M414" t="s">
        <v>74</v>
      </c>
      <c r="N414" t="s">
        <v>74</v>
      </c>
      <c r="O414" t="s">
        <v>74</v>
      </c>
      <c r="P414" t="s">
        <v>74</v>
      </c>
      <c r="Q414" t="s">
        <v>74</v>
      </c>
      <c r="R414" t="s">
        <v>74</v>
      </c>
      <c r="S414" t="s">
        <v>74</v>
      </c>
      <c r="T414" t="s">
        <v>74</v>
      </c>
      <c r="U414" t="s">
        <v>74</v>
      </c>
      <c r="V414" s="3" t="s">
        <v>5325</v>
      </c>
      <c r="W414" t="s">
        <v>74</v>
      </c>
      <c r="X414" t="s">
        <v>74</v>
      </c>
      <c r="Y414" t="s">
        <v>74</v>
      </c>
      <c r="Z414" t="s">
        <v>74</v>
      </c>
      <c r="AA414" t="s">
        <v>5326</v>
      </c>
      <c r="AB414" t="s">
        <v>5327</v>
      </c>
      <c r="AC414" t="s">
        <v>74</v>
      </c>
      <c r="AD414" t="s">
        <v>74</v>
      </c>
      <c r="AE414" t="s">
        <v>74</v>
      </c>
      <c r="AF414" t="s">
        <v>74</v>
      </c>
      <c r="AG414" t="s">
        <v>74</v>
      </c>
      <c r="AH414" t="s">
        <v>74</v>
      </c>
      <c r="AI414" t="s">
        <v>74</v>
      </c>
      <c r="AJ414" t="s">
        <v>74</v>
      </c>
      <c r="AK414" t="s">
        <v>74</v>
      </c>
      <c r="AL414" t="s">
        <v>74</v>
      </c>
      <c r="AM414" t="s">
        <v>74</v>
      </c>
      <c r="AN414" t="s">
        <v>74</v>
      </c>
      <c r="AO414" t="s">
        <v>1658</v>
      </c>
      <c r="AP414" t="s">
        <v>1659</v>
      </c>
      <c r="AQ414" t="s">
        <v>74</v>
      </c>
      <c r="AR414" t="s">
        <v>74</v>
      </c>
      <c r="AS414" t="s">
        <v>74</v>
      </c>
      <c r="AT414" t="s">
        <v>5328</v>
      </c>
      <c r="AU414">
        <v>2016</v>
      </c>
      <c r="AV414">
        <v>4105</v>
      </c>
      <c r="AW414">
        <v>5</v>
      </c>
      <c r="AX414" t="s">
        <v>74</v>
      </c>
      <c r="AY414" t="s">
        <v>74</v>
      </c>
      <c r="AZ414" t="s">
        <v>74</v>
      </c>
      <c r="BA414" t="s">
        <v>74</v>
      </c>
      <c r="BB414">
        <v>401</v>
      </c>
      <c r="BC414">
        <v>429</v>
      </c>
      <c r="BD414" t="s">
        <v>74</v>
      </c>
      <c r="BE414" t="s">
        <v>5329</v>
      </c>
      <c r="BF414" t="str">
        <f>HYPERLINK("http://dx.doi.org/10.11646/zootaxa.4105.5.1","http://dx.doi.org/10.11646/zootaxa.4105.5.1")</f>
        <v>http://dx.doi.org/10.11646/zootaxa.4105.5.1</v>
      </c>
      <c r="BG414" t="s">
        <v>74</v>
      </c>
      <c r="BH414" t="s">
        <v>74</v>
      </c>
      <c r="BI414" t="s">
        <v>74</v>
      </c>
      <c r="BJ414" t="s">
        <v>74</v>
      </c>
      <c r="BK414" t="s">
        <v>74</v>
      </c>
      <c r="BL414" t="s">
        <v>74</v>
      </c>
      <c r="BM414" t="s">
        <v>74</v>
      </c>
      <c r="BN414">
        <v>27394789</v>
      </c>
      <c r="BO414" t="s">
        <v>74</v>
      </c>
      <c r="BP414" t="s">
        <v>74</v>
      </c>
      <c r="BQ414" t="s">
        <v>74</v>
      </c>
      <c r="BR414" t="s">
        <v>74</v>
      </c>
      <c r="BS414" t="s">
        <v>5330</v>
      </c>
      <c r="BT414" t="str">
        <f>HYPERLINK("https%3A%2F%2Fwww.webofscience.com%2Fwos%2Fwoscc%2Ffull-record%2FWOS:000375273900001","View Full Record in Web of Science")</f>
        <v>View Full Record in Web of Science</v>
      </c>
    </row>
    <row r="415" spans="1:72" x14ac:dyDescent="0.4">
      <c r="A415" t="s">
        <v>72</v>
      </c>
      <c r="B415" t="s">
        <v>7754</v>
      </c>
      <c r="C415" t="s">
        <v>74</v>
      </c>
      <c r="D415" t="s">
        <v>74</v>
      </c>
      <c r="E415" t="s">
        <v>74</v>
      </c>
      <c r="F415" t="s">
        <v>7755</v>
      </c>
      <c r="G415" t="s">
        <v>74</v>
      </c>
      <c r="H415" t="s">
        <v>74</v>
      </c>
      <c r="I415" t="s">
        <v>7756</v>
      </c>
      <c r="J415" t="s">
        <v>1574</v>
      </c>
      <c r="K415" t="s">
        <v>74</v>
      </c>
      <c r="L415" t="s">
        <v>74</v>
      </c>
      <c r="M415" t="s">
        <v>74</v>
      </c>
      <c r="N415" t="s">
        <v>74</v>
      </c>
      <c r="O415" t="s">
        <v>74</v>
      </c>
      <c r="P415" t="s">
        <v>74</v>
      </c>
      <c r="Q415" t="s">
        <v>74</v>
      </c>
      <c r="R415" t="s">
        <v>74</v>
      </c>
      <c r="S415" t="s">
        <v>74</v>
      </c>
      <c r="T415" t="s">
        <v>74</v>
      </c>
      <c r="U415" t="s">
        <v>74</v>
      </c>
      <c r="V415" s="3" t="s">
        <v>7757</v>
      </c>
      <c r="W415" t="s">
        <v>74</v>
      </c>
      <c r="X415" t="s">
        <v>74</v>
      </c>
      <c r="Y415" t="s">
        <v>74</v>
      </c>
      <c r="Z415" t="s">
        <v>74</v>
      </c>
      <c r="AA415" t="s">
        <v>74</v>
      </c>
      <c r="AB415" t="s">
        <v>7758</v>
      </c>
      <c r="AC415" t="s">
        <v>74</v>
      </c>
      <c r="AD415" t="s">
        <v>74</v>
      </c>
      <c r="AE415" t="s">
        <v>74</v>
      </c>
      <c r="AF415" t="s">
        <v>74</v>
      </c>
      <c r="AG415" t="s">
        <v>74</v>
      </c>
      <c r="AH415" t="s">
        <v>74</v>
      </c>
      <c r="AI415" t="s">
        <v>74</v>
      </c>
      <c r="AJ415" t="s">
        <v>74</v>
      </c>
      <c r="AK415" t="s">
        <v>74</v>
      </c>
      <c r="AL415" t="s">
        <v>74</v>
      </c>
      <c r="AM415" t="s">
        <v>74</v>
      </c>
      <c r="AN415" t="s">
        <v>74</v>
      </c>
      <c r="AO415" t="s">
        <v>1576</v>
      </c>
      <c r="AP415" t="s">
        <v>1577</v>
      </c>
      <c r="AQ415" t="s">
        <v>74</v>
      </c>
      <c r="AR415" t="s">
        <v>74</v>
      </c>
      <c r="AS415" t="s">
        <v>74</v>
      </c>
      <c r="AT415" t="s">
        <v>74</v>
      </c>
      <c r="AU415">
        <v>2008</v>
      </c>
      <c r="AV415">
        <v>71</v>
      </c>
      <c r="AW415">
        <v>1</v>
      </c>
      <c r="AX415" t="s">
        <v>74</v>
      </c>
      <c r="AY415" t="s">
        <v>74</v>
      </c>
      <c r="AZ415" t="s">
        <v>74</v>
      </c>
      <c r="BA415" t="s">
        <v>74</v>
      </c>
      <c r="BB415">
        <v>1</v>
      </c>
      <c r="BC415">
        <v>14</v>
      </c>
      <c r="BD415" t="s">
        <v>74</v>
      </c>
      <c r="BE415" t="s">
        <v>7759</v>
      </c>
      <c r="BF415" t="str">
        <f>HYPERLINK("http://dx.doi.org/10.1159/000108607","http://dx.doi.org/10.1159/000108607")</f>
        <v>http://dx.doi.org/10.1159/000108607</v>
      </c>
      <c r="BG415" t="s">
        <v>74</v>
      </c>
      <c r="BH415" t="s">
        <v>74</v>
      </c>
      <c r="BI415" t="s">
        <v>74</v>
      </c>
      <c r="BJ415" t="s">
        <v>74</v>
      </c>
      <c r="BK415" t="s">
        <v>74</v>
      </c>
      <c r="BL415" t="s">
        <v>74</v>
      </c>
      <c r="BM415" t="s">
        <v>74</v>
      </c>
      <c r="BN415">
        <v>17878714</v>
      </c>
      <c r="BO415" t="s">
        <v>74</v>
      </c>
      <c r="BP415" t="s">
        <v>74</v>
      </c>
      <c r="BQ415" t="s">
        <v>74</v>
      </c>
      <c r="BR415" t="s">
        <v>74</v>
      </c>
      <c r="BS415" t="s">
        <v>7760</v>
      </c>
      <c r="BT415" t="str">
        <f>HYPERLINK("https%3A%2F%2Fwww.webofscience.com%2Fwos%2Fwoscc%2Ffull-record%2FWOS:000251137800001","View Full Record in Web of Science")</f>
        <v>View Full Record in Web of Science</v>
      </c>
    </row>
    <row r="416" spans="1:72" x14ac:dyDescent="0.4">
      <c r="A416" t="s">
        <v>72</v>
      </c>
      <c r="B416" t="s">
        <v>3791</v>
      </c>
      <c r="C416" t="s">
        <v>74</v>
      </c>
      <c r="D416" t="s">
        <v>74</v>
      </c>
      <c r="E416" t="s">
        <v>74</v>
      </c>
      <c r="F416" t="s">
        <v>3792</v>
      </c>
      <c r="G416" t="s">
        <v>74</v>
      </c>
      <c r="H416" t="s">
        <v>74</v>
      </c>
      <c r="I416" t="s">
        <v>3793</v>
      </c>
      <c r="J416" t="s">
        <v>1755</v>
      </c>
      <c r="K416" t="s">
        <v>74</v>
      </c>
      <c r="L416" t="s">
        <v>74</v>
      </c>
      <c r="M416" t="s">
        <v>74</v>
      </c>
      <c r="N416" t="s">
        <v>74</v>
      </c>
      <c r="O416" t="s">
        <v>74</v>
      </c>
      <c r="P416" t="s">
        <v>74</v>
      </c>
      <c r="Q416" t="s">
        <v>74</v>
      </c>
      <c r="R416" t="s">
        <v>74</v>
      </c>
      <c r="S416" t="s">
        <v>74</v>
      </c>
      <c r="T416" t="s">
        <v>74</v>
      </c>
      <c r="U416" t="s">
        <v>74</v>
      </c>
      <c r="V416" s="3" t="s">
        <v>3794</v>
      </c>
      <c r="W416" t="s">
        <v>74</v>
      </c>
      <c r="X416" t="s">
        <v>74</v>
      </c>
      <c r="Y416" t="s">
        <v>74</v>
      </c>
      <c r="Z416" t="s">
        <v>74</v>
      </c>
      <c r="AA416" t="s">
        <v>3795</v>
      </c>
      <c r="AB416" t="s">
        <v>3796</v>
      </c>
      <c r="AC416" t="s">
        <v>74</v>
      </c>
      <c r="AD416" t="s">
        <v>74</v>
      </c>
      <c r="AE416" t="s">
        <v>74</v>
      </c>
      <c r="AF416" t="s">
        <v>74</v>
      </c>
      <c r="AG416" t="s">
        <v>74</v>
      </c>
      <c r="AH416" t="s">
        <v>74</v>
      </c>
      <c r="AI416" t="s">
        <v>74</v>
      </c>
      <c r="AJ416" t="s">
        <v>74</v>
      </c>
      <c r="AK416" t="s">
        <v>74</v>
      </c>
      <c r="AL416" t="s">
        <v>74</v>
      </c>
      <c r="AM416" t="s">
        <v>74</v>
      </c>
      <c r="AN416" t="s">
        <v>74</v>
      </c>
      <c r="AO416" t="s">
        <v>1759</v>
      </c>
      <c r="AP416" t="s">
        <v>1760</v>
      </c>
      <c r="AQ416" t="s">
        <v>74</v>
      </c>
      <c r="AR416" t="s">
        <v>74</v>
      </c>
      <c r="AS416" t="s">
        <v>74</v>
      </c>
      <c r="AT416" t="s">
        <v>255</v>
      </c>
      <c r="AU416">
        <v>2014</v>
      </c>
      <c r="AV416">
        <v>27</v>
      </c>
      <c r="AW416">
        <v>1</v>
      </c>
      <c r="AX416" t="s">
        <v>74</v>
      </c>
      <c r="AY416" t="s">
        <v>74</v>
      </c>
      <c r="AZ416" t="s">
        <v>74</v>
      </c>
      <c r="BA416" t="s">
        <v>74</v>
      </c>
      <c r="BB416">
        <v>67</v>
      </c>
      <c r="BC416">
        <v>80</v>
      </c>
      <c r="BD416" t="s">
        <v>74</v>
      </c>
      <c r="BE416" t="s">
        <v>3797</v>
      </c>
      <c r="BF416" t="str">
        <f>HYPERLINK("http://dx.doi.org/10.1007/s10905-013-9406-4","http://dx.doi.org/10.1007/s10905-013-9406-4")</f>
        <v>http://dx.doi.org/10.1007/s10905-013-9406-4</v>
      </c>
      <c r="BG416" t="s">
        <v>74</v>
      </c>
      <c r="BH416" t="s">
        <v>74</v>
      </c>
      <c r="BI416" t="s">
        <v>74</v>
      </c>
      <c r="BJ416" t="s">
        <v>74</v>
      </c>
      <c r="BK416" t="s">
        <v>74</v>
      </c>
      <c r="BL416" t="s">
        <v>74</v>
      </c>
      <c r="BM416" t="s">
        <v>74</v>
      </c>
      <c r="BN416" t="s">
        <v>74</v>
      </c>
      <c r="BO416" t="s">
        <v>74</v>
      </c>
      <c r="BP416" t="s">
        <v>74</v>
      </c>
      <c r="BQ416" t="s">
        <v>74</v>
      </c>
      <c r="BR416" t="s">
        <v>74</v>
      </c>
      <c r="BS416" t="s">
        <v>3798</v>
      </c>
      <c r="BT416" t="str">
        <f>HYPERLINK("https%3A%2F%2Fwww.webofscience.com%2Fwos%2Fwoscc%2Ffull-record%2FWOS:000329237700006","View Full Record in Web of Science")</f>
        <v>View Full Record in Web of Science</v>
      </c>
    </row>
    <row r="417" spans="1:72" x14ac:dyDescent="0.4">
      <c r="A417" t="s">
        <v>72</v>
      </c>
      <c r="B417" t="s">
        <v>3390</v>
      </c>
      <c r="C417" t="s">
        <v>74</v>
      </c>
      <c r="D417" t="s">
        <v>74</v>
      </c>
      <c r="E417" t="s">
        <v>74</v>
      </c>
      <c r="F417" t="s">
        <v>3391</v>
      </c>
      <c r="G417" t="s">
        <v>74</v>
      </c>
      <c r="H417" t="s">
        <v>74</v>
      </c>
      <c r="I417" t="s">
        <v>3392</v>
      </c>
      <c r="J417" t="s">
        <v>119</v>
      </c>
      <c r="K417" t="s">
        <v>74</v>
      </c>
      <c r="L417" t="s">
        <v>74</v>
      </c>
      <c r="M417" t="s">
        <v>74</v>
      </c>
      <c r="N417" t="s">
        <v>74</v>
      </c>
      <c r="O417" t="s">
        <v>74</v>
      </c>
      <c r="P417" t="s">
        <v>74</v>
      </c>
      <c r="Q417" t="s">
        <v>74</v>
      </c>
      <c r="R417" t="s">
        <v>74</v>
      </c>
      <c r="S417" t="s">
        <v>74</v>
      </c>
      <c r="T417" t="s">
        <v>74</v>
      </c>
      <c r="U417" t="s">
        <v>74</v>
      </c>
      <c r="V417" s="3" t="s">
        <v>3393</v>
      </c>
      <c r="W417" t="s">
        <v>74</v>
      </c>
      <c r="X417" t="s">
        <v>74</v>
      </c>
      <c r="Y417" t="s">
        <v>74</v>
      </c>
      <c r="Z417" t="s">
        <v>74</v>
      </c>
      <c r="AA417" t="s">
        <v>2838</v>
      </c>
      <c r="AB417" t="s">
        <v>3394</v>
      </c>
      <c r="AC417" t="s">
        <v>74</v>
      </c>
      <c r="AD417" t="s">
        <v>74</v>
      </c>
      <c r="AE417" t="s">
        <v>74</v>
      </c>
      <c r="AF417" t="s">
        <v>74</v>
      </c>
      <c r="AG417" t="s">
        <v>74</v>
      </c>
      <c r="AH417" t="s">
        <v>74</v>
      </c>
      <c r="AI417" t="s">
        <v>74</v>
      </c>
      <c r="AJ417" t="s">
        <v>74</v>
      </c>
      <c r="AK417" t="s">
        <v>74</v>
      </c>
      <c r="AL417" t="s">
        <v>74</v>
      </c>
      <c r="AM417" t="s">
        <v>74</v>
      </c>
      <c r="AN417" t="s">
        <v>74</v>
      </c>
      <c r="AO417" t="s">
        <v>121</v>
      </c>
      <c r="AP417" t="s">
        <v>122</v>
      </c>
      <c r="AQ417" t="s">
        <v>74</v>
      </c>
      <c r="AR417" t="s">
        <v>74</v>
      </c>
      <c r="AS417" t="s">
        <v>74</v>
      </c>
      <c r="AT417" t="s">
        <v>213</v>
      </c>
      <c r="AU417">
        <v>2014</v>
      </c>
      <c r="AV417">
        <v>109</v>
      </c>
      <c r="AW417" t="s">
        <v>74</v>
      </c>
      <c r="AX417" t="s">
        <v>3395</v>
      </c>
      <c r="AY417" t="s">
        <v>74</v>
      </c>
      <c r="AZ417" t="s">
        <v>848</v>
      </c>
      <c r="BA417" t="s">
        <v>74</v>
      </c>
      <c r="BB417">
        <v>145</v>
      </c>
      <c r="BC417">
        <v>150</v>
      </c>
      <c r="BD417" t="s">
        <v>74</v>
      </c>
      <c r="BE417" t="s">
        <v>3396</v>
      </c>
      <c r="BF417" t="str">
        <f>HYPERLINK("http://dx.doi.org/10.1016/j.beproc.2014.04.013","http://dx.doi.org/10.1016/j.beproc.2014.04.013")</f>
        <v>http://dx.doi.org/10.1016/j.beproc.2014.04.013</v>
      </c>
      <c r="BG417" t="s">
        <v>74</v>
      </c>
      <c r="BH417" t="s">
        <v>74</v>
      </c>
      <c r="BI417" t="s">
        <v>74</v>
      </c>
      <c r="BJ417" t="s">
        <v>74</v>
      </c>
      <c r="BK417" t="s">
        <v>74</v>
      </c>
      <c r="BL417" t="s">
        <v>74</v>
      </c>
      <c r="BM417" t="s">
        <v>74</v>
      </c>
      <c r="BN417">
        <v>24797456</v>
      </c>
      <c r="BO417" t="s">
        <v>74</v>
      </c>
      <c r="BP417" t="s">
        <v>74</v>
      </c>
      <c r="BQ417" t="s">
        <v>74</v>
      </c>
      <c r="BR417" t="s">
        <v>74</v>
      </c>
      <c r="BS417" t="s">
        <v>3397</v>
      </c>
      <c r="BT417" t="str">
        <f>HYPERLINK("https%3A%2F%2Fwww.webofscience.com%2Fwos%2Fwoscc%2Ffull-record%2FWOS:000347742900006","View Full Record in Web of Science")</f>
        <v>View Full Record in Web of Science</v>
      </c>
    </row>
    <row r="418" spans="1:72" x14ac:dyDescent="0.4">
      <c r="A418" t="s">
        <v>72</v>
      </c>
      <c r="B418" t="s">
        <v>5870</v>
      </c>
      <c r="C418" t="s">
        <v>74</v>
      </c>
      <c r="D418" t="s">
        <v>74</v>
      </c>
      <c r="E418" t="s">
        <v>74</v>
      </c>
      <c r="F418" t="s">
        <v>5871</v>
      </c>
      <c r="G418" t="s">
        <v>74</v>
      </c>
      <c r="H418" t="s">
        <v>74</v>
      </c>
      <c r="I418" t="s">
        <v>5872</v>
      </c>
      <c r="J418" t="s">
        <v>108</v>
      </c>
      <c r="K418" t="s">
        <v>74</v>
      </c>
      <c r="L418" t="s">
        <v>74</v>
      </c>
      <c r="M418" t="s">
        <v>74</v>
      </c>
      <c r="N418" t="s">
        <v>74</v>
      </c>
      <c r="O418" t="s">
        <v>74</v>
      </c>
      <c r="P418" t="s">
        <v>74</v>
      </c>
      <c r="Q418" t="s">
        <v>74</v>
      </c>
      <c r="R418" t="s">
        <v>74</v>
      </c>
      <c r="S418" t="s">
        <v>74</v>
      </c>
      <c r="T418" t="s">
        <v>74</v>
      </c>
      <c r="U418" t="s">
        <v>74</v>
      </c>
      <c r="V418" s="3" t="s">
        <v>5873</v>
      </c>
      <c r="W418" t="s">
        <v>74</v>
      </c>
      <c r="X418" t="s">
        <v>74</v>
      </c>
      <c r="Y418" t="s">
        <v>74</v>
      </c>
      <c r="Z418" t="s">
        <v>74</v>
      </c>
      <c r="AA418" t="s">
        <v>2838</v>
      </c>
      <c r="AB418" t="s">
        <v>5874</v>
      </c>
      <c r="AC418" t="s">
        <v>74</v>
      </c>
      <c r="AD418" t="s">
        <v>74</v>
      </c>
      <c r="AE418" t="s">
        <v>74</v>
      </c>
      <c r="AF418" t="s">
        <v>74</v>
      </c>
      <c r="AG418" t="s">
        <v>74</v>
      </c>
      <c r="AH418" t="s">
        <v>74</v>
      </c>
      <c r="AI418" t="s">
        <v>74</v>
      </c>
      <c r="AJ418" t="s">
        <v>74</v>
      </c>
      <c r="AK418" t="s">
        <v>74</v>
      </c>
      <c r="AL418" t="s">
        <v>74</v>
      </c>
      <c r="AM418" t="s">
        <v>74</v>
      </c>
      <c r="AN418" t="s">
        <v>74</v>
      </c>
      <c r="AO418" t="s">
        <v>111</v>
      </c>
      <c r="AP418" t="s">
        <v>112</v>
      </c>
      <c r="AQ418" t="s">
        <v>74</v>
      </c>
      <c r="AR418" t="s">
        <v>74</v>
      </c>
      <c r="AS418" t="s">
        <v>74</v>
      </c>
      <c r="AT418" t="s">
        <v>5875</v>
      </c>
      <c r="AU418">
        <v>2016</v>
      </c>
      <c r="AV418">
        <v>283</v>
      </c>
      <c r="AW418">
        <v>1827</v>
      </c>
      <c r="AX418" t="s">
        <v>74</v>
      </c>
      <c r="AY418" t="s">
        <v>74</v>
      </c>
      <c r="AZ418" t="s">
        <v>74</v>
      </c>
      <c r="BA418" t="s">
        <v>74</v>
      </c>
      <c r="BB418" t="s">
        <v>74</v>
      </c>
      <c r="BC418" t="s">
        <v>74</v>
      </c>
      <c r="BD418">
        <v>20152685</v>
      </c>
      <c r="BE418" t="s">
        <v>5876</v>
      </c>
      <c r="BF418" t="str">
        <f>HYPERLINK("http://dx.doi.org/10.1098/rspb.2015.2685","http://dx.doi.org/10.1098/rspb.2015.2685")</f>
        <v>http://dx.doi.org/10.1098/rspb.2015.2685</v>
      </c>
      <c r="BG418" t="s">
        <v>74</v>
      </c>
      <c r="BH418" t="s">
        <v>74</v>
      </c>
      <c r="BI418" t="s">
        <v>74</v>
      </c>
      <c r="BJ418" t="s">
        <v>74</v>
      </c>
      <c r="BK418" t="s">
        <v>74</v>
      </c>
      <c r="BL418" t="s">
        <v>74</v>
      </c>
      <c r="BM418" t="s">
        <v>74</v>
      </c>
      <c r="BN418">
        <v>27009230</v>
      </c>
      <c r="BO418" t="s">
        <v>74</v>
      </c>
      <c r="BP418" t="s">
        <v>74</v>
      </c>
      <c r="BQ418" t="s">
        <v>74</v>
      </c>
      <c r="BR418" t="s">
        <v>74</v>
      </c>
      <c r="BS418" t="s">
        <v>5877</v>
      </c>
      <c r="BT418" t="str">
        <f>HYPERLINK("https%3A%2F%2Fwww.webofscience.com%2Fwos%2Fwoscc%2Ffull-record%2FWOS:000375732500019","View Full Record in Web of Science")</f>
        <v>View Full Record in Web of Science</v>
      </c>
    </row>
    <row r="419" spans="1:72" x14ac:dyDescent="0.4">
      <c r="A419" t="s">
        <v>72</v>
      </c>
      <c r="B419" t="s">
        <v>6883</v>
      </c>
      <c r="C419" t="s">
        <v>74</v>
      </c>
      <c r="D419" t="s">
        <v>74</v>
      </c>
      <c r="E419" t="s">
        <v>74</v>
      </c>
      <c r="F419" t="s">
        <v>6883</v>
      </c>
      <c r="G419" t="s">
        <v>74</v>
      </c>
      <c r="H419" t="s">
        <v>74</v>
      </c>
      <c r="I419" t="s">
        <v>6884</v>
      </c>
      <c r="J419" t="s">
        <v>4235</v>
      </c>
      <c r="K419" t="s">
        <v>74</v>
      </c>
      <c r="L419" t="s">
        <v>74</v>
      </c>
      <c r="M419" t="s">
        <v>74</v>
      </c>
      <c r="N419" t="s">
        <v>74</v>
      </c>
      <c r="O419" t="s">
        <v>74</v>
      </c>
      <c r="P419" t="s">
        <v>74</v>
      </c>
      <c r="Q419" t="s">
        <v>74</v>
      </c>
      <c r="R419" t="s">
        <v>74</v>
      </c>
      <c r="S419" t="s">
        <v>74</v>
      </c>
      <c r="T419" t="s">
        <v>74</v>
      </c>
      <c r="U419" t="s">
        <v>74</v>
      </c>
      <c r="V419" s="3" t="s">
        <v>6885</v>
      </c>
      <c r="W419" t="s">
        <v>74</v>
      </c>
      <c r="X419" t="s">
        <v>74</v>
      </c>
      <c r="Y419" t="s">
        <v>74</v>
      </c>
      <c r="Z419" t="s">
        <v>74</v>
      </c>
      <c r="AA419" t="s">
        <v>74</v>
      </c>
      <c r="AB419" t="s">
        <v>6886</v>
      </c>
      <c r="AC419" t="s">
        <v>74</v>
      </c>
      <c r="AD419" t="s">
        <v>74</v>
      </c>
      <c r="AE419" t="s">
        <v>74</v>
      </c>
      <c r="AF419" t="s">
        <v>74</v>
      </c>
      <c r="AG419" t="s">
        <v>74</v>
      </c>
      <c r="AH419" t="s">
        <v>74</v>
      </c>
      <c r="AI419" t="s">
        <v>74</v>
      </c>
      <c r="AJ419" t="s">
        <v>74</v>
      </c>
      <c r="AK419" t="s">
        <v>74</v>
      </c>
      <c r="AL419" t="s">
        <v>74</v>
      </c>
      <c r="AM419" t="s">
        <v>74</v>
      </c>
      <c r="AN419" t="s">
        <v>74</v>
      </c>
      <c r="AO419" t="s">
        <v>4239</v>
      </c>
      <c r="AP419" t="s">
        <v>4240</v>
      </c>
      <c r="AQ419" t="s">
        <v>74</v>
      </c>
      <c r="AR419" t="s">
        <v>74</v>
      </c>
      <c r="AS419" t="s">
        <v>74</v>
      </c>
      <c r="AT419" t="s">
        <v>305</v>
      </c>
      <c r="AU419">
        <v>2005</v>
      </c>
      <c r="AV419">
        <v>37</v>
      </c>
      <c r="AW419">
        <v>3</v>
      </c>
      <c r="AX419" t="s">
        <v>74</v>
      </c>
      <c r="AY419" t="s">
        <v>74</v>
      </c>
      <c r="AZ419" t="s">
        <v>74</v>
      </c>
      <c r="BA419" t="s">
        <v>74</v>
      </c>
      <c r="BB419">
        <v>644</v>
      </c>
      <c r="BC419">
        <v>660</v>
      </c>
      <c r="BD419" t="s">
        <v>74</v>
      </c>
      <c r="BE419" t="s">
        <v>6887</v>
      </c>
      <c r="BF419" t="str">
        <f>HYPERLINK("http://dx.doi.org/10.1016/j.ympev.2005.04.026","http://dx.doi.org/10.1016/j.ympev.2005.04.026")</f>
        <v>http://dx.doi.org/10.1016/j.ympev.2005.04.026</v>
      </c>
      <c r="BG419" t="s">
        <v>74</v>
      </c>
      <c r="BH419" t="s">
        <v>74</v>
      </c>
      <c r="BI419" t="s">
        <v>74</v>
      </c>
      <c r="BJ419" t="s">
        <v>74</v>
      </c>
      <c r="BK419" t="s">
        <v>74</v>
      </c>
      <c r="BL419" t="s">
        <v>74</v>
      </c>
      <c r="BM419" t="s">
        <v>74</v>
      </c>
      <c r="BN419">
        <v>16055353</v>
      </c>
      <c r="BO419" t="s">
        <v>74</v>
      </c>
      <c r="BP419" t="s">
        <v>74</v>
      </c>
      <c r="BQ419" t="s">
        <v>74</v>
      </c>
      <c r="BR419" t="s">
        <v>74</v>
      </c>
      <c r="BS419" t="s">
        <v>6888</v>
      </c>
      <c r="BT419" t="str">
        <f>HYPERLINK("https%3A%2F%2Fwww.webofscience.com%2Fwos%2Fwoscc%2Ffull-record%2FWOS:000233658100002","View Full Record in Web of Science")</f>
        <v>View Full Record in Web of Science</v>
      </c>
    </row>
    <row r="420" spans="1:72" x14ac:dyDescent="0.4">
      <c r="A420" t="s">
        <v>72</v>
      </c>
      <c r="B420" t="s">
        <v>4796</v>
      </c>
      <c r="C420" t="s">
        <v>74</v>
      </c>
      <c r="D420" t="s">
        <v>74</v>
      </c>
      <c r="E420" t="s">
        <v>74</v>
      </c>
      <c r="F420" t="s">
        <v>4796</v>
      </c>
      <c r="G420" t="s">
        <v>74</v>
      </c>
      <c r="H420" t="s">
        <v>74</v>
      </c>
      <c r="I420" t="s">
        <v>4797</v>
      </c>
      <c r="J420" t="s">
        <v>691</v>
      </c>
      <c r="K420" t="s">
        <v>74</v>
      </c>
      <c r="L420" t="s">
        <v>74</v>
      </c>
      <c r="M420" t="s">
        <v>74</v>
      </c>
      <c r="N420" t="s">
        <v>74</v>
      </c>
      <c r="O420" t="s">
        <v>74</v>
      </c>
      <c r="P420" t="s">
        <v>74</v>
      </c>
      <c r="Q420" t="s">
        <v>74</v>
      </c>
      <c r="R420" t="s">
        <v>74</v>
      </c>
      <c r="S420" t="s">
        <v>74</v>
      </c>
      <c r="T420" t="s">
        <v>74</v>
      </c>
      <c r="U420" t="s">
        <v>74</v>
      </c>
      <c r="V420" s="3" t="s">
        <v>4798</v>
      </c>
      <c r="W420" t="s">
        <v>74</v>
      </c>
      <c r="X420" t="s">
        <v>74</v>
      </c>
      <c r="Y420" t="s">
        <v>74</v>
      </c>
      <c r="Z420" t="s">
        <v>74</v>
      </c>
      <c r="AA420" t="s">
        <v>4799</v>
      </c>
      <c r="AB420" t="s">
        <v>4800</v>
      </c>
      <c r="AC420" t="s">
        <v>74</v>
      </c>
      <c r="AD420" t="s">
        <v>74</v>
      </c>
      <c r="AE420" t="s">
        <v>74</v>
      </c>
      <c r="AF420" t="s">
        <v>74</v>
      </c>
      <c r="AG420" t="s">
        <v>74</v>
      </c>
      <c r="AH420" t="s">
        <v>74</v>
      </c>
      <c r="AI420" t="s">
        <v>74</v>
      </c>
      <c r="AJ420" t="s">
        <v>74</v>
      </c>
      <c r="AK420" t="s">
        <v>74</v>
      </c>
      <c r="AL420" t="s">
        <v>74</v>
      </c>
      <c r="AM420" t="s">
        <v>74</v>
      </c>
      <c r="AN420" t="s">
        <v>74</v>
      </c>
      <c r="AO420" t="s">
        <v>695</v>
      </c>
      <c r="AP420" t="s">
        <v>74</v>
      </c>
      <c r="AQ420" t="s">
        <v>74</v>
      </c>
      <c r="AR420" t="s">
        <v>74</v>
      </c>
      <c r="AS420" t="s">
        <v>74</v>
      </c>
      <c r="AT420" t="s">
        <v>964</v>
      </c>
      <c r="AU420">
        <v>1994</v>
      </c>
      <c r="AV420">
        <v>55</v>
      </c>
      <c r="AW420">
        <v>2</v>
      </c>
      <c r="AX420" t="s">
        <v>74</v>
      </c>
      <c r="AY420" t="s">
        <v>74</v>
      </c>
      <c r="AZ420" t="s">
        <v>74</v>
      </c>
      <c r="BA420" t="s">
        <v>74</v>
      </c>
      <c r="BB420">
        <v>313</v>
      </c>
      <c r="BC420">
        <v>316</v>
      </c>
      <c r="BD420" t="s">
        <v>74</v>
      </c>
      <c r="BE420" t="s">
        <v>4801</v>
      </c>
      <c r="BF420" t="str">
        <f>HYPERLINK("http://dx.doi.org/10.1016/0031-9384(94)90139-2","http://dx.doi.org/10.1016/0031-9384(94)90139-2")</f>
        <v>http://dx.doi.org/10.1016/0031-9384(94)90139-2</v>
      </c>
      <c r="BG420" t="s">
        <v>74</v>
      </c>
      <c r="BH420" t="s">
        <v>74</v>
      </c>
      <c r="BI420" t="s">
        <v>74</v>
      </c>
      <c r="BJ420" t="s">
        <v>74</v>
      </c>
      <c r="BK420" t="s">
        <v>74</v>
      </c>
      <c r="BL420" t="s">
        <v>74</v>
      </c>
      <c r="BM420" t="s">
        <v>74</v>
      </c>
      <c r="BN420">
        <v>8153171</v>
      </c>
      <c r="BO420" t="s">
        <v>74</v>
      </c>
      <c r="BP420" t="s">
        <v>74</v>
      </c>
      <c r="BQ420" t="s">
        <v>74</v>
      </c>
      <c r="BR420" t="s">
        <v>74</v>
      </c>
      <c r="BS420" t="s">
        <v>4802</v>
      </c>
      <c r="BT420" t="str">
        <f>HYPERLINK("https%3A%2F%2Fwww.webofscience.com%2Fwos%2Fwoscc%2Ffull-record%2FWOS:A1994MV64200016","View Full Record in Web of Science")</f>
        <v>View Full Record in Web of Science</v>
      </c>
    </row>
    <row r="421" spans="1:72" x14ac:dyDescent="0.4">
      <c r="A421" t="s">
        <v>72</v>
      </c>
      <c r="B421" t="s">
        <v>5151</v>
      </c>
      <c r="C421" t="s">
        <v>74</v>
      </c>
      <c r="D421" t="s">
        <v>74</v>
      </c>
      <c r="E421" t="s">
        <v>74</v>
      </c>
      <c r="F421" t="s">
        <v>5152</v>
      </c>
      <c r="G421" t="s">
        <v>74</v>
      </c>
      <c r="H421" t="s">
        <v>74</v>
      </c>
      <c r="I421" t="s">
        <v>5153</v>
      </c>
      <c r="J421" t="s">
        <v>1673</v>
      </c>
      <c r="K421" t="s">
        <v>74</v>
      </c>
      <c r="L421" t="s">
        <v>74</v>
      </c>
      <c r="M421" t="s">
        <v>74</v>
      </c>
      <c r="N421" t="s">
        <v>74</v>
      </c>
      <c r="O421" t="s">
        <v>74</v>
      </c>
      <c r="P421" t="s">
        <v>74</v>
      </c>
      <c r="Q421" t="s">
        <v>74</v>
      </c>
      <c r="R421" t="s">
        <v>74</v>
      </c>
      <c r="S421" t="s">
        <v>74</v>
      </c>
      <c r="T421" t="s">
        <v>74</v>
      </c>
      <c r="U421" t="s">
        <v>74</v>
      </c>
      <c r="V421" s="3" t="s">
        <v>5154</v>
      </c>
      <c r="W421" t="s">
        <v>74</v>
      </c>
      <c r="X421" t="s">
        <v>74</v>
      </c>
      <c r="Y421" t="s">
        <v>74</v>
      </c>
      <c r="Z421" t="s">
        <v>74</v>
      </c>
      <c r="AA421" t="s">
        <v>5155</v>
      </c>
      <c r="AB421" t="s">
        <v>5156</v>
      </c>
      <c r="AC421" t="s">
        <v>74</v>
      </c>
      <c r="AD421" t="s">
        <v>74</v>
      </c>
      <c r="AE421" t="s">
        <v>74</v>
      </c>
      <c r="AF421" t="s">
        <v>74</v>
      </c>
      <c r="AG421" t="s">
        <v>74</v>
      </c>
      <c r="AH421" t="s">
        <v>74</v>
      </c>
      <c r="AI421" t="s">
        <v>74</v>
      </c>
      <c r="AJ421" t="s">
        <v>74</v>
      </c>
      <c r="AK421" t="s">
        <v>74</v>
      </c>
      <c r="AL421" t="s">
        <v>74</v>
      </c>
      <c r="AM421" t="s">
        <v>74</v>
      </c>
      <c r="AN421" t="s">
        <v>74</v>
      </c>
      <c r="AO421" t="s">
        <v>1239</v>
      </c>
      <c r="AP421" t="s">
        <v>1675</v>
      </c>
      <c r="AQ421" t="s">
        <v>74</v>
      </c>
      <c r="AR421" t="s">
        <v>74</v>
      </c>
      <c r="AS421" t="s">
        <v>74</v>
      </c>
      <c r="AT421" t="s">
        <v>305</v>
      </c>
      <c r="AU421">
        <v>2014</v>
      </c>
      <c r="AV421">
        <v>92</v>
      </c>
      <c r="AW421">
        <v>12</v>
      </c>
      <c r="AX421" t="s">
        <v>74</v>
      </c>
      <c r="AY421" t="s">
        <v>74</v>
      </c>
      <c r="AZ421" t="s">
        <v>74</v>
      </c>
      <c r="BA421" t="s">
        <v>74</v>
      </c>
      <c r="BB421">
        <v>1075</v>
      </c>
      <c r="BC421">
        <v>1082</v>
      </c>
      <c r="BD421" t="s">
        <v>74</v>
      </c>
      <c r="BE421" t="s">
        <v>5157</v>
      </c>
      <c r="BF421" t="str">
        <f>HYPERLINK("http://dx.doi.org/10.1139/cjz-2014-0256","http://dx.doi.org/10.1139/cjz-2014-0256")</f>
        <v>http://dx.doi.org/10.1139/cjz-2014-0256</v>
      </c>
      <c r="BG421" t="s">
        <v>74</v>
      </c>
      <c r="BH421" t="s">
        <v>74</v>
      </c>
      <c r="BI421" t="s">
        <v>74</v>
      </c>
      <c r="BJ421" t="s">
        <v>74</v>
      </c>
      <c r="BK421" t="s">
        <v>74</v>
      </c>
      <c r="BL421" t="s">
        <v>74</v>
      </c>
      <c r="BM421" t="s">
        <v>74</v>
      </c>
      <c r="BN421" t="s">
        <v>74</v>
      </c>
      <c r="BO421" t="s">
        <v>74</v>
      </c>
      <c r="BP421" t="s">
        <v>74</v>
      </c>
      <c r="BQ421" t="s">
        <v>74</v>
      </c>
      <c r="BR421" t="s">
        <v>74</v>
      </c>
      <c r="BS421" t="s">
        <v>5158</v>
      </c>
      <c r="BT421" t="str">
        <f>HYPERLINK("https%3A%2F%2Fwww.webofscience.com%2Fwos%2Fwoscc%2Ffull-record%2FWOS:000345617300010","View Full Record in Web of Science")</f>
        <v>View Full Record in Web of Science</v>
      </c>
    </row>
    <row r="422" spans="1:72" x14ac:dyDescent="0.4">
      <c r="A422" t="s">
        <v>72</v>
      </c>
      <c r="B422" t="s">
        <v>3143</v>
      </c>
      <c r="C422" t="s">
        <v>74</v>
      </c>
      <c r="D422" t="s">
        <v>74</v>
      </c>
      <c r="E422" t="s">
        <v>74</v>
      </c>
      <c r="F422" t="s">
        <v>3144</v>
      </c>
      <c r="G422" t="s">
        <v>74</v>
      </c>
      <c r="H422" t="s">
        <v>74</v>
      </c>
      <c r="I422" t="s">
        <v>3145</v>
      </c>
      <c r="J422" t="s">
        <v>456</v>
      </c>
      <c r="K422" t="s">
        <v>74</v>
      </c>
      <c r="L422" t="s">
        <v>74</v>
      </c>
      <c r="M422" t="s">
        <v>74</v>
      </c>
      <c r="N422" t="s">
        <v>74</v>
      </c>
      <c r="O422" t="s">
        <v>74</v>
      </c>
      <c r="P422" t="s">
        <v>74</v>
      </c>
      <c r="Q422" t="s">
        <v>74</v>
      </c>
      <c r="R422" t="s">
        <v>74</v>
      </c>
      <c r="S422" t="s">
        <v>74</v>
      </c>
      <c r="T422" t="s">
        <v>74</v>
      </c>
      <c r="U422" t="s">
        <v>74</v>
      </c>
      <c r="V422" s="3" t="s">
        <v>3146</v>
      </c>
      <c r="W422" t="s">
        <v>74</v>
      </c>
      <c r="X422" t="s">
        <v>74</v>
      </c>
      <c r="Y422" t="s">
        <v>74</v>
      </c>
      <c r="Z422" t="s">
        <v>74</v>
      </c>
      <c r="AA422" t="s">
        <v>3147</v>
      </c>
      <c r="AB422" t="s">
        <v>3148</v>
      </c>
      <c r="AC422" t="s">
        <v>74</v>
      </c>
      <c r="AD422" t="s">
        <v>74</v>
      </c>
      <c r="AE422" t="s">
        <v>74</v>
      </c>
      <c r="AF422" t="s">
        <v>74</v>
      </c>
      <c r="AG422" t="s">
        <v>74</v>
      </c>
      <c r="AH422" t="s">
        <v>74</v>
      </c>
      <c r="AI422" t="s">
        <v>74</v>
      </c>
      <c r="AJ422" t="s">
        <v>74</v>
      </c>
      <c r="AK422" t="s">
        <v>74</v>
      </c>
      <c r="AL422" t="s">
        <v>74</v>
      </c>
      <c r="AM422" t="s">
        <v>74</v>
      </c>
      <c r="AN422" t="s">
        <v>74</v>
      </c>
      <c r="AO422" t="s">
        <v>460</v>
      </c>
      <c r="AP422" t="s">
        <v>461</v>
      </c>
      <c r="AQ422" t="s">
        <v>74</v>
      </c>
      <c r="AR422" t="s">
        <v>74</v>
      </c>
      <c r="AS422" t="s">
        <v>74</v>
      </c>
      <c r="AT422" t="s">
        <v>123</v>
      </c>
      <c r="AU422">
        <v>2020</v>
      </c>
      <c r="AV422">
        <v>310</v>
      </c>
      <c r="AW422">
        <v>3</v>
      </c>
      <c r="AX422" t="s">
        <v>74</v>
      </c>
      <c r="AY422" t="s">
        <v>74</v>
      </c>
      <c r="AZ422" t="s">
        <v>74</v>
      </c>
      <c r="BA422" t="s">
        <v>74</v>
      </c>
      <c r="BB422">
        <v>246</v>
      </c>
      <c r="BC422">
        <v>253</v>
      </c>
      <c r="BD422" t="s">
        <v>74</v>
      </c>
      <c r="BE422" t="s">
        <v>3149</v>
      </c>
      <c r="BF422" t="str">
        <f>HYPERLINK("http://dx.doi.org/10.1111/jzo.12738","http://dx.doi.org/10.1111/jzo.12738")</f>
        <v>http://dx.doi.org/10.1111/jzo.12738</v>
      </c>
      <c r="BG422" t="s">
        <v>74</v>
      </c>
      <c r="BH422" t="s">
        <v>74</v>
      </c>
      <c r="BI422" t="s">
        <v>74</v>
      </c>
      <c r="BJ422" t="s">
        <v>74</v>
      </c>
      <c r="BK422" t="s">
        <v>74</v>
      </c>
      <c r="BL422" t="s">
        <v>74</v>
      </c>
      <c r="BM422" t="s">
        <v>74</v>
      </c>
      <c r="BN422" t="s">
        <v>74</v>
      </c>
      <c r="BO422" t="s">
        <v>74</v>
      </c>
      <c r="BP422" t="s">
        <v>74</v>
      </c>
      <c r="BQ422" t="s">
        <v>74</v>
      </c>
      <c r="BR422" t="s">
        <v>74</v>
      </c>
      <c r="BS422" t="s">
        <v>3150</v>
      </c>
      <c r="BT422" t="str">
        <f>HYPERLINK("https%3A%2F%2Fwww.webofscience.com%2Fwos%2Fwoscc%2Ffull-record%2FWOS:000517127100008","View Full Record in Web of Science")</f>
        <v>View Full Record in Web of Science</v>
      </c>
    </row>
    <row r="423" spans="1:72" x14ac:dyDescent="0.4">
      <c r="A423" t="s">
        <v>72</v>
      </c>
      <c r="B423" t="s">
        <v>6365</v>
      </c>
      <c r="C423" t="s">
        <v>74</v>
      </c>
      <c r="D423" t="s">
        <v>74</v>
      </c>
      <c r="E423" t="s">
        <v>74</v>
      </c>
      <c r="F423" t="s">
        <v>6366</v>
      </c>
      <c r="G423" t="s">
        <v>74</v>
      </c>
      <c r="H423" t="s">
        <v>74</v>
      </c>
      <c r="I423" t="s">
        <v>6367</v>
      </c>
      <c r="J423" t="s">
        <v>140</v>
      </c>
      <c r="K423" t="s">
        <v>74</v>
      </c>
      <c r="L423" t="s">
        <v>74</v>
      </c>
      <c r="M423" t="s">
        <v>74</v>
      </c>
      <c r="N423" t="s">
        <v>74</v>
      </c>
      <c r="O423" t="s">
        <v>74</v>
      </c>
      <c r="P423" t="s">
        <v>74</v>
      </c>
      <c r="Q423" t="s">
        <v>74</v>
      </c>
      <c r="R423" t="s">
        <v>74</v>
      </c>
      <c r="S423" t="s">
        <v>74</v>
      </c>
      <c r="T423" t="s">
        <v>74</v>
      </c>
      <c r="U423" t="s">
        <v>74</v>
      </c>
      <c r="V423" s="3" t="s">
        <v>6368</v>
      </c>
      <c r="W423" t="s">
        <v>74</v>
      </c>
      <c r="X423" t="s">
        <v>74</v>
      </c>
      <c r="Y423" t="s">
        <v>74</v>
      </c>
      <c r="Z423" t="s">
        <v>74</v>
      </c>
      <c r="AA423" t="s">
        <v>74</v>
      </c>
      <c r="AB423" t="s">
        <v>74</v>
      </c>
      <c r="AC423" t="s">
        <v>74</v>
      </c>
      <c r="AD423" t="s">
        <v>74</v>
      </c>
      <c r="AE423" t="s">
        <v>74</v>
      </c>
      <c r="AF423" t="s">
        <v>74</v>
      </c>
      <c r="AG423" t="s">
        <v>74</v>
      </c>
      <c r="AH423" t="s">
        <v>74</v>
      </c>
      <c r="AI423" t="s">
        <v>74</v>
      </c>
      <c r="AJ423" t="s">
        <v>74</v>
      </c>
      <c r="AK423" t="s">
        <v>74</v>
      </c>
      <c r="AL423" t="s">
        <v>74</v>
      </c>
      <c r="AM423" t="s">
        <v>74</v>
      </c>
      <c r="AN423" t="s">
        <v>74</v>
      </c>
      <c r="AO423" t="s">
        <v>143</v>
      </c>
      <c r="AP423" t="s">
        <v>74</v>
      </c>
      <c r="AQ423" t="s">
        <v>74</v>
      </c>
      <c r="AR423" t="s">
        <v>74</v>
      </c>
      <c r="AS423" t="s">
        <v>74</v>
      </c>
      <c r="AT423" t="s">
        <v>175</v>
      </c>
      <c r="AU423">
        <v>2008</v>
      </c>
      <c r="AV423">
        <v>76</v>
      </c>
      <c r="AW423" t="s">
        <v>74</v>
      </c>
      <c r="AX423">
        <v>4</v>
      </c>
      <c r="AY423" t="s">
        <v>74</v>
      </c>
      <c r="AZ423" t="s">
        <v>74</v>
      </c>
      <c r="BA423" t="s">
        <v>74</v>
      </c>
      <c r="BB423">
        <v>1403</v>
      </c>
      <c r="BC423">
        <v>1410</v>
      </c>
      <c r="BD423" t="s">
        <v>74</v>
      </c>
      <c r="BE423" t="s">
        <v>6369</v>
      </c>
      <c r="BF423" t="str">
        <f>HYPERLINK("http://dx.doi.org/10.1016/j.anbehav.2008.06.021","http://dx.doi.org/10.1016/j.anbehav.2008.06.021")</f>
        <v>http://dx.doi.org/10.1016/j.anbehav.2008.06.021</v>
      </c>
      <c r="BG423" t="s">
        <v>74</v>
      </c>
      <c r="BH423" t="s">
        <v>74</v>
      </c>
      <c r="BI423" t="s">
        <v>74</v>
      </c>
      <c r="BJ423" t="s">
        <v>74</v>
      </c>
      <c r="BK423" t="s">
        <v>74</v>
      </c>
      <c r="BL423" t="s">
        <v>74</v>
      </c>
      <c r="BM423" t="s">
        <v>74</v>
      </c>
      <c r="BN423" t="s">
        <v>74</v>
      </c>
      <c r="BO423" t="s">
        <v>74</v>
      </c>
      <c r="BP423" t="s">
        <v>74</v>
      </c>
      <c r="BQ423" t="s">
        <v>74</v>
      </c>
      <c r="BR423" t="s">
        <v>74</v>
      </c>
      <c r="BS423" t="s">
        <v>6370</v>
      </c>
      <c r="BT423" t="str">
        <f>HYPERLINK("https%3A%2F%2Fwww.webofscience.com%2Fwos%2Fwoscc%2Ffull-record%2FWOS:000260118000031","View Full Record in Web of Science")</f>
        <v>View Full Record in Web of Science</v>
      </c>
    </row>
    <row r="424" spans="1:72" x14ac:dyDescent="0.4">
      <c r="A424" t="s">
        <v>72</v>
      </c>
      <c r="B424" t="s">
        <v>2674</v>
      </c>
      <c r="C424" t="s">
        <v>74</v>
      </c>
      <c r="D424" t="s">
        <v>74</v>
      </c>
      <c r="E424" t="s">
        <v>74</v>
      </c>
      <c r="F424" t="s">
        <v>2675</v>
      </c>
      <c r="G424" t="s">
        <v>74</v>
      </c>
      <c r="H424" t="s">
        <v>74</v>
      </c>
      <c r="I424" t="s">
        <v>2676</v>
      </c>
      <c r="J424" t="s">
        <v>2677</v>
      </c>
      <c r="K424" t="s">
        <v>74</v>
      </c>
      <c r="L424" t="s">
        <v>74</v>
      </c>
      <c r="M424" t="s">
        <v>74</v>
      </c>
      <c r="N424" t="s">
        <v>74</v>
      </c>
      <c r="O424" t="s">
        <v>74</v>
      </c>
      <c r="P424" t="s">
        <v>74</v>
      </c>
      <c r="Q424" t="s">
        <v>74</v>
      </c>
      <c r="R424" t="s">
        <v>74</v>
      </c>
      <c r="S424" t="s">
        <v>74</v>
      </c>
      <c r="T424" t="s">
        <v>74</v>
      </c>
      <c r="U424" t="s">
        <v>74</v>
      </c>
      <c r="V424" s="3" t="s">
        <v>2678</v>
      </c>
      <c r="W424" t="s">
        <v>74</v>
      </c>
      <c r="X424" t="s">
        <v>74</v>
      </c>
      <c r="Y424" t="s">
        <v>74</v>
      </c>
      <c r="Z424" t="s">
        <v>74</v>
      </c>
      <c r="AA424" t="s">
        <v>2679</v>
      </c>
      <c r="AB424" t="s">
        <v>2680</v>
      </c>
      <c r="AC424" t="s">
        <v>74</v>
      </c>
      <c r="AD424" t="s">
        <v>74</v>
      </c>
      <c r="AE424" t="s">
        <v>74</v>
      </c>
      <c r="AF424" t="s">
        <v>74</v>
      </c>
      <c r="AG424" t="s">
        <v>74</v>
      </c>
      <c r="AH424" t="s">
        <v>74</v>
      </c>
      <c r="AI424" t="s">
        <v>74</v>
      </c>
      <c r="AJ424" t="s">
        <v>74</v>
      </c>
      <c r="AK424" t="s">
        <v>74</v>
      </c>
      <c r="AL424" t="s">
        <v>74</v>
      </c>
      <c r="AM424" t="s">
        <v>74</v>
      </c>
      <c r="AN424" t="s">
        <v>74</v>
      </c>
      <c r="AO424" t="s">
        <v>2681</v>
      </c>
      <c r="AP424" t="s">
        <v>2682</v>
      </c>
      <c r="AQ424" t="s">
        <v>74</v>
      </c>
      <c r="AR424" t="s">
        <v>74</v>
      </c>
      <c r="AS424" t="s">
        <v>74</v>
      </c>
      <c r="AT424" t="s">
        <v>74</v>
      </c>
      <c r="AU424">
        <v>2013</v>
      </c>
      <c r="AV424">
        <v>6</v>
      </c>
      <c r="AW424">
        <v>2</v>
      </c>
      <c r="AX424" t="s">
        <v>74</v>
      </c>
      <c r="AY424" t="s">
        <v>74</v>
      </c>
      <c r="AZ424" t="s">
        <v>74</v>
      </c>
      <c r="BA424" t="s">
        <v>74</v>
      </c>
      <c r="BB424">
        <v>147</v>
      </c>
      <c r="BC424">
        <v>156</v>
      </c>
      <c r="BD424" t="s">
        <v>74</v>
      </c>
      <c r="BE424" t="s">
        <v>2683</v>
      </c>
      <c r="BF424" t="str">
        <f>HYPERLINK("http://dx.doi.org/10.3184/175815513X13617279883973","http://dx.doi.org/10.3184/175815513X13617279883973")</f>
        <v>http://dx.doi.org/10.3184/175815513X13617279883973</v>
      </c>
      <c r="BG424" t="s">
        <v>74</v>
      </c>
      <c r="BH424" t="s">
        <v>74</v>
      </c>
      <c r="BI424" t="s">
        <v>74</v>
      </c>
      <c r="BJ424" t="s">
        <v>74</v>
      </c>
      <c r="BK424" t="s">
        <v>74</v>
      </c>
      <c r="BL424" t="s">
        <v>74</v>
      </c>
      <c r="BM424" t="s">
        <v>74</v>
      </c>
      <c r="BN424" t="s">
        <v>74</v>
      </c>
      <c r="BO424" t="s">
        <v>74</v>
      </c>
      <c r="BP424" t="s">
        <v>74</v>
      </c>
      <c r="BQ424" t="s">
        <v>74</v>
      </c>
      <c r="BR424" t="s">
        <v>74</v>
      </c>
      <c r="BS424" t="s">
        <v>2684</v>
      </c>
      <c r="BT424" t="str">
        <f>HYPERLINK("https%3A%2F%2Fwww.webofscience.com%2Fwos%2Fwoscc%2Ffull-record%2FWOS:000318967100007","View Full Record in Web of Science")</f>
        <v>View Full Record in Web of Science</v>
      </c>
    </row>
    <row r="425" spans="1:72" x14ac:dyDescent="0.4">
      <c r="A425" t="s">
        <v>72</v>
      </c>
      <c r="B425" t="s">
        <v>3627</v>
      </c>
      <c r="C425" t="s">
        <v>74</v>
      </c>
      <c r="D425" t="s">
        <v>74</v>
      </c>
      <c r="E425" t="s">
        <v>74</v>
      </c>
      <c r="F425" t="s">
        <v>3628</v>
      </c>
      <c r="G425" t="s">
        <v>74</v>
      </c>
      <c r="H425" t="s">
        <v>74</v>
      </c>
      <c r="I425" t="s">
        <v>3629</v>
      </c>
      <c r="J425" t="s">
        <v>2901</v>
      </c>
      <c r="K425" t="s">
        <v>74</v>
      </c>
      <c r="L425" t="s">
        <v>74</v>
      </c>
      <c r="M425" t="s">
        <v>74</v>
      </c>
      <c r="N425" t="s">
        <v>74</v>
      </c>
      <c r="O425" t="s">
        <v>74</v>
      </c>
      <c r="P425" t="s">
        <v>74</v>
      </c>
      <c r="Q425" t="s">
        <v>74</v>
      </c>
      <c r="R425" t="s">
        <v>74</v>
      </c>
      <c r="S425" t="s">
        <v>74</v>
      </c>
      <c r="T425" t="s">
        <v>74</v>
      </c>
      <c r="U425" t="s">
        <v>74</v>
      </c>
      <c r="V425" s="3" t="s">
        <v>3630</v>
      </c>
      <c r="W425" t="s">
        <v>74</v>
      </c>
      <c r="X425" t="s">
        <v>74</v>
      </c>
      <c r="Y425" t="s">
        <v>74</v>
      </c>
      <c r="Z425" t="s">
        <v>74</v>
      </c>
      <c r="AA425" t="s">
        <v>74</v>
      </c>
      <c r="AB425" t="s">
        <v>2504</v>
      </c>
      <c r="AC425" t="s">
        <v>74</v>
      </c>
      <c r="AD425" t="s">
        <v>74</v>
      </c>
      <c r="AE425" t="s">
        <v>74</v>
      </c>
      <c r="AF425" t="s">
        <v>74</v>
      </c>
      <c r="AG425" t="s">
        <v>74</v>
      </c>
      <c r="AH425" t="s">
        <v>74</v>
      </c>
      <c r="AI425" t="s">
        <v>74</v>
      </c>
      <c r="AJ425" t="s">
        <v>74</v>
      </c>
      <c r="AK425" t="s">
        <v>74</v>
      </c>
      <c r="AL425" t="s">
        <v>74</v>
      </c>
      <c r="AM425" t="s">
        <v>74</v>
      </c>
      <c r="AN425" t="s">
        <v>74</v>
      </c>
      <c r="AO425" t="s">
        <v>2903</v>
      </c>
      <c r="AP425" t="s">
        <v>2904</v>
      </c>
      <c r="AQ425" t="s">
        <v>74</v>
      </c>
      <c r="AR425" t="s">
        <v>74</v>
      </c>
      <c r="AS425" t="s">
        <v>74</v>
      </c>
      <c r="AT425" t="s">
        <v>3631</v>
      </c>
      <c r="AU425">
        <v>2013</v>
      </c>
      <c r="AV425">
        <v>25</v>
      </c>
      <c r="AW425">
        <v>2</v>
      </c>
      <c r="AX425" t="s">
        <v>74</v>
      </c>
      <c r="AY425" t="s">
        <v>74</v>
      </c>
      <c r="AZ425" t="s">
        <v>74</v>
      </c>
      <c r="BA425" t="s">
        <v>74</v>
      </c>
      <c r="BB425">
        <v>161</v>
      </c>
      <c r="BC425">
        <v>173</v>
      </c>
      <c r="BD425" t="s">
        <v>74</v>
      </c>
      <c r="BE425" t="s">
        <v>3632</v>
      </c>
      <c r="BF425" t="str">
        <f>HYPERLINK("http://dx.doi.org/10.1080/03949370.2012.742464","http://dx.doi.org/10.1080/03949370.2012.742464")</f>
        <v>http://dx.doi.org/10.1080/03949370.2012.742464</v>
      </c>
      <c r="BG425" t="s">
        <v>74</v>
      </c>
      <c r="BH425" t="s">
        <v>74</v>
      </c>
      <c r="BI425" t="s">
        <v>74</v>
      </c>
      <c r="BJ425" t="s">
        <v>74</v>
      </c>
      <c r="BK425" t="s">
        <v>74</v>
      </c>
      <c r="BL425" t="s">
        <v>74</v>
      </c>
      <c r="BM425" t="s">
        <v>74</v>
      </c>
      <c r="BN425" t="s">
        <v>74</v>
      </c>
      <c r="BO425" t="s">
        <v>74</v>
      </c>
      <c r="BP425" t="s">
        <v>74</v>
      </c>
      <c r="BQ425" t="s">
        <v>74</v>
      </c>
      <c r="BR425" t="s">
        <v>74</v>
      </c>
      <c r="BS425" t="s">
        <v>3633</v>
      </c>
      <c r="BT425" t="str">
        <f>HYPERLINK("https%3A%2F%2Fwww.webofscience.com%2Fwos%2Fwoscc%2Ffull-record%2FWOS:000317742200005","View Full Record in Web of Science")</f>
        <v>View Full Record in Web of Science</v>
      </c>
    </row>
    <row r="426" spans="1:72" x14ac:dyDescent="0.4">
      <c r="A426" t="s">
        <v>72</v>
      </c>
      <c r="B426" t="s">
        <v>2500</v>
      </c>
      <c r="C426" t="s">
        <v>74</v>
      </c>
      <c r="D426" t="s">
        <v>74</v>
      </c>
      <c r="E426" t="s">
        <v>74</v>
      </c>
      <c r="F426" t="s">
        <v>2500</v>
      </c>
      <c r="G426" t="s">
        <v>74</v>
      </c>
      <c r="H426" t="s">
        <v>74</v>
      </c>
      <c r="I426" t="s">
        <v>2501</v>
      </c>
      <c r="J426" t="s">
        <v>140</v>
      </c>
      <c r="K426" t="s">
        <v>74</v>
      </c>
      <c r="L426" t="s">
        <v>74</v>
      </c>
      <c r="M426" t="s">
        <v>74</v>
      </c>
      <c r="N426" t="s">
        <v>74</v>
      </c>
      <c r="O426" t="s">
        <v>74</v>
      </c>
      <c r="P426" t="s">
        <v>74</v>
      </c>
      <c r="Q426" t="s">
        <v>74</v>
      </c>
      <c r="R426" t="s">
        <v>74</v>
      </c>
      <c r="S426" t="s">
        <v>74</v>
      </c>
      <c r="T426" t="s">
        <v>74</v>
      </c>
      <c r="U426" t="s">
        <v>74</v>
      </c>
      <c r="V426" s="3" t="s">
        <v>2502</v>
      </c>
      <c r="W426" t="s">
        <v>74</v>
      </c>
      <c r="X426" t="s">
        <v>74</v>
      </c>
      <c r="Y426" t="s">
        <v>74</v>
      </c>
      <c r="Z426" t="s">
        <v>74</v>
      </c>
      <c r="AA426" t="s">
        <v>2503</v>
      </c>
      <c r="AB426" t="s">
        <v>2504</v>
      </c>
      <c r="AC426" t="s">
        <v>74</v>
      </c>
      <c r="AD426" t="s">
        <v>74</v>
      </c>
      <c r="AE426" t="s">
        <v>74</v>
      </c>
      <c r="AF426" t="s">
        <v>74</v>
      </c>
      <c r="AG426" t="s">
        <v>74</v>
      </c>
      <c r="AH426" t="s">
        <v>74</v>
      </c>
      <c r="AI426" t="s">
        <v>74</v>
      </c>
      <c r="AJ426" t="s">
        <v>74</v>
      </c>
      <c r="AK426" t="s">
        <v>74</v>
      </c>
      <c r="AL426" t="s">
        <v>74</v>
      </c>
      <c r="AM426" t="s">
        <v>74</v>
      </c>
      <c r="AN426" t="s">
        <v>74</v>
      </c>
      <c r="AO426" t="s">
        <v>143</v>
      </c>
      <c r="AP426" t="s">
        <v>74</v>
      </c>
      <c r="AQ426" t="s">
        <v>74</v>
      </c>
      <c r="AR426" t="s">
        <v>74</v>
      </c>
      <c r="AS426" t="s">
        <v>74</v>
      </c>
      <c r="AT426" t="s">
        <v>255</v>
      </c>
      <c r="AU426">
        <v>1995</v>
      </c>
      <c r="AV426">
        <v>49</v>
      </c>
      <c r="AW426">
        <v>1</v>
      </c>
      <c r="AX426" t="s">
        <v>74</v>
      </c>
      <c r="AY426" t="s">
        <v>74</v>
      </c>
      <c r="AZ426" t="s">
        <v>74</v>
      </c>
      <c r="BA426" t="s">
        <v>74</v>
      </c>
      <c r="BB426">
        <v>53</v>
      </c>
      <c r="BC426">
        <v>62</v>
      </c>
      <c r="BD426" t="s">
        <v>74</v>
      </c>
      <c r="BE426" t="s">
        <v>2505</v>
      </c>
      <c r="BF426" t="str">
        <f>HYPERLINK("http://dx.doi.org/10.1016/0003-3472(95)80153-7","http://dx.doi.org/10.1016/0003-3472(95)80153-7")</f>
        <v>http://dx.doi.org/10.1016/0003-3472(95)80153-7</v>
      </c>
      <c r="BG426" t="s">
        <v>74</v>
      </c>
      <c r="BH426" t="s">
        <v>74</v>
      </c>
      <c r="BI426" t="s">
        <v>74</v>
      </c>
      <c r="BJ426" t="s">
        <v>74</v>
      </c>
      <c r="BK426" t="s">
        <v>74</v>
      </c>
      <c r="BL426" t="s">
        <v>74</v>
      </c>
      <c r="BM426" t="s">
        <v>74</v>
      </c>
      <c r="BN426" t="s">
        <v>74</v>
      </c>
      <c r="BO426" t="s">
        <v>74</v>
      </c>
      <c r="BP426" t="s">
        <v>74</v>
      </c>
      <c r="BQ426" t="s">
        <v>74</v>
      </c>
      <c r="BR426" t="s">
        <v>74</v>
      </c>
      <c r="BS426" t="s">
        <v>2506</v>
      </c>
      <c r="BT426" t="str">
        <f>HYPERLINK("https%3A%2F%2Fwww.webofscience.com%2Fwos%2Fwoscc%2Ffull-record%2FWOS:A1995QC44700006","View Full Record in Web of Science")</f>
        <v>View Full Record in Web of Science</v>
      </c>
    </row>
    <row r="427" spans="1:72" x14ac:dyDescent="0.4">
      <c r="A427" t="s">
        <v>72</v>
      </c>
      <c r="B427" t="s">
        <v>6492</v>
      </c>
      <c r="C427" t="s">
        <v>74</v>
      </c>
      <c r="D427" t="s">
        <v>74</v>
      </c>
      <c r="E427" t="s">
        <v>74</v>
      </c>
      <c r="F427" t="s">
        <v>6492</v>
      </c>
      <c r="G427" t="s">
        <v>74</v>
      </c>
      <c r="H427" t="s">
        <v>74</v>
      </c>
      <c r="I427" t="s">
        <v>6493</v>
      </c>
      <c r="J427" t="s">
        <v>140</v>
      </c>
      <c r="K427" t="s">
        <v>74</v>
      </c>
      <c r="L427" t="s">
        <v>74</v>
      </c>
      <c r="M427" t="s">
        <v>74</v>
      </c>
      <c r="N427" t="s">
        <v>74</v>
      </c>
      <c r="O427" t="s">
        <v>74</v>
      </c>
      <c r="P427" t="s">
        <v>74</v>
      </c>
      <c r="Q427" t="s">
        <v>74</v>
      </c>
      <c r="R427" t="s">
        <v>74</v>
      </c>
      <c r="S427" t="s">
        <v>74</v>
      </c>
      <c r="T427" t="s">
        <v>74</v>
      </c>
      <c r="U427" t="s">
        <v>74</v>
      </c>
      <c r="V427" s="3" t="s">
        <v>6494</v>
      </c>
      <c r="W427" t="s">
        <v>74</v>
      </c>
      <c r="X427" t="s">
        <v>74</v>
      </c>
      <c r="Y427" t="s">
        <v>74</v>
      </c>
      <c r="Z427" t="s">
        <v>74</v>
      </c>
      <c r="AA427" t="s">
        <v>74</v>
      </c>
      <c r="AB427" t="s">
        <v>74</v>
      </c>
      <c r="AC427" t="s">
        <v>74</v>
      </c>
      <c r="AD427" t="s">
        <v>74</v>
      </c>
      <c r="AE427" t="s">
        <v>74</v>
      </c>
      <c r="AF427" t="s">
        <v>74</v>
      </c>
      <c r="AG427" t="s">
        <v>74</v>
      </c>
      <c r="AH427" t="s">
        <v>74</v>
      </c>
      <c r="AI427" t="s">
        <v>74</v>
      </c>
      <c r="AJ427" t="s">
        <v>74</v>
      </c>
      <c r="AK427" t="s">
        <v>74</v>
      </c>
      <c r="AL427" t="s">
        <v>74</v>
      </c>
      <c r="AM427" t="s">
        <v>74</v>
      </c>
      <c r="AN427" t="s">
        <v>74</v>
      </c>
      <c r="AO427" t="s">
        <v>143</v>
      </c>
      <c r="AP427" t="s">
        <v>144</v>
      </c>
      <c r="AQ427" t="s">
        <v>74</v>
      </c>
      <c r="AR427" t="s">
        <v>74</v>
      </c>
      <c r="AS427" t="s">
        <v>74</v>
      </c>
      <c r="AT427" t="s">
        <v>964</v>
      </c>
      <c r="AU427">
        <v>1986</v>
      </c>
      <c r="AV427">
        <v>34</v>
      </c>
      <c r="AW427" t="s">
        <v>74</v>
      </c>
      <c r="AX427">
        <v>1</v>
      </c>
      <c r="AY427" t="s">
        <v>74</v>
      </c>
      <c r="AZ427" t="s">
        <v>74</v>
      </c>
      <c r="BA427" t="s">
        <v>74</v>
      </c>
      <c r="BB427">
        <v>69</v>
      </c>
      <c r="BC427">
        <v>76</v>
      </c>
      <c r="BD427" t="s">
        <v>74</v>
      </c>
      <c r="BE427" t="s">
        <v>6495</v>
      </c>
      <c r="BF427" t="str">
        <f>HYPERLINK("http://dx.doi.org/10.1016/0003-3472(86)90007-2","http://dx.doi.org/10.1016/0003-3472(86)90007-2")</f>
        <v>http://dx.doi.org/10.1016/0003-3472(86)90007-2</v>
      </c>
      <c r="BG427" t="s">
        <v>74</v>
      </c>
      <c r="BH427" t="s">
        <v>74</v>
      </c>
      <c r="BI427" t="s">
        <v>74</v>
      </c>
      <c r="BJ427" t="s">
        <v>74</v>
      </c>
      <c r="BK427" t="s">
        <v>74</v>
      </c>
      <c r="BL427" t="s">
        <v>74</v>
      </c>
      <c r="BM427" t="s">
        <v>74</v>
      </c>
      <c r="BN427" t="s">
        <v>74</v>
      </c>
      <c r="BO427" t="s">
        <v>74</v>
      </c>
      <c r="BP427" t="s">
        <v>74</v>
      </c>
      <c r="BQ427" t="s">
        <v>74</v>
      </c>
      <c r="BR427" t="s">
        <v>74</v>
      </c>
      <c r="BS427" t="s">
        <v>6496</v>
      </c>
      <c r="BT427" t="str">
        <f>HYPERLINK("https%3A%2F%2Fwww.webofscience.com%2Fwos%2Fwoscc%2Ffull-record%2FWOS:A1986AZF6400007","View Full Record in Web of Science")</f>
        <v>View Full Record in Web of Science</v>
      </c>
    </row>
    <row r="428" spans="1:72" x14ac:dyDescent="0.4">
      <c r="A428" t="s">
        <v>72</v>
      </c>
      <c r="B428" t="s">
        <v>3225</v>
      </c>
      <c r="C428" t="s">
        <v>74</v>
      </c>
      <c r="D428" t="s">
        <v>74</v>
      </c>
      <c r="E428" t="s">
        <v>74</v>
      </c>
      <c r="F428" t="s">
        <v>3226</v>
      </c>
      <c r="G428" t="s">
        <v>74</v>
      </c>
      <c r="H428" t="s">
        <v>74</v>
      </c>
      <c r="I428" t="s">
        <v>3227</v>
      </c>
      <c r="J428" t="s">
        <v>1112</v>
      </c>
      <c r="K428" t="s">
        <v>74</v>
      </c>
      <c r="L428" t="s">
        <v>74</v>
      </c>
      <c r="M428" t="s">
        <v>74</v>
      </c>
      <c r="N428" t="s">
        <v>74</v>
      </c>
      <c r="O428" t="s">
        <v>74</v>
      </c>
      <c r="P428" t="s">
        <v>74</v>
      </c>
      <c r="Q428" t="s">
        <v>74</v>
      </c>
      <c r="R428" t="s">
        <v>74</v>
      </c>
      <c r="S428" t="s">
        <v>74</v>
      </c>
      <c r="T428" t="s">
        <v>74</v>
      </c>
      <c r="U428" t="s">
        <v>74</v>
      </c>
      <c r="V428" s="3" t="s">
        <v>3228</v>
      </c>
      <c r="W428" t="s">
        <v>74</v>
      </c>
      <c r="X428" t="s">
        <v>74</v>
      </c>
      <c r="Y428" t="s">
        <v>74</v>
      </c>
      <c r="Z428" t="s">
        <v>74</v>
      </c>
      <c r="AA428" t="s">
        <v>74</v>
      </c>
      <c r="AB428" t="s">
        <v>3229</v>
      </c>
      <c r="AC428" t="s">
        <v>74</v>
      </c>
      <c r="AD428" t="s">
        <v>74</v>
      </c>
      <c r="AE428" t="s">
        <v>74</v>
      </c>
      <c r="AF428" t="s">
        <v>74</v>
      </c>
      <c r="AG428" t="s">
        <v>74</v>
      </c>
      <c r="AH428" t="s">
        <v>74</v>
      </c>
      <c r="AI428" t="s">
        <v>74</v>
      </c>
      <c r="AJ428" t="s">
        <v>74</v>
      </c>
      <c r="AK428" t="s">
        <v>74</v>
      </c>
      <c r="AL428" t="s">
        <v>74</v>
      </c>
      <c r="AM428" t="s">
        <v>74</v>
      </c>
      <c r="AN428" t="s">
        <v>74</v>
      </c>
      <c r="AO428" t="s">
        <v>1114</v>
      </c>
      <c r="AP428" t="s">
        <v>1115</v>
      </c>
      <c r="AQ428" t="s">
        <v>74</v>
      </c>
      <c r="AR428" t="s">
        <v>74</v>
      </c>
      <c r="AS428" t="s">
        <v>74</v>
      </c>
      <c r="AT428" t="s">
        <v>352</v>
      </c>
      <c r="AU428">
        <v>2014</v>
      </c>
      <c r="AV428">
        <v>158</v>
      </c>
      <c r="AW428" t="s">
        <v>74</v>
      </c>
      <c r="AX428" t="s">
        <v>74</v>
      </c>
      <c r="AY428" t="s">
        <v>74</v>
      </c>
      <c r="AZ428" t="s">
        <v>74</v>
      </c>
      <c r="BA428" t="s">
        <v>74</v>
      </c>
      <c r="BB428">
        <v>76</v>
      </c>
      <c r="BC428">
        <v>85</v>
      </c>
      <c r="BD428" t="s">
        <v>74</v>
      </c>
      <c r="BE428" t="s">
        <v>3230</v>
      </c>
      <c r="BF428" t="str">
        <f>HYPERLINK("http://dx.doi.org/10.1016/j.applanim.2014.06.008","http://dx.doi.org/10.1016/j.applanim.2014.06.008")</f>
        <v>http://dx.doi.org/10.1016/j.applanim.2014.06.008</v>
      </c>
      <c r="BG428" t="s">
        <v>74</v>
      </c>
      <c r="BH428" t="s">
        <v>74</v>
      </c>
      <c r="BI428" t="s">
        <v>74</v>
      </c>
      <c r="BJ428" t="s">
        <v>74</v>
      </c>
      <c r="BK428" t="s">
        <v>74</v>
      </c>
      <c r="BL428" t="s">
        <v>74</v>
      </c>
      <c r="BM428" t="s">
        <v>74</v>
      </c>
      <c r="BN428" t="s">
        <v>74</v>
      </c>
      <c r="BO428" t="s">
        <v>74</v>
      </c>
      <c r="BP428" t="s">
        <v>74</v>
      </c>
      <c r="BQ428" t="s">
        <v>74</v>
      </c>
      <c r="BR428" t="s">
        <v>74</v>
      </c>
      <c r="BS428" t="s">
        <v>3231</v>
      </c>
      <c r="BT428" t="str">
        <f>HYPERLINK("https%3A%2F%2Fwww.webofscience.com%2Fwos%2Fwoscc%2Ffull-record%2FWOS:000341480200009","View Full Record in Web of Science")</f>
        <v>View Full Record in Web of Science</v>
      </c>
    </row>
    <row r="429" spans="1:72" x14ac:dyDescent="0.4">
      <c r="A429" t="s">
        <v>72</v>
      </c>
      <c r="B429" t="s">
        <v>4129</v>
      </c>
      <c r="C429" t="s">
        <v>74</v>
      </c>
      <c r="D429" t="s">
        <v>74</v>
      </c>
      <c r="E429" t="s">
        <v>74</v>
      </c>
      <c r="F429" t="s">
        <v>4130</v>
      </c>
      <c r="G429" t="s">
        <v>74</v>
      </c>
      <c r="H429" t="s">
        <v>74</v>
      </c>
      <c r="I429" t="s">
        <v>4131</v>
      </c>
      <c r="J429" t="s">
        <v>610</v>
      </c>
      <c r="K429" t="s">
        <v>74</v>
      </c>
      <c r="L429" t="s">
        <v>74</v>
      </c>
      <c r="M429" t="s">
        <v>74</v>
      </c>
      <c r="N429" t="s">
        <v>74</v>
      </c>
      <c r="O429" t="s">
        <v>74</v>
      </c>
      <c r="P429" t="s">
        <v>74</v>
      </c>
      <c r="Q429" t="s">
        <v>74</v>
      </c>
      <c r="R429" t="s">
        <v>74</v>
      </c>
      <c r="S429" t="s">
        <v>74</v>
      </c>
      <c r="T429" t="s">
        <v>74</v>
      </c>
      <c r="U429" t="s">
        <v>74</v>
      </c>
      <c r="V429" s="3" t="s">
        <v>4132</v>
      </c>
      <c r="W429" t="s">
        <v>74</v>
      </c>
      <c r="X429" t="s">
        <v>74</v>
      </c>
      <c r="Y429" t="s">
        <v>74</v>
      </c>
      <c r="Z429" t="s">
        <v>74</v>
      </c>
      <c r="AA429" t="s">
        <v>4133</v>
      </c>
      <c r="AB429" t="s">
        <v>4134</v>
      </c>
      <c r="AC429" t="s">
        <v>74</v>
      </c>
      <c r="AD429" t="s">
        <v>74</v>
      </c>
      <c r="AE429" t="s">
        <v>74</v>
      </c>
      <c r="AF429" t="s">
        <v>74</v>
      </c>
      <c r="AG429" t="s">
        <v>74</v>
      </c>
      <c r="AH429" t="s">
        <v>74</v>
      </c>
      <c r="AI429" t="s">
        <v>74</v>
      </c>
      <c r="AJ429" t="s">
        <v>74</v>
      </c>
      <c r="AK429" t="s">
        <v>74</v>
      </c>
      <c r="AL429" t="s">
        <v>74</v>
      </c>
      <c r="AM429" t="s">
        <v>74</v>
      </c>
      <c r="AN429" t="s">
        <v>74</v>
      </c>
      <c r="AO429" t="s">
        <v>614</v>
      </c>
      <c r="AP429" t="s">
        <v>615</v>
      </c>
      <c r="AQ429" t="s">
        <v>74</v>
      </c>
      <c r="AR429" t="s">
        <v>74</v>
      </c>
      <c r="AS429" t="s">
        <v>74</v>
      </c>
      <c r="AT429" t="s">
        <v>213</v>
      </c>
      <c r="AU429">
        <v>2017</v>
      </c>
      <c r="AV429">
        <v>123</v>
      </c>
      <c r="AW429">
        <v>11</v>
      </c>
      <c r="AX429" t="s">
        <v>74</v>
      </c>
      <c r="AY429" t="s">
        <v>74</v>
      </c>
      <c r="AZ429" t="s">
        <v>74</v>
      </c>
      <c r="BA429" t="s">
        <v>74</v>
      </c>
      <c r="BB429">
        <v>875</v>
      </c>
      <c r="BC429">
        <v>884</v>
      </c>
      <c r="BD429" t="s">
        <v>74</v>
      </c>
      <c r="BE429" t="s">
        <v>4135</v>
      </c>
      <c r="BF429" t="str">
        <f>HYPERLINK("http://dx.doi.org/10.1111/eth.12664","http://dx.doi.org/10.1111/eth.12664")</f>
        <v>http://dx.doi.org/10.1111/eth.12664</v>
      </c>
      <c r="BG429" t="s">
        <v>74</v>
      </c>
      <c r="BH429" t="s">
        <v>74</v>
      </c>
      <c r="BI429" t="s">
        <v>74</v>
      </c>
      <c r="BJ429" t="s">
        <v>74</v>
      </c>
      <c r="BK429" t="s">
        <v>74</v>
      </c>
      <c r="BL429" t="s">
        <v>74</v>
      </c>
      <c r="BM429" t="s">
        <v>74</v>
      </c>
      <c r="BN429" t="s">
        <v>74</v>
      </c>
      <c r="BO429" t="s">
        <v>74</v>
      </c>
      <c r="BP429" t="s">
        <v>74</v>
      </c>
      <c r="BQ429" t="s">
        <v>74</v>
      </c>
      <c r="BR429" t="s">
        <v>74</v>
      </c>
      <c r="BS429" t="s">
        <v>4136</v>
      </c>
      <c r="BT429" t="str">
        <f>HYPERLINK("https%3A%2F%2Fwww.webofscience.com%2Fwos%2Fwoscc%2Ffull-record%2FWOS:000414036700013","View Full Record in Web of Science")</f>
        <v>View Full Record in Web of Science</v>
      </c>
    </row>
    <row r="430" spans="1:72" x14ac:dyDescent="0.4">
      <c r="A430" t="s">
        <v>72</v>
      </c>
      <c r="B430" t="s">
        <v>342</v>
      </c>
      <c r="C430" t="s">
        <v>74</v>
      </c>
      <c r="D430" t="s">
        <v>74</v>
      </c>
      <c r="E430" t="s">
        <v>74</v>
      </c>
      <c r="F430" t="s">
        <v>342</v>
      </c>
      <c r="G430" t="s">
        <v>74</v>
      </c>
      <c r="H430" t="s">
        <v>74</v>
      </c>
      <c r="I430" t="s">
        <v>343</v>
      </c>
      <c r="J430" t="s">
        <v>344</v>
      </c>
      <c r="K430" t="s">
        <v>74</v>
      </c>
      <c r="L430" t="s">
        <v>74</v>
      </c>
      <c r="M430" t="s">
        <v>74</v>
      </c>
      <c r="N430" t="s">
        <v>74</v>
      </c>
      <c r="O430" t="s">
        <v>74</v>
      </c>
      <c r="P430" t="s">
        <v>74</v>
      </c>
      <c r="Q430" t="s">
        <v>74</v>
      </c>
      <c r="R430" t="s">
        <v>74</v>
      </c>
      <c r="S430" t="s">
        <v>74</v>
      </c>
      <c r="T430" t="s">
        <v>74</v>
      </c>
      <c r="U430" t="s">
        <v>74</v>
      </c>
      <c r="V430" s="3" t="s">
        <v>345</v>
      </c>
      <c r="W430" t="s">
        <v>74</v>
      </c>
      <c r="X430" t="s">
        <v>74</v>
      </c>
      <c r="Y430" t="s">
        <v>74</v>
      </c>
      <c r="Z430" t="s">
        <v>74</v>
      </c>
      <c r="AA430" t="s">
        <v>74</v>
      </c>
      <c r="AB430" t="s">
        <v>74</v>
      </c>
      <c r="AC430" t="s">
        <v>74</v>
      </c>
      <c r="AD430" t="s">
        <v>74</v>
      </c>
      <c r="AE430" t="s">
        <v>74</v>
      </c>
      <c r="AF430" t="s">
        <v>74</v>
      </c>
      <c r="AG430" t="s">
        <v>74</v>
      </c>
      <c r="AH430" t="s">
        <v>74</v>
      </c>
      <c r="AI430" t="s">
        <v>74</v>
      </c>
      <c r="AJ430" t="s">
        <v>74</v>
      </c>
      <c r="AK430" t="s">
        <v>74</v>
      </c>
      <c r="AL430" t="s">
        <v>74</v>
      </c>
      <c r="AM430" t="s">
        <v>74</v>
      </c>
      <c r="AN430" t="s">
        <v>74</v>
      </c>
      <c r="AO430" t="s">
        <v>346</v>
      </c>
      <c r="AP430" t="s">
        <v>74</v>
      </c>
      <c r="AQ430" t="s">
        <v>74</v>
      </c>
      <c r="AR430" t="s">
        <v>74</v>
      </c>
      <c r="AS430" t="s">
        <v>74</v>
      </c>
      <c r="AT430" t="s">
        <v>255</v>
      </c>
      <c r="AU430">
        <v>1995</v>
      </c>
      <c r="AV430">
        <v>42</v>
      </c>
      <c r="AW430">
        <v>1</v>
      </c>
      <c r="AX430" t="s">
        <v>74</v>
      </c>
      <c r="AY430" t="s">
        <v>74</v>
      </c>
      <c r="AZ430" t="s">
        <v>74</v>
      </c>
      <c r="BA430" t="s">
        <v>74</v>
      </c>
      <c r="BB430">
        <v>25</v>
      </c>
      <c r="BC430">
        <v>35</v>
      </c>
      <c r="BD430" t="s">
        <v>74</v>
      </c>
      <c r="BE430" t="s">
        <v>347</v>
      </c>
      <c r="BF430" t="str">
        <f>HYPERLINK("http://dx.doi.org/10.1007/BF00002348","http://dx.doi.org/10.1007/BF00002348")</f>
        <v>http://dx.doi.org/10.1007/BF00002348</v>
      </c>
      <c r="BG430" t="s">
        <v>74</v>
      </c>
      <c r="BH430" t="s">
        <v>74</v>
      </c>
      <c r="BI430" t="s">
        <v>74</v>
      </c>
      <c r="BJ430" t="s">
        <v>74</v>
      </c>
      <c r="BK430" t="s">
        <v>74</v>
      </c>
      <c r="BL430" t="s">
        <v>74</v>
      </c>
      <c r="BM430" t="s">
        <v>74</v>
      </c>
      <c r="BN430" t="s">
        <v>74</v>
      </c>
      <c r="BO430" t="s">
        <v>74</v>
      </c>
      <c r="BP430" t="s">
        <v>74</v>
      </c>
      <c r="BQ430" t="s">
        <v>74</v>
      </c>
      <c r="BR430" t="s">
        <v>74</v>
      </c>
      <c r="BS430" t="s">
        <v>348</v>
      </c>
      <c r="BT430" t="str">
        <f>HYPERLINK("https%3A%2F%2Fwww.webofscience.com%2Fwos%2Fwoscc%2Ffull-record%2FWOS:A1995QG52700004","View Full Record in Web of Science")</f>
        <v>View Full Record in Web of Science</v>
      </c>
    </row>
    <row r="431" spans="1:72" x14ac:dyDescent="0.4">
      <c r="A431" t="s">
        <v>72</v>
      </c>
      <c r="B431" t="s">
        <v>342</v>
      </c>
      <c r="C431" t="s">
        <v>74</v>
      </c>
      <c r="D431" t="s">
        <v>74</v>
      </c>
      <c r="E431" t="s">
        <v>74</v>
      </c>
      <c r="F431" t="s">
        <v>342</v>
      </c>
      <c r="G431" t="s">
        <v>74</v>
      </c>
      <c r="H431" t="s">
        <v>74</v>
      </c>
      <c r="I431" t="s">
        <v>1125</v>
      </c>
      <c r="J431" t="s">
        <v>1126</v>
      </c>
      <c r="K431" t="s">
        <v>74</v>
      </c>
      <c r="L431" t="s">
        <v>74</v>
      </c>
      <c r="M431" t="s">
        <v>74</v>
      </c>
      <c r="N431" t="s">
        <v>74</v>
      </c>
      <c r="O431" t="s">
        <v>74</v>
      </c>
      <c r="P431" t="s">
        <v>74</v>
      </c>
      <c r="Q431" t="s">
        <v>74</v>
      </c>
      <c r="R431" t="s">
        <v>74</v>
      </c>
      <c r="S431" t="s">
        <v>74</v>
      </c>
      <c r="T431" t="s">
        <v>74</v>
      </c>
      <c r="U431" t="s">
        <v>74</v>
      </c>
      <c r="V431" s="3" t="s">
        <v>1127</v>
      </c>
      <c r="W431" t="s">
        <v>74</v>
      </c>
      <c r="X431" t="s">
        <v>74</v>
      </c>
      <c r="Y431" t="s">
        <v>74</v>
      </c>
      <c r="Z431" t="s">
        <v>74</v>
      </c>
      <c r="AA431" t="s">
        <v>74</v>
      </c>
      <c r="AB431" t="s">
        <v>74</v>
      </c>
      <c r="AC431" t="s">
        <v>74</v>
      </c>
      <c r="AD431" t="s">
        <v>74</v>
      </c>
      <c r="AE431" t="s">
        <v>74</v>
      </c>
      <c r="AF431" t="s">
        <v>74</v>
      </c>
      <c r="AG431" t="s">
        <v>74</v>
      </c>
      <c r="AH431" t="s">
        <v>74</v>
      </c>
      <c r="AI431" t="s">
        <v>74</v>
      </c>
      <c r="AJ431" t="s">
        <v>74</v>
      </c>
      <c r="AK431" t="s">
        <v>74</v>
      </c>
      <c r="AL431" t="s">
        <v>74</v>
      </c>
      <c r="AM431" t="s">
        <v>74</v>
      </c>
      <c r="AN431" t="s">
        <v>74</v>
      </c>
      <c r="AO431" t="s">
        <v>1128</v>
      </c>
      <c r="AP431" t="s">
        <v>1129</v>
      </c>
      <c r="AQ431" t="s">
        <v>74</v>
      </c>
      <c r="AR431" t="s">
        <v>74</v>
      </c>
      <c r="AS431" t="s">
        <v>74</v>
      </c>
      <c r="AT431" t="s">
        <v>1130</v>
      </c>
      <c r="AU431">
        <v>1993</v>
      </c>
      <c r="AV431" t="s">
        <v>74</v>
      </c>
      <c r="AW431">
        <v>1</v>
      </c>
      <c r="AX431" t="s">
        <v>74</v>
      </c>
      <c r="AY431" t="s">
        <v>74</v>
      </c>
      <c r="AZ431" t="s">
        <v>74</v>
      </c>
      <c r="BA431" t="s">
        <v>74</v>
      </c>
      <c r="BB431">
        <v>67</v>
      </c>
      <c r="BC431">
        <v>74</v>
      </c>
      <c r="BD431" t="s">
        <v>74</v>
      </c>
      <c r="BE431" t="s">
        <v>1131</v>
      </c>
      <c r="BF431" t="str">
        <f>HYPERLINK("http://dx.doi.org/10.2307/1446296","http://dx.doi.org/10.2307/1446296")</f>
        <v>http://dx.doi.org/10.2307/1446296</v>
      </c>
      <c r="BG431" t="s">
        <v>74</v>
      </c>
      <c r="BH431" t="s">
        <v>74</v>
      </c>
      <c r="BI431" t="s">
        <v>74</v>
      </c>
      <c r="BJ431" t="s">
        <v>74</v>
      </c>
      <c r="BK431" t="s">
        <v>74</v>
      </c>
      <c r="BL431" t="s">
        <v>74</v>
      </c>
      <c r="BM431" t="s">
        <v>74</v>
      </c>
      <c r="BN431" t="s">
        <v>74</v>
      </c>
      <c r="BO431" t="s">
        <v>74</v>
      </c>
      <c r="BP431" t="s">
        <v>74</v>
      </c>
      <c r="BQ431" t="s">
        <v>74</v>
      </c>
      <c r="BR431" t="s">
        <v>74</v>
      </c>
      <c r="BS431" t="s">
        <v>1132</v>
      </c>
      <c r="BT431" t="str">
        <f>HYPERLINK("https%3A%2F%2Fwww.webofscience.com%2Fwos%2Fwoscc%2Ffull-record%2FWOS:A1993KN22000006","View Full Record in Web of Science")</f>
        <v>View Full Record in Web of Science</v>
      </c>
    </row>
    <row r="432" spans="1:72" x14ac:dyDescent="0.4">
      <c r="A432" t="s">
        <v>72</v>
      </c>
      <c r="B432" t="s">
        <v>6025</v>
      </c>
      <c r="C432" t="s">
        <v>74</v>
      </c>
      <c r="D432" t="s">
        <v>74</v>
      </c>
      <c r="E432" t="s">
        <v>74</v>
      </c>
      <c r="F432" t="s">
        <v>6026</v>
      </c>
      <c r="G432" t="s">
        <v>74</v>
      </c>
      <c r="H432" t="s">
        <v>74</v>
      </c>
      <c r="I432" t="s">
        <v>6027</v>
      </c>
      <c r="J432" t="s">
        <v>4727</v>
      </c>
      <c r="K432" t="s">
        <v>74</v>
      </c>
      <c r="L432" t="s">
        <v>74</v>
      </c>
      <c r="M432" t="s">
        <v>74</v>
      </c>
      <c r="N432" t="s">
        <v>74</v>
      </c>
      <c r="O432" t="s">
        <v>74</v>
      </c>
      <c r="P432" t="s">
        <v>74</v>
      </c>
      <c r="Q432" t="s">
        <v>74</v>
      </c>
      <c r="R432" t="s">
        <v>74</v>
      </c>
      <c r="S432" t="s">
        <v>74</v>
      </c>
      <c r="T432" t="s">
        <v>74</v>
      </c>
      <c r="U432" t="s">
        <v>74</v>
      </c>
      <c r="V432" s="3" t="s">
        <v>6028</v>
      </c>
      <c r="W432" t="s">
        <v>74</v>
      </c>
      <c r="X432" t="s">
        <v>74</v>
      </c>
      <c r="Y432" t="s">
        <v>74</v>
      </c>
      <c r="Z432" t="s">
        <v>74</v>
      </c>
      <c r="AA432" t="s">
        <v>74</v>
      </c>
      <c r="AB432" t="s">
        <v>6029</v>
      </c>
      <c r="AC432" t="s">
        <v>74</v>
      </c>
      <c r="AD432" t="s">
        <v>74</v>
      </c>
      <c r="AE432" t="s">
        <v>74</v>
      </c>
      <c r="AF432" t="s">
        <v>74</v>
      </c>
      <c r="AG432" t="s">
        <v>74</v>
      </c>
      <c r="AH432" t="s">
        <v>74</v>
      </c>
      <c r="AI432" t="s">
        <v>74</v>
      </c>
      <c r="AJ432" t="s">
        <v>74</v>
      </c>
      <c r="AK432" t="s">
        <v>74</v>
      </c>
      <c r="AL432" t="s">
        <v>74</v>
      </c>
      <c r="AM432" t="s">
        <v>74</v>
      </c>
      <c r="AN432" t="s">
        <v>74</v>
      </c>
      <c r="AO432" t="s">
        <v>74</v>
      </c>
      <c r="AP432" t="s">
        <v>4730</v>
      </c>
      <c r="AQ432" t="s">
        <v>74</v>
      </c>
      <c r="AR432" t="s">
        <v>74</v>
      </c>
      <c r="AS432" t="s">
        <v>74</v>
      </c>
      <c r="AT432" t="s">
        <v>123</v>
      </c>
      <c r="AU432">
        <v>2024</v>
      </c>
      <c r="AV432">
        <v>5</v>
      </c>
      <c r="AW432">
        <v>1</v>
      </c>
      <c r="AX432" t="s">
        <v>74</v>
      </c>
      <c r="AY432" t="s">
        <v>74</v>
      </c>
      <c r="AZ432" t="s">
        <v>74</v>
      </c>
      <c r="BA432" t="s">
        <v>74</v>
      </c>
      <c r="BB432">
        <v>173</v>
      </c>
      <c r="BC432">
        <v>189</v>
      </c>
      <c r="BD432" t="s">
        <v>74</v>
      </c>
      <c r="BE432" t="s">
        <v>6030</v>
      </c>
      <c r="BF432" t="str">
        <f>HYPERLINK("http://dx.doi.org/10.3390/birds5010012","http://dx.doi.org/10.3390/birds5010012")</f>
        <v>http://dx.doi.org/10.3390/birds5010012</v>
      </c>
      <c r="BG432" t="s">
        <v>74</v>
      </c>
      <c r="BH432" t="s">
        <v>74</v>
      </c>
      <c r="BI432" t="s">
        <v>74</v>
      </c>
      <c r="BJ432" t="s">
        <v>74</v>
      </c>
      <c r="BK432" t="s">
        <v>74</v>
      </c>
      <c r="BL432" t="s">
        <v>74</v>
      </c>
      <c r="BM432" t="s">
        <v>74</v>
      </c>
      <c r="BN432" t="s">
        <v>74</v>
      </c>
      <c r="BO432" t="s">
        <v>74</v>
      </c>
      <c r="BP432" t="s">
        <v>74</v>
      </c>
      <c r="BQ432" t="s">
        <v>74</v>
      </c>
      <c r="BR432" t="s">
        <v>74</v>
      </c>
      <c r="BS432" t="s">
        <v>6031</v>
      </c>
      <c r="BT432" t="str">
        <f>HYPERLINK("https%3A%2F%2Fwww.webofscience.com%2Fwos%2Fwoscc%2Ffull-record%2FWOS:001191523100001","View Full Record in Web of Science")</f>
        <v>View Full Record in Web of Science</v>
      </c>
    </row>
    <row r="433" spans="1:72" x14ac:dyDescent="0.4">
      <c r="A433" t="s">
        <v>72</v>
      </c>
      <c r="B433" t="s">
        <v>6099</v>
      </c>
      <c r="C433" t="s">
        <v>74</v>
      </c>
      <c r="D433" t="s">
        <v>74</v>
      </c>
      <c r="E433" t="s">
        <v>74</v>
      </c>
      <c r="F433" t="s">
        <v>6100</v>
      </c>
      <c r="G433" t="s">
        <v>74</v>
      </c>
      <c r="H433" t="s">
        <v>74</v>
      </c>
      <c r="I433" t="s">
        <v>6101</v>
      </c>
      <c r="J433" t="s">
        <v>333</v>
      </c>
      <c r="K433" t="s">
        <v>74</v>
      </c>
      <c r="L433" t="s">
        <v>74</v>
      </c>
      <c r="M433" t="s">
        <v>74</v>
      </c>
      <c r="N433" t="s">
        <v>74</v>
      </c>
      <c r="O433" t="s">
        <v>74</v>
      </c>
      <c r="P433" t="s">
        <v>74</v>
      </c>
      <c r="Q433" t="s">
        <v>74</v>
      </c>
      <c r="R433" t="s">
        <v>74</v>
      </c>
      <c r="S433" t="s">
        <v>74</v>
      </c>
      <c r="T433" t="s">
        <v>74</v>
      </c>
      <c r="U433" t="s">
        <v>74</v>
      </c>
      <c r="V433" s="3" t="s">
        <v>6102</v>
      </c>
      <c r="W433" t="s">
        <v>74</v>
      </c>
      <c r="X433" t="s">
        <v>74</v>
      </c>
      <c r="Y433" t="s">
        <v>74</v>
      </c>
      <c r="Z433" t="s">
        <v>74</v>
      </c>
      <c r="AA433" t="s">
        <v>6103</v>
      </c>
      <c r="AB433" t="s">
        <v>1012</v>
      </c>
      <c r="AC433" t="s">
        <v>74</v>
      </c>
      <c r="AD433" t="s">
        <v>74</v>
      </c>
      <c r="AE433" t="s">
        <v>74</v>
      </c>
      <c r="AF433" t="s">
        <v>74</v>
      </c>
      <c r="AG433" t="s">
        <v>74</v>
      </c>
      <c r="AH433" t="s">
        <v>74</v>
      </c>
      <c r="AI433" t="s">
        <v>74</v>
      </c>
      <c r="AJ433" t="s">
        <v>74</v>
      </c>
      <c r="AK433" t="s">
        <v>74</v>
      </c>
      <c r="AL433" t="s">
        <v>74</v>
      </c>
      <c r="AM433" t="s">
        <v>74</v>
      </c>
      <c r="AN433" t="s">
        <v>74</v>
      </c>
      <c r="AO433" t="s">
        <v>337</v>
      </c>
      <c r="AP433" t="s">
        <v>338</v>
      </c>
      <c r="AQ433" t="s">
        <v>74</v>
      </c>
      <c r="AR433" t="s">
        <v>74</v>
      </c>
      <c r="AS433" t="s">
        <v>74</v>
      </c>
      <c r="AT433" t="s">
        <v>808</v>
      </c>
      <c r="AU433">
        <v>2014</v>
      </c>
      <c r="AV433">
        <v>25</v>
      </c>
      <c r="AW433">
        <v>3</v>
      </c>
      <c r="AX433" t="s">
        <v>74</v>
      </c>
      <c r="AY433" t="s">
        <v>74</v>
      </c>
      <c r="AZ433" t="s">
        <v>74</v>
      </c>
      <c r="BA433" t="s">
        <v>74</v>
      </c>
      <c r="BB433" t="s">
        <v>74</v>
      </c>
      <c r="BC433" t="s">
        <v>74</v>
      </c>
      <c r="BD433" t="s">
        <v>74</v>
      </c>
      <c r="BE433" t="s">
        <v>6104</v>
      </c>
      <c r="BF433" t="str">
        <f>HYPERLINK("http://dx.doi.org/10.1093/beheco/aru034","http://dx.doi.org/10.1093/beheco/aru034")</f>
        <v>http://dx.doi.org/10.1093/beheco/aru034</v>
      </c>
      <c r="BG433" t="s">
        <v>74</v>
      </c>
      <c r="BH433" t="s">
        <v>74</v>
      </c>
      <c r="BI433" t="s">
        <v>74</v>
      </c>
      <c r="BJ433" t="s">
        <v>74</v>
      </c>
      <c r="BK433" t="s">
        <v>74</v>
      </c>
      <c r="BL433" t="s">
        <v>74</v>
      </c>
      <c r="BM433" t="s">
        <v>74</v>
      </c>
      <c r="BN433" t="s">
        <v>74</v>
      </c>
      <c r="BO433" t="s">
        <v>74</v>
      </c>
      <c r="BP433" t="s">
        <v>74</v>
      </c>
      <c r="BQ433" t="s">
        <v>74</v>
      </c>
      <c r="BR433" t="s">
        <v>74</v>
      </c>
      <c r="BS433" t="s">
        <v>6105</v>
      </c>
      <c r="BT433" t="str">
        <f>HYPERLINK("https%3A%2F%2Fwww.webofscience.com%2Fwos%2Fwoscc%2Ffull-record%2FWOS:000336486100029","View Full Record in Web of Science")</f>
        <v>View Full Record in Web of Science</v>
      </c>
    </row>
    <row r="434" spans="1:72" x14ac:dyDescent="0.4">
      <c r="A434" t="s">
        <v>72</v>
      </c>
      <c r="B434" t="s">
        <v>3023</v>
      </c>
      <c r="C434" t="s">
        <v>74</v>
      </c>
      <c r="D434" t="s">
        <v>74</v>
      </c>
      <c r="E434" t="s">
        <v>74</v>
      </c>
      <c r="F434" t="s">
        <v>3024</v>
      </c>
      <c r="G434" t="s">
        <v>74</v>
      </c>
      <c r="H434" t="s">
        <v>74</v>
      </c>
      <c r="I434" t="s">
        <v>3025</v>
      </c>
      <c r="J434" t="s">
        <v>3026</v>
      </c>
      <c r="K434" t="s">
        <v>74</v>
      </c>
      <c r="L434" t="s">
        <v>74</v>
      </c>
      <c r="M434" t="s">
        <v>74</v>
      </c>
      <c r="N434" t="s">
        <v>74</v>
      </c>
      <c r="O434" t="s">
        <v>74</v>
      </c>
      <c r="P434" t="s">
        <v>74</v>
      </c>
      <c r="Q434" t="s">
        <v>74</v>
      </c>
      <c r="R434" t="s">
        <v>74</v>
      </c>
      <c r="S434" t="s">
        <v>74</v>
      </c>
      <c r="T434" t="s">
        <v>74</v>
      </c>
      <c r="U434" t="s">
        <v>74</v>
      </c>
      <c r="V434" s="3" t="s">
        <v>3027</v>
      </c>
      <c r="W434" t="s">
        <v>74</v>
      </c>
      <c r="X434" t="s">
        <v>74</v>
      </c>
      <c r="Y434" t="s">
        <v>74</v>
      </c>
      <c r="Z434" t="s">
        <v>74</v>
      </c>
      <c r="AA434" t="s">
        <v>3028</v>
      </c>
      <c r="AB434" t="s">
        <v>3029</v>
      </c>
      <c r="AC434" t="s">
        <v>74</v>
      </c>
      <c r="AD434" t="s">
        <v>74</v>
      </c>
      <c r="AE434" t="s">
        <v>74</v>
      </c>
      <c r="AF434" t="s">
        <v>74</v>
      </c>
      <c r="AG434" t="s">
        <v>74</v>
      </c>
      <c r="AH434" t="s">
        <v>74</v>
      </c>
      <c r="AI434" t="s">
        <v>74</v>
      </c>
      <c r="AJ434" t="s">
        <v>74</v>
      </c>
      <c r="AK434" t="s">
        <v>74</v>
      </c>
      <c r="AL434" t="s">
        <v>74</v>
      </c>
      <c r="AM434" t="s">
        <v>74</v>
      </c>
      <c r="AN434" t="s">
        <v>74</v>
      </c>
      <c r="AO434" t="s">
        <v>3030</v>
      </c>
      <c r="AP434" t="s">
        <v>74</v>
      </c>
      <c r="AQ434" t="s">
        <v>74</v>
      </c>
      <c r="AR434" t="s">
        <v>74</v>
      </c>
      <c r="AS434" t="s">
        <v>74</v>
      </c>
      <c r="AT434" t="s">
        <v>175</v>
      </c>
      <c r="AU434">
        <v>2023</v>
      </c>
      <c r="AV434">
        <v>12</v>
      </c>
      <c r="AW434">
        <v>10</v>
      </c>
      <c r="AX434" t="s">
        <v>74</v>
      </c>
      <c r="AY434" t="s">
        <v>74</v>
      </c>
      <c r="AZ434" t="s">
        <v>74</v>
      </c>
      <c r="BA434" t="s">
        <v>74</v>
      </c>
      <c r="BB434" t="s">
        <v>74</v>
      </c>
      <c r="BC434" t="s">
        <v>74</v>
      </c>
      <c r="BD434" t="s">
        <v>3031</v>
      </c>
      <c r="BE434" t="s">
        <v>3032</v>
      </c>
      <c r="BF434" t="str">
        <f>HYPERLINK("http://dx.doi.org/10.1242/bio.060114","http://dx.doi.org/10.1242/bio.060114")</f>
        <v>http://dx.doi.org/10.1242/bio.060114</v>
      </c>
      <c r="BG434" t="s">
        <v>74</v>
      </c>
      <c r="BH434" t="s">
        <v>74</v>
      </c>
      <c r="BI434" t="s">
        <v>74</v>
      </c>
      <c r="BJ434" t="s">
        <v>74</v>
      </c>
      <c r="BK434" t="s">
        <v>74</v>
      </c>
      <c r="BL434" t="s">
        <v>74</v>
      </c>
      <c r="BM434" t="s">
        <v>74</v>
      </c>
      <c r="BN434">
        <v>37756597</v>
      </c>
      <c r="BO434" t="s">
        <v>74</v>
      </c>
      <c r="BP434" t="s">
        <v>74</v>
      </c>
      <c r="BQ434" t="s">
        <v>74</v>
      </c>
      <c r="BR434" t="s">
        <v>74</v>
      </c>
      <c r="BS434" t="s">
        <v>3033</v>
      </c>
      <c r="BT434" t="str">
        <f>HYPERLINK("https%3A%2F%2Fwww.webofscience.com%2Fwos%2Fwoscc%2Ffull-record%2FWOS:001108722600005","View Full Record in Web of Science")</f>
        <v>View Full Record in Web of Science</v>
      </c>
    </row>
    <row r="435" spans="1:72" x14ac:dyDescent="0.4">
      <c r="A435" t="s">
        <v>72</v>
      </c>
      <c r="B435" t="s">
        <v>3946</v>
      </c>
      <c r="C435" t="s">
        <v>74</v>
      </c>
      <c r="D435" t="s">
        <v>74</v>
      </c>
      <c r="E435" t="s">
        <v>74</v>
      </c>
      <c r="F435" t="s">
        <v>3947</v>
      </c>
      <c r="G435" t="s">
        <v>74</v>
      </c>
      <c r="H435" t="s">
        <v>74</v>
      </c>
      <c r="I435" t="s">
        <v>3948</v>
      </c>
      <c r="J435" t="s">
        <v>88</v>
      </c>
      <c r="K435" t="s">
        <v>74</v>
      </c>
      <c r="L435" t="s">
        <v>74</v>
      </c>
      <c r="M435" t="s">
        <v>74</v>
      </c>
      <c r="N435" t="s">
        <v>74</v>
      </c>
      <c r="O435" t="s">
        <v>74</v>
      </c>
      <c r="P435" t="s">
        <v>74</v>
      </c>
      <c r="Q435" t="s">
        <v>74</v>
      </c>
      <c r="R435" t="s">
        <v>74</v>
      </c>
      <c r="S435" t="s">
        <v>74</v>
      </c>
      <c r="T435" t="s">
        <v>74</v>
      </c>
      <c r="U435" t="s">
        <v>74</v>
      </c>
      <c r="V435" s="3" t="s">
        <v>3949</v>
      </c>
      <c r="W435" t="s">
        <v>74</v>
      </c>
      <c r="X435" t="s">
        <v>74</v>
      </c>
      <c r="Y435" t="s">
        <v>74</v>
      </c>
      <c r="Z435" t="s">
        <v>74</v>
      </c>
      <c r="AA435" t="s">
        <v>74</v>
      </c>
      <c r="AB435" t="s">
        <v>74</v>
      </c>
      <c r="AC435" t="s">
        <v>74</v>
      </c>
      <c r="AD435" t="s">
        <v>74</v>
      </c>
      <c r="AE435" t="s">
        <v>74</v>
      </c>
      <c r="AF435" t="s">
        <v>74</v>
      </c>
      <c r="AG435" t="s">
        <v>74</v>
      </c>
      <c r="AH435" t="s">
        <v>74</v>
      </c>
      <c r="AI435" t="s">
        <v>74</v>
      </c>
      <c r="AJ435" t="s">
        <v>74</v>
      </c>
      <c r="AK435" t="s">
        <v>74</v>
      </c>
      <c r="AL435" t="s">
        <v>74</v>
      </c>
      <c r="AM435" t="s">
        <v>74</v>
      </c>
      <c r="AN435" t="s">
        <v>74</v>
      </c>
      <c r="AO435" t="s">
        <v>91</v>
      </c>
      <c r="AP435" t="s">
        <v>92</v>
      </c>
      <c r="AQ435" t="s">
        <v>74</v>
      </c>
      <c r="AR435" t="s">
        <v>74</v>
      </c>
      <c r="AS435" t="s">
        <v>74</v>
      </c>
      <c r="AT435" t="s">
        <v>3950</v>
      </c>
      <c r="AU435">
        <v>2006</v>
      </c>
      <c r="AV435">
        <v>2</v>
      </c>
      <c r="AW435">
        <v>2</v>
      </c>
      <c r="AX435" t="s">
        <v>74</v>
      </c>
      <c r="AY435" t="s">
        <v>74</v>
      </c>
      <c r="AZ435" t="s">
        <v>74</v>
      </c>
      <c r="BA435" t="s">
        <v>74</v>
      </c>
      <c r="BB435">
        <v>177</v>
      </c>
      <c r="BC435">
        <v>180</v>
      </c>
      <c r="BD435" t="s">
        <v>74</v>
      </c>
      <c r="BE435" t="s">
        <v>3951</v>
      </c>
      <c r="BF435" t="str">
        <f>HYPERLINK("http://dx.doi.org/10.1098/rsbl.2005.0438","http://dx.doi.org/10.1098/rsbl.2005.0438")</f>
        <v>http://dx.doi.org/10.1098/rsbl.2005.0438</v>
      </c>
      <c r="BG435" t="s">
        <v>74</v>
      </c>
      <c r="BH435" t="s">
        <v>74</v>
      </c>
      <c r="BI435" t="s">
        <v>74</v>
      </c>
      <c r="BJ435" t="s">
        <v>74</v>
      </c>
      <c r="BK435" t="s">
        <v>74</v>
      </c>
      <c r="BL435" t="s">
        <v>74</v>
      </c>
      <c r="BM435" t="s">
        <v>74</v>
      </c>
      <c r="BN435">
        <v>17148357</v>
      </c>
      <c r="BO435" t="s">
        <v>74</v>
      </c>
      <c r="BP435" t="s">
        <v>74</v>
      </c>
      <c r="BQ435" t="s">
        <v>74</v>
      </c>
      <c r="BR435" t="s">
        <v>74</v>
      </c>
      <c r="BS435" t="s">
        <v>3952</v>
      </c>
      <c r="BT435" t="str">
        <f>HYPERLINK("https%3A%2F%2Fwww.webofscience.com%2Fwos%2Fwoscc%2Ffull-record%2FWOS:000241862500005","View Full Record in Web of Science")</f>
        <v>View Full Record in Web of Science</v>
      </c>
    </row>
    <row r="436" spans="1:72" x14ac:dyDescent="0.4">
      <c r="A436" t="s">
        <v>72</v>
      </c>
      <c r="B436" t="s">
        <v>7849</v>
      </c>
      <c r="C436" t="s">
        <v>74</v>
      </c>
      <c r="D436" t="s">
        <v>74</v>
      </c>
      <c r="E436" t="s">
        <v>74</v>
      </c>
      <c r="F436" t="s">
        <v>7850</v>
      </c>
      <c r="G436" t="s">
        <v>74</v>
      </c>
      <c r="H436" t="s">
        <v>74</v>
      </c>
      <c r="I436" t="s">
        <v>7851</v>
      </c>
      <c r="J436" t="s">
        <v>218</v>
      </c>
      <c r="K436" t="s">
        <v>74</v>
      </c>
      <c r="L436" t="s">
        <v>74</v>
      </c>
      <c r="M436" t="s">
        <v>74</v>
      </c>
      <c r="N436" t="s">
        <v>74</v>
      </c>
      <c r="O436" t="s">
        <v>74</v>
      </c>
      <c r="P436" t="s">
        <v>74</v>
      </c>
      <c r="Q436" t="s">
        <v>74</v>
      </c>
      <c r="R436" t="s">
        <v>74</v>
      </c>
      <c r="S436" t="s">
        <v>74</v>
      </c>
      <c r="T436" t="s">
        <v>74</v>
      </c>
      <c r="U436" t="s">
        <v>74</v>
      </c>
      <c r="V436" s="3" t="s">
        <v>7852</v>
      </c>
      <c r="W436" t="s">
        <v>74</v>
      </c>
      <c r="X436" t="s">
        <v>74</v>
      </c>
      <c r="Y436" t="s">
        <v>74</v>
      </c>
      <c r="Z436" t="s">
        <v>74</v>
      </c>
      <c r="AA436" t="s">
        <v>7853</v>
      </c>
      <c r="AB436" t="s">
        <v>7854</v>
      </c>
      <c r="AC436" t="s">
        <v>74</v>
      </c>
      <c r="AD436" t="s">
        <v>74</v>
      </c>
      <c r="AE436" t="s">
        <v>74</v>
      </c>
      <c r="AF436" t="s">
        <v>74</v>
      </c>
      <c r="AG436" t="s">
        <v>74</v>
      </c>
      <c r="AH436" t="s">
        <v>74</v>
      </c>
      <c r="AI436" t="s">
        <v>74</v>
      </c>
      <c r="AJ436" t="s">
        <v>74</v>
      </c>
      <c r="AK436" t="s">
        <v>74</v>
      </c>
      <c r="AL436" t="s">
        <v>74</v>
      </c>
      <c r="AM436" t="s">
        <v>74</v>
      </c>
      <c r="AN436" t="s">
        <v>74</v>
      </c>
      <c r="AO436" t="s">
        <v>221</v>
      </c>
      <c r="AP436" t="s">
        <v>222</v>
      </c>
      <c r="AQ436" t="s">
        <v>74</v>
      </c>
      <c r="AR436" t="s">
        <v>74</v>
      </c>
      <c r="AS436" t="s">
        <v>74</v>
      </c>
      <c r="AT436" t="s">
        <v>123</v>
      </c>
      <c r="AU436">
        <v>2023</v>
      </c>
      <c r="AV436">
        <v>36</v>
      </c>
      <c r="AW436">
        <v>3</v>
      </c>
      <c r="AX436" t="s">
        <v>74</v>
      </c>
      <c r="AY436" t="s">
        <v>74</v>
      </c>
      <c r="AZ436" t="s">
        <v>74</v>
      </c>
      <c r="BA436" t="s">
        <v>74</v>
      </c>
      <c r="BB436">
        <v>563</v>
      </c>
      <c r="BC436">
        <v>578</v>
      </c>
      <c r="BD436" t="s">
        <v>74</v>
      </c>
      <c r="BE436" t="s">
        <v>7855</v>
      </c>
      <c r="BF436" t="str">
        <f>HYPERLINK("http://dx.doi.org/10.1111/jeb.14151","http://dx.doi.org/10.1111/jeb.14151")</f>
        <v>http://dx.doi.org/10.1111/jeb.14151</v>
      </c>
      <c r="BG436" t="s">
        <v>74</v>
      </c>
      <c r="BH436" t="s">
        <v>3048</v>
      </c>
      <c r="BI436" t="s">
        <v>74</v>
      </c>
      <c r="BJ436" t="s">
        <v>74</v>
      </c>
      <c r="BK436" t="s">
        <v>74</v>
      </c>
      <c r="BL436" t="s">
        <v>74</v>
      </c>
      <c r="BM436" t="s">
        <v>74</v>
      </c>
      <c r="BN436">
        <v>36702779</v>
      </c>
      <c r="BO436" t="s">
        <v>74</v>
      </c>
      <c r="BP436" t="s">
        <v>74</v>
      </c>
      <c r="BQ436" t="s">
        <v>74</v>
      </c>
      <c r="BR436" t="s">
        <v>74</v>
      </c>
      <c r="BS436" t="s">
        <v>7856</v>
      </c>
      <c r="BT436" t="str">
        <f>HYPERLINK("https%3A%2F%2Fwww.webofscience.com%2Fwos%2Fwoscc%2Ffull-record%2FWOS:000922981900001","View Full Record in Web of Science")</f>
        <v>View Full Record in Web of Science</v>
      </c>
    </row>
    <row r="437" spans="1:72" x14ac:dyDescent="0.4">
      <c r="A437" t="s">
        <v>72</v>
      </c>
      <c r="B437" t="s">
        <v>7529</v>
      </c>
      <c r="C437" t="s">
        <v>74</v>
      </c>
      <c r="D437" t="s">
        <v>74</v>
      </c>
      <c r="E437" t="s">
        <v>74</v>
      </c>
      <c r="F437" t="s">
        <v>7529</v>
      </c>
      <c r="G437" t="s">
        <v>74</v>
      </c>
      <c r="H437" t="s">
        <v>74</v>
      </c>
      <c r="I437" t="s">
        <v>7530</v>
      </c>
      <c r="J437" t="s">
        <v>4145</v>
      </c>
      <c r="K437" t="s">
        <v>74</v>
      </c>
      <c r="L437" t="s">
        <v>74</v>
      </c>
      <c r="M437" t="s">
        <v>74</v>
      </c>
      <c r="N437" t="s">
        <v>74</v>
      </c>
      <c r="O437" t="s">
        <v>74</v>
      </c>
      <c r="P437" t="s">
        <v>74</v>
      </c>
      <c r="Q437" t="s">
        <v>74</v>
      </c>
      <c r="R437" t="s">
        <v>74</v>
      </c>
      <c r="S437" t="s">
        <v>74</v>
      </c>
      <c r="T437" t="s">
        <v>74</v>
      </c>
      <c r="U437" t="s">
        <v>74</v>
      </c>
      <c r="V437" s="3" t="s">
        <v>7531</v>
      </c>
      <c r="W437" t="s">
        <v>74</v>
      </c>
      <c r="X437" t="s">
        <v>74</v>
      </c>
      <c r="Y437" t="s">
        <v>74</v>
      </c>
      <c r="Z437" t="s">
        <v>74</v>
      </c>
      <c r="AA437" t="s">
        <v>7532</v>
      </c>
      <c r="AB437" t="s">
        <v>7533</v>
      </c>
      <c r="AC437" t="s">
        <v>74</v>
      </c>
      <c r="AD437" t="s">
        <v>74</v>
      </c>
      <c r="AE437" t="s">
        <v>74</v>
      </c>
      <c r="AF437" t="s">
        <v>74</v>
      </c>
      <c r="AG437" t="s">
        <v>74</v>
      </c>
      <c r="AH437" t="s">
        <v>74</v>
      </c>
      <c r="AI437" t="s">
        <v>74</v>
      </c>
      <c r="AJ437" t="s">
        <v>74</v>
      </c>
      <c r="AK437" t="s">
        <v>74</v>
      </c>
      <c r="AL437" t="s">
        <v>74</v>
      </c>
      <c r="AM437" t="s">
        <v>74</v>
      </c>
      <c r="AN437" t="s">
        <v>74</v>
      </c>
      <c r="AO437" t="s">
        <v>4147</v>
      </c>
      <c r="AP437" t="s">
        <v>7534</v>
      </c>
      <c r="AQ437" t="s">
        <v>74</v>
      </c>
      <c r="AR437" t="s">
        <v>74</v>
      </c>
      <c r="AS437" t="s">
        <v>74</v>
      </c>
      <c r="AT437" t="s">
        <v>123</v>
      </c>
      <c r="AU437">
        <v>2003</v>
      </c>
      <c r="AV437">
        <v>189</v>
      </c>
      <c r="AW437">
        <v>3</v>
      </c>
      <c r="AX437" t="s">
        <v>74</v>
      </c>
      <c r="AY437" t="s">
        <v>74</v>
      </c>
      <c r="AZ437" t="s">
        <v>74</v>
      </c>
      <c r="BA437" t="s">
        <v>74</v>
      </c>
      <c r="BB437">
        <v>213</v>
      </c>
      <c r="BC437">
        <v>220</v>
      </c>
      <c r="BD437" t="s">
        <v>74</v>
      </c>
      <c r="BE437" t="s">
        <v>7535</v>
      </c>
      <c r="BF437" t="str">
        <f>HYPERLINK("http://dx.doi.org/10.1007/s00359-003-0392-4","http://dx.doi.org/10.1007/s00359-003-0392-4")</f>
        <v>http://dx.doi.org/10.1007/s00359-003-0392-4</v>
      </c>
      <c r="BG437" t="s">
        <v>74</v>
      </c>
      <c r="BH437" t="s">
        <v>74</v>
      </c>
      <c r="BI437" t="s">
        <v>74</v>
      </c>
      <c r="BJ437" t="s">
        <v>74</v>
      </c>
      <c r="BK437" t="s">
        <v>74</v>
      </c>
      <c r="BL437" t="s">
        <v>74</v>
      </c>
      <c r="BM437" t="s">
        <v>74</v>
      </c>
      <c r="BN437">
        <v>12664097</v>
      </c>
      <c r="BO437" t="s">
        <v>74</v>
      </c>
      <c r="BP437" t="s">
        <v>74</v>
      </c>
      <c r="BQ437" t="s">
        <v>74</v>
      </c>
      <c r="BR437" t="s">
        <v>74</v>
      </c>
      <c r="BS437" t="s">
        <v>7536</v>
      </c>
      <c r="BT437" t="str">
        <f>HYPERLINK("https%3A%2F%2Fwww.webofscience.com%2Fwos%2Fwoscc%2Ffull-record%2FWOS:000182652100007","View Full Record in Web of Science")</f>
        <v>View Full Record in Web of Science</v>
      </c>
    </row>
    <row r="438" spans="1:72" x14ac:dyDescent="0.4">
      <c r="A438" t="s">
        <v>72</v>
      </c>
      <c r="B438" t="s">
        <v>7018</v>
      </c>
      <c r="C438" t="s">
        <v>74</v>
      </c>
      <c r="D438" t="s">
        <v>74</v>
      </c>
      <c r="E438" t="s">
        <v>74</v>
      </c>
      <c r="F438" t="s">
        <v>7018</v>
      </c>
      <c r="G438" t="s">
        <v>74</v>
      </c>
      <c r="H438" t="s">
        <v>74</v>
      </c>
      <c r="I438" t="s">
        <v>7019</v>
      </c>
      <c r="J438" t="s">
        <v>7020</v>
      </c>
      <c r="K438" t="s">
        <v>74</v>
      </c>
      <c r="L438" t="s">
        <v>74</v>
      </c>
      <c r="M438" t="s">
        <v>74</v>
      </c>
      <c r="N438" t="s">
        <v>74</v>
      </c>
      <c r="O438" t="s">
        <v>74</v>
      </c>
      <c r="P438" t="s">
        <v>74</v>
      </c>
      <c r="Q438" t="s">
        <v>74</v>
      </c>
      <c r="R438" t="s">
        <v>74</v>
      </c>
      <c r="S438" t="s">
        <v>74</v>
      </c>
      <c r="T438" t="s">
        <v>74</v>
      </c>
      <c r="U438" t="s">
        <v>74</v>
      </c>
      <c r="V438" s="3" t="s">
        <v>7021</v>
      </c>
      <c r="W438" t="s">
        <v>74</v>
      </c>
      <c r="X438" t="s">
        <v>74</v>
      </c>
      <c r="Y438" t="s">
        <v>74</v>
      </c>
      <c r="Z438" t="s">
        <v>74</v>
      </c>
      <c r="AA438" t="s">
        <v>74</v>
      </c>
      <c r="AB438" t="s">
        <v>7022</v>
      </c>
      <c r="AC438" t="s">
        <v>74</v>
      </c>
      <c r="AD438" t="s">
        <v>74</v>
      </c>
      <c r="AE438" t="s">
        <v>74</v>
      </c>
      <c r="AF438" t="s">
        <v>74</v>
      </c>
      <c r="AG438" t="s">
        <v>74</v>
      </c>
      <c r="AH438" t="s">
        <v>74</v>
      </c>
      <c r="AI438" t="s">
        <v>74</v>
      </c>
      <c r="AJ438" t="s">
        <v>74</v>
      </c>
      <c r="AK438" t="s">
        <v>74</v>
      </c>
      <c r="AL438" t="s">
        <v>74</v>
      </c>
      <c r="AM438" t="s">
        <v>74</v>
      </c>
      <c r="AN438" t="s">
        <v>74</v>
      </c>
      <c r="AO438" t="s">
        <v>7023</v>
      </c>
      <c r="AP438" t="s">
        <v>74</v>
      </c>
      <c r="AQ438" t="s">
        <v>74</v>
      </c>
      <c r="AR438" t="s">
        <v>74</v>
      </c>
      <c r="AS438" t="s">
        <v>74</v>
      </c>
      <c r="AT438" t="s">
        <v>175</v>
      </c>
      <c r="AU438">
        <v>2000</v>
      </c>
      <c r="AV438">
        <v>73</v>
      </c>
      <c r="AW438" t="s">
        <v>74</v>
      </c>
      <c r="AX438">
        <v>8</v>
      </c>
      <c r="AY438" t="s">
        <v>74</v>
      </c>
      <c r="AZ438" t="s">
        <v>74</v>
      </c>
      <c r="BA438" t="s">
        <v>74</v>
      </c>
      <c r="BB438">
        <v>899</v>
      </c>
      <c r="BC438">
        <v>912</v>
      </c>
      <c r="BD438" t="s">
        <v>74</v>
      </c>
      <c r="BE438" t="s">
        <v>7024</v>
      </c>
      <c r="BF438" t="str">
        <f>HYPERLINK("http://dx.doi.org/10.1163/156854000504903","http://dx.doi.org/10.1163/156854000504903")</f>
        <v>http://dx.doi.org/10.1163/156854000504903</v>
      </c>
      <c r="BG438" t="s">
        <v>74</v>
      </c>
      <c r="BH438" t="s">
        <v>74</v>
      </c>
      <c r="BI438" t="s">
        <v>74</v>
      </c>
      <c r="BJ438" t="s">
        <v>74</v>
      </c>
      <c r="BK438" t="s">
        <v>74</v>
      </c>
      <c r="BL438" t="s">
        <v>74</v>
      </c>
      <c r="BM438" t="s">
        <v>74</v>
      </c>
      <c r="BN438" t="s">
        <v>74</v>
      </c>
      <c r="BO438" t="s">
        <v>74</v>
      </c>
      <c r="BP438" t="s">
        <v>74</v>
      </c>
      <c r="BQ438" t="s">
        <v>74</v>
      </c>
      <c r="BR438" t="s">
        <v>74</v>
      </c>
      <c r="BS438" t="s">
        <v>7025</v>
      </c>
      <c r="BT438" t="str">
        <f>HYPERLINK("https%3A%2F%2Fwww.webofscience.com%2Fwos%2Fwoscc%2Ffull-record%2FWOS:000165977200001","View Full Record in Web of Science")</f>
        <v>View Full Record in Web of Science</v>
      </c>
    </row>
    <row r="439" spans="1:72" x14ac:dyDescent="0.4">
      <c r="A439" t="s">
        <v>72</v>
      </c>
      <c r="B439" t="s">
        <v>3350</v>
      </c>
      <c r="C439" t="s">
        <v>74</v>
      </c>
      <c r="D439" t="s">
        <v>74</v>
      </c>
      <c r="E439" t="s">
        <v>74</v>
      </c>
      <c r="F439" t="s">
        <v>3351</v>
      </c>
      <c r="G439" t="s">
        <v>74</v>
      </c>
      <c r="H439" t="s">
        <v>74</v>
      </c>
      <c r="I439" t="s">
        <v>3352</v>
      </c>
      <c r="J439" t="s">
        <v>3353</v>
      </c>
      <c r="K439" t="s">
        <v>74</v>
      </c>
      <c r="L439" t="s">
        <v>74</v>
      </c>
      <c r="M439" t="s">
        <v>74</v>
      </c>
      <c r="N439" t="s">
        <v>74</v>
      </c>
      <c r="O439" t="s">
        <v>74</v>
      </c>
      <c r="P439" t="s">
        <v>74</v>
      </c>
      <c r="Q439" t="s">
        <v>74</v>
      </c>
      <c r="R439" t="s">
        <v>74</v>
      </c>
      <c r="S439" t="s">
        <v>74</v>
      </c>
      <c r="T439" t="s">
        <v>74</v>
      </c>
      <c r="U439" t="s">
        <v>74</v>
      </c>
      <c r="V439" s="3" t="s">
        <v>3354</v>
      </c>
      <c r="W439" t="s">
        <v>74</v>
      </c>
      <c r="X439" t="s">
        <v>74</v>
      </c>
      <c r="Y439" t="s">
        <v>74</v>
      </c>
      <c r="Z439" t="s">
        <v>74</v>
      </c>
      <c r="AA439" t="s">
        <v>3355</v>
      </c>
      <c r="AB439" t="s">
        <v>3356</v>
      </c>
      <c r="AC439" t="s">
        <v>74</v>
      </c>
      <c r="AD439" t="s">
        <v>74</v>
      </c>
      <c r="AE439" t="s">
        <v>74</v>
      </c>
      <c r="AF439" t="s">
        <v>74</v>
      </c>
      <c r="AG439" t="s">
        <v>74</v>
      </c>
      <c r="AH439" t="s">
        <v>74</v>
      </c>
      <c r="AI439" t="s">
        <v>74</v>
      </c>
      <c r="AJ439" t="s">
        <v>74</v>
      </c>
      <c r="AK439" t="s">
        <v>74</v>
      </c>
      <c r="AL439" t="s">
        <v>74</v>
      </c>
      <c r="AM439" t="s">
        <v>74</v>
      </c>
      <c r="AN439" t="s">
        <v>74</v>
      </c>
      <c r="AO439" t="s">
        <v>3357</v>
      </c>
      <c r="AP439" t="s">
        <v>3358</v>
      </c>
      <c r="AQ439" t="s">
        <v>74</v>
      </c>
      <c r="AR439" t="s">
        <v>74</v>
      </c>
      <c r="AS439" t="s">
        <v>74</v>
      </c>
      <c r="AT439" t="s">
        <v>352</v>
      </c>
      <c r="AU439">
        <v>2009</v>
      </c>
      <c r="AV439">
        <v>34</v>
      </c>
      <c r="AW439">
        <v>6</v>
      </c>
      <c r="AX439" t="s">
        <v>74</v>
      </c>
      <c r="AY439" t="s">
        <v>74</v>
      </c>
      <c r="AZ439" t="s">
        <v>74</v>
      </c>
      <c r="BA439" t="s">
        <v>74</v>
      </c>
      <c r="BB439">
        <v>636</v>
      </c>
      <c r="BC439">
        <v>640</v>
      </c>
      <c r="BD439" t="s">
        <v>74</v>
      </c>
      <c r="BE439" t="s">
        <v>3359</v>
      </c>
      <c r="BF439" t="str">
        <f>HYPERLINK("http://dx.doi.org/10.1111/j.1442-9993.2009.01968.x","http://dx.doi.org/10.1111/j.1442-9993.2009.01968.x")</f>
        <v>http://dx.doi.org/10.1111/j.1442-9993.2009.01968.x</v>
      </c>
      <c r="BG439" t="s">
        <v>74</v>
      </c>
      <c r="BH439" t="s">
        <v>74</v>
      </c>
      <c r="BI439" t="s">
        <v>74</v>
      </c>
      <c r="BJ439" t="s">
        <v>74</v>
      </c>
      <c r="BK439" t="s">
        <v>74</v>
      </c>
      <c r="BL439" t="s">
        <v>74</v>
      </c>
      <c r="BM439" t="s">
        <v>74</v>
      </c>
      <c r="BN439" t="s">
        <v>74</v>
      </c>
      <c r="BO439" t="s">
        <v>74</v>
      </c>
      <c r="BP439" t="s">
        <v>74</v>
      </c>
      <c r="BQ439" t="s">
        <v>74</v>
      </c>
      <c r="BR439" t="s">
        <v>74</v>
      </c>
      <c r="BS439" t="s">
        <v>3360</v>
      </c>
      <c r="BT439" t="str">
        <f>HYPERLINK("https%3A%2F%2Fwww.webofscience.com%2Fwos%2Fwoscc%2Ffull-record%2FWOS:000269675600004","View Full Record in Web of Science")</f>
        <v>View Full Record in Web of Science</v>
      </c>
    </row>
    <row r="440" spans="1:72" x14ac:dyDescent="0.4">
      <c r="A440" t="s">
        <v>72</v>
      </c>
      <c r="B440" t="s">
        <v>5724</v>
      </c>
      <c r="C440" t="s">
        <v>74</v>
      </c>
      <c r="D440" t="s">
        <v>74</v>
      </c>
      <c r="E440" t="s">
        <v>74</v>
      </c>
      <c r="F440" t="s">
        <v>5724</v>
      </c>
      <c r="G440" t="s">
        <v>74</v>
      </c>
      <c r="H440" t="s">
        <v>74</v>
      </c>
      <c r="I440" t="s">
        <v>5725</v>
      </c>
      <c r="J440" t="s">
        <v>1755</v>
      </c>
      <c r="K440" t="s">
        <v>74</v>
      </c>
      <c r="L440" t="s">
        <v>74</v>
      </c>
      <c r="M440" t="s">
        <v>74</v>
      </c>
      <c r="N440" t="s">
        <v>74</v>
      </c>
      <c r="O440" t="s">
        <v>74</v>
      </c>
      <c r="P440" t="s">
        <v>74</v>
      </c>
      <c r="Q440" t="s">
        <v>74</v>
      </c>
      <c r="R440" t="s">
        <v>74</v>
      </c>
      <c r="S440" t="s">
        <v>74</v>
      </c>
      <c r="T440" t="s">
        <v>74</v>
      </c>
      <c r="U440" t="s">
        <v>74</v>
      </c>
      <c r="V440" s="3" t="s">
        <v>5726</v>
      </c>
      <c r="W440" t="s">
        <v>74</v>
      </c>
      <c r="X440" t="s">
        <v>74</v>
      </c>
      <c r="Y440" t="s">
        <v>74</v>
      </c>
      <c r="Z440" t="s">
        <v>74</v>
      </c>
      <c r="AA440" t="s">
        <v>5727</v>
      </c>
      <c r="AB440" t="s">
        <v>74</v>
      </c>
      <c r="AC440" t="s">
        <v>74</v>
      </c>
      <c r="AD440" t="s">
        <v>74</v>
      </c>
      <c r="AE440" t="s">
        <v>74</v>
      </c>
      <c r="AF440" t="s">
        <v>74</v>
      </c>
      <c r="AG440" t="s">
        <v>74</v>
      </c>
      <c r="AH440" t="s">
        <v>74</v>
      </c>
      <c r="AI440" t="s">
        <v>74</v>
      </c>
      <c r="AJ440" t="s">
        <v>74</v>
      </c>
      <c r="AK440" t="s">
        <v>74</v>
      </c>
      <c r="AL440" t="s">
        <v>74</v>
      </c>
      <c r="AM440" t="s">
        <v>74</v>
      </c>
      <c r="AN440" t="s">
        <v>74</v>
      </c>
      <c r="AO440" t="s">
        <v>1759</v>
      </c>
      <c r="AP440" t="s">
        <v>1760</v>
      </c>
      <c r="AQ440" t="s">
        <v>74</v>
      </c>
      <c r="AR440" t="s">
        <v>74</v>
      </c>
      <c r="AS440" t="s">
        <v>74</v>
      </c>
      <c r="AT440" t="s">
        <v>352</v>
      </c>
      <c r="AU440">
        <v>1996</v>
      </c>
      <c r="AV440">
        <v>9</v>
      </c>
      <c r="AW440">
        <v>5</v>
      </c>
      <c r="AX440" t="s">
        <v>74</v>
      </c>
      <c r="AY440" t="s">
        <v>74</v>
      </c>
      <c r="AZ440" t="s">
        <v>74</v>
      </c>
      <c r="BA440" t="s">
        <v>74</v>
      </c>
      <c r="BB440">
        <v>709</v>
      </c>
      <c r="BC440">
        <v>717</v>
      </c>
      <c r="BD440" t="s">
        <v>74</v>
      </c>
      <c r="BE440" t="s">
        <v>5728</v>
      </c>
      <c r="BF440" t="str">
        <f>HYPERLINK("http://dx.doi.org/10.1007/BF02213551","http://dx.doi.org/10.1007/BF02213551")</f>
        <v>http://dx.doi.org/10.1007/BF02213551</v>
      </c>
      <c r="BG440" t="s">
        <v>74</v>
      </c>
      <c r="BH440" t="s">
        <v>74</v>
      </c>
      <c r="BI440" t="s">
        <v>74</v>
      </c>
      <c r="BJ440" t="s">
        <v>74</v>
      </c>
      <c r="BK440" t="s">
        <v>74</v>
      </c>
      <c r="BL440" t="s">
        <v>74</v>
      </c>
      <c r="BM440" t="s">
        <v>74</v>
      </c>
      <c r="BN440" t="s">
        <v>74</v>
      </c>
      <c r="BO440" t="s">
        <v>74</v>
      </c>
      <c r="BP440" t="s">
        <v>74</v>
      </c>
      <c r="BQ440" t="s">
        <v>74</v>
      </c>
      <c r="BR440" t="s">
        <v>74</v>
      </c>
      <c r="BS440" t="s">
        <v>5729</v>
      </c>
      <c r="BT440" t="str">
        <f>HYPERLINK("https%3A%2F%2Fwww.webofscience.com%2Fwos%2Fwoscc%2Ffull-record%2FWOS:A1996VX87000005","View Full Record in Web of Science")</f>
        <v>View Full Record in Web of Science</v>
      </c>
    </row>
    <row r="441" spans="1:72" x14ac:dyDescent="0.4">
      <c r="A441" t="s">
        <v>72</v>
      </c>
      <c r="B441" t="s">
        <v>6204</v>
      </c>
      <c r="C441" t="s">
        <v>74</v>
      </c>
      <c r="D441" t="s">
        <v>74</v>
      </c>
      <c r="E441" t="s">
        <v>74</v>
      </c>
      <c r="F441" t="s">
        <v>6205</v>
      </c>
      <c r="G441" t="s">
        <v>74</v>
      </c>
      <c r="H441" t="s">
        <v>74</v>
      </c>
      <c r="I441" t="s">
        <v>6206</v>
      </c>
      <c r="J441" t="s">
        <v>3238</v>
      </c>
      <c r="K441" t="s">
        <v>74</v>
      </c>
      <c r="L441" t="s">
        <v>74</v>
      </c>
      <c r="M441" t="s">
        <v>74</v>
      </c>
      <c r="N441" t="s">
        <v>74</v>
      </c>
      <c r="O441" t="s">
        <v>74</v>
      </c>
      <c r="P441" t="s">
        <v>74</v>
      </c>
      <c r="Q441" t="s">
        <v>74</v>
      </c>
      <c r="R441" t="s">
        <v>74</v>
      </c>
      <c r="S441" t="s">
        <v>74</v>
      </c>
      <c r="T441" t="s">
        <v>74</v>
      </c>
      <c r="U441" t="s">
        <v>74</v>
      </c>
      <c r="V441" s="3" t="s">
        <v>6207</v>
      </c>
      <c r="W441" t="s">
        <v>74</v>
      </c>
      <c r="X441" t="s">
        <v>74</v>
      </c>
      <c r="Y441" t="s">
        <v>74</v>
      </c>
      <c r="Z441" t="s">
        <v>74</v>
      </c>
      <c r="AA441" t="s">
        <v>74</v>
      </c>
      <c r="AB441" t="s">
        <v>74</v>
      </c>
      <c r="AC441" t="s">
        <v>74</v>
      </c>
      <c r="AD441" t="s">
        <v>74</v>
      </c>
      <c r="AE441" t="s">
        <v>74</v>
      </c>
      <c r="AF441" t="s">
        <v>74</v>
      </c>
      <c r="AG441" t="s">
        <v>74</v>
      </c>
      <c r="AH441" t="s">
        <v>74</v>
      </c>
      <c r="AI441" t="s">
        <v>74</v>
      </c>
      <c r="AJ441" t="s">
        <v>74</v>
      </c>
      <c r="AK441" t="s">
        <v>74</v>
      </c>
      <c r="AL441" t="s">
        <v>74</v>
      </c>
      <c r="AM441" t="s">
        <v>74</v>
      </c>
      <c r="AN441" t="s">
        <v>74</v>
      </c>
      <c r="AO441" t="s">
        <v>3240</v>
      </c>
      <c r="AP441" t="s">
        <v>3241</v>
      </c>
      <c r="AQ441" t="s">
        <v>74</v>
      </c>
      <c r="AR441" t="s">
        <v>74</v>
      </c>
      <c r="AS441" t="s">
        <v>74</v>
      </c>
      <c r="AT441" t="s">
        <v>255</v>
      </c>
      <c r="AU441">
        <v>2019</v>
      </c>
      <c r="AV441">
        <v>112</v>
      </c>
      <c r="AW441">
        <v>1</v>
      </c>
      <c r="AX441" t="s">
        <v>74</v>
      </c>
      <c r="AY441" t="s">
        <v>74</v>
      </c>
      <c r="AZ441" t="s">
        <v>74</v>
      </c>
      <c r="BA441" t="s">
        <v>74</v>
      </c>
      <c r="BB441">
        <v>33</v>
      </c>
      <c r="BC441">
        <v>43</v>
      </c>
      <c r="BD441" t="s">
        <v>74</v>
      </c>
      <c r="BE441" t="s">
        <v>6208</v>
      </c>
      <c r="BF441" t="str">
        <f>HYPERLINK("http://dx.doi.org/10.1093/aesa/say045","http://dx.doi.org/10.1093/aesa/say045")</f>
        <v>http://dx.doi.org/10.1093/aesa/say045</v>
      </c>
      <c r="BG441" t="s">
        <v>74</v>
      </c>
      <c r="BH441" t="s">
        <v>74</v>
      </c>
      <c r="BI441" t="s">
        <v>74</v>
      </c>
      <c r="BJ441" t="s">
        <v>74</v>
      </c>
      <c r="BK441" t="s">
        <v>74</v>
      </c>
      <c r="BL441" t="s">
        <v>74</v>
      </c>
      <c r="BM441" t="s">
        <v>74</v>
      </c>
      <c r="BN441" t="s">
        <v>74</v>
      </c>
      <c r="BO441" t="s">
        <v>74</v>
      </c>
      <c r="BP441" t="s">
        <v>74</v>
      </c>
      <c r="BQ441" t="s">
        <v>74</v>
      </c>
      <c r="BR441" t="s">
        <v>74</v>
      </c>
      <c r="BS441" t="s">
        <v>6209</v>
      </c>
      <c r="BT441" t="str">
        <f>HYPERLINK("https%3A%2F%2Fwww.webofscience.com%2Fwos%2Fwoscc%2Ffull-record%2FWOS:000467951400004","View Full Record in Web of Science")</f>
        <v>View Full Record in Web of Science</v>
      </c>
    </row>
    <row r="442" spans="1:72" x14ac:dyDescent="0.4">
      <c r="A442" t="s">
        <v>72</v>
      </c>
      <c r="B442" t="s">
        <v>2752</v>
      </c>
      <c r="C442" t="s">
        <v>74</v>
      </c>
      <c r="D442" t="s">
        <v>74</v>
      </c>
      <c r="E442" t="s">
        <v>74</v>
      </c>
      <c r="F442" t="s">
        <v>2752</v>
      </c>
      <c r="G442" t="s">
        <v>74</v>
      </c>
      <c r="H442" t="s">
        <v>74</v>
      </c>
      <c r="I442" t="s">
        <v>2753</v>
      </c>
      <c r="J442" t="s">
        <v>408</v>
      </c>
      <c r="K442" t="s">
        <v>74</v>
      </c>
      <c r="L442" t="s">
        <v>74</v>
      </c>
      <c r="M442" t="s">
        <v>74</v>
      </c>
      <c r="N442" t="s">
        <v>74</v>
      </c>
      <c r="O442" t="s">
        <v>74</v>
      </c>
      <c r="P442" t="s">
        <v>74</v>
      </c>
      <c r="Q442" t="s">
        <v>74</v>
      </c>
      <c r="R442" t="s">
        <v>74</v>
      </c>
      <c r="S442" t="s">
        <v>74</v>
      </c>
      <c r="T442" t="s">
        <v>74</v>
      </c>
      <c r="U442" t="s">
        <v>74</v>
      </c>
      <c r="V442" s="3" t="s">
        <v>2754</v>
      </c>
      <c r="W442" t="s">
        <v>74</v>
      </c>
      <c r="X442" t="s">
        <v>74</v>
      </c>
      <c r="Y442" t="s">
        <v>74</v>
      </c>
      <c r="Z442" t="s">
        <v>74</v>
      </c>
      <c r="AA442" t="s">
        <v>74</v>
      </c>
      <c r="AB442" t="s">
        <v>74</v>
      </c>
      <c r="AC442" t="s">
        <v>74</v>
      </c>
      <c r="AD442" t="s">
        <v>74</v>
      </c>
      <c r="AE442" t="s">
        <v>74</v>
      </c>
      <c r="AF442" t="s">
        <v>74</v>
      </c>
      <c r="AG442" t="s">
        <v>74</v>
      </c>
      <c r="AH442" t="s">
        <v>74</v>
      </c>
      <c r="AI442" t="s">
        <v>74</v>
      </c>
      <c r="AJ442" t="s">
        <v>74</v>
      </c>
      <c r="AK442" t="s">
        <v>74</v>
      </c>
      <c r="AL442" t="s">
        <v>74</v>
      </c>
      <c r="AM442" t="s">
        <v>74</v>
      </c>
      <c r="AN442" t="s">
        <v>74</v>
      </c>
      <c r="AO442" t="s">
        <v>412</v>
      </c>
      <c r="AP442" t="s">
        <v>413</v>
      </c>
      <c r="AQ442" t="s">
        <v>74</v>
      </c>
      <c r="AR442" t="s">
        <v>74</v>
      </c>
      <c r="AS442" t="s">
        <v>74</v>
      </c>
      <c r="AT442" t="s">
        <v>305</v>
      </c>
      <c r="AU442">
        <v>2003</v>
      </c>
      <c r="AV442">
        <v>80</v>
      </c>
      <c r="AW442">
        <v>4</v>
      </c>
      <c r="AX442" t="s">
        <v>74</v>
      </c>
      <c r="AY442" t="s">
        <v>74</v>
      </c>
      <c r="AZ442" t="s">
        <v>74</v>
      </c>
      <c r="BA442" t="s">
        <v>74</v>
      </c>
      <c r="BB442">
        <v>647</v>
      </c>
      <c r="BC442">
        <v>658</v>
      </c>
      <c r="BD442" t="s">
        <v>74</v>
      </c>
      <c r="BE442" t="s">
        <v>2755</v>
      </c>
      <c r="BF442" t="str">
        <f>HYPERLINK("http://dx.doi.org/10.1111/j.1095-8312.2003.00264.x","http://dx.doi.org/10.1111/j.1095-8312.2003.00264.x")</f>
        <v>http://dx.doi.org/10.1111/j.1095-8312.2003.00264.x</v>
      </c>
      <c r="BG442" t="s">
        <v>74</v>
      </c>
      <c r="BH442" t="s">
        <v>74</v>
      </c>
      <c r="BI442" t="s">
        <v>74</v>
      </c>
      <c r="BJ442" t="s">
        <v>74</v>
      </c>
      <c r="BK442" t="s">
        <v>74</v>
      </c>
      <c r="BL442" t="s">
        <v>74</v>
      </c>
      <c r="BM442" t="s">
        <v>74</v>
      </c>
      <c r="BN442" t="s">
        <v>74</v>
      </c>
      <c r="BO442" t="s">
        <v>74</v>
      </c>
      <c r="BP442" t="s">
        <v>74</v>
      </c>
      <c r="BQ442" t="s">
        <v>74</v>
      </c>
      <c r="BR442" t="s">
        <v>74</v>
      </c>
      <c r="BS442" t="s">
        <v>2756</v>
      </c>
      <c r="BT442" t="str">
        <f>HYPERLINK("https%3A%2F%2Fwww.webofscience.com%2Fwos%2Fwoscc%2Ffull-record%2FWOS:000187247200007","View Full Record in Web of Science")</f>
        <v>View Full Record in Web of Science</v>
      </c>
    </row>
    <row r="443" spans="1:72" x14ac:dyDescent="0.4">
      <c r="A443" t="s">
        <v>72</v>
      </c>
      <c r="B443" t="s">
        <v>8254</v>
      </c>
      <c r="C443" t="s">
        <v>74</v>
      </c>
      <c r="D443" t="s">
        <v>74</v>
      </c>
      <c r="E443" t="s">
        <v>74</v>
      </c>
      <c r="F443" t="s">
        <v>8254</v>
      </c>
      <c r="G443" t="s">
        <v>74</v>
      </c>
      <c r="H443" t="s">
        <v>74</v>
      </c>
      <c r="I443" t="s">
        <v>8255</v>
      </c>
      <c r="J443" t="s">
        <v>4278</v>
      </c>
      <c r="K443" t="s">
        <v>74</v>
      </c>
      <c r="L443" t="s">
        <v>74</v>
      </c>
      <c r="M443" t="s">
        <v>74</v>
      </c>
      <c r="N443" t="s">
        <v>74</v>
      </c>
      <c r="O443" t="s">
        <v>74</v>
      </c>
      <c r="P443" t="s">
        <v>74</v>
      </c>
      <c r="Q443" t="s">
        <v>74</v>
      </c>
      <c r="R443" t="s">
        <v>74</v>
      </c>
      <c r="S443" t="s">
        <v>74</v>
      </c>
      <c r="T443" t="s">
        <v>74</v>
      </c>
      <c r="U443" t="s">
        <v>74</v>
      </c>
      <c r="V443" s="3" t="s">
        <v>8256</v>
      </c>
      <c r="W443" t="s">
        <v>74</v>
      </c>
      <c r="X443" t="s">
        <v>74</v>
      </c>
      <c r="Y443" t="s">
        <v>74</v>
      </c>
      <c r="Z443" t="s">
        <v>74</v>
      </c>
      <c r="AA443" t="s">
        <v>74</v>
      </c>
      <c r="AB443" t="s">
        <v>74</v>
      </c>
      <c r="AC443" t="s">
        <v>74</v>
      </c>
      <c r="AD443" t="s">
        <v>74</v>
      </c>
      <c r="AE443" t="s">
        <v>74</v>
      </c>
      <c r="AF443" t="s">
        <v>74</v>
      </c>
      <c r="AG443" t="s">
        <v>74</v>
      </c>
      <c r="AH443" t="s">
        <v>74</v>
      </c>
      <c r="AI443" t="s">
        <v>74</v>
      </c>
      <c r="AJ443" t="s">
        <v>74</v>
      </c>
      <c r="AK443" t="s">
        <v>74</v>
      </c>
      <c r="AL443" t="s">
        <v>74</v>
      </c>
      <c r="AM443" t="s">
        <v>74</v>
      </c>
      <c r="AN443" t="s">
        <v>74</v>
      </c>
      <c r="AO443" t="s">
        <v>4282</v>
      </c>
      <c r="AP443" t="s">
        <v>74</v>
      </c>
      <c r="AQ443" t="s">
        <v>74</v>
      </c>
      <c r="AR443" t="s">
        <v>74</v>
      </c>
      <c r="AS443" t="s">
        <v>74</v>
      </c>
      <c r="AT443" t="s">
        <v>204</v>
      </c>
      <c r="AU443">
        <v>1999</v>
      </c>
      <c r="AV443">
        <v>25</v>
      </c>
      <c r="AW443">
        <v>7</v>
      </c>
      <c r="AX443" t="s">
        <v>74</v>
      </c>
      <c r="AY443" t="s">
        <v>74</v>
      </c>
      <c r="AZ443" t="s">
        <v>74</v>
      </c>
      <c r="BA443" t="s">
        <v>74</v>
      </c>
      <c r="BB443">
        <v>1671</v>
      </c>
      <c r="BC443">
        <v>1685</v>
      </c>
      <c r="BD443" t="s">
        <v>74</v>
      </c>
      <c r="BE443" t="s">
        <v>8257</v>
      </c>
      <c r="BF443" t="str">
        <f>HYPERLINK("http://dx.doi.org/10.1023/A:1020853303321","http://dx.doi.org/10.1023/A:1020853303321")</f>
        <v>http://dx.doi.org/10.1023/A:1020853303321</v>
      </c>
      <c r="BG443" t="s">
        <v>74</v>
      </c>
      <c r="BH443" t="s">
        <v>74</v>
      </c>
      <c r="BI443" t="s">
        <v>74</v>
      </c>
      <c r="BJ443" t="s">
        <v>74</v>
      </c>
      <c r="BK443" t="s">
        <v>74</v>
      </c>
      <c r="BL443" t="s">
        <v>74</v>
      </c>
      <c r="BM443" t="s">
        <v>74</v>
      </c>
      <c r="BN443" t="s">
        <v>74</v>
      </c>
      <c r="BO443" t="s">
        <v>74</v>
      </c>
      <c r="BP443" t="s">
        <v>74</v>
      </c>
      <c r="BQ443" t="s">
        <v>74</v>
      </c>
      <c r="BR443" t="s">
        <v>74</v>
      </c>
      <c r="BS443" t="s">
        <v>8258</v>
      </c>
      <c r="BT443" t="str">
        <f>HYPERLINK("https%3A%2F%2Fwww.webofscience.com%2Fwos%2Fwoscc%2Ffull-record%2FWOS:000081611500016","View Full Record in Web of Science")</f>
        <v>View Full Record in Web of Science</v>
      </c>
    </row>
    <row r="444" spans="1:72" x14ac:dyDescent="0.4">
      <c r="A444" t="s">
        <v>72</v>
      </c>
      <c r="B444" t="s">
        <v>2150</v>
      </c>
      <c r="C444" t="s">
        <v>74</v>
      </c>
      <c r="D444" t="s">
        <v>74</v>
      </c>
      <c r="E444" t="s">
        <v>74</v>
      </c>
      <c r="F444" t="s">
        <v>2150</v>
      </c>
      <c r="G444" t="s">
        <v>74</v>
      </c>
      <c r="H444" t="s">
        <v>74</v>
      </c>
      <c r="I444" t="s">
        <v>2151</v>
      </c>
      <c r="J444" t="s">
        <v>2152</v>
      </c>
      <c r="K444" t="s">
        <v>74</v>
      </c>
      <c r="L444" t="s">
        <v>74</v>
      </c>
      <c r="M444" t="s">
        <v>74</v>
      </c>
      <c r="N444" t="s">
        <v>74</v>
      </c>
      <c r="O444" t="s">
        <v>74</v>
      </c>
      <c r="P444" t="s">
        <v>74</v>
      </c>
      <c r="Q444" t="s">
        <v>74</v>
      </c>
      <c r="R444" t="s">
        <v>74</v>
      </c>
      <c r="S444" t="s">
        <v>74</v>
      </c>
      <c r="T444" t="s">
        <v>74</v>
      </c>
      <c r="U444" t="s">
        <v>74</v>
      </c>
      <c r="V444" s="3" t="s">
        <v>74</v>
      </c>
      <c r="W444" t="s">
        <v>74</v>
      </c>
      <c r="X444" t="s">
        <v>74</v>
      </c>
      <c r="Y444" t="s">
        <v>74</v>
      </c>
      <c r="Z444" t="s">
        <v>74</v>
      </c>
      <c r="AA444" t="s">
        <v>74</v>
      </c>
      <c r="AB444" t="s">
        <v>74</v>
      </c>
      <c r="AC444" t="s">
        <v>74</v>
      </c>
      <c r="AD444" t="s">
        <v>74</v>
      </c>
      <c r="AE444" t="s">
        <v>74</v>
      </c>
      <c r="AF444" t="s">
        <v>74</v>
      </c>
      <c r="AG444" t="s">
        <v>74</v>
      </c>
      <c r="AH444" t="s">
        <v>74</v>
      </c>
      <c r="AI444" t="s">
        <v>74</v>
      </c>
      <c r="AJ444" t="s">
        <v>74</v>
      </c>
      <c r="AK444" t="s">
        <v>74</v>
      </c>
      <c r="AL444" t="s">
        <v>74</v>
      </c>
      <c r="AM444" t="s">
        <v>74</v>
      </c>
      <c r="AN444" t="s">
        <v>74</v>
      </c>
      <c r="AO444" t="s">
        <v>2153</v>
      </c>
      <c r="AP444" t="s">
        <v>74</v>
      </c>
      <c r="AQ444" t="s">
        <v>74</v>
      </c>
      <c r="AR444" t="s">
        <v>74</v>
      </c>
      <c r="AS444" t="s">
        <v>74</v>
      </c>
      <c r="AT444" t="s">
        <v>74</v>
      </c>
      <c r="AU444">
        <v>1981</v>
      </c>
      <c r="AV444">
        <v>30</v>
      </c>
      <c r="AW444" t="s">
        <v>548</v>
      </c>
      <c r="AX444" t="s">
        <v>74</v>
      </c>
      <c r="AY444" t="s">
        <v>74</v>
      </c>
      <c r="AZ444" t="s">
        <v>74</v>
      </c>
      <c r="BA444" t="s">
        <v>74</v>
      </c>
      <c r="BB444">
        <v>88</v>
      </c>
      <c r="BC444">
        <v>91</v>
      </c>
      <c r="BD444" t="s">
        <v>74</v>
      </c>
      <c r="BE444" t="s">
        <v>74</v>
      </c>
      <c r="BF444" t="s">
        <v>74</v>
      </c>
      <c r="BG444" t="s">
        <v>74</v>
      </c>
      <c r="BH444" t="s">
        <v>74</v>
      </c>
      <c r="BI444" t="s">
        <v>74</v>
      </c>
      <c r="BJ444" t="s">
        <v>74</v>
      </c>
      <c r="BK444" t="s">
        <v>74</v>
      </c>
      <c r="BL444" t="s">
        <v>74</v>
      </c>
      <c r="BM444" t="s">
        <v>74</v>
      </c>
      <c r="BN444" t="s">
        <v>74</v>
      </c>
      <c r="BO444" t="s">
        <v>74</v>
      </c>
      <c r="BP444" t="s">
        <v>74</v>
      </c>
      <c r="BQ444" t="s">
        <v>74</v>
      </c>
      <c r="BR444" t="s">
        <v>74</v>
      </c>
      <c r="BS444" t="s">
        <v>2154</v>
      </c>
      <c r="BT444" t="str">
        <f>HYPERLINK("https%3A%2F%2Fwww.webofscience.com%2Fwos%2Fwoscc%2Ffull-record%2FWOS:A1981MW98300007","View Full Record in Web of Science")</f>
        <v>View Full Record in Web of Science</v>
      </c>
    </row>
    <row r="445" spans="1:72" x14ac:dyDescent="0.4">
      <c r="A445" t="s">
        <v>72</v>
      </c>
      <c r="B445" t="s">
        <v>5192</v>
      </c>
      <c r="C445" t="s">
        <v>74</v>
      </c>
      <c r="D445" t="s">
        <v>74</v>
      </c>
      <c r="E445" t="s">
        <v>74</v>
      </c>
      <c r="F445" t="s">
        <v>5192</v>
      </c>
      <c r="G445" t="s">
        <v>74</v>
      </c>
      <c r="H445" t="s">
        <v>74</v>
      </c>
      <c r="I445" t="s">
        <v>5193</v>
      </c>
      <c r="J445" t="s">
        <v>5194</v>
      </c>
      <c r="K445" t="s">
        <v>74</v>
      </c>
      <c r="L445" t="s">
        <v>74</v>
      </c>
      <c r="M445" t="s">
        <v>74</v>
      </c>
      <c r="N445" t="s">
        <v>74</v>
      </c>
      <c r="O445" t="s">
        <v>74</v>
      </c>
      <c r="P445" t="s">
        <v>74</v>
      </c>
      <c r="Q445" t="s">
        <v>74</v>
      </c>
      <c r="R445" t="s">
        <v>74</v>
      </c>
      <c r="S445" t="s">
        <v>74</v>
      </c>
      <c r="T445" t="s">
        <v>74</v>
      </c>
      <c r="U445" t="s">
        <v>74</v>
      </c>
      <c r="V445" s="3" t="s">
        <v>5195</v>
      </c>
      <c r="W445" t="s">
        <v>74</v>
      </c>
      <c r="X445" t="s">
        <v>74</v>
      </c>
      <c r="Y445" t="s">
        <v>74</v>
      </c>
      <c r="Z445" t="s">
        <v>74</v>
      </c>
      <c r="AA445" t="s">
        <v>5196</v>
      </c>
      <c r="AB445" t="s">
        <v>5197</v>
      </c>
      <c r="AC445" t="s">
        <v>74</v>
      </c>
      <c r="AD445" t="s">
        <v>74</v>
      </c>
      <c r="AE445" t="s">
        <v>74</v>
      </c>
      <c r="AF445" t="s">
        <v>74</v>
      </c>
      <c r="AG445" t="s">
        <v>74</v>
      </c>
      <c r="AH445" t="s">
        <v>74</v>
      </c>
      <c r="AI445" t="s">
        <v>74</v>
      </c>
      <c r="AJ445" t="s">
        <v>74</v>
      </c>
      <c r="AK445" t="s">
        <v>74</v>
      </c>
      <c r="AL445" t="s">
        <v>74</v>
      </c>
      <c r="AM445" t="s">
        <v>74</v>
      </c>
      <c r="AN445" t="s">
        <v>74</v>
      </c>
      <c r="AO445" t="s">
        <v>5198</v>
      </c>
      <c r="AP445" t="s">
        <v>5199</v>
      </c>
      <c r="AQ445" t="s">
        <v>74</v>
      </c>
      <c r="AR445" t="s">
        <v>74</v>
      </c>
      <c r="AS445" t="s">
        <v>74</v>
      </c>
      <c r="AT445" t="s">
        <v>74</v>
      </c>
      <c r="AU445">
        <v>1985</v>
      </c>
      <c r="AV445">
        <v>20</v>
      </c>
      <c r="AW445">
        <v>3</v>
      </c>
      <c r="AX445" t="s">
        <v>74</v>
      </c>
      <c r="AY445" t="s">
        <v>74</v>
      </c>
      <c r="AZ445" t="s">
        <v>74</v>
      </c>
      <c r="BA445" t="s">
        <v>74</v>
      </c>
      <c r="BB445">
        <v>167</v>
      </c>
      <c r="BC445">
        <v>173</v>
      </c>
      <c r="BD445" t="s">
        <v>74</v>
      </c>
      <c r="BE445" t="s">
        <v>5200</v>
      </c>
      <c r="BF445" t="str">
        <f>HYPERLINK("http://dx.doi.org/10.1080/01650528509360685","http://dx.doi.org/10.1080/01650528509360685")</f>
        <v>http://dx.doi.org/10.1080/01650528509360685</v>
      </c>
      <c r="BG445" t="s">
        <v>74</v>
      </c>
      <c r="BH445" t="s">
        <v>74</v>
      </c>
      <c r="BI445" t="s">
        <v>74</v>
      </c>
      <c r="BJ445" t="s">
        <v>74</v>
      </c>
      <c r="BK445" t="s">
        <v>74</v>
      </c>
      <c r="BL445" t="s">
        <v>74</v>
      </c>
      <c r="BM445" t="s">
        <v>74</v>
      </c>
      <c r="BN445" t="s">
        <v>74</v>
      </c>
      <c r="BO445" t="s">
        <v>74</v>
      </c>
      <c r="BP445" t="s">
        <v>74</v>
      </c>
      <c r="BQ445" t="s">
        <v>74</v>
      </c>
      <c r="BR445" t="s">
        <v>74</v>
      </c>
      <c r="BS445" t="s">
        <v>5201</v>
      </c>
      <c r="BT445" t="str">
        <f>HYPERLINK("https%3A%2F%2Fwww.webofscience.com%2Fwos%2Fwoscc%2Ffull-record%2FWOS:A1985C168200004","View Full Record in Web of Science")</f>
        <v>View Full Record in Web of Science</v>
      </c>
    </row>
    <row r="446" spans="1:72" x14ac:dyDescent="0.4">
      <c r="A446" t="s">
        <v>72</v>
      </c>
      <c r="B446" t="s">
        <v>8692</v>
      </c>
      <c r="C446" t="s">
        <v>74</v>
      </c>
      <c r="D446" t="s">
        <v>74</v>
      </c>
      <c r="E446" t="s">
        <v>74</v>
      </c>
      <c r="F446" t="s">
        <v>8693</v>
      </c>
      <c r="G446" t="s">
        <v>74</v>
      </c>
      <c r="H446" t="s">
        <v>74</v>
      </c>
      <c r="I446" t="s">
        <v>8694</v>
      </c>
      <c r="J446" t="s">
        <v>1656</v>
      </c>
      <c r="K446" t="s">
        <v>74</v>
      </c>
      <c r="L446" t="s">
        <v>74</v>
      </c>
      <c r="M446" t="s">
        <v>74</v>
      </c>
      <c r="N446" t="s">
        <v>74</v>
      </c>
      <c r="O446" t="s">
        <v>74</v>
      </c>
      <c r="P446" t="s">
        <v>74</v>
      </c>
      <c r="Q446" t="s">
        <v>74</v>
      </c>
      <c r="R446" t="s">
        <v>74</v>
      </c>
      <c r="S446" t="s">
        <v>74</v>
      </c>
      <c r="T446" t="s">
        <v>74</v>
      </c>
      <c r="U446" t="s">
        <v>74</v>
      </c>
      <c r="V446" s="3" t="s">
        <v>8695</v>
      </c>
      <c r="W446" t="s">
        <v>74</v>
      </c>
      <c r="X446" t="s">
        <v>74</v>
      </c>
      <c r="Y446" t="s">
        <v>74</v>
      </c>
      <c r="Z446" t="s">
        <v>74</v>
      </c>
      <c r="AA446" t="s">
        <v>8696</v>
      </c>
      <c r="AB446" t="s">
        <v>8697</v>
      </c>
      <c r="AC446" t="s">
        <v>74</v>
      </c>
      <c r="AD446" t="s">
        <v>74</v>
      </c>
      <c r="AE446" t="s">
        <v>74</v>
      </c>
      <c r="AF446" t="s">
        <v>74</v>
      </c>
      <c r="AG446" t="s">
        <v>74</v>
      </c>
      <c r="AH446" t="s">
        <v>74</v>
      </c>
      <c r="AI446" t="s">
        <v>74</v>
      </c>
      <c r="AJ446" t="s">
        <v>74</v>
      </c>
      <c r="AK446" t="s">
        <v>74</v>
      </c>
      <c r="AL446" t="s">
        <v>74</v>
      </c>
      <c r="AM446" t="s">
        <v>74</v>
      </c>
      <c r="AN446" t="s">
        <v>74</v>
      </c>
      <c r="AO446" t="s">
        <v>1658</v>
      </c>
      <c r="AP446" t="s">
        <v>1659</v>
      </c>
      <c r="AQ446" t="s">
        <v>74</v>
      </c>
      <c r="AR446" t="s">
        <v>74</v>
      </c>
      <c r="AS446" t="s">
        <v>74</v>
      </c>
      <c r="AT446" t="s">
        <v>4744</v>
      </c>
      <c r="AU446">
        <v>2016</v>
      </c>
      <c r="AV446">
        <v>4159</v>
      </c>
      <c r="AW446">
        <v>1</v>
      </c>
      <c r="AX446" t="s">
        <v>74</v>
      </c>
      <c r="AY446" t="s">
        <v>74</v>
      </c>
      <c r="AZ446" t="s">
        <v>74</v>
      </c>
      <c r="BA446" t="s">
        <v>74</v>
      </c>
      <c r="BB446">
        <v>1</v>
      </c>
      <c r="BC446">
        <v>219</v>
      </c>
      <c r="BD446" t="s">
        <v>74</v>
      </c>
      <c r="BE446" t="s">
        <v>8698</v>
      </c>
      <c r="BF446" t="str">
        <f>HYPERLINK("http://dx.doi.org/10.11646/zootaxa.4159.1.1","http://dx.doi.org/10.11646/zootaxa.4159.1.1")</f>
        <v>http://dx.doi.org/10.11646/zootaxa.4159.1.1</v>
      </c>
      <c r="BG446" t="s">
        <v>74</v>
      </c>
      <c r="BH446" t="s">
        <v>74</v>
      </c>
      <c r="BI446" t="s">
        <v>74</v>
      </c>
      <c r="BJ446" t="s">
        <v>74</v>
      </c>
      <c r="BK446" t="s">
        <v>74</v>
      </c>
      <c r="BL446" t="s">
        <v>74</v>
      </c>
      <c r="BM446" t="s">
        <v>74</v>
      </c>
      <c r="BN446">
        <v>27615907</v>
      </c>
      <c r="BO446" t="s">
        <v>74</v>
      </c>
      <c r="BP446" t="s">
        <v>74</v>
      </c>
      <c r="BQ446" t="s">
        <v>74</v>
      </c>
      <c r="BR446" t="s">
        <v>74</v>
      </c>
      <c r="BS446" t="s">
        <v>8699</v>
      </c>
      <c r="BT446" t="str">
        <f>HYPERLINK("https%3A%2F%2Fwww.webofscience.com%2Fwos%2Fwoscc%2Ffull-record%2FWOS:000382724900001","View Full Record in Web of Science")</f>
        <v>View Full Record in Web of Science</v>
      </c>
    </row>
    <row r="447" spans="1:72" x14ac:dyDescent="0.4">
      <c r="A447" t="s">
        <v>72</v>
      </c>
      <c r="B447" t="s">
        <v>7169</v>
      </c>
      <c r="C447" t="s">
        <v>74</v>
      </c>
      <c r="D447" t="s">
        <v>74</v>
      </c>
      <c r="E447" t="s">
        <v>74</v>
      </c>
      <c r="F447" t="s">
        <v>7169</v>
      </c>
      <c r="G447" t="s">
        <v>74</v>
      </c>
      <c r="H447" t="s">
        <v>74</v>
      </c>
      <c r="I447" t="s">
        <v>7170</v>
      </c>
      <c r="J447" t="s">
        <v>3238</v>
      </c>
      <c r="K447" t="s">
        <v>74</v>
      </c>
      <c r="L447" t="s">
        <v>74</v>
      </c>
      <c r="M447" t="s">
        <v>74</v>
      </c>
      <c r="N447" t="s">
        <v>74</v>
      </c>
      <c r="O447" t="s">
        <v>74</v>
      </c>
      <c r="P447" t="s">
        <v>74</v>
      </c>
      <c r="Q447" t="s">
        <v>74</v>
      </c>
      <c r="R447" t="s">
        <v>74</v>
      </c>
      <c r="S447" t="s">
        <v>74</v>
      </c>
      <c r="T447" t="s">
        <v>74</v>
      </c>
      <c r="U447" t="s">
        <v>74</v>
      </c>
      <c r="V447" s="3" t="s">
        <v>7171</v>
      </c>
      <c r="W447" t="s">
        <v>74</v>
      </c>
      <c r="X447" t="s">
        <v>74</v>
      </c>
      <c r="Y447" t="s">
        <v>74</v>
      </c>
      <c r="Z447" t="s">
        <v>74</v>
      </c>
      <c r="AA447" t="s">
        <v>74</v>
      </c>
      <c r="AB447" t="s">
        <v>7172</v>
      </c>
      <c r="AC447" t="s">
        <v>74</v>
      </c>
      <c r="AD447" t="s">
        <v>74</v>
      </c>
      <c r="AE447" t="s">
        <v>74</v>
      </c>
      <c r="AF447" t="s">
        <v>74</v>
      </c>
      <c r="AG447" t="s">
        <v>74</v>
      </c>
      <c r="AH447" t="s">
        <v>74</v>
      </c>
      <c r="AI447" t="s">
        <v>74</v>
      </c>
      <c r="AJ447" t="s">
        <v>74</v>
      </c>
      <c r="AK447" t="s">
        <v>74</v>
      </c>
      <c r="AL447" t="s">
        <v>74</v>
      </c>
      <c r="AM447" t="s">
        <v>74</v>
      </c>
      <c r="AN447" t="s">
        <v>74</v>
      </c>
      <c r="AO447" t="s">
        <v>3240</v>
      </c>
      <c r="AP447" t="s">
        <v>74</v>
      </c>
      <c r="AQ447" t="s">
        <v>74</v>
      </c>
      <c r="AR447" t="s">
        <v>74</v>
      </c>
      <c r="AS447" t="s">
        <v>74</v>
      </c>
      <c r="AT447" t="s">
        <v>123</v>
      </c>
      <c r="AU447">
        <v>2002</v>
      </c>
      <c r="AV447">
        <v>95</v>
      </c>
      <c r="AW447">
        <v>2</v>
      </c>
      <c r="AX447" t="s">
        <v>74</v>
      </c>
      <c r="AY447" t="s">
        <v>74</v>
      </c>
      <c r="AZ447" t="s">
        <v>74</v>
      </c>
      <c r="BA447" t="s">
        <v>74</v>
      </c>
      <c r="BB447">
        <v>172</v>
      </c>
      <c r="BC447">
        <v>191</v>
      </c>
      <c r="BD447" t="s">
        <v>74</v>
      </c>
      <c r="BE447" t="s">
        <v>7173</v>
      </c>
      <c r="BF447" t="str">
        <f>HYPERLINK("http://dx.doi.org/10.1603/0013-8746(2002)095[0172:DTTCCI]2.0.CO;2","http://dx.doi.org/10.1603/0013-8746(2002)095[0172:DTTCCI]2.0.CO;2")</f>
        <v>http://dx.doi.org/10.1603/0013-8746(2002)095[0172:DTTCCI]2.0.CO;2</v>
      </c>
      <c r="BG447" t="s">
        <v>74</v>
      </c>
      <c r="BH447" t="s">
        <v>74</v>
      </c>
      <c r="BI447" t="s">
        <v>74</v>
      </c>
      <c r="BJ447" t="s">
        <v>74</v>
      </c>
      <c r="BK447" t="s">
        <v>74</v>
      </c>
      <c r="BL447" t="s">
        <v>74</v>
      </c>
      <c r="BM447" t="s">
        <v>74</v>
      </c>
      <c r="BN447" t="s">
        <v>74</v>
      </c>
      <c r="BO447" t="s">
        <v>74</v>
      </c>
      <c r="BP447" t="s">
        <v>74</v>
      </c>
      <c r="BQ447" t="s">
        <v>74</v>
      </c>
      <c r="BR447" t="s">
        <v>74</v>
      </c>
      <c r="BS447" t="s">
        <v>7174</v>
      </c>
      <c r="BT447" t="str">
        <f>HYPERLINK("https%3A%2F%2Fwww.webofscience.com%2Fwos%2Fwoscc%2Ffull-record%2FWOS:000178373100006","View Full Record in Web of Science")</f>
        <v>View Full Record in Web of Science</v>
      </c>
    </row>
    <row r="448" spans="1:72" x14ac:dyDescent="0.4">
      <c r="A448" t="s">
        <v>72</v>
      </c>
      <c r="B448" t="s">
        <v>8504</v>
      </c>
      <c r="C448" t="s">
        <v>74</v>
      </c>
      <c r="D448" t="s">
        <v>74</v>
      </c>
      <c r="E448" t="s">
        <v>74</v>
      </c>
      <c r="F448" t="s">
        <v>8505</v>
      </c>
      <c r="G448" t="s">
        <v>74</v>
      </c>
      <c r="H448" t="s">
        <v>74</v>
      </c>
      <c r="I448" t="s">
        <v>8506</v>
      </c>
      <c r="J448" t="s">
        <v>2847</v>
      </c>
      <c r="K448" t="s">
        <v>74</v>
      </c>
      <c r="L448" t="s">
        <v>74</v>
      </c>
      <c r="M448" t="s">
        <v>74</v>
      </c>
      <c r="N448" t="s">
        <v>74</v>
      </c>
      <c r="O448" t="s">
        <v>74</v>
      </c>
      <c r="P448" t="s">
        <v>74</v>
      </c>
      <c r="Q448" t="s">
        <v>74</v>
      </c>
      <c r="R448" t="s">
        <v>74</v>
      </c>
      <c r="S448" t="s">
        <v>74</v>
      </c>
      <c r="T448" t="s">
        <v>74</v>
      </c>
      <c r="U448" t="s">
        <v>74</v>
      </c>
      <c r="V448" s="3" t="s">
        <v>8507</v>
      </c>
      <c r="W448" t="s">
        <v>74</v>
      </c>
      <c r="X448" t="s">
        <v>74</v>
      </c>
      <c r="Y448" t="s">
        <v>74</v>
      </c>
      <c r="Z448" t="s">
        <v>74</v>
      </c>
      <c r="AA448" t="s">
        <v>8508</v>
      </c>
      <c r="AB448" t="s">
        <v>8509</v>
      </c>
      <c r="AC448" t="s">
        <v>74</v>
      </c>
      <c r="AD448" t="s">
        <v>74</v>
      </c>
      <c r="AE448" t="s">
        <v>74</v>
      </c>
      <c r="AF448" t="s">
        <v>74</v>
      </c>
      <c r="AG448" t="s">
        <v>74</v>
      </c>
      <c r="AH448" t="s">
        <v>74</v>
      </c>
      <c r="AI448" t="s">
        <v>74</v>
      </c>
      <c r="AJ448" t="s">
        <v>74</v>
      </c>
      <c r="AK448" t="s">
        <v>74</v>
      </c>
      <c r="AL448" t="s">
        <v>74</v>
      </c>
      <c r="AM448" t="s">
        <v>74</v>
      </c>
      <c r="AN448" t="s">
        <v>74</v>
      </c>
      <c r="AO448" t="s">
        <v>2849</v>
      </c>
      <c r="AP448" t="s">
        <v>2850</v>
      </c>
      <c r="AQ448" t="s">
        <v>74</v>
      </c>
      <c r="AR448" t="s">
        <v>74</v>
      </c>
      <c r="AS448" t="s">
        <v>74</v>
      </c>
      <c r="AT448" t="s">
        <v>4744</v>
      </c>
      <c r="AU448">
        <v>2012</v>
      </c>
      <c r="AV448">
        <v>426</v>
      </c>
      <c r="AW448" t="s">
        <v>74</v>
      </c>
      <c r="AX448" t="s">
        <v>74</v>
      </c>
      <c r="AY448" t="s">
        <v>74</v>
      </c>
      <c r="AZ448" t="s">
        <v>74</v>
      </c>
      <c r="BA448" t="s">
        <v>74</v>
      </c>
      <c r="BB448">
        <v>1</v>
      </c>
      <c r="BC448">
        <v>4</v>
      </c>
      <c r="BD448" t="s">
        <v>74</v>
      </c>
      <c r="BE448" t="s">
        <v>8510</v>
      </c>
      <c r="BF448" t="str">
        <f>HYPERLINK("http://dx.doi.org/10.1016/j.jembe.2012.05.011","http://dx.doi.org/10.1016/j.jembe.2012.05.011")</f>
        <v>http://dx.doi.org/10.1016/j.jembe.2012.05.011</v>
      </c>
      <c r="BG448" t="s">
        <v>74</v>
      </c>
      <c r="BH448" t="s">
        <v>74</v>
      </c>
      <c r="BI448" t="s">
        <v>74</v>
      </c>
      <c r="BJ448" t="s">
        <v>74</v>
      </c>
      <c r="BK448" t="s">
        <v>74</v>
      </c>
      <c r="BL448" t="s">
        <v>74</v>
      </c>
      <c r="BM448" t="s">
        <v>74</v>
      </c>
      <c r="BN448" t="s">
        <v>74</v>
      </c>
      <c r="BO448" t="s">
        <v>74</v>
      </c>
      <c r="BP448" t="s">
        <v>74</v>
      </c>
      <c r="BQ448" t="s">
        <v>74</v>
      </c>
      <c r="BR448" t="s">
        <v>74</v>
      </c>
      <c r="BS448" t="s">
        <v>8511</v>
      </c>
      <c r="BT448" t="str">
        <f>HYPERLINK("https%3A%2F%2Fwww.webofscience.com%2Fwos%2Fwoscc%2Ffull-record%2FWOS:000306623700001","View Full Record in Web of Science")</f>
        <v>View Full Record in Web of Science</v>
      </c>
    </row>
    <row r="449" spans="1:72" x14ac:dyDescent="0.4">
      <c r="A449" t="s">
        <v>72</v>
      </c>
      <c r="B449" t="s">
        <v>1644</v>
      </c>
      <c r="C449" t="s">
        <v>74</v>
      </c>
      <c r="D449" t="s">
        <v>74</v>
      </c>
      <c r="E449" t="s">
        <v>74</v>
      </c>
      <c r="F449" t="s">
        <v>1645</v>
      </c>
      <c r="G449" t="s">
        <v>74</v>
      </c>
      <c r="H449" t="s">
        <v>74</v>
      </c>
      <c r="I449" t="s">
        <v>1646</v>
      </c>
      <c r="J449" t="s">
        <v>1647</v>
      </c>
      <c r="K449" t="s">
        <v>74</v>
      </c>
      <c r="L449" t="s">
        <v>74</v>
      </c>
      <c r="M449" t="s">
        <v>74</v>
      </c>
      <c r="N449" t="s">
        <v>74</v>
      </c>
      <c r="O449" t="s">
        <v>74</v>
      </c>
      <c r="P449" t="s">
        <v>74</v>
      </c>
      <c r="Q449" t="s">
        <v>74</v>
      </c>
      <c r="R449" t="s">
        <v>74</v>
      </c>
      <c r="S449" t="s">
        <v>74</v>
      </c>
      <c r="T449" t="s">
        <v>74</v>
      </c>
      <c r="U449" t="s">
        <v>74</v>
      </c>
      <c r="V449" s="3" t="s">
        <v>1648</v>
      </c>
      <c r="W449" t="s">
        <v>74</v>
      </c>
      <c r="X449" t="s">
        <v>74</v>
      </c>
      <c r="Y449" t="s">
        <v>74</v>
      </c>
      <c r="Z449" t="s">
        <v>74</v>
      </c>
      <c r="AA449" t="s">
        <v>74</v>
      </c>
      <c r="AB449" t="s">
        <v>74</v>
      </c>
      <c r="AC449" t="s">
        <v>74</v>
      </c>
      <c r="AD449" t="s">
        <v>74</v>
      </c>
      <c r="AE449" t="s">
        <v>74</v>
      </c>
      <c r="AF449" t="s">
        <v>74</v>
      </c>
      <c r="AG449" t="s">
        <v>74</v>
      </c>
      <c r="AH449" t="s">
        <v>74</v>
      </c>
      <c r="AI449" t="s">
        <v>74</v>
      </c>
      <c r="AJ449" t="s">
        <v>74</v>
      </c>
      <c r="AK449" t="s">
        <v>74</v>
      </c>
      <c r="AL449" t="s">
        <v>74</v>
      </c>
      <c r="AM449" t="s">
        <v>74</v>
      </c>
      <c r="AN449" t="s">
        <v>74</v>
      </c>
      <c r="AO449" t="s">
        <v>1649</v>
      </c>
      <c r="AP449" t="s">
        <v>74</v>
      </c>
      <c r="AQ449" t="s">
        <v>74</v>
      </c>
      <c r="AR449" t="s">
        <v>74</v>
      </c>
      <c r="AS449" t="s">
        <v>74</v>
      </c>
      <c r="AT449" t="s">
        <v>1650</v>
      </c>
      <c r="AU449">
        <v>2018</v>
      </c>
      <c r="AV449">
        <v>69</v>
      </c>
      <c r="AW449">
        <v>2</v>
      </c>
      <c r="AX449" t="s">
        <v>74</v>
      </c>
      <c r="AY449" t="s">
        <v>74</v>
      </c>
      <c r="AZ449" t="s">
        <v>74</v>
      </c>
      <c r="BA449" t="s">
        <v>74</v>
      </c>
      <c r="BB449">
        <v>951</v>
      </c>
      <c r="BC449">
        <v>958</v>
      </c>
      <c r="BD449" t="s">
        <v>74</v>
      </c>
      <c r="BE449" t="s">
        <v>1651</v>
      </c>
      <c r="BF449" t="str">
        <f>HYPERLINK("http://dx.doi.org/10.12681/jhvms.18017","http://dx.doi.org/10.12681/jhvms.18017")</f>
        <v>http://dx.doi.org/10.12681/jhvms.18017</v>
      </c>
      <c r="BG449" t="s">
        <v>74</v>
      </c>
      <c r="BH449" t="s">
        <v>74</v>
      </c>
      <c r="BI449" t="s">
        <v>74</v>
      </c>
      <c r="BJ449" t="s">
        <v>74</v>
      </c>
      <c r="BK449" t="s">
        <v>74</v>
      </c>
      <c r="BL449" t="s">
        <v>74</v>
      </c>
      <c r="BM449" t="s">
        <v>74</v>
      </c>
      <c r="BN449" t="s">
        <v>74</v>
      </c>
      <c r="BO449" t="s">
        <v>74</v>
      </c>
      <c r="BP449" t="s">
        <v>74</v>
      </c>
      <c r="BQ449" t="s">
        <v>74</v>
      </c>
      <c r="BR449" t="s">
        <v>74</v>
      </c>
      <c r="BS449" t="s">
        <v>1652</v>
      </c>
      <c r="BT449" t="str">
        <f>HYPERLINK("https%3A%2F%2Fwww.webofscience.com%2Fwos%2Fwoscc%2Ffull-record%2FWOS:000439066300006","View Full Record in Web of Science")</f>
        <v>View Full Record in Web of Science</v>
      </c>
    </row>
    <row r="450" spans="1:72" x14ac:dyDescent="0.4">
      <c r="A450" t="s">
        <v>72</v>
      </c>
      <c r="B450" t="s">
        <v>6168</v>
      </c>
      <c r="C450" t="s">
        <v>74</v>
      </c>
      <c r="D450" t="s">
        <v>74</v>
      </c>
      <c r="E450" t="s">
        <v>74</v>
      </c>
      <c r="F450" t="s">
        <v>6168</v>
      </c>
      <c r="G450" t="s">
        <v>74</v>
      </c>
      <c r="H450" t="s">
        <v>74</v>
      </c>
      <c r="I450" t="s">
        <v>6169</v>
      </c>
      <c r="J450" t="s">
        <v>201</v>
      </c>
      <c r="K450" t="s">
        <v>74</v>
      </c>
      <c r="L450" t="s">
        <v>74</v>
      </c>
      <c r="M450" t="s">
        <v>74</v>
      </c>
      <c r="N450" t="s">
        <v>74</v>
      </c>
      <c r="O450" t="s">
        <v>74</v>
      </c>
      <c r="P450" t="s">
        <v>74</v>
      </c>
      <c r="Q450" t="s">
        <v>74</v>
      </c>
      <c r="R450" t="s">
        <v>74</v>
      </c>
      <c r="S450" t="s">
        <v>74</v>
      </c>
      <c r="T450" t="s">
        <v>74</v>
      </c>
      <c r="U450" t="s">
        <v>74</v>
      </c>
      <c r="V450" s="3" t="s">
        <v>6170</v>
      </c>
      <c r="W450" t="s">
        <v>74</v>
      </c>
      <c r="X450" t="s">
        <v>74</v>
      </c>
      <c r="Y450" t="s">
        <v>74</v>
      </c>
      <c r="Z450" t="s">
        <v>74</v>
      </c>
      <c r="AA450" t="s">
        <v>6171</v>
      </c>
      <c r="AB450" t="s">
        <v>6172</v>
      </c>
      <c r="AC450" t="s">
        <v>74</v>
      </c>
      <c r="AD450" t="s">
        <v>74</v>
      </c>
      <c r="AE450" t="s">
        <v>74</v>
      </c>
      <c r="AF450" t="s">
        <v>74</v>
      </c>
      <c r="AG450" t="s">
        <v>74</v>
      </c>
      <c r="AH450" t="s">
        <v>74</v>
      </c>
      <c r="AI450" t="s">
        <v>74</v>
      </c>
      <c r="AJ450" t="s">
        <v>74</v>
      </c>
      <c r="AK450" t="s">
        <v>74</v>
      </c>
      <c r="AL450" t="s">
        <v>74</v>
      </c>
      <c r="AM450" t="s">
        <v>74</v>
      </c>
      <c r="AN450" t="s">
        <v>74</v>
      </c>
      <c r="AO450" t="s">
        <v>203</v>
      </c>
      <c r="AP450" t="s">
        <v>1192</v>
      </c>
      <c r="AQ450" t="s">
        <v>74</v>
      </c>
      <c r="AR450" t="s">
        <v>74</v>
      </c>
      <c r="AS450" t="s">
        <v>74</v>
      </c>
      <c r="AT450" t="s">
        <v>964</v>
      </c>
      <c r="AU450">
        <v>2006</v>
      </c>
      <c r="AV450">
        <v>68</v>
      </c>
      <c r="AW450">
        <v>2</v>
      </c>
      <c r="AX450" t="s">
        <v>74</v>
      </c>
      <c r="AY450" t="s">
        <v>74</v>
      </c>
      <c r="AZ450" t="s">
        <v>74</v>
      </c>
      <c r="BA450" t="s">
        <v>74</v>
      </c>
      <c r="BB450">
        <v>555</v>
      </c>
      <c r="BC450">
        <v>568</v>
      </c>
      <c r="BD450" t="s">
        <v>74</v>
      </c>
      <c r="BE450" t="s">
        <v>6173</v>
      </c>
      <c r="BF450" t="str">
        <f>HYPERLINK("http://dx.doi.org/10.1111/j.0022-1112.2006.00941.x","http://dx.doi.org/10.1111/j.0022-1112.2006.00941.x")</f>
        <v>http://dx.doi.org/10.1111/j.0022-1112.2006.00941.x</v>
      </c>
      <c r="BG450" t="s">
        <v>74</v>
      </c>
      <c r="BH450" t="s">
        <v>74</v>
      </c>
      <c r="BI450" t="s">
        <v>74</v>
      </c>
      <c r="BJ450" t="s">
        <v>74</v>
      </c>
      <c r="BK450" t="s">
        <v>74</v>
      </c>
      <c r="BL450" t="s">
        <v>74</v>
      </c>
      <c r="BM450" t="s">
        <v>74</v>
      </c>
      <c r="BN450" t="s">
        <v>74</v>
      </c>
      <c r="BO450" t="s">
        <v>74</v>
      </c>
      <c r="BP450" t="s">
        <v>74</v>
      </c>
      <c r="BQ450" t="s">
        <v>74</v>
      </c>
      <c r="BR450" t="s">
        <v>74</v>
      </c>
      <c r="BS450" t="s">
        <v>6174</v>
      </c>
      <c r="BT450" t="str">
        <f>HYPERLINK("https%3A%2F%2Fwww.webofscience.com%2Fwos%2Fwoscc%2Ffull-record%2FWOS:000235469400016","View Full Record in Web of Science")</f>
        <v>View Full Record in Web of Science</v>
      </c>
    </row>
    <row r="451" spans="1:72" x14ac:dyDescent="0.4">
      <c r="A451" t="s">
        <v>72</v>
      </c>
      <c r="B451" t="s">
        <v>1229</v>
      </c>
      <c r="C451" t="s">
        <v>74</v>
      </c>
      <c r="D451" t="s">
        <v>74</v>
      </c>
      <c r="E451" t="s">
        <v>74</v>
      </c>
      <c r="F451" t="s">
        <v>1229</v>
      </c>
      <c r="G451" t="s">
        <v>74</v>
      </c>
      <c r="H451" t="s">
        <v>74</v>
      </c>
      <c r="I451" t="s">
        <v>1230</v>
      </c>
      <c r="J451" t="s">
        <v>119</v>
      </c>
      <c r="K451" t="s">
        <v>74</v>
      </c>
      <c r="L451" t="s">
        <v>74</v>
      </c>
      <c r="M451" t="s">
        <v>74</v>
      </c>
      <c r="N451" t="s">
        <v>74</v>
      </c>
      <c r="O451" t="s">
        <v>74</v>
      </c>
      <c r="P451" t="s">
        <v>74</v>
      </c>
      <c r="Q451" t="s">
        <v>74</v>
      </c>
      <c r="R451" t="s">
        <v>74</v>
      </c>
      <c r="S451" t="s">
        <v>74</v>
      </c>
      <c r="T451" t="s">
        <v>74</v>
      </c>
      <c r="U451" t="s">
        <v>74</v>
      </c>
      <c r="V451" s="3" t="s">
        <v>1231</v>
      </c>
      <c r="W451" t="s">
        <v>74</v>
      </c>
      <c r="X451" t="s">
        <v>74</v>
      </c>
      <c r="Y451" t="s">
        <v>74</v>
      </c>
      <c r="Z451" t="s">
        <v>74</v>
      </c>
      <c r="AA451" t="s">
        <v>1232</v>
      </c>
      <c r="AB451" t="s">
        <v>74</v>
      </c>
      <c r="AC451" t="s">
        <v>74</v>
      </c>
      <c r="AD451" t="s">
        <v>74</v>
      </c>
      <c r="AE451" t="s">
        <v>74</v>
      </c>
      <c r="AF451" t="s">
        <v>74</v>
      </c>
      <c r="AG451" t="s">
        <v>74</v>
      </c>
      <c r="AH451" t="s">
        <v>74</v>
      </c>
      <c r="AI451" t="s">
        <v>74</v>
      </c>
      <c r="AJ451" t="s">
        <v>74</v>
      </c>
      <c r="AK451" t="s">
        <v>74</v>
      </c>
      <c r="AL451" t="s">
        <v>74</v>
      </c>
      <c r="AM451" t="s">
        <v>74</v>
      </c>
      <c r="AN451" t="s">
        <v>74</v>
      </c>
      <c r="AO451" t="s">
        <v>121</v>
      </c>
      <c r="AP451" t="s">
        <v>74</v>
      </c>
      <c r="AQ451" t="s">
        <v>74</v>
      </c>
      <c r="AR451" t="s">
        <v>74</v>
      </c>
      <c r="AS451" t="s">
        <v>74</v>
      </c>
      <c r="AT451" t="s">
        <v>102</v>
      </c>
      <c r="AU451">
        <v>1998</v>
      </c>
      <c r="AV451">
        <v>43</v>
      </c>
      <c r="AW451">
        <v>3</v>
      </c>
      <c r="AX451" t="s">
        <v>74</v>
      </c>
      <c r="AY451" t="s">
        <v>74</v>
      </c>
      <c r="AZ451" t="s">
        <v>74</v>
      </c>
      <c r="BA451" t="s">
        <v>74</v>
      </c>
      <c r="BB451">
        <v>251</v>
      </c>
      <c r="BC451">
        <v>255</v>
      </c>
      <c r="BD451" t="s">
        <v>74</v>
      </c>
      <c r="BE451" t="s">
        <v>1233</v>
      </c>
      <c r="BF451" t="str">
        <f>HYPERLINK("http://dx.doi.org/10.1016/S0376-6357(98)00006-0","http://dx.doi.org/10.1016/S0376-6357(98)00006-0")</f>
        <v>http://dx.doi.org/10.1016/S0376-6357(98)00006-0</v>
      </c>
      <c r="BG451" t="s">
        <v>74</v>
      </c>
      <c r="BH451" t="s">
        <v>74</v>
      </c>
      <c r="BI451" t="s">
        <v>74</v>
      </c>
      <c r="BJ451" t="s">
        <v>74</v>
      </c>
      <c r="BK451" t="s">
        <v>74</v>
      </c>
      <c r="BL451" t="s">
        <v>74</v>
      </c>
      <c r="BM451" t="s">
        <v>74</v>
      </c>
      <c r="BN451">
        <v>24896492</v>
      </c>
      <c r="BO451" t="s">
        <v>74</v>
      </c>
      <c r="BP451" t="s">
        <v>74</v>
      </c>
      <c r="BQ451" t="s">
        <v>74</v>
      </c>
      <c r="BR451" t="s">
        <v>74</v>
      </c>
      <c r="BS451" t="s">
        <v>1234</v>
      </c>
      <c r="BT451" t="str">
        <f>HYPERLINK("https%3A%2F%2Fwww.webofscience.com%2Fwos%2Fwoscc%2Ffull-record%2FWOS:000075498300002","View Full Record in Web of Science")</f>
        <v>View Full Record in Web of Science</v>
      </c>
    </row>
    <row r="452" spans="1:72" x14ac:dyDescent="0.4">
      <c r="A452" t="s">
        <v>72</v>
      </c>
      <c r="B452" t="s">
        <v>3905</v>
      </c>
      <c r="C452" t="s">
        <v>74</v>
      </c>
      <c r="D452" t="s">
        <v>74</v>
      </c>
      <c r="E452" t="s">
        <v>74</v>
      </c>
      <c r="F452" t="s">
        <v>3906</v>
      </c>
      <c r="G452" t="s">
        <v>74</v>
      </c>
      <c r="H452" t="s">
        <v>74</v>
      </c>
      <c r="I452" t="s">
        <v>3907</v>
      </c>
      <c r="J452" t="s">
        <v>129</v>
      </c>
      <c r="K452" t="s">
        <v>74</v>
      </c>
      <c r="L452" t="s">
        <v>74</v>
      </c>
      <c r="M452" t="s">
        <v>74</v>
      </c>
      <c r="N452" t="s">
        <v>74</v>
      </c>
      <c r="O452" t="s">
        <v>74</v>
      </c>
      <c r="P452" t="s">
        <v>74</v>
      </c>
      <c r="Q452" t="s">
        <v>74</v>
      </c>
      <c r="R452" t="s">
        <v>74</v>
      </c>
      <c r="S452" t="s">
        <v>74</v>
      </c>
      <c r="T452" t="s">
        <v>74</v>
      </c>
      <c r="U452" t="s">
        <v>74</v>
      </c>
      <c r="V452" s="3" t="s">
        <v>3908</v>
      </c>
      <c r="W452" t="s">
        <v>74</v>
      </c>
      <c r="X452" t="s">
        <v>74</v>
      </c>
      <c r="Y452" t="s">
        <v>74</v>
      </c>
      <c r="Z452" t="s">
        <v>74</v>
      </c>
      <c r="AA452" t="s">
        <v>3909</v>
      </c>
      <c r="AB452" t="s">
        <v>3910</v>
      </c>
      <c r="AC452" t="s">
        <v>74</v>
      </c>
      <c r="AD452" t="s">
        <v>74</v>
      </c>
      <c r="AE452" t="s">
        <v>74</v>
      </c>
      <c r="AF452" t="s">
        <v>74</v>
      </c>
      <c r="AG452" t="s">
        <v>74</v>
      </c>
      <c r="AH452" t="s">
        <v>74</v>
      </c>
      <c r="AI452" t="s">
        <v>74</v>
      </c>
      <c r="AJ452" t="s">
        <v>74</v>
      </c>
      <c r="AK452" t="s">
        <v>74</v>
      </c>
      <c r="AL452" t="s">
        <v>74</v>
      </c>
      <c r="AM452" t="s">
        <v>74</v>
      </c>
      <c r="AN452" t="s">
        <v>74</v>
      </c>
      <c r="AO452" t="s">
        <v>132</v>
      </c>
      <c r="AP452" t="s">
        <v>74</v>
      </c>
      <c r="AQ452" t="s">
        <v>74</v>
      </c>
      <c r="AR452" t="s">
        <v>74</v>
      </c>
      <c r="AS452" t="s">
        <v>74</v>
      </c>
      <c r="AT452" t="s">
        <v>204</v>
      </c>
      <c r="AU452">
        <v>2011</v>
      </c>
      <c r="AV452">
        <v>65</v>
      </c>
      <c r="AW452">
        <v>7</v>
      </c>
      <c r="AX452" t="s">
        <v>74</v>
      </c>
      <c r="AY452" t="s">
        <v>74</v>
      </c>
      <c r="AZ452" t="s">
        <v>74</v>
      </c>
      <c r="BA452" t="s">
        <v>74</v>
      </c>
      <c r="BB452">
        <v>1403</v>
      </c>
      <c r="BC452">
        <v>1410</v>
      </c>
      <c r="BD452" t="s">
        <v>74</v>
      </c>
      <c r="BE452" t="s">
        <v>3911</v>
      </c>
      <c r="BF452" t="str">
        <f>HYPERLINK("http://dx.doi.org/10.1007/s00265-011-1150-1","http://dx.doi.org/10.1007/s00265-011-1150-1")</f>
        <v>http://dx.doi.org/10.1007/s00265-011-1150-1</v>
      </c>
      <c r="BG452" t="s">
        <v>74</v>
      </c>
      <c r="BH452" t="s">
        <v>74</v>
      </c>
      <c r="BI452" t="s">
        <v>74</v>
      </c>
      <c r="BJ452" t="s">
        <v>74</v>
      </c>
      <c r="BK452" t="s">
        <v>74</v>
      </c>
      <c r="BL452" t="s">
        <v>74</v>
      </c>
      <c r="BM452" t="s">
        <v>74</v>
      </c>
      <c r="BN452" t="s">
        <v>74</v>
      </c>
      <c r="BO452" t="s">
        <v>74</v>
      </c>
      <c r="BP452" t="s">
        <v>74</v>
      </c>
      <c r="BQ452" t="s">
        <v>74</v>
      </c>
      <c r="BR452" t="s">
        <v>74</v>
      </c>
      <c r="BS452" t="s">
        <v>3912</v>
      </c>
      <c r="BT452" t="str">
        <f>HYPERLINK("https%3A%2F%2Fwww.webofscience.com%2Fwos%2Fwoscc%2Ffull-record%2FWOS:000291654000006","View Full Record in Web of Science")</f>
        <v>View Full Record in Web of Science</v>
      </c>
    </row>
    <row r="453" spans="1:72" x14ac:dyDescent="0.4">
      <c r="A453" t="s">
        <v>72</v>
      </c>
      <c r="B453" t="s">
        <v>472</v>
      </c>
      <c r="C453" t="s">
        <v>74</v>
      </c>
      <c r="D453" t="s">
        <v>74</v>
      </c>
      <c r="E453" t="s">
        <v>74</v>
      </c>
      <c r="F453" t="s">
        <v>473</v>
      </c>
      <c r="G453" t="s">
        <v>74</v>
      </c>
      <c r="H453" t="s">
        <v>74</v>
      </c>
      <c r="I453" t="s">
        <v>474</v>
      </c>
      <c r="J453" t="s">
        <v>475</v>
      </c>
      <c r="K453" t="s">
        <v>74</v>
      </c>
      <c r="L453" t="s">
        <v>74</v>
      </c>
      <c r="M453" t="s">
        <v>74</v>
      </c>
      <c r="N453" t="s">
        <v>74</v>
      </c>
      <c r="O453" t="s">
        <v>74</v>
      </c>
      <c r="P453" t="s">
        <v>74</v>
      </c>
      <c r="Q453" t="s">
        <v>74</v>
      </c>
      <c r="R453" t="s">
        <v>74</v>
      </c>
      <c r="S453" t="s">
        <v>74</v>
      </c>
      <c r="T453" t="s">
        <v>74</v>
      </c>
      <c r="U453" t="s">
        <v>74</v>
      </c>
      <c r="V453" s="3" t="s">
        <v>476</v>
      </c>
      <c r="W453" t="s">
        <v>74</v>
      </c>
      <c r="X453" t="s">
        <v>74</v>
      </c>
      <c r="Y453" t="s">
        <v>74</v>
      </c>
      <c r="Z453" t="s">
        <v>74</v>
      </c>
      <c r="AA453" t="s">
        <v>74</v>
      </c>
      <c r="AB453" t="s">
        <v>274</v>
      </c>
      <c r="AC453" t="s">
        <v>74</v>
      </c>
      <c r="AD453" t="s">
        <v>74</v>
      </c>
      <c r="AE453" t="s">
        <v>74</v>
      </c>
      <c r="AF453" t="s">
        <v>74</v>
      </c>
      <c r="AG453" t="s">
        <v>74</v>
      </c>
      <c r="AH453" t="s">
        <v>74</v>
      </c>
      <c r="AI453" t="s">
        <v>74</v>
      </c>
      <c r="AJ453" t="s">
        <v>74</v>
      </c>
      <c r="AK453" t="s">
        <v>74</v>
      </c>
      <c r="AL453" t="s">
        <v>74</v>
      </c>
      <c r="AM453" t="s">
        <v>74</v>
      </c>
      <c r="AN453" t="s">
        <v>74</v>
      </c>
      <c r="AO453" t="s">
        <v>477</v>
      </c>
      <c r="AP453" t="s">
        <v>74</v>
      </c>
      <c r="AQ453" t="s">
        <v>74</v>
      </c>
      <c r="AR453" t="s">
        <v>74</v>
      </c>
      <c r="AS453" t="s">
        <v>74</v>
      </c>
      <c r="AT453" t="s">
        <v>361</v>
      </c>
      <c r="AU453">
        <v>2012</v>
      </c>
      <c r="AV453">
        <v>176</v>
      </c>
      <c r="AW453">
        <v>3</v>
      </c>
      <c r="AX453" t="s">
        <v>74</v>
      </c>
      <c r="AY453" t="s">
        <v>74</v>
      </c>
      <c r="AZ453" t="s">
        <v>74</v>
      </c>
      <c r="BA453" t="s">
        <v>74</v>
      </c>
      <c r="BB453">
        <v>493</v>
      </c>
      <c r="BC453">
        <v>499</v>
      </c>
      <c r="BD453" t="s">
        <v>74</v>
      </c>
      <c r="BE453" t="s">
        <v>478</v>
      </c>
      <c r="BF453" t="str">
        <f>HYPERLINK("http://dx.doi.org/10.1016/j.ygcen.2011.12.028","http://dx.doi.org/10.1016/j.ygcen.2011.12.028")</f>
        <v>http://dx.doi.org/10.1016/j.ygcen.2011.12.028</v>
      </c>
      <c r="BG453" t="s">
        <v>74</v>
      </c>
      <c r="BH453" t="s">
        <v>74</v>
      </c>
      <c r="BI453" t="s">
        <v>74</v>
      </c>
      <c r="BJ453" t="s">
        <v>74</v>
      </c>
      <c r="BK453" t="s">
        <v>74</v>
      </c>
      <c r="BL453" t="s">
        <v>74</v>
      </c>
      <c r="BM453" t="s">
        <v>74</v>
      </c>
      <c r="BN453">
        <v>22230767</v>
      </c>
      <c r="BO453" t="s">
        <v>74</v>
      </c>
      <c r="BP453" t="s">
        <v>74</v>
      </c>
      <c r="BQ453" t="s">
        <v>74</v>
      </c>
      <c r="BR453" t="s">
        <v>74</v>
      </c>
      <c r="BS453" t="s">
        <v>479</v>
      </c>
      <c r="BT453" t="str">
        <f>HYPERLINK("https%3A%2F%2Fwww.webofscience.com%2Fwos%2Fwoscc%2Ffull-record%2FWOS:000303700900032","View Full Record in Web of Science")</f>
        <v>View Full Record in Web of Science</v>
      </c>
    </row>
    <row r="454" spans="1:72" x14ac:dyDescent="0.4">
      <c r="A454" t="s">
        <v>72</v>
      </c>
      <c r="B454" t="s">
        <v>4567</v>
      </c>
      <c r="C454" t="s">
        <v>74</v>
      </c>
      <c r="D454" t="s">
        <v>74</v>
      </c>
      <c r="E454" t="s">
        <v>74</v>
      </c>
      <c r="F454" t="s">
        <v>4567</v>
      </c>
      <c r="G454" t="s">
        <v>74</v>
      </c>
      <c r="H454" t="s">
        <v>74</v>
      </c>
      <c r="I454" t="s">
        <v>4568</v>
      </c>
      <c r="J454" t="s">
        <v>610</v>
      </c>
      <c r="K454" t="s">
        <v>74</v>
      </c>
      <c r="L454" t="s">
        <v>74</v>
      </c>
      <c r="M454" t="s">
        <v>74</v>
      </c>
      <c r="N454" t="s">
        <v>74</v>
      </c>
      <c r="O454" t="s">
        <v>74</v>
      </c>
      <c r="P454" t="s">
        <v>74</v>
      </c>
      <c r="Q454" t="s">
        <v>74</v>
      </c>
      <c r="R454" t="s">
        <v>74</v>
      </c>
      <c r="S454" t="s">
        <v>74</v>
      </c>
      <c r="T454" t="s">
        <v>74</v>
      </c>
      <c r="U454" t="s">
        <v>74</v>
      </c>
      <c r="V454" s="3" t="s">
        <v>4569</v>
      </c>
      <c r="W454" t="s">
        <v>74</v>
      </c>
      <c r="X454" t="s">
        <v>74</v>
      </c>
      <c r="Y454" t="s">
        <v>74</v>
      </c>
      <c r="Z454" t="s">
        <v>74</v>
      </c>
      <c r="AA454" t="s">
        <v>74</v>
      </c>
      <c r="AB454" t="s">
        <v>4570</v>
      </c>
      <c r="AC454" t="s">
        <v>74</v>
      </c>
      <c r="AD454" t="s">
        <v>74</v>
      </c>
      <c r="AE454" t="s">
        <v>74</v>
      </c>
      <c r="AF454" t="s">
        <v>74</v>
      </c>
      <c r="AG454" t="s">
        <v>74</v>
      </c>
      <c r="AH454" t="s">
        <v>74</v>
      </c>
      <c r="AI454" t="s">
        <v>74</v>
      </c>
      <c r="AJ454" t="s">
        <v>74</v>
      </c>
      <c r="AK454" t="s">
        <v>74</v>
      </c>
      <c r="AL454" t="s">
        <v>74</v>
      </c>
      <c r="AM454" t="s">
        <v>74</v>
      </c>
      <c r="AN454" t="s">
        <v>74</v>
      </c>
      <c r="AO454" t="s">
        <v>614</v>
      </c>
      <c r="AP454" t="s">
        <v>615</v>
      </c>
      <c r="AQ454" t="s">
        <v>74</v>
      </c>
      <c r="AR454" t="s">
        <v>74</v>
      </c>
      <c r="AS454" t="s">
        <v>74</v>
      </c>
      <c r="AT454" t="s">
        <v>352</v>
      </c>
      <c r="AU454">
        <v>2001</v>
      </c>
      <c r="AV454">
        <v>107</v>
      </c>
      <c r="AW454">
        <v>9</v>
      </c>
      <c r="AX454" t="s">
        <v>74</v>
      </c>
      <c r="AY454" t="s">
        <v>74</v>
      </c>
      <c r="AZ454" t="s">
        <v>74</v>
      </c>
      <c r="BA454" t="s">
        <v>74</v>
      </c>
      <c r="BB454">
        <v>839</v>
      </c>
      <c r="BC454">
        <v>850</v>
      </c>
      <c r="BD454" t="s">
        <v>74</v>
      </c>
      <c r="BE454" t="s">
        <v>4571</v>
      </c>
      <c r="BF454" t="str">
        <f>HYPERLINK("http://dx.doi.org/10.1046/j.1439-0310.2001.00712.x","http://dx.doi.org/10.1046/j.1439-0310.2001.00712.x")</f>
        <v>http://dx.doi.org/10.1046/j.1439-0310.2001.00712.x</v>
      </c>
      <c r="BG454" t="s">
        <v>74</v>
      </c>
      <c r="BH454" t="s">
        <v>74</v>
      </c>
      <c r="BI454" t="s">
        <v>74</v>
      </c>
      <c r="BJ454" t="s">
        <v>74</v>
      </c>
      <c r="BK454" t="s">
        <v>74</v>
      </c>
      <c r="BL454" t="s">
        <v>74</v>
      </c>
      <c r="BM454" t="s">
        <v>74</v>
      </c>
      <c r="BN454" t="s">
        <v>74</v>
      </c>
      <c r="BO454" t="s">
        <v>74</v>
      </c>
      <c r="BP454" t="s">
        <v>74</v>
      </c>
      <c r="BQ454" t="s">
        <v>74</v>
      </c>
      <c r="BR454" t="s">
        <v>74</v>
      </c>
      <c r="BS454" t="s">
        <v>4572</v>
      </c>
      <c r="BT454" t="str">
        <f>HYPERLINK("https%3A%2F%2Fwww.webofscience.com%2Fwos%2Fwoscc%2Ffull-record%2FWOS:000171378500006","View Full Record in Web of Science")</f>
        <v>View Full Record in Web of Science</v>
      </c>
    </row>
    <row r="455" spans="1:72" x14ac:dyDescent="0.4">
      <c r="A455" t="s">
        <v>72</v>
      </c>
      <c r="B455" t="s">
        <v>4299</v>
      </c>
      <c r="C455" t="s">
        <v>74</v>
      </c>
      <c r="D455" t="s">
        <v>74</v>
      </c>
      <c r="E455" t="s">
        <v>74</v>
      </c>
      <c r="F455" t="s">
        <v>4299</v>
      </c>
      <c r="G455" t="s">
        <v>74</v>
      </c>
      <c r="H455" t="s">
        <v>74</v>
      </c>
      <c r="I455" t="s">
        <v>4300</v>
      </c>
      <c r="J455" t="s">
        <v>140</v>
      </c>
      <c r="K455" t="s">
        <v>74</v>
      </c>
      <c r="L455" t="s">
        <v>74</v>
      </c>
      <c r="M455" t="s">
        <v>74</v>
      </c>
      <c r="N455" t="s">
        <v>74</v>
      </c>
      <c r="O455" t="s">
        <v>74</v>
      </c>
      <c r="P455" t="s">
        <v>74</v>
      </c>
      <c r="Q455" t="s">
        <v>74</v>
      </c>
      <c r="R455" t="s">
        <v>74</v>
      </c>
      <c r="S455" t="s">
        <v>74</v>
      </c>
      <c r="T455" t="s">
        <v>74</v>
      </c>
      <c r="U455" t="s">
        <v>74</v>
      </c>
      <c r="V455" s="3" t="s">
        <v>4301</v>
      </c>
      <c r="W455" t="s">
        <v>74</v>
      </c>
      <c r="X455" t="s">
        <v>74</v>
      </c>
      <c r="Y455" t="s">
        <v>74</v>
      </c>
      <c r="Z455" t="s">
        <v>74</v>
      </c>
      <c r="AA455" t="s">
        <v>74</v>
      </c>
      <c r="AB455" t="s">
        <v>74</v>
      </c>
      <c r="AC455" t="s">
        <v>74</v>
      </c>
      <c r="AD455" t="s">
        <v>74</v>
      </c>
      <c r="AE455" t="s">
        <v>74</v>
      </c>
      <c r="AF455" t="s">
        <v>74</v>
      </c>
      <c r="AG455" t="s">
        <v>74</v>
      </c>
      <c r="AH455" t="s">
        <v>74</v>
      </c>
      <c r="AI455" t="s">
        <v>74</v>
      </c>
      <c r="AJ455" t="s">
        <v>74</v>
      </c>
      <c r="AK455" t="s">
        <v>74</v>
      </c>
      <c r="AL455" t="s">
        <v>74</v>
      </c>
      <c r="AM455" t="s">
        <v>74</v>
      </c>
      <c r="AN455" t="s">
        <v>74</v>
      </c>
      <c r="AO455" t="s">
        <v>143</v>
      </c>
      <c r="AP455" t="s">
        <v>144</v>
      </c>
      <c r="AQ455" t="s">
        <v>74</v>
      </c>
      <c r="AR455" t="s">
        <v>74</v>
      </c>
      <c r="AS455" t="s">
        <v>74</v>
      </c>
      <c r="AT455" t="s">
        <v>305</v>
      </c>
      <c r="AU455">
        <v>2002</v>
      </c>
      <c r="AV455">
        <v>64</v>
      </c>
      <c r="AW455" t="s">
        <v>74</v>
      </c>
      <c r="AX455">
        <v>6</v>
      </c>
      <c r="AY455" t="s">
        <v>74</v>
      </c>
      <c r="AZ455" t="s">
        <v>74</v>
      </c>
      <c r="BA455" t="s">
        <v>74</v>
      </c>
      <c r="BB455">
        <v>851</v>
      </c>
      <c r="BC455">
        <v>859</v>
      </c>
      <c r="BD455" t="s">
        <v>74</v>
      </c>
      <c r="BE455" t="s">
        <v>4302</v>
      </c>
      <c r="BF455" t="str">
        <f>HYPERLINK("http://dx.doi.org/10.1006/anbe.2003.2002","http://dx.doi.org/10.1006/anbe.2003.2002")</f>
        <v>http://dx.doi.org/10.1006/anbe.2003.2002</v>
      </c>
      <c r="BG455" t="s">
        <v>74</v>
      </c>
      <c r="BH455" t="s">
        <v>74</v>
      </c>
      <c r="BI455" t="s">
        <v>74</v>
      </c>
      <c r="BJ455" t="s">
        <v>74</v>
      </c>
      <c r="BK455" t="s">
        <v>74</v>
      </c>
      <c r="BL455" t="s">
        <v>74</v>
      </c>
      <c r="BM455" t="s">
        <v>74</v>
      </c>
      <c r="BN455" t="s">
        <v>74</v>
      </c>
      <c r="BO455" t="s">
        <v>74</v>
      </c>
      <c r="BP455" t="s">
        <v>74</v>
      </c>
      <c r="BQ455" t="s">
        <v>74</v>
      </c>
      <c r="BR455" t="s">
        <v>74</v>
      </c>
      <c r="BS455" t="s">
        <v>4303</v>
      </c>
      <c r="BT455" t="str">
        <f>HYPERLINK("https%3A%2F%2Fwww.webofscience.com%2Fwos%2Fwoscc%2Ffull-record%2FWOS:000180910400003","View Full Record in Web of Science")</f>
        <v>View Full Record in Web of Science</v>
      </c>
    </row>
    <row r="456" spans="1:72" x14ac:dyDescent="0.4">
      <c r="A456" t="s">
        <v>72</v>
      </c>
      <c r="B456" t="s">
        <v>7566</v>
      </c>
      <c r="C456" t="s">
        <v>74</v>
      </c>
      <c r="D456" t="s">
        <v>74</v>
      </c>
      <c r="E456" t="s">
        <v>74</v>
      </c>
      <c r="F456" t="s">
        <v>7566</v>
      </c>
      <c r="G456" t="s">
        <v>74</v>
      </c>
      <c r="H456" t="s">
        <v>74</v>
      </c>
      <c r="I456" t="s">
        <v>7567</v>
      </c>
      <c r="J456" t="s">
        <v>140</v>
      </c>
      <c r="K456" t="s">
        <v>74</v>
      </c>
      <c r="L456" t="s">
        <v>74</v>
      </c>
      <c r="M456" t="s">
        <v>74</v>
      </c>
      <c r="N456" t="s">
        <v>74</v>
      </c>
      <c r="O456" t="s">
        <v>74</v>
      </c>
      <c r="P456" t="s">
        <v>74</v>
      </c>
      <c r="Q456" t="s">
        <v>74</v>
      </c>
      <c r="R456" t="s">
        <v>74</v>
      </c>
      <c r="S456" t="s">
        <v>74</v>
      </c>
      <c r="T456" t="s">
        <v>74</v>
      </c>
      <c r="U456" t="s">
        <v>74</v>
      </c>
      <c r="V456" s="3" t="s">
        <v>7568</v>
      </c>
      <c r="W456" t="s">
        <v>74</v>
      </c>
      <c r="X456" t="s">
        <v>74</v>
      </c>
      <c r="Y456" t="s">
        <v>74</v>
      </c>
      <c r="Z456" t="s">
        <v>74</v>
      </c>
      <c r="AA456" t="s">
        <v>74</v>
      </c>
      <c r="AB456" t="s">
        <v>74</v>
      </c>
      <c r="AC456" t="s">
        <v>74</v>
      </c>
      <c r="AD456" t="s">
        <v>74</v>
      </c>
      <c r="AE456" t="s">
        <v>74</v>
      </c>
      <c r="AF456" t="s">
        <v>74</v>
      </c>
      <c r="AG456" t="s">
        <v>74</v>
      </c>
      <c r="AH456" t="s">
        <v>74</v>
      </c>
      <c r="AI456" t="s">
        <v>74</v>
      </c>
      <c r="AJ456" t="s">
        <v>74</v>
      </c>
      <c r="AK456" t="s">
        <v>74</v>
      </c>
      <c r="AL456" t="s">
        <v>74</v>
      </c>
      <c r="AM456" t="s">
        <v>74</v>
      </c>
      <c r="AN456" t="s">
        <v>74</v>
      </c>
      <c r="AO456" t="s">
        <v>143</v>
      </c>
      <c r="AP456" t="s">
        <v>144</v>
      </c>
      <c r="AQ456" t="s">
        <v>74</v>
      </c>
      <c r="AR456" t="s">
        <v>74</v>
      </c>
      <c r="AS456" t="s">
        <v>74</v>
      </c>
      <c r="AT456" t="s">
        <v>123</v>
      </c>
      <c r="AU456">
        <v>2001</v>
      </c>
      <c r="AV456">
        <v>61</v>
      </c>
      <c r="AW456" t="s">
        <v>74</v>
      </c>
      <c r="AX456">
        <v>3</v>
      </c>
      <c r="AY456" t="s">
        <v>74</v>
      </c>
      <c r="AZ456" t="s">
        <v>74</v>
      </c>
      <c r="BA456" t="s">
        <v>74</v>
      </c>
      <c r="BB456">
        <v>567</v>
      </c>
      <c r="BC456">
        <v>577</v>
      </c>
      <c r="BD456" t="s">
        <v>74</v>
      </c>
      <c r="BE456" t="s">
        <v>7569</v>
      </c>
      <c r="BF456" t="str">
        <f>HYPERLINK("http://dx.doi.org/10.1006/anbe.2000.1642","http://dx.doi.org/10.1006/anbe.2000.1642")</f>
        <v>http://dx.doi.org/10.1006/anbe.2000.1642</v>
      </c>
      <c r="BG456" t="s">
        <v>74</v>
      </c>
      <c r="BH456" t="s">
        <v>74</v>
      </c>
      <c r="BI456" t="s">
        <v>74</v>
      </c>
      <c r="BJ456" t="s">
        <v>74</v>
      </c>
      <c r="BK456" t="s">
        <v>74</v>
      </c>
      <c r="BL456" t="s">
        <v>74</v>
      </c>
      <c r="BM456" t="s">
        <v>74</v>
      </c>
      <c r="BN456" t="s">
        <v>74</v>
      </c>
      <c r="BO456" t="s">
        <v>74</v>
      </c>
      <c r="BP456" t="s">
        <v>74</v>
      </c>
      <c r="BQ456" t="s">
        <v>74</v>
      </c>
      <c r="BR456" t="s">
        <v>74</v>
      </c>
      <c r="BS456" t="s">
        <v>7570</v>
      </c>
      <c r="BT456" t="str">
        <f>HYPERLINK("https%3A%2F%2Fwww.webofscience.com%2Fwos%2Fwoscc%2Ffull-record%2FWOS:000167990100006","View Full Record in Web of Science")</f>
        <v>View Full Record in Web of Science</v>
      </c>
    </row>
    <row r="457" spans="1:72" x14ac:dyDescent="0.4">
      <c r="A457" t="s">
        <v>72</v>
      </c>
      <c r="B457" t="s">
        <v>1763</v>
      </c>
      <c r="C457" t="s">
        <v>74</v>
      </c>
      <c r="D457" t="s">
        <v>74</v>
      </c>
      <c r="E457" t="s">
        <v>74</v>
      </c>
      <c r="F457" t="s">
        <v>1764</v>
      </c>
      <c r="G457" t="s">
        <v>74</v>
      </c>
      <c r="H457" t="s">
        <v>74</v>
      </c>
      <c r="I457" t="s">
        <v>1765</v>
      </c>
      <c r="J457" t="s">
        <v>775</v>
      </c>
      <c r="K457" t="s">
        <v>74</v>
      </c>
      <c r="L457" t="s">
        <v>74</v>
      </c>
      <c r="M457" t="s">
        <v>74</v>
      </c>
      <c r="N457" t="s">
        <v>74</v>
      </c>
      <c r="O457" t="s">
        <v>74</v>
      </c>
      <c r="P457" t="s">
        <v>74</v>
      </c>
      <c r="Q457" t="s">
        <v>74</v>
      </c>
      <c r="R457" t="s">
        <v>74</v>
      </c>
      <c r="S457" t="s">
        <v>74</v>
      </c>
      <c r="T457" t="s">
        <v>74</v>
      </c>
      <c r="U457" t="s">
        <v>74</v>
      </c>
      <c r="V457" s="3" t="s">
        <v>1766</v>
      </c>
      <c r="W457" t="s">
        <v>74</v>
      </c>
      <c r="X457" t="s">
        <v>74</v>
      </c>
      <c r="Y457" t="s">
        <v>74</v>
      </c>
      <c r="Z457" t="s">
        <v>74</v>
      </c>
      <c r="AA457" t="s">
        <v>1767</v>
      </c>
      <c r="AB457" t="s">
        <v>1768</v>
      </c>
      <c r="AC457" t="s">
        <v>74</v>
      </c>
      <c r="AD457" t="s">
        <v>74</v>
      </c>
      <c r="AE457" t="s">
        <v>74</v>
      </c>
      <c r="AF457" t="s">
        <v>74</v>
      </c>
      <c r="AG457" t="s">
        <v>74</v>
      </c>
      <c r="AH457" t="s">
        <v>74</v>
      </c>
      <c r="AI457" t="s">
        <v>74</v>
      </c>
      <c r="AJ457" t="s">
        <v>74</v>
      </c>
      <c r="AK457" t="s">
        <v>74</v>
      </c>
      <c r="AL457" t="s">
        <v>74</v>
      </c>
      <c r="AM457" t="s">
        <v>74</v>
      </c>
      <c r="AN457" t="s">
        <v>74</v>
      </c>
      <c r="AO457" t="s">
        <v>778</v>
      </c>
      <c r="AP457" t="s">
        <v>779</v>
      </c>
      <c r="AQ457" t="s">
        <v>74</v>
      </c>
      <c r="AR457" t="s">
        <v>74</v>
      </c>
      <c r="AS457" t="s">
        <v>74</v>
      </c>
      <c r="AT457" t="s">
        <v>964</v>
      </c>
      <c r="AU457">
        <v>2016</v>
      </c>
      <c r="AV457">
        <v>62</v>
      </c>
      <c r="AW457">
        <v>1</v>
      </c>
      <c r="AX457" t="s">
        <v>74</v>
      </c>
      <c r="AY457" t="s">
        <v>74</v>
      </c>
      <c r="AZ457" t="s">
        <v>74</v>
      </c>
      <c r="BA457" t="s">
        <v>74</v>
      </c>
      <c r="BB457">
        <v>23</v>
      </c>
      <c r="BC457">
        <v>31</v>
      </c>
      <c r="BD457" t="s">
        <v>74</v>
      </c>
      <c r="BE457" t="s">
        <v>1769</v>
      </c>
      <c r="BF457" t="str">
        <f>HYPERLINK("http://dx.doi.org/10.1093/cz/zov009","http://dx.doi.org/10.1093/cz/zov009")</f>
        <v>http://dx.doi.org/10.1093/cz/zov009</v>
      </c>
      <c r="BG457" t="s">
        <v>74</v>
      </c>
      <c r="BH457" t="s">
        <v>74</v>
      </c>
      <c r="BI457" t="s">
        <v>74</v>
      </c>
      <c r="BJ457" t="s">
        <v>74</v>
      </c>
      <c r="BK457" t="s">
        <v>74</v>
      </c>
      <c r="BL457" t="s">
        <v>74</v>
      </c>
      <c r="BM457" t="s">
        <v>74</v>
      </c>
      <c r="BN457">
        <v>29491887</v>
      </c>
      <c r="BO457" t="s">
        <v>74</v>
      </c>
      <c r="BP457" t="s">
        <v>74</v>
      </c>
      <c r="BQ457" t="s">
        <v>74</v>
      </c>
      <c r="BR457" t="s">
        <v>74</v>
      </c>
      <c r="BS457" t="s">
        <v>1770</v>
      </c>
      <c r="BT457" t="str">
        <f>HYPERLINK("https%3A%2F%2Fwww.webofscience.com%2Fwos%2Fwoscc%2Ffull-record%2FWOS:000374258900004","View Full Record in Web of Science")</f>
        <v>View Full Record in Web of Science</v>
      </c>
    </row>
    <row r="458" spans="1:72" x14ac:dyDescent="0.4">
      <c r="A458" t="s">
        <v>72</v>
      </c>
      <c r="B458" t="s">
        <v>7706</v>
      </c>
      <c r="C458" t="s">
        <v>74</v>
      </c>
      <c r="D458" t="s">
        <v>74</v>
      </c>
      <c r="E458" t="s">
        <v>74</v>
      </c>
      <c r="F458" t="s">
        <v>7706</v>
      </c>
      <c r="G458" t="s">
        <v>74</v>
      </c>
      <c r="H458" t="s">
        <v>74</v>
      </c>
      <c r="I458" t="s">
        <v>7707</v>
      </c>
      <c r="J458" t="s">
        <v>1526</v>
      </c>
      <c r="K458" t="s">
        <v>74</v>
      </c>
      <c r="L458" t="s">
        <v>74</v>
      </c>
      <c r="M458" t="s">
        <v>74</v>
      </c>
      <c r="N458" t="s">
        <v>74</v>
      </c>
      <c r="O458" t="s">
        <v>74</v>
      </c>
      <c r="P458" t="s">
        <v>74</v>
      </c>
      <c r="Q458" t="s">
        <v>74</v>
      </c>
      <c r="R458" t="s">
        <v>74</v>
      </c>
      <c r="S458" t="s">
        <v>74</v>
      </c>
      <c r="T458" t="s">
        <v>74</v>
      </c>
      <c r="U458" t="s">
        <v>74</v>
      </c>
      <c r="V458" s="3" t="s">
        <v>7708</v>
      </c>
      <c r="W458" t="s">
        <v>74</v>
      </c>
      <c r="X458" t="s">
        <v>74</v>
      </c>
      <c r="Y458" t="s">
        <v>74</v>
      </c>
      <c r="Z458" t="s">
        <v>74</v>
      </c>
      <c r="AA458" t="s">
        <v>5351</v>
      </c>
      <c r="AB458" t="s">
        <v>6109</v>
      </c>
      <c r="AC458" t="s">
        <v>74</v>
      </c>
      <c r="AD458" t="s">
        <v>74</v>
      </c>
      <c r="AE458" t="s">
        <v>74</v>
      </c>
      <c r="AF458" t="s">
        <v>74</v>
      </c>
      <c r="AG458" t="s">
        <v>74</v>
      </c>
      <c r="AH458" t="s">
        <v>74</v>
      </c>
      <c r="AI458" t="s">
        <v>74</v>
      </c>
      <c r="AJ458" t="s">
        <v>74</v>
      </c>
      <c r="AK458" t="s">
        <v>74</v>
      </c>
      <c r="AL458" t="s">
        <v>74</v>
      </c>
      <c r="AM458" t="s">
        <v>74</v>
      </c>
      <c r="AN458" t="s">
        <v>74</v>
      </c>
      <c r="AO458" t="s">
        <v>1528</v>
      </c>
      <c r="AP458" t="s">
        <v>2131</v>
      </c>
      <c r="AQ458" t="s">
        <v>74</v>
      </c>
      <c r="AR458" t="s">
        <v>74</v>
      </c>
      <c r="AS458" t="s">
        <v>74</v>
      </c>
      <c r="AT458" t="s">
        <v>145</v>
      </c>
      <c r="AU458">
        <v>1994</v>
      </c>
      <c r="AV458">
        <v>96</v>
      </c>
      <c r="AW458">
        <v>3</v>
      </c>
      <c r="AX458" t="s">
        <v>74</v>
      </c>
      <c r="AY458" t="s">
        <v>74</v>
      </c>
      <c r="AZ458" t="s">
        <v>74</v>
      </c>
      <c r="BA458" t="s">
        <v>74</v>
      </c>
      <c r="BB458">
        <v>626</v>
      </c>
      <c r="BC458">
        <v>630</v>
      </c>
      <c r="BD458" t="s">
        <v>74</v>
      </c>
      <c r="BE458" t="s">
        <v>7709</v>
      </c>
      <c r="BF458" t="str">
        <f>HYPERLINK("http://dx.doi.org/10.2307/1369465","http://dx.doi.org/10.2307/1369465")</f>
        <v>http://dx.doi.org/10.2307/1369465</v>
      </c>
      <c r="BG458" t="s">
        <v>74</v>
      </c>
      <c r="BH458" t="s">
        <v>74</v>
      </c>
      <c r="BI458" t="s">
        <v>74</v>
      </c>
      <c r="BJ458" t="s">
        <v>74</v>
      </c>
      <c r="BK458" t="s">
        <v>74</v>
      </c>
      <c r="BL458" t="s">
        <v>74</v>
      </c>
      <c r="BM458" t="s">
        <v>74</v>
      </c>
      <c r="BN458" t="s">
        <v>74</v>
      </c>
      <c r="BO458" t="s">
        <v>74</v>
      </c>
      <c r="BP458" t="s">
        <v>74</v>
      </c>
      <c r="BQ458" t="s">
        <v>74</v>
      </c>
      <c r="BR458" t="s">
        <v>74</v>
      </c>
      <c r="BS458" t="s">
        <v>7710</v>
      </c>
      <c r="BT458" t="str">
        <f>HYPERLINK("https%3A%2F%2Fwww.webofscience.com%2Fwos%2Fwoscc%2Ffull-record%2FWOS:A1994PE53800006","View Full Record in Web of Science")</f>
        <v>View Full Record in Web of Science</v>
      </c>
    </row>
    <row r="459" spans="1:72" x14ac:dyDescent="0.4">
      <c r="A459" t="s">
        <v>72</v>
      </c>
      <c r="B459" t="s">
        <v>1937</v>
      </c>
      <c r="C459" t="s">
        <v>74</v>
      </c>
      <c r="D459" t="s">
        <v>74</v>
      </c>
      <c r="E459" t="s">
        <v>74</v>
      </c>
      <c r="F459" t="s">
        <v>1938</v>
      </c>
      <c r="G459" t="s">
        <v>74</v>
      </c>
      <c r="H459" t="s">
        <v>74</v>
      </c>
      <c r="I459" t="s">
        <v>1939</v>
      </c>
      <c r="J459" t="s">
        <v>1044</v>
      </c>
      <c r="K459" t="s">
        <v>74</v>
      </c>
      <c r="L459" t="s">
        <v>74</v>
      </c>
      <c r="M459" t="s">
        <v>74</v>
      </c>
      <c r="N459" t="s">
        <v>74</v>
      </c>
      <c r="O459" t="s">
        <v>74</v>
      </c>
      <c r="P459" t="s">
        <v>74</v>
      </c>
      <c r="Q459" t="s">
        <v>74</v>
      </c>
      <c r="R459" t="s">
        <v>74</v>
      </c>
      <c r="S459" t="s">
        <v>74</v>
      </c>
      <c r="T459" t="s">
        <v>74</v>
      </c>
      <c r="U459" t="s">
        <v>74</v>
      </c>
      <c r="V459" s="3" t="s">
        <v>1940</v>
      </c>
      <c r="W459" t="s">
        <v>74</v>
      </c>
      <c r="X459" t="s">
        <v>74</v>
      </c>
      <c r="Y459" t="s">
        <v>74</v>
      </c>
      <c r="Z459" t="s">
        <v>74</v>
      </c>
      <c r="AA459" t="s">
        <v>1941</v>
      </c>
      <c r="AB459" t="s">
        <v>1942</v>
      </c>
      <c r="AC459" t="s">
        <v>74</v>
      </c>
      <c r="AD459" t="s">
        <v>74</v>
      </c>
      <c r="AE459" t="s">
        <v>74</v>
      </c>
      <c r="AF459" t="s">
        <v>74</v>
      </c>
      <c r="AG459" t="s">
        <v>74</v>
      </c>
      <c r="AH459" t="s">
        <v>74</v>
      </c>
      <c r="AI459" t="s">
        <v>74</v>
      </c>
      <c r="AJ459" t="s">
        <v>74</v>
      </c>
      <c r="AK459" t="s">
        <v>74</v>
      </c>
      <c r="AL459" t="s">
        <v>74</v>
      </c>
      <c r="AM459" t="s">
        <v>74</v>
      </c>
      <c r="AN459" t="s">
        <v>74</v>
      </c>
      <c r="AO459" t="s">
        <v>1048</v>
      </c>
      <c r="AP459" t="s">
        <v>1049</v>
      </c>
      <c r="AQ459" t="s">
        <v>74</v>
      </c>
      <c r="AR459" t="s">
        <v>74</v>
      </c>
      <c r="AS459" t="s">
        <v>74</v>
      </c>
      <c r="AT459" t="s">
        <v>305</v>
      </c>
      <c r="AU459">
        <v>2020</v>
      </c>
      <c r="AV459">
        <v>29</v>
      </c>
      <c r="AW459">
        <v>24</v>
      </c>
      <c r="AX459" t="s">
        <v>74</v>
      </c>
      <c r="AY459" t="s">
        <v>74</v>
      </c>
      <c r="AZ459" t="s">
        <v>74</v>
      </c>
      <c r="BA459" t="s">
        <v>74</v>
      </c>
      <c r="BB459">
        <v>4942</v>
      </c>
      <c r="BC459">
        <v>4955</v>
      </c>
      <c r="BD459" t="s">
        <v>74</v>
      </c>
      <c r="BE459" t="s">
        <v>1943</v>
      </c>
      <c r="BF459" t="str">
        <f>HYPERLINK("http://dx.doi.org/10.1111/mec.15682","http://dx.doi.org/10.1111/mec.15682")</f>
        <v>http://dx.doi.org/10.1111/mec.15682</v>
      </c>
      <c r="BG459" t="s">
        <v>74</v>
      </c>
      <c r="BH459" t="s">
        <v>1944</v>
      </c>
      <c r="BI459" t="s">
        <v>74</v>
      </c>
      <c r="BJ459" t="s">
        <v>74</v>
      </c>
      <c r="BK459" t="s">
        <v>74</v>
      </c>
      <c r="BL459" t="s">
        <v>74</v>
      </c>
      <c r="BM459" t="s">
        <v>74</v>
      </c>
      <c r="BN459">
        <v>33051915</v>
      </c>
      <c r="BO459" t="s">
        <v>74</v>
      </c>
      <c r="BP459" t="s">
        <v>74</v>
      </c>
      <c r="BQ459" t="s">
        <v>74</v>
      </c>
      <c r="BR459" t="s">
        <v>74</v>
      </c>
      <c r="BS459" t="s">
        <v>1945</v>
      </c>
      <c r="BT459" t="str">
        <f>HYPERLINK("https%3A%2F%2Fwww.webofscience.com%2Fwos%2Fwoscc%2Ffull-record%2FWOS:000586619500001","View Full Record in Web of Science")</f>
        <v>View Full Record in Web of Science</v>
      </c>
    </row>
    <row r="460" spans="1:72" x14ac:dyDescent="0.4">
      <c r="A460" t="s">
        <v>72</v>
      </c>
      <c r="B460" t="s">
        <v>4970</v>
      </c>
      <c r="C460" t="s">
        <v>74</v>
      </c>
      <c r="D460" t="s">
        <v>74</v>
      </c>
      <c r="E460" t="s">
        <v>74</v>
      </c>
      <c r="F460" t="s">
        <v>4970</v>
      </c>
      <c r="G460" t="s">
        <v>74</v>
      </c>
      <c r="H460" t="s">
        <v>74</v>
      </c>
      <c r="I460" t="s">
        <v>4971</v>
      </c>
      <c r="J460" t="s">
        <v>281</v>
      </c>
      <c r="K460" t="s">
        <v>74</v>
      </c>
      <c r="L460" t="s">
        <v>74</v>
      </c>
      <c r="M460" t="s">
        <v>74</v>
      </c>
      <c r="N460" t="s">
        <v>74</v>
      </c>
      <c r="O460" t="s">
        <v>74</v>
      </c>
      <c r="P460" t="s">
        <v>74</v>
      </c>
      <c r="Q460" t="s">
        <v>74</v>
      </c>
      <c r="R460" t="s">
        <v>74</v>
      </c>
      <c r="S460" t="s">
        <v>74</v>
      </c>
      <c r="T460" t="s">
        <v>74</v>
      </c>
      <c r="U460" t="s">
        <v>74</v>
      </c>
      <c r="V460" s="3" t="s">
        <v>4972</v>
      </c>
      <c r="W460" t="s">
        <v>74</v>
      </c>
      <c r="X460" t="s">
        <v>74</v>
      </c>
      <c r="Y460" t="s">
        <v>74</v>
      </c>
      <c r="Z460" t="s">
        <v>74</v>
      </c>
      <c r="AA460" t="s">
        <v>74</v>
      </c>
      <c r="AB460" t="s">
        <v>4973</v>
      </c>
      <c r="AC460" t="s">
        <v>74</v>
      </c>
      <c r="AD460" t="s">
        <v>74</v>
      </c>
      <c r="AE460" t="s">
        <v>74</v>
      </c>
      <c r="AF460" t="s">
        <v>74</v>
      </c>
      <c r="AG460" t="s">
        <v>74</v>
      </c>
      <c r="AH460" t="s">
        <v>74</v>
      </c>
      <c r="AI460" t="s">
        <v>74</v>
      </c>
      <c r="AJ460" t="s">
        <v>74</v>
      </c>
      <c r="AK460" t="s">
        <v>74</v>
      </c>
      <c r="AL460" t="s">
        <v>74</v>
      </c>
      <c r="AM460" t="s">
        <v>74</v>
      </c>
      <c r="AN460" t="s">
        <v>74</v>
      </c>
      <c r="AO460" t="s">
        <v>285</v>
      </c>
      <c r="AP460" t="s">
        <v>286</v>
      </c>
      <c r="AQ460" t="s">
        <v>74</v>
      </c>
      <c r="AR460" t="s">
        <v>74</v>
      </c>
      <c r="AS460" t="s">
        <v>74</v>
      </c>
      <c r="AT460" t="s">
        <v>204</v>
      </c>
      <c r="AU460">
        <v>2005</v>
      </c>
      <c r="AV460">
        <v>8</v>
      </c>
      <c r="AW460">
        <v>3</v>
      </c>
      <c r="AX460" t="s">
        <v>74</v>
      </c>
      <c r="AY460" t="s">
        <v>74</v>
      </c>
      <c r="AZ460" t="s">
        <v>74</v>
      </c>
      <c r="BA460" t="s">
        <v>74</v>
      </c>
      <c r="BB460">
        <v>211</v>
      </c>
      <c r="BC460">
        <v>214</v>
      </c>
      <c r="BD460" t="s">
        <v>74</v>
      </c>
      <c r="BE460" t="s">
        <v>4974</v>
      </c>
      <c r="BF460" t="str">
        <f>HYPERLINK("http://dx.doi.org/10.1007/s10071-004-0249-4","http://dx.doi.org/10.1007/s10071-004-0249-4")</f>
        <v>http://dx.doi.org/10.1007/s10071-004-0249-4</v>
      </c>
      <c r="BG460" t="s">
        <v>74</v>
      </c>
      <c r="BH460" t="s">
        <v>74</v>
      </c>
      <c r="BI460" t="s">
        <v>74</v>
      </c>
      <c r="BJ460" t="s">
        <v>74</v>
      </c>
      <c r="BK460" t="s">
        <v>74</v>
      </c>
      <c r="BL460" t="s">
        <v>74</v>
      </c>
      <c r="BM460" t="s">
        <v>74</v>
      </c>
      <c r="BN460">
        <v>15611879</v>
      </c>
      <c r="BO460" t="s">
        <v>74</v>
      </c>
      <c r="BP460" t="s">
        <v>74</v>
      </c>
      <c r="BQ460" t="s">
        <v>74</v>
      </c>
      <c r="BR460" t="s">
        <v>74</v>
      </c>
      <c r="BS460" t="s">
        <v>4975</v>
      </c>
      <c r="BT460" t="str">
        <f>HYPERLINK("https%3A%2F%2Fwww.webofscience.com%2Fwos%2Fwoscc%2Ffull-record%2FWOS:000231236200007","View Full Record in Web of Science")</f>
        <v>View Full Record in Web of Science</v>
      </c>
    </row>
    <row r="461" spans="1:72" x14ac:dyDescent="0.4">
      <c r="A461" t="s">
        <v>72</v>
      </c>
      <c r="B461" t="s">
        <v>4310</v>
      </c>
      <c r="C461" t="s">
        <v>74</v>
      </c>
      <c r="D461" t="s">
        <v>74</v>
      </c>
      <c r="E461" t="s">
        <v>74</v>
      </c>
      <c r="F461" t="s">
        <v>4310</v>
      </c>
      <c r="G461" t="s">
        <v>74</v>
      </c>
      <c r="H461" t="s">
        <v>74</v>
      </c>
      <c r="I461" t="s">
        <v>4311</v>
      </c>
      <c r="J461" t="s">
        <v>610</v>
      </c>
      <c r="K461" t="s">
        <v>74</v>
      </c>
      <c r="L461" t="s">
        <v>74</v>
      </c>
      <c r="M461" t="s">
        <v>74</v>
      </c>
      <c r="N461" t="s">
        <v>74</v>
      </c>
      <c r="O461" t="s">
        <v>74</v>
      </c>
      <c r="P461" t="s">
        <v>74</v>
      </c>
      <c r="Q461" t="s">
        <v>74</v>
      </c>
      <c r="R461" t="s">
        <v>74</v>
      </c>
      <c r="S461" t="s">
        <v>74</v>
      </c>
      <c r="T461" t="s">
        <v>74</v>
      </c>
      <c r="U461" t="s">
        <v>74</v>
      </c>
      <c r="V461" s="3" t="s">
        <v>4312</v>
      </c>
      <c r="W461" t="s">
        <v>74</v>
      </c>
      <c r="X461" t="s">
        <v>74</v>
      </c>
      <c r="Y461" t="s">
        <v>74</v>
      </c>
      <c r="Z461" t="s">
        <v>74</v>
      </c>
      <c r="AA461" t="s">
        <v>74</v>
      </c>
      <c r="AB461" t="s">
        <v>3979</v>
      </c>
      <c r="AC461" t="s">
        <v>74</v>
      </c>
      <c r="AD461" t="s">
        <v>74</v>
      </c>
      <c r="AE461" t="s">
        <v>74</v>
      </c>
      <c r="AF461" t="s">
        <v>74</v>
      </c>
      <c r="AG461" t="s">
        <v>74</v>
      </c>
      <c r="AH461" t="s">
        <v>74</v>
      </c>
      <c r="AI461" t="s">
        <v>74</v>
      </c>
      <c r="AJ461" t="s">
        <v>74</v>
      </c>
      <c r="AK461" t="s">
        <v>74</v>
      </c>
      <c r="AL461" t="s">
        <v>74</v>
      </c>
      <c r="AM461" t="s">
        <v>74</v>
      </c>
      <c r="AN461" t="s">
        <v>74</v>
      </c>
      <c r="AO461" t="s">
        <v>614</v>
      </c>
      <c r="AP461" t="s">
        <v>615</v>
      </c>
      <c r="AQ461" t="s">
        <v>74</v>
      </c>
      <c r="AR461" t="s">
        <v>74</v>
      </c>
      <c r="AS461" t="s">
        <v>74</v>
      </c>
      <c r="AT461" t="s">
        <v>134</v>
      </c>
      <c r="AU461">
        <v>1999</v>
      </c>
      <c r="AV461">
        <v>105</v>
      </c>
      <c r="AW461">
        <v>5</v>
      </c>
      <c r="AX461" t="s">
        <v>74</v>
      </c>
      <c r="AY461" t="s">
        <v>74</v>
      </c>
      <c r="AZ461" t="s">
        <v>74</v>
      </c>
      <c r="BA461" t="s">
        <v>74</v>
      </c>
      <c r="BB461">
        <v>431</v>
      </c>
      <c r="BC461">
        <v>438</v>
      </c>
      <c r="BD461" t="s">
        <v>74</v>
      </c>
      <c r="BE461" t="s">
        <v>4313</v>
      </c>
      <c r="BF461" t="str">
        <f>HYPERLINK("http://dx.doi.org/10.1046/j.1439-0310.1999.00400.x","http://dx.doi.org/10.1046/j.1439-0310.1999.00400.x")</f>
        <v>http://dx.doi.org/10.1046/j.1439-0310.1999.00400.x</v>
      </c>
      <c r="BG461" t="s">
        <v>74</v>
      </c>
      <c r="BH461" t="s">
        <v>74</v>
      </c>
      <c r="BI461" t="s">
        <v>74</v>
      </c>
      <c r="BJ461" t="s">
        <v>74</v>
      </c>
      <c r="BK461" t="s">
        <v>74</v>
      </c>
      <c r="BL461" t="s">
        <v>74</v>
      </c>
      <c r="BM461" t="s">
        <v>74</v>
      </c>
      <c r="BN461" t="s">
        <v>74</v>
      </c>
      <c r="BO461" t="s">
        <v>74</v>
      </c>
      <c r="BP461" t="s">
        <v>74</v>
      </c>
      <c r="BQ461" t="s">
        <v>74</v>
      </c>
      <c r="BR461" t="s">
        <v>74</v>
      </c>
      <c r="BS461" t="s">
        <v>4314</v>
      </c>
      <c r="BT461" t="str">
        <f>HYPERLINK("https%3A%2F%2Fwww.webofscience.com%2Fwos%2Fwoscc%2Ffull-record%2FWOS:000080438000006","View Full Record in Web of Science")</f>
        <v>View Full Record in Web of Science</v>
      </c>
    </row>
    <row r="462" spans="1:72" x14ac:dyDescent="0.4">
      <c r="A462" t="s">
        <v>72</v>
      </c>
      <c r="B462" t="s">
        <v>1599</v>
      </c>
      <c r="C462" t="s">
        <v>74</v>
      </c>
      <c r="D462" t="s">
        <v>74</v>
      </c>
      <c r="E462" t="s">
        <v>74</v>
      </c>
      <c r="F462" t="s">
        <v>1599</v>
      </c>
      <c r="G462" t="s">
        <v>74</v>
      </c>
      <c r="H462" t="s">
        <v>74</v>
      </c>
      <c r="I462" t="s">
        <v>1600</v>
      </c>
      <c r="J462" t="s">
        <v>1601</v>
      </c>
      <c r="K462" t="s">
        <v>74</v>
      </c>
      <c r="L462" t="s">
        <v>74</v>
      </c>
      <c r="M462" t="s">
        <v>74</v>
      </c>
      <c r="N462" t="s">
        <v>74</v>
      </c>
      <c r="O462" t="s">
        <v>74</v>
      </c>
      <c r="P462" t="s">
        <v>74</v>
      </c>
      <c r="Q462" t="s">
        <v>74</v>
      </c>
      <c r="R462" t="s">
        <v>74</v>
      </c>
      <c r="S462" t="s">
        <v>74</v>
      </c>
      <c r="T462" t="s">
        <v>74</v>
      </c>
      <c r="U462" t="s">
        <v>74</v>
      </c>
      <c r="V462" s="3" t="s">
        <v>1602</v>
      </c>
      <c r="W462" t="s">
        <v>74</v>
      </c>
      <c r="X462" t="s">
        <v>74</v>
      </c>
      <c r="Y462" t="s">
        <v>74</v>
      </c>
      <c r="Z462" t="s">
        <v>74</v>
      </c>
      <c r="AA462" t="s">
        <v>74</v>
      </c>
      <c r="AB462" t="s">
        <v>74</v>
      </c>
      <c r="AC462" t="s">
        <v>74</v>
      </c>
      <c r="AD462" t="s">
        <v>74</v>
      </c>
      <c r="AE462" t="s">
        <v>74</v>
      </c>
      <c r="AF462" t="s">
        <v>74</v>
      </c>
      <c r="AG462" t="s">
        <v>74</v>
      </c>
      <c r="AH462" t="s">
        <v>74</v>
      </c>
      <c r="AI462" t="s">
        <v>74</v>
      </c>
      <c r="AJ462" t="s">
        <v>74</v>
      </c>
      <c r="AK462" t="s">
        <v>74</v>
      </c>
      <c r="AL462" t="s">
        <v>74</v>
      </c>
      <c r="AM462" t="s">
        <v>74</v>
      </c>
      <c r="AN462" t="s">
        <v>74</v>
      </c>
      <c r="AO462" t="s">
        <v>1603</v>
      </c>
      <c r="AP462" t="s">
        <v>74</v>
      </c>
      <c r="AQ462" t="s">
        <v>74</v>
      </c>
      <c r="AR462" t="s">
        <v>74</v>
      </c>
      <c r="AS462" t="s">
        <v>74</v>
      </c>
      <c r="AT462" t="s">
        <v>352</v>
      </c>
      <c r="AU462">
        <v>1999</v>
      </c>
      <c r="AV462">
        <v>106</v>
      </c>
      <c r="AW462">
        <v>3</v>
      </c>
      <c r="AX462" t="s">
        <v>74</v>
      </c>
      <c r="AY462" t="s">
        <v>74</v>
      </c>
      <c r="AZ462" t="s">
        <v>74</v>
      </c>
      <c r="BA462" t="s">
        <v>74</v>
      </c>
      <c r="BB462">
        <v>643</v>
      </c>
      <c r="BC462">
        <v>661</v>
      </c>
      <c r="BD462" t="s">
        <v>74</v>
      </c>
      <c r="BE462" t="s">
        <v>1604</v>
      </c>
      <c r="BF462" t="str">
        <f>HYPERLINK("http://dx.doi.org/10.5962/bhl.part.80100","http://dx.doi.org/10.5962/bhl.part.80100")</f>
        <v>http://dx.doi.org/10.5962/bhl.part.80100</v>
      </c>
      <c r="BG462" t="s">
        <v>74</v>
      </c>
      <c r="BH462" t="s">
        <v>74</v>
      </c>
      <c r="BI462" t="s">
        <v>74</v>
      </c>
      <c r="BJ462" t="s">
        <v>74</v>
      </c>
      <c r="BK462" t="s">
        <v>74</v>
      </c>
      <c r="BL462" t="s">
        <v>74</v>
      </c>
      <c r="BM462" t="s">
        <v>74</v>
      </c>
      <c r="BN462" t="s">
        <v>74</v>
      </c>
      <c r="BO462" t="s">
        <v>74</v>
      </c>
      <c r="BP462" t="s">
        <v>74</v>
      </c>
      <c r="BQ462" t="s">
        <v>74</v>
      </c>
      <c r="BR462" t="s">
        <v>74</v>
      </c>
      <c r="BS462" t="s">
        <v>1605</v>
      </c>
      <c r="BT462" t="str">
        <f>HYPERLINK("https%3A%2F%2Fwww.webofscience.com%2Fwos%2Fwoscc%2Ffull-record%2FWOS:000082969900010","View Full Record in Web of Science")</f>
        <v>View Full Record in Web of Science</v>
      </c>
    </row>
    <row r="463" spans="1:72" x14ac:dyDescent="0.4">
      <c r="A463" t="s">
        <v>72</v>
      </c>
      <c r="B463" t="s">
        <v>3709</v>
      </c>
      <c r="C463" t="s">
        <v>74</v>
      </c>
      <c r="D463" t="s">
        <v>74</v>
      </c>
      <c r="E463" t="s">
        <v>74</v>
      </c>
      <c r="F463" t="s">
        <v>3710</v>
      </c>
      <c r="G463" t="s">
        <v>74</v>
      </c>
      <c r="H463" t="s">
        <v>74</v>
      </c>
      <c r="I463" t="s">
        <v>3711</v>
      </c>
      <c r="J463" t="s">
        <v>1656</v>
      </c>
      <c r="K463" t="s">
        <v>74</v>
      </c>
      <c r="L463" t="s">
        <v>74</v>
      </c>
      <c r="M463" t="s">
        <v>74</v>
      </c>
      <c r="N463" t="s">
        <v>74</v>
      </c>
      <c r="O463" t="s">
        <v>74</v>
      </c>
      <c r="P463" t="s">
        <v>74</v>
      </c>
      <c r="Q463" t="s">
        <v>74</v>
      </c>
      <c r="R463" t="s">
        <v>74</v>
      </c>
      <c r="S463" t="s">
        <v>74</v>
      </c>
      <c r="T463" t="s">
        <v>74</v>
      </c>
      <c r="U463" t="s">
        <v>74</v>
      </c>
      <c r="V463" s="3" t="s">
        <v>3712</v>
      </c>
      <c r="W463" t="s">
        <v>74</v>
      </c>
      <c r="X463" t="s">
        <v>74</v>
      </c>
      <c r="Y463" t="s">
        <v>74</v>
      </c>
      <c r="Z463" t="s">
        <v>74</v>
      </c>
      <c r="AA463" t="s">
        <v>3713</v>
      </c>
      <c r="AB463" t="s">
        <v>3714</v>
      </c>
      <c r="AC463" t="s">
        <v>74</v>
      </c>
      <c r="AD463" t="s">
        <v>74</v>
      </c>
      <c r="AE463" t="s">
        <v>74</v>
      </c>
      <c r="AF463" t="s">
        <v>74</v>
      </c>
      <c r="AG463" t="s">
        <v>74</v>
      </c>
      <c r="AH463" t="s">
        <v>74</v>
      </c>
      <c r="AI463" t="s">
        <v>74</v>
      </c>
      <c r="AJ463" t="s">
        <v>74</v>
      </c>
      <c r="AK463" t="s">
        <v>74</v>
      </c>
      <c r="AL463" t="s">
        <v>74</v>
      </c>
      <c r="AM463" t="s">
        <v>74</v>
      </c>
      <c r="AN463" t="s">
        <v>74</v>
      </c>
      <c r="AO463" t="s">
        <v>1658</v>
      </c>
      <c r="AP463" t="s">
        <v>1659</v>
      </c>
      <c r="AQ463" t="s">
        <v>74</v>
      </c>
      <c r="AR463" t="s">
        <v>74</v>
      </c>
      <c r="AS463" t="s">
        <v>74</v>
      </c>
      <c r="AT463" t="s">
        <v>1629</v>
      </c>
      <c r="AU463">
        <v>2018</v>
      </c>
      <c r="AV463">
        <v>4471</v>
      </c>
      <c r="AW463">
        <v>1</v>
      </c>
      <c r="AX463" t="s">
        <v>74</v>
      </c>
      <c r="AY463" t="s">
        <v>74</v>
      </c>
      <c r="AZ463" t="s">
        <v>74</v>
      </c>
      <c r="BA463" t="s">
        <v>74</v>
      </c>
      <c r="BB463">
        <v>137</v>
      </c>
      <c r="BC463">
        <v>153</v>
      </c>
      <c r="BD463" t="s">
        <v>74</v>
      </c>
      <c r="BE463" t="s">
        <v>3715</v>
      </c>
      <c r="BF463" t="str">
        <f>HYPERLINK("http://dx.doi.org/10.11646/zootaxa.4471.1.6","http://dx.doi.org/10.11646/zootaxa.4471.1.6")</f>
        <v>http://dx.doi.org/10.11646/zootaxa.4471.1.6</v>
      </c>
      <c r="BG463" t="s">
        <v>74</v>
      </c>
      <c r="BH463" t="s">
        <v>74</v>
      </c>
      <c r="BI463" t="s">
        <v>74</v>
      </c>
      <c r="BJ463" t="s">
        <v>74</v>
      </c>
      <c r="BK463" t="s">
        <v>74</v>
      </c>
      <c r="BL463" t="s">
        <v>74</v>
      </c>
      <c r="BM463" t="s">
        <v>74</v>
      </c>
      <c r="BN463">
        <v>30313421</v>
      </c>
      <c r="BO463" t="s">
        <v>74</v>
      </c>
      <c r="BP463" t="s">
        <v>74</v>
      </c>
      <c r="BQ463" t="s">
        <v>74</v>
      </c>
      <c r="BR463" t="s">
        <v>74</v>
      </c>
      <c r="BS463" t="s">
        <v>3716</v>
      </c>
      <c r="BT463" t="str">
        <f>HYPERLINK("https%3A%2F%2Fwww.webofscience.com%2Fwos%2Fwoscc%2Ffull-record%2FWOS:000443458800006","View Full Record in Web of Science")</f>
        <v>View Full Record in Web of Science</v>
      </c>
    </row>
    <row r="464" spans="1:72" x14ac:dyDescent="0.4">
      <c r="A464" t="s">
        <v>72</v>
      </c>
      <c r="B464" t="s">
        <v>3703</v>
      </c>
      <c r="C464" t="s">
        <v>74</v>
      </c>
      <c r="D464" t="s">
        <v>74</v>
      </c>
      <c r="E464" t="s">
        <v>74</v>
      </c>
      <c r="F464" t="s">
        <v>3703</v>
      </c>
      <c r="G464" t="s">
        <v>74</v>
      </c>
      <c r="H464" t="s">
        <v>74</v>
      </c>
      <c r="I464" t="s">
        <v>3704</v>
      </c>
      <c r="J464" t="s">
        <v>763</v>
      </c>
      <c r="K464" t="s">
        <v>74</v>
      </c>
      <c r="L464" t="s">
        <v>74</v>
      </c>
      <c r="M464" t="s">
        <v>74</v>
      </c>
      <c r="N464" t="s">
        <v>74</v>
      </c>
      <c r="O464" t="s">
        <v>74</v>
      </c>
      <c r="P464" t="s">
        <v>74</v>
      </c>
      <c r="Q464" t="s">
        <v>74</v>
      </c>
      <c r="R464" t="s">
        <v>74</v>
      </c>
      <c r="S464" t="s">
        <v>74</v>
      </c>
      <c r="T464" t="s">
        <v>74</v>
      </c>
      <c r="U464" t="s">
        <v>74</v>
      </c>
      <c r="V464" s="3" t="s">
        <v>3705</v>
      </c>
      <c r="W464" t="s">
        <v>74</v>
      </c>
      <c r="X464" t="s">
        <v>74</v>
      </c>
      <c r="Y464" t="s">
        <v>74</v>
      </c>
      <c r="Z464" t="s">
        <v>74</v>
      </c>
      <c r="AA464" t="s">
        <v>3706</v>
      </c>
      <c r="AB464" t="s">
        <v>3707</v>
      </c>
      <c r="AC464" t="s">
        <v>74</v>
      </c>
      <c r="AD464" t="s">
        <v>74</v>
      </c>
      <c r="AE464" t="s">
        <v>74</v>
      </c>
      <c r="AF464" t="s">
        <v>74</v>
      </c>
      <c r="AG464" t="s">
        <v>74</v>
      </c>
      <c r="AH464" t="s">
        <v>74</v>
      </c>
      <c r="AI464" t="s">
        <v>74</v>
      </c>
      <c r="AJ464" t="s">
        <v>74</v>
      </c>
      <c r="AK464" t="s">
        <v>74</v>
      </c>
      <c r="AL464" t="s">
        <v>74</v>
      </c>
      <c r="AM464" t="s">
        <v>74</v>
      </c>
      <c r="AN464" t="s">
        <v>74</v>
      </c>
      <c r="AO464" t="s">
        <v>767</v>
      </c>
      <c r="AP464" t="s">
        <v>74</v>
      </c>
      <c r="AQ464" t="s">
        <v>74</v>
      </c>
      <c r="AR464" t="s">
        <v>74</v>
      </c>
      <c r="AS464" t="s">
        <v>74</v>
      </c>
      <c r="AT464" t="s">
        <v>145</v>
      </c>
      <c r="AU464">
        <v>2002</v>
      </c>
      <c r="AV464">
        <v>205</v>
      </c>
      <c r="AW464">
        <v>16</v>
      </c>
      <c r="AX464" t="s">
        <v>74</v>
      </c>
      <c r="AY464" t="s">
        <v>74</v>
      </c>
      <c r="AZ464" t="s">
        <v>74</v>
      </c>
      <c r="BA464" t="s">
        <v>74</v>
      </c>
      <c r="BB464">
        <v>2535</v>
      </c>
      <c r="BC464">
        <v>2543</v>
      </c>
      <c r="BD464" t="s">
        <v>74</v>
      </c>
      <c r="BE464" t="s">
        <v>74</v>
      </c>
      <c r="BF464" t="s">
        <v>74</v>
      </c>
      <c r="BG464" t="s">
        <v>74</v>
      </c>
      <c r="BH464" t="s">
        <v>74</v>
      </c>
      <c r="BI464" t="s">
        <v>74</v>
      </c>
      <c r="BJ464" t="s">
        <v>74</v>
      </c>
      <c r="BK464" t="s">
        <v>74</v>
      </c>
      <c r="BL464" t="s">
        <v>74</v>
      </c>
      <c r="BM464" t="s">
        <v>74</v>
      </c>
      <c r="BN464">
        <v>12124377</v>
      </c>
      <c r="BO464" t="s">
        <v>74</v>
      </c>
      <c r="BP464" t="s">
        <v>74</v>
      </c>
      <c r="BQ464" t="s">
        <v>74</v>
      </c>
      <c r="BR464" t="s">
        <v>74</v>
      </c>
      <c r="BS464" t="s">
        <v>3708</v>
      </c>
      <c r="BT464" t="str">
        <f>HYPERLINK("https%3A%2F%2Fwww.webofscience.com%2Fwos%2Fwoscc%2Ffull-record%2FWOS:000177855700019","View Full Record in Web of Science")</f>
        <v>View Full Record in Web of Science</v>
      </c>
    </row>
    <row r="465" spans="1:72" x14ac:dyDescent="0.4">
      <c r="A465" t="s">
        <v>72</v>
      </c>
      <c r="B465" t="s">
        <v>2515</v>
      </c>
      <c r="C465" t="s">
        <v>74</v>
      </c>
      <c r="D465" t="s">
        <v>74</v>
      </c>
      <c r="E465" t="s">
        <v>74</v>
      </c>
      <c r="F465" t="s">
        <v>2515</v>
      </c>
      <c r="G465" t="s">
        <v>74</v>
      </c>
      <c r="H465" t="s">
        <v>74</v>
      </c>
      <c r="I465" t="s">
        <v>2516</v>
      </c>
      <c r="J465" t="s">
        <v>1135</v>
      </c>
      <c r="K465" t="s">
        <v>74</v>
      </c>
      <c r="L465" t="s">
        <v>74</v>
      </c>
      <c r="M465" t="s">
        <v>74</v>
      </c>
      <c r="N465" t="s">
        <v>74</v>
      </c>
      <c r="O465" t="s">
        <v>74</v>
      </c>
      <c r="P465" t="s">
        <v>74</v>
      </c>
      <c r="Q465" t="s">
        <v>74</v>
      </c>
      <c r="R465" t="s">
        <v>74</v>
      </c>
      <c r="S465" t="s">
        <v>74</v>
      </c>
      <c r="T465" t="s">
        <v>74</v>
      </c>
      <c r="U465" t="s">
        <v>74</v>
      </c>
      <c r="V465" s="3" t="s">
        <v>2517</v>
      </c>
      <c r="W465" t="s">
        <v>74</v>
      </c>
      <c r="X465" t="s">
        <v>74</v>
      </c>
      <c r="Y465" t="s">
        <v>74</v>
      </c>
      <c r="Z465" t="s">
        <v>74</v>
      </c>
      <c r="AA465" t="s">
        <v>2518</v>
      </c>
      <c r="AB465" t="s">
        <v>2519</v>
      </c>
      <c r="AC465" t="s">
        <v>74</v>
      </c>
      <c r="AD465" t="s">
        <v>74</v>
      </c>
      <c r="AE465" t="s">
        <v>74</v>
      </c>
      <c r="AF465" t="s">
        <v>74</v>
      </c>
      <c r="AG465" t="s">
        <v>74</v>
      </c>
      <c r="AH465" t="s">
        <v>74</v>
      </c>
      <c r="AI465" t="s">
        <v>74</v>
      </c>
      <c r="AJ465" t="s">
        <v>74</v>
      </c>
      <c r="AK465" t="s">
        <v>74</v>
      </c>
      <c r="AL465" t="s">
        <v>74</v>
      </c>
      <c r="AM465" t="s">
        <v>74</v>
      </c>
      <c r="AN465" t="s">
        <v>74</v>
      </c>
      <c r="AO465" t="s">
        <v>1137</v>
      </c>
      <c r="AP465" t="s">
        <v>74</v>
      </c>
      <c r="AQ465" t="s">
        <v>74</v>
      </c>
      <c r="AR465" t="s">
        <v>74</v>
      </c>
      <c r="AS465" t="s">
        <v>74</v>
      </c>
      <c r="AT465" t="s">
        <v>1611</v>
      </c>
      <c r="AU465">
        <v>1993</v>
      </c>
      <c r="AV465">
        <v>24</v>
      </c>
      <c r="AW465">
        <v>1</v>
      </c>
      <c r="AX465" t="s">
        <v>74</v>
      </c>
      <c r="AY465" t="s">
        <v>74</v>
      </c>
      <c r="AZ465" t="s">
        <v>74</v>
      </c>
      <c r="BA465" t="s">
        <v>74</v>
      </c>
      <c r="BB465">
        <v>53</v>
      </c>
      <c r="BC465">
        <v>58</v>
      </c>
      <c r="BD465" t="s">
        <v>74</v>
      </c>
      <c r="BE465" t="s">
        <v>2520</v>
      </c>
      <c r="BF465" t="str">
        <f>HYPERLINK("http://dx.doi.org/10.2307/3676410","http://dx.doi.org/10.2307/3676410")</f>
        <v>http://dx.doi.org/10.2307/3676410</v>
      </c>
      <c r="BG465" t="s">
        <v>74</v>
      </c>
      <c r="BH465" t="s">
        <v>74</v>
      </c>
      <c r="BI465" t="s">
        <v>74</v>
      </c>
      <c r="BJ465" t="s">
        <v>74</v>
      </c>
      <c r="BK465" t="s">
        <v>74</v>
      </c>
      <c r="BL465" t="s">
        <v>74</v>
      </c>
      <c r="BM465" t="s">
        <v>74</v>
      </c>
      <c r="BN465" t="s">
        <v>74</v>
      </c>
      <c r="BO465" t="s">
        <v>74</v>
      </c>
      <c r="BP465" t="s">
        <v>74</v>
      </c>
      <c r="BQ465" t="s">
        <v>74</v>
      </c>
      <c r="BR465" t="s">
        <v>74</v>
      </c>
      <c r="BS465" t="s">
        <v>2521</v>
      </c>
      <c r="BT465" t="str">
        <f>HYPERLINK("https%3A%2F%2Fwww.webofscience.com%2Fwos%2Fwoscc%2Ffull-record%2FWOS:A1993KP96900009","View Full Record in Web of Science")</f>
        <v>View Full Record in Web of Science</v>
      </c>
    </row>
    <row r="466" spans="1:72" x14ac:dyDescent="0.4">
      <c r="A466" t="s">
        <v>72</v>
      </c>
      <c r="B466" t="s">
        <v>6371</v>
      </c>
      <c r="C466" t="s">
        <v>74</v>
      </c>
      <c r="D466" t="s">
        <v>74</v>
      </c>
      <c r="E466" t="s">
        <v>74</v>
      </c>
      <c r="F466" t="s">
        <v>6371</v>
      </c>
      <c r="G466" t="s">
        <v>74</v>
      </c>
      <c r="H466" t="s">
        <v>74</v>
      </c>
      <c r="I466" t="s">
        <v>6372</v>
      </c>
      <c r="J466" t="s">
        <v>6373</v>
      </c>
      <c r="K466" t="s">
        <v>74</v>
      </c>
      <c r="L466" t="s">
        <v>74</v>
      </c>
      <c r="M466" t="s">
        <v>74</v>
      </c>
      <c r="N466" t="s">
        <v>74</v>
      </c>
      <c r="O466" t="s">
        <v>6374</v>
      </c>
      <c r="P466" t="s">
        <v>6375</v>
      </c>
      <c r="Q466" t="s">
        <v>6376</v>
      </c>
      <c r="R466" t="s">
        <v>74</v>
      </c>
      <c r="S466" t="s">
        <v>74</v>
      </c>
      <c r="T466" t="s">
        <v>74</v>
      </c>
      <c r="U466" t="s">
        <v>74</v>
      </c>
      <c r="V466" s="3" t="s">
        <v>6377</v>
      </c>
      <c r="W466" t="s">
        <v>74</v>
      </c>
      <c r="X466" t="s">
        <v>74</v>
      </c>
      <c r="Y466" t="s">
        <v>74</v>
      </c>
      <c r="Z466" t="s">
        <v>74</v>
      </c>
      <c r="AA466" t="s">
        <v>74</v>
      </c>
      <c r="AB466" t="s">
        <v>74</v>
      </c>
      <c r="AC466" t="s">
        <v>74</v>
      </c>
      <c r="AD466" t="s">
        <v>74</v>
      </c>
      <c r="AE466" t="s">
        <v>74</v>
      </c>
      <c r="AF466" t="s">
        <v>74</v>
      </c>
      <c r="AG466" t="s">
        <v>74</v>
      </c>
      <c r="AH466" t="s">
        <v>74</v>
      </c>
      <c r="AI466" t="s">
        <v>74</v>
      </c>
      <c r="AJ466" t="s">
        <v>74</v>
      </c>
      <c r="AK466" t="s">
        <v>74</v>
      </c>
      <c r="AL466" t="s">
        <v>74</v>
      </c>
      <c r="AM466" t="s">
        <v>74</v>
      </c>
      <c r="AN466" t="s">
        <v>74</v>
      </c>
      <c r="AO466" t="s">
        <v>6378</v>
      </c>
      <c r="AP466" t="s">
        <v>74</v>
      </c>
      <c r="AQ466" t="s">
        <v>74</v>
      </c>
      <c r="AR466" t="s">
        <v>74</v>
      </c>
      <c r="AS466" t="s">
        <v>74</v>
      </c>
      <c r="AT466" t="s">
        <v>134</v>
      </c>
      <c r="AU466">
        <v>1997</v>
      </c>
      <c r="AV466">
        <v>25</v>
      </c>
      <c r="AW466">
        <v>3</v>
      </c>
      <c r="AX466" t="s">
        <v>74</v>
      </c>
      <c r="AY466" t="s">
        <v>74</v>
      </c>
      <c r="AZ466" t="s">
        <v>74</v>
      </c>
      <c r="BA466" t="s">
        <v>74</v>
      </c>
      <c r="BB466">
        <v>233</v>
      </c>
      <c r="BC466">
        <v>240</v>
      </c>
      <c r="BD466" t="s">
        <v>74</v>
      </c>
      <c r="BE466" t="s">
        <v>74</v>
      </c>
      <c r="BF466" t="s">
        <v>74</v>
      </c>
      <c r="BG466" t="s">
        <v>74</v>
      </c>
      <c r="BH466" t="s">
        <v>74</v>
      </c>
      <c r="BI466" t="s">
        <v>74</v>
      </c>
      <c r="BJ466" t="s">
        <v>74</v>
      </c>
      <c r="BK466" t="s">
        <v>74</v>
      </c>
      <c r="BL466" t="s">
        <v>74</v>
      </c>
      <c r="BM466" t="s">
        <v>74</v>
      </c>
      <c r="BN466">
        <v>9289882</v>
      </c>
      <c r="BO466" t="s">
        <v>74</v>
      </c>
      <c r="BP466" t="s">
        <v>74</v>
      </c>
      <c r="BQ466" t="s">
        <v>74</v>
      </c>
      <c r="BR466" t="s">
        <v>74</v>
      </c>
      <c r="BS466" t="s">
        <v>6379</v>
      </c>
      <c r="BT466" t="str">
        <f>HYPERLINK("https%3A%2F%2Fwww.webofscience.com%2Fwos%2Fwoscc%2Ffull-record%2FWOS:A1997XB94300007","View Full Record in Web of Science")</f>
        <v>View Full Record in Web of Science</v>
      </c>
    </row>
    <row r="467" spans="1:72" x14ac:dyDescent="0.4">
      <c r="A467" t="s">
        <v>72</v>
      </c>
      <c r="B467" t="s">
        <v>2230</v>
      </c>
      <c r="C467" t="s">
        <v>74</v>
      </c>
      <c r="D467" t="s">
        <v>74</v>
      </c>
      <c r="E467" t="s">
        <v>74</v>
      </c>
      <c r="F467" t="s">
        <v>2230</v>
      </c>
      <c r="G467" t="s">
        <v>74</v>
      </c>
      <c r="H467" t="s">
        <v>74</v>
      </c>
      <c r="I467" t="s">
        <v>2231</v>
      </c>
      <c r="J467" t="s">
        <v>2232</v>
      </c>
      <c r="K467" t="s">
        <v>74</v>
      </c>
      <c r="L467" t="s">
        <v>74</v>
      </c>
      <c r="M467" t="s">
        <v>74</v>
      </c>
      <c r="N467" t="s">
        <v>74</v>
      </c>
      <c r="O467" t="s">
        <v>74</v>
      </c>
      <c r="P467" t="s">
        <v>74</v>
      </c>
      <c r="Q467" t="s">
        <v>74</v>
      </c>
      <c r="R467" t="s">
        <v>74</v>
      </c>
      <c r="S467" t="s">
        <v>74</v>
      </c>
      <c r="T467" t="s">
        <v>74</v>
      </c>
      <c r="U467" t="s">
        <v>74</v>
      </c>
      <c r="V467" s="3" t="s">
        <v>2233</v>
      </c>
      <c r="W467" t="s">
        <v>74</v>
      </c>
      <c r="X467" t="s">
        <v>74</v>
      </c>
      <c r="Y467" t="s">
        <v>74</v>
      </c>
      <c r="Z467" t="s">
        <v>74</v>
      </c>
      <c r="AA467" t="s">
        <v>2234</v>
      </c>
      <c r="AB467" t="s">
        <v>2235</v>
      </c>
      <c r="AC467" t="s">
        <v>74</v>
      </c>
      <c r="AD467" t="s">
        <v>74</v>
      </c>
      <c r="AE467" t="s">
        <v>74</v>
      </c>
      <c r="AF467" t="s">
        <v>74</v>
      </c>
      <c r="AG467" t="s">
        <v>74</v>
      </c>
      <c r="AH467" t="s">
        <v>74</v>
      </c>
      <c r="AI467" t="s">
        <v>74</v>
      </c>
      <c r="AJ467" t="s">
        <v>74</v>
      </c>
      <c r="AK467" t="s">
        <v>74</v>
      </c>
      <c r="AL467" t="s">
        <v>74</v>
      </c>
      <c r="AM467" t="s">
        <v>74</v>
      </c>
      <c r="AN467" t="s">
        <v>74</v>
      </c>
      <c r="AO467" t="s">
        <v>2236</v>
      </c>
      <c r="AP467" t="s">
        <v>2237</v>
      </c>
      <c r="AQ467" t="s">
        <v>74</v>
      </c>
      <c r="AR467" t="s">
        <v>74</v>
      </c>
      <c r="AS467" t="s">
        <v>74</v>
      </c>
      <c r="AT467" t="s">
        <v>175</v>
      </c>
      <c r="AU467">
        <v>2002</v>
      </c>
      <c r="AV467">
        <v>99</v>
      </c>
      <c r="AW467">
        <v>1</v>
      </c>
      <c r="AX467" t="s">
        <v>74</v>
      </c>
      <c r="AY467" t="s">
        <v>74</v>
      </c>
      <c r="AZ467" t="s">
        <v>74</v>
      </c>
      <c r="BA467" t="s">
        <v>74</v>
      </c>
      <c r="BB467">
        <v>184</v>
      </c>
      <c r="BC467">
        <v>188</v>
      </c>
      <c r="BD467" t="s">
        <v>74</v>
      </c>
      <c r="BE467" t="s">
        <v>2238</v>
      </c>
      <c r="BF467" t="str">
        <f>HYPERLINK("http://dx.doi.org/10.1034/j.1600-0706.2002.990119.x","http://dx.doi.org/10.1034/j.1600-0706.2002.990119.x")</f>
        <v>http://dx.doi.org/10.1034/j.1600-0706.2002.990119.x</v>
      </c>
      <c r="BG467" t="s">
        <v>74</v>
      </c>
      <c r="BH467" t="s">
        <v>74</v>
      </c>
      <c r="BI467" t="s">
        <v>74</v>
      </c>
      <c r="BJ467" t="s">
        <v>74</v>
      </c>
      <c r="BK467" t="s">
        <v>74</v>
      </c>
      <c r="BL467" t="s">
        <v>74</v>
      </c>
      <c r="BM467" t="s">
        <v>74</v>
      </c>
      <c r="BN467" t="s">
        <v>74</v>
      </c>
      <c r="BO467" t="s">
        <v>74</v>
      </c>
      <c r="BP467" t="s">
        <v>74</v>
      </c>
      <c r="BQ467" t="s">
        <v>74</v>
      </c>
      <c r="BR467" t="s">
        <v>74</v>
      </c>
      <c r="BS467" t="s">
        <v>2239</v>
      </c>
      <c r="BT467" t="str">
        <f>HYPERLINK("https%3A%2F%2Fwww.webofscience.com%2Fwos%2Fwoscc%2Ffull-record%2FWOS:000178883100019","View Full Record in Web of Science")</f>
        <v>View Full Record in Web of Science</v>
      </c>
    </row>
    <row r="468" spans="1:72" x14ac:dyDescent="0.4">
      <c r="A468" t="s">
        <v>72</v>
      </c>
      <c r="B468" t="s">
        <v>6327</v>
      </c>
      <c r="C468" t="s">
        <v>74</v>
      </c>
      <c r="D468" t="s">
        <v>74</v>
      </c>
      <c r="E468" t="s">
        <v>74</v>
      </c>
      <c r="F468" t="s">
        <v>6328</v>
      </c>
      <c r="G468" t="s">
        <v>74</v>
      </c>
      <c r="H468" t="s">
        <v>74</v>
      </c>
      <c r="I468" t="s">
        <v>6329</v>
      </c>
      <c r="J468" t="s">
        <v>763</v>
      </c>
      <c r="K468" t="s">
        <v>74</v>
      </c>
      <c r="L468" t="s">
        <v>74</v>
      </c>
      <c r="M468" t="s">
        <v>74</v>
      </c>
      <c r="N468" t="s">
        <v>74</v>
      </c>
      <c r="O468" t="s">
        <v>74</v>
      </c>
      <c r="P468" t="s">
        <v>74</v>
      </c>
      <c r="Q468" t="s">
        <v>74</v>
      </c>
      <c r="R468" t="s">
        <v>74</v>
      </c>
      <c r="S468" t="s">
        <v>74</v>
      </c>
      <c r="T468" t="s">
        <v>74</v>
      </c>
      <c r="U468" t="s">
        <v>74</v>
      </c>
      <c r="V468" s="3" t="s">
        <v>6330</v>
      </c>
      <c r="W468" t="s">
        <v>74</v>
      </c>
      <c r="X468" t="s">
        <v>74</v>
      </c>
      <c r="Y468" t="s">
        <v>74</v>
      </c>
      <c r="Z468" t="s">
        <v>74</v>
      </c>
      <c r="AA468" t="s">
        <v>6331</v>
      </c>
      <c r="AB468" t="s">
        <v>74</v>
      </c>
      <c r="AC468" t="s">
        <v>74</v>
      </c>
      <c r="AD468" t="s">
        <v>74</v>
      </c>
      <c r="AE468" t="s">
        <v>74</v>
      </c>
      <c r="AF468" t="s">
        <v>74</v>
      </c>
      <c r="AG468" t="s">
        <v>74</v>
      </c>
      <c r="AH468" t="s">
        <v>74</v>
      </c>
      <c r="AI468" t="s">
        <v>74</v>
      </c>
      <c r="AJ468" t="s">
        <v>74</v>
      </c>
      <c r="AK468" t="s">
        <v>74</v>
      </c>
      <c r="AL468" t="s">
        <v>74</v>
      </c>
      <c r="AM468" t="s">
        <v>74</v>
      </c>
      <c r="AN468" t="s">
        <v>74</v>
      </c>
      <c r="AO468" t="s">
        <v>767</v>
      </c>
      <c r="AP468" t="s">
        <v>768</v>
      </c>
      <c r="AQ468" t="s">
        <v>74</v>
      </c>
      <c r="AR468" t="s">
        <v>74</v>
      </c>
      <c r="AS468" t="s">
        <v>74</v>
      </c>
      <c r="AT468" t="s">
        <v>1146</v>
      </c>
      <c r="AU468">
        <v>2008</v>
      </c>
      <c r="AV468">
        <v>211</v>
      </c>
      <c r="AW468">
        <v>15</v>
      </c>
      <c r="AX468" t="s">
        <v>74</v>
      </c>
      <c r="AY468" t="s">
        <v>74</v>
      </c>
      <c r="AZ468" t="s">
        <v>74</v>
      </c>
      <c r="BA468" t="s">
        <v>74</v>
      </c>
      <c r="BB468">
        <v>2519</v>
      </c>
      <c r="BC468">
        <v>2523</v>
      </c>
      <c r="BD468" t="s">
        <v>74</v>
      </c>
      <c r="BE468" t="s">
        <v>6332</v>
      </c>
      <c r="BF468" t="str">
        <f>HYPERLINK("http://dx.doi.org/10.1242/jeb.017327","http://dx.doi.org/10.1242/jeb.017327")</f>
        <v>http://dx.doi.org/10.1242/jeb.017327</v>
      </c>
      <c r="BG468" t="s">
        <v>74</v>
      </c>
      <c r="BH468" t="s">
        <v>74</v>
      </c>
      <c r="BI468" t="s">
        <v>74</v>
      </c>
      <c r="BJ468" t="s">
        <v>74</v>
      </c>
      <c r="BK468" t="s">
        <v>74</v>
      </c>
      <c r="BL468" t="s">
        <v>74</v>
      </c>
      <c r="BM468" t="s">
        <v>74</v>
      </c>
      <c r="BN468">
        <v>18626087</v>
      </c>
      <c r="BO468" t="s">
        <v>74</v>
      </c>
      <c r="BP468" t="s">
        <v>74</v>
      </c>
      <c r="BQ468" t="s">
        <v>74</v>
      </c>
      <c r="BR468" t="s">
        <v>74</v>
      </c>
      <c r="BS468" t="s">
        <v>6333</v>
      </c>
      <c r="BT468" t="str">
        <f>HYPERLINK("https%3A%2F%2Fwww.webofscience.com%2Fwos%2Fwoscc%2Ffull-record%2FWOS:000257620300027","View Full Record in Web of Science")</f>
        <v>View Full Record in Web of Science</v>
      </c>
    </row>
    <row r="469" spans="1:72" x14ac:dyDescent="0.4">
      <c r="A469" t="s">
        <v>72</v>
      </c>
      <c r="B469" t="s">
        <v>1971</v>
      </c>
      <c r="C469" t="s">
        <v>74</v>
      </c>
      <c r="D469" t="s">
        <v>74</v>
      </c>
      <c r="E469" t="s">
        <v>74</v>
      </c>
      <c r="F469" t="s">
        <v>1972</v>
      </c>
      <c r="G469" t="s">
        <v>74</v>
      </c>
      <c r="H469" t="s">
        <v>74</v>
      </c>
      <c r="I469" t="s">
        <v>1973</v>
      </c>
      <c r="J469" t="s">
        <v>970</v>
      </c>
      <c r="K469" t="s">
        <v>74</v>
      </c>
      <c r="L469" t="s">
        <v>74</v>
      </c>
      <c r="M469" t="s">
        <v>74</v>
      </c>
      <c r="N469" t="s">
        <v>74</v>
      </c>
      <c r="O469" t="s">
        <v>74</v>
      </c>
      <c r="P469" t="s">
        <v>74</v>
      </c>
      <c r="Q469" t="s">
        <v>74</v>
      </c>
      <c r="R469" t="s">
        <v>74</v>
      </c>
      <c r="S469" t="s">
        <v>74</v>
      </c>
      <c r="T469" t="s">
        <v>74</v>
      </c>
      <c r="U469" t="s">
        <v>74</v>
      </c>
      <c r="V469" s="3" t="s">
        <v>1974</v>
      </c>
      <c r="W469" t="s">
        <v>74</v>
      </c>
      <c r="X469" t="s">
        <v>74</v>
      </c>
      <c r="Y469" t="s">
        <v>74</v>
      </c>
      <c r="Z469" t="s">
        <v>74</v>
      </c>
      <c r="AA469" t="s">
        <v>1975</v>
      </c>
      <c r="AB469" t="s">
        <v>1976</v>
      </c>
      <c r="AC469" t="s">
        <v>74</v>
      </c>
      <c r="AD469" t="s">
        <v>74</v>
      </c>
      <c r="AE469" t="s">
        <v>74</v>
      </c>
      <c r="AF469" t="s">
        <v>74</v>
      </c>
      <c r="AG469" t="s">
        <v>74</v>
      </c>
      <c r="AH469" t="s">
        <v>74</v>
      </c>
      <c r="AI469" t="s">
        <v>74</v>
      </c>
      <c r="AJ469" t="s">
        <v>74</v>
      </c>
      <c r="AK469" t="s">
        <v>74</v>
      </c>
      <c r="AL469" t="s">
        <v>74</v>
      </c>
      <c r="AM469" t="s">
        <v>74</v>
      </c>
      <c r="AN469" t="s">
        <v>74</v>
      </c>
      <c r="AO469" t="s">
        <v>974</v>
      </c>
      <c r="AP469" t="s">
        <v>975</v>
      </c>
      <c r="AQ469" t="s">
        <v>74</v>
      </c>
      <c r="AR469" t="s">
        <v>74</v>
      </c>
      <c r="AS469" t="s">
        <v>74</v>
      </c>
      <c r="AT469" t="s">
        <v>175</v>
      </c>
      <c r="AU469">
        <v>2006</v>
      </c>
      <c r="AV469">
        <v>147</v>
      </c>
      <c r="AW469">
        <v>4</v>
      </c>
      <c r="AX469" t="s">
        <v>74</v>
      </c>
      <c r="AY469" t="s">
        <v>74</v>
      </c>
      <c r="AZ469" t="s">
        <v>74</v>
      </c>
      <c r="BA469" t="s">
        <v>74</v>
      </c>
      <c r="BB469">
        <v>629</v>
      </c>
      <c r="BC469">
        <v>637</v>
      </c>
      <c r="BD469" t="s">
        <v>74</v>
      </c>
      <c r="BE469" t="s">
        <v>1977</v>
      </c>
      <c r="BF469" t="str">
        <f>HYPERLINK("http://dx.doi.org/10.1007/s10336-006-0088-y","http://dx.doi.org/10.1007/s10336-006-0088-y")</f>
        <v>http://dx.doi.org/10.1007/s10336-006-0088-y</v>
      </c>
      <c r="BG469" t="s">
        <v>74</v>
      </c>
      <c r="BH469" t="s">
        <v>74</v>
      </c>
      <c r="BI469" t="s">
        <v>74</v>
      </c>
      <c r="BJ469" t="s">
        <v>74</v>
      </c>
      <c r="BK469" t="s">
        <v>74</v>
      </c>
      <c r="BL469" t="s">
        <v>74</v>
      </c>
      <c r="BM469" t="s">
        <v>74</v>
      </c>
      <c r="BN469" t="s">
        <v>74</v>
      </c>
      <c r="BO469" t="s">
        <v>74</v>
      </c>
      <c r="BP469" t="s">
        <v>74</v>
      </c>
      <c r="BQ469" t="s">
        <v>74</v>
      </c>
      <c r="BR469" t="s">
        <v>74</v>
      </c>
      <c r="BS469" t="s">
        <v>1978</v>
      </c>
      <c r="BT469" t="str">
        <f>HYPERLINK("https%3A%2F%2Fwww.webofscience.com%2Fwos%2Fwoscc%2Ffull-record%2FWOS:000241113000015","View Full Record in Web of Science")</f>
        <v>View Full Record in Web of Science</v>
      </c>
    </row>
    <row r="470" spans="1:72" x14ac:dyDescent="0.4">
      <c r="A470" t="s">
        <v>72</v>
      </c>
      <c r="B470" t="s">
        <v>3298</v>
      </c>
      <c r="C470" t="s">
        <v>74</v>
      </c>
      <c r="D470" t="s">
        <v>74</v>
      </c>
      <c r="E470" t="s">
        <v>74</v>
      </c>
      <c r="F470" t="s">
        <v>3298</v>
      </c>
      <c r="G470" t="s">
        <v>74</v>
      </c>
      <c r="H470" t="s">
        <v>74</v>
      </c>
      <c r="I470" t="s">
        <v>3299</v>
      </c>
      <c r="J470" t="s">
        <v>1244</v>
      </c>
      <c r="K470" t="s">
        <v>74</v>
      </c>
      <c r="L470" t="s">
        <v>74</v>
      </c>
      <c r="M470" t="s">
        <v>74</v>
      </c>
      <c r="N470" t="s">
        <v>74</v>
      </c>
      <c r="O470" t="s">
        <v>74</v>
      </c>
      <c r="P470" t="s">
        <v>74</v>
      </c>
      <c r="Q470" t="s">
        <v>74</v>
      </c>
      <c r="R470" t="s">
        <v>74</v>
      </c>
      <c r="S470" t="s">
        <v>74</v>
      </c>
      <c r="T470" t="s">
        <v>74</v>
      </c>
      <c r="U470" t="s">
        <v>74</v>
      </c>
      <c r="V470" s="3" t="s">
        <v>3300</v>
      </c>
      <c r="W470" t="s">
        <v>74</v>
      </c>
      <c r="X470" t="s">
        <v>74</v>
      </c>
      <c r="Y470" t="s">
        <v>74</v>
      </c>
      <c r="Z470" t="s">
        <v>74</v>
      </c>
      <c r="AA470" t="s">
        <v>3301</v>
      </c>
      <c r="AB470" t="s">
        <v>74</v>
      </c>
      <c r="AC470" t="s">
        <v>74</v>
      </c>
      <c r="AD470" t="s">
        <v>74</v>
      </c>
      <c r="AE470" t="s">
        <v>74</v>
      </c>
      <c r="AF470" t="s">
        <v>74</v>
      </c>
      <c r="AG470" t="s">
        <v>74</v>
      </c>
      <c r="AH470" t="s">
        <v>74</v>
      </c>
      <c r="AI470" t="s">
        <v>74</v>
      </c>
      <c r="AJ470" t="s">
        <v>74</v>
      </c>
      <c r="AK470" t="s">
        <v>74</v>
      </c>
      <c r="AL470" t="s">
        <v>74</v>
      </c>
      <c r="AM470" t="s">
        <v>74</v>
      </c>
      <c r="AN470" t="s">
        <v>74</v>
      </c>
      <c r="AO470" t="s">
        <v>1246</v>
      </c>
      <c r="AP470" t="s">
        <v>74</v>
      </c>
      <c r="AQ470" t="s">
        <v>74</v>
      </c>
      <c r="AR470" t="s">
        <v>74</v>
      </c>
      <c r="AS470" t="s">
        <v>74</v>
      </c>
      <c r="AT470" t="s">
        <v>3302</v>
      </c>
      <c r="AU470">
        <v>2006</v>
      </c>
      <c r="AV470">
        <v>35</v>
      </c>
      <c r="AW470">
        <v>1</v>
      </c>
      <c r="AX470" t="s">
        <v>74</v>
      </c>
      <c r="AY470" t="s">
        <v>74</v>
      </c>
      <c r="AZ470" t="s">
        <v>74</v>
      </c>
      <c r="BA470" t="s">
        <v>74</v>
      </c>
      <c r="BB470">
        <v>15</v>
      </c>
      <c r="BC470">
        <v>22</v>
      </c>
      <c r="BD470" t="s">
        <v>74</v>
      </c>
      <c r="BE470" t="s">
        <v>74</v>
      </c>
      <c r="BF470" t="s">
        <v>74</v>
      </c>
      <c r="BG470" t="s">
        <v>74</v>
      </c>
      <c r="BH470" t="s">
        <v>74</v>
      </c>
      <c r="BI470" t="s">
        <v>74</v>
      </c>
      <c r="BJ470" t="s">
        <v>74</v>
      </c>
      <c r="BK470" t="s">
        <v>74</v>
      </c>
      <c r="BL470" t="s">
        <v>74</v>
      </c>
      <c r="BM470" t="s">
        <v>74</v>
      </c>
      <c r="BN470" t="s">
        <v>74</v>
      </c>
      <c r="BO470" t="s">
        <v>74</v>
      </c>
      <c r="BP470" t="s">
        <v>74</v>
      </c>
      <c r="BQ470" t="s">
        <v>74</v>
      </c>
      <c r="BR470" t="s">
        <v>74</v>
      </c>
      <c r="BS470" t="s">
        <v>3303</v>
      </c>
      <c r="BT470" t="str">
        <f>HYPERLINK("https%3A%2F%2Fwww.webofscience.com%2Fwos%2Fwoscc%2Ffull-record%2FWOS:000235795700002","View Full Record in Web of Science")</f>
        <v>View Full Record in Web of Science</v>
      </c>
    </row>
    <row r="471" spans="1:72" x14ac:dyDescent="0.4">
      <c r="A471" t="s">
        <v>72</v>
      </c>
      <c r="B471" t="s">
        <v>3151</v>
      </c>
      <c r="C471" t="s">
        <v>74</v>
      </c>
      <c r="D471" t="s">
        <v>74</v>
      </c>
      <c r="E471" t="s">
        <v>74</v>
      </c>
      <c r="F471" t="s">
        <v>3152</v>
      </c>
      <c r="G471" t="s">
        <v>74</v>
      </c>
      <c r="H471" t="s">
        <v>74</v>
      </c>
      <c r="I471" t="s">
        <v>3153</v>
      </c>
      <c r="J471" t="s">
        <v>2232</v>
      </c>
      <c r="K471" t="s">
        <v>74</v>
      </c>
      <c r="L471" t="s">
        <v>74</v>
      </c>
      <c r="M471" t="s">
        <v>74</v>
      </c>
      <c r="N471" t="s">
        <v>74</v>
      </c>
      <c r="O471" t="s">
        <v>74</v>
      </c>
      <c r="P471" t="s">
        <v>74</v>
      </c>
      <c r="Q471" t="s">
        <v>74</v>
      </c>
      <c r="R471" t="s">
        <v>74</v>
      </c>
      <c r="S471" t="s">
        <v>74</v>
      </c>
      <c r="T471" t="s">
        <v>74</v>
      </c>
      <c r="U471" t="s">
        <v>74</v>
      </c>
      <c r="V471" s="3" t="s">
        <v>3154</v>
      </c>
      <c r="W471" t="s">
        <v>74</v>
      </c>
      <c r="X471" t="s">
        <v>74</v>
      </c>
      <c r="Y471" t="s">
        <v>74</v>
      </c>
      <c r="Z471" t="s">
        <v>74</v>
      </c>
      <c r="AA471" t="s">
        <v>3155</v>
      </c>
      <c r="AB471" t="s">
        <v>3156</v>
      </c>
      <c r="AC471" t="s">
        <v>74</v>
      </c>
      <c r="AD471" t="s">
        <v>74</v>
      </c>
      <c r="AE471" t="s">
        <v>74</v>
      </c>
      <c r="AF471" t="s">
        <v>74</v>
      </c>
      <c r="AG471" t="s">
        <v>74</v>
      </c>
      <c r="AH471" t="s">
        <v>74</v>
      </c>
      <c r="AI471" t="s">
        <v>74</v>
      </c>
      <c r="AJ471" t="s">
        <v>74</v>
      </c>
      <c r="AK471" t="s">
        <v>74</v>
      </c>
      <c r="AL471" t="s">
        <v>74</v>
      </c>
      <c r="AM471" t="s">
        <v>74</v>
      </c>
      <c r="AN471" t="s">
        <v>74</v>
      </c>
      <c r="AO471" t="s">
        <v>2236</v>
      </c>
      <c r="AP471" t="s">
        <v>74</v>
      </c>
      <c r="AQ471" t="s">
        <v>74</v>
      </c>
      <c r="AR471" t="s">
        <v>74</v>
      </c>
      <c r="AS471" t="s">
        <v>74</v>
      </c>
      <c r="AT471" t="s">
        <v>102</v>
      </c>
      <c r="AU471">
        <v>2011</v>
      </c>
      <c r="AV471">
        <v>120</v>
      </c>
      <c r="AW471">
        <v>6</v>
      </c>
      <c r="AX471" t="s">
        <v>74</v>
      </c>
      <c r="AY471" t="s">
        <v>74</v>
      </c>
      <c r="AZ471" t="s">
        <v>74</v>
      </c>
      <c r="BA471" t="s">
        <v>74</v>
      </c>
      <c r="BB471">
        <v>855</v>
      </c>
      <c r="BC471">
        <v>861</v>
      </c>
      <c r="BD471" t="s">
        <v>74</v>
      </c>
      <c r="BE471" t="s">
        <v>3157</v>
      </c>
      <c r="BF471" t="str">
        <f>HYPERLINK("http://dx.doi.org/10.1111/j.1600-0706.2010.19056.x","http://dx.doi.org/10.1111/j.1600-0706.2010.19056.x")</f>
        <v>http://dx.doi.org/10.1111/j.1600-0706.2010.19056.x</v>
      </c>
      <c r="BG471" t="s">
        <v>74</v>
      </c>
      <c r="BH471" t="s">
        <v>74</v>
      </c>
      <c r="BI471" t="s">
        <v>74</v>
      </c>
      <c r="BJ471" t="s">
        <v>74</v>
      </c>
      <c r="BK471" t="s">
        <v>74</v>
      </c>
      <c r="BL471" t="s">
        <v>74</v>
      </c>
      <c r="BM471" t="s">
        <v>74</v>
      </c>
      <c r="BN471" t="s">
        <v>74</v>
      </c>
      <c r="BO471" t="s">
        <v>74</v>
      </c>
      <c r="BP471" t="s">
        <v>74</v>
      </c>
      <c r="BQ471" t="s">
        <v>74</v>
      </c>
      <c r="BR471" t="s">
        <v>74</v>
      </c>
      <c r="BS471" t="s">
        <v>3158</v>
      </c>
      <c r="BT471" t="str">
        <f>HYPERLINK("https%3A%2F%2Fwww.webofscience.com%2Fwos%2Fwoscc%2Ffull-record%2FWOS:000290871400007","View Full Record in Web of Science")</f>
        <v>View Full Record in Web of Science</v>
      </c>
    </row>
    <row r="472" spans="1:72" x14ac:dyDescent="0.4">
      <c r="A472" t="s">
        <v>72</v>
      </c>
      <c r="B472" t="s">
        <v>2342</v>
      </c>
      <c r="C472" t="s">
        <v>74</v>
      </c>
      <c r="D472" t="s">
        <v>74</v>
      </c>
      <c r="E472" t="s">
        <v>74</v>
      </c>
      <c r="F472" t="s">
        <v>2342</v>
      </c>
      <c r="G472" t="s">
        <v>74</v>
      </c>
      <c r="H472" t="s">
        <v>74</v>
      </c>
      <c r="I472" t="s">
        <v>2343</v>
      </c>
      <c r="J472" t="s">
        <v>108</v>
      </c>
      <c r="K472" t="s">
        <v>74</v>
      </c>
      <c r="L472" t="s">
        <v>74</v>
      </c>
      <c r="M472" t="s">
        <v>74</v>
      </c>
      <c r="N472" t="s">
        <v>74</v>
      </c>
      <c r="O472" t="s">
        <v>74</v>
      </c>
      <c r="P472" t="s">
        <v>74</v>
      </c>
      <c r="Q472" t="s">
        <v>74</v>
      </c>
      <c r="R472" t="s">
        <v>74</v>
      </c>
      <c r="S472" t="s">
        <v>74</v>
      </c>
      <c r="T472" t="s">
        <v>74</v>
      </c>
      <c r="U472" t="s">
        <v>74</v>
      </c>
      <c r="V472" s="3" t="s">
        <v>2344</v>
      </c>
      <c r="W472" t="s">
        <v>74</v>
      </c>
      <c r="X472" t="s">
        <v>74</v>
      </c>
      <c r="Y472" t="s">
        <v>74</v>
      </c>
      <c r="Z472" t="s">
        <v>74</v>
      </c>
      <c r="AA472" t="s">
        <v>74</v>
      </c>
      <c r="AB472" t="s">
        <v>74</v>
      </c>
      <c r="AC472" t="s">
        <v>74</v>
      </c>
      <c r="AD472" t="s">
        <v>74</v>
      </c>
      <c r="AE472" t="s">
        <v>74</v>
      </c>
      <c r="AF472" t="s">
        <v>74</v>
      </c>
      <c r="AG472" t="s">
        <v>74</v>
      </c>
      <c r="AH472" t="s">
        <v>74</v>
      </c>
      <c r="AI472" t="s">
        <v>74</v>
      </c>
      <c r="AJ472" t="s">
        <v>74</v>
      </c>
      <c r="AK472" t="s">
        <v>74</v>
      </c>
      <c r="AL472" t="s">
        <v>74</v>
      </c>
      <c r="AM472" t="s">
        <v>74</v>
      </c>
      <c r="AN472" t="s">
        <v>74</v>
      </c>
      <c r="AO472" t="s">
        <v>111</v>
      </c>
      <c r="AP472" t="s">
        <v>112</v>
      </c>
      <c r="AQ472" t="s">
        <v>74</v>
      </c>
      <c r="AR472" t="s">
        <v>74</v>
      </c>
      <c r="AS472" t="s">
        <v>74</v>
      </c>
      <c r="AT472" t="s">
        <v>2345</v>
      </c>
      <c r="AU472">
        <v>2003</v>
      </c>
      <c r="AV472">
        <v>270</v>
      </c>
      <c r="AW472">
        <v>1519</v>
      </c>
      <c r="AX472" t="s">
        <v>74</v>
      </c>
      <c r="AY472" t="s">
        <v>74</v>
      </c>
      <c r="AZ472" t="s">
        <v>74</v>
      </c>
      <c r="BA472" t="s">
        <v>74</v>
      </c>
      <c r="BB472">
        <v>1033</v>
      </c>
      <c r="BC472">
        <v>1040</v>
      </c>
      <c r="BD472" t="s">
        <v>74</v>
      </c>
      <c r="BE472" t="s">
        <v>2346</v>
      </c>
      <c r="BF472" t="str">
        <f>HYPERLINK("http://dx.doi.org/10.1098/rspb.2003.2348","http://dx.doi.org/10.1098/rspb.2003.2348")</f>
        <v>http://dx.doi.org/10.1098/rspb.2003.2348</v>
      </c>
      <c r="BG472" t="s">
        <v>74</v>
      </c>
      <c r="BH472" t="s">
        <v>74</v>
      </c>
      <c r="BI472" t="s">
        <v>74</v>
      </c>
      <c r="BJ472" t="s">
        <v>74</v>
      </c>
      <c r="BK472" t="s">
        <v>74</v>
      </c>
      <c r="BL472" t="s">
        <v>74</v>
      </c>
      <c r="BM472" t="s">
        <v>74</v>
      </c>
      <c r="BN472">
        <v>12803892</v>
      </c>
      <c r="BO472" t="s">
        <v>74</v>
      </c>
      <c r="BP472" t="s">
        <v>74</v>
      </c>
      <c r="BQ472" t="s">
        <v>74</v>
      </c>
      <c r="BR472" t="s">
        <v>74</v>
      </c>
      <c r="BS472" t="s">
        <v>2347</v>
      </c>
      <c r="BT472" t="str">
        <f>HYPERLINK("https%3A%2F%2Fwww.webofscience.com%2Fwos%2Fwoscc%2Ffull-record%2FWOS:000182969100005","View Full Record in Web of Science")</f>
        <v>View Full Record in Web of Science</v>
      </c>
    </row>
    <row r="473" spans="1:72" x14ac:dyDescent="0.4">
      <c r="A473" t="s">
        <v>72</v>
      </c>
      <c r="B473" t="s">
        <v>2608</v>
      </c>
      <c r="C473" t="s">
        <v>74</v>
      </c>
      <c r="D473" t="s">
        <v>74</v>
      </c>
      <c r="E473" t="s">
        <v>74</v>
      </c>
      <c r="F473" t="s">
        <v>2609</v>
      </c>
      <c r="G473" t="s">
        <v>74</v>
      </c>
      <c r="H473" t="s">
        <v>74</v>
      </c>
      <c r="I473" t="s">
        <v>2610</v>
      </c>
      <c r="J473" t="s">
        <v>1126</v>
      </c>
      <c r="K473" t="s">
        <v>74</v>
      </c>
      <c r="L473" t="s">
        <v>74</v>
      </c>
      <c r="M473" t="s">
        <v>74</v>
      </c>
      <c r="N473" t="s">
        <v>74</v>
      </c>
      <c r="O473" t="s">
        <v>74</v>
      </c>
      <c r="P473" t="s">
        <v>74</v>
      </c>
      <c r="Q473" t="s">
        <v>74</v>
      </c>
      <c r="R473" t="s">
        <v>74</v>
      </c>
      <c r="S473" t="s">
        <v>74</v>
      </c>
      <c r="T473" t="s">
        <v>74</v>
      </c>
      <c r="U473" t="s">
        <v>74</v>
      </c>
      <c r="V473" s="3" t="s">
        <v>2611</v>
      </c>
      <c r="W473" t="s">
        <v>74</v>
      </c>
      <c r="X473" t="s">
        <v>74</v>
      </c>
      <c r="Y473" t="s">
        <v>74</v>
      </c>
      <c r="Z473" t="s">
        <v>74</v>
      </c>
      <c r="AA473" t="s">
        <v>2612</v>
      </c>
      <c r="AB473" t="s">
        <v>74</v>
      </c>
      <c r="AC473" t="s">
        <v>74</v>
      </c>
      <c r="AD473" t="s">
        <v>74</v>
      </c>
      <c r="AE473" t="s">
        <v>74</v>
      </c>
      <c r="AF473" t="s">
        <v>74</v>
      </c>
      <c r="AG473" t="s">
        <v>74</v>
      </c>
      <c r="AH473" t="s">
        <v>74</v>
      </c>
      <c r="AI473" t="s">
        <v>74</v>
      </c>
      <c r="AJ473" t="s">
        <v>74</v>
      </c>
      <c r="AK473" t="s">
        <v>74</v>
      </c>
      <c r="AL473" t="s">
        <v>74</v>
      </c>
      <c r="AM473" t="s">
        <v>74</v>
      </c>
      <c r="AN473" t="s">
        <v>74</v>
      </c>
      <c r="AO473" t="s">
        <v>1128</v>
      </c>
      <c r="AP473" t="s">
        <v>1129</v>
      </c>
      <c r="AQ473" t="s">
        <v>74</v>
      </c>
      <c r="AR473" t="s">
        <v>74</v>
      </c>
      <c r="AS473" t="s">
        <v>74</v>
      </c>
      <c r="AT473" t="s">
        <v>1116</v>
      </c>
      <c r="AU473">
        <v>2010</v>
      </c>
      <c r="AV473" t="s">
        <v>74</v>
      </c>
      <c r="AW473">
        <v>2</v>
      </c>
      <c r="AX473" t="s">
        <v>74</v>
      </c>
      <c r="AY473" t="s">
        <v>74</v>
      </c>
      <c r="AZ473" t="s">
        <v>74</v>
      </c>
      <c r="BA473" t="s">
        <v>74</v>
      </c>
      <c r="BB473">
        <v>196</v>
      </c>
      <c r="BC473">
        <v>202</v>
      </c>
      <c r="BD473" t="s">
        <v>74</v>
      </c>
      <c r="BE473" t="s">
        <v>2613</v>
      </c>
      <c r="BF473" t="str">
        <f>HYPERLINK("http://dx.doi.org/10.1643/CG-09-044","http://dx.doi.org/10.1643/CG-09-044")</f>
        <v>http://dx.doi.org/10.1643/CG-09-044</v>
      </c>
      <c r="BG473" t="s">
        <v>74</v>
      </c>
      <c r="BH473" t="s">
        <v>74</v>
      </c>
      <c r="BI473" t="s">
        <v>74</v>
      </c>
      <c r="BJ473" t="s">
        <v>74</v>
      </c>
      <c r="BK473" t="s">
        <v>74</v>
      </c>
      <c r="BL473" t="s">
        <v>74</v>
      </c>
      <c r="BM473" t="s">
        <v>74</v>
      </c>
      <c r="BN473" t="s">
        <v>74</v>
      </c>
      <c r="BO473" t="s">
        <v>74</v>
      </c>
      <c r="BP473" t="s">
        <v>74</v>
      </c>
      <c r="BQ473" t="s">
        <v>74</v>
      </c>
      <c r="BR473" t="s">
        <v>74</v>
      </c>
      <c r="BS473" t="s">
        <v>2614</v>
      </c>
      <c r="BT473" t="str">
        <f>HYPERLINK("https%3A%2F%2Fwww.webofscience.com%2Fwos%2Fwoscc%2Ffull-record%2FWOS:000278428900002","View Full Record in Web of Science")</f>
        <v>View Full Record in Web of Science</v>
      </c>
    </row>
    <row r="474" spans="1:72" x14ac:dyDescent="0.4">
      <c r="A474" t="s">
        <v>72</v>
      </c>
      <c r="B474" t="s">
        <v>3799</v>
      </c>
      <c r="C474" t="s">
        <v>74</v>
      </c>
      <c r="D474" t="s">
        <v>74</v>
      </c>
      <c r="E474" t="s">
        <v>74</v>
      </c>
      <c r="F474" t="s">
        <v>3800</v>
      </c>
      <c r="G474" t="s">
        <v>74</v>
      </c>
      <c r="H474" t="s">
        <v>74</v>
      </c>
      <c r="I474" t="s">
        <v>3801</v>
      </c>
      <c r="J474" t="s">
        <v>3026</v>
      </c>
      <c r="K474" t="s">
        <v>74</v>
      </c>
      <c r="L474" t="s">
        <v>74</v>
      </c>
      <c r="M474" t="s">
        <v>74</v>
      </c>
      <c r="N474" t="s">
        <v>74</v>
      </c>
      <c r="O474" t="s">
        <v>74</v>
      </c>
      <c r="P474" t="s">
        <v>74</v>
      </c>
      <c r="Q474" t="s">
        <v>74</v>
      </c>
      <c r="R474" t="s">
        <v>74</v>
      </c>
      <c r="S474" t="s">
        <v>74</v>
      </c>
      <c r="T474" t="s">
        <v>74</v>
      </c>
      <c r="U474" t="s">
        <v>74</v>
      </c>
      <c r="V474" s="3" t="s">
        <v>3802</v>
      </c>
      <c r="W474" t="s">
        <v>74</v>
      </c>
      <c r="X474" t="s">
        <v>74</v>
      </c>
      <c r="Y474" t="s">
        <v>74</v>
      </c>
      <c r="Z474" t="s">
        <v>74</v>
      </c>
      <c r="AA474" t="s">
        <v>74</v>
      </c>
      <c r="AB474" t="s">
        <v>74</v>
      </c>
      <c r="AC474" t="s">
        <v>74</v>
      </c>
      <c r="AD474" t="s">
        <v>74</v>
      </c>
      <c r="AE474" t="s">
        <v>74</v>
      </c>
      <c r="AF474" t="s">
        <v>74</v>
      </c>
      <c r="AG474" t="s">
        <v>74</v>
      </c>
      <c r="AH474" t="s">
        <v>74</v>
      </c>
      <c r="AI474" t="s">
        <v>74</v>
      </c>
      <c r="AJ474" t="s">
        <v>74</v>
      </c>
      <c r="AK474" t="s">
        <v>74</v>
      </c>
      <c r="AL474" t="s">
        <v>74</v>
      </c>
      <c r="AM474" t="s">
        <v>74</v>
      </c>
      <c r="AN474" t="s">
        <v>74</v>
      </c>
      <c r="AO474" t="s">
        <v>3030</v>
      </c>
      <c r="AP474" t="s">
        <v>74</v>
      </c>
      <c r="AQ474" t="s">
        <v>74</v>
      </c>
      <c r="AR474" t="s">
        <v>74</v>
      </c>
      <c r="AS474" t="s">
        <v>74</v>
      </c>
      <c r="AT474" t="s">
        <v>3803</v>
      </c>
      <c r="AU474">
        <v>2014</v>
      </c>
      <c r="AV474">
        <v>3</v>
      </c>
      <c r="AW474">
        <v>3</v>
      </c>
      <c r="AX474" t="s">
        <v>74</v>
      </c>
      <c r="AY474" t="s">
        <v>74</v>
      </c>
      <c r="AZ474" t="s">
        <v>74</v>
      </c>
      <c r="BA474" t="s">
        <v>74</v>
      </c>
      <c r="BB474">
        <v>221</v>
      </c>
      <c r="BC474">
        <v>230</v>
      </c>
      <c r="BD474" t="s">
        <v>74</v>
      </c>
      <c r="BE474" t="s">
        <v>3804</v>
      </c>
      <c r="BF474" t="str">
        <f>HYPERLINK("http://dx.doi.org/10.1242/bio.20146445","http://dx.doi.org/10.1242/bio.20146445")</f>
        <v>http://dx.doi.org/10.1242/bio.20146445</v>
      </c>
      <c r="BG474" t="s">
        <v>74</v>
      </c>
      <c r="BH474" t="s">
        <v>74</v>
      </c>
      <c r="BI474" t="s">
        <v>74</v>
      </c>
      <c r="BJ474" t="s">
        <v>74</v>
      </c>
      <c r="BK474" t="s">
        <v>74</v>
      </c>
      <c r="BL474" t="s">
        <v>74</v>
      </c>
      <c r="BM474" t="s">
        <v>74</v>
      </c>
      <c r="BN474">
        <v>24585774</v>
      </c>
      <c r="BO474" t="s">
        <v>74</v>
      </c>
      <c r="BP474" t="s">
        <v>74</v>
      </c>
      <c r="BQ474" t="s">
        <v>74</v>
      </c>
      <c r="BR474" t="s">
        <v>74</v>
      </c>
      <c r="BS474" t="s">
        <v>3805</v>
      </c>
      <c r="BT474" t="str">
        <f>HYPERLINK("https%3A%2F%2Fwww.webofscience.com%2Fwos%2Fwoscc%2Ffull-record%2FWOS:000348066100005","View Full Record in Web of Science")</f>
        <v>View Full Record in Web of Science</v>
      </c>
    </row>
    <row r="475" spans="1:72" x14ac:dyDescent="0.4">
      <c r="A475" t="s">
        <v>72</v>
      </c>
      <c r="B475" t="s">
        <v>3689</v>
      </c>
      <c r="C475" t="s">
        <v>74</v>
      </c>
      <c r="D475" t="s">
        <v>74</v>
      </c>
      <c r="E475" t="s">
        <v>74</v>
      </c>
      <c r="F475" t="s">
        <v>3690</v>
      </c>
      <c r="G475" t="s">
        <v>74</v>
      </c>
      <c r="H475" t="s">
        <v>74</v>
      </c>
      <c r="I475" t="s">
        <v>3691</v>
      </c>
      <c r="J475" t="s">
        <v>140</v>
      </c>
      <c r="K475" t="s">
        <v>74</v>
      </c>
      <c r="L475" t="s">
        <v>74</v>
      </c>
      <c r="M475" t="s">
        <v>74</v>
      </c>
      <c r="N475" t="s">
        <v>74</v>
      </c>
      <c r="O475" t="s">
        <v>74</v>
      </c>
      <c r="P475" t="s">
        <v>74</v>
      </c>
      <c r="Q475" t="s">
        <v>74</v>
      </c>
      <c r="R475" t="s">
        <v>74</v>
      </c>
      <c r="S475" t="s">
        <v>74</v>
      </c>
      <c r="T475" t="s">
        <v>74</v>
      </c>
      <c r="U475" t="s">
        <v>74</v>
      </c>
      <c r="V475" s="3" t="s">
        <v>3692</v>
      </c>
      <c r="W475" t="s">
        <v>74</v>
      </c>
      <c r="X475" t="s">
        <v>74</v>
      </c>
      <c r="Y475" t="s">
        <v>74</v>
      </c>
      <c r="Z475" t="s">
        <v>74</v>
      </c>
      <c r="AA475" t="s">
        <v>3693</v>
      </c>
      <c r="AB475" t="s">
        <v>3694</v>
      </c>
      <c r="AC475" t="s">
        <v>74</v>
      </c>
      <c r="AD475" t="s">
        <v>74</v>
      </c>
      <c r="AE475" t="s">
        <v>74</v>
      </c>
      <c r="AF475" t="s">
        <v>74</v>
      </c>
      <c r="AG475" t="s">
        <v>74</v>
      </c>
      <c r="AH475" t="s">
        <v>74</v>
      </c>
      <c r="AI475" t="s">
        <v>74</v>
      </c>
      <c r="AJ475" t="s">
        <v>74</v>
      </c>
      <c r="AK475" t="s">
        <v>74</v>
      </c>
      <c r="AL475" t="s">
        <v>74</v>
      </c>
      <c r="AM475" t="s">
        <v>74</v>
      </c>
      <c r="AN475" t="s">
        <v>74</v>
      </c>
      <c r="AO475" t="s">
        <v>143</v>
      </c>
      <c r="AP475" t="s">
        <v>144</v>
      </c>
      <c r="AQ475" t="s">
        <v>74</v>
      </c>
      <c r="AR475" t="s">
        <v>74</v>
      </c>
      <c r="AS475" t="s">
        <v>74</v>
      </c>
      <c r="AT475" t="s">
        <v>204</v>
      </c>
      <c r="AU475">
        <v>2014</v>
      </c>
      <c r="AV475">
        <v>93</v>
      </c>
      <c r="AW475" t="s">
        <v>74</v>
      </c>
      <c r="AX475" t="s">
        <v>74</v>
      </c>
      <c r="AY475" t="s">
        <v>74</v>
      </c>
      <c r="AZ475" t="s">
        <v>74</v>
      </c>
      <c r="BA475" t="s">
        <v>74</v>
      </c>
      <c r="BB475">
        <v>207</v>
      </c>
      <c r="BC475">
        <v>219</v>
      </c>
      <c r="BD475" t="s">
        <v>74</v>
      </c>
      <c r="BE475" t="s">
        <v>3695</v>
      </c>
      <c r="BF475" t="str">
        <f>HYPERLINK("http://dx.doi.org/10.1016/j.anbehav.2014.04.015","http://dx.doi.org/10.1016/j.anbehav.2014.04.015")</f>
        <v>http://dx.doi.org/10.1016/j.anbehav.2014.04.015</v>
      </c>
      <c r="BG475" t="s">
        <v>74</v>
      </c>
      <c r="BH475" t="s">
        <v>74</v>
      </c>
      <c r="BI475" t="s">
        <v>74</v>
      </c>
      <c r="BJ475" t="s">
        <v>74</v>
      </c>
      <c r="BK475" t="s">
        <v>74</v>
      </c>
      <c r="BL475" t="s">
        <v>74</v>
      </c>
      <c r="BM475" t="s">
        <v>74</v>
      </c>
      <c r="BN475">
        <v>25045171</v>
      </c>
      <c r="BO475" t="s">
        <v>74</v>
      </c>
      <c r="BP475" t="s">
        <v>74</v>
      </c>
      <c r="BQ475" t="s">
        <v>74</v>
      </c>
      <c r="BR475" t="s">
        <v>74</v>
      </c>
      <c r="BS475" t="s">
        <v>3696</v>
      </c>
      <c r="BT475" t="str">
        <f>HYPERLINK("https%3A%2F%2Fwww.webofscience.com%2Fwos%2Fwoscc%2Ffull-record%2FWOS:000338712900026","View Full Record in Web of Science")</f>
        <v>View Full Record in Web of Science</v>
      </c>
    </row>
    <row r="476" spans="1:72" x14ac:dyDescent="0.4">
      <c r="A476" t="s">
        <v>72</v>
      </c>
      <c r="B476" t="s">
        <v>2272</v>
      </c>
      <c r="C476" t="s">
        <v>74</v>
      </c>
      <c r="D476" t="s">
        <v>74</v>
      </c>
      <c r="E476" t="s">
        <v>74</v>
      </c>
      <c r="F476" t="s">
        <v>2273</v>
      </c>
      <c r="G476" t="s">
        <v>74</v>
      </c>
      <c r="H476" t="s">
        <v>74</v>
      </c>
      <c r="I476" t="s">
        <v>2274</v>
      </c>
      <c r="J476" t="s">
        <v>2275</v>
      </c>
      <c r="K476" t="s">
        <v>74</v>
      </c>
      <c r="L476" t="s">
        <v>74</v>
      </c>
      <c r="M476" t="s">
        <v>74</v>
      </c>
      <c r="N476" t="s">
        <v>74</v>
      </c>
      <c r="O476" t="s">
        <v>74</v>
      </c>
      <c r="P476" t="s">
        <v>74</v>
      </c>
      <c r="Q476" t="s">
        <v>74</v>
      </c>
      <c r="R476" t="s">
        <v>74</v>
      </c>
      <c r="S476" t="s">
        <v>74</v>
      </c>
      <c r="T476" t="s">
        <v>74</v>
      </c>
      <c r="U476" t="s">
        <v>74</v>
      </c>
      <c r="V476" s="3" t="s">
        <v>2276</v>
      </c>
      <c r="W476" t="s">
        <v>74</v>
      </c>
      <c r="X476" t="s">
        <v>74</v>
      </c>
      <c r="Y476" t="s">
        <v>74</v>
      </c>
      <c r="Z476" t="s">
        <v>74</v>
      </c>
      <c r="AA476" t="s">
        <v>2277</v>
      </c>
      <c r="AB476" t="s">
        <v>2278</v>
      </c>
      <c r="AC476" t="s">
        <v>74</v>
      </c>
      <c r="AD476" t="s">
        <v>74</v>
      </c>
      <c r="AE476" t="s">
        <v>74</v>
      </c>
      <c r="AF476" t="s">
        <v>74</v>
      </c>
      <c r="AG476" t="s">
        <v>74</v>
      </c>
      <c r="AH476" t="s">
        <v>74</v>
      </c>
      <c r="AI476" t="s">
        <v>74</v>
      </c>
      <c r="AJ476" t="s">
        <v>74</v>
      </c>
      <c r="AK476" t="s">
        <v>74</v>
      </c>
      <c r="AL476" t="s">
        <v>74</v>
      </c>
      <c r="AM476" t="s">
        <v>74</v>
      </c>
      <c r="AN476" t="s">
        <v>74</v>
      </c>
      <c r="AO476" t="s">
        <v>2279</v>
      </c>
      <c r="AP476" t="s">
        <v>2280</v>
      </c>
      <c r="AQ476" t="s">
        <v>74</v>
      </c>
      <c r="AR476" t="s">
        <v>74</v>
      </c>
      <c r="AS476" t="s">
        <v>74</v>
      </c>
      <c r="AT476" t="s">
        <v>2281</v>
      </c>
      <c r="AU476">
        <v>2019</v>
      </c>
      <c r="AV476" t="s">
        <v>74</v>
      </c>
      <c r="AW476" t="s">
        <v>74</v>
      </c>
      <c r="AX476" t="s">
        <v>74</v>
      </c>
      <c r="AY476" t="s">
        <v>74</v>
      </c>
      <c r="AZ476" t="s">
        <v>74</v>
      </c>
      <c r="BA476" t="s">
        <v>74</v>
      </c>
      <c r="BB476" t="s">
        <v>74</v>
      </c>
      <c r="BC476" t="s">
        <v>74</v>
      </c>
      <c r="BD476" t="s">
        <v>74</v>
      </c>
      <c r="BE476" t="s">
        <v>2282</v>
      </c>
      <c r="BF476" t="str">
        <f>HYPERLINK("http://dx.doi.org/10.1080/14772000.2019.1687603","http://dx.doi.org/10.1080/14772000.2019.1687603")</f>
        <v>http://dx.doi.org/10.1080/14772000.2019.1687603</v>
      </c>
      <c r="BG476" t="s">
        <v>74</v>
      </c>
      <c r="BH476" t="s">
        <v>2283</v>
      </c>
      <c r="BI476" t="s">
        <v>74</v>
      </c>
      <c r="BJ476" t="s">
        <v>74</v>
      </c>
      <c r="BK476" t="s">
        <v>74</v>
      </c>
      <c r="BL476" t="s">
        <v>74</v>
      </c>
      <c r="BM476" t="s">
        <v>74</v>
      </c>
      <c r="BN476" t="s">
        <v>74</v>
      </c>
      <c r="BO476" t="s">
        <v>74</v>
      </c>
      <c r="BP476" t="s">
        <v>74</v>
      </c>
      <c r="BQ476" t="s">
        <v>74</v>
      </c>
      <c r="BR476" t="s">
        <v>74</v>
      </c>
      <c r="BS476" t="s">
        <v>2284</v>
      </c>
      <c r="BT476" t="str">
        <f>HYPERLINK("https%3A%2F%2Fwww.webofscience.com%2Fwos%2Fwoscc%2Ffull-record%2FWOS:000499312800001","View Full Record in Web of Science")</f>
        <v>View Full Record in Web of Science</v>
      </c>
    </row>
    <row r="477" spans="1:72" x14ac:dyDescent="0.4">
      <c r="A477" t="s">
        <v>72</v>
      </c>
      <c r="B477" t="s">
        <v>3966</v>
      </c>
      <c r="C477" t="s">
        <v>74</v>
      </c>
      <c r="D477" t="s">
        <v>74</v>
      </c>
      <c r="E477" t="s">
        <v>74</v>
      </c>
      <c r="F477" t="s">
        <v>3966</v>
      </c>
      <c r="G477" t="s">
        <v>74</v>
      </c>
      <c r="H477" t="s">
        <v>74</v>
      </c>
      <c r="I477" t="s">
        <v>3967</v>
      </c>
      <c r="J477" t="s">
        <v>610</v>
      </c>
      <c r="K477" t="s">
        <v>74</v>
      </c>
      <c r="L477" t="s">
        <v>74</v>
      </c>
      <c r="M477" t="s">
        <v>74</v>
      </c>
      <c r="N477" t="s">
        <v>74</v>
      </c>
      <c r="O477" t="s">
        <v>74</v>
      </c>
      <c r="P477" t="s">
        <v>74</v>
      </c>
      <c r="Q477" t="s">
        <v>74</v>
      </c>
      <c r="R477" t="s">
        <v>74</v>
      </c>
      <c r="S477" t="s">
        <v>74</v>
      </c>
      <c r="T477" t="s">
        <v>74</v>
      </c>
      <c r="U477" t="s">
        <v>74</v>
      </c>
      <c r="V477" s="3" t="s">
        <v>3968</v>
      </c>
      <c r="W477" t="s">
        <v>74</v>
      </c>
      <c r="X477" t="s">
        <v>74</v>
      </c>
      <c r="Y477" t="s">
        <v>74</v>
      </c>
      <c r="Z477" t="s">
        <v>74</v>
      </c>
      <c r="AA477" t="s">
        <v>74</v>
      </c>
      <c r="AB477" t="s">
        <v>74</v>
      </c>
      <c r="AC477" t="s">
        <v>74</v>
      </c>
      <c r="AD477" t="s">
        <v>74</v>
      </c>
      <c r="AE477" t="s">
        <v>74</v>
      </c>
      <c r="AF477" t="s">
        <v>74</v>
      </c>
      <c r="AG477" t="s">
        <v>74</v>
      </c>
      <c r="AH477" t="s">
        <v>74</v>
      </c>
      <c r="AI477" t="s">
        <v>74</v>
      </c>
      <c r="AJ477" t="s">
        <v>74</v>
      </c>
      <c r="AK477" t="s">
        <v>74</v>
      </c>
      <c r="AL477" t="s">
        <v>74</v>
      </c>
      <c r="AM477" t="s">
        <v>74</v>
      </c>
      <c r="AN477" t="s">
        <v>74</v>
      </c>
      <c r="AO477" t="s">
        <v>614</v>
      </c>
      <c r="AP477" t="s">
        <v>74</v>
      </c>
      <c r="AQ477" t="s">
        <v>74</v>
      </c>
      <c r="AR477" t="s">
        <v>74</v>
      </c>
      <c r="AS477" t="s">
        <v>74</v>
      </c>
      <c r="AT477" t="s">
        <v>964</v>
      </c>
      <c r="AU477">
        <v>1994</v>
      </c>
      <c r="AV477">
        <v>96</v>
      </c>
      <c r="AW477">
        <v>2</v>
      </c>
      <c r="AX477" t="s">
        <v>74</v>
      </c>
      <c r="AY477" t="s">
        <v>74</v>
      </c>
      <c r="AZ477" t="s">
        <v>74</v>
      </c>
      <c r="BA477" t="s">
        <v>74</v>
      </c>
      <c r="BB477">
        <v>147</v>
      </c>
      <c r="BC477">
        <v>154</v>
      </c>
      <c r="BD477" t="s">
        <v>74</v>
      </c>
      <c r="BE477" t="s">
        <v>74</v>
      </c>
      <c r="BF477" t="s">
        <v>74</v>
      </c>
      <c r="BG477" t="s">
        <v>74</v>
      </c>
      <c r="BH477" t="s">
        <v>74</v>
      </c>
      <c r="BI477" t="s">
        <v>74</v>
      </c>
      <c r="BJ477" t="s">
        <v>74</v>
      </c>
      <c r="BK477" t="s">
        <v>74</v>
      </c>
      <c r="BL477" t="s">
        <v>74</v>
      </c>
      <c r="BM477" t="s">
        <v>74</v>
      </c>
      <c r="BN477" t="s">
        <v>74</v>
      </c>
      <c r="BO477" t="s">
        <v>74</v>
      </c>
      <c r="BP477" t="s">
        <v>74</v>
      </c>
      <c r="BQ477" t="s">
        <v>74</v>
      </c>
      <c r="BR477" t="s">
        <v>74</v>
      </c>
      <c r="BS477" t="s">
        <v>3969</v>
      </c>
      <c r="BT477" t="str">
        <f>HYPERLINK("https%3A%2F%2Fwww.webofscience.com%2Fwos%2Fwoscc%2Ffull-record%2FWOS:A1994NJ52600006","View Full Record in Web of Science")</f>
        <v>View Full Record in Web of Science</v>
      </c>
    </row>
    <row r="478" spans="1:72" x14ac:dyDescent="0.4">
      <c r="A478" t="s">
        <v>72</v>
      </c>
      <c r="B478" t="s">
        <v>6224</v>
      </c>
      <c r="C478" t="s">
        <v>74</v>
      </c>
      <c r="D478" t="s">
        <v>74</v>
      </c>
      <c r="E478" t="s">
        <v>74</v>
      </c>
      <c r="F478" t="s">
        <v>6224</v>
      </c>
      <c r="G478" t="s">
        <v>74</v>
      </c>
      <c r="H478" t="s">
        <v>74</v>
      </c>
      <c r="I478" t="s">
        <v>6225</v>
      </c>
      <c r="J478" t="s">
        <v>6226</v>
      </c>
      <c r="K478" t="s">
        <v>74</v>
      </c>
      <c r="L478" t="s">
        <v>74</v>
      </c>
      <c r="M478" t="s">
        <v>74</v>
      </c>
      <c r="N478" t="s">
        <v>74</v>
      </c>
      <c r="O478" t="s">
        <v>74</v>
      </c>
      <c r="P478" t="s">
        <v>74</v>
      </c>
      <c r="Q478" t="s">
        <v>74</v>
      </c>
      <c r="R478" t="s">
        <v>74</v>
      </c>
      <c r="S478" t="s">
        <v>74</v>
      </c>
      <c r="T478" t="s">
        <v>74</v>
      </c>
      <c r="U478" t="s">
        <v>74</v>
      </c>
      <c r="V478" s="3" t="s">
        <v>6227</v>
      </c>
      <c r="W478" t="s">
        <v>74</v>
      </c>
      <c r="X478" t="s">
        <v>74</v>
      </c>
      <c r="Y478" t="s">
        <v>74</v>
      </c>
      <c r="Z478" t="s">
        <v>74</v>
      </c>
      <c r="AA478" t="s">
        <v>74</v>
      </c>
      <c r="AB478" t="s">
        <v>74</v>
      </c>
      <c r="AC478" t="s">
        <v>74</v>
      </c>
      <c r="AD478" t="s">
        <v>74</v>
      </c>
      <c r="AE478" t="s">
        <v>74</v>
      </c>
      <c r="AF478" t="s">
        <v>74</v>
      </c>
      <c r="AG478" t="s">
        <v>74</v>
      </c>
      <c r="AH478" t="s">
        <v>74</v>
      </c>
      <c r="AI478" t="s">
        <v>74</v>
      </c>
      <c r="AJ478" t="s">
        <v>74</v>
      </c>
      <c r="AK478" t="s">
        <v>74</v>
      </c>
      <c r="AL478" t="s">
        <v>74</v>
      </c>
      <c r="AM478" t="s">
        <v>74</v>
      </c>
      <c r="AN478" t="s">
        <v>74</v>
      </c>
      <c r="AO478" t="s">
        <v>6228</v>
      </c>
      <c r="AP478" t="s">
        <v>6229</v>
      </c>
      <c r="AQ478" t="s">
        <v>74</v>
      </c>
      <c r="AR478" t="s">
        <v>74</v>
      </c>
      <c r="AS478" t="s">
        <v>74</v>
      </c>
      <c r="AT478" t="s">
        <v>633</v>
      </c>
      <c r="AU478">
        <v>2005</v>
      </c>
      <c r="AV478">
        <v>44</v>
      </c>
      <c r="AW478">
        <v>2</v>
      </c>
      <c r="AX478" t="s">
        <v>74</v>
      </c>
      <c r="AY478" t="s">
        <v>74</v>
      </c>
      <c r="AZ478" t="s">
        <v>74</v>
      </c>
      <c r="BA478" t="s">
        <v>74</v>
      </c>
      <c r="BB478">
        <v>200</v>
      </c>
      <c r="BC478">
        <v>209</v>
      </c>
      <c r="BD478" t="s">
        <v>74</v>
      </c>
      <c r="BE478" t="s">
        <v>74</v>
      </c>
      <c r="BF478" t="s">
        <v>74</v>
      </c>
      <c r="BG478" t="s">
        <v>74</v>
      </c>
      <c r="BH478" t="s">
        <v>74</v>
      </c>
      <c r="BI478" t="s">
        <v>74</v>
      </c>
      <c r="BJ478" t="s">
        <v>74</v>
      </c>
      <c r="BK478" t="s">
        <v>74</v>
      </c>
      <c r="BL478" t="s">
        <v>74</v>
      </c>
      <c r="BM478" t="s">
        <v>74</v>
      </c>
      <c r="BN478" t="s">
        <v>74</v>
      </c>
      <c r="BO478" t="s">
        <v>74</v>
      </c>
      <c r="BP478" t="s">
        <v>74</v>
      </c>
      <c r="BQ478" t="s">
        <v>74</v>
      </c>
      <c r="BR478" t="s">
        <v>74</v>
      </c>
      <c r="BS478" t="s">
        <v>6230</v>
      </c>
      <c r="BT478" t="str">
        <f>HYPERLINK("https%3A%2F%2Fwww.webofscience.com%2Fwos%2Fwoscc%2Ffull-record%2FWOS:000229810000003","View Full Record in Web of Science")</f>
        <v>View Full Record in Web of Science</v>
      </c>
    </row>
    <row r="479" spans="1:72" x14ac:dyDescent="0.4">
      <c r="A479" t="s">
        <v>72</v>
      </c>
      <c r="B479" t="s">
        <v>5843</v>
      </c>
      <c r="C479" t="s">
        <v>74</v>
      </c>
      <c r="D479" t="s">
        <v>74</v>
      </c>
      <c r="E479" t="s">
        <v>74</v>
      </c>
      <c r="F479" t="s">
        <v>5844</v>
      </c>
      <c r="G479" t="s">
        <v>74</v>
      </c>
      <c r="H479" t="s">
        <v>74</v>
      </c>
      <c r="I479" t="s">
        <v>5845</v>
      </c>
      <c r="J479" t="s">
        <v>814</v>
      </c>
      <c r="K479" t="s">
        <v>74</v>
      </c>
      <c r="L479" t="s">
        <v>74</v>
      </c>
      <c r="M479" t="s">
        <v>74</v>
      </c>
      <c r="N479" t="s">
        <v>74</v>
      </c>
      <c r="O479" t="s">
        <v>74</v>
      </c>
      <c r="P479" t="s">
        <v>74</v>
      </c>
      <c r="Q479" t="s">
        <v>74</v>
      </c>
      <c r="R479" t="s">
        <v>74</v>
      </c>
      <c r="S479" t="s">
        <v>74</v>
      </c>
      <c r="T479" t="s">
        <v>74</v>
      </c>
      <c r="U479" t="s">
        <v>74</v>
      </c>
      <c r="V479" s="3" t="s">
        <v>5846</v>
      </c>
      <c r="W479" t="s">
        <v>74</v>
      </c>
      <c r="X479" t="s">
        <v>74</v>
      </c>
      <c r="Y479" t="s">
        <v>74</v>
      </c>
      <c r="Z479" t="s">
        <v>74</v>
      </c>
      <c r="AA479" t="s">
        <v>74</v>
      </c>
      <c r="AB479" t="s">
        <v>74</v>
      </c>
      <c r="AC479" t="s">
        <v>74</v>
      </c>
      <c r="AD479" t="s">
        <v>74</v>
      </c>
      <c r="AE479" t="s">
        <v>74</v>
      </c>
      <c r="AF479" t="s">
        <v>74</v>
      </c>
      <c r="AG479" t="s">
        <v>74</v>
      </c>
      <c r="AH479" t="s">
        <v>74</v>
      </c>
      <c r="AI479" t="s">
        <v>74</v>
      </c>
      <c r="AJ479" t="s">
        <v>74</v>
      </c>
      <c r="AK479" t="s">
        <v>74</v>
      </c>
      <c r="AL479" t="s">
        <v>74</v>
      </c>
      <c r="AM479" t="s">
        <v>74</v>
      </c>
      <c r="AN479" t="s">
        <v>74</v>
      </c>
      <c r="AO479" t="s">
        <v>818</v>
      </c>
      <c r="AP479" t="s">
        <v>1505</v>
      </c>
      <c r="AQ479" t="s">
        <v>74</v>
      </c>
      <c r="AR479" t="s">
        <v>74</v>
      </c>
      <c r="AS479" t="s">
        <v>74</v>
      </c>
      <c r="AT479" t="s">
        <v>964</v>
      </c>
      <c r="AU479">
        <v>2021</v>
      </c>
      <c r="AV479">
        <v>144</v>
      </c>
      <c r="AW479" t="s">
        <v>74</v>
      </c>
      <c r="AX479" t="s">
        <v>74</v>
      </c>
      <c r="AY479" t="s">
        <v>74</v>
      </c>
      <c r="AZ479" t="s">
        <v>74</v>
      </c>
      <c r="BA479" t="s">
        <v>74</v>
      </c>
      <c r="BB479" t="s">
        <v>74</v>
      </c>
      <c r="BC479" t="s">
        <v>74</v>
      </c>
      <c r="BD479">
        <v>125874</v>
      </c>
      <c r="BE479" t="s">
        <v>5847</v>
      </c>
      <c r="BF479" t="str">
        <f>HYPERLINK("http://dx.doi.org/10.1016/j.zool.2020.125874","http://dx.doi.org/10.1016/j.zool.2020.125874")</f>
        <v>http://dx.doi.org/10.1016/j.zool.2020.125874</v>
      </c>
      <c r="BG479" t="s">
        <v>74</v>
      </c>
      <c r="BH479" t="s">
        <v>74</v>
      </c>
      <c r="BI479" t="s">
        <v>74</v>
      </c>
      <c r="BJ479" t="s">
        <v>74</v>
      </c>
      <c r="BK479" t="s">
        <v>74</v>
      </c>
      <c r="BL479" t="s">
        <v>74</v>
      </c>
      <c r="BM479" t="s">
        <v>74</v>
      </c>
      <c r="BN479">
        <v>33279867</v>
      </c>
      <c r="BO479" t="s">
        <v>74</v>
      </c>
      <c r="BP479" t="s">
        <v>74</v>
      </c>
      <c r="BQ479" t="s">
        <v>74</v>
      </c>
      <c r="BR479" t="s">
        <v>74</v>
      </c>
      <c r="BS479" t="s">
        <v>5848</v>
      </c>
      <c r="BT479" t="str">
        <f>HYPERLINK("https%3A%2F%2Fwww.webofscience.com%2Fwos%2Fwoscc%2Ffull-record%2FWOS:000618276500003","View Full Record in Web of Science")</f>
        <v>View Full Record in Web of Science</v>
      </c>
    </row>
    <row r="480" spans="1:72" x14ac:dyDescent="0.4">
      <c r="A480" t="s">
        <v>72</v>
      </c>
      <c r="B480" t="s">
        <v>2641</v>
      </c>
      <c r="C480" t="s">
        <v>74</v>
      </c>
      <c r="D480" t="s">
        <v>74</v>
      </c>
      <c r="E480" t="s">
        <v>74</v>
      </c>
      <c r="F480" t="s">
        <v>2642</v>
      </c>
      <c r="G480" t="s">
        <v>74</v>
      </c>
      <c r="H480" t="s">
        <v>74</v>
      </c>
      <c r="I480" t="s">
        <v>2643</v>
      </c>
      <c r="J480" t="s">
        <v>192</v>
      </c>
      <c r="K480" t="s">
        <v>74</v>
      </c>
      <c r="L480" t="s">
        <v>74</v>
      </c>
      <c r="M480" t="s">
        <v>74</v>
      </c>
      <c r="N480" t="s">
        <v>74</v>
      </c>
      <c r="O480" t="s">
        <v>74</v>
      </c>
      <c r="P480" t="s">
        <v>74</v>
      </c>
      <c r="Q480" t="s">
        <v>74</v>
      </c>
      <c r="R480" t="s">
        <v>74</v>
      </c>
      <c r="S480" t="s">
        <v>74</v>
      </c>
      <c r="T480" t="s">
        <v>74</v>
      </c>
      <c r="U480" t="s">
        <v>74</v>
      </c>
      <c r="V480" s="3" t="s">
        <v>2644</v>
      </c>
      <c r="W480" t="s">
        <v>74</v>
      </c>
      <c r="X480" t="s">
        <v>74</v>
      </c>
      <c r="Y480" t="s">
        <v>74</v>
      </c>
      <c r="Z480" t="s">
        <v>74</v>
      </c>
      <c r="AA480" t="s">
        <v>2645</v>
      </c>
      <c r="AB480" t="s">
        <v>74</v>
      </c>
      <c r="AC480" t="s">
        <v>74</v>
      </c>
      <c r="AD480" t="s">
        <v>74</v>
      </c>
      <c r="AE480" t="s">
        <v>74</v>
      </c>
      <c r="AF480" t="s">
        <v>74</v>
      </c>
      <c r="AG480" t="s">
        <v>74</v>
      </c>
      <c r="AH480" t="s">
        <v>74</v>
      </c>
      <c r="AI480" t="s">
        <v>74</v>
      </c>
      <c r="AJ480" t="s">
        <v>74</v>
      </c>
      <c r="AK480" t="s">
        <v>74</v>
      </c>
      <c r="AL480" t="s">
        <v>74</v>
      </c>
      <c r="AM480" t="s">
        <v>74</v>
      </c>
      <c r="AN480" t="s">
        <v>74</v>
      </c>
      <c r="AO480" t="s">
        <v>195</v>
      </c>
      <c r="AP480" t="s">
        <v>196</v>
      </c>
      <c r="AQ480" t="s">
        <v>74</v>
      </c>
      <c r="AR480" t="s">
        <v>74</v>
      </c>
      <c r="AS480" t="s">
        <v>74</v>
      </c>
      <c r="AT480" t="s">
        <v>964</v>
      </c>
      <c r="AU480">
        <v>2008</v>
      </c>
      <c r="AV480">
        <v>598</v>
      </c>
      <c r="AW480" t="s">
        <v>74</v>
      </c>
      <c r="AX480" t="s">
        <v>74</v>
      </c>
      <c r="AY480" t="s">
        <v>74</v>
      </c>
      <c r="AZ480" t="s">
        <v>74</v>
      </c>
      <c r="BA480" t="s">
        <v>74</v>
      </c>
      <c r="BB480">
        <v>361</v>
      </c>
      <c r="BC480">
        <v>371</v>
      </c>
      <c r="BD480" t="s">
        <v>74</v>
      </c>
      <c r="BE480" t="s">
        <v>2646</v>
      </c>
      <c r="BF480" t="str">
        <f>HYPERLINK("http://dx.doi.org/10.1007/s10750-007-9169-z","http://dx.doi.org/10.1007/s10750-007-9169-z")</f>
        <v>http://dx.doi.org/10.1007/s10750-007-9169-z</v>
      </c>
      <c r="BG480" t="s">
        <v>74</v>
      </c>
      <c r="BH480" t="s">
        <v>74</v>
      </c>
      <c r="BI480" t="s">
        <v>74</v>
      </c>
      <c r="BJ480" t="s">
        <v>74</v>
      </c>
      <c r="BK480" t="s">
        <v>74</v>
      </c>
      <c r="BL480" t="s">
        <v>74</v>
      </c>
      <c r="BM480" t="s">
        <v>74</v>
      </c>
      <c r="BN480" t="s">
        <v>74</v>
      </c>
      <c r="BO480" t="s">
        <v>74</v>
      </c>
      <c r="BP480" t="s">
        <v>74</v>
      </c>
      <c r="BQ480" t="s">
        <v>74</v>
      </c>
      <c r="BR480" t="s">
        <v>74</v>
      </c>
      <c r="BS480" t="s">
        <v>2647</v>
      </c>
      <c r="BT480" t="str">
        <f>HYPERLINK("https%3A%2F%2Fwww.webofscience.com%2Fwos%2Fwoscc%2Ffull-record%2FWOS:000251874300028","View Full Record in Web of Science")</f>
        <v>View Full Record in Web of Science</v>
      </c>
    </row>
    <row r="481" spans="1:72" x14ac:dyDescent="0.4">
      <c r="A481" t="s">
        <v>72</v>
      </c>
      <c r="B481" t="s">
        <v>2334</v>
      </c>
      <c r="C481" t="s">
        <v>74</v>
      </c>
      <c r="D481" t="s">
        <v>74</v>
      </c>
      <c r="E481" t="s">
        <v>74</v>
      </c>
      <c r="F481" t="s">
        <v>2335</v>
      </c>
      <c r="G481" t="s">
        <v>74</v>
      </c>
      <c r="H481" t="s">
        <v>74</v>
      </c>
      <c r="I481" t="s">
        <v>2336</v>
      </c>
      <c r="J481" t="s">
        <v>545</v>
      </c>
      <c r="K481" t="s">
        <v>74</v>
      </c>
      <c r="L481" t="s">
        <v>74</v>
      </c>
      <c r="M481" t="s">
        <v>74</v>
      </c>
      <c r="N481" t="s">
        <v>74</v>
      </c>
      <c r="O481" t="s">
        <v>74</v>
      </c>
      <c r="P481" t="s">
        <v>74</v>
      </c>
      <c r="Q481" t="s">
        <v>74</v>
      </c>
      <c r="R481" t="s">
        <v>74</v>
      </c>
      <c r="S481" t="s">
        <v>74</v>
      </c>
      <c r="T481" t="s">
        <v>74</v>
      </c>
      <c r="U481" t="s">
        <v>74</v>
      </c>
      <c r="V481" s="3" t="s">
        <v>2337</v>
      </c>
      <c r="W481" t="s">
        <v>74</v>
      </c>
      <c r="X481" t="s">
        <v>74</v>
      </c>
      <c r="Y481" t="s">
        <v>74</v>
      </c>
      <c r="Z481" t="s">
        <v>74</v>
      </c>
      <c r="AA481" t="s">
        <v>2338</v>
      </c>
      <c r="AB481" t="s">
        <v>2339</v>
      </c>
      <c r="AC481" t="s">
        <v>74</v>
      </c>
      <c r="AD481" t="s">
        <v>74</v>
      </c>
      <c r="AE481" t="s">
        <v>74</v>
      </c>
      <c r="AF481" t="s">
        <v>74</v>
      </c>
      <c r="AG481" t="s">
        <v>74</v>
      </c>
      <c r="AH481" t="s">
        <v>74</v>
      </c>
      <c r="AI481" t="s">
        <v>74</v>
      </c>
      <c r="AJ481" t="s">
        <v>74</v>
      </c>
      <c r="AK481" t="s">
        <v>74</v>
      </c>
      <c r="AL481" t="s">
        <v>74</v>
      </c>
      <c r="AM481" t="s">
        <v>74</v>
      </c>
      <c r="AN481" t="s">
        <v>74</v>
      </c>
      <c r="AO481" t="s">
        <v>547</v>
      </c>
      <c r="AP481" t="s">
        <v>74</v>
      </c>
      <c r="AQ481" t="s">
        <v>74</v>
      </c>
      <c r="AR481" t="s">
        <v>74</v>
      </c>
      <c r="AS481" t="s">
        <v>74</v>
      </c>
      <c r="AT481" t="s">
        <v>74</v>
      </c>
      <c r="AU481">
        <v>2013</v>
      </c>
      <c r="AV481">
        <v>252</v>
      </c>
      <c r="AW481">
        <v>4</v>
      </c>
      <c r="AX481" t="s">
        <v>74</v>
      </c>
      <c r="AY481" t="s">
        <v>74</v>
      </c>
      <c r="AZ481" t="s">
        <v>74</v>
      </c>
      <c r="BA481" t="s">
        <v>74</v>
      </c>
      <c r="BB481">
        <v>511</v>
      </c>
      <c r="BC481">
        <v>521</v>
      </c>
      <c r="BD481" t="s">
        <v>74</v>
      </c>
      <c r="BE481" t="s">
        <v>2340</v>
      </c>
      <c r="BF481" t="str">
        <f>HYPERLINK("http://dx.doi.org/10.1016/j.jcz.2012.12.001","http://dx.doi.org/10.1016/j.jcz.2012.12.001")</f>
        <v>http://dx.doi.org/10.1016/j.jcz.2012.12.001</v>
      </c>
      <c r="BG481" t="s">
        <v>74</v>
      </c>
      <c r="BH481" t="s">
        <v>74</v>
      </c>
      <c r="BI481" t="s">
        <v>74</v>
      </c>
      <c r="BJ481" t="s">
        <v>74</v>
      </c>
      <c r="BK481" t="s">
        <v>74</v>
      </c>
      <c r="BL481" t="s">
        <v>74</v>
      </c>
      <c r="BM481" t="s">
        <v>74</v>
      </c>
      <c r="BN481" t="s">
        <v>74</v>
      </c>
      <c r="BO481" t="s">
        <v>74</v>
      </c>
      <c r="BP481" t="s">
        <v>74</v>
      </c>
      <c r="BQ481" t="s">
        <v>74</v>
      </c>
      <c r="BR481" t="s">
        <v>74</v>
      </c>
      <c r="BS481" t="s">
        <v>2341</v>
      </c>
      <c r="BT481" t="str">
        <f>HYPERLINK("https%3A%2F%2Fwww.webofscience.com%2Fwos%2Fwoscc%2Ffull-record%2FWOS:000322803400009","View Full Record in Web of Science")</f>
        <v>View Full Record in Web of Science</v>
      </c>
    </row>
    <row r="482" spans="1:72" x14ac:dyDescent="0.4">
      <c r="A482" t="s">
        <v>72</v>
      </c>
      <c r="B482" t="s">
        <v>1110</v>
      </c>
      <c r="C482" t="s">
        <v>74</v>
      </c>
      <c r="D482" t="s">
        <v>74</v>
      </c>
      <c r="E482" t="s">
        <v>74</v>
      </c>
      <c r="F482" t="s">
        <v>1110</v>
      </c>
      <c r="G482" t="s">
        <v>74</v>
      </c>
      <c r="H482" t="s">
        <v>74</v>
      </c>
      <c r="I482" t="s">
        <v>1111</v>
      </c>
      <c r="J482" t="s">
        <v>1112</v>
      </c>
      <c r="K482" t="s">
        <v>74</v>
      </c>
      <c r="L482" t="s">
        <v>74</v>
      </c>
      <c r="M482" t="s">
        <v>74</v>
      </c>
      <c r="N482" t="s">
        <v>74</v>
      </c>
      <c r="O482" t="s">
        <v>74</v>
      </c>
      <c r="P482" t="s">
        <v>74</v>
      </c>
      <c r="Q482" t="s">
        <v>74</v>
      </c>
      <c r="R482" t="s">
        <v>74</v>
      </c>
      <c r="S482" t="s">
        <v>74</v>
      </c>
      <c r="T482" t="s">
        <v>74</v>
      </c>
      <c r="U482" t="s">
        <v>74</v>
      </c>
      <c r="V482" s="3" t="s">
        <v>1113</v>
      </c>
      <c r="W482" t="s">
        <v>74</v>
      </c>
      <c r="X482" t="s">
        <v>74</v>
      </c>
      <c r="Y482" t="s">
        <v>74</v>
      </c>
      <c r="Z482" t="s">
        <v>74</v>
      </c>
      <c r="AA482" t="s">
        <v>74</v>
      </c>
      <c r="AB482" t="s">
        <v>74</v>
      </c>
      <c r="AC482" t="s">
        <v>74</v>
      </c>
      <c r="AD482" t="s">
        <v>74</v>
      </c>
      <c r="AE482" t="s">
        <v>74</v>
      </c>
      <c r="AF482" t="s">
        <v>74</v>
      </c>
      <c r="AG482" t="s">
        <v>74</v>
      </c>
      <c r="AH482" t="s">
        <v>74</v>
      </c>
      <c r="AI482" t="s">
        <v>74</v>
      </c>
      <c r="AJ482" t="s">
        <v>74</v>
      </c>
      <c r="AK482" t="s">
        <v>74</v>
      </c>
      <c r="AL482" t="s">
        <v>74</v>
      </c>
      <c r="AM482" t="s">
        <v>74</v>
      </c>
      <c r="AN482" t="s">
        <v>74</v>
      </c>
      <c r="AO482" t="s">
        <v>1114</v>
      </c>
      <c r="AP482" t="s">
        <v>1115</v>
      </c>
      <c r="AQ482" t="s">
        <v>74</v>
      </c>
      <c r="AR482" t="s">
        <v>74</v>
      </c>
      <c r="AS482" t="s">
        <v>74</v>
      </c>
      <c r="AT482" t="s">
        <v>1116</v>
      </c>
      <c r="AU482">
        <v>2004</v>
      </c>
      <c r="AV482">
        <v>86</v>
      </c>
      <c r="AW482" t="s">
        <v>548</v>
      </c>
      <c r="AX482" t="s">
        <v>74</v>
      </c>
      <c r="AY482" t="s">
        <v>74</v>
      </c>
      <c r="AZ482" t="s">
        <v>74</v>
      </c>
      <c r="BA482" t="s">
        <v>74</v>
      </c>
      <c r="BB482">
        <v>63</v>
      </c>
      <c r="BC482">
        <v>76</v>
      </c>
      <c r="BD482" t="s">
        <v>74</v>
      </c>
      <c r="BE482" t="s">
        <v>1117</v>
      </c>
      <c r="BF482" t="str">
        <f>HYPERLINK("http://dx.doi.org/10.1016/j.applanim.2003.12.003","http://dx.doi.org/10.1016/j.applanim.2003.12.003")</f>
        <v>http://dx.doi.org/10.1016/j.applanim.2003.12.003</v>
      </c>
      <c r="BG482" t="s">
        <v>74</v>
      </c>
      <c r="BH482" t="s">
        <v>74</v>
      </c>
      <c r="BI482" t="s">
        <v>74</v>
      </c>
      <c r="BJ482" t="s">
        <v>74</v>
      </c>
      <c r="BK482" t="s">
        <v>74</v>
      </c>
      <c r="BL482" t="s">
        <v>74</v>
      </c>
      <c r="BM482" t="s">
        <v>74</v>
      </c>
      <c r="BN482" t="s">
        <v>74</v>
      </c>
      <c r="BO482" t="s">
        <v>74</v>
      </c>
      <c r="BP482" t="s">
        <v>74</v>
      </c>
      <c r="BQ482" t="s">
        <v>74</v>
      </c>
      <c r="BR482" t="s">
        <v>74</v>
      </c>
      <c r="BS482" t="s">
        <v>1118</v>
      </c>
      <c r="BT482" t="str">
        <f>HYPERLINK("https%3A%2F%2Fwww.webofscience.com%2Fwos%2Fwoscc%2Ffull-record%2FWOS:000220316400006","View Full Record in Web of Science")</f>
        <v>View Full Record in Web of Science</v>
      </c>
    </row>
    <row r="483" spans="1:72" x14ac:dyDescent="0.4">
      <c r="A483" t="s">
        <v>72</v>
      </c>
      <c r="B483" t="s">
        <v>7720</v>
      </c>
      <c r="C483" t="s">
        <v>74</v>
      </c>
      <c r="D483" t="s">
        <v>74</v>
      </c>
      <c r="E483" t="s">
        <v>74</v>
      </c>
      <c r="F483" t="s">
        <v>7721</v>
      </c>
      <c r="G483" t="s">
        <v>74</v>
      </c>
      <c r="H483" t="s">
        <v>74</v>
      </c>
      <c r="I483" t="s">
        <v>7722</v>
      </c>
      <c r="J483" t="s">
        <v>7723</v>
      </c>
      <c r="K483" t="s">
        <v>74</v>
      </c>
      <c r="L483" t="s">
        <v>74</v>
      </c>
      <c r="M483" t="s">
        <v>74</v>
      </c>
      <c r="N483" t="s">
        <v>74</v>
      </c>
      <c r="O483" t="s">
        <v>74</v>
      </c>
      <c r="P483" t="s">
        <v>74</v>
      </c>
      <c r="Q483" t="s">
        <v>74</v>
      </c>
      <c r="R483" t="s">
        <v>74</v>
      </c>
      <c r="S483" t="s">
        <v>74</v>
      </c>
      <c r="T483" t="s">
        <v>74</v>
      </c>
      <c r="U483" t="s">
        <v>74</v>
      </c>
      <c r="V483" s="3" t="s">
        <v>7724</v>
      </c>
      <c r="W483" t="s">
        <v>74</v>
      </c>
      <c r="X483" t="s">
        <v>74</v>
      </c>
      <c r="Y483" t="s">
        <v>74</v>
      </c>
      <c r="Z483" t="s">
        <v>74</v>
      </c>
      <c r="AA483" t="s">
        <v>74</v>
      </c>
      <c r="AB483" t="s">
        <v>7725</v>
      </c>
      <c r="AC483" t="s">
        <v>74</v>
      </c>
      <c r="AD483" t="s">
        <v>74</v>
      </c>
      <c r="AE483" t="s">
        <v>74</v>
      </c>
      <c r="AF483" t="s">
        <v>74</v>
      </c>
      <c r="AG483" t="s">
        <v>74</v>
      </c>
      <c r="AH483" t="s">
        <v>74</v>
      </c>
      <c r="AI483" t="s">
        <v>74</v>
      </c>
      <c r="AJ483" t="s">
        <v>74</v>
      </c>
      <c r="AK483" t="s">
        <v>74</v>
      </c>
      <c r="AL483" t="s">
        <v>74</v>
      </c>
      <c r="AM483" t="s">
        <v>74</v>
      </c>
      <c r="AN483" t="s">
        <v>74</v>
      </c>
      <c r="AO483" t="s">
        <v>7726</v>
      </c>
      <c r="AP483" t="s">
        <v>7727</v>
      </c>
      <c r="AQ483" t="s">
        <v>74</v>
      </c>
      <c r="AR483" t="s">
        <v>74</v>
      </c>
      <c r="AS483" t="s">
        <v>74</v>
      </c>
      <c r="AT483" t="s">
        <v>352</v>
      </c>
      <c r="AU483">
        <v>2014</v>
      </c>
      <c r="AV483">
        <v>105</v>
      </c>
      <c r="AW483" t="s">
        <v>74</v>
      </c>
      <c r="AX483" t="s">
        <v>74</v>
      </c>
      <c r="AY483">
        <v>1</v>
      </c>
      <c r="AZ483" t="s">
        <v>848</v>
      </c>
      <c r="BA483" t="s">
        <v>74</v>
      </c>
      <c r="BB483">
        <v>821</v>
      </c>
      <c r="BC483">
        <v>833</v>
      </c>
      <c r="BD483" t="s">
        <v>74</v>
      </c>
      <c r="BE483" t="s">
        <v>7728</v>
      </c>
      <c r="BF483" t="str">
        <f>HYPERLINK("http://dx.doi.org/10.1093/jhered/esu041","http://dx.doi.org/10.1093/jhered/esu041")</f>
        <v>http://dx.doi.org/10.1093/jhered/esu041</v>
      </c>
      <c r="BG483" t="s">
        <v>74</v>
      </c>
      <c r="BH483" t="s">
        <v>74</v>
      </c>
      <c r="BI483" t="s">
        <v>74</v>
      </c>
      <c r="BJ483" t="s">
        <v>74</v>
      </c>
      <c r="BK483" t="s">
        <v>74</v>
      </c>
      <c r="BL483" t="s">
        <v>74</v>
      </c>
      <c r="BM483" t="s">
        <v>74</v>
      </c>
      <c r="BN483">
        <v>25149257</v>
      </c>
      <c r="BO483" t="s">
        <v>74</v>
      </c>
      <c r="BP483" t="s">
        <v>74</v>
      </c>
      <c r="BQ483" t="s">
        <v>74</v>
      </c>
      <c r="BR483" t="s">
        <v>74</v>
      </c>
      <c r="BS483" t="s">
        <v>7729</v>
      </c>
      <c r="BT483" t="str">
        <f>HYPERLINK("https%3A%2F%2Fwww.webofscience.com%2Fwos%2Fwoscc%2Ffull-record%2FWOS:000342995100008","View Full Record in Web of Science")</f>
        <v>View Full Record in Web of Science</v>
      </c>
    </row>
    <row r="484" spans="1:72" x14ac:dyDescent="0.4">
      <c r="A484" t="s">
        <v>72</v>
      </c>
      <c r="B484" t="s">
        <v>4844</v>
      </c>
      <c r="C484" t="s">
        <v>74</v>
      </c>
      <c r="D484" t="s">
        <v>74</v>
      </c>
      <c r="E484" t="s">
        <v>74</v>
      </c>
      <c r="F484" t="s">
        <v>4844</v>
      </c>
      <c r="G484" t="s">
        <v>74</v>
      </c>
      <c r="H484" t="s">
        <v>74</v>
      </c>
      <c r="I484" t="s">
        <v>4845</v>
      </c>
      <c r="J484" t="s">
        <v>140</v>
      </c>
      <c r="K484" t="s">
        <v>74</v>
      </c>
      <c r="L484" t="s">
        <v>74</v>
      </c>
      <c r="M484" t="s">
        <v>74</v>
      </c>
      <c r="N484" t="s">
        <v>74</v>
      </c>
      <c r="O484" t="s">
        <v>74</v>
      </c>
      <c r="P484" t="s">
        <v>74</v>
      </c>
      <c r="Q484" t="s">
        <v>74</v>
      </c>
      <c r="R484" t="s">
        <v>74</v>
      </c>
      <c r="S484" t="s">
        <v>74</v>
      </c>
      <c r="T484" t="s">
        <v>74</v>
      </c>
      <c r="U484" t="s">
        <v>74</v>
      </c>
      <c r="V484" s="3" t="s">
        <v>74</v>
      </c>
      <c r="W484" t="s">
        <v>74</v>
      </c>
      <c r="X484" t="s">
        <v>74</v>
      </c>
      <c r="Y484" t="s">
        <v>74</v>
      </c>
      <c r="Z484" t="s">
        <v>74</v>
      </c>
      <c r="AA484" t="s">
        <v>74</v>
      </c>
      <c r="AB484" t="s">
        <v>74</v>
      </c>
      <c r="AC484" t="s">
        <v>74</v>
      </c>
      <c r="AD484" t="s">
        <v>74</v>
      </c>
      <c r="AE484" t="s">
        <v>74</v>
      </c>
      <c r="AF484" t="s">
        <v>74</v>
      </c>
      <c r="AG484" t="s">
        <v>74</v>
      </c>
      <c r="AH484" t="s">
        <v>74</v>
      </c>
      <c r="AI484" t="s">
        <v>74</v>
      </c>
      <c r="AJ484" t="s">
        <v>74</v>
      </c>
      <c r="AK484" t="s">
        <v>74</v>
      </c>
      <c r="AL484" t="s">
        <v>74</v>
      </c>
      <c r="AM484" t="s">
        <v>74</v>
      </c>
      <c r="AN484" t="s">
        <v>74</v>
      </c>
      <c r="AO484" t="s">
        <v>143</v>
      </c>
      <c r="AP484" t="s">
        <v>144</v>
      </c>
      <c r="AQ484" t="s">
        <v>74</v>
      </c>
      <c r="AR484" t="s">
        <v>74</v>
      </c>
      <c r="AS484" t="s">
        <v>74</v>
      </c>
      <c r="AT484" t="s">
        <v>123</v>
      </c>
      <c r="AU484">
        <v>1993</v>
      </c>
      <c r="AV484">
        <v>45</v>
      </c>
      <c r="AW484">
        <v>3</v>
      </c>
      <c r="AX484" t="s">
        <v>74</v>
      </c>
      <c r="AY484" t="s">
        <v>74</v>
      </c>
      <c r="AZ484" t="s">
        <v>74</v>
      </c>
      <c r="BA484" t="s">
        <v>74</v>
      </c>
      <c r="BB484">
        <v>511</v>
      </c>
      <c r="BC484">
        <v>518</v>
      </c>
      <c r="BD484" t="s">
        <v>74</v>
      </c>
      <c r="BE484" t="s">
        <v>4846</v>
      </c>
      <c r="BF484" t="str">
        <f>HYPERLINK("http://dx.doi.org/10.1006/anbe.1993.1062","http://dx.doi.org/10.1006/anbe.1993.1062")</f>
        <v>http://dx.doi.org/10.1006/anbe.1993.1062</v>
      </c>
      <c r="BG484" t="s">
        <v>74</v>
      </c>
      <c r="BH484" t="s">
        <v>74</v>
      </c>
      <c r="BI484" t="s">
        <v>74</v>
      </c>
      <c r="BJ484" t="s">
        <v>74</v>
      </c>
      <c r="BK484" t="s">
        <v>74</v>
      </c>
      <c r="BL484" t="s">
        <v>74</v>
      </c>
      <c r="BM484" t="s">
        <v>74</v>
      </c>
      <c r="BN484" t="s">
        <v>74</v>
      </c>
      <c r="BO484" t="s">
        <v>74</v>
      </c>
      <c r="BP484" t="s">
        <v>74</v>
      </c>
      <c r="BQ484" t="s">
        <v>74</v>
      </c>
      <c r="BR484" t="s">
        <v>74</v>
      </c>
      <c r="BS484" t="s">
        <v>4847</v>
      </c>
      <c r="BT484" t="str">
        <f>HYPERLINK("https%3A%2F%2Fwww.webofscience.com%2Fwos%2Fwoscc%2Ffull-record%2FWOS:A1993KW24700009","View Full Record in Web of Science")</f>
        <v>View Full Record in Web of Science</v>
      </c>
    </row>
    <row r="485" spans="1:72" x14ac:dyDescent="0.4">
      <c r="A485" t="s">
        <v>72</v>
      </c>
      <c r="B485" t="s">
        <v>6594</v>
      </c>
      <c r="C485" t="s">
        <v>74</v>
      </c>
      <c r="D485" t="s">
        <v>74</v>
      </c>
      <c r="E485" t="s">
        <v>74</v>
      </c>
      <c r="F485" t="s">
        <v>6594</v>
      </c>
      <c r="G485" t="s">
        <v>74</v>
      </c>
      <c r="H485" t="s">
        <v>74</v>
      </c>
      <c r="I485" t="s">
        <v>6595</v>
      </c>
      <c r="J485" t="s">
        <v>140</v>
      </c>
      <c r="K485" t="s">
        <v>74</v>
      </c>
      <c r="L485" t="s">
        <v>74</v>
      </c>
      <c r="M485" t="s">
        <v>74</v>
      </c>
      <c r="N485" t="s">
        <v>74</v>
      </c>
      <c r="O485" t="s">
        <v>74</v>
      </c>
      <c r="P485" t="s">
        <v>74</v>
      </c>
      <c r="Q485" t="s">
        <v>74</v>
      </c>
      <c r="R485" t="s">
        <v>74</v>
      </c>
      <c r="S485" t="s">
        <v>74</v>
      </c>
      <c r="T485" t="s">
        <v>74</v>
      </c>
      <c r="U485" t="s">
        <v>74</v>
      </c>
      <c r="V485" s="3" t="s">
        <v>6596</v>
      </c>
      <c r="W485" t="s">
        <v>74</v>
      </c>
      <c r="X485" t="s">
        <v>74</v>
      </c>
      <c r="Y485" t="s">
        <v>74</v>
      </c>
      <c r="Z485" t="s">
        <v>74</v>
      </c>
      <c r="AA485" t="s">
        <v>6597</v>
      </c>
      <c r="AB485" t="s">
        <v>74</v>
      </c>
      <c r="AC485" t="s">
        <v>74</v>
      </c>
      <c r="AD485" t="s">
        <v>74</v>
      </c>
      <c r="AE485" t="s">
        <v>74</v>
      </c>
      <c r="AF485" t="s">
        <v>74</v>
      </c>
      <c r="AG485" t="s">
        <v>74</v>
      </c>
      <c r="AH485" t="s">
        <v>74</v>
      </c>
      <c r="AI485" t="s">
        <v>74</v>
      </c>
      <c r="AJ485" t="s">
        <v>74</v>
      </c>
      <c r="AK485" t="s">
        <v>74</v>
      </c>
      <c r="AL485" t="s">
        <v>74</v>
      </c>
      <c r="AM485" t="s">
        <v>74</v>
      </c>
      <c r="AN485" t="s">
        <v>74</v>
      </c>
      <c r="AO485" t="s">
        <v>143</v>
      </c>
      <c r="AP485" t="s">
        <v>144</v>
      </c>
      <c r="AQ485" t="s">
        <v>74</v>
      </c>
      <c r="AR485" t="s">
        <v>74</v>
      </c>
      <c r="AS485" t="s">
        <v>74</v>
      </c>
      <c r="AT485" t="s">
        <v>213</v>
      </c>
      <c r="AU485">
        <v>1997</v>
      </c>
      <c r="AV485">
        <v>54</v>
      </c>
      <c r="AW485" t="s">
        <v>74</v>
      </c>
      <c r="AX485">
        <v>5</v>
      </c>
      <c r="AY485" t="s">
        <v>74</v>
      </c>
      <c r="AZ485" t="s">
        <v>74</v>
      </c>
      <c r="BA485" t="s">
        <v>74</v>
      </c>
      <c r="BB485">
        <v>1309</v>
      </c>
      <c r="BC485">
        <v>1315</v>
      </c>
      <c r="BD485" t="s">
        <v>74</v>
      </c>
      <c r="BE485" t="s">
        <v>6598</v>
      </c>
      <c r="BF485" t="str">
        <f>HYPERLINK("http://dx.doi.org/10.1006/anbe.1997.0531","http://dx.doi.org/10.1006/anbe.1997.0531")</f>
        <v>http://dx.doi.org/10.1006/anbe.1997.0531</v>
      </c>
      <c r="BG485" t="s">
        <v>74</v>
      </c>
      <c r="BH485" t="s">
        <v>74</v>
      </c>
      <c r="BI485" t="s">
        <v>74</v>
      </c>
      <c r="BJ485" t="s">
        <v>74</v>
      </c>
      <c r="BK485" t="s">
        <v>74</v>
      </c>
      <c r="BL485" t="s">
        <v>74</v>
      </c>
      <c r="BM485" t="s">
        <v>74</v>
      </c>
      <c r="BN485">
        <v>9398384</v>
      </c>
      <c r="BO485" t="s">
        <v>74</v>
      </c>
      <c r="BP485" t="s">
        <v>74</v>
      </c>
      <c r="BQ485" t="s">
        <v>74</v>
      </c>
      <c r="BR485" t="s">
        <v>74</v>
      </c>
      <c r="BS485" t="s">
        <v>6599</v>
      </c>
      <c r="BT485" t="str">
        <f>HYPERLINK("https%3A%2F%2Fwww.webofscience.com%2Fwos%2Fwoscc%2Ffull-record%2FWOS:A1997YJ17400025","View Full Record in Web of Science")</f>
        <v>View Full Record in Web of Science</v>
      </c>
    </row>
    <row r="486" spans="1:72" x14ac:dyDescent="0.4">
      <c r="A486" t="s">
        <v>72</v>
      </c>
      <c r="B486" t="s">
        <v>2173</v>
      </c>
      <c r="C486" t="s">
        <v>74</v>
      </c>
      <c r="D486" t="s">
        <v>74</v>
      </c>
      <c r="E486" t="s">
        <v>74</v>
      </c>
      <c r="F486" t="s">
        <v>2174</v>
      </c>
      <c r="G486" t="s">
        <v>74</v>
      </c>
      <c r="H486" t="s">
        <v>74</v>
      </c>
      <c r="I486" t="s">
        <v>2175</v>
      </c>
      <c r="J486" t="s">
        <v>420</v>
      </c>
      <c r="K486" t="s">
        <v>74</v>
      </c>
      <c r="L486" t="s">
        <v>74</v>
      </c>
      <c r="M486" t="s">
        <v>74</v>
      </c>
      <c r="N486" t="s">
        <v>74</v>
      </c>
      <c r="O486" t="s">
        <v>74</v>
      </c>
      <c r="P486" t="s">
        <v>74</v>
      </c>
      <c r="Q486" t="s">
        <v>74</v>
      </c>
      <c r="R486" t="s">
        <v>74</v>
      </c>
      <c r="S486" t="s">
        <v>74</v>
      </c>
      <c r="T486" t="s">
        <v>74</v>
      </c>
      <c r="U486" t="s">
        <v>74</v>
      </c>
      <c r="V486" s="3" t="s">
        <v>2176</v>
      </c>
      <c r="W486" t="s">
        <v>74</v>
      </c>
      <c r="X486" t="s">
        <v>74</v>
      </c>
      <c r="Y486" t="s">
        <v>74</v>
      </c>
      <c r="Z486" t="s">
        <v>74</v>
      </c>
      <c r="AA486" t="s">
        <v>74</v>
      </c>
      <c r="AB486" t="s">
        <v>322</v>
      </c>
      <c r="AC486" t="s">
        <v>74</v>
      </c>
      <c r="AD486" t="s">
        <v>74</v>
      </c>
      <c r="AE486" t="s">
        <v>74</v>
      </c>
      <c r="AF486" t="s">
        <v>74</v>
      </c>
      <c r="AG486" t="s">
        <v>74</v>
      </c>
      <c r="AH486" t="s">
        <v>74</v>
      </c>
      <c r="AI486" t="s">
        <v>74</v>
      </c>
      <c r="AJ486" t="s">
        <v>74</v>
      </c>
      <c r="AK486" t="s">
        <v>74</v>
      </c>
      <c r="AL486" t="s">
        <v>74</v>
      </c>
      <c r="AM486" t="s">
        <v>74</v>
      </c>
      <c r="AN486" t="s">
        <v>74</v>
      </c>
      <c r="AO486" t="s">
        <v>424</v>
      </c>
      <c r="AP486" t="s">
        <v>74</v>
      </c>
      <c r="AQ486" t="s">
        <v>74</v>
      </c>
      <c r="AR486" t="s">
        <v>74</v>
      </c>
      <c r="AS486" t="s">
        <v>74</v>
      </c>
      <c r="AT486" t="s">
        <v>2177</v>
      </c>
      <c r="AU486">
        <v>2010</v>
      </c>
      <c r="AV486">
        <v>10</v>
      </c>
      <c r="AW486" t="s">
        <v>74</v>
      </c>
      <c r="AX486" t="s">
        <v>74</v>
      </c>
      <c r="AY486" t="s">
        <v>74</v>
      </c>
      <c r="AZ486" t="s">
        <v>74</v>
      </c>
      <c r="BA486" t="s">
        <v>74</v>
      </c>
      <c r="BB486" t="s">
        <v>74</v>
      </c>
      <c r="BC486" t="s">
        <v>74</v>
      </c>
      <c r="BD486">
        <v>391</v>
      </c>
      <c r="BE486" t="s">
        <v>2178</v>
      </c>
      <c r="BF486" t="str">
        <f>HYPERLINK("http://dx.doi.org/10.1186/1471-2148-10-391","http://dx.doi.org/10.1186/1471-2148-10-391")</f>
        <v>http://dx.doi.org/10.1186/1471-2148-10-391</v>
      </c>
      <c r="BG486" t="s">
        <v>74</v>
      </c>
      <c r="BH486" t="s">
        <v>74</v>
      </c>
      <c r="BI486" t="s">
        <v>74</v>
      </c>
      <c r="BJ486" t="s">
        <v>74</v>
      </c>
      <c r="BK486" t="s">
        <v>74</v>
      </c>
      <c r="BL486" t="s">
        <v>74</v>
      </c>
      <c r="BM486" t="s">
        <v>74</v>
      </c>
      <c r="BN486">
        <v>21182755</v>
      </c>
      <c r="BO486" t="s">
        <v>74</v>
      </c>
      <c r="BP486" t="s">
        <v>74</v>
      </c>
      <c r="BQ486" t="s">
        <v>74</v>
      </c>
      <c r="BR486" t="s">
        <v>74</v>
      </c>
      <c r="BS486" t="s">
        <v>2179</v>
      </c>
      <c r="BT486" t="str">
        <f>HYPERLINK("https%3A%2F%2Fwww.webofscience.com%2Fwos%2Fwoscc%2Ffull-record%2FWOS:000287579200001","View Full Record in Web of Science")</f>
        <v>View Full Record in Web of Science</v>
      </c>
    </row>
    <row r="487" spans="1:72" x14ac:dyDescent="0.4">
      <c r="A487" t="s">
        <v>72</v>
      </c>
      <c r="B487" t="s">
        <v>3970</v>
      </c>
      <c r="C487" t="s">
        <v>74</v>
      </c>
      <c r="D487" t="s">
        <v>74</v>
      </c>
      <c r="E487" t="s">
        <v>74</v>
      </c>
      <c r="F487" t="s">
        <v>3970</v>
      </c>
      <c r="G487" t="s">
        <v>74</v>
      </c>
      <c r="H487" t="s">
        <v>74</v>
      </c>
      <c r="I487" t="s">
        <v>3971</v>
      </c>
      <c r="J487" t="s">
        <v>1812</v>
      </c>
      <c r="K487" t="s">
        <v>74</v>
      </c>
      <c r="L487" t="s">
        <v>74</v>
      </c>
      <c r="M487" t="s">
        <v>74</v>
      </c>
      <c r="N487" t="s">
        <v>74</v>
      </c>
      <c r="O487" t="s">
        <v>74</v>
      </c>
      <c r="P487" t="s">
        <v>74</v>
      </c>
      <c r="Q487" t="s">
        <v>74</v>
      </c>
      <c r="R487" t="s">
        <v>74</v>
      </c>
      <c r="S487" t="s">
        <v>74</v>
      </c>
      <c r="T487" t="s">
        <v>74</v>
      </c>
      <c r="U487" t="s">
        <v>74</v>
      </c>
      <c r="V487" s="3" t="s">
        <v>3972</v>
      </c>
      <c r="W487" t="s">
        <v>74</v>
      </c>
      <c r="X487" t="s">
        <v>74</v>
      </c>
      <c r="Y487" t="s">
        <v>74</v>
      </c>
      <c r="Z487" t="s">
        <v>74</v>
      </c>
      <c r="AA487" t="s">
        <v>74</v>
      </c>
      <c r="AB487" t="s">
        <v>3973</v>
      </c>
      <c r="AC487" t="s">
        <v>74</v>
      </c>
      <c r="AD487" t="s">
        <v>74</v>
      </c>
      <c r="AE487" t="s">
        <v>74</v>
      </c>
      <c r="AF487" t="s">
        <v>74</v>
      </c>
      <c r="AG487" t="s">
        <v>74</v>
      </c>
      <c r="AH487" t="s">
        <v>74</v>
      </c>
      <c r="AI487" t="s">
        <v>74</v>
      </c>
      <c r="AJ487" t="s">
        <v>74</v>
      </c>
      <c r="AK487" t="s">
        <v>74</v>
      </c>
      <c r="AL487" t="s">
        <v>74</v>
      </c>
      <c r="AM487" t="s">
        <v>74</v>
      </c>
      <c r="AN487" t="s">
        <v>74</v>
      </c>
      <c r="AO487" t="s">
        <v>1814</v>
      </c>
      <c r="AP487" t="s">
        <v>1815</v>
      </c>
      <c r="AQ487" t="s">
        <v>74</v>
      </c>
      <c r="AR487" t="s">
        <v>74</v>
      </c>
      <c r="AS487" t="s">
        <v>74</v>
      </c>
      <c r="AT487" t="s">
        <v>123</v>
      </c>
      <c r="AU487">
        <v>2004</v>
      </c>
      <c r="AV487">
        <v>38</v>
      </c>
      <c r="AW487">
        <v>1</v>
      </c>
      <c r="AX487" t="s">
        <v>74</v>
      </c>
      <c r="AY487" t="s">
        <v>74</v>
      </c>
      <c r="AZ487" t="s">
        <v>74</v>
      </c>
      <c r="BA487" t="s">
        <v>74</v>
      </c>
      <c r="BB487">
        <v>156</v>
      </c>
      <c r="BC487">
        <v>160</v>
      </c>
      <c r="BD487" t="s">
        <v>74</v>
      </c>
      <c r="BE487" t="s">
        <v>3974</v>
      </c>
      <c r="BF487" t="str">
        <f>HYPERLINK("http://dx.doi.org/10.1670/138-03N","http://dx.doi.org/10.1670/138-03N")</f>
        <v>http://dx.doi.org/10.1670/138-03N</v>
      </c>
      <c r="BG487" t="s">
        <v>74</v>
      </c>
      <c r="BH487" t="s">
        <v>74</v>
      </c>
      <c r="BI487" t="s">
        <v>74</v>
      </c>
      <c r="BJ487" t="s">
        <v>74</v>
      </c>
      <c r="BK487" t="s">
        <v>74</v>
      </c>
      <c r="BL487" t="s">
        <v>74</v>
      </c>
      <c r="BM487" t="s">
        <v>74</v>
      </c>
      <c r="BN487" t="s">
        <v>74</v>
      </c>
      <c r="BO487" t="s">
        <v>74</v>
      </c>
      <c r="BP487" t="s">
        <v>74</v>
      </c>
      <c r="BQ487" t="s">
        <v>74</v>
      </c>
      <c r="BR487" t="s">
        <v>74</v>
      </c>
      <c r="BS487" t="s">
        <v>3975</v>
      </c>
      <c r="BT487" t="str">
        <f>HYPERLINK("https%3A%2F%2Fwww.webofscience.com%2Fwos%2Fwoscc%2Ffull-record%2FWOS:000220546800025","View Full Record in Web of Science")</f>
        <v>View Full Record in Web of Science</v>
      </c>
    </row>
    <row r="488" spans="1:72" x14ac:dyDescent="0.4">
      <c r="A488" t="s">
        <v>72</v>
      </c>
      <c r="B488" t="s">
        <v>5911</v>
      </c>
      <c r="C488" t="s">
        <v>74</v>
      </c>
      <c r="D488" t="s">
        <v>74</v>
      </c>
      <c r="E488" t="s">
        <v>74</v>
      </c>
      <c r="F488" t="s">
        <v>5912</v>
      </c>
      <c r="G488" t="s">
        <v>74</v>
      </c>
      <c r="H488" t="s">
        <v>74</v>
      </c>
      <c r="I488" t="s">
        <v>5913</v>
      </c>
      <c r="J488" t="s">
        <v>1743</v>
      </c>
      <c r="K488" t="s">
        <v>74</v>
      </c>
      <c r="L488" t="s">
        <v>74</v>
      </c>
      <c r="M488" t="s">
        <v>74</v>
      </c>
      <c r="N488" t="s">
        <v>74</v>
      </c>
      <c r="O488" t="s">
        <v>74</v>
      </c>
      <c r="P488" t="s">
        <v>74</v>
      </c>
      <c r="Q488" t="s">
        <v>74</v>
      </c>
      <c r="R488" t="s">
        <v>74</v>
      </c>
      <c r="S488" t="s">
        <v>74</v>
      </c>
      <c r="T488" t="s">
        <v>74</v>
      </c>
      <c r="U488" t="s">
        <v>74</v>
      </c>
      <c r="V488" s="3" t="s">
        <v>5914</v>
      </c>
      <c r="W488" t="s">
        <v>74</v>
      </c>
      <c r="X488" t="s">
        <v>74</v>
      </c>
      <c r="Y488" t="s">
        <v>74</v>
      </c>
      <c r="Z488" t="s">
        <v>74</v>
      </c>
      <c r="AA488" t="s">
        <v>5915</v>
      </c>
      <c r="AB488" t="s">
        <v>5916</v>
      </c>
      <c r="AC488" t="s">
        <v>74</v>
      </c>
      <c r="AD488" t="s">
        <v>74</v>
      </c>
      <c r="AE488" t="s">
        <v>74</v>
      </c>
      <c r="AF488" t="s">
        <v>74</v>
      </c>
      <c r="AG488" t="s">
        <v>74</v>
      </c>
      <c r="AH488" t="s">
        <v>74</v>
      </c>
      <c r="AI488" t="s">
        <v>74</v>
      </c>
      <c r="AJ488" t="s">
        <v>74</v>
      </c>
      <c r="AK488" t="s">
        <v>74</v>
      </c>
      <c r="AL488" t="s">
        <v>74</v>
      </c>
      <c r="AM488" t="s">
        <v>74</v>
      </c>
      <c r="AN488" t="s">
        <v>74</v>
      </c>
      <c r="AO488" t="s">
        <v>1746</v>
      </c>
      <c r="AP488" t="s">
        <v>74</v>
      </c>
      <c r="AQ488" t="s">
        <v>74</v>
      </c>
      <c r="AR488" t="s">
        <v>74</v>
      </c>
      <c r="AS488" t="s">
        <v>74</v>
      </c>
      <c r="AT488" t="s">
        <v>633</v>
      </c>
      <c r="AU488">
        <v>2021</v>
      </c>
      <c r="AV488">
        <v>38</v>
      </c>
      <c r="AW488">
        <v>2</v>
      </c>
      <c r="AX488" t="s">
        <v>74</v>
      </c>
      <c r="AY488" t="s">
        <v>74</v>
      </c>
      <c r="AZ488" t="s">
        <v>74</v>
      </c>
      <c r="BA488" t="s">
        <v>74</v>
      </c>
      <c r="BB488">
        <v>193</v>
      </c>
      <c r="BC488">
        <v>202</v>
      </c>
      <c r="BD488" t="s">
        <v>74</v>
      </c>
      <c r="BE488" t="s">
        <v>5917</v>
      </c>
      <c r="BF488" t="str">
        <f>HYPERLINK("http://dx.doi.org/10.2108/zs200112","http://dx.doi.org/10.2108/zs200112")</f>
        <v>http://dx.doi.org/10.2108/zs200112</v>
      </c>
      <c r="BG488" t="s">
        <v>74</v>
      </c>
      <c r="BH488" t="s">
        <v>74</v>
      </c>
      <c r="BI488" t="s">
        <v>74</v>
      </c>
      <c r="BJ488" t="s">
        <v>74</v>
      </c>
      <c r="BK488" t="s">
        <v>74</v>
      </c>
      <c r="BL488" t="s">
        <v>74</v>
      </c>
      <c r="BM488" t="s">
        <v>74</v>
      </c>
      <c r="BN488">
        <v>33812359</v>
      </c>
      <c r="BO488" t="s">
        <v>74</v>
      </c>
      <c r="BP488" t="s">
        <v>74</v>
      </c>
      <c r="BQ488" t="s">
        <v>74</v>
      </c>
      <c r="BR488" t="s">
        <v>74</v>
      </c>
      <c r="BS488" t="s">
        <v>5918</v>
      </c>
      <c r="BT488" t="str">
        <f>HYPERLINK("https%3A%2F%2Fwww.webofscience.com%2Fwos%2Fwoscc%2Ffull-record%2FWOS:000635436200010","View Full Record in Web of Science")</f>
        <v>View Full Record in Web of Science</v>
      </c>
    </row>
    <row r="489" spans="1:72" x14ac:dyDescent="0.4">
      <c r="A489" t="s">
        <v>72</v>
      </c>
      <c r="B489" t="s">
        <v>6906</v>
      </c>
      <c r="C489" t="s">
        <v>74</v>
      </c>
      <c r="D489" t="s">
        <v>74</v>
      </c>
      <c r="E489" t="s">
        <v>74</v>
      </c>
      <c r="F489" t="s">
        <v>6907</v>
      </c>
      <c r="G489" t="s">
        <v>74</v>
      </c>
      <c r="H489" t="s">
        <v>74</v>
      </c>
      <c r="I489" t="s">
        <v>6908</v>
      </c>
      <c r="J489" t="s">
        <v>171</v>
      </c>
      <c r="K489" t="s">
        <v>74</v>
      </c>
      <c r="L489" t="s">
        <v>74</v>
      </c>
      <c r="M489" t="s">
        <v>74</v>
      </c>
      <c r="N489" t="s">
        <v>74</v>
      </c>
      <c r="O489" t="s">
        <v>74</v>
      </c>
      <c r="P489" t="s">
        <v>74</v>
      </c>
      <c r="Q489" t="s">
        <v>74</v>
      </c>
      <c r="R489" t="s">
        <v>74</v>
      </c>
      <c r="S489" t="s">
        <v>74</v>
      </c>
      <c r="T489" t="s">
        <v>74</v>
      </c>
      <c r="U489" t="s">
        <v>74</v>
      </c>
      <c r="V489" s="3" t="s">
        <v>6909</v>
      </c>
      <c r="W489" t="s">
        <v>74</v>
      </c>
      <c r="X489" t="s">
        <v>74</v>
      </c>
      <c r="Y489" t="s">
        <v>74</v>
      </c>
      <c r="Z489" t="s">
        <v>74</v>
      </c>
      <c r="AA489" t="s">
        <v>6910</v>
      </c>
      <c r="AB489" t="s">
        <v>434</v>
      </c>
      <c r="AC489" t="s">
        <v>74</v>
      </c>
      <c r="AD489" t="s">
        <v>74</v>
      </c>
      <c r="AE489" t="s">
        <v>74</v>
      </c>
      <c r="AF489" t="s">
        <v>74</v>
      </c>
      <c r="AG489" t="s">
        <v>74</v>
      </c>
      <c r="AH489" t="s">
        <v>74</v>
      </c>
      <c r="AI489" t="s">
        <v>74</v>
      </c>
      <c r="AJ489" t="s">
        <v>74</v>
      </c>
      <c r="AK489" t="s">
        <v>74</v>
      </c>
      <c r="AL489" t="s">
        <v>74</v>
      </c>
      <c r="AM489" t="s">
        <v>74</v>
      </c>
      <c r="AN489" t="s">
        <v>74</v>
      </c>
      <c r="AO489" t="s">
        <v>173</v>
      </c>
      <c r="AP489" t="s">
        <v>174</v>
      </c>
      <c r="AQ489" t="s">
        <v>74</v>
      </c>
      <c r="AR489" t="s">
        <v>74</v>
      </c>
      <c r="AS489" t="s">
        <v>74</v>
      </c>
      <c r="AT489" t="s">
        <v>102</v>
      </c>
      <c r="AU489">
        <v>2010</v>
      </c>
      <c r="AV489">
        <v>64</v>
      </c>
      <c r="AW489">
        <v>6</v>
      </c>
      <c r="AX489" t="s">
        <v>74</v>
      </c>
      <c r="AY489" t="s">
        <v>74</v>
      </c>
      <c r="AZ489" t="s">
        <v>74</v>
      </c>
      <c r="BA489" t="s">
        <v>74</v>
      </c>
      <c r="BB489">
        <v>1634</v>
      </c>
      <c r="BC489">
        <v>1643</v>
      </c>
      <c r="BD489" t="s">
        <v>74</v>
      </c>
      <c r="BE489" t="s">
        <v>6911</v>
      </c>
      <c r="BF489" t="str">
        <f>HYPERLINK("http://dx.doi.org/10.1111/j.1558-5646.2009.00924.x","http://dx.doi.org/10.1111/j.1558-5646.2009.00924.x")</f>
        <v>http://dx.doi.org/10.1111/j.1558-5646.2009.00924.x</v>
      </c>
      <c r="BG489" t="s">
        <v>74</v>
      </c>
      <c r="BH489" t="s">
        <v>74</v>
      </c>
      <c r="BI489" t="s">
        <v>74</v>
      </c>
      <c r="BJ489" t="s">
        <v>74</v>
      </c>
      <c r="BK489" t="s">
        <v>74</v>
      </c>
      <c r="BL489" t="s">
        <v>74</v>
      </c>
      <c r="BM489" t="s">
        <v>74</v>
      </c>
      <c r="BN489">
        <v>20015235</v>
      </c>
      <c r="BO489" t="s">
        <v>74</v>
      </c>
      <c r="BP489" t="s">
        <v>74</v>
      </c>
      <c r="BQ489" t="s">
        <v>74</v>
      </c>
      <c r="BR489" t="s">
        <v>74</v>
      </c>
      <c r="BS489" t="s">
        <v>6912</v>
      </c>
      <c r="BT489" t="str">
        <f>HYPERLINK("https%3A%2F%2Fwww.webofscience.com%2Fwos%2Fwoscc%2Ffull-record%2FWOS:000278343200009","View Full Record in Web of Science")</f>
        <v>View Full Record in Web of Science</v>
      </c>
    </row>
    <row r="490" spans="1:72" x14ac:dyDescent="0.4">
      <c r="A490" t="s">
        <v>72</v>
      </c>
      <c r="B490" t="s">
        <v>3187</v>
      </c>
      <c r="C490" t="s">
        <v>74</v>
      </c>
      <c r="D490" t="s">
        <v>74</v>
      </c>
      <c r="E490" t="s">
        <v>74</v>
      </c>
      <c r="F490" t="s">
        <v>3188</v>
      </c>
      <c r="G490" t="s">
        <v>74</v>
      </c>
      <c r="H490" t="s">
        <v>74</v>
      </c>
      <c r="I490" t="s">
        <v>3189</v>
      </c>
      <c r="J490" t="s">
        <v>3190</v>
      </c>
      <c r="K490" t="s">
        <v>74</v>
      </c>
      <c r="L490" t="s">
        <v>74</v>
      </c>
      <c r="M490" t="s">
        <v>74</v>
      </c>
      <c r="N490" t="s">
        <v>74</v>
      </c>
      <c r="O490" t="s">
        <v>74</v>
      </c>
      <c r="P490" t="s">
        <v>74</v>
      </c>
      <c r="Q490" t="s">
        <v>74</v>
      </c>
      <c r="R490" t="s">
        <v>74</v>
      </c>
      <c r="S490" t="s">
        <v>74</v>
      </c>
      <c r="T490" t="s">
        <v>74</v>
      </c>
      <c r="U490" t="s">
        <v>74</v>
      </c>
      <c r="V490" s="3" t="s">
        <v>3191</v>
      </c>
      <c r="W490" t="s">
        <v>74</v>
      </c>
      <c r="X490" t="s">
        <v>74</v>
      </c>
      <c r="Y490" t="s">
        <v>74</v>
      </c>
      <c r="Z490" t="s">
        <v>74</v>
      </c>
      <c r="AA490" t="s">
        <v>3192</v>
      </c>
      <c r="AB490" t="s">
        <v>74</v>
      </c>
      <c r="AC490" t="s">
        <v>74</v>
      </c>
      <c r="AD490" t="s">
        <v>74</v>
      </c>
      <c r="AE490" t="s">
        <v>74</v>
      </c>
      <c r="AF490" t="s">
        <v>74</v>
      </c>
      <c r="AG490" t="s">
        <v>74</v>
      </c>
      <c r="AH490" t="s">
        <v>74</v>
      </c>
      <c r="AI490" t="s">
        <v>74</v>
      </c>
      <c r="AJ490" t="s">
        <v>74</v>
      </c>
      <c r="AK490" t="s">
        <v>74</v>
      </c>
      <c r="AL490" t="s">
        <v>74</v>
      </c>
      <c r="AM490" t="s">
        <v>74</v>
      </c>
      <c r="AN490" t="s">
        <v>74</v>
      </c>
      <c r="AO490" t="s">
        <v>3193</v>
      </c>
      <c r="AP490" t="s">
        <v>3194</v>
      </c>
      <c r="AQ490" t="s">
        <v>74</v>
      </c>
      <c r="AR490" t="s">
        <v>74</v>
      </c>
      <c r="AS490" t="s">
        <v>74</v>
      </c>
      <c r="AT490" t="s">
        <v>255</v>
      </c>
      <c r="AU490">
        <v>2011</v>
      </c>
      <c r="AV490">
        <v>40</v>
      </c>
      <c r="AW490">
        <v>1</v>
      </c>
      <c r="AX490" t="s">
        <v>74</v>
      </c>
      <c r="AY490" t="s">
        <v>74</v>
      </c>
      <c r="AZ490" t="s">
        <v>74</v>
      </c>
      <c r="BA490" t="s">
        <v>74</v>
      </c>
      <c r="BB490">
        <v>21</v>
      </c>
      <c r="BC490">
        <v>25</v>
      </c>
      <c r="BD490" t="s">
        <v>74</v>
      </c>
      <c r="BE490" t="s">
        <v>3195</v>
      </c>
      <c r="BF490" t="str">
        <f>HYPERLINK("http://dx.doi.org/10.1016/j.asd.2010.07.006","http://dx.doi.org/10.1016/j.asd.2010.07.006")</f>
        <v>http://dx.doi.org/10.1016/j.asd.2010.07.006</v>
      </c>
      <c r="BG490" t="s">
        <v>74</v>
      </c>
      <c r="BH490" t="s">
        <v>74</v>
      </c>
      <c r="BI490" t="s">
        <v>74</v>
      </c>
      <c r="BJ490" t="s">
        <v>74</v>
      </c>
      <c r="BK490" t="s">
        <v>74</v>
      </c>
      <c r="BL490" t="s">
        <v>74</v>
      </c>
      <c r="BM490" t="s">
        <v>74</v>
      </c>
      <c r="BN490">
        <v>20696270</v>
      </c>
      <c r="BO490" t="s">
        <v>74</v>
      </c>
      <c r="BP490" t="s">
        <v>74</v>
      </c>
      <c r="BQ490" t="s">
        <v>74</v>
      </c>
      <c r="BR490" t="s">
        <v>74</v>
      </c>
      <c r="BS490" t="s">
        <v>3196</v>
      </c>
      <c r="BT490" t="str">
        <f>HYPERLINK("https%3A%2F%2Fwww.webofscience.com%2Fwos%2Fwoscc%2Ffull-record%2FWOS:000286405700003","View Full Record in Web of Science")</f>
        <v>View Full Record in Web of Science</v>
      </c>
    </row>
    <row r="491" spans="1:72" x14ac:dyDescent="0.4">
      <c r="A491" t="s">
        <v>72</v>
      </c>
      <c r="B491" t="s">
        <v>3065</v>
      </c>
      <c r="C491" t="s">
        <v>74</v>
      </c>
      <c r="D491" t="s">
        <v>74</v>
      </c>
      <c r="E491" t="s">
        <v>74</v>
      </c>
      <c r="F491" t="s">
        <v>3066</v>
      </c>
      <c r="G491" t="s">
        <v>74</v>
      </c>
      <c r="H491" t="s">
        <v>74</v>
      </c>
      <c r="I491" t="s">
        <v>3067</v>
      </c>
      <c r="J491" t="s">
        <v>3068</v>
      </c>
      <c r="K491" t="s">
        <v>74</v>
      </c>
      <c r="L491" t="s">
        <v>74</v>
      </c>
      <c r="M491" t="s">
        <v>74</v>
      </c>
      <c r="N491" t="s">
        <v>74</v>
      </c>
      <c r="O491" t="s">
        <v>74</v>
      </c>
      <c r="P491" t="s">
        <v>74</v>
      </c>
      <c r="Q491" t="s">
        <v>74</v>
      </c>
      <c r="R491" t="s">
        <v>74</v>
      </c>
      <c r="S491" t="s">
        <v>74</v>
      </c>
      <c r="T491" t="s">
        <v>74</v>
      </c>
      <c r="U491" t="s">
        <v>74</v>
      </c>
      <c r="V491" s="3" t="s">
        <v>3069</v>
      </c>
      <c r="W491" t="s">
        <v>74</v>
      </c>
      <c r="X491" t="s">
        <v>74</v>
      </c>
      <c r="Y491" t="s">
        <v>74</v>
      </c>
      <c r="Z491" t="s">
        <v>74</v>
      </c>
      <c r="AA491" t="s">
        <v>3070</v>
      </c>
      <c r="AB491" t="s">
        <v>3071</v>
      </c>
      <c r="AC491" t="s">
        <v>74</v>
      </c>
      <c r="AD491" t="s">
        <v>74</v>
      </c>
      <c r="AE491" t="s">
        <v>74</v>
      </c>
      <c r="AF491" t="s">
        <v>74</v>
      </c>
      <c r="AG491" t="s">
        <v>74</v>
      </c>
      <c r="AH491" t="s">
        <v>74</v>
      </c>
      <c r="AI491" t="s">
        <v>74</v>
      </c>
      <c r="AJ491" t="s">
        <v>74</v>
      </c>
      <c r="AK491" t="s">
        <v>74</v>
      </c>
      <c r="AL491" t="s">
        <v>74</v>
      </c>
      <c r="AM491" t="s">
        <v>74</v>
      </c>
      <c r="AN491" t="s">
        <v>74</v>
      </c>
      <c r="AO491" t="s">
        <v>3072</v>
      </c>
      <c r="AP491" t="s">
        <v>3073</v>
      </c>
      <c r="AQ491" t="s">
        <v>74</v>
      </c>
      <c r="AR491" t="s">
        <v>74</v>
      </c>
      <c r="AS491" t="s">
        <v>74</v>
      </c>
      <c r="AT491" t="s">
        <v>102</v>
      </c>
      <c r="AU491">
        <v>2018</v>
      </c>
      <c r="AV491">
        <v>37</v>
      </c>
      <c r="AW491">
        <v>2</v>
      </c>
      <c r="AX491" t="s">
        <v>74</v>
      </c>
      <c r="AY491" t="s">
        <v>74</v>
      </c>
      <c r="AZ491" t="s">
        <v>74</v>
      </c>
      <c r="BA491" t="s">
        <v>74</v>
      </c>
      <c r="BB491">
        <v>423</v>
      </c>
      <c r="BC491">
        <v>430</v>
      </c>
      <c r="BD491" t="s">
        <v>74</v>
      </c>
      <c r="BE491" t="s">
        <v>3074</v>
      </c>
      <c r="BF491" t="str">
        <f>HYPERLINK("http://dx.doi.org/10.1007/s00338-018-1667-0","http://dx.doi.org/10.1007/s00338-018-1667-0")</f>
        <v>http://dx.doi.org/10.1007/s00338-018-1667-0</v>
      </c>
      <c r="BG491" t="s">
        <v>74</v>
      </c>
      <c r="BH491" t="s">
        <v>74</v>
      </c>
      <c r="BI491" t="s">
        <v>74</v>
      </c>
      <c r="BJ491" t="s">
        <v>74</v>
      </c>
      <c r="BK491" t="s">
        <v>74</v>
      </c>
      <c r="BL491" t="s">
        <v>74</v>
      </c>
      <c r="BM491" t="s">
        <v>74</v>
      </c>
      <c r="BN491" t="s">
        <v>74</v>
      </c>
      <c r="BO491" t="s">
        <v>74</v>
      </c>
      <c r="BP491" t="s">
        <v>74</v>
      </c>
      <c r="BQ491" t="s">
        <v>74</v>
      </c>
      <c r="BR491" t="s">
        <v>74</v>
      </c>
      <c r="BS491" t="s">
        <v>3075</v>
      </c>
      <c r="BT491" t="str">
        <f>HYPERLINK("https%3A%2F%2Fwww.webofscience.com%2Fwos%2Fwoscc%2Ffull-record%2FWOS:000432285500010","View Full Record in Web of Science")</f>
        <v>View Full Record in Web of Science</v>
      </c>
    </row>
    <row r="492" spans="1:72" x14ac:dyDescent="0.4">
      <c r="A492" t="s">
        <v>72</v>
      </c>
      <c r="B492" t="s">
        <v>2648</v>
      </c>
      <c r="C492" t="s">
        <v>74</v>
      </c>
      <c r="D492" t="s">
        <v>74</v>
      </c>
      <c r="E492" t="s">
        <v>74</v>
      </c>
      <c r="F492" t="s">
        <v>2649</v>
      </c>
      <c r="G492" t="s">
        <v>74</v>
      </c>
      <c r="H492" t="s">
        <v>74</v>
      </c>
      <c r="I492" t="s">
        <v>2650</v>
      </c>
      <c r="J492" t="s">
        <v>2651</v>
      </c>
      <c r="K492" t="s">
        <v>74</v>
      </c>
      <c r="L492" t="s">
        <v>74</v>
      </c>
      <c r="M492" t="s">
        <v>74</v>
      </c>
      <c r="N492" t="s">
        <v>74</v>
      </c>
      <c r="O492" t="s">
        <v>74</v>
      </c>
      <c r="P492" t="s">
        <v>74</v>
      </c>
      <c r="Q492" t="s">
        <v>74</v>
      </c>
      <c r="R492" t="s">
        <v>74</v>
      </c>
      <c r="S492" t="s">
        <v>74</v>
      </c>
      <c r="T492" t="s">
        <v>74</v>
      </c>
      <c r="U492" t="s">
        <v>74</v>
      </c>
      <c r="V492" s="3" t="s">
        <v>2652</v>
      </c>
      <c r="W492" t="s">
        <v>74</v>
      </c>
      <c r="X492" t="s">
        <v>74</v>
      </c>
      <c r="Y492" t="s">
        <v>74</v>
      </c>
      <c r="Z492" t="s">
        <v>74</v>
      </c>
      <c r="AA492" t="s">
        <v>2653</v>
      </c>
      <c r="AB492" t="s">
        <v>2654</v>
      </c>
      <c r="AC492" t="s">
        <v>74</v>
      </c>
      <c r="AD492" t="s">
        <v>74</v>
      </c>
      <c r="AE492" t="s">
        <v>74</v>
      </c>
      <c r="AF492" t="s">
        <v>74</v>
      </c>
      <c r="AG492" t="s">
        <v>74</v>
      </c>
      <c r="AH492" t="s">
        <v>74</v>
      </c>
      <c r="AI492" t="s">
        <v>74</v>
      </c>
      <c r="AJ492" t="s">
        <v>74</v>
      </c>
      <c r="AK492" t="s">
        <v>74</v>
      </c>
      <c r="AL492" t="s">
        <v>74</v>
      </c>
      <c r="AM492" t="s">
        <v>74</v>
      </c>
      <c r="AN492" t="s">
        <v>74</v>
      </c>
      <c r="AO492" t="s">
        <v>2655</v>
      </c>
      <c r="AP492" t="s">
        <v>2656</v>
      </c>
      <c r="AQ492" t="s">
        <v>74</v>
      </c>
      <c r="AR492" t="s">
        <v>74</v>
      </c>
      <c r="AS492" t="s">
        <v>74</v>
      </c>
      <c r="AT492" t="s">
        <v>204</v>
      </c>
      <c r="AU492">
        <v>2007</v>
      </c>
      <c r="AV492">
        <v>28</v>
      </c>
      <c r="AW492">
        <v>4</v>
      </c>
      <c r="AX492" t="s">
        <v>74</v>
      </c>
      <c r="AY492" t="s">
        <v>74</v>
      </c>
      <c r="AZ492" t="s">
        <v>74</v>
      </c>
      <c r="BA492" t="s">
        <v>74</v>
      </c>
      <c r="BB492">
        <v>285</v>
      </c>
      <c r="BC492">
        <v>293</v>
      </c>
      <c r="BD492" t="s">
        <v>74</v>
      </c>
      <c r="BE492" t="s">
        <v>2657</v>
      </c>
      <c r="BF492" t="str">
        <f>HYPERLINK("http://dx.doi.org/10.1016/j.evolhumbehav.2007.03.001","http://dx.doi.org/10.1016/j.evolhumbehav.2007.03.001")</f>
        <v>http://dx.doi.org/10.1016/j.evolhumbehav.2007.03.001</v>
      </c>
      <c r="BG492" t="s">
        <v>74</v>
      </c>
      <c r="BH492" t="s">
        <v>74</v>
      </c>
      <c r="BI492" t="s">
        <v>74</v>
      </c>
      <c r="BJ492" t="s">
        <v>74</v>
      </c>
      <c r="BK492" t="s">
        <v>74</v>
      </c>
      <c r="BL492" t="s">
        <v>74</v>
      </c>
      <c r="BM492" t="s">
        <v>74</v>
      </c>
      <c r="BN492" t="s">
        <v>74</v>
      </c>
      <c r="BO492" t="s">
        <v>74</v>
      </c>
      <c r="BP492" t="s">
        <v>74</v>
      </c>
      <c r="BQ492" t="s">
        <v>74</v>
      </c>
      <c r="BR492" t="s">
        <v>74</v>
      </c>
      <c r="BS492" t="s">
        <v>2658</v>
      </c>
      <c r="BT492" t="str">
        <f>HYPERLINK("https%3A%2F%2Fwww.webofscience.com%2Fwos%2Fwoscc%2Ffull-record%2FWOS:000247824100010","View Full Record in Web of Science")</f>
        <v>View Full Record in Web of Science</v>
      </c>
    </row>
    <row r="493" spans="1:72" x14ac:dyDescent="0.4">
      <c r="A493" t="s">
        <v>72</v>
      </c>
      <c r="B493" t="s">
        <v>5544</v>
      </c>
      <c r="C493" t="s">
        <v>74</v>
      </c>
      <c r="D493" t="s">
        <v>74</v>
      </c>
      <c r="E493" t="s">
        <v>74</v>
      </c>
      <c r="F493" t="s">
        <v>5544</v>
      </c>
      <c r="G493" t="s">
        <v>74</v>
      </c>
      <c r="H493" t="s">
        <v>74</v>
      </c>
      <c r="I493" t="s">
        <v>5545</v>
      </c>
      <c r="J493" t="s">
        <v>140</v>
      </c>
      <c r="K493" t="s">
        <v>74</v>
      </c>
      <c r="L493" t="s">
        <v>74</v>
      </c>
      <c r="M493" t="s">
        <v>74</v>
      </c>
      <c r="N493" t="s">
        <v>74</v>
      </c>
      <c r="O493" t="s">
        <v>74</v>
      </c>
      <c r="P493" t="s">
        <v>74</v>
      </c>
      <c r="Q493" t="s">
        <v>74</v>
      </c>
      <c r="R493" t="s">
        <v>74</v>
      </c>
      <c r="S493" t="s">
        <v>74</v>
      </c>
      <c r="T493" t="s">
        <v>74</v>
      </c>
      <c r="U493" t="s">
        <v>74</v>
      </c>
      <c r="V493" s="3" t="s">
        <v>5546</v>
      </c>
      <c r="W493" t="s">
        <v>74</v>
      </c>
      <c r="X493" t="s">
        <v>74</v>
      </c>
      <c r="Y493" t="s">
        <v>74</v>
      </c>
      <c r="Z493" t="s">
        <v>74</v>
      </c>
      <c r="AA493" t="s">
        <v>74</v>
      </c>
      <c r="AB493" t="s">
        <v>74</v>
      </c>
      <c r="AC493" t="s">
        <v>74</v>
      </c>
      <c r="AD493" t="s">
        <v>74</v>
      </c>
      <c r="AE493" t="s">
        <v>74</v>
      </c>
      <c r="AF493" t="s">
        <v>74</v>
      </c>
      <c r="AG493" t="s">
        <v>74</v>
      </c>
      <c r="AH493" t="s">
        <v>74</v>
      </c>
      <c r="AI493" t="s">
        <v>74</v>
      </c>
      <c r="AJ493" t="s">
        <v>74</v>
      </c>
      <c r="AK493" t="s">
        <v>74</v>
      </c>
      <c r="AL493" t="s">
        <v>74</v>
      </c>
      <c r="AM493" t="s">
        <v>74</v>
      </c>
      <c r="AN493" t="s">
        <v>74</v>
      </c>
      <c r="AO493" t="s">
        <v>143</v>
      </c>
      <c r="AP493" t="s">
        <v>144</v>
      </c>
      <c r="AQ493" t="s">
        <v>74</v>
      </c>
      <c r="AR493" t="s">
        <v>74</v>
      </c>
      <c r="AS493" t="s">
        <v>74</v>
      </c>
      <c r="AT493" t="s">
        <v>134</v>
      </c>
      <c r="AU493">
        <v>2004</v>
      </c>
      <c r="AV493">
        <v>67</v>
      </c>
      <c r="AW493" t="s">
        <v>74</v>
      </c>
      <c r="AX493">
        <v>5</v>
      </c>
      <c r="AY493" t="s">
        <v>74</v>
      </c>
      <c r="AZ493" t="s">
        <v>74</v>
      </c>
      <c r="BA493" t="s">
        <v>74</v>
      </c>
      <c r="BB493">
        <v>875</v>
      </c>
      <c r="BC493">
        <v>882</v>
      </c>
      <c r="BD493" t="s">
        <v>74</v>
      </c>
      <c r="BE493" t="s">
        <v>5547</v>
      </c>
      <c r="BF493" t="str">
        <f>HYPERLINK("http://dx.doi.org/10.1016/j.anbehav.2003.05.015","http://dx.doi.org/10.1016/j.anbehav.2003.05.015")</f>
        <v>http://dx.doi.org/10.1016/j.anbehav.2003.05.015</v>
      </c>
      <c r="BG493" t="s">
        <v>74</v>
      </c>
      <c r="BH493" t="s">
        <v>74</v>
      </c>
      <c r="BI493" t="s">
        <v>74</v>
      </c>
      <c r="BJ493" t="s">
        <v>74</v>
      </c>
      <c r="BK493" t="s">
        <v>74</v>
      </c>
      <c r="BL493" t="s">
        <v>74</v>
      </c>
      <c r="BM493" t="s">
        <v>74</v>
      </c>
      <c r="BN493" t="s">
        <v>74</v>
      </c>
      <c r="BO493" t="s">
        <v>74</v>
      </c>
      <c r="BP493" t="s">
        <v>74</v>
      </c>
      <c r="BQ493" t="s">
        <v>74</v>
      </c>
      <c r="BR493" t="s">
        <v>74</v>
      </c>
      <c r="BS493" t="s">
        <v>5548</v>
      </c>
      <c r="BT493" t="str">
        <f>HYPERLINK("https%3A%2F%2Fwww.webofscience.com%2Fwos%2Fwoscc%2Ffull-record%2FWOS:000221541600007","View Full Record in Web of Science")</f>
        <v>View Full Record in Web of Science</v>
      </c>
    </row>
    <row r="494" spans="1:72" x14ac:dyDescent="0.4">
      <c r="A494" t="s">
        <v>72</v>
      </c>
      <c r="B494" t="s">
        <v>4073</v>
      </c>
      <c r="C494" t="s">
        <v>74</v>
      </c>
      <c r="D494" t="s">
        <v>74</v>
      </c>
      <c r="E494" t="s">
        <v>74</v>
      </c>
      <c r="F494" t="s">
        <v>4073</v>
      </c>
      <c r="G494" t="s">
        <v>74</v>
      </c>
      <c r="H494" t="s">
        <v>74</v>
      </c>
      <c r="I494" t="s">
        <v>4074</v>
      </c>
      <c r="J494" t="s">
        <v>2847</v>
      </c>
      <c r="K494" t="s">
        <v>74</v>
      </c>
      <c r="L494" t="s">
        <v>74</v>
      </c>
      <c r="M494" t="s">
        <v>74</v>
      </c>
      <c r="N494" t="s">
        <v>74</v>
      </c>
      <c r="O494" t="s">
        <v>74</v>
      </c>
      <c r="P494" t="s">
        <v>74</v>
      </c>
      <c r="Q494" t="s">
        <v>74</v>
      </c>
      <c r="R494" t="s">
        <v>74</v>
      </c>
      <c r="S494" t="s">
        <v>74</v>
      </c>
      <c r="T494" t="s">
        <v>74</v>
      </c>
      <c r="U494" t="s">
        <v>74</v>
      </c>
      <c r="V494" s="3" t="s">
        <v>4075</v>
      </c>
      <c r="W494" t="s">
        <v>74</v>
      </c>
      <c r="X494" t="s">
        <v>74</v>
      </c>
      <c r="Y494" t="s">
        <v>74</v>
      </c>
      <c r="Z494" t="s">
        <v>74</v>
      </c>
      <c r="AA494" t="s">
        <v>74</v>
      </c>
      <c r="AB494" t="s">
        <v>74</v>
      </c>
      <c r="AC494" t="s">
        <v>74</v>
      </c>
      <c r="AD494" t="s">
        <v>74</v>
      </c>
      <c r="AE494" t="s">
        <v>74</v>
      </c>
      <c r="AF494" t="s">
        <v>74</v>
      </c>
      <c r="AG494" t="s">
        <v>74</v>
      </c>
      <c r="AH494" t="s">
        <v>74</v>
      </c>
      <c r="AI494" t="s">
        <v>74</v>
      </c>
      <c r="AJ494" t="s">
        <v>74</v>
      </c>
      <c r="AK494" t="s">
        <v>74</v>
      </c>
      <c r="AL494" t="s">
        <v>74</v>
      </c>
      <c r="AM494" t="s">
        <v>74</v>
      </c>
      <c r="AN494" t="s">
        <v>74</v>
      </c>
      <c r="AO494" t="s">
        <v>2849</v>
      </c>
      <c r="AP494" t="s">
        <v>74</v>
      </c>
      <c r="AQ494" t="s">
        <v>74</v>
      </c>
      <c r="AR494" t="s">
        <v>74</v>
      </c>
      <c r="AS494" t="s">
        <v>74</v>
      </c>
      <c r="AT494" t="s">
        <v>74</v>
      </c>
      <c r="AU494">
        <v>1991</v>
      </c>
      <c r="AV494">
        <v>153</v>
      </c>
      <c r="AW494">
        <v>1</v>
      </c>
      <c r="AX494" t="s">
        <v>74</v>
      </c>
      <c r="AY494" t="s">
        <v>74</v>
      </c>
      <c r="AZ494" t="s">
        <v>74</v>
      </c>
      <c r="BA494" t="s">
        <v>74</v>
      </c>
      <c r="BB494">
        <v>49</v>
      </c>
      <c r="BC494">
        <v>61</v>
      </c>
      <c r="BD494" t="s">
        <v>74</v>
      </c>
      <c r="BE494" t="s">
        <v>4076</v>
      </c>
      <c r="BF494" t="str">
        <f>HYPERLINK("http://dx.doi.org/10.1016/S0022-0981(05)80005-X","http://dx.doi.org/10.1016/S0022-0981(05)80005-X")</f>
        <v>http://dx.doi.org/10.1016/S0022-0981(05)80005-X</v>
      </c>
      <c r="BG494" t="s">
        <v>74</v>
      </c>
      <c r="BH494" t="s">
        <v>74</v>
      </c>
      <c r="BI494" t="s">
        <v>74</v>
      </c>
      <c r="BJ494" t="s">
        <v>74</v>
      </c>
      <c r="BK494" t="s">
        <v>74</v>
      </c>
      <c r="BL494" t="s">
        <v>74</v>
      </c>
      <c r="BM494" t="s">
        <v>74</v>
      </c>
      <c r="BN494" t="s">
        <v>74</v>
      </c>
      <c r="BO494" t="s">
        <v>74</v>
      </c>
      <c r="BP494" t="s">
        <v>74</v>
      </c>
      <c r="BQ494" t="s">
        <v>74</v>
      </c>
      <c r="BR494" t="s">
        <v>74</v>
      </c>
      <c r="BS494" t="s">
        <v>4077</v>
      </c>
      <c r="BT494" t="str">
        <f>HYPERLINK("https%3A%2F%2Fwww.webofscience.com%2Fwos%2Fwoscc%2Ffull-record%2FWOS:A1991GR91500004","View Full Record in Web of Science")</f>
        <v>View Full Record in Web of Science</v>
      </c>
    </row>
    <row r="495" spans="1:72" x14ac:dyDescent="0.4">
      <c r="A495" t="s">
        <v>72</v>
      </c>
      <c r="B495" t="s">
        <v>7694</v>
      </c>
      <c r="C495" t="s">
        <v>74</v>
      </c>
      <c r="D495" t="s">
        <v>74</v>
      </c>
      <c r="E495" t="s">
        <v>74</v>
      </c>
      <c r="F495" t="s">
        <v>7695</v>
      </c>
      <c r="G495" t="s">
        <v>74</v>
      </c>
      <c r="H495" t="s">
        <v>74</v>
      </c>
      <c r="I495" t="s">
        <v>7696</v>
      </c>
      <c r="J495" t="s">
        <v>4145</v>
      </c>
      <c r="K495" t="s">
        <v>74</v>
      </c>
      <c r="L495" t="s">
        <v>74</v>
      </c>
      <c r="M495" t="s">
        <v>74</v>
      </c>
      <c r="N495" t="s">
        <v>74</v>
      </c>
      <c r="O495" t="s">
        <v>74</v>
      </c>
      <c r="P495" t="s">
        <v>74</v>
      </c>
      <c r="Q495" t="s">
        <v>74</v>
      </c>
      <c r="R495" t="s">
        <v>74</v>
      </c>
      <c r="S495" t="s">
        <v>74</v>
      </c>
      <c r="T495" t="s">
        <v>74</v>
      </c>
      <c r="U495" t="s">
        <v>74</v>
      </c>
      <c r="V495" s="3" t="s">
        <v>7697</v>
      </c>
      <c r="W495" t="s">
        <v>74</v>
      </c>
      <c r="X495" t="s">
        <v>74</v>
      </c>
      <c r="Y495" t="s">
        <v>74</v>
      </c>
      <c r="Z495" t="s">
        <v>74</v>
      </c>
      <c r="AA495" t="s">
        <v>875</v>
      </c>
      <c r="AB495" t="s">
        <v>7698</v>
      </c>
      <c r="AC495" t="s">
        <v>74</v>
      </c>
      <c r="AD495" t="s">
        <v>74</v>
      </c>
      <c r="AE495" t="s">
        <v>74</v>
      </c>
      <c r="AF495" t="s">
        <v>74</v>
      </c>
      <c r="AG495" t="s">
        <v>74</v>
      </c>
      <c r="AH495" t="s">
        <v>74</v>
      </c>
      <c r="AI495" t="s">
        <v>74</v>
      </c>
      <c r="AJ495" t="s">
        <v>74</v>
      </c>
      <c r="AK495" t="s">
        <v>74</v>
      </c>
      <c r="AL495" t="s">
        <v>74</v>
      </c>
      <c r="AM495" t="s">
        <v>74</v>
      </c>
      <c r="AN495" t="s">
        <v>74</v>
      </c>
      <c r="AO495" t="s">
        <v>4147</v>
      </c>
      <c r="AP495" t="s">
        <v>7534</v>
      </c>
      <c r="AQ495" t="s">
        <v>74</v>
      </c>
      <c r="AR495" t="s">
        <v>74</v>
      </c>
      <c r="AS495" t="s">
        <v>74</v>
      </c>
      <c r="AT495" t="s">
        <v>204</v>
      </c>
      <c r="AU495">
        <v>2009</v>
      </c>
      <c r="AV495">
        <v>195</v>
      </c>
      <c r="AW495">
        <v>7</v>
      </c>
      <c r="AX495" t="s">
        <v>74</v>
      </c>
      <c r="AY495" t="s">
        <v>74</v>
      </c>
      <c r="AZ495" t="s">
        <v>74</v>
      </c>
      <c r="BA495" t="s">
        <v>74</v>
      </c>
      <c r="BB495">
        <v>619</v>
      </c>
      <c r="BC495">
        <v>630</v>
      </c>
      <c r="BD495" t="s">
        <v>74</v>
      </c>
      <c r="BE495" t="s">
        <v>7699</v>
      </c>
      <c r="BF495" t="str">
        <f>HYPERLINK("http://dx.doi.org/10.1007/s00359-009-0437-4","http://dx.doi.org/10.1007/s00359-009-0437-4")</f>
        <v>http://dx.doi.org/10.1007/s00359-009-0437-4</v>
      </c>
      <c r="BG495" t="s">
        <v>74</v>
      </c>
      <c r="BH495" t="s">
        <v>74</v>
      </c>
      <c r="BI495" t="s">
        <v>74</v>
      </c>
      <c r="BJ495" t="s">
        <v>74</v>
      </c>
      <c r="BK495" t="s">
        <v>74</v>
      </c>
      <c r="BL495" t="s">
        <v>74</v>
      </c>
      <c r="BM495" t="s">
        <v>74</v>
      </c>
      <c r="BN495">
        <v>19363614</v>
      </c>
      <c r="BO495" t="s">
        <v>74</v>
      </c>
      <c r="BP495" t="s">
        <v>74</v>
      </c>
      <c r="BQ495" t="s">
        <v>74</v>
      </c>
      <c r="BR495" t="s">
        <v>74</v>
      </c>
      <c r="BS495" t="s">
        <v>7700</v>
      </c>
      <c r="BT495" t="str">
        <f>HYPERLINK("https%3A%2F%2Fwww.webofscience.com%2Fwos%2Fwoscc%2Ffull-record%2FWOS:000267541400001","View Full Record in Web of Science")</f>
        <v>View Full Record in Web of Science</v>
      </c>
    </row>
    <row r="496" spans="1:72" x14ac:dyDescent="0.4">
      <c r="A496" t="s">
        <v>72</v>
      </c>
      <c r="B496" t="s">
        <v>8365</v>
      </c>
      <c r="C496" t="s">
        <v>74</v>
      </c>
      <c r="D496" t="s">
        <v>74</v>
      </c>
      <c r="E496" t="s">
        <v>74</v>
      </c>
      <c r="F496" t="s">
        <v>8366</v>
      </c>
      <c r="G496" t="s">
        <v>74</v>
      </c>
      <c r="H496" t="s">
        <v>74</v>
      </c>
      <c r="I496" t="s">
        <v>8367</v>
      </c>
      <c r="J496" t="s">
        <v>1635</v>
      </c>
      <c r="K496" t="s">
        <v>74</v>
      </c>
      <c r="L496" t="s">
        <v>74</v>
      </c>
      <c r="M496" t="s">
        <v>74</v>
      </c>
      <c r="N496" t="s">
        <v>74</v>
      </c>
      <c r="O496" t="s">
        <v>74</v>
      </c>
      <c r="P496" t="s">
        <v>74</v>
      </c>
      <c r="Q496" t="s">
        <v>74</v>
      </c>
      <c r="R496" t="s">
        <v>74</v>
      </c>
      <c r="S496" t="s">
        <v>74</v>
      </c>
      <c r="T496" t="s">
        <v>74</v>
      </c>
      <c r="U496" t="s">
        <v>74</v>
      </c>
      <c r="V496" s="3" t="s">
        <v>8368</v>
      </c>
      <c r="W496" t="s">
        <v>74</v>
      </c>
      <c r="X496" t="s">
        <v>74</v>
      </c>
      <c r="Y496" t="s">
        <v>74</v>
      </c>
      <c r="Z496" t="s">
        <v>74</v>
      </c>
      <c r="AA496" t="s">
        <v>74</v>
      </c>
      <c r="AB496" t="s">
        <v>8369</v>
      </c>
      <c r="AC496" t="s">
        <v>74</v>
      </c>
      <c r="AD496" t="s">
        <v>74</v>
      </c>
      <c r="AE496" t="s">
        <v>74</v>
      </c>
      <c r="AF496" t="s">
        <v>74</v>
      </c>
      <c r="AG496" t="s">
        <v>74</v>
      </c>
      <c r="AH496" t="s">
        <v>74</v>
      </c>
      <c r="AI496" t="s">
        <v>74</v>
      </c>
      <c r="AJ496" t="s">
        <v>74</v>
      </c>
      <c r="AK496" t="s">
        <v>74</v>
      </c>
      <c r="AL496" t="s">
        <v>74</v>
      </c>
      <c r="AM496" t="s">
        <v>74</v>
      </c>
      <c r="AN496" t="s">
        <v>74</v>
      </c>
      <c r="AO496" t="s">
        <v>1639</v>
      </c>
      <c r="AP496" t="s">
        <v>1640</v>
      </c>
      <c r="AQ496" t="s">
        <v>74</v>
      </c>
      <c r="AR496" t="s">
        <v>74</v>
      </c>
      <c r="AS496" t="s">
        <v>74</v>
      </c>
      <c r="AT496" t="s">
        <v>8370</v>
      </c>
      <c r="AU496">
        <v>2022</v>
      </c>
      <c r="AV496">
        <v>377</v>
      </c>
      <c r="AW496">
        <v>1858</v>
      </c>
      <c r="AX496" t="s">
        <v>74</v>
      </c>
      <c r="AY496" t="s">
        <v>74</v>
      </c>
      <c r="AZ496" t="s">
        <v>74</v>
      </c>
      <c r="BA496" t="s">
        <v>74</v>
      </c>
      <c r="BB496" t="s">
        <v>74</v>
      </c>
      <c r="BC496" t="s">
        <v>74</v>
      </c>
      <c r="BD496">
        <v>20210133</v>
      </c>
      <c r="BE496" t="s">
        <v>8371</v>
      </c>
      <c r="BF496" t="str">
        <f>HYPERLINK("http://dx.doi.org/10.1098/rstb.2021.0133","http://dx.doi.org/10.1098/rstb.2021.0133")</f>
        <v>http://dx.doi.org/10.1098/rstb.2021.0133</v>
      </c>
      <c r="BG496" t="s">
        <v>74</v>
      </c>
      <c r="BH496" t="s">
        <v>74</v>
      </c>
      <c r="BI496" t="s">
        <v>74</v>
      </c>
      <c r="BJ496" t="s">
        <v>74</v>
      </c>
      <c r="BK496" t="s">
        <v>74</v>
      </c>
      <c r="BL496" t="s">
        <v>74</v>
      </c>
      <c r="BM496" t="s">
        <v>74</v>
      </c>
      <c r="BN496">
        <v>35858095</v>
      </c>
      <c r="BO496" t="s">
        <v>74</v>
      </c>
      <c r="BP496" t="s">
        <v>74</v>
      </c>
      <c r="BQ496" t="s">
        <v>74</v>
      </c>
      <c r="BR496" t="s">
        <v>74</v>
      </c>
      <c r="BS496" t="s">
        <v>8372</v>
      </c>
      <c r="BT496" t="str">
        <f>HYPERLINK("https%3A%2F%2Fwww.webofscience.com%2Fwos%2Fwoscc%2Ffull-record%2FWOS:000823209300013","View Full Record in Web of Science")</f>
        <v>View Full Record in Web of Science</v>
      </c>
    </row>
    <row r="497" spans="1:72" x14ac:dyDescent="0.4">
      <c r="A497" t="s">
        <v>72</v>
      </c>
      <c r="B497" t="s">
        <v>1053</v>
      </c>
      <c r="C497" t="s">
        <v>74</v>
      </c>
      <c r="D497" t="s">
        <v>74</v>
      </c>
      <c r="E497" t="s">
        <v>74</v>
      </c>
      <c r="F497" t="s">
        <v>1054</v>
      </c>
      <c r="G497" t="s">
        <v>74</v>
      </c>
      <c r="H497" t="s">
        <v>74</v>
      </c>
      <c r="I497" t="s">
        <v>1055</v>
      </c>
      <c r="J497" t="s">
        <v>218</v>
      </c>
      <c r="K497" t="s">
        <v>74</v>
      </c>
      <c r="L497" t="s">
        <v>74</v>
      </c>
      <c r="M497" t="s">
        <v>74</v>
      </c>
      <c r="N497" t="s">
        <v>74</v>
      </c>
      <c r="O497" t="s">
        <v>74</v>
      </c>
      <c r="P497" t="s">
        <v>74</v>
      </c>
      <c r="Q497" t="s">
        <v>74</v>
      </c>
      <c r="R497" t="s">
        <v>74</v>
      </c>
      <c r="S497" t="s">
        <v>74</v>
      </c>
      <c r="T497" t="s">
        <v>74</v>
      </c>
      <c r="U497" t="s">
        <v>74</v>
      </c>
      <c r="V497" s="3" t="s">
        <v>1056</v>
      </c>
      <c r="W497" t="s">
        <v>74</v>
      </c>
      <c r="X497" t="s">
        <v>74</v>
      </c>
      <c r="Y497" t="s">
        <v>74</v>
      </c>
      <c r="Z497" t="s">
        <v>74</v>
      </c>
      <c r="AA497" t="s">
        <v>74</v>
      </c>
      <c r="AB497" t="s">
        <v>74</v>
      </c>
      <c r="AC497" t="s">
        <v>74</v>
      </c>
      <c r="AD497" t="s">
        <v>74</v>
      </c>
      <c r="AE497" t="s">
        <v>74</v>
      </c>
      <c r="AF497" t="s">
        <v>74</v>
      </c>
      <c r="AG497" t="s">
        <v>74</v>
      </c>
      <c r="AH497" t="s">
        <v>74</v>
      </c>
      <c r="AI497" t="s">
        <v>74</v>
      </c>
      <c r="AJ497" t="s">
        <v>74</v>
      </c>
      <c r="AK497" t="s">
        <v>74</v>
      </c>
      <c r="AL497" t="s">
        <v>74</v>
      </c>
      <c r="AM497" t="s">
        <v>74</v>
      </c>
      <c r="AN497" t="s">
        <v>74</v>
      </c>
      <c r="AO497" t="s">
        <v>221</v>
      </c>
      <c r="AP497" t="s">
        <v>222</v>
      </c>
      <c r="AQ497" t="s">
        <v>74</v>
      </c>
      <c r="AR497" t="s">
        <v>74</v>
      </c>
      <c r="AS497" t="s">
        <v>74</v>
      </c>
      <c r="AT497" t="s">
        <v>145</v>
      </c>
      <c r="AU497">
        <v>2020</v>
      </c>
      <c r="AV497">
        <v>33</v>
      </c>
      <c r="AW497">
        <v>8</v>
      </c>
      <c r="AX497" t="s">
        <v>74</v>
      </c>
      <c r="AY497" t="s">
        <v>74</v>
      </c>
      <c r="AZ497" t="s">
        <v>74</v>
      </c>
      <c r="BA497" t="s">
        <v>74</v>
      </c>
      <c r="BB497">
        <v>1028</v>
      </c>
      <c r="BC497">
        <v>1038</v>
      </c>
      <c r="BD497" t="s">
        <v>74</v>
      </c>
      <c r="BE497" t="s">
        <v>1057</v>
      </c>
      <c r="BF497" t="str">
        <f>HYPERLINK("http://dx.doi.org/10.1111/jeb.13657","http://dx.doi.org/10.1111/jeb.13657")</f>
        <v>http://dx.doi.org/10.1111/jeb.13657</v>
      </c>
      <c r="BG497" t="s">
        <v>74</v>
      </c>
      <c r="BH497" t="s">
        <v>1058</v>
      </c>
      <c r="BI497" t="s">
        <v>74</v>
      </c>
      <c r="BJ497" t="s">
        <v>74</v>
      </c>
      <c r="BK497" t="s">
        <v>74</v>
      </c>
      <c r="BL497" t="s">
        <v>74</v>
      </c>
      <c r="BM497" t="s">
        <v>74</v>
      </c>
      <c r="BN497">
        <v>32500947</v>
      </c>
      <c r="BO497" t="s">
        <v>74</v>
      </c>
      <c r="BP497" t="s">
        <v>74</v>
      </c>
      <c r="BQ497" t="s">
        <v>74</v>
      </c>
      <c r="BR497" t="s">
        <v>74</v>
      </c>
      <c r="BS497" t="s">
        <v>1059</v>
      </c>
      <c r="BT497" t="str">
        <f>HYPERLINK("https%3A%2F%2Fwww.webofscience.com%2Fwos%2Fwoscc%2Ffull-record%2FWOS:000545247500001","View Full Record in Web of Science")</f>
        <v>View Full Record in Web of Science</v>
      </c>
    </row>
    <row r="498" spans="1:72" x14ac:dyDescent="0.4">
      <c r="A498" t="s">
        <v>72</v>
      </c>
      <c r="B498" t="s">
        <v>1443</v>
      </c>
      <c r="C498" t="s">
        <v>74</v>
      </c>
      <c r="D498" t="s">
        <v>74</v>
      </c>
      <c r="E498" t="s">
        <v>74</v>
      </c>
      <c r="F498" t="s">
        <v>1444</v>
      </c>
      <c r="G498" t="s">
        <v>74</v>
      </c>
      <c r="H498" t="s">
        <v>74</v>
      </c>
      <c r="I498" t="s">
        <v>1445</v>
      </c>
      <c r="J498" t="s">
        <v>1446</v>
      </c>
      <c r="K498" t="s">
        <v>74</v>
      </c>
      <c r="L498" t="s">
        <v>74</v>
      </c>
      <c r="M498" t="s">
        <v>74</v>
      </c>
      <c r="N498" t="s">
        <v>74</v>
      </c>
      <c r="O498" t="s">
        <v>74</v>
      </c>
      <c r="P498" t="s">
        <v>74</v>
      </c>
      <c r="Q498" t="s">
        <v>74</v>
      </c>
      <c r="R498" t="s">
        <v>74</v>
      </c>
      <c r="S498" t="s">
        <v>74</v>
      </c>
      <c r="T498" t="s">
        <v>74</v>
      </c>
      <c r="U498" t="s">
        <v>74</v>
      </c>
      <c r="V498" s="3" t="s">
        <v>1447</v>
      </c>
      <c r="W498" t="s">
        <v>74</v>
      </c>
      <c r="X498" t="s">
        <v>74</v>
      </c>
      <c r="Y498" t="s">
        <v>74</v>
      </c>
      <c r="Z498" t="s">
        <v>74</v>
      </c>
      <c r="AA498" t="s">
        <v>74</v>
      </c>
      <c r="AB498" t="s">
        <v>1448</v>
      </c>
      <c r="AC498" t="s">
        <v>74</v>
      </c>
      <c r="AD498" t="s">
        <v>74</v>
      </c>
      <c r="AE498" t="s">
        <v>74</v>
      </c>
      <c r="AF498" t="s">
        <v>74</v>
      </c>
      <c r="AG498" t="s">
        <v>74</v>
      </c>
      <c r="AH498" t="s">
        <v>74</v>
      </c>
      <c r="AI498" t="s">
        <v>74</v>
      </c>
      <c r="AJ498" t="s">
        <v>74</v>
      </c>
      <c r="AK498" t="s">
        <v>74</v>
      </c>
      <c r="AL498" t="s">
        <v>74</v>
      </c>
      <c r="AM498" t="s">
        <v>74</v>
      </c>
      <c r="AN498" t="s">
        <v>74</v>
      </c>
      <c r="AO498" t="s">
        <v>74</v>
      </c>
      <c r="AP498" t="s">
        <v>1449</v>
      </c>
      <c r="AQ498" t="s">
        <v>74</v>
      </c>
      <c r="AR498" t="s">
        <v>74</v>
      </c>
      <c r="AS498" t="s">
        <v>74</v>
      </c>
      <c r="AT498" t="s">
        <v>361</v>
      </c>
      <c r="AU498">
        <v>2021</v>
      </c>
      <c r="AV498">
        <v>6</v>
      </c>
      <c r="AW498">
        <v>1</v>
      </c>
      <c r="AX498" t="s">
        <v>74</v>
      </c>
      <c r="AY498" t="s">
        <v>74</v>
      </c>
      <c r="AZ498" t="s">
        <v>74</v>
      </c>
      <c r="BA498" t="s">
        <v>74</v>
      </c>
      <c r="BB498" t="s">
        <v>74</v>
      </c>
      <c r="BC498" t="s">
        <v>74</v>
      </c>
      <c r="BD498">
        <v>9</v>
      </c>
      <c r="BE498" t="s">
        <v>1450</v>
      </c>
      <c r="BF498" t="str">
        <f>HYPERLINK("http://dx.doi.org/10.1186/s40850-021-00075-9","http://dx.doi.org/10.1186/s40850-021-00075-9")</f>
        <v>http://dx.doi.org/10.1186/s40850-021-00075-9</v>
      </c>
      <c r="BG498" t="s">
        <v>74</v>
      </c>
      <c r="BH498" t="s">
        <v>74</v>
      </c>
      <c r="BI498" t="s">
        <v>74</v>
      </c>
      <c r="BJ498" t="s">
        <v>74</v>
      </c>
      <c r="BK498" t="s">
        <v>74</v>
      </c>
      <c r="BL498" t="s">
        <v>74</v>
      </c>
      <c r="BM498" t="s">
        <v>74</v>
      </c>
      <c r="BN498">
        <v>37170176</v>
      </c>
      <c r="BO498" t="s">
        <v>74</v>
      </c>
      <c r="BP498" t="s">
        <v>74</v>
      </c>
      <c r="BQ498" t="s">
        <v>74</v>
      </c>
      <c r="BR498" t="s">
        <v>74</v>
      </c>
      <c r="BS498" t="s">
        <v>1451</v>
      </c>
      <c r="BT498" t="str">
        <f>HYPERLINK("https%3A%2F%2Fwww.webofscience.com%2Fwos%2Fwoscc%2Ffull-record%2FWOS:000646554600001","View Full Record in Web of Science")</f>
        <v>View Full Record in Web of Science</v>
      </c>
    </row>
    <row r="499" spans="1:72" x14ac:dyDescent="0.4">
      <c r="A499" t="s">
        <v>72</v>
      </c>
      <c r="B499" t="s">
        <v>6055</v>
      </c>
      <c r="C499" t="s">
        <v>74</v>
      </c>
      <c r="D499" t="s">
        <v>74</v>
      </c>
      <c r="E499" t="s">
        <v>74</v>
      </c>
      <c r="F499" t="s">
        <v>6056</v>
      </c>
      <c r="G499" t="s">
        <v>74</v>
      </c>
      <c r="H499" t="s">
        <v>74</v>
      </c>
      <c r="I499" t="s">
        <v>6057</v>
      </c>
      <c r="J499" t="s">
        <v>333</v>
      </c>
      <c r="K499" t="s">
        <v>74</v>
      </c>
      <c r="L499" t="s">
        <v>74</v>
      </c>
      <c r="M499" t="s">
        <v>74</v>
      </c>
      <c r="N499" t="s">
        <v>74</v>
      </c>
      <c r="O499" t="s">
        <v>74</v>
      </c>
      <c r="P499" t="s">
        <v>74</v>
      </c>
      <c r="Q499" t="s">
        <v>74</v>
      </c>
      <c r="R499" t="s">
        <v>74</v>
      </c>
      <c r="S499" t="s">
        <v>74</v>
      </c>
      <c r="T499" t="s">
        <v>74</v>
      </c>
      <c r="U499" t="s">
        <v>74</v>
      </c>
      <c r="V499" s="3" t="s">
        <v>6058</v>
      </c>
      <c r="W499" t="s">
        <v>74</v>
      </c>
      <c r="X499" t="s">
        <v>74</v>
      </c>
      <c r="Y499" t="s">
        <v>74</v>
      </c>
      <c r="Z499" t="s">
        <v>74</v>
      </c>
      <c r="AA499" t="s">
        <v>74</v>
      </c>
      <c r="AB499" t="s">
        <v>3514</v>
      </c>
      <c r="AC499" t="s">
        <v>74</v>
      </c>
      <c r="AD499" t="s">
        <v>74</v>
      </c>
      <c r="AE499" t="s">
        <v>74</v>
      </c>
      <c r="AF499" t="s">
        <v>74</v>
      </c>
      <c r="AG499" t="s">
        <v>74</v>
      </c>
      <c r="AH499" t="s">
        <v>74</v>
      </c>
      <c r="AI499" t="s">
        <v>74</v>
      </c>
      <c r="AJ499" t="s">
        <v>74</v>
      </c>
      <c r="AK499" t="s">
        <v>74</v>
      </c>
      <c r="AL499" t="s">
        <v>74</v>
      </c>
      <c r="AM499" t="s">
        <v>74</v>
      </c>
      <c r="AN499" t="s">
        <v>74</v>
      </c>
      <c r="AO499" t="s">
        <v>337</v>
      </c>
      <c r="AP499" t="s">
        <v>338</v>
      </c>
      <c r="AQ499" t="s">
        <v>74</v>
      </c>
      <c r="AR499" t="s">
        <v>74</v>
      </c>
      <c r="AS499" t="s">
        <v>74</v>
      </c>
      <c r="AT499" t="s">
        <v>1475</v>
      </c>
      <c r="AU499">
        <v>2015</v>
      </c>
      <c r="AV499">
        <v>26</v>
      </c>
      <c r="AW499">
        <v>1</v>
      </c>
      <c r="AX499" t="s">
        <v>74</v>
      </c>
      <c r="AY499" t="s">
        <v>74</v>
      </c>
      <c r="AZ499" t="s">
        <v>74</v>
      </c>
      <c r="BA499" t="s">
        <v>74</v>
      </c>
      <c r="BB499">
        <v>158</v>
      </c>
      <c r="BC499">
        <v>167</v>
      </c>
      <c r="BD499" t="s">
        <v>74</v>
      </c>
      <c r="BE499" t="s">
        <v>6059</v>
      </c>
      <c r="BF499" t="str">
        <f>HYPERLINK("http://dx.doi.org/10.1093/beheco/aru164","http://dx.doi.org/10.1093/beheco/aru164")</f>
        <v>http://dx.doi.org/10.1093/beheco/aru164</v>
      </c>
      <c r="BG499" t="s">
        <v>74</v>
      </c>
      <c r="BH499" t="s">
        <v>74</v>
      </c>
      <c r="BI499" t="s">
        <v>74</v>
      </c>
      <c r="BJ499" t="s">
        <v>74</v>
      </c>
      <c r="BK499" t="s">
        <v>74</v>
      </c>
      <c r="BL499" t="s">
        <v>74</v>
      </c>
      <c r="BM499" t="s">
        <v>74</v>
      </c>
      <c r="BN499" t="s">
        <v>74</v>
      </c>
      <c r="BO499" t="s">
        <v>74</v>
      </c>
      <c r="BP499" t="s">
        <v>74</v>
      </c>
      <c r="BQ499" t="s">
        <v>74</v>
      </c>
      <c r="BR499" t="s">
        <v>74</v>
      </c>
      <c r="BS499" t="s">
        <v>6060</v>
      </c>
      <c r="BT499" t="str">
        <f>HYPERLINK("https%3A%2F%2Fwww.webofscience.com%2Fwos%2Fwoscc%2Ffull-record%2FWOS:000351929300022","View Full Record in Web of Science")</f>
        <v>View Full Record in Web of Science</v>
      </c>
    </row>
    <row r="500" spans="1:72" x14ac:dyDescent="0.4">
      <c r="A500" t="s">
        <v>72</v>
      </c>
      <c r="B500" t="s">
        <v>5411</v>
      </c>
      <c r="C500" t="s">
        <v>74</v>
      </c>
      <c r="D500" t="s">
        <v>74</v>
      </c>
      <c r="E500" t="s">
        <v>74</v>
      </c>
      <c r="F500" t="s">
        <v>5411</v>
      </c>
      <c r="G500" t="s">
        <v>74</v>
      </c>
      <c r="H500" t="s">
        <v>74</v>
      </c>
      <c r="I500" t="s">
        <v>5412</v>
      </c>
      <c r="J500" t="s">
        <v>171</v>
      </c>
      <c r="K500" t="s">
        <v>74</v>
      </c>
      <c r="L500" t="s">
        <v>74</v>
      </c>
      <c r="M500" t="s">
        <v>74</v>
      </c>
      <c r="N500" t="s">
        <v>74</v>
      </c>
      <c r="O500" t="s">
        <v>74</v>
      </c>
      <c r="P500" t="s">
        <v>74</v>
      </c>
      <c r="Q500" t="s">
        <v>74</v>
      </c>
      <c r="R500" t="s">
        <v>74</v>
      </c>
      <c r="S500" t="s">
        <v>74</v>
      </c>
      <c r="T500" t="s">
        <v>74</v>
      </c>
      <c r="U500" t="s">
        <v>74</v>
      </c>
      <c r="V500" s="3" t="s">
        <v>5413</v>
      </c>
      <c r="W500" t="s">
        <v>74</v>
      </c>
      <c r="X500" t="s">
        <v>74</v>
      </c>
      <c r="Y500" t="s">
        <v>74</v>
      </c>
      <c r="Z500" t="s">
        <v>74</v>
      </c>
      <c r="AA500" t="s">
        <v>74</v>
      </c>
      <c r="AB500" t="s">
        <v>74</v>
      </c>
      <c r="AC500" t="s">
        <v>74</v>
      </c>
      <c r="AD500" t="s">
        <v>74</v>
      </c>
      <c r="AE500" t="s">
        <v>74</v>
      </c>
      <c r="AF500" t="s">
        <v>74</v>
      </c>
      <c r="AG500" t="s">
        <v>74</v>
      </c>
      <c r="AH500" t="s">
        <v>74</v>
      </c>
      <c r="AI500" t="s">
        <v>74</v>
      </c>
      <c r="AJ500" t="s">
        <v>74</v>
      </c>
      <c r="AK500" t="s">
        <v>74</v>
      </c>
      <c r="AL500" t="s">
        <v>74</v>
      </c>
      <c r="AM500" t="s">
        <v>74</v>
      </c>
      <c r="AN500" t="s">
        <v>74</v>
      </c>
      <c r="AO500" t="s">
        <v>173</v>
      </c>
      <c r="AP500" t="s">
        <v>174</v>
      </c>
      <c r="AQ500" t="s">
        <v>74</v>
      </c>
      <c r="AR500" t="s">
        <v>74</v>
      </c>
      <c r="AS500" t="s">
        <v>74</v>
      </c>
      <c r="AT500" t="s">
        <v>74</v>
      </c>
      <c r="AU500">
        <v>1964</v>
      </c>
      <c r="AV500">
        <v>18</v>
      </c>
      <c r="AW500">
        <v>1</v>
      </c>
      <c r="AX500" t="s">
        <v>74</v>
      </c>
      <c r="AY500" t="s">
        <v>74</v>
      </c>
      <c r="AZ500" t="s">
        <v>74</v>
      </c>
      <c r="BA500" t="s">
        <v>74</v>
      </c>
      <c r="BB500">
        <v>89</v>
      </c>
      <c r="BC500" t="s">
        <v>726</v>
      </c>
      <c r="BD500" t="s">
        <v>74</v>
      </c>
      <c r="BE500" t="s">
        <v>5414</v>
      </c>
      <c r="BF500" t="str">
        <f>HYPERLINK("http://dx.doi.org/10.2307/2406422","http://dx.doi.org/10.2307/2406422")</f>
        <v>http://dx.doi.org/10.2307/2406422</v>
      </c>
      <c r="BG500" t="s">
        <v>74</v>
      </c>
      <c r="BH500" t="s">
        <v>74</v>
      </c>
      <c r="BI500" t="s">
        <v>74</v>
      </c>
      <c r="BJ500" t="s">
        <v>74</v>
      </c>
      <c r="BK500" t="s">
        <v>74</v>
      </c>
      <c r="BL500" t="s">
        <v>74</v>
      </c>
      <c r="BM500" t="s">
        <v>74</v>
      </c>
      <c r="BN500" t="s">
        <v>74</v>
      </c>
      <c r="BO500" t="s">
        <v>74</v>
      </c>
      <c r="BP500" t="s">
        <v>74</v>
      </c>
      <c r="BQ500" t="s">
        <v>74</v>
      </c>
      <c r="BR500" t="s">
        <v>74</v>
      </c>
      <c r="BS500" t="s">
        <v>5415</v>
      </c>
      <c r="BT500" t="str">
        <f>HYPERLINK("https%3A%2F%2Fwww.webofscience.com%2Fwos%2Fwoscc%2Ffull-record%2FWOS:A1964AV73200005","View Full Record in Web of Science")</f>
        <v>View Full Record in Web of Science</v>
      </c>
    </row>
    <row r="501" spans="1:72" x14ac:dyDescent="0.4">
      <c r="A501" t="s">
        <v>72</v>
      </c>
      <c r="B501" t="s">
        <v>5778</v>
      </c>
      <c r="C501" t="s">
        <v>74</v>
      </c>
      <c r="D501" t="s">
        <v>74</v>
      </c>
      <c r="E501" t="s">
        <v>74</v>
      </c>
      <c r="F501" t="s">
        <v>5779</v>
      </c>
      <c r="G501" t="s">
        <v>74</v>
      </c>
      <c r="H501" t="s">
        <v>74</v>
      </c>
      <c r="I501" t="s">
        <v>5780</v>
      </c>
      <c r="J501" t="s">
        <v>1656</v>
      </c>
      <c r="K501" t="s">
        <v>74</v>
      </c>
      <c r="L501" t="s">
        <v>74</v>
      </c>
      <c r="M501" t="s">
        <v>74</v>
      </c>
      <c r="N501" t="s">
        <v>74</v>
      </c>
      <c r="O501" t="s">
        <v>74</v>
      </c>
      <c r="P501" t="s">
        <v>74</v>
      </c>
      <c r="Q501" t="s">
        <v>74</v>
      </c>
      <c r="R501" t="s">
        <v>74</v>
      </c>
      <c r="S501" t="s">
        <v>74</v>
      </c>
      <c r="T501" t="s">
        <v>74</v>
      </c>
      <c r="U501" t="s">
        <v>74</v>
      </c>
      <c r="V501" s="3" t="s">
        <v>5781</v>
      </c>
      <c r="W501" t="s">
        <v>74</v>
      </c>
      <c r="X501" t="s">
        <v>74</v>
      </c>
      <c r="Y501" t="s">
        <v>74</v>
      </c>
      <c r="Z501" t="s">
        <v>74</v>
      </c>
      <c r="AA501" t="s">
        <v>5782</v>
      </c>
      <c r="AB501" t="s">
        <v>5783</v>
      </c>
      <c r="AC501" t="s">
        <v>74</v>
      </c>
      <c r="AD501" t="s">
        <v>74</v>
      </c>
      <c r="AE501" t="s">
        <v>74</v>
      </c>
      <c r="AF501" t="s">
        <v>74</v>
      </c>
      <c r="AG501" t="s">
        <v>74</v>
      </c>
      <c r="AH501" t="s">
        <v>74</v>
      </c>
      <c r="AI501" t="s">
        <v>74</v>
      </c>
      <c r="AJ501" t="s">
        <v>74</v>
      </c>
      <c r="AK501" t="s">
        <v>74</v>
      </c>
      <c r="AL501" t="s">
        <v>74</v>
      </c>
      <c r="AM501" t="s">
        <v>74</v>
      </c>
      <c r="AN501" t="s">
        <v>74</v>
      </c>
      <c r="AO501" t="s">
        <v>1658</v>
      </c>
      <c r="AP501" t="s">
        <v>1659</v>
      </c>
      <c r="AQ501" t="s">
        <v>74</v>
      </c>
      <c r="AR501" t="s">
        <v>74</v>
      </c>
      <c r="AS501" t="s">
        <v>74</v>
      </c>
      <c r="AT501" t="s">
        <v>1146</v>
      </c>
      <c r="AU501">
        <v>2012</v>
      </c>
      <c r="AV501" t="s">
        <v>74</v>
      </c>
      <c r="AW501">
        <v>3406</v>
      </c>
      <c r="AX501" t="s">
        <v>74</v>
      </c>
      <c r="AY501" t="s">
        <v>74</v>
      </c>
      <c r="AZ501" t="s">
        <v>74</v>
      </c>
      <c r="BA501" t="s">
        <v>74</v>
      </c>
      <c r="BB501">
        <v>39</v>
      </c>
      <c r="BC501">
        <v>58</v>
      </c>
      <c r="BD501" t="s">
        <v>74</v>
      </c>
      <c r="BE501" t="s">
        <v>74</v>
      </c>
      <c r="BF501" t="s">
        <v>74</v>
      </c>
      <c r="BG501" t="s">
        <v>74</v>
      </c>
      <c r="BH501" t="s">
        <v>74</v>
      </c>
      <c r="BI501" t="s">
        <v>74</v>
      </c>
      <c r="BJ501" t="s">
        <v>74</v>
      </c>
      <c r="BK501" t="s">
        <v>74</v>
      </c>
      <c r="BL501" t="s">
        <v>74</v>
      </c>
      <c r="BM501" t="s">
        <v>74</v>
      </c>
      <c r="BN501" t="s">
        <v>74</v>
      </c>
      <c r="BO501" t="s">
        <v>74</v>
      </c>
      <c r="BP501" t="s">
        <v>74</v>
      </c>
      <c r="BQ501" t="s">
        <v>74</v>
      </c>
      <c r="BR501" t="s">
        <v>74</v>
      </c>
      <c r="BS501" t="s">
        <v>5784</v>
      </c>
      <c r="BT501" t="str">
        <f>HYPERLINK("https%3A%2F%2Fwww.webofscience.com%2Fwos%2Fwoscc%2Ffull-record%2FWOS:000306952500003","View Full Record in Web of Science")</f>
        <v>View Full Record in Web of Science</v>
      </c>
    </row>
    <row r="502" spans="1:72" x14ac:dyDescent="0.4">
      <c r="A502" t="s">
        <v>72</v>
      </c>
      <c r="B502" t="s">
        <v>5461</v>
      </c>
      <c r="C502" t="s">
        <v>74</v>
      </c>
      <c r="D502" t="s">
        <v>74</v>
      </c>
      <c r="E502" t="s">
        <v>74</v>
      </c>
      <c r="F502" t="s">
        <v>5461</v>
      </c>
      <c r="G502" t="s">
        <v>74</v>
      </c>
      <c r="H502" t="s">
        <v>74</v>
      </c>
      <c r="I502" t="s">
        <v>5462</v>
      </c>
      <c r="J502" t="s">
        <v>3068</v>
      </c>
      <c r="K502" t="s">
        <v>74</v>
      </c>
      <c r="L502" t="s">
        <v>74</v>
      </c>
      <c r="M502" t="s">
        <v>74</v>
      </c>
      <c r="N502" t="s">
        <v>74</v>
      </c>
      <c r="O502" t="s">
        <v>74</v>
      </c>
      <c r="P502" t="s">
        <v>74</v>
      </c>
      <c r="Q502" t="s">
        <v>74</v>
      </c>
      <c r="R502" t="s">
        <v>74</v>
      </c>
      <c r="S502" t="s">
        <v>74</v>
      </c>
      <c r="T502" t="s">
        <v>74</v>
      </c>
      <c r="U502" t="s">
        <v>74</v>
      </c>
      <c r="V502" s="3" t="s">
        <v>5463</v>
      </c>
      <c r="W502" t="s">
        <v>74</v>
      </c>
      <c r="X502" t="s">
        <v>74</v>
      </c>
      <c r="Y502" t="s">
        <v>74</v>
      </c>
      <c r="Z502" t="s">
        <v>74</v>
      </c>
      <c r="AA502" t="s">
        <v>5464</v>
      </c>
      <c r="AB502" t="s">
        <v>74</v>
      </c>
      <c r="AC502" t="s">
        <v>74</v>
      </c>
      <c r="AD502" t="s">
        <v>74</v>
      </c>
      <c r="AE502" t="s">
        <v>74</v>
      </c>
      <c r="AF502" t="s">
        <v>74</v>
      </c>
      <c r="AG502" t="s">
        <v>74</v>
      </c>
      <c r="AH502" t="s">
        <v>74</v>
      </c>
      <c r="AI502" t="s">
        <v>74</v>
      </c>
      <c r="AJ502" t="s">
        <v>74</v>
      </c>
      <c r="AK502" t="s">
        <v>74</v>
      </c>
      <c r="AL502" t="s">
        <v>74</v>
      </c>
      <c r="AM502" t="s">
        <v>74</v>
      </c>
      <c r="AN502" t="s">
        <v>74</v>
      </c>
      <c r="AO502" t="s">
        <v>3072</v>
      </c>
      <c r="AP502" t="s">
        <v>74</v>
      </c>
      <c r="AQ502" t="s">
        <v>74</v>
      </c>
      <c r="AR502" t="s">
        <v>74</v>
      </c>
      <c r="AS502" t="s">
        <v>74</v>
      </c>
      <c r="AT502" t="s">
        <v>134</v>
      </c>
      <c r="AU502">
        <v>1995</v>
      </c>
      <c r="AV502">
        <v>14</v>
      </c>
      <c r="AW502">
        <v>2</v>
      </c>
      <c r="AX502" t="s">
        <v>74</v>
      </c>
      <c r="AY502" t="s">
        <v>74</v>
      </c>
      <c r="AZ502" t="s">
        <v>74</v>
      </c>
      <c r="BA502" t="s">
        <v>74</v>
      </c>
      <c r="BB502">
        <v>71</v>
      </c>
      <c r="BC502">
        <v>78</v>
      </c>
      <c r="BD502" t="s">
        <v>74</v>
      </c>
      <c r="BE502" t="s">
        <v>5465</v>
      </c>
      <c r="BF502" t="str">
        <f>HYPERLINK("http://dx.doi.org/10.1007/BF00303426","http://dx.doi.org/10.1007/BF00303426")</f>
        <v>http://dx.doi.org/10.1007/BF00303426</v>
      </c>
      <c r="BG502" t="s">
        <v>74</v>
      </c>
      <c r="BH502" t="s">
        <v>74</v>
      </c>
      <c r="BI502" t="s">
        <v>74</v>
      </c>
      <c r="BJ502" t="s">
        <v>74</v>
      </c>
      <c r="BK502" t="s">
        <v>74</v>
      </c>
      <c r="BL502" t="s">
        <v>74</v>
      </c>
      <c r="BM502" t="s">
        <v>74</v>
      </c>
      <c r="BN502" t="s">
        <v>74</v>
      </c>
      <c r="BO502" t="s">
        <v>74</v>
      </c>
      <c r="BP502" t="s">
        <v>74</v>
      </c>
      <c r="BQ502" t="s">
        <v>74</v>
      </c>
      <c r="BR502" t="s">
        <v>74</v>
      </c>
      <c r="BS502" t="s">
        <v>5466</v>
      </c>
      <c r="BT502" t="str">
        <f>HYPERLINK("https%3A%2F%2Fwww.webofscience.com%2Fwos%2Fwoscc%2Ffull-record%2FWOS:A1995RD44200003","View Full Record in Web of Science")</f>
        <v>View Full Record in Web of Science</v>
      </c>
    </row>
    <row r="503" spans="1:72" x14ac:dyDescent="0.4">
      <c r="A503" t="s">
        <v>72</v>
      </c>
      <c r="B503" t="s">
        <v>7401</v>
      </c>
      <c r="C503" t="s">
        <v>74</v>
      </c>
      <c r="D503" t="s">
        <v>74</v>
      </c>
      <c r="E503" t="s">
        <v>74</v>
      </c>
      <c r="F503" t="s">
        <v>7401</v>
      </c>
      <c r="G503" t="s">
        <v>74</v>
      </c>
      <c r="H503" t="s">
        <v>74</v>
      </c>
      <c r="I503" t="s">
        <v>7402</v>
      </c>
      <c r="J503" t="s">
        <v>4522</v>
      </c>
      <c r="K503" t="s">
        <v>74</v>
      </c>
      <c r="L503" t="s">
        <v>74</v>
      </c>
      <c r="M503" t="s">
        <v>74</v>
      </c>
      <c r="N503" t="s">
        <v>74</v>
      </c>
      <c r="O503" t="s">
        <v>74</v>
      </c>
      <c r="P503" t="s">
        <v>74</v>
      </c>
      <c r="Q503" t="s">
        <v>74</v>
      </c>
      <c r="R503" t="s">
        <v>74</v>
      </c>
      <c r="S503" t="s">
        <v>74</v>
      </c>
      <c r="T503" t="s">
        <v>74</v>
      </c>
      <c r="U503" t="s">
        <v>74</v>
      </c>
      <c r="V503" s="3" t="s">
        <v>7403</v>
      </c>
      <c r="W503" t="s">
        <v>74</v>
      </c>
      <c r="X503" t="s">
        <v>74</v>
      </c>
      <c r="Y503" t="s">
        <v>74</v>
      </c>
      <c r="Z503" t="s">
        <v>74</v>
      </c>
      <c r="AA503" t="s">
        <v>7404</v>
      </c>
      <c r="AB503" t="s">
        <v>7405</v>
      </c>
      <c r="AC503" t="s">
        <v>74</v>
      </c>
      <c r="AD503" t="s">
        <v>74</v>
      </c>
      <c r="AE503" t="s">
        <v>74</v>
      </c>
      <c r="AF503" t="s">
        <v>74</v>
      </c>
      <c r="AG503" t="s">
        <v>74</v>
      </c>
      <c r="AH503" t="s">
        <v>74</v>
      </c>
      <c r="AI503" t="s">
        <v>74</v>
      </c>
      <c r="AJ503" t="s">
        <v>74</v>
      </c>
      <c r="AK503" t="s">
        <v>74</v>
      </c>
      <c r="AL503" t="s">
        <v>74</v>
      </c>
      <c r="AM503" t="s">
        <v>74</v>
      </c>
      <c r="AN503" t="s">
        <v>74</v>
      </c>
      <c r="AO503" t="s">
        <v>4526</v>
      </c>
      <c r="AP503" t="s">
        <v>74</v>
      </c>
      <c r="AQ503" t="s">
        <v>74</v>
      </c>
      <c r="AR503" t="s">
        <v>74</v>
      </c>
      <c r="AS503" t="s">
        <v>74</v>
      </c>
      <c r="AT503" t="s">
        <v>352</v>
      </c>
      <c r="AU503">
        <v>2001</v>
      </c>
      <c r="AV503">
        <v>35</v>
      </c>
      <c r="AW503">
        <v>9</v>
      </c>
      <c r="AX503" t="s">
        <v>74</v>
      </c>
      <c r="AY503" t="s">
        <v>74</v>
      </c>
      <c r="AZ503" t="s">
        <v>74</v>
      </c>
      <c r="BA503" t="s">
        <v>74</v>
      </c>
      <c r="BB503">
        <v>1371</v>
      </c>
      <c r="BC503">
        <v>1398</v>
      </c>
      <c r="BD503" t="s">
        <v>74</v>
      </c>
      <c r="BE503" t="s">
        <v>7406</v>
      </c>
      <c r="BF503" t="str">
        <f>HYPERLINK("http://dx.doi.org/10.1080/002229301750384310","http://dx.doi.org/10.1080/002229301750384310")</f>
        <v>http://dx.doi.org/10.1080/002229301750384310</v>
      </c>
      <c r="BG503" t="s">
        <v>74</v>
      </c>
      <c r="BH503" t="s">
        <v>74</v>
      </c>
      <c r="BI503" t="s">
        <v>74</v>
      </c>
      <c r="BJ503" t="s">
        <v>74</v>
      </c>
      <c r="BK503" t="s">
        <v>74</v>
      </c>
      <c r="BL503" t="s">
        <v>74</v>
      </c>
      <c r="BM503" t="s">
        <v>74</v>
      </c>
      <c r="BN503" t="s">
        <v>74</v>
      </c>
      <c r="BO503" t="s">
        <v>74</v>
      </c>
      <c r="BP503" t="s">
        <v>74</v>
      </c>
      <c r="BQ503" t="s">
        <v>74</v>
      </c>
      <c r="BR503" t="s">
        <v>74</v>
      </c>
      <c r="BS503" t="s">
        <v>7407</v>
      </c>
      <c r="BT503" t="str">
        <f>HYPERLINK("https%3A%2F%2Fwww.webofscience.com%2Fwos%2Fwoscc%2Ffull-record%2FWOS:000170467200003","View Full Record in Web of Science")</f>
        <v>View Full Record in Web of Science</v>
      </c>
    </row>
    <row r="504" spans="1:72" x14ac:dyDescent="0.4">
      <c r="A504" t="s">
        <v>72</v>
      </c>
      <c r="B504" t="s">
        <v>7953</v>
      </c>
      <c r="C504" t="s">
        <v>74</v>
      </c>
      <c r="D504" t="s">
        <v>74</v>
      </c>
      <c r="E504" t="s">
        <v>74</v>
      </c>
      <c r="F504" t="s">
        <v>7953</v>
      </c>
      <c r="G504" t="s">
        <v>74</v>
      </c>
      <c r="H504" t="s">
        <v>74</v>
      </c>
      <c r="I504" t="s">
        <v>7954</v>
      </c>
      <c r="J504" t="s">
        <v>7955</v>
      </c>
      <c r="K504" t="s">
        <v>74</v>
      </c>
      <c r="L504" t="s">
        <v>74</v>
      </c>
      <c r="M504" t="s">
        <v>74</v>
      </c>
      <c r="N504" t="s">
        <v>74</v>
      </c>
      <c r="O504" t="s">
        <v>74</v>
      </c>
      <c r="P504" t="s">
        <v>74</v>
      </c>
      <c r="Q504" t="s">
        <v>74</v>
      </c>
      <c r="R504" t="s">
        <v>74</v>
      </c>
      <c r="S504" t="s">
        <v>74</v>
      </c>
      <c r="T504" t="s">
        <v>74</v>
      </c>
      <c r="U504" t="s">
        <v>74</v>
      </c>
      <c r="V504" s="3" t="s">
        <v>7956</v>
      </c>
      <c r="W504" t="s">
        <v>74</v>
      </c>
      <c r="X504" t="s">
        <v>74</v>
      </c>
      <c r="Y504" t="s">
        <v>74</v>
      </c>
      <c r="Z504" t="s">
        <v>74</v>
      </c>
      <c r="AA504" t="s">
        <v>74</v>
      </c>
      <c r="AB504" t="s">
        <v>7957</v>
      </c>
      <c r="AC504" t="s">
        <v>74</v>
      </c>
      <c r="AD504" t="s">
        <v>74</v>
      </c>
      <c r="AE504" t="s">
        <v>74</v>
      </c>
      <c r="AF504" t="s">
        <v>74</v>
      </c>
      <c r="AG504" t="s">
        <v>74</v>
      </c>
      <c r="AH504" t="s">
        <v>74</v>
      </c>
      <c r="AI504" t="s">
        <v>74</v>
      </c>
      <c r="AJ504" t="s">
        <v>74</v>
      </c>
      <c r="AK504" t="s">
        <v>74</v>
      </c>
      <c r="AL504" t="s">
        <v>74</v>
      </c>
      <c r="AM504" t="s">
        <v>74</v>
      </c>
      <c r="AN504" t="s">
        <v>74</v>
      </c>
      <c r="AO504" t="s">
        <v>7958</v>
      </c>
      <c r="AP504" t="s">
        <v>74</v>
      </c>
      <c r="AQ504" t="s">
        <v>74</v>
      </c>
      <c r="AR504" t="s">
        <v>74</v>
      </c>
      <c r="AS504" t="s">
        <v>74</v>
      </c>
      <c r="AT504" t="s">
        <v>74</v>
      </c>
      <c r="AU504">
        <v>2003</v>
      </c>
      <c r="AV504">
        <v>44</v>
      </c>
      <c r="AW504">
        <v>4</v>
      </c>
      <c r="AX504" t="s">
        <v>74</v>
      </c>
      <c r="AY504" t="s">
        <v>74</v>
      </c>
      <c r="AZ504" t="s">
        <v>74</v>
      </c>
      <c r="BA504" t="s">
        <v>74</v>
      </c>
      <c r="BB504">
        <v>319</v>
      </c>
      <c r="BC504">
        <v>327</v>
      </c>
      <c r="BD504" t="s">
        <v>74</v>
      </c>
      <c r="BE504" t="s">
        <v>74</v>
      </c>
      <c r="BF504" t="s">
        <v>74</v>
      </c>
      <c r="BG504" t="s">
        <v>74</v>
      </c>
      <c r="BH504" t="s">
        <v>74</v>
      </c>
      <c r="BI504" t="s">
        <v>74</v>
      </c>
      <c r="BJ504" t="s">
        <v>74</v>
      </c>
      <c r="BK504" t="s">
        <v>74</v>
      </c>
      <c r="BL504" t="s">
        <v>74</v>
      </c>
      <c r="BM504" t="s">
        <v>74</v>
      </c>
      <c r="BN504" t="s">
        <v>74</v>
      </c>
      <c r="BO504" t="s">
        <v>74</v>
      </c>
      <c r="BP504" t="s">
        <v>74</v>
      </c>
      <c r="BQ504" t="s">
        <v>74</v>
      </c>
      <c r="BR504" t="s">
        <v>74</v>
      </c>
      <c r="BS504" t="s">
        <v>7959</v>
      </c>
      <c r="BT504" t="str">
        <f>HYPERLINK("https%3A%2F%2Fwww.webofscience.com%2Fwos%2Fwoscc%2Ffull-record%2FWOS:000188352000002","View Full Record in Web of Science")</f>
        <v>View Full Record in Web of Science</v>
      </c>
    </row>
    <row r="505" spans="1:72" x14ac:dyDescent="0.4">
      <c r="A505" t="s">
        <v>72</v>
      </c>
      <c r="B505" t="s">
        <v>4204</v>
      </c>
      <c r="C505" t="s">
        <v>74</v>
      </c>
      <c r="D505" t="s">
        <v>74</v>
      </c>
      <c r="E505" t="s">
        <v>74</v>
      </c>
      <c r="F505" t="s">
        <v>4205</v>
      </c>
      <c r="G505" t="s">
        <v>74</v>
      </c>
      <c r="H505" t="s">
        <v>74</v>
      </c>
      <c r="I505" t="s">
        <v>4206</v>
      </c>
      <c r="J505" t="s">
        <v>2550</v>
      </c>
      <c r="K505" t="s">
        <v>74</v>
      </c>
      <c r="L505" t="s">
        <v>74</v>
      </c>
      <c r="M505" t="s">
        <v>74</v>
      </c>
      <c r="N505" t="s">
        <v>74</v>
      </c>
      <c r="O505" t="s">
        <v>74</v>
      </c>
      <c r="P505" t="s">
        <v>74</v>
      </c>
      <c r="Q505" t="s">
        <v>74</v>
      </c>
      <c r="R505" t="s">
        <v>74</v>
      </c>
      <c r="S505" t="s">
        <v>74</v>
      </c>
      <c r="T505" t="s">
        <v>74</v>
      </c>
      <c r="U505" t="s">
        <v>74</v>
      </c>
      <c r="V505" s="3" t="s">
        <v>4207</v>
      </c>
      <c r="W505" t="s">
        <v>74</v>
      </c>
      <c r="X505" t="s">
        <v>74</v>
      </c>
      <c r="Y505" t="s">
        <v>74</v>
      </c>
      <c r="Z505" t="s">
        <v>74</v>
      </c>
      <c r="AA505" t="s">
        <v>74</v>
      </c>
      <c r="AB505" t="s">
        <v>4208</v>
      </c>
      <c r="AC505" t="s">
        <v>74</v>
      </c>
      <c r="AD505" t="s">
        <v>74</v>
      </c>
      <c r="AE505" t="s">
        <v>74</v>
      </c>
      <c r="AF505" t="s">
        <v>74</v>
      </c>
      <c r="AG505" t="s">
        <v>74</v>
      </c>
      <c r="AH505" t="s">
        <v>74</v>
      </c>
      <c r="AI505" t="s">
        <v>74</v>
      </c>
      <c r="AJ505" t="s">
        <v>74</v>
      </c>
      <c r="AK505" t="s">
        <v>74</v>
      </c>
      <c r="AL505" t="s">
        <v>74</v>
      </c>
      <c r="AM505" t="s">
        <v>74</v>
      </c>
      <c r="AN505" t="s">
        <v>74</v>
      </c>
      <c r="AO505" t="s">
        <v>2554</v>
      </c>
      <c r="AP505" t="s">
        <v>4209</v>
      </c>
      <c r="AQ505" t="s">
        <v>74</v>
      </c>
      <c r="AR505" t="s">
        <v>74</v>
      </c>
      <c r="AS505" t="s">
        <v>74</v>
      </c>
      <c r="AT505" t="s">
        <v>102</v>
      </c>
      <c r="AU505">
        <v>2019</v>
      </c>
      <c r="AV505">
        <v>42</v>
      </c>
      <c r="AW505">
        <v>6</v>
      </c>
      <c r="AX505" t="s">
        <v>74</v>
      </c>
      <c r="AY505" t="s">
        <v>74</v>
      </c>
      <c r="AZ505" t="s">
        <v>74</v>
      </c>
      <c r="BA505" t="s">
        <v>74</v>
      </c>
      <c r="BB505">
        <v>1217</v>
      </c>
      <c r="BC505">
        <v>1220</v>
      </c>
      <c r="BD505" t="s">
        <v>74</v>
      </c>
      <c r="BE505" t="s">
        <v>4210</v>
      </c>
      <c r="BF505" t="str">
        <f>HYPERLINK("http://dx.doi.org/10.1007/s00300-019-02506-3","http://dx.doi.org/10.1007/s00300-019-02506-3")</f>
        <v>http://dx.doi.org/10.1007/s00300-019-02506-3</v>
      </c>
      <c r="BG505" t="s">
        <v>74</v>
      </c>
      <c r="BH505" t="s">
        <v>74</v>
      </c>
      <c r="BI505" t="s">
        <v>74</v>
      </c>
      <c r="BJ505" t="s">
        <v>74</v>
      </c>
      <c r="BK505" t="s">
        <v>74</v>
      </c>
      <c r="BL505" t="s">
        <v>74</v>
      </c>
      <c r="BM505" t="s">
        <v>74</v>
      </c>
      <c r="BN505" t="s">
        <v>74</v>
      </c>
      <c r="BO505" t="s">
        <v>74</v>
      </c>
      <c r="BP505" t="s">
        <v>74</v>
      </c>
      <c r="BQ505" t="s">
        <v>74</v>
      </c>
      <c r="BR505" t="s">
        <v>74</v>
      </c>
      <c r="BS505" t="s">
        <v>4211</v>
      </c>
      <c r="BT505" t="str">
        <f>HYPERLINK("https%3A%2F%2Fwww.webofscience.com%2Fwos%2Fwoscc%2Ffull-record%2FWOS:000470694200016","View Full Record in Web of Science")</f>
        <v>View Full Record in Web of Science</v>
      </c>
    </row>
    <row r="506" spans="1:72" x14ac:dyDescent="0.4">
      <c r="A506" t="s">
        <v>72</v>
      </c>
      <c r="B506" t="s">
        <v>1213</v>
      </c>
      <c r="C506" t="s">
        <v>74</v>
      </c>
      <c r="D506" t="s">
        <v>74</v>
      </c>
      <c r="E506" t="s">
        <v>74</v>
      </c>
      <c r="F506" t="s">
        <v>1214</v>
      </c>
      <c r="G506" t="s">
        <v>74</v>
      </c>
      <c r="H506" t="s">
        <v>74</v>
      </c>
      <c r="I506" t="s">
        <v>1215</v>
      </c>
      <c r="J506" t="s">
        <v>99</v>
      </c>
      <c r="K506" t="s">
        <v>74</v>
      </c>
      <c r="L506" t="s">
        <v>74</v>
      </c>
      <c r="M506" t="s">
        <v>74</v>
      </c>
      <c r="N506" t="s">
        <v>74</v>
      </c>
      <c r="O506" t="s">
        <v>74</v>
      </c>
      <c r="P506" t="s">
        <v>74</v>
      </c>
      <c r="Q506" t="s">
        <v>74</v>
      </c>
      <c r="R506" t="s">
        <v>74</v>
      </c>
      <c r="S506" t="s">
        <v>74</v>
      </c>
      <c r="T506" t="s">
        <v>74</v>
      </c>
      <c r="U506" t="s">
        <v>74</v>
      </c>
      <c r="V506" s="3" t="s">
        <v>1216</v>
      </c>
      <c r="W506" t="s">
        <v>74</v>
      </c>
      <c r="X506" t="s">
        <v>74</v>
      </c>
      <c r="Y506" t="s">
        <v>74</v>
      </c>
      <c r="Z506" t="s">
        <v>74</v>
      </c>
      <c r="AA506" t="s">
        <v>74</v>
      </c>
      <c r="AB506" t="s">
        <v>1217</v>
      </c>
      <c r="AC506" t="s">
        <v>74</v>
      </c>
      <c r="AD506" t="s">
        <v>74</v>
      </c>
      <c r="AE506" t="s">
        <v>74</v>
      </c>
      <c r="AF506" t="s">
        <v>74</v>
      </c>
      <c r="AG506" t="s">
        <v>74</v>
      </c>
      <c r="AH506" t="s">
        <v>74</v>
      </c>
      <c r="AI506" t="s">
        <v>74</v>
      </c>
      <c r="AJ506" t="s">
        <v>74</v>
      </c>
      <c r="AK506" t="s">
        <v>74</v>
      </c>
      <c r="AL506" t="s">
        <v>74</v>
      </c>
      <c r="AM506" t="s">
        <v>74</v>
      </c>
      <c r="AN506" t="s">
        <v>74</v>
      </c>
      <c r="AO506" t="s">
        <v>101</v>
      </c>
      <c r="AP506" t="s">
        <v>1218</v>
      </c>
      <c r="AQ506" t="s">
        <v>74</v>
      </c>
      <c r="AR506" t="s">
        <v>74</v>
      </c>
      <c r="AS506" t="s">
        <v>74</v>
      </c>
      <c r="AT506" t="s">
        <v>305</v>
      </c>
      <c r="AU506">
        <v>2014</v>
      </c>
      <c r="AV506">
        <v>126</v>
      </c>
      <c r="AW506">
        <v>4</v>
      </c>
      <c r="AX506" t="s">
        <v>74</v>
      </c>
      <c r="AY506" t="s">
        <v>74</v>
      </c>
      <c r="AZ506" t="s">
        <v>74</v>
      </c>
      <c r="BA506" t="s">
        <v>74</v>
      </c>
      <c r="BB506">
        <v>708</v>
      </c>
      <c r="BC506">
        <v>716</v>
      </c>
      <c r="BD506" t="s">
        <v>74</v>
      </c>
      <c r="BE506" t="s">
        <v>1219</v>
      </c>
      <c r="BF506" t="str">
        <f>HYPERLINK("http://dx.doi.org/10.1676/14-028.1","http://dx.doi.org/10.1676/14-028.1")</f>
        <v>http://dx.doi.org/10.1676/14-028.1</v>
      </c>
      <c r="BG506" t="s">
        <v>74</v>
      </c>
      <c r="BH506" t="s">
        <v>74</v>
      </c>
      <c r="BI506" t="s">
        <v>74</v>
      </c>
      <c r="BJ506" t="s">
        <v>74</v>
      </c>
      <c r="BK506" t="s">
        <v>74</v>
      </c>
      <c r="BL506" t="s">
        <v>74</v>
      </c>
      <c r="BM506" t="s">
        <v>74</v>
      </c>
      <c r="BN506" t="s">
        <v>74</v>
      </c>
      <c r="BO506" t="s">
        <v>74</v>
      </c>
      <c r="BP506" t="s">
        <v>74</v>
      </c>
      <c r="BQ506" t="s">
        <v>74</v>
      </c>
      <c r="BR506" t="s">
        <v>74</v>
      </c>
      <c r="BS506" t="s">
        <v>1220</v>
      </c>
      <c r="BT506" t="str">
        <f>HYPERLINK("https%3A%2F%2Fwww.webofscience.com%2Fwos%2Fwoscc%2Ffull-record%2FWOS:000346425400008","View Full Record in Web of Science")</f>
        <v>View Full Record in Web of Science</v>
      </c>
    </row>
    <row r="507" spans="1:72" x14ac:dyDescent="0.4">
      <c r="A507" t="s">
        <v>72</v>
      </c>
      <c r="B507" t="s">
        <v>1686</v>
      </c>
      <c r="C507" t="s">
        <v>74</v>
      </c>
      <c r="D507" t="s">
        <v>74</v>
      </c>
      <c r="E507" t="s">
        <v>74</v>
      </c>
      <c r="F507" t="s">
        <v>1687</v>
      </c>
      <c r="G507" t="s">
        <v>74</v>
      </c>
      <c r="H507" t="s">
        <v>74</v>
      </c>
      <c r="I507" t="s">
        <v>1688</v>
      </c>
      <c r="J507" t="s">
        <v>129</v>
      </c>
      <c r="K507" t="s">
        <v>74</v>
      </c>
      <c r="L507" t="s">
        <v>74</v>
      </c>
      <c r="M507" t="s">
        <v>74</v>
      </c>
      <c r="N507" t="s">
        <v>74</v>
      </c>
      <c r="O507" t="s">
        <v>74</v>
      </c>
      <c r="P507" t="s">
        <v>74</v>
      </c>
      <c r="Q507" t="s">
        <v>74</v>
      </c>
      <c r="R507" t="s">
        <v>74</v>
      </c>
      <c r="S507" t="s">
        <v>74</v>
      </c>
      <c r="T507" t="s">
        <v>74</v>
      </c>
      <c r="U507" t="s">
        <v>74</v>
      </c>
      <c r="V507" s="3" t="s">
        <v>1689</v>
      </c>
      <c r="W507" t="s">
        <v>74</v>
      </c>
      <c r="X507" t="s">
        <v>74</v>
      </c>
      <c r="Y507" t="s">
        <v>74</v>
      </c>
      <c r="Z507" t="s">
        <v>74</v>
      </c>
      <c r="AA507" t="s">
        <v>1690</v>
      </c>
      <c r="AB507" t="s">
        <v>1691</v>
      </c>
      <c r="AC507" t="s">
        <v>74</v>
      </c>
      <c r="AD507" t="s">
        <v>74</v>
      </c>
      <c r="AE507" t="s">
        <v>74</v>
      </c>
      <c r="AF507" t="s">
        <v>74</v>
      </c>
      <c r="AG507" t="s">
        <v>74</v>
      </c>
      <c r="AH507" t="s">
        <v>74</v>
      </c>
      <c r="AI507" t="s">
        <v>74</v>
      </c>
      <c r="AJ507" t="s">
        <v>74</v>
      </c>
      <c r="AK507" t="s">
        <v>74</v>
      </c>
      <c r="AL507" t="s">
        <v>74</v>
      </c>
      <c r="AM507" t="s">
        <v>74</v>
      </c>
      <c r="AN507" t="s">
        <v>74</v>
      </c>
      <c r="AO507" t="s">
        <v>132</v>
      </c>
      <c r="AP507" t="s">
        <v>133</v>
      </c>
      <c r="AQ507" t="s">
        <v>74</v>
      </c>
      <c r="AR507" t="s">
        <v>74</v>
      </c>
      <c r="AS507" t="s">
        <v>74</v>
      </c>
      <c r="AT507" t="s">
        <v>633</v>
      </c>
      <c r="AU507">
        <v>2022</v>
      </c>
      <c r="AV507">
        <v>76</v>
      </c>
      <c r="AW507">
        <v>4</v>
      </c>
      <c r="AX507" t="s">
        <v>74</v>
      </c>
      <c r="AY507" t="s">
        <v>74</v>
      </c>
      <c r="AZ507" t="s">
        <v>74</v>
      </c>
      <c r="BA507" t="s">
        <v>74</v>
      </c>
      <c r="BB507" t="s">
        <v>74</v>
      </c>
      <c r="BC507" t="s">
        <v>74</v>
      </c>
      <c r="BD507">
        <v>57</v>
      </c>
      <c r="BE507" t="s">
        <v>1692</v>
      </c>
      <c r="BF507" t="str">
        <f>HYPERLINK("http://dx.doi.org/10.1007/s00265-022-03165-x","http://dx.doi.org/10.1007/s00265-022-03165-x")</f>
        <v>http://dx.doi.org/10.1007/s00265-022-03165-x</v>
      </c>
      <c r="BG507" t="s">
        <v>74</v>
      </c>
      <c r="BH507" t="s">
        <v>74</v>
      </c>
      <c r="BI507" t="s">
        <v>74</v>
      </c>
      <c r="BJ507" t="s">
        <v>74</v>
      </c>
      <c r="BK507" t="s">
        <v>74</v>
      </c>
      <c r="BL507" t="s">
        <v>74</v>
      </c>
      <c r="BM507" t="s">
        <v>74</v>
      </c>
      <c r="BN507" t="s">
        <v>74</v>
      </c>
      <c r="BO507" t="s">
        <v>74</v>
      </c>
      <c r="BP507" t="s">
        <v>74</v>
      </c>
      <c r="BQ507" t="s">
        <v>74</v>
      </c>
      <c r="BR507" t="s">
        <v>74</v>
      </c>
      <c r="BS507" t="s">
        <v>1693</v>
      </c>
      <c r="BT507" t="str">
        <f>HYPERLINK("https%3A%2F%2Fwww.webofscience.com%2Fwos%2Fwoscc%2Ffull-record%2FWOS:000779357300001","View Full Record in Web of Science")</f>
        <v>View Full Record in Web of Science</v>
      </c>
    </row>
    <row r="508" spans="1:72" x14ac:dyDescent="0.4">
      <c r="A508" t="s">
        <v>72</v>
      </c>
      <c r="B508" t="s">
        <v>2594</v>
      </c>
      <c r="C508" t="s">
        <v>74</v>
      </c>
      <c r="D508" t="s">
        <v>74</v>
      </c>
      <c r="E508" t="s">
        <v>74</v>
      </c>
      <c r="F508" t="s">
        <v>2595</v>
      </c>
      <c r="G508" t="s">
        <v>74</v>
      </c>
      <c r="H508" t="s">
        <v>74</v>
      </c>
      <c r="I508" t="s">
        <v>2596</v>
      </c>
      <c r="J508" t="s">
        <v>140</v>
      </c>
      <c r="K508" t="s">
        <v>74</v>
      </c>
      <c r="L508" t="s">
        <v>74</v>
      </c>
      <c r="M508" t="s">
        <v>74</v>
      </c>
      <c r="N508" t="s">
        <v>74</v>
      </c>
      <c r="O508" t="s">
        <v>74</v>
      </c>
      <c r="P508" t="s">
        <v>74</v>
      </c>
      <c r="Q508" t="s">
        <v>74</v>
      </c>
      <c r="R508" t="s">
        <v>74</v>
      </c>
      <c r="S508" t="s">
        <v>74</v>
      </c>
      <c r="T508" t="s">
        <v>74</v>
      </c>
      <c r="U508" t="s">
        <v>74</v>
      </c>
      <c r="V508" s="3" t="s">
        <v>2597</v>
      </c>
      <c r="W508" t="s">
        <v>74</v>
      </c>
      <c r="X508" t="s">
        <v>74</v>
      </c>
      <c r="Y508" t="s">
        <v>74</v>
      </c>
      <c r="Z508" t="s">
        <v>74</v>
      </c>
      <c r="AA508" t="s">
        <v>946</v>
      </c>
      <c r="AB508" t="s">
        <v>2598</v>
      </c>
      <c r="AC508" t="s">
        <v>74</v>
      </c>
      <c r="AD508" t="s">
        <v>74</v>
      </c>
      <c r="AE508" t="s">
        <v>74</v>
      </c>
      <c r="AF508" t="s">
        <v>74</v>
      </c>
      <c r="AG508" t="s">
        <v>74</v>
      </c>
      <c r="AH508" t="s">
        <v>74</v>
      </c>
      <c r="AI508" t="s">
        <v>74</v>
      </c>
      <c r="AJ508" t="s">
        <v>74</v>
      </c>
      <c r="AK508" t="s">
        <v>74</v>
      </c>
      <c r="AL508" t="s">
        <v>74</v>
      </c>
      <c r="AM508" t="s">
        <v>74</v>
      </c>
      <c r="AN508" t="s">
        <v>74</v>
      </c>
      <c r="AO508" t="s">
        <v>143</v>
      </c>
      <c r="AP508" t="s">
        <v>144</v>
      </c>
      <c r="AQ508" t="s">
        <v>74</v>
      </c>
      <c r="AR508" t="s">
        <v>74</v>
      </c>
      <c r="AS508" t="s">
        <v>74</v>
      </c>
      <c r="AT508" t="s">
        <v>123</v>
      </c>
      <c r="AU508">
        <v>2015</v>
      </c>
      <c r="AV508">
        <v>101</v>
      </c>
      <c r="AW508" t="s">
        <v>74</v>
      </c>
      <c r="AX508" t="s">
        <v>74</v>
      </c>
      <c r="AY508" t="s">
        <v>74</v>
      </c>
      <c r="AZ508" t="s">
        <v>74</v>
      </c>
      <c r="BA508" t="s">
        <v>74</v>
      </c>
      <c r="BB508">
        <v>11</v>
      </c>
      <c r="BC508">
        <v>18</v>
      </c>
      <c r="BD508" t="s">
        <v>74</v>
      </c>
      <c r="BE508" t="s">
        <v>2599</v>
      </c>
      <c r="BF508" t="str">
        <f>HYPERLINK("http://dx.doi.org/10.1016/j.anbehav.2014.12.016","http://dx.doi.org/10.1016/j.anbehav.2014.12.016")</f>
        <v>http://dx.doi.org/10.1016/j.anbehav.2014.12.016</v>
      </c>
      <c r="BG508" t="s">
        <v>74</v>
      </c>
      <c r="BH508" t="s">
        <v>74</v>
      </c>
      <c r="BI508" t="s">
        <v>74</v>
      </c>
      <c r="BJ508" t="s">
        <v>74</v>
      </c>
      <c r="BK508" t="s">
        <v>74</v>
      </c>
      <c r="BL508" t="s">
        <v>74</v>
      </c>
      <c r="BM508" t="s">
        <v>74</v>
      </c>
      <c r="BN508" t="s">
        <v>74</v>
      </c>
      <c r="BO508" t="s">
        <v>74</v>
      </c>
      <c r="BP508" t="s">
        <v>74</v>
      </c>
      <c r="BQ508" t="s">
        <v>74</v>
      </c>
      <c r="BR508" t="s">
        <v>74</v>
      </c>
      <c r="BS508" t="s">
        <v>2600</v>
      </c>
      <c r="BT508" t="str">
        <f>HYPERLINK("https%3A%2F%2Fwww.webofscience.com%2Fwos%2Fwoscc%2Ffull-record%2FWOS:000351020200004","View Full Record in Web of Science")</f>
        <v>View Full Record in Web of Science</v>
      </c>
    </row>
    <row r="509" spans="1:72" x14ac:dyDescent="0.4">
      <c r="A509" t="s">
        <v>72</v>
      </c>
      <c r="B509" t="s">
        <v>6144</v>
      </c>
      <c r="C509" t="s">
        <v>74</v>
      </c>
      <c r="D509" t="s">
        <v>74</v>
      </c>
      <c r="E509" t="s">
        <v>74</v>
      </c>
      <c r="F509" t="s">
        <v>6145</v>
      </c>
      <c r="G509" t="s">
        <v>74</v>
      </c>
      <c r="H509" t="s">
        <v>74</v>
      </c>
      <c r="I509" t="s">
        <v>6146</v>
      </c>
      <c r="J509" t="s">
        <v>99</v>
      </c>
      <c r="K509" t="s">
        <v>74</v>
      </c>
      <c r="L509" t="s">
        <v>74</v>
      </c>
      <c r="M509" t="s">
        <v>74</v>
      </c>
      <c r="N509" t="s">
        <v>74</v>
      </c>
      <c r="O509" t="s">
        <v>74</v>
      </c>
      <c r="P509" t="s">
        <v>74</v>
      </c>
      <c r="Q509" t="s">
        <v>74</v>
      </c>
      <c r="R509" t="s">
        <v>74</v>
      </c>
      <c r="S509" t="s">
        <v>74</v>
      </c>
      <c r="T509" t="s">
        <v>74</v>
      </c>
      <c r="U509" t="s">
        <v>74</v>
      </c>
      <c r="V509" s="3" t="s">
        <v>6147</v>
      </c>
      <c r="W509" t="s">
        <v>74</v>
      </c>
      <c r="X509" t="s">
        <v>74</v>
      </c>
      <c r="Y509" t="s">
        <v>74</v>
      </c>
      <c r="Z509" t="s">
        <v>74</v>
      </c>
      <c r="AA509" t="s">
        <v>74</v>
      </c>
      <c r="AB509" t="s">
        <v>74</v>
      </c>
      <c r="AC509" t="s">
        <v>74</v>
      </c>
      <c r="AD509" t="s">
        <v>74</v>
      </c>
      <c r="AE509" t="s">
        <v>74</v>
      </c>
      <c r="AF509" t="s">
        <v>74</v>
      </c>
      <c r="AG509" t="s">
        <v>74</v>
      </c>
      <c r="AH509" t="s">
        <v>74</v>
      </c>
      <c r="AI509" t="s">
        <v>74</v>
      </c>
      <c r="AJ509" t="s">
        <v>74</v>
      </c>
      <c r="AK509" t="s">
        <v>74</v>
      </c>
      <c r="AL509" t="s">
        <v>74</v>
      </c>
      <c r="AM509" t="s">
        <v>74</v>
      </c>
      <c r="AN509" t="s">
        <v>74</v>
      </c>
      <c r="AO509" t="s">
        <v>101</v>
      </c>
      <c r="AP509" t="s">
        <v>1218</v>
      </c>
      <c r="AQ509" t="s">
        <v>74</v>
      </c>
      <c r="AR509" t="s">
        <v>74</v>
      </c>
      <c r="AS509" t="s">
        <v>74</v>
      </c>
      <c r="AT509" t="s">
        <v>123</v>
      </c>
      <c r="AU509">
        <v>2007</v>
      </c>
      <c r="AV509">
        <v>119</v>
      </c>
      <c r="AW509">
        <v>1</v>
      </c>
      <c r="AX509" t="s">
        <v>74</v>
      </c>
      <c r="AY509" t="s">
        <v>74</v>
      </c>
      <c r="AZ509" t="s">
        <v>74</v>
      </c>
      <c r="BA509" t="s">
        <v>74</v>
      </c>
      <c r="BB509">
        <v>89</v>
      </c>
      <c r="BC509">
        <v>94</v>
      </c>
      <c r="BD509" t="s">
        <v>74</v>
      </c>
      <c r="BE509" t="s">
        <v>6148</v>
      </c>
      <c r="BF509" t="str">
        <f>HYPERLINK("http://dx.doi.org/10.1676/05-158.1","http://dx.doi.org/10.1676/05-158.1")</f>
        <v>http://dx.doi.org/10.1676/05-158.1</v>
      </c>
      <c r="BG509" t="s">
        <v>74</v>
      </c>
      <c r="BH509" t="s">
        <v>74</v>
      </c>
      <c r="BI509" t="s">
        <v>74</v>
      </c>
      <c r="BJ509" t="s">
        <v>74</v>
      </c>
      <c r="BK509" t="s">
        <v>74</v>
      </c>
      <c r="BL509" t="s">
        <v>74</v>
      </c>
      <c r="BM509" t="s">
        <v>74</v>
      </c>
      <c r="BN509" t="s">
        <v>74</v>
      </c>
      <c r="BO509" t="s">
        <v>74</v>
      </c>
      <c r="BP509" t="s">
        <v>74</v>
      </c>
      <c r="BQ509" t="s">
        <v>74</v>
      </c>
      <c r="BR509" t="s">
        <v>74</v>
      </c>
      <c r="BS509" t="s">
        <v>6149</v>
      </c>
      <c r="BT509" t="str">
        <f>HYPERLINK("https%3A%2F%2Fwww.webofscience.com%2Fwos%2Fwoscc%2Ffull-record%2FWOS:000245113700010","View Full Record in Web of Science")</f>
        <v>View Full Record in Web of Science</v>
      </c>
    </row>
    <row r="510" spans="1:72" x14ac:dyDescent="0.4">
      <c r="A510" t="s">
        <v>72</v>
      </c>
      <c r="B510" t="s">
        <v>4825</v>
      </c>
      <c r="C510" t="s">
        <v>74</v>
      </c>
      <c r="D510" t="s">
        <v>74</v>
      </c>
      <c r="E510" t="s">
        <v>74</v>
      </c>
      <c r="F510" t="s">
        <v>4825</v>
      </c>
      <c r="G510" t="s">
        <v>74</v>
      </c>
      <c r="H510" t="s">
        <v>74</v>
      </c>
      <c r="I510" t="s">
        <v>4826</v>
      </c>
      <c r="J510" t="s">
        <v>1126</v>
      </c>
      <c r="K510" t="s">
        <v>74</v>
      </c>
      <c r="L510" t="s">
        <v>74</v>
      </c>
      <c r="M510" t="s">
        <v>74</v>
      </c>
      <c r="N510" t="s">
        <v>74</v>
      </c>
      <c r="O510" t="s">
        <v>74</v>
      </c>
      <c r="P510" t="s">
        <v>74</v>
      </c>
      <c r="Q510" t="s">
        <v>74</v>
      </c>
      <c r="R510" t="s">
        <v>74</v>
      </c>
      <c r="S510" t="s">
        <v>74</v>
      </c>
      <c r="T510" t="s">
        <v>74</v>
      </c>
      <c r="U510" t="s">
        <v>74</v>
      </c>
      <c r="V510" s="3" t="s">
        <v>4827</v>
      </c>
      <c r="W510" t="s">
        <v>74</v>
      </c>
      <c r="X510" t="s">
        <v>74</v>
      </c>
      <c r="Y510" t="s">
        <v>74</v>
      </c>
      <c r="Z510" t="s">
        <v>74</v>
      </c>
      <c r="AA510" t="s">
        <v>4828</v>
      </c>
      <c r="AB510" t="s">
        <v>4829</v>
      </c>
      <c r="AC510" t="s">
        <v>74</v>
      </c>
      <c r="AD510" t="s">
        <v>74</v>
      </c>
      <c r="AE510" t="s">
        <v>74</v>
      </c>
      <c r="AF510" t="s">
        <v>74</v>
      </c>
      <c r="AG510" t="s">
        <v>74</v>
      </c>
      <c r="AH510" t="s">
        <v>74</v>
      </c>
      <c r="AI510" t="s">
        <v>74</v>
      </c>
      <c r="AJ510" t="s">
        <v>74</v>
      </c>
      <c r="AK510" t="s">
        <v>74</v>
      </c>
      <c r="AL510" t="s">
        <v>74</v>
      </c>
      <c r="AM510" t="s">
        <v>74</v>
      </c>
      <c r="AN510" t="s">
        <v>74</v>
      </c>
      <c r="AO510" t="s">
        <v>1128</v>
      </c>
      <c r="AP510" t="s">
        <v>1129</v>
      </c>
      <c r="AQ510" t="s">
        <v>74</v>
      </c>
      <c r="AR510" t="s">
        <v>74</v>
      </c>
      <c r="AS510" t="s">
        <v>74</v>
      </c>
      <c r="AT510" t="s">
        <v>4830</v>
      </c>
      <c r="AU510">
        <v>2003</v>
      </c>
      <c r="AV510" t="s">
        <v>74</v>
      </c>
      <c r="AW510">
        <v>1</v>
      </c>
      <c r="AX510" t="s">
        <v>74</v>
      </c>
      <c r="AY510" t="s">
        <v>74</v>
      </c>
      <c r="AZ510" t="s">
        <v>74</v>
      </c>
      <c r="BA510" t="s">
        <v>74</v>
      </c>
      <c r="BB510">
        <v>181</v>
      </c>
      <c r="BC510">
        <v>186</v>
      </c>
      <c r="BD510" t="s">
        <v>74</v>
      </c>
      <c r="BE510" t="s">
        <v>4831</v>
      </c>
      <c r="BF510" t="str">
        <f>HYPERLINK("http://dx.doi.org/10.1643/0045-8511(2003)003[0181:EOFMCC]2.0.CO;2","http://dx.doi.org/10.1643/0045-8511(2003)003[0181:EOFMCC]2.0.CO;2")</f>
        <v>http://dx.doi.org/10.1643/0045-8511(2003)003[0181:EOFMCC]2.0.CO;2</v>
      </c>
      <c r="BG510" t="s">
        <v>74</v>
      </c>
      <c r="BH510" t="s">
        <v>74</v>
      </c>
      <c r="BI510" t="s">
        <v>74</v>
      </c>
      <c r="BJ510" t="s">
        <v>74</v>
      </c>
      <c r="BK510" t="s">
        <v>74</v>
      </c>
      <c r="BL510" t="s">
        <v>74</v>
      </c>
      <c r="BM510" t="s">
        <v>74</v>
      </c>
      <c r="BN510" t="s">
        <v>74</v>
      </c>
      <c r="BO510" t="s">
        <v>74</v>
      </c>
      <c r="BP510" t="s">
        <v>74</v>
      </c>
      <c r="BQ510" t="s">
        <v>74</v>
      </c>
      <c r="BR510" t="s">
        <v>74</v>
      </c>
      <c r="BS510" t="s">
        <v>4832</v>
      </c>
      <c r="BT510" t="str">
        <f>HYPERLINK("https%3A%2F%2Fwww.webofscience.com%2Fwos%2Fwoscc%2Ffull-record%2FWOS:000181477800020","View Full Record in Web of Science")</f>
        <v>View Full Record in Web of Science</v>
      </c>
    </row>
    <row r="511" spans="1:72" x14ac:dyDescent="0.4">
      <c r="A511" t="s">
        <v>72</v>
      </c>
      <c r="B511" t="s">
        <v>8598</v>
      </c>
      <c r="C511" t="s">
        <v>74</v>
      </c>
      <c r="D511" t="s">
        <v>74</v>
      </c>
      <c r="E511" t="s">
        <v>74</v>
      </c>
      <c r="F511" t="s">
        <v>8599</v>
      </c>
      <c r="G511" t="s">
        <v>74</v>
      </c>
      <c r="H511" t="s">
        <v>74</v>
      </c>
      <c r="I511" t="s">
        <v>8600</v>
      </c>
      <c r="J511" t="s">
        <v>3100</v>
      </c>
      <c r="K511" t="s">
        <v>74</v>
      </c>
      <c r="L511" t="s">
        <v>74</v>
      </c>
      <c r="M511" t="s">
        <v>74</v>
      </c>
      <c r="N511" t="s">
        <v>74</v>
      </c>
      <c r="O511" t="s">
        <v>74</v>
      </c>
      <c r="P511" t="s">
        <v>74</v>
      </c>
      <c r="Q511" t="s">
        <v>74</v>
      </c>
      <c r="R511" t="s">
        <v>74</v>
      </c>
      <c r="S511" t="s">
        <v>74</v>
      </c>
      <c r="T511" t="s">
        <v>74</v>
      </c>
      <c r="U511" t="s">
        <v>74</v>
      </c>
      <c r="V511" s="3" t="s">
        <v>8601</v>
      </c>
      <c r="W511" t="s">
        <v>74</v>
      </c>
      <c r="X511" t="s">
        <v>74</v>
      </c>
      <c r="Y511" t="s">
        <v>74</v>
      </c>
      <c r="Z511" t="s">
        <v>74</v>
      </c>
      <c r="AA511" t="s">
        <v>8602</v>
      </c>
      <c r="AB511" t="s">
        <v>8603</v>
      </c>
      <c r="AC511" t="s">
        <v>74</v>
      </c>
      <c r="AD511" t="s">
        <v>74</v>
      </c>
      <c r="AE511" t="s">
        <v>74</v>
      </c>
      <c r="AF511" t="s">
        <v>74</v>
      </c>
      <c r="AG511" t="s">
        <v>74</v>
      </c>
      <c r="AH511" t="s">
        <v>74</v>
      </c>
      <c r="AI511" t="s">
        <v>74</v>
      </c>
      <c r="AJ511" t="s">
        <v>74</v>
      </c>
      <c r="AK511" t="s">
        <v>74</v>
      </c>
      <c r="AL511" t="s">
        <v>74</v>
      </c>
      <c r="AM511" t="s">
        <v>74</v>
      </c>
      <c r="AN511" t="s">
        <v>74</v>
      </c>
      <c r="AO511" t="s">
        <v>74</v>
      </c>
      <c r="AP511" t="s">
        <v>3104</v>
      </c>
      <c r="AQ511" t="s">
        <v>74</v>
      </c>
      <c r="AR511" t="s">
        <v>74</v>
      </c>
      <c r="AS511" t="s">
        <v>74</v>
      </c>
      <c r="AT511" t="s">
        <v>1247</v>
      </c>
      <c r="AU511">
        <v>2023</v>
      </c>
      <c r="AV511">
        <v>10</v>
      </c>
      <c r="AW511" t="s">
        <v>74</v>
      </c>
      <c r="AX511" t="s">
        <v>74</v>
      </c>
      <c r="AY511" t="s">
        <v>74</v>
      </c>
      <c r="AZ511" t="s">
        <v>74</v>
      </c>
      <c r="BA511" t="s">
        <v>74</v>
      </c>
      <c r="BB511" t="s">
        <v>74</v>
      </c>
      <c r="BC511" t="s">
        <v>74</v>
      </c>
      <c r="BD511">
        <v>1166632</v>
      </c>
      <c r="BE511" t="s">
        <v>8604</v>
      </c>
      <c r="BF511" t="str">
        <f>HYPERLINK("http://dx.doi.org/10.3389/fvets.2023.1166632","http://dx.doi.org/10.3389/fvets.2023.1166632")</f>
        <v>http://dx.doi.org/10.3389/fvets.2023.1166632</v>
      </c>
      <c r="BG511" t="s">
        <v>74</v>
      </c>
      <c r="BH511" t="s">
        <v>74</v>
      </c>
      <c r="BI511" t="s">
        <v>74</v>
      </c>
      <c r="BJ511" t="s">
        <v>74</v>
      </c>
      <c r="BK511" t="s">
        <v>74</v>
      </c>
      <c r="BL511" t="s">
        <v>74</v>
      </c>
      <c r="BM511" t="s">
        <v>74</v>
      </c>
      <c r="BN511">
        <v>37323835</v>
      </c>
      <c r="BO511" t="s">
        <v>74</v>
      </c>
      <c r="BP511" t="s">
        <v>74</v>
      </c>
      <c r="BQ511" t="s">
        <v>74</v>
      </c>
      <c r="BR511" t="s">
        <v>74</v>
      </c>
      <c r="BS511" t="s">
        <v>8605</v>
      </c>
      <c r="BT511" t="str">
        <f>HYPERLINK("https%3A%2F%2Fwww.webofscience.com%2Fwos%2Fwoscc%2Ffull-record%2FWOS:001007647700001","View Full Record in Web of Science")</f>
        <v>View Full Record in Web of Science</v>
      </c>
    </row>
    <row r="512" spans="1:72" x14ac:dyDescent="0.4">
      <c r="A512" t="s">
        <v>72</v>
      </c>
      <c r="B512" t="s">
        <v>5646</v>
      </c>
      <c r="C512" t="s">
        <v>74</v>
      </c>
      <c r="D512" t="s">
        <v>74</v>
      </c>
      <c r="E512" t="s">
        <v>74</v>
      </c>
      <c r="F512" t="s">
        <v>5646</v>
      </c>
      <c r="G512" t="s">
        <v>74</v>
      </c>
      <c r="H512" t="s">
        <v>74</v>
      </c>
      <c r="I512" t="s">
        <v>5647</v>
      </c>
      <c r="J512" t="s">
        <v>731</v>
      </c>
      <c r="K512" t="s">
        <v>74</v>
      </c>
      <c r="L512" t="s">
        <v>74</v>
      </c>
      <c r="M512" t="s">
        <v>74</v>
      </c>
      <c r="N512" t="s">
        <v>74</v>
      </c>
      <c r="O512" t="s">
        <v>74</v>
      </c>
      <c r="P512" t="s">
        <v>74</v>
      </c>
      <c r="Q512" t="s">
        <v>74</v>
      </c>
      <c r="R512" t="s">
        <v>74</v>
      </c>
      <c r="S512" t="s">
        <v>74</v>
      </c>
      <c r="T512" t="s">
        <v>74</v>
      </c>
      <c r="U512" t="s">
        <v>74</v>
      </c>
      <c r="V512" s="3" t="s">
        <v>5648</v>
      </c>
      <c r="W512" t="s">
        <v>74</v>
      </c>
      <c r="X512" t="s">
        <v>74</v>
      </c>
      <c r="Y512" t="s">
        <v>74</v>
      </c>
      <c r="Z512" t="s">
        <v>74</v>
      </c>
      <c r="AA512" t="s">
        <v>74</v>
      </c>
      <c r="AB512" t="s">
        <v>5649</v>
      </c>
      <c r="AC512" t="s">
        <v>74</v>
      </c>
      <c r="AD512" t="s">
        <v>74</v>
      </c>
      <c r="AE512" t="s">
        <v>74</v>
      </c>
      <c r="AF512" t="s">
        <v>74</v>
      </c>
      <c r="AG512" t="s">
        <v>74</v>
      </c>
      <c r="AH512" t="s">
        <v>74</v>
      </c>
      <c r="AI512" t="s">
        <v>74</v>
      </c>
      <c r="AJ512" t="s">
        <v>74</v>
      </c>
      <c r="AK512" t="s">
        <v>74</v>
      </c>
      <c r="AL512" t="s">
        <v>74</v>
      </c>
      <c r="AM512" t="s">
        <v>74</v>
      </c>
      <c r="AN512" t="s">
        <v>74</v>
      </c>
      <c r="AO512" t="s">
        <v>733</v>
      </c>
      <c r="AP512" t="s">
        <v>734</v>
      </c>
      <c r="AQ512" t="s">
        <v>74</v>
      </c>
      <c r="AR512" t="s">
        <v>74</v>
      </c>
      <c r="AS512" t="s">
        <v>74</v>
      </c>
      <c r="AT512" t="s">
        <v>2022</v>
      </c>
      <c r="AU512">
        <v>2005</v>
      </c>
      <c r="AV512">
        <v>159</v>
      </c>
      <c r="AW512">
        <v>1</v>
      </c>
      <c r="AX512" t="s">
        <v>74</v>
      </c>
      <c r="AY512" t="s">
        <v>74</v>
      </c>
      <c r="AZ512" t="s">
        <v>74</v>
      </c>
      <c r="BA512" t="s">
        <v>74</v>
      </c>
      <c r="BB512">
        <v>37</v>
      </c>
      <c r="BC512">
        <v>41</v>
      </c>
      <c r="BD512" t="s">
        <v>74</v>
      </c>
      <c r="BE512" t="s">
        <v>5650</v>
      </c>
      <c r="BF512" t="str">
        <f>HYPERLINK("http://dx.doi.org/10.1016/j.bbr.2004.09.024","http://dx.doi.org/10.1016/j.bbr.2004.09.024")</f>
        <v>http://dx.doi.org/10.1016/j.bbr.2004.09.024</v>
      </c>
      <c r="BG512" t="s">
        <v>74</v>
      </c>
      <c r="BH512" t="s">
        <v>74</v>
      </c>
      <c r="BI512" t="s">
        <v>74</v>
      </c>
      <c r="BJ512" t="s">
        <v>74</v>
      </c>
      <c r="BK512" t="s">
        <v>74</v>
      </c>
      <c r="BL512" t="s">
        <v>74</v>
      </c>
      <c r="BM512" t="s">
        <v>74</v>
      </c>
      <c r="BN512">
        <v>15794995</v>
      </c>
      <c r="BO512" t="s">
        <v>74</v>
      </c>
      <c r="BP512" t="s">
        <v>74</v>
      </c>
      <c r="BQ512" t="s">
        <v>74</v>
      </c>
      <c r="BR512" t="s">
        <v>74</v>
      </c>
      <c r="BS512" t="s">
        <v>5651</v>
      </c>
      <c r="BT512" t="str">
        <f>HYPERLINK("https%3A%2F%2Fwww.webofscience.com%2Fwos%2Fwoscc%2Ffull-record%2FWOS:000228509700005","View Full Record in Web of Science")</f>
        <v>View Full Record in Web of Science</v>
      </c>
    </row>
    <row r="513" spans="1:72" x14ac:dyDescent="0.4">
      <c r="A513" t="s">
        <v>72</v>
      </c>
      <c r="B513" t="s">
        <v>5141</v>
      </c>
      <c r="C513" t="s">
        <v>74</v>
      </c>
      <c r="D513" t="s">
        <v>74</v>
      </c>
      <c r="E513" t="s">
        <v>74</v>
      </c>
      <c r="F513" t="s">
        <v>5142</v>
      </c>
      <c r="G513" t="s">
        <v>74</v>
      </c>
      <c r="H513" t="s">
        <v>74</v>
      </c>
      <c r="I513" t="s">
        <v>5143</v>
      </c>
      <c r="J513" t="s">
        <v>5144</v>
      </c>
      <c r="K513" t="s">
        <v>74</v>
      </c>
      <c r="L513" t="s">
        <v>74</v>
      </c>
      <c r="M513" t="s">
        <v>74</v>
      </c>
      <c r="N513" t="s">
        <v>74</v>
      </c>
      <c r="O513" t="s">
        <v>74</v>
      </c>
      <c r="P513" t="s">
        <v>74</v>
      </c>
      <c r="Q513" t="s">
        <v>74</v>
      </c>
      <c r="R513" t="s">
        <v>74</v>
      </c>
      <c r="S513" t="s">
        <v>74</v>
      </c>
      <c r="T513" t="s">
        <v>74</v>
      </c>
      <c r="U513" t="s">
        <v>74</v>
      </c>
      <c r="V513" s="3" t="s">
        <v>5145</v>
      </c>
      <c r="W513" t="s">
        <v>74</v>
      </c>
      <c r="X513" t="s">
        <v>74</v>
      </c>
      <c r="Y513" t="s">
        <v>74</v>
      </c>
      <c r="Z513" t="s">
        <v>74</v>
      </c>
      <c r="AA513" t="s">
        <v>74</v>
      </c>
      <c r="AB513" t="s">
        <v>5146</v>
      </c>
      <c r="AC513" t="s">
        <v>74</v>
      </c>
      <c r="AD513" t="s">
        <v>74</v>
      </c>
      <c r="AE513" t="s">
        <v>74</v>
      </c>
      <c r="AF513" t="s">
        <v>74</v>
      </c>
      <c r="AG513" t="s">
        <v>74</v>
      </c>
      <c r="AH513" t="s">
        <v>74</v>
      </c>
      <c r="AI513" t="s">
        <v>74</v>
      </c>
      <c r="AJ513" t="s">
        <v>74</v>
      </c>
      <c r="AK513" t="s">
        <v>74</v>
      </c>
      <c r="AL513" t="s">
        <v>74</v>
      </c>
      <c r="AM513" t="s">
        <v>74</v>
      </c>
      <c r="AN513" t="s">
        <v>74</v>
      </c>
      <c r="AO513" t="s">
        <v>74</v>
      </c>
      <c r="AP513" t="s">
        <v>5147</v>
      </c>
      <c r="AQ513" t="s">
        <v>74</v>
      </c>
      <c r="AR513" t="s">
        <v>74</v>
      </c>
      <c r="AS513" t="s">
        <v>74</v>
      </c>
      <c r="AT513" t="s">
        <v>74</v>
      </c>
      <c r="AU513">
        <v>2020</v>
      </c>
      <c r="AV513">
        <v>2</v>
      </c>
      <c r="AW513">
        <v>1</v>
      </c>
      <c r="AX513" t="s">
        <v>74</v>
      </c>
      <c r="AY513" t="s">
        <v>74</v>
      </c>
      <c r="AZ513" t="s">
        <v>74</v>
      </c>
      <c r="BA513" t="s">
        <v>74</v>
      </c>
      <c r="BB513" t="s">
        <v>74</v>
      </c>
      <c r="BC513" t="s">
        <v>74</v>
      </c>
      <c r="BD513" t="s">
        <v>5148</v>
      </c>
      <c r="BE513" t="s">
        <v>5149</v>
      </c>
      <c r="BF513" t="str">
        <f>HYPERLINK("http://dx.doi.org/10.1093/iob/obaa027","http://dx.doi.org/10.1093/iob/obaa027")</f>
        <v>http://dx.doi.org/10.1093/iob/obaa027</v>
      </c>
      <c r="BG513" t="s">
        <v>74</v>
      </c>
      <c r="BH513" t="s">
        <v>74</v>
      </c>
      <c r="BI513" t="s">
        <v>74</v>
      </c>
      <c r="BJ513" t="s">
        <v>74</v>
      </c>
      <c r="BK513" t="s">
        <v>74</v>
      </c>
      <c r="BL513" t="s">
        <v>74</v>
      </c>
      <c r="BM513" t="s">
        <v>74</v>
      </c>
      <c r="BN513">
        <v>33791567</v>
      </c>
      <c r="BO513" t="s">
        <v>74</v>
      </c>
      <c r="BP513" t="s">
        <v>74</v>
      </c>
      <c r="BQ513" t="s">
        <v>74</v>
      </c>
      <c r="BR513" t="s">
        <v>74</v>
      </c>
      <c r="BS513" t="s">
        <v>5150</v>
      </c>
      <c r="BT513" t="str">
        <f>HYPERLINK("https%3A%2F%2Fwww.webofscience.com%2Fwos%2Fwoscc%2Ffull-record%2FWOS:000613108900027","View Full Record in Web of Science")</f>
        <v>View Full Record in Web of Science</v>
      </c>
    </row>
    <row r="514" spans="1:72" x14ac:dyDescent="0.4">
      <c r="A514" t="s">
        <v>72</v>
      </c>
      <c r="B514" t="s">
        <v>5389</v>
      </c>
      <c r="C514" t="s">
        <v>74</v>
      </c>
      <c r="D514" t="s">
        <v>74</v>
      </c>
      <c r="E514" t="s">
        <v>74</v>
      </c>
      <c r="F514" t="s">
        <v>5390</v>
      </c>
      <c r="G514" t="s">
        <v>74</v>
      </c>
      <c r="H514" t="s">
        <v>74</v>
      </c>
      <c r="I514" t="s">
        <v>5391</v>
      </c>
      <c r="J514" t="s">
        <v>140</v>
      </c>
      <c r="K514" t="s">
        <v>74</v>
      </c>
      <c r="L514" t="s">
        <v>74</v>
      </c>
      <c r="M514" t="s">
        <v>74</v>
      </c>
      <c r="N514" t="s">
        <v>74</v>
      </c>
      <c r="O514" t="s">
        <v>74</v>
      </c>
      <c r="P514" t="s">
        <v>74</v>
      </c>
      <c r="Q514" t="s">
        <v>74</v>
      </c>
      <c r="R514" t="s">
        <v>74</v>
      </c>
      <c r="S514" t="s">
        <v>74</v>
      </c>
      <c r="T514" t="s">
        <v>74</v>
      </c>
      <c r="U514" t="s">
        <v>74</v>
      </c>
      <c r="V514" s="3" t="s">
        <v>5392</v>
      </c>
      <c r="W514" t="s">
        <v>74</v>
      </c>
      <c r="X514" t="s">
        <v>74</v>
      </c>
      <c r="Y514" t="s">
        <v>74</v>
      </c>
      <c r="Z514" t="s">
        <v>74</v>
      </c>
      <c r="AA514" t="s">
        <v>74</v>
      </c>
      <c r="AB514" t="s">
        <v>5146</v>
      </c>
      <c r="AC514" t="s">
        <v>74</v>
      </c>
      <c r="AD514" t="s">
        <v>74</v>
      </c>
      <c r="AE514" t="s">
        <v>74</v>
      </c>
      <c r="AF514" t="s">
        <v>74</v>
      </c>
      <c r="AG514" t="s">
        <v>74</v>
      </c>
      <c r="AH514" t="s">
        <v>74</v>
      </c>
      <c r="AI514" t="s">
        <v>74</v>
      </c>
      <c r="AJ514" t="s">
        <v>74</v>
      </c>
      <c r="AK514" t="s">
        <v>74</v>
      </c>
      <c r="AL514" t="s">
        <v>74</v>
      </c>
      <c r="AM514" t="s">
        <v>74</v>
      </c>
      <c r="AN514" t="s">
        <v>74</v>
      </c>
      <c r="AO514" t="s">
        <v>143</v>
      </c>
      <c r="AP514" t="s">
        <v>144</v>
      </c>
      <c r="AQ514" t="s">
        <v>74</v>
      </c>
      <c r="AR514" t="s">
        <v>74</v>
      </c>
      <c r="AS514" t="s">
        <v>74</v>
      </c>
      <c r="AT514" t="s">
        <v>255</v>
      </c>
      <c r="AU514">
        <v>2019</v>
      </c>
      <c r="AV514">
        <v>147</v>
      </c>
      <c r="AW514" t="s">
        <v>74</v>
      </c>
      <c r="AX514" t="s">
        <v>74</v>
      </c>
      <c r="AY514" t="s">
        <v>74</v>
      </c>
      <c r="AZ514" t="s">
        <v>74</v>
      </c>
      <c r="BA514" t="s">
        <v>74</v>
      </c>
      <c r="BB514">
        <v>115</v>
      </c>
      <c r="BC514">
        <v>123</v>
      </c>
      <c r="BD514" t="s">
        <v>74</v>
      </c>
      <c r="BE514" t="s">
        <v>5393</v>
      </c>
      <c r="BF514" t="str">
        <f>HYPERLINK("http://dx.doi.org/10.1016/j.anbehav.2018.11.011","http://dx.doi.org/10.1016/j.anbehav.2018.11.011")</f>
        <v>http://dx.doi.org/10.1016/j.anbehav.2018.11.011</v>
      </c>
      <c r="BG514" t="s">
        <v>74</v>
      </c>
      <c r="BH514" t="s">
        <v>74</v>
      </c>
      <c r="BI514" t="s">
        <v>74</v>
      </c>
      <c r="BJ514" t="s">
        <v>74</v>
      </c>
      <c r="BK514" t="s">
        <v>74</v>
      </c>
      <c r="BL514" t="s">
        <v>74</v>
      </c>
      <c r="BM514" t="s">
        <v>74</v>
      </c>
      <c r="BN514" t="s">
        <v>74</v>
      </c>
      <c r="BO514" t="s">
        <v>74</v>
      </c>
      <c r="BP514" t="s">
        <v>74</v>
      </c>
      <c r="BQ514" t="s">
        <v>74</v>
      </c>
      <c r="BR514" t="s">
        <v>74</v>
      </c>
      <c r="BS514" t="s">
        <v>5394</v>
      </c>
      <c r="BT514" t="str">
        <f>HYPERLINK("https%3A%2F%2Fwww.webofscience.com%2Fwos%2Fwoscc%2Ffull-record%2FWOS:000455323900014","View Full Record in Web of Science")</f>
        <v>View Full Record in Web of Science</v>
      </c>
    </row>
    <row r="515" spans="1:72" x14ac:dyDescent="0.4">
      <c r="A515" t="s">
        <v>72</v>
      </c>
      <c r="B515" t="s">
        <v>4617</v>
      </c>
      <c r="C515" t="s">
        <v>74</v>
      </c>
      <c r="D515" t="s">
        <v>74</v>
      </c>
      <c r="E515" t="s">
        <v>74</v>
      </c>
      <c r="F515" t="s">
        <v>4618</v>
      </c>
      <c r="G515" t="s">
        <v>74</v>
      </c>
      <c r="H515" t="s">
        <v>74</v>
      </c>
      <c r="I515" t="s">
        <v>4619</v>
      </c>
      <c r="J515" t="s">
        <v>4620</v>
      </c>
      <c r="K515" t="s">
        <v>74</v>
      </c>
      <c r="L515" t="s">
        <v>74</v>
      </c>
      <c r="M515" t="s">
        <v>74</v>
      </c>
      <c r="N515" t="s">
        <v>74</v>
      </c>
      <c r="O515" t="s">
        <v>74</v>
      </c>
      <c r="P515" t="s">
        <v>74</v>
      </c>
      <c r="Q515" t="s">
        <v>74</v>
      </c>
      <c r="R515" t="s">
        <v>74</v>
      </c>
      <c r="S515" t="s">
        <v>74</v>
      </c>
      <c r="T515" t="s">
        <v>74</v>
      </c>
      <c r="U515" t="s">
        <v>74</v>
      </c>
      <c r="V515" s="3" t="s">
        <v>4621</v>
      </c>
      <c r="W515" t="s">
        <v>74</v>
      </c>
      <c r="X515" t="s">
        <v>74</v>
      </c>
      <c r="Y515" t="s">
        <v>74</v>
      </c>
      <c r="Z515" t="s">
        <v>74</v>
      </c>
      <c r="AA515" t="s">
        <v>4622</v>
      </c>
      <c r="AB515" t="s">
        <v>74</v>
      </c>
      <c r="AC515" t="s">
        <v>74</v>
      </c>
      <c r="AD515" t="s">
        <v>74</v>
      </c>
      <c r="AE515" t="s">
        <v>74</v>
      </c>
      <c r="AF515" t="s">
        <v>74</v>
      </c>
      <c r="AG515" t="s">
        <v>74</v>
      </c>
      <c r="AH515" t="s">
        <v>74</v>
      </c>
      <c r="AI515" t="s">
        <v>74</v>
      </c>
      <c r="AJ515" t="s">
        <v>74</v>
      </c>
      <c r="AK515" t="s">
        <v>74</v>
      </c>
      <c r="AL515" t="s">
        <v>74</v>
      </c>
      <c r="AM515" t="s">
        <v>74</v>
      </c>
      <c r="AN515" t="s">
        <v>74</v>
      </c>
      <c r="AO515" t="s">
        <v>4623</v>
      </c>
      <c r="AP515" t="s">
        <v>74</v>
      </c>
      <c r="AQ515" t="s">
        <v>74</v>
      </c>
      <c r="AR515" t="s">
        <v>74</v>
      </c>
      <c r="AS515" t="s">
        <v>74</v>
      </c>
      <c r="AT515" t="s">
        <v>74</v>
      </c>
      <c r="AU515">
        <v>2009</v>
      </c>
      <c r="AV515">
        <v>48</v>
      </c>
      <c r="AW515">
        <v>3</v>
      </c>
      <c r="AX515" t="s">
        <v>74</v>
      </c>
      <c r="AY515" t="s">
        <v>74</v>
      </c>
      <c r="AZ515" t="s">
        <v>74</v>
      </c>
      <c r="BA515" t="s">
        <v>74</v>
      </c>
      <c r="BB515">
        <v>209</v>
      </c>
      <c r="BC515">
        <v>214</v>
      </c>
      <c r="BD515" t="s">
        <v>74</v>
      </c>
      <c r="BE515" t="s">
        <v>4624</v>
      </c>
      <c r="BF515" t="str">
        <f>HYPERLINK("http://dx.doi.org/10.3896/IBRA.1.48.3.10","http://dx.doi.org/10.3896/IBRA.1.48.3.10")</f>
        <v>http://dx.doi.org/10.3896/IBRA.1.48.3.10</v>
      </c>
      <c r="BG515" t="s">
        <v>74</v>
      </c>
      <c r="BH515" t="s">
        <v>74</v>
      </c>
      <c r="BI515" t="s">
        <v>74</v>
      </c>
      <c r="BJ515" t="s">
        <v>74</v>
      </c>
      <c r="BK515" t="s">
        <v>74</v>
      </c>
      <c r="BL515" t="s">
        <v>74</v>
      </c>
      <c r="BM515" t="s">
        <v>74</v>
      </c>
      <c r="BN515" t="s">
        <v>74</v>
      </c>
      <c r="BO515" t="s">
        <v>74</v>
      </c>
      <c r="BP515" t="s">
        <v>74</v>
      </c>
      <c r="BQ515" t="s">
        <v>74</v>
      </c>
      <c r="BR515" t="s">
        <v>74</v>
      </c>
      <c r="BS515" t="s">
        <v>4625</v>
      </c>
      <c r="BT515" t="str">
        <f>HYPERLINK("https%3A%2F%2Fwww.webofscience.com%2Fwos%2Fwoscc%2Ffull-record%2FWOS:000267851900010","View Full Record in Web of Science")</f>
        <v>View Full Record in Web of Science</v>
      </c>
    </row>
    <row r="516" spans="1:72" x14ac:dyDescent="0.4">
      <c r="A516" t="s">
        <v>72</v>
      </c>
      <c r="B516" t="s">
        <v>1419</v>
      </c>
      <c r="C516" t="s">
        <v>74</v>
      </c>
      <c r="D516" t="s">
        <v>74</v>
      </c>
      <c r="E516" t="s">
        <v>74</v>
      </c>
      <c r="F516" t="s">
        <v>1420</v>
      </c>
      <c r="G516" t="s">
        <v>74</v>
      </c>
      <c r="H516" t="s">
        <v>74</v>
      </c>
      <c r="I516" t="s">
        <v>1421</v>
      </c>
      <c r="J516" t="s">
        <v>119</v>
      </c>
      <c r="K516" t="s">
        <v>74</v>
      </c>
      <c r="L516" t="s">
        <v>74</v>
      </c>
      <c r="M516" t="s">
        <v>74</v>
      </c>
      <c r="N516" t="s">
        <v>74</v>
      </c>
      <c r="O516" t="s">
        <v>74</v>
      </c>
      <c r="P516" t="s">
        <v>74</v>
      </c>
      <c r="Q516" t="s">
        <v>74</v>
      </c>
      <c r="R516" t="s">
        <v>74</v>
      </c>
      <c r="S516" t="s">
        <v>74</v>
      </c>
      <c r="T516" t="s">
        <v>74</v>
      </c>
      <c r="U516" t="s">
        <v>74</v>
      </c>
      <c r="V516" s="3" t="s">
        <v>1422</v>
      </c>
      <c r="W516" t="s">
        <v>74</v>
      </c>
      <c r="X516" t="s">
        <v>74</v>
      </c>
      <c r="Y516" t="s">
        <v>74</v>
      </c>
      <c r="Z516" t="s">
        <v>74</v>
      </c>
      <c r="AA516" t="s">
        <v>1423</v>
      </c>
      <c r="AB516" t="s">
        <v>1424</v>
      </c>
      <c r="AC516" t="s">
        <v>74</v>
      </c>
      <c r="AD516" t="s">
        <v>74</v>
      </c>
      <c r="AE516" t="s">
        <v>74</v>
      </c>
      <c r="AF516" t="s">
        <v>74</v>
      </c>
      <c r="AG516" t="s">
        <v>74</v>
      </c>
      <c r="AH516" t="s">
        <v>74</v>
      </c>
      <c r="AI516" t="s">
        <v>74</v>
      </c>
      <c r="AJ516" t="s">
        <v>74</v>
      </c>
      <c r="AK516" t="s">
        <v>74</v>
      </c>
      <c r="AL516" t="s">
        <v>74</v>
      </c>
      <c r="AM516" t="s">
        <v>74</v>
      </c>
      <c r="AN516" t="s">
        <v>74</v>
      </c>
      <c r="AO516" t="s">
        <v>121</v>
      </c>
      <c r="AP516" t="s">
        <v>122</v>
      </c>
      <c r="AQ516" t="s">
        <v>74</v>
      </c>
      <c r="AR516" t="s">
        <v>74</v>
      </c>
      <c r="AS516" t="s">
        <v>74</v>
      </c>
      <c r="AT516" t="s">
        <v>134</v>
      </c>
      <c r="AU516">
        <v>2018</v>
      </c>
      <c r="AV516">
        <v>150</v>
      </c>
      <c r="AW516" t="s">
        <v>74</v>
      </c>
      <c r="AX516" t="s">
        <v>74</v>
      </c>
      <c r="AY516" t="s">
        <v>74</v>
      </c>
      <c r="AZ516" t="s">
        <v>74</v>
      </c>
      <c r="BA516" t="s">
        <v>74</v>
      </c>
      <c r="BB516">
        <v>25</v>
      </c>
      <c r="BC516">
        <v>28</v>
      </c>
      <c r="BD516" t="s">
        <v>74</v>
      </c>
      <c r="BE516" t="s">
        <v>1425</v>
      </c>
      <c r="BF516" t="str">
        <f>HYPERLINK("http://dx.doi.org/10.1016/j.beproc.2018.02.006","http://dx.doi.org/10.1016/j.beproc.2018.02.006")</f>
        <v>http://dx.doi.org/10.1016/j.beproc.2018.02.006</v>
      </c>
      <c r="BG516" t="s">
        <v>74</v>
      </c>
      <c r="BH516" t="s">
        <v>74</v>
      </c>
      <c r="BI516" t="s">
        <v>74</v>
      </c>
      <c r="BJ516" t="s">
        <v>74</v>
      </c>
      <c r="BK516" t="s">
        <v>74</v>
      </c>
      <c r="BL516" t="s">
        <v>74</v>
      </c>
      <c r="BM516" t="s">
        <v>74</v>
      </c>
      <c r="BN516">
        <v>29447852</v>
      </c>
      <c r="BO516" t="s">
        <v>74</v>
      </c>
      <c r="BP516" t="s">
        <v>74</v>
      </c>
      <c r="BQ516" t="s">
        <v>74</v>
      </c>
      <c r="BR516" t="s">
        <v>74</v>
      </c>
      <c r="BS516" t="s">
        <v>1426</v>
      </c>
      <c r="BT516" t="str">
        <f>HYPERLINK("https%3A%2F%2Fwww.webofscience.com%2Fwos%2Fwoscc%2Ffull-record%2FWOS:000430765900004","View Full Record in Web of Science")</f>
        <v>View Full Record in Web of Science</v>
      </c>
    </row>
    <row r="517" spans="1:72" x14ac:dyDescent="0.4">
      <c r="A517" t="s">
        <v>72</v>
      </c>
      <c r="B517" t="s">
        <v>839</v>
      </c>
      <c r="C517" t="s">
        <v>74</v>
      </c>
      <c r="D517" t="s">
        <v>74</v>
      </c>
      <c r="E517" t="s">
        <v>74</v>
      </c>
      <c r="F517" t="s">
        <v>840</v>
      </c>
      <c r="G517" t="s">
        <v>74</v>
      </c>
      <c r="H517" t="s">
        <v>74</v>
      </c>
      <c r="I517" t="s">
        <v>841</v>
      </c>
      <c r="J517" t="s">
        <v>842</v>
      </c>
      <c r="K517" t="s">
        <v>74</v>
      </c>
      <c r="L517" t="s">
        <v>74</v>
      </c>
      <c r="M517" t="s">
        <v>74</v>
      </c>
      <c r="N517" t="s">
        <v>74</v>
      </c>
      <c r="O517" t="s">
        <v>74</v>
      </c>
      <c r="P517" t="s">
        <v>74</v>
      </c>
      <c r="Q517" t="s">
        <v>74</v>
      </c>
      <c r="R517" t="s">
        <v>74</v>
      </c>
      <c r="S517" t="s">
        <v>74</v>
      </c>
      <c r="T517" t="s">
        <v>74</v>
      </c>
      <c r="U517" t="s">
        <v>74</v>
      </c>
      <c r="V517" s="3" t="s">
        <v>843</v>
      </c>
      <c r="W517" t="s">
        <v>74</v>
      </c>
      <c r="X517" t="s">
        <v>74</v>
      </c>
      <c r="Y517" t="s">
        <v>74</v>
      </c>
      <c r="Z517" t="s">
        <v>74</v>
      </c>
      <c r="AA517" t="s">
        <v>844</v>
      </c>
      <c r="AB517" t="s">
        <v>845</v>
      </c>
      <c r="AC517" t="s">
        <v>74</v>
      </c>
      <c r="AD517" t="s">
        <v>74</v>
      </c>
      <c r="AE517" t="s">
        <v>74</v>
      </c>
      <c r="AF517" t="s">
        <v>74</v>
      </c>
      <c r="AG517" t="s">
        <v>74</v>
      </c>
      <c r="AH517" t="s">
        <v>74</v>
      </c>
      <c r="AI517" t="s">
        <v>74</v>
      </c>
      <c r="AJ517" t="s">
        <v>74</v>
      </c>
      <c r="AK517" t="s">
        <v>74</v>
      </c>
      <c r="AL517" t="s">
        <v>74</v>
      </c>
      <c r="AM517" t="s">
        <v>74</v>
      </c>
      <c r="AN517" t="s">
        <v>74</v>
      </c>
      <c r="AO517" t="s">
        <v>846</v>
      </c>
      <c r="AP517" t="s">
        <v>847</v>
      </c>
      <c r="AQ517" t="s">
        <v>74</v>
      </c>
      <c r="AR517" t="s">
        <v>74</v>
      </c>
      <c r="AS517" t="s">
        <v>74</v>
      </c>
      <c r="AT517" t="s">
        <v>204</v>
      </c>
      <c r="AU517">
        <v>2013</v>
      </c>
      <c r="AV517">
        <v>75</v>
      </c>
      <c r="AW517">
        <v>7</v>
      </c>
      <c r="AX517" t="s">
        <v>74</v>
      </c>
      <c r="AY517" t="s">
        <v>74</v>
      </c>
      <c r="AZ517" t="s">
        <v>848</v>
      </c>
      <c r="BA517" t="s">
        <v>74</v>
      </c>
      <c r="BB517">
        <v>740</v>
      </c>
      <c r="BC517">
        <v>751</v>
      </c>
      <c r="BD517" t="s">
        <v>74</v>
      </c>
      <c r="BE517" t="s">
        <v>849</v>
      </c>
      <c r="BF517" t="str">
        <f>HYPERLINK("http://dx.doi.org/10.1002/ajp.22099","http://dx.doi.org/10.1002/ajp.22099")</f>
        <v>http://dx.doi.org/10.1002/ajp.22099</v>
      </c>
      <c r="BG517" t="s">
        <v>74</v>
      </c>
      <c r="BH517" t="s">
        <v>74</v>
      </c>
      <c r="BI517" t="s">
        <v>74</v>
      </c>
      <c r="BJ517" t="s">
        <v>74</v>
      </c>
      <c r="BK517" t="s">
        <v>74</v>
      </c>
      <c r="BL517" t="s">
        <v>74</v>
      </c>
      <c r="BM517" t="s">
        <v>74</v>
      </c>
      <c r="BN517">
        <v>23192604</v>
      </c>
      <c r="BO517" t="s">
        <v>74</v>
      </c>
      <c r="BP517" t="s">
        <v>74</v>
      </c>
      <c r="BQ517" t="s">
        <v>74</v>
      </c>
      <c r="BR517" t="s">
        <v>74</v>
      </c>
      <c r="BS517" t="s">
        <v>850</v>
      </c>
      <c r="BT517" t="str">
        <f>HYPERLINK("https%3A%2F%2Fwww.webofscience.com%2Fwos%2Fwoscc%2Ffull-record%2FWOS:000319001000009","View Full Record in Web of Science")</f>
        <v>View Full Record in Web of Science</v>
      </c>
    </row>
    <row r="518" spans="1:72" x14ac:dyDescent="0.4">
      <c r="A518" t="s">
        <v>72</v>
      </c>
      <c r="B518" t="s">
        <v>5681</v>
      </c>
      <c r="C518" t="s">
        <v>74</v>
      </c>
      <c r="D518" t="s">
        <v>74</v>
      </c>
      <c r="E518" t="s">
        <v>74</v>
      </c>
      <c r="F518" t="s">
        <v>5682</v>
      </c>
      <c r="G518" t="s">
        <v>74</v>
      </c>
      <c r="H518" t="s">
        <v>74</v>
      </c>
      <c r="I518" t="s">
        <v>5683</v>
      </c>
      <c r="J518" t="s">
        <v>5684</v>
      </c>
      <c r="K518" t="s">
        <v>74</v>
      </c>
      <c r="L518" t="s">
        <v>74</v>
      </c>
      <c r="M518" t="s">
        <v>74</v>
      </c>
      <c r="N518" t="s">
        <v>74</v>
      </c>
      <c r="O518" t="s">
        <v>74</v>
      </c>
      <c r="P518" t="s">
        <v>74</v>
      </c>
      <c r="Q518" t="s">
        <v>74</v>
      </c>
      <c r="R518" t="s">
        <v>74</v>
      </c>
      <c r="S518" t="s">
        <v>74</v>
      </c>
      <c r="T518" t="s">
        <v>74</v>
      </c>
      <c r="U518" t="s">
        <v>74</v>
      </c>
      <c r="V518" s="3" t="s">
        <v>5685</v>
      </c>
      <c r="W518" t="s">
        <v>74</v>
      </c>
      <c r="X518" t="s">
        <v>74</v>
      </c>
      <c r="Y518" t="s">
        <v>74</v>
      </c>
      <c r="Z518" t="s">
        <v>74</v>
      </c>
      <c r="AA518" t="s">
        <v>5686</v>
      </c>
      <c r="AB518" t="s">
        <v>5687</v>
      </c>
      <c r="AC518" t="s">
        <v>74</v>
      </c>
      <c r="AD518" t="s">
        <v>74</v>
      </c>
      <c r="AE518" t="s">
        <v>74</v>
      </c>
      <c r="AF518" t="s">
        <v>74</v>
      </c>
      <c r="AG518" t="s">
        <v>74</v>
      </c>
      <c r="AH518" t="s">
        <v>74</v>
      </c>
      <c r="AI518" t="s">
        <v>74</v>
      </c>
      <c r="AJ518" t="s">
        <v>74</v>
      </c>
      <c r="AK518" t="s">
        <v>74</v>
      </c>
      <c r="AL518" t="s">
        <v>74</v>
      </c>
      <c r="AM518" t="s">
        <v>74</v>
      </c>
      <c r="AN518" t="s">
        <v>74</v>
      </c>
      <c r="AO518" t="s">
        <v>5688</v>
      </c>
      <c r="AP518" t="s">
        <v>5689</v>
      </c>
      <c r="AQ518" t="s">
        <v>74</v>
      </c>
      <c r="AR518" t="s">
        <v>74</v>
      </c>
      <c r="AS518" t="s">
        <v>74</v>
      </c>
      <c r="AT518" t="s">
        <v>102</v>
      </c>
      <c r="AU518">
        <v>2018</v>
      </c>
      <c r="AV518">
        <v>74</v>
      </c>
      <c r="AW518">
        <v>6</v>
      </c>
      <c r="AX518" t="s">
        <v>74</v>
      </c>
      <c r="AY518" t="s">
        <v>74</v>
      </c>
      <c r="AZ518" t="s">
        <v>74</v>
      </c>
      <c r="BA518" t="s">
        <v>74</v>
      </c>
      <c r="BB518">
        <v>1404</v>
      </c>
      <c r="BC518">
        <v>1415</v>
      </c>
      <c r="BD518" t="s">
        <v>74</v>
      </c>
      <c r="BE518" t="s">
        <v>5690</v>
      </c>
      <c r="BF518" t="str">
        <f>HYPERLINK("http://dx.doi.org/10.1002/ps.4820","http://dx.doi.org/10.1002/ps.4820")</f>
        <v>http://dx.doi.org/10.1002/ps.4820</v>
      </c>
      <c r="BG518" t="s">
        <v>74</v>
      </c>
      <c r="BH518" t="s">
        <v>74</v>
      </c>
      <c r="BI518" t="s">
        <v>74</v>
      </c>
      <c r="BJ518" t="s">
        <v>74</v>
      </c>
      <c r="BK518" t="s">
        <v>74</v>
      </c>
      <c r="BL518" t="s">
        <v>74</v>
      </c>
      <c r="BM518" t="s">
        <v>74</v>
      </c>
      <c r="BN518">
        <v>29205860</v>
      </c>
      <c r="BO518" t="s">
        <v>74</v>
      </c>
      <c r="BP518" t="s">
        <v>74</v>
      </c>
      <c r="BQ518" t="s">
        <v>74</v>
      </c>
      <c r="BR518" t="s">
        <v>74</v>
      </c>
      <c r="BS518" t="s">
        <v>5691</v>
      </c>
      <c r="BT518" t="str">
        <f>HYPERLINK("https%3A%2F%2Fwww.webofscience.com%2Fwos%2Fwoscc%2Ffull-record%2FWOS:000431670200022","View Full Record in Web of Science")</f>
        <v>View Full Record in Web of Science</v>
      </c>
    </row>
    <row r="519" spans="1:72" x14ac:dyDescent="0.4">
      <c r="A519" t="s">
        <v>72</v>
      </c>
      <c r="B519" t="s">
        <v>7108</v>
      </c>
      <c r="C519" t="s">
        <v>74</v>
      </c>
      <c r="D519" t="s">
        <v>74</v>
      </c>
      <c r="E519" t="s">
        <v>74</v>
      </c>
      <c r="F519" t="s">
        <v>7109</v>
      </c>
      <c r="G519" t="s">
        <v>74</v>
      </c>
      <c r="H519" t="s">
        <v>74</v>
      </c>
      <c r="I519" t="s">
        <v>7110</v>
      </c>
      <c r="J519" t="s">
        <v>3411</v>
      </c>
      <c r="K519" t="s">
        <v>74</v>
      </c>
      <c r="L519" t="s">
        <v>74</v>
      </c>
      <c r="M519" t="s">
        <v>74</v>
      </c>
      <c r="N519" t="s">
        <v>74</v>
      </c>
      <c r="O519" t="s">
        <v>74</v>
      </c>
      <c r="P519" t="s">
        <v>74</v>
      </c>
      <c r="Q519" t="s">
        <v>74</v>
      </c>
      <c r="R519" t="s">
        <v>74</v>
      </c>
      <c r="S519" t="s">
        <v>74</v>
      </c>
      <c r="T519" t="s">
        <v>74</v>
      </c>
      <c r="U519" t="s">
        <v>74</v>
      </c>
      <c r="V519" s="3" t="s">
        <v>7111</v>
      </c>
      <c r="W519" t="s">
        <v>74</v>
      </c>
      <c r="X519" t="s">
        <v>74</v>
      </c>
      <c r="Y519" t="s">
        <v>74</v>
      </c>
      <c r="Z519" t="s">
        <v>74</v>
      </c>
      <c r="AA519" t="s">
        <v>7112</v>
      </c>
      <c r="AB519" t="s">
        <v>7113</v>
      </c>
      <c r="AC519" t="s">
        <v>74</v>
      </c>
      <c r="AD519" t="s">
        <v>74</v>
      </c>
      <c r="AE519" t="s">
        <v>74</v>
      </c>
      <c r="AF519" t="s">
        <v>74</v>
      </c>
      <c r="AG519" t="s">
        <v>74</v>
      </c>
      <c r="AH519" t="s">
        <v>74</v>
      </c>
      <c r="AI519" t="s">
        <v>74</v>
      </c>
      <c r="AJ519" t="s">
        <v>74</v>
      </c>
      <c r="AK519" t="s">
        <v>74</v>
      </c>
      <c r="AL519" t="s">
        <v>74</v>
      </c>
      <c r="AM519" t="s">
        <v>74</v>
      </c>
      <c r="AN519" t="s">
        <v>74</v>
      </c>
      <c r="AO519" t="s">
        <v>3415</v>
      </c>
      <c r="AP519" t="s">
        <v>3416</v>
      </c>
      <c r="AQ519" t="s">
        <v>74</v>
      </c>
      <c r="AR519" t="s">
        <v>74</v>
      </c>
      <c r="AS519" t="s">
        <v>74</v>
      </c>
      <c r="AT519" t="s">
        <v>74</v>
      </c>
      <c r="AU519">
        <v>2010</v>
      </c>
      <c r="AV519">
        <v>110</v>
      </c>
      <c r="AW519">
        <v>2</v>
      </c>
      <c r="AX519" t="s">
        <v>74</v>
      </c>
      <c r="AY519" t="s">
        <v>74</v>
      </c>
      <c r="AZ519" t="s">
        <v>74</v>
      </c>
      <c r="BA519" t="s">
        <v>74</v>
      </c>
      <c r="BB519">
        <v>142</v>
      </c>
      <c r="BC519">
        <v>145</v>
      </c>
      <c r="BD519" t="s">
        <v>74</v>
      </c>
      <c r="BE519" t="s">
        <v>7114</v>
      </c>
      <c r="BF519" t="str">
        <f>HYPERLINK("http://dx.doi.org/10.1071/MU09016","http://dx.doi.org/10.1071/MU09016")</f>
        <v>http://dx.doi.org/10.1071/MU09016</v>
      </c>
      <c r="BG519" t="s">
        <v>74</v>
      </c>
      <c r="BH519" t="s">
        <v>74</v>
      </c>
      <c r="BI519" t="s">
        <v>74</v>
      </c>
      <c r="BJ519" t="s">
        <v>74</v>
      </c>
      <c r="BK519" t="s">
        <v>74</v>
      </c>
      <c r="BL519" t="s">
        <v>74</v>
      </c>
      <c r="BM519" t="s">
        <v>74</v>
      </c>
      <c r="BN519" t="s">
        <v>74</v>
      </c>
      <c r="BO519" t="s">
        <v>74</v>
      </c>
      <c r="BP519" t="s">
        <v>74</v>
      </c>
      <c r="BQ519" t="s">
        <v>74</v>
      </c>
      <c r="BR519" t="s">
        <v>74</v>
      </c>
      <c r="BS519" t="s">
        <v>7115</v>
      </c>
      <c r="BT519" t="str">
        <f>HYPERLINK("https%3A%2F%2Fwww.webofscience.com%2Fwos%2Fwoscc%2Ffull-record%2FWOS:000278020200006","View Full Record in Web of Science")</f>
        <v>View Full Record in Web of Science</v>
      </c>
    </row>
    <row r="520" spans="1:72" x14ac:dyDescent="0.4">
      <c r="A520" t="s">
        <v>72</v>
      </c>
      <c r="B520" t="s">
        <v>5016</v>
      </c>
      <c r="C520" t="s">
        <v>74</v>
      </c>
      <c r="D520" t="s">
        <v>74</v>
      </c>
      <c r="E520" t="s">
        <v>74</v>
      </c>
      <c r="F520" t="s">
        <v>5017</v>
      </c>
      <c r="G520" t="s">
        <v>74</v>
      </c>
      <c r="H520" t="s">
        <v>74</v>
      </c>
      <c r="I520" t="s">
        <v>5018</v>
      </c>
      <c r="J520" t="s">
        <v>2651</v>
      </c>
      <c r="K520" t="s">
        <v>74</v>
      </c>
      <c r="L520" t="s">
        <v>74</v>
      </c>
      <c r="M520" t="s">
        <v>74</v>
      </c>
      <c r="N520" t="s">
        <v>74</v>
      </c>
      <c r="O520" t="s">
        <v>74</v>
      </c>
      <c r="P520" t="s">
        <v>74</v>
      </c>
      <c r="Q520" t="s">
        <v>74</v>
      </c>
      <c r="R520" t="s">
        <v>74</v>
      </c>
      <c r="S520" t="s">
        <v>74</v>
      </c>
      <c r="T520" t="s">
        <v>74</v>
      </c>
      <c r="U520" t="s">
        <v>74</v>
      </c>
      <c r="V520" s="3" t="s">
        <v>5019</v>
      </c>
      <c r="W520" t="s">
        <v>74</v>
      </c>
      <c r="X520" t="s">
        <v>74</v>
      </c>
      <c r="Y520" t="s">
        <v>74</v>
      </c>
      <c r="Z520" t="s">
        <v>74</v>
      </c>
      <c r="AA520" t="s">
        <v>5020</v>
      </c>
      <c r="AB520" t="s">
        <v>5021</v>
      </c>
      <c r="AC520" t="s">
        <v>74</v>
      </c>
      <c r="AD520" t="s">
        <v>74</v>
      </c>
      <c r="AE520" t="s">
        <v>74</v>
      </c>
      <c r="AF520" t="s">
        <v>74</v>
      </c>
      <c r="AG520" t="s">
        <v>74</v>
      </c>
      <c r="AH520" t="s">
        <v>74</v>
      </c>
      <c r="AI520" t="s">
        <v>74</v>
      </c>
      <c r="AJ520" t="s">
        <v>74</v>
      </c>
      <c r="AK520" t="s">
        <v>74</v>
      </c>
      <c r="AL520" t="s">
        <v>74</v>
      </c>
      <c r="AM520" t="s">
        <v>74</v>
      </c>
      <c r="AN520" t="s">
        <v>74</v>
      </c>
      <c r="AO520" t="s">
        <v>2655</v>
      </c>
      <c r="AP520" t="s">
        <v>2656</v>
      </c>
      <c r="AQ520" t="s">
        <v>74</v>
      </c>
      <c r="AR520" t="s">
        <v>74</v>
      </c>
      <c r="AS520" t="s">
        <v>74</v>
      </c>
      <c r="AT520" t="s">
        <v>134</v>
      </c>
      <c r="AU520">
        <v>2022</v>
      </c>
      <c r="AV520">
        <v>43</v>
      </c>
      <c r="AW520">
        <v>3</v>
      </c>
      <c r="AX520" t="s">
        <v>74</v>
      </c>
      <c r="AY520" t="s">
        <v>74</v>
      </c>
      <c r="AZ520" t="s">
        <v>74</v>
      </c>
      <c r="BA520" t="s">
        <v>74</v>
      </c>
      <c r="BB520">
        <v>169</v>
      </c>
      <c r="BC520">
        <v>180</v>
      </c>
      <c r="BD520" t="s">
        <v>74</v>
      </c>
      <c r="BE520" t="s">
        <v>5022</v>
      </c>
      <c r="BF520" t="str">
        <f>HYPERLINK("http://dx.doi.org/10.1016/j.evolhumbehav.2021.12.004","http://dx.doi.org/10.1016/j.evolhumbehav.2021.12.004")</f>
        <v>http://dx.doi.org/10.1016/j.evolhumbehav.2021.12.004</v>
      </c>
      <c r="BG520" t="s">
        <v>74</v>
      </c>
      <c r="BH520" t="s">
        <v>2006</v>
      </c>
      <c r="BI520" t="s">
        <v>74</v>
      </c>
      <c r="BJ520" t="s">
        <v>74</v>
      </c>
      <c r="BK520" t="s">
        <v>74</v>
      </c>
      <c r="BL520" t="s">
        <v>74</v>
      </c>
      <c r="BM520" t="s">
        <v>74</v>
      </c>
      <c r="BN520" t="s">
        <v>74</v>
      </c>
      <c r="BO520" t="s">
        <v>74</v>
      </c>
      <c r="BP520" t="s">
        <v>74</v>
      </c>
      <c r="BQ520" t="s">
        <v>74</v>
      </c>
      <c r="BR520" t="s">
        <v>74</v>
      </c>
      <c r="BS520" t="s">
        <v>5023</v>
      </c>
      <c r="BT520" t="str">
        <f>HYPERLINK("https%3A%2F%2Fwww.webofscience.com%2Fwos%2Fwoscc%2Ffull-record%2FWOS:000797243400001","View Full Record in Web of Science")</f>
        <v>View Full Record in Web of Science</v>
      </c>
    </row>
    <row r="521" spans="1:72" x14ac:dyDescent="0.4">
      <c r="A521" t="s">
        <v>72</v>
      </c>
      <c r="B521" t="s">
        <v>278</v>
      </c>
      <c r="C521" t="s">
        <v>74</v>
      </c>
      <c r="D521" t="s">
        <v>74</v>
      </c>
      <c r="E521" t="s">
        <v>74</v>
      </c>
      <c r="F521" t="s">
        <v>279</v>
      </c>
      <c r="G521" t="s">
        <v>74</v>
      </c>
      <c r="H521" t="s">
        <v>74</v>
      </c>
      <c r="I521" t="s">
        <v>280</v>
      </c>
      <c r="J521" t="s">
        <v>281</v>
      </c>
      <c r="K521" t="s">
        <v>74</v>
      </c>
      <c r="L521" t="s">
        <v>74</v>
      </c>
      <c r="M521" t="s">
        <v>74</v>
      </c>
      <c r="N521" t="s">
        <v>74</v>
      </c>
      <c r="O521" t="s">
        <v>74</v>
      </c>
      <c r="P521" t="s">
        <v>74</v>
      </c>
      <c r="Q521" t="s">
        <v>74</v>
      </c>
      <c r="R521" t="s">
        <v>74</v>
      </c>
      <c r="S521" t="s">
        <v>74</v>
      </c>
      <c r="T521" t="s">
        <v>74</v>
      </c>
      <c r="U521" t="s">
        <v>74</v>
      </c>
      <c r="V521" s="3" t="s">
        <v>282</v>
      </c>
      <c r="W521" t="s">
        <v>74</v>
      </c>
      <c r="X521" t="s">
        <v>74</v>
      </c>
      <c r="Y521" t="s">
        <v>74</v>
      </c>
      <c r="Z521" t="s">
        <v>74</v>
      </c>
      <c r="AA521" t="s">
        <v>283</v>
      </c>
      <c r="AB521" t="s">
        <v>284</v>
      </c>
      <c r="AC521" t="s">
        <v>74</v>
      </c>
      <c r="AD521" t="s">
        <v>74</v>
      </c>
      <c r="AE521" t="s">
        <v>74</v>
      </c>
      <c r="AF521" t="s">
        <v>74</v>
      </c>
      <c r="AG521" t="s">
        <v>74</v>
      </c>
      <c r="AH521" t="s">
        <v>74</v>
      </c>
      <c r="AI521" t="s">
        <v>74</v>
      </c>
      <c r="AJ521" t="s">
        <v>74</v>
      </c>
      <c r="AK521" t="s">
        <v>74</v>
      </c>
      <c r="AL521" t="s">
        <v>74</v>
      </c>
      <c r="AM521" t="s">
        <v>74</v>
      </c>
      <c r="AN521" t="s">
        <v>74</v>
      </c>
      <c r="AO521" t="s">
        <v>285</v>
      </c>
      <c r="AP521" t="s">
        <v>286</v>
      </c>
      <c r="AQ521" t="s">
        <v>74</v>
      </c>
      <c r="AR521" t="s">
        <v>74</v>
      </c>
      <c r="AS521" t="s">
        <v>74</v>
      </c>
      <c r="AT521" t="s">
        <v>123</v>
      </c>
      <c r="AU521">
        <v>2013</v>
      </c>
      <c r="AV521">
        <v>16</v>
      </c>
      <c r="AW521">
        <v>2</v>
      </c>
      <c r="AX521" t="s">
        <v>74</v>
      </c>
      <c r="AY521" t="s">
        <v>74</v>
      </c>
      <c r="AZ521" t="s">
        <v>74</v>
      </c>
      <c r="BA521" t="s">
        <v>74</v>
      </c>
      <c r="BB521">
        <v>287</v>
      </c>
      <c r="BC521">
        <v>300</v>
      </c>
      <c r="BD521" t="s">
        <v>74</v>
      </c>
      <c r="BE521" t="s">
        <v>287</v>
      </c>
      <c r="BF521" t="str">
        <f>HYPERLINK("http://dx.doi.org/10.1007/s10071-012-0572-0","http://dx.doi.org/10.1007/s10071-012-0572-0")</f>
        <v>http://dx.doi.org/10.1007/s10071-012-0572-0</v>
      </c>
      <c r="BG521" t="s">
        <v>74</v>
      </c>
      <c r="BH521" t="s">
        <v>74</v>
      </c>
      <c r="BI521" t="s">
        <v>74</v>
      </c>
      <c r="BJ521" t="s">
        <v>74</v>
      </c>
      <c r="BK521" t="s">
        <v>74</v>
      </c>
      <c r="BL521" t="s">
        <v>74</v>
      </c>
      <c r="BM521" t="s">
        <v>74</v>
      </c>
      <c r="BN521">
        <v>23111900</v>
      </c>
      <c r="BO521" t="s">
        <v>74</v>
      </c>
      <c r="BP521" t="s">
        <v>74</v>
      </c>
      <c r="BQ521" t="s">
        <v>74</v>
      </c>
      <c r="BR521" t="s">
        <v>74</v>
      </c>
      <c r="BS521" t="s">
        <v>288</v>
      </c>
      <c r="BT521" t="str">
        <f>HYPERLINK("https%3A%2F%2Fwww.webofscience.com%2Fwos%2Fwoscc%2Ffull-record%2FWOS:000315035100012","View Full Record in Web of Science")</f>
        <v>View Full Record in Web of Science</v>
      </c>
    </row>
    <row r="522" spans="1:72" x14ac:dyDescent="0.4">
      <c r="A522" t="s">
        <v>72</v>
      </c>
      <c r="B522" t="s">
        <v>8663</v>
      </c>
      <c r="C522" t="s">
        <v>74</v>
      </c>
      <c r="D522" t="s">
        <v>74</v>
      </c>
      <c r="E522" t="s">
        <v>74</v>
      </c>
      <c r="F522" t="s">
        <v>8664</v>
      </c>
      <c r="G522" t="s">
        <v>74</v>
      </c>
      <c r="H522" t="s">
        <v>74</v>
      </c>
      <c r="I522" t="s">
        <v>8665</v>
      </c>
      <c r="J522" t="s">
        <v>8666</v>
      </c>
      <c r="K522" t="s">
        <v>74</v>
      </c>
      <c r="L522" t="s">
        <v>74</v>
      </c>
      <c r="M522" t="s">
        <v>74</v>
      </c>
      <c r="N522" t="s">
        <v>74</v>
      </c>
      <c r="O522" t="s">
        <v>74</v>
      </c>
      <c r="P522" t="s">
        <v>74</v>
      </c>
      <c r="Q522" t="s">
        <v>74</v>
      </c>
      <c r="R522" t="s">
        <v>74</v>
      </c>
      <c r="S522" t="s">
        <v>74</v>
      </c>
      <c r="T522" t="s">
        <v>74</v>
      </c>
      <c r="U522" t="s">
        <v>74</v>
      </c>
      <c r="V522" s="3" t="s">
        <v>8667</v>
      </c>
      <c r="W522" t="s">
        <v>74</v>
      </c>
      <c r="X522" t="s">
        <v>74</v>
      </c>
      <c r="Y522" t="s">
        <v>74</v>
      </c>
      <c r="Z522" t="s">
        <v>74</v>
      </c>
      <c r="AA522" t="s">
        <v>8668</v>
      </c>
      <c r="AB522" t="s">
        <v>8669</v>
      </c>
      <c r="AC522" t="s">
        <v>74</v>
      </c>
      <c r="AD522" t="s">
        <v>74</v>
      </c>
      <c r="AE522" t="s">
        <v>74</v>
      </c>
      <c r="AF522" t="s">
        <v>74</v>
      </c>
      <c r="AG522" t="s">
        <v>74</v>
      </c>
      <c r="AH522" t="s">
        <v>74</v>
      </c>
      <c r="AI522" t="s">
        <v>74</v>
      </c>
      <c r="AJ522" t="s">
        <v>74</v>
      </c>
      <c r="AK522" t="s">
        <v>74</v>
      </c>
      <c r="AL522" t="s">
        <v>74</v>
      </c>
      <c r="AM522" t="s">
        <v>74</v>
      </c>
      <c r="AN522" t="s">
        <v>74</v>
      </c>
      <c r="AO522" t="s">
        <v>8670</v>
      </c>
      <c r="AP522" t="s">
        <v>8671</v>
      </c>
      <c r="AQ522" t="s">
        <v>74</v>
      </c>
      <c r="AR522" t="s">
        <v>74</v>
      </c>
      <c r="AS522" t="s">
        <v>74</v>
      </c>
      <c r="AT522" t="s">
        <v>123</v>
      </c>
      <c r="AU522">
        <v>2011</v>
      </c>
      <c r="AV522">
        <v>41</v>
      </c>
      <c r="AW522">
        <v>2</v>
      </c>
      <c r="AX522" t="s">
        <v>74</v>
      </c>
      <c r="AY522" t="s">
        <v>74</v>
      </c>
      <c r="AZ522" t="s">
        <v>74</v>
      </c>
      <c r="BA522" t="s">
        <v>74</v>
      </c>
      <c r="BB522">
        <v>312</v>
      </c>
      <c r="BC522">
        <v>322</v>
      </c>
      <c r="BD522" t="s">
        <v>74</v>
      </c>
      <c r="BE522" t="s">
        <v>8672</v>
      </c>
      <c r="BF522" t="str">
        <f>HYPERLINK("http://dx.doi.org/10.1007/s10519-010-9379-4","http://dx.doi.org/10.1007/s10519-010-9379-4")</f>
        <v>http://dx.doi.org/10.1007/s10519-010-9379-4</v>
      </c>
      <c r="BG522" t="s">
        <v>74</v>
      </c>
      <c r="BH522" t="s">
        <v>74</v>
      </c>
      <c r="BI522" t="s">
        <v>74</v>
      </c>
      <c r="BJ522" t="s">
        <v>74</v>
      </c>
      <c r="BK522" t="s">
        <v>74</v>
      </c>
      <c r="BL522" t="s">
        <v>74</v>
      </c>
      <c r="BM522" t="s">
        <v>74</v>
      </c>
      <c r="BN522">
        <v>20623330</v>
      </c>
      <c r="BO522" t="s">
        <v>74</v>
      </c>
      <c r="BP522" t="s">
        <v>74</v>
      </c>
      <c r="BQ522" t="s">
        <v>74</v>
      </c>
      <c r="BR522" t="s">
        <v>74</v>
      </c>
      <c r="BS522" t="s">
        <v>8673</v>
      </c>
      <c r="BT522" t="str">
        <f>HYPERLINK("https%3A%2F%2Fwww.webofscience.com%2Fwos%2Fwoscc%2Ffull-record%2FWOS:000287749700015","View Full Record in Web of Science")</f>
        <v>View Full Record in Web of Science</v>
      </c>
    </row>
    <row r="523" spans="1:72" x14ac:dyDescent="0.4">
      <c r="A523" t="s">
        <v>72</v>
      </c>
      <c r="B523" t="s">
        <v>3057</v>
      </c>
      <c r="C523" t="s">
        <v>74</v>
      </c>
      <c r="D523" t="s">
        <v>74</v>
      </c>
      <c r="E523" t="s">
        <v>74</v>
      </c>
      <c r="F523" t="s">
        <v>3058</v>
      </c>
      <c r="G523" t="s">
        <v>74</v>
      </c>
      <c r="H523" t="s">
        <v>74</v>
      </c>
      <c r="I523" t="s">
        <v>3059</v>
      </c>
      <c r="J523" t="s">
        <v>333</v>
      </c>
      <c r="K523" t="s">
        <v>74</v>
      </c>
      <c r="L523" t="s">
        <v>74</v>
      </c>
      <c r="M523" t="s">
        <v>74</v>
      </c>
      <c r="N523" t="s">
        <v>74</v>
      </c>
      <c r="O523" t="s">
        <v>74</v>
      </c>
      <c r="P523" t="s">
        <v>74</v>
      </c>
      <c r="Q523" t="s">
        <v>74</v>
      </c>
      <c r="R523" t="s">
        <v>74</v>
      </c>
      <c r="S523" t="s">
        <v>74</v>
      </c>
      <c r="T523" t="s">
        <v>74</v>
      </c>
      <c r="U523" t="s">
        <v>74</v>
      </c>
      <c r="V523" s="3" t="s">
        <v>3060</v>
      </c>
      <c r="W523" t="s">
        <v>74</v>
      </c>
      <c r="X523" t="s">
        <v>74</v>
      </c>
      <c r="Y523" t="s">
        <v>74</v>
      </c>
      <c r="Z523" t="s">
        <v>74</v>
      </c>
      <c r="AA523" t="s">
        <v>3061</v>
      </c>
      <c r="AB523" t="s">
        <v>3062</v>
      </c>
      <c r="AC523" t="s">
        <v>74</v>
      </c>
      <c r="AD523" t="s">
        <v>74</v>
      </c>
      <c r="AE523" t="s">
        <v>74</v>
      </c>
      <c r="AF523" t="s">
        <v>74</v>
      </c>
      <c r="AG523" t="s">
        <v>74</v>
      </c>
      <c r="AH523" t="s">
        <v>74</v>
      </c>
      <c r="AI523" t="s">
        <v>74</v>
      </c>
      <c r="AJ523" t="s">
        <v>74</v>
      </c>
      <c r="AK523" t="s">
        <v>74</v>
      </c>
      <c r="AL523" t="s">
        <v>74</v>
      </c>
      <c r="AM523" t="s">
        <v>74</v>
      </c>
      <c r="AN523" t="s">
        <v>74</v>
      </c>
      <c r="AO523" t="s">
        <v>337</v>
      </c>
      <c r="AP523" t="s">
        <v>74</v>
      </c>
      <c r="AQ523" t="s">
        <v>74</v>
      </c>
      <c r="AR523" t="s">
        <v>74</v>
      </c>
      <c r="AS523" t="s">
        <v>74</v>
      </c>
      <c r="AT523" t="s">
        <v>808</v>
      </c>
      <c r="AU523">
        <v>2008</v>
      </c>
      <c r="AV523">
        <v>19</v>
      </c>
      <c r="AW523">
        <v>3</v>
      </c>
      <c r="AX523" t="s">
        <v>74</v>
      </c>
      <c r="AY523" t="s">
        <v>74</v>
      </c>
      <c r="AZ523" t="s">
        <v>74</v>
      </c>
      <c r="BA523" t="s">
        <v>74</v>
      </c>
      <c r="BB523">
        <v>508</v>
      </c>
      <c r="BC523">
        <v>516</v>
      </c>
      <c r="BD523" t="s">
        <v>74</v>
      </c>
      <c r="BE523" t="s">
        <v>3063</v>
      </c>
      <c r="BF523" t="str">
        <f>HYPERLINK("http://dx.doi.org/10.1093/beheco/arm159","http://dx.doi.org/10.1093/beheco/arm159")</f>
        <v>http://dx.doi.org/10.1093/beheco/arm159</v>
      </c>
      <c r="BG523" t="s">
        <v>74</v>
      </c>
      <c r="BH523" t="s">
        <v>74</v>
      </c>
      <c r="BI523" t="s">
        <v>74</v>
      </c>
      <c r="BJ523" t="s">
        <v>74</v>
      </c>
      <c r="BK523" t="s">
        <v>74</v>
      </c>
      <c r="BL523" t="s">
        <v>74</v>
      </c>
      <c r="BM523" t="s">
        <v>74</v>
      </c>
      <c r="BN523" t="s">
        <v>74</v>
      </c>
      <c r="BO523" t="s">
        <v>74</v>
      </c>
      <c r="BP523" t="s">
        <v>74</v>
      </c>
      <c r="BQ523" t="s">
        <v>74</v>
      </c>
      <c r="BR523" t="s">
        <v>74</v>
      </c>
      <c r="BS523" t="s">
        <v>3064</v>
      </c>
      <c r="BT523" t="str">
        <f>HYPERLINK("https%3A%2F%2Fwww.webofscience.com%2Fwos%2Fwoscc%2Ffull-record%2FWOS:000255987600006","View Full Record in Web of Science")</f>
        <v>View Full Record in Web of Science</v>
      </c>
    </row>
    <row r="524" spans="1:72" x14ac:dyDescent="0.4">
      <c r="A524" t="s">
        <v>72</v>
      </c>
      <c r="B524" t="s">
        <v>8606</v>
      </c>
      <c r="C524" t="s">
        <v>74</v>
      </c>
      <c r="D524" t="s">
        <v>74</v>
      </c>
      <c r="E524" t="s">
        <v>74</v>
      </c>
      <c r="F524" t="s">
        <v>8607</v>
      </c>
      <c r="G524" t="s">
        <v>74</v>
      </c>
      <c r="H524" t="s">
        <v>74</v>
      </c>
      <c r="I524" t="s">
        <v>8608</v>
      </c>
      <c r="J524" t="s">
        <v>2207</v>
      </c>
      <c r="K524" t="s">
        <v>74</v>
      </c>
      <c r="L524" t="s">
        <v>74</v>
      </c>
      <c r="M524" t="s">
        <v>74</v>
      </c>
      <c r="N524" t="s">
        <v>74</v>
      </c>
      <c r="O524" t="s">
        <v>74</v>
      </c>
      <c r="P524" t="s">
        <v>74</v>
      </c>
      <c r="Q524" t="s">
        <v>74</v>
      </c>
      <c r="R524" t="s">
        <v>74</v>
      </c>
      <c r="S524" t="s">
        <v>74</v>
      </c>
      <c r="T524" t="s">
        <v>74</v>
      </c>
      <c r="U524" t="s">
        <v>74</v>
      </c>
      <c r="V524" s="3" t="s">
        <v>8609</v>
      </c>
      <c r="W524" t="s">
        <v>74</v>
      </c>
      <c r="X524" t="s">
        <v>74</v>
      </c>
      <c r="Y524" t="s">
        <v>74</v>
      </c>
      <c r="Z524" t="s">
        <v>74</v>
      </c>
      <c r="AA524" t="s">
        <v>8610</v>
      </c>
      <c r="AB524" t="s">
        <v>8611</v>
      </c>
      <c r="AC524" t="s">
        <v>74</v>
      </c>
      <c r="AD524" t="s">
        <v>74</v>
      </c>
      <c r="AE524" t="s">
        <v>74</v>
      </c>
      <c r="AF524" t="s">
        <v>74</v>
      </c>
      <c r="AG524" t="s">
        <v>74</v>
      </c>
      <c r="AH524" t="s">
        <v>74</v>
      </c>
      <c r="AI524" t="s">
        <v>74</v>
      </c>
      <c r="AJ524" t="s">
        <v>74</v>
      </c>
      <c r="AK524" t="s">
        <v>74</v>
      </c>
      <c r="AL524" t="s">
        <v>74</v>
      </c>
      <c r="AM524" t="s">
        <v>74</v>
      </c>
      <c r="AN524" t="s">
        <v>74</v>
      </c>
      <c r="AO524" t="s">
        <v>2211</v>
      </c>
      <c r="AP524" t="s">
        <v>2461</v>
      </c>
      <c r="AQ524" t="s">
        <v>74</v>
      </c>
      <c r="AR524" t="s">
        <v>74</v>
      </c>
      <c r="AS524" t="s">
        <v>74</v>
      </c>
      <c r="AT524" t="s">
        <v>352</v>
      </c>
      <c r="AU524">
        <v>2009</v>
      </c>
      <c r="AV524">
        <v>40</v>
      </c>
      <c r="AW524">
        <v>5</v>
      </c>
      <c r="AX524" t="s">
        <v>74</v>
      </c>
      <c r="AY524" t="s">
        <v>74</v>
      </c>
      <c r="AZ524" t="s">
        <v>74</v>
      </c>
      <c r="BA524" t="s">
        <v>74</v>
      </c>
      <c r="BB524">
        <v>559</v>
      </c>
      <c r="BC524">
        <v>568</v>
      </c>
      <c r="BD524" t="s">
        <v>74</v>
      </c>
      <c r="BE524" t="s">
        <v>8612</v>
      </c>
      <c r="BF524" t="str">
        <f>HYPERLINK("http://dx.doi.org/10.1111/j.1600-048X.2009.04572.x","http://dx.doi.org/10.1111/j.1600-048X.2009.04572.x")</f>
        <v>http://dx.doi.org/10.1111/j.1600-048X.2009.04572.x</v>
      </c>
      <c r="BG524" t="s">
        <v>74</v>
      </c>
      <c r="BH524" t="s">
        <v>74</v>
      </c>
      <c r="BI524" t="s">
        <v>74</v>
      </c>
      <c r="BJ524" t="s">
        <v>74</v>
      </c>
      <c r="BK524" t="s">
        <v>74</v>
      </c>
      <c r="BL524" t="s">
        <v>74</v>
      </c>
      <c r="BM524" t="s">
        <v>74</v>
      </c>
      <c r="BN524" t="s">
        <v>74</v>
      </c>
      <c r="BO524" t="s">
        <v>74</v>
      </c>
      <c r="BP524" t="s">
        <v>74</v>
      </c>
      <c r="BQ524" t="s">
        <v>74</v>
      </c>
      <c r="BR524" t="s">
        <v>74</v>
      </c>
      <c r="BS524" t="s">
        <v>8613</v>
      </c>
      <c r="BT524" t="str">
        <f>HYPERLINK("https%3A%2F%2Fwww.webofscience.com%2Fwos%2Fwoscc%2Ffull-record%2FWOS:000270179100011","View Full Record in Web of Science")</f>
        <v>View Full Record in Web of Science</v>
      </c>
    </row>
    <row r="525" spans="1:72" x14ac:dyDescent="0.4">
      <c r="A525" t="s">
        <v>72</v>
      </c>
      <c r="B525" t="s">
        <v>6965</v>
      </c>
      <c r="C525" t="s">
        <v>74</v>
      </c>
      <c r="D525" t="s">
        <v>74</v>
      </c>
      <c r="E525" t="s">
        <v>74</v>
      </c>
      <c r="F525" t="s">
        <v>6966</v>
      </c>
      <c r="G525" t="s">
        <v>74</v>
      </c>
      <c r="H525" t="s">
        <v>74</v>
      </c>
      <c r="I525" t="s">
        <v>6967</v>
      </c>
      <c r="J525" t="s">
        <v>6968</v>
      </c>
      <c r="K525" t="s">
        <v>74</v>
      </c>
      <c r="L525" t="s">
        <v>74</v>
      </c>
      <c r="M525" t="s">
        <v>74</v>
      </c>
      <c r="N525" t="s">
        <v>74</v>
      </c>
      <c r="O525" t="s">
        <v>74</v>
      </c>
      <c r="P525" t="s">
        <v>74</v>
      </c>
      <c r="Q525" t="s">
        <v>74</v>
      </c>
      <c r="R525" t="s">
        <v>74</v>
      </c>
      <c r="S525" t="s">
        <v>74</v>
      </c>
      <c r="T525" t="s">
        <v>74</v>
      </c>
      <c r="U525" t="s">
        <v>74</v>
      </c>
      <c r="V525" s="3" t="s">
        <v>6969</v>
      </c>
      <c r="W525" t="s">
        <v>74</v>
      </c>
      <c r="X525" t="s">
        <v>74</v>
      </c>
      <c r="Y525" t="s">
        <v>74</v>
      </c>
      <c r="Z525" t="s">
        <v>74</v>
      </c>
      <c r="AA525" t="s">
        <v>74</v>
      </c>
      <c r="AB525" t="s">
        <v>74</v>
      </c>
      <c r="AC525" t="s">
        <v>74</v>
      </c>
      <c r="AD525" t="s">
        <v>74</v>
      </c>
      <c r="AE525" t="s">
        <v>74</v>
      </c>
      <c r="AF525" t="s">
        <v>74</v>
      </c>
      <c r="AG525" t="s">
        <v>74</v>
      </c>
      <c r="AH525" t="s">
        <v>74</v>
      </c>
      <c r="AI525" t="s">
        <v>74</v>
      </c>
      <c r="AJ525" t="s">
        <v>74</v>
      </c>
      <c r="AK525" t="s">
        <v>74</v>
      </c>
      <c r="AL525" t="s">
        <v>74</v>
      </c>
      <c r="AM525" t="s">
        <v>74</v>
      </c>
      <c r="AN525" t="s">
        <v>74</v>
      </c>
      <c r="AO525" t="s">
        <v>6970</v>
      </c>
      <c r="AP525" t="s">
        <v>6971</v>
      </c>
      <c r="AQ525" t="s">
        <v>74</v>
      </c>
      <c r="AR525" t="s">
        <v>74</v>
      </c>
      <c r="AS525" t="s">
        <v>74</v>
      </c>
      <c r="AT525" t="s">
        <v>305</v>
      </c>
      <c r="AU525">
        <v>2021</v>
      </c>
      <c r="AV525">
        <v>21</v>
      </c>
      <c r="AW525">
        <v>4</v>
      </c>
      <c r="AX525" t="s">
        <v>74</v>
      </c>
      <c r="AY525" t="s">
        <v>74</v>
      </c>
      <c r="AZ525" t="s">
        <v>74</v>
      </c>
      <c r="BA525" t="s">
        <v>74</v>
      </c>
      <c r="BB525">
        <v>719</v>
      </c>
      <c r="BC525">
        <v>735</v>
      </c>
      <c r="BD525" t="s">
        <v>74</v>
      </c>
      <c r="BE525" t="s">
        <v>6972</v>
      </c>
      <c r="BF525" t="str">
        <f>HYPERLINK("http://dx.doi.org/10.1007/s13127-021-00510-2","http://dx.doi.org/10.1007/s13127-021-00510-2")</f>
        <v>http://dx.doi.org/10.1007/s13127-021-00510-2</v>
      </c>
      <c r="BG525" t="s">
        <v>74</v>
      </c>
      <c r="BH525" t="s">
        <v>675</v>
      </c>
      <c r="BI525" t="s">
        <v>74</v>
      </c>
      <c r="BJ525" t="s">
        <v>74</v>
      </c>
      <c r="BK525" t="s">
        <v>74</v>
      </c>
      <c r="BL525" t="s">
        <v>74</v>
      </c>
      <c r="BM525" t="s">
        <v>74</v>
      </c>
      <c r="BN525" t="s">
        <v>74</v>
      </c>
      <c r="BO525" t="s">
        <v>74</v>
      </c>
      <c r="BP525" t="s">
        <v>74</v>
      </c>
      <c r="BQ525" t="s">
        <v>74</v>
      </c>
      <c r="BR525" t="s">
        <v>74</v>
      </c>
      <c r="BS525" t="s">
        <v>6973</v>
      </c>
      <c r="BT525" t="str">
        <f>HYPERLINK("https%3A%2F%2Fwww.webofscience.com%2Fwos%2Fwoscc%2Ffull-record%2FWOS:000702265500001","View Full Record in Web of Science")</f>
        <v>View Full Record in Web of Science</v>
      </c>
    </row>
    <row r="526" spans="1:72" x14ac:dyDescent="0.4">
      <c r="A526" t="s">
        <v>72</v>
      </c>
      <c r="B526" t="s">
        <v>1427</v>
      </c>
      <c r="C526" t="s">
        <v>74</v>
      </c>
      <c r="D526" t="s">
        <v>74</v>
      </c>
      <c r="E526" t="s">
        <v>74</v>
      </c>
      <c r="F526" t="s">
        <v>1428</v>
      </c>
      <c r="G526" t="s">
        <v>74</v>
      </c>
      <c r="H526" t="s">
        <v>74</v>
      </c>
      <c r="I526" t="s">
        <v>1429</v>
      </c>
      <c r="J526" t="s">
        <v>140</v>
      </c>
      <c r="K526" t="s">
        <v>74</v>
      </c>
      <c r="L526" t="s">
        <v>74</v>
      </c>
      <c r="M526" t="s">
        <v>74</v>
      </c>
      <c r="N526" t="s">
        <v>74</v>
      </c>
      <c r="O526" t="s">
        <v>74</v>
      </c>
      <c r="P526" t="s">
        <v>74</v>
      </c>
      <c r="Q526" t="s">
        <v>74</v>
      </c>
      <c r="R526" t="s">
        <v>74</v>
      </c>
      <c r="S526" t="s">
        <v>74</v>
      </c>
      <c r="T526" t="s">
        <v>74</v>
      </c>
      <c r="U526" t="s">
        <v>74</v>
      </c>
      <c r="V526" s="3" t="s">
        <v>1430</v>
      </c>
      <c r="W526" t="s">
        <v>74</v>
      </c>
      <c r="X526" t="s">
        <v>74</v>
      </c>
      <c r="Y526" t="s">
        <v>74</v>
      </c>
      <c r="Z526" t="s">
        <v>74</v>
      </c>
      <c r="AA526" t="s">
        <v>1431</v>
      </c>
      <c r="AB526" t="s">
        <v>1432</v>
      </c>
      <c r="AC526" t="s">
        <v>74</v>
      </c>
      <c r="AD526" t="s">
        <v>74</v>
      </c>
      <c r="AE526" t="s">
        <v>74</v>
      </c>
      <c r="AF526" t="s">
        <v>74</v>
      </c>
      <c r="AG526" t="s">
        <v>74</v>
      </c>
      <c r="AH526" t="s">
        <v>74</v>
      </c>
      <c r="AI526" t="s">
        <v>74</v>
      </c>
      <c r="AJ526" t="s">
        <v>74</v>
      </c>
      <c r="AK526" t="s">
        <v>74</v>
      </c>
      <c r="AL526" t="s">
        <v>74</v>
      </c>
      <c r="AM526" t="s">
        <v>74</v>
      </c>
      <c r="AN526" t="s">
        <v>74</v>
      </c>
      <c r="AO526" t="s">
        <v>143</v>
      </c>
      <c r="AP526" t="s">
        <v>74</v>
      </c>
      <c r="AQ526" t="s">
        <v>74</v>
      </c>
      <c r="AR526" t="s">
        <v>74</v>
      </c>
      <c r="AS526" t="s">
        <v>74</v>
      </c>
      <c r="AT526" t="s">
        <v>123</v>
      </c>
      <c r="AU526">
        <v>2010</v>
      </c>
      <c r="AV526">
        <v>79</v>
      </c>
      <c r="AW526">
        <v>3</v>
      </c>
      <c r="AX526" t="s">
        <v>74</v>
      </c>
      <c r="AY526" t="s">
        <v>74</v>
      </c>
      <c r="AZ526" t="s">
        <v>74</v>
      </c>
      <c r="BA526" t="s">
        <v>74</v>
      </c>
      <c r="BB526">
        <v>709</v>
      </c>
      <c r="BC526">
        <v>715</v>
      </c>
      <c r="BD526" t="s">
        <v>74</v>
      </c>
      <c r="BE526" t="s">
        <v>1433</v>
      </c>
      <c r="BF526" t="str">
        <f>HYPERLINK("http://dx.doi.org/10.1016/j.anbehav.2009.12.025","http://dx.doi.org/10.1016/j.anbehav.2009.12.025")</f>
        <v>http://dx.doi.org/10.1016/j.anbehav.2009.12.025</v>
      </c>
      <c r="BG526" t="s">
        <v>74</v>
      </c>
      <c r="BH526" t="s">
        <v>74</v>
      </c>
      <c r="BI526" t="s">
        <v>74</v>
      </c>
      <c r="BJ526" t="s">
        <v>74</v>
      </c>
      <c r="BK526" t="s">
        <v>74</v>
      </c>
      <c r="BL526" t="s">
        <v>74</v>
      </c>
      <c r="BM526" t="s">
        <v>74</v>
      </c>
      <c r="BN526" t="s">
        <v>74</v>
      </c>
      <c r="BO526" t="s">
        <v>74</v>
      </c>
      <c r="BP526" t="s">
        <v>74</v>
      </c>
      <c r="BQ526" t="s">
        <v>74</v>
      </c>
      <c r="BR526" t="s">
        <v>74</v>
      </c>
      <c r="BS526" t="s">
        <v>1434</v>
      </c>
      <c r="BT526" t="str">
        <f>HYPERLINK("https%3A%2F%2Fwww.webofscience.com%2Fwos%2Fwoscc%2Ffull-record%2FWOS:000274587400025","View Full Record in Web of Science")</f>
        <v>View Full Record in Web of Science</v>
      </c>
    </row>
    <row r="527" spans="1:72" x14ac:dyDescent="0.4">
      <c r="A527" t="s">
        <v>72</v>
      </c>
      <c r="B527" t="s">
        <v>6442</v>
      </c>
      <c r="C527" t="s">
        <v>74</v>
      </c>
      <c r="D527" t="s">
        <v>74</v>
      </c>
      <c r="E527" t="s">
        <v>74</v>
      </c>
      <c r="F527" t="s">
        <v>6443</v>
      </c>
      <c r="G527" t="s">
        <v>74</v>
      </c>
      <c r="H527" t="s">
        <v>74</v>
      </c>
      <c r="I527" t="s">
        <v>6444</v>
      </c>
      <c r="J527" t="s">
        <v>6445</v>
      </c>
      <c r="K527" t="s">
        <v>74</v>
      </c>
      <c r="L527" t="s">
        <v>74</v>
      </c>
      <c r="M527" t="s">
        <v>74</v>
      </c>
      <c r="N527" t="s">
        <v>74</v>
      </c>
      <c r="O527" t="s">
        <v>74</v>
      </c>
      <c r="P527" t="s">
        <v>74</v>
      </c>
      <c r="Q527" t="s">
        <v>74</v>
      </c>
      <c r="R527" t="s">
        <v>74</v>
      </c>
      <c r="S527" t="s">
        <v>74</v>
      </c>
      <c r="T527" t="s">
        <v>74</v>
      </c>
      <c r="U527" t="s">
        <v>74</v>
      </c>
      <c r="V527" s="3" t="s">
        <v>6446</v>
      </c>
      <c r="W527" t="s">
        <v>74</v>
      </c>
      <c r="X527" t="s">
        <v>74</v>
      </c>
      <c r="Y527" t="s">
        <v>74</v>
      </c>
      <c r="Z527" t="s">
        <v>74</v>
      </c>
      <c r="AA527" t="s">
        <v>74</v>
      </c>
      <c r="AB527" t="s">
        <v>74</v>
      </c>
      <c r="AC527" t="s">
        <v>74</v>
      </c>
      <c r="AD527" t="s">
        <v>74</v>
      </c>
      <c r="AE527" t="s">
        <v>74</v>
      </c>
      <c r="AF527" t="s">
        <v>74</v>
      </c>
      <c r="AG527" t="s">
        <v>74</v>
      </c>
      <c r="AH527" t="s">
        <v>74</v>
      </c>
      <c r="AI527" t="s">
        <v>74</v>
      </c>
      <c r="AJ527" t="s">
        <v>74</v>
      </c>
      <c r="AK527" t="s">
        <v>74</v>
      </c>
      <c r="AL527" t="s">
        <v>74</v>
      </c>
      <c r="AM527" t="s">
        <v>74</v>
      </c>
      <c r="AN527" t="s">
        <v>74</v>
      </c>
      <c r="AO527" t="s">
        <v>6447</v>
      </c>
      <c r="AP527" t="s">
        <v>6448</v>
      </c>
      <c r="AQ527" t="s">
        <v>74</v>
      </c>
      <c r="AR527" t="s">
        <v>74</v>
      </c>
      <c r="AS527" t="s">
        <v>74</v>
      </c>
      <c r="AT527" t="s">
        <v>305</v>
      </c>
      <c r="AU527">
        <v>2023</v>
      </c>
      <c r="AV527">
        <v>63</v>
      </c>
      <c r="AW527">
        <v>7</v>
      </c>
      <c r="AX527" t="s">
        <v>74</v>
      </c>
      <c r="AY527" t="s">
        <v>74</v>
      </c>
      <c r="AZ527" t="s">
        <v>848</v>
      </c>
      <c r="BA527" t="s">
        <v>74</v>
      </c>
      <c r="BB527">
        <v>1279</v>
      </c>
      <c r="BC527">
        <v>1296</v>
      </c>
      <c r="BD527" t="s">
        <v>74</v>
      </c>
      <c r="BE527" t="s">
        <v>6449</v>
      </c>
      <c r="BF527" t="str">
        <f>HYPERLINK("http://dx.doi.org/10.1134/S0032945223070081","http://dx.doi.org/10.1134/S0032945223070081")</f>
        <v>http://dx.doi.org/10.1134/S0032945223070081</v>
      </c>
      <c r="BG527" t="s">
        <v>74</v>
      </c>
      <c r="BH527" t="s">
        <v>74</v>
      </c>
      <c r="BI527" t="s">
        <v>74</v>
      </c>
      <c r="BJ527" t="s">
        <v>74</v>
      </c>
      <c r="BK527" t="s">
        <v>74</v>
      </c>
      <c r="BL527" t="s">
        <v>74</v>
      </c>
      <c r="BM527" t="s">
        <v>74</v>
      </c>
      <c r="BN527" t="s">
        <v>74</v>
      </c>
      <c r="BO527" t="s">
        <v>74</v>
      </c>
      <c r="BP527" t="s">
        <v>74</v>
      </c>
      <c r="BQ527" t="s">
        <v>74</v>
      </c>
      <c r="BR527" t="s">
        <v>74</v>
      </c>
      <c r="BS527" t="s">
        <v>6450</v>
      </c>
      <c r="BT527" t="str">
        <f>HYPERLINK("https%3A%2F%2Fwww.webofscience.com%2Fwos%2Fwoscc%2Ffull-record%2FWOS:001125556700003","View Full Record in Web of Science")</f>
        <v>View Full Record in Web of Science</v>
      </c>
    </row>
    <row r="528" spans="1:72" x14ac:dyDescent="0.4">
      <c r="A528" t="s">
        <v>72</v>
      </c>
      <c r="B528" t="s">
        <v>5448</v>
      </c>
      <c r="C528" t="s">
        <v>74</v>
      </c>
      <c r="D528" t="s">
        <v>74</v>
      </c>
      <c r="E528" t="s">
        <v>74</v>
      </c>
      <c r="F528" t="s">
        <v>5448</v>
      </c>
      <c r="G528" t="s">
        <v>74</v>
      </c>
      <c r="H528" t="s">
        <v>74</v>
      </c>
      <c r="I528" t="s">
        <v>5449</v>
      </c>
      <c r="J528" t="s">
        <v>2966</v>
      </c>
      <c r="K528" t="s">
        <v>74</v>
      </c>
      <c r="L528" t="s">
        <v>74</v>
      </c>
      <c r="M528" t="s">
        <v>74</v>
      </c>
      <c r="N528" t="s">
        <v>74</v>
      </c>
      <c r="O528" t="s">
        <v>74</v>
      </c>
      <c r="P528" t="s">
        <v>74</v>
      </c>
      <c r="Q528" t="s">
        <v>74</v>
      </c>
      <c r="R528" t="s">
        <v>74</v>
      </c>
      <c r="S528" t="s">
        <v>74</v>
      </c>
      <c r="T528" t="s">
        <v>74</v>
      </c>
      <c r="U528" t="s">
        <v>74</v>
      </c>
      <c r="V528" s="3" t="s">
        <v>5450</v>
      </c>
      <c r="W528" t="s">
        <v>74</v>
      </c>
      <c r="X528" t="s">
        <v>74</v>
      </c>
      <c r="Y528" t="s">
        <v>74</v>
      </c>
      <c r="Z528" t="s">
        <v>74</v>
      </c>
      <c r="AA528" t="s">
        <v>74</v>
      </c>
      <c r="AB528" t="s">
        <v>74</v>
      </c>
      <c r="AC528" t="s">
        <v>74</v>
      </c>
      <c r="AD528" t="s">
        <v>74</v>
      </c>
      <c r="AE528" t="s">
        <v>74</v>
      </c>
      <c r="AF528" t="s">
        <v>74</v>
      </c>
      <c r="AG528" t="s">
        <v>74</v>
      </c>
      <c r="AH528" t="s">
        <v>74</v>
      </c>
      <c r="AI528" t="s">
        <v>74</v>
      </c>
      <c r="AJ528" t="s">
        <v>74</v>
      </c>
      <c r="AK528" t="s">
        <v>74</v>
      </c>
      <c r="AL528" t="s">
        <v>74</v>
      </c>
      <c r="AM528" t="s">
        <v>74</v>
      </c>
      <c r="AN528" t="s">
        <v>74</v>
      </c>
      <c r="AO528" t="s">
        <v>2968</v>
      </c>
      <c r="AP528" t="s">
        <v>74</v>
      </c>
      <c r="AQ528" t="s">
        <v>74</v>
      </c>
      <c r="AR528" t="s">
        <v>74</v>
      </c>
      <c r="AS528" t="s">
        <v>74</v>
      </c>
      <c r="AT528" t="s">
        <v>2492</v>
      </c>
      <c r="AU528">
        <v>1990</v>
      </c>
      <c r="AV528">
        <v>37</v>
      </c>
      <c r="AW528">
        <v>3</v>
      </c>
      <c r="AX528" t="s">
        <v>74</v>
      </c>
      <c r="AY528" t="s">
        <v>74</v>
      </c>
      <c r="AZ528" t="s">
        <v>74</v>
      </c>
      <c r="BA528" t="s">
        <v>74</v>
      </c>
      <c r="BB528">
        <v>246</v>
      </c>
      <c r="BC528">
        <v>255</v>
      </c>
      <c r="BD528" t="s">
        <v>74</v>
      </c>
      <c r="BE528" t="s">
        <v>74</v>
      </c>
      <c r="BF528" t="s">
        <v>74</v>
      </c>
      <c r="BG528" t="s">
        <v>74</v>
      </c>
      <c r="BH528" t="s">
        <v>74</v>
      </c>
      <c r="BI528" t="s">
        <v>74</v>
      </c>
      <c r="BJ528" t="s">
        <v>74</v>
      </c>
      <c r="BK528" t="s">
        <v>74</v>
      </c>
      <c r="BL528" t="s">
        <v>74</v>
      </c>
      <c r="BM528" t="s">
        <v>74</v>
      </c>
      <c r="BN528" t="s">
        <v>74</v>
      </c>
      <c r="BO528" t="s">
        <v>74</v>
      </c>
      <c r="BP528" t="s">
        <v>74</v>
      </c>
      <c r="BQ528" t="s">
        <v>74</v>
      </c>
      <c r="BR528" t="s">
        <v>74</v>
      </c>
      <c r="BS528" t="s">
        <v>5451</v>
      </c>
      <c r="BT528" t="str">
        <f>HYPERLINK("https%3A%2F%2Fwww.webofscience.com%2Fwos%2Fwoscc%2Ffull-record%2FWOS:A1990EP23300007","View Full Record in Web of Science")</f>
        <v>View Full Record in Web of Science</v>
      </c>
    </row>
    <row r="529" spans="1:72" x14ac:dyDescent="0.4">
      <c r="A529" t="s">
        <v>72</v>
      </c>
      <c r="B529" t="s">
        <v>1321</v>
      </c>
      <c r="C529" t="s">
        <v>74</v>
      </c>
      <c r="D529" t="s">
        <v>74</v>
      </c>
      <c r="E529" t="s">
        <v>74</v>
      </c>
      <c r="F529" t="s">
        <v>1322</v>
      </c>
      <c r="G529" t="s">
        <v>74</v>
      </c>
      <c r="H529" t="s">
        <v>74</v>
      </c>
      <c r="I529" t="s">
        <v>1323</v>
      </c>
      <c r="J529" t="s">
        <v>1324</v>
      </c>
      <c r="K529" t="s">
        <v>74</v>
      </c>
      <c r="L529" t="s">
        <v>74</v>
      </c>
      <c r="M529" t="s">
        <v>74</v>
      </c>
      <c r="N529" t="s">
        <v>74</v>
      </c>
      <c r="O529" t="s">
        <v>74</v>
      </c>
      <c r="P529" t="s">
        <v>74</v>
      </c>
      <c r="Q529" t="s">
        <v>74</v>
      </c>
      <c r="R529" t="s">
        <v>74</v>
      </c>
      <c r="S529" t="s">
        <v>74</v>
      </c>
      <c r="T529" t="s">
        <v>74</v>
      </c>
      <c r="U529" t="s">
        <v>74</v>
      </c>
      <c r="V529" s="3" t="s">
        <v>1325</v>
      </c>
      <c r="W529" t="s">
        <v>74</v>
      </c>
      <c r="X529" t="s">
        <v>74</v>
      </c>
      <c r="Y529" t="s">
        <v>74</v>
      </c>
      <c r="Z529" t="s">
        <v>74</v>
      </c>
      <c r="AA529" t="s">
        <v>1326</v>
      </c>
      <c r="AB529" t="s">
        <v>1327</v>
      </c>
      <c r="AC529" t="s">
        <v>74</v>
      </c>
      <c r="AD529" t="s">
        <v>74</v>
      </c>
      <c r="AE529" t="s">
        <v>74</v>
      </c>
      <c r="AF529" t="s">
        <v>74</v>
      </c>
      <c r="AG529" t="s">
        <v>74</v>
      </c>
      <c r="AH529" t="s">
        <v>74</v>
      </c>
      <c r="AI529" t="s">
        <v>74</v>
      </c>
      <c r="AJ529" t="s">
        <v>74</v>
      </c>
      <c r="AK529" t="s">
        <v>74</v>
      </c>
      <c r="AL529" t="s">
        <v>74</v>
      </c>
      <c r="AM529" t="s">
        <v>74</v>
      </c>
      <c r="AN529" t="s">
        <v>74</v>
      </c>
      <c r="AO529" t="s">
        <v>1328</v>
      </c>
      <c r="AP529" t="s">
        <v>1329</v>
      </c>
      <c r="AQ529" t="s">
        <v>74</v>
      </c>
      <c r="AR529" t="s">
        <v>74</v>
      </c>
      <c r="AS529" t="s">
        <v>74</v>
      </c>
      <c r="AT529" t="s">
        <v>123</v>
      </c>
      <c r="AU529">
        <v>2017</v>
      </c>
      <c r="AV529">
        <v>83</v>
      </c>
      <c r="AW529">
        <v>2</v>
      </c>
      <c r="AX529" t="s">
        <v>74</v>
      </c>
      <c r="AY529" t="s">
        <v>74</v>
      </c>
      <c r="AZ529" t="s">
        <v>74</v>
      </c>
      <c r="BA529" t="s">
        <v>74</v>
      </c>
      <c r="BB529">
        <v>259</v>
      </c>
      <c r="BC529">
        <v>264</v>
      </c>
      <c r="BD529" t="s">
        <v>74</v>
      </c>
      <c r="BE529" t="s">
        <v>1330</v>
      </c>
      <c r="BF529" t="str">
        <f>HYPERLINK("http://dx.doi.org/10.1007/s12562-017-1062-8","http://dx.doi.org/10.1007/s12562-017-1062-8")</f>
        <v>http://dx.doi.org/10.1007/s12562-017-1062-8</v>
      </c>
      <c r="BG529" t="s">
        <v>74</v>
      </c>
      <c r="BH529" t="s">
        <v>74</v>
      </c>
      <c r="BI529" t="s">
        <v>74</v>
      </c>
      <c r="BJ529" t="s">
        <v>74</v>
      </c>
      <c r="BK529" t="s">
        <v>74</v>
      </c>
      <c r="BL529" t="s">
        <v>74</v>
      </c>
      <c r="BM529" t="s">
        <v>74</v>
      </c>
      <c r="BN529" t="s">
        <v>74</v>
      </c>
      <c r="BO529" t="s">
        <v>74</v>
      </c>
      <c r="BP529" t="s">
        <v>74</v>
      </c>
      <c r="BQ529" t="s">
        <v>74</v>
      </c>
      <c r="BR529" t="s">
        <v>74</v>
      </c>
      <c r="BS529" t="s">
        <v>1331</v>
      </c>
      <c r="BT529" t="str">
        <f>HYPERLINK("https%3A%2F%2Fwww.webofscience.com%2Fwos%2Fwoscc%2Ffull-record%2FWOS:000399657400013","View Full Record in Web of Science")</f>
        <v>View Full Record in Web of Science</v>
      </c>
    </row>
    <row r="530" spans="1:72" x14ac:dyDescent="0.4">
      <c r="A530" t="s">
        <v>72</v>
      </c>
      <c r="B530" t="s">
        <v>2771</v>
      </c>
      <c r="C530" t="s">
        <v>74</v>
      </c>
      <c r="D530" t="s">
        <v>74</v>
      </c>
      <c r="E530" t="s">
        <v>74</v>
      </c>
      <c r="F530" t="s">
        <v>2772</v>
      </c>
      <c r="G530" t="s">
        <v>74</v>
      </c>
      <c r="H530" t="s">
        <v>74</v>
      </c>
      <c r="I530" t="s">
        <v>2773</v>
      </c>
      <c r="J530" t="s">
        <v>88</v>
      </c>
      <c r="K530" t="s">
        <v>74</v>
      </c>
      <c r="L530" t="s">
        <v>74</v>
      </c>
      <c r="M530" t="s">
        <v>74</v>
      </c>
      <c r="N530" t="s">
        <v>74</v>
      </c>
      <c r="O530" t="s">
        <v>74</v>
      </c>
      <c r="P530" t="s">
        <v>74</v>
      </c>
      <c r="Q530" t="s">
        <v>74</v>
      </c>
      <c r="R530" t="s">
        <v>74</v>
      </c>
      <c r="S530" t="s">
        <v>74</v>
      </c>
      <c r="T530" t="s">
        <v>74</v>
      </c>
      <c r="U530" t="s">
        <v>74</v>
      </c>
      <c r="V530" s="3" t="s">
        <v>2774</v>
      </c>
      <c r="W530" t="s">
        <v>74</v>
      </c>
      <c r="X530" t="s">
        <v>74</v>
      </c>
      <c r="Y530" t="s">
        <v>74</v>
      </c>
      <c r="Z530" t="s">
        <v>74</v>
      </c>
      <c r="AA530" t="s">
        <v>2775</v>
      </c>
      <c r="AB530" t="s">
        <v>2776</v>
      </c>
      <c r="AC530" t="s">
        <v>74</v>
      </c>
      <c r="AD530" t="s">
        <v>74</v>
      </c>
      <c r="AE530" t="s">
        <v>74</v>
      </c>
      <c r="AF530" t="s">
        <v>74</v>
      </c>
      <c r="AG530" t="s">
        <v>74</v>
      </c>
      <c r="AH530" t="s">
        <v>74</v>
      </c>
      <c r="AI530" t="s">
        <v>74</v>
      </c>
      <c r="AJ530" t="s">
        <v>74</v>
      </c>
      <c r="AK530" t="s">
        <v>74</v>
      </c>
      <c r="AL530" t="s">
        <v>74</v>
      </c>
      <c r="AM530" t="s">
        <v>74</v>
      </c>
      <c r="AN530" t="s">
        <v>74</v>
      </c>
      <c r="AO530" t="s">
        <v>91</v>
      </c>
      <c r="AP530" t="s">
        <v>92</v>
      </c>
      <c r="AQ530" t="s">
        <v>74</v>
      </c>
      <c r="AR530" t="s">
        <v>74</v>
      </c>
      <c r="AS530" t="s">
        <v>74</v>
      </c>
      <c r="AT530" t="s">
        <v>204</v>
      </c>
      <c r="AU530">
        <v>2017</v>
      </c>
      <c r="AV530">
        <v>13</v>
      </c>
      <c r="AW530">
        <v>7</v>
      </c>
      <c r="AX530" t="s">
        <v>74</v>
      </c>
      <c r="AY530" t="s">
        <v>74</v>
      </c>
      <c r="AZ530" t="s">
        <v>74</v>
      </c>
      <c r="BA530" t="s">
        <v>74</v>
      </c>
      <c r="BB530" t="s">
        <v>74</v>
      </c>
      <c r="BC530" t="s">
        <v>74</v>
      </c>
      <c r="BD530">
        <v>20170242</v>
      </c>
      <c r="BE530" t="s">
        <v>2777</v>
      </c>
      <c r="BF530" t="str">
        <f>HYPERLINK("http://dx.doi.org/10.1098/rsbl.2017.0242","http://dx.doi.org/10.1098/rsbl.2017.0242")</f>
        <v>http://dx.doi.org/10.1098/rsbl.2017.0242</v>
      </c>
      <c r="BG530" t="s">
        <v>74</v>
      </c>
      <c r="BH530" t="s">
        <v>74</v>
      </c>
      <c r="BI530" t="s">
        <v>74</v>
      </c>
      <c r="BJ530" t="s">
        <v>74</v>
      </c>
      <c r="BK530" t="s">
        <v>74</v>
      </c>
      <c r="BL530" t="s">
        <v>74</v>
      </c>
      <c r="BM530" t="s">
        <v>74</v>
      </c>
      <c r="BN530">
        <v>28724689</v>
      </c>
      <c r="BO530" t="s">
        <v>74</v>
      </c>
      <c r="BP530" t="s">
        <v>74</v>
      </c>
      <c r="BQ530" t="s">
        <v>74</v>
      </c>
      <c r="BR530" t="s">
        <v>74</v>
      </c>
      <c r="BS530" t="s">
        <v>2778</v>
      </c>
      <c r="BT530" t="str">
        <f>HYPERLINK("https%3A%2F%2Fwww.webofscience.com%2Fwos%2Fwoscc%2Ffull-record%2FWOS:000409400700003","View Full Record in Web of Science")</f>
        <v>View Full Record in Web of Science</v>
      </c>
    </row>
    <row r="531" spans="1:72" x14ac:dyDescent="0.4">
      <c r="A531" t="s">
        <v>72</v>
      </c>
      <c r="B531" t="s">
        <v>7451</v>
      </c>
      <c r="C531" t="s">
        <v>74</v>
      </c>
      <c r="D531" t="s">
        <v>74</v>
      </c>
      <c r="E531" t="s">
        <v>74</v>
      </c>
      <c r="F531" t="s">
        <v>7451</v>
      </c>
      <c r="G531" t="s">
        <v>74</v>
      </c>
      <c r="H531" t="s">
        <v>74</v>
      </c>
      <c r="I531" t="s">
        <v>7452</v>
      </c>
      <c r="J531" t="s">
        <v>129</v>
      </c>
      <c r="K531" t="s">
        <v>74</v>
      </c>
      <c r="L531" t="s">
        <v>74</v>
      </c>
      <c r="M531" t="s">
        <v>74</v>
      </c>
      <c r="N531" t="s">
        <v>74</v>
      </c>
      <c r="O531" t="s">
        <v>74</v>
      </c>
      <c r="P531" t="s">
        <v>74</v>
      </c>
      <c r="Q531" t="s">
        <v>74</v>
      </c>
      <c r="R531" t="s">
        <v>74</v>
      </c>
      <c r="S531" t="s">
        <v>74</v>
      </c>
      <c r="T531" t="s">
        <v>74</v>
      </c>
      <c r="U531" t="s">
        <v>74</v>
      </c>
      <c r="V531" s="3" t="s">
        <v>7453</v>
      </c>
      <c r="W531" t="s">
        <v>74</v>
      </c>
      <c r="X531" t="s">
        <v>74</v>
      </c>
      <c r="Y531" t="s">
        <v>74</v>
      </c>
      <c r="Z531" t="s">
        <v>74</v>
      </c>
      <c r="AA531" t="s">
        <v>4828</v>
      </c>
      <c r="AB531" t="s">
        <v>4829</v>
      </c>
      <c r="AC531" t="s">
        <v>74</v>
      </c>
      <c r="AD531" t="s">
        <v>74</v>
      </c>
      <c r="AE531" t="s">
        <v>74</v>
      </c>
      <c r="AF531" t="s">
        <v>74</v>
      </c>
      <c r="AG531" t="s">
        <v>74</v>
      </c>
      <c r="AH531" t="s">
        <v>74</v>
      </c>
      <c r="AI531" t="s">
        <v>74</v>
      </c>
      <c r="AJ531" t="s">
        <v>74</v>
      </c>
      <c r="AK531" t="s">
        <v>74</v>
      </c>
      <c r="AL531" t="s">
        <v>74</v>
      </c>
      <c r="AM531" t="s">
        <v>74</v>
      </c>
      <c r="AN531" t="s">
        <v>74</v>
      </c>
      <c r="AO531" t="s">
        <v>132</v>
      </c>
      <c r="AP531" t="s">
        <v>133</v>
      </c>
      <c r="AQ531" t="s">
        <v>74</v>
      </c>
      <c r="AR531" t="s">
        <v>74</v>
      </c>
      <c r="AS531" t="s">
        <v>74</v>
      </c>
      <c r="AT531" t="s">
        <v>964</v>
      </c>
      <c r="AU531">
        <v>2000</v>
      </c>
      <c r="AV531">
        <v>47</v>
      </c>
      <c r="AW531">
        <v>3</v>
      </c>
      <c r="AX531" t="s">
        <v>74</v>
      </c>
      <c r="AY531" t="s">
        <v>74</v>
      </c>
      <c r="AZ531" t="s">
        <v>74</v>
      </c>
      <c r="BA531" t="s">
        <v>74</v>
      </c>
      <c r="BB531">
        <v>164</v>
      </c>
      <c r="BC531">
        <v>170</v>
      </c>
      <c r="BD531" t="s">
        <v>74</v>
      </c>
      <c r="BE531" t="s">
        <v>7454</v>
      </c>
      <c r="BF531" t="str">
        <f>HYPERLINK("http://dx.doi.org/10.1007/s002650050007","http://dx.doi.org/10.1007/s002650050007")</f>
        <v>http://dx.doi.org/10.1007/s002650050007</v>
      </c>
      <c r="BG531" t="s">
        <v>74</v>
      </c>
      <c r="BH531" t="s">
        <v>74</v>
      </c>
      <c r="BI531" t="s">
        <v>74</v>
      </c>
      <c r="BJ531" t="s">
        <v>74</v>
      </c>
      <c r="BK531" t="s">
        <v>74</v>
      </c>
      <c r="BL531" t="s">
        <v>74</v>
      </c>
      <c r="BM531" t="s">
        <v>74</v>
      </c>
      <c r="BN531" t="s">
        <v>74</v>
      </c>
      <c r="BO531" t="s">
        <v>74</v>
      </c>
      <c r="BP531" t="s">
        <v>74</v>
      </c>
      <c r="BQ531" t="s">
        <v>74</v>
      </c>
      <c r="BR531" t="s">
        <v>74</v>
      </c>
      <c r="BS531" t="s">
        <v>7455</v>
      </c>
      <c r="BT531" t="str">
        <f>HYPERLINK("https%3A%2F%2Fwww.webofscience.com%2Fwos%2Fwoscc%2Ffull-record%2FWOS:000085378400007","View Full Record in Web of Science")</f>
        <v>View Full Record in Web of Science</v>
      </c>
    </row>
    <row r="532" spans="1:72" x14ac:dyDescent="0.4">
      <c r="A532" t="s">
        <v>72</v>
      </c>
      <c r="B532" t="s">
        <v>1580</v>
      </c>
      <c r="C532" t="s">
        <v>74</v>
      </c>
      <c r="D532" t="s">
        <v>74</v>
      </c>
      <c r="E532" t="s">
        <v>74</v>
      </c>
      <c r="F532" t="s">
        <v>1580</v>
      </c>
      <c r="G532" t="s">
        <v>74</v>
      </c>
      <c r="H532" t="s">
        <v>74</v>
      </c>
      <c r="I532" t="s">
        <v>1581</v>
      </c>
      <c r="J532" t="s">
        <v>229</v>
      </c>
      <c r="K532" t="s">
        <v>74</v>
      </c>
      <c r="L532" t="s">
        <v>74</v>
      </c>
      <c r="M532" t="s">
        <v>74</v>
      </c>
      <c r="N532" t="s">
        <v>74</v>
      </c>
      <c r="O532" t="s">
        <v>74</v>
      </c>
      <c r="P532" t="s">
        <v>74</v>
      </c>
      <c r="Q532" t="s">
        <v>74</v>
      </c>
      <c r="R532" t="s">
        <v>74</v>
      </c>
      <c r="S532" t="s">
        <v>74</v>
      </c>
      <c r="T532" t="s">
        <v>74</v>
      </c>
      <c r="U532" t="s">
        <v>74</v>
      </c>
      <c r="V532" s="3" t="s">
        <v>1582</v>
      </c>
      <c r="W532" t="s">
        <v>74</v>
      </c>
      <c r="X532" t="s">
        <v>74</v>
      </c>
      <c r="Y532" t="s">
        <v>74</v>
      </c>
      <c r="Z532" t="s">
        <v>74</v>
      </c>
      <c r="AA532" t="s">
        <v>74</v>
      </c>
      <c r="AB532" t="s">
        <v>74</v>
      </c>
      <c r="AC532" t="s">
        <v>74</v>
      </c>
      <c r="AD532" t="s">
        <v>74</v>
      </c>
      <c r="AE532" t="s">
        <v>74</v>
      </c>
      <c r="AF532" t="s">
        <v>74</v>
      </c>
      <c r="AG532" t="s">
        <v>74</v>
      </c>
      <c r="AH532" t="s">
        <v>74</v>
      </c>
      <c r="AI532" t="s">
        <v>74</v>
      </c>
      <c r="AJ532" t="s">
        <v>74</v>
      </c>
      <c r="AK532" t="s">
        <v>74</v>
      </c>
      <c r="AL532" t="s">
        <v>74</v>
      </c>
      <c r="AM532" t="s">
        <v>74</v>
      </c>
      <c r="AN532" t="s">
        <v>74</v>
      </c>
      <c r="AO532" t="s">
        <v>233</v>
      </c>
      <c r="AP532" t="s">
        <v>234</v>
      </c>
      <c r="AQ532" t="s">
        <v>74</v>
      </c>
      <c r="AR532" t="s">
        <v>74</v>
      </c>
      <c r="AS532" t="s">
        <v>74</v>
      </c>
      <c r="AT532" t="s">
        <v>74</v>
      </c>
      <c r="AU532">
        <v>1988</v>
      </c>
      <c r="AV532">
        <v>14</v>
      </c>
      <c r="AW532">
        <v>4</v>
      </c>
      <c r="AX532" t="s">
        <v>74</v>
      </c>
      <c r="AY532" t="s">
        <v>74</v>
      </c>
      <c r="AZ532" t="s">
        <v>74</v>
      </c>
      <c r="BA532" t="s">
        <v>74</v>
      </c>
      <c r="BB532">
        <v>245</v>
      </c>
      <c r="BC532">
        <v>254</v>
      </c>
      <c r="BD532" t="s">
        <v>74</v>
      </c>
      <c r="BE532" t="s">
        <v>1583</v>
      </c>
      <c r="BF532" t="str">
        <f>HYPERLINK("http://dx.doi.org/10.1002/1098-2337(1988)14:4&lt;245::AID-AB2480140403&gt;3.0.CO;2-I","http://dx.doi.org/10.1002/1098-2337(1988)14:4&lt;245::AID-AB2480140403&gt;3.0.CO;2-I")</f>
        <v>http://dx.doi.org/10.1002/1098-2337(1988)14:4&lt;245::AID-AB2480140403&gt;3.0.CO;2-I</v>
      </c>
      <c r="BG532" t="s">
        <v>74</v>
      </c>
      <c r="BH532" t="s">
        <v>74</v>
      </c>
      <c r="BI532" t="s">
        <v>74</v>
      </c>
      <c r="BJ532" t="s">
        <v>74</v>
      </c>
      <c r="BK532" t="s">
        <v>74</v>
      </c>
      <c r="BL532" t="s">
        <v>74</v>
      </c>
      <c r="BM532" t="s">
        <v>74</v>
      </c>
      <c r="BN532" t="s">
        <v>74</v>
      </c>
      <c r="BO532" t="s">
        <v>74</v>
      </c>
      <c r="BP532" t="s">
        <v>74</v>
      </c>
      <c r="BQ532" t="s">
        <v>74</v>
      </c>
      <c r="BR532" t="s">
        <v>74</v>
      </c>
      <c r="BS532" t="s">
        <v>1584</v>
      </c>
      <c r="BT532" t="str">
        <f>HYPERLINK("https%3A%2F%2Fwww.webofscience.com%2Fwos%2Fwoscc%2Ffull-record%2FWOS:A1988P800800002","View Full Record in Web of Science")</f>
        <v>View Full Record in Web of Science</v>
      </c>
    </row>
    <row r="533" spans="1:72" x14ac:dyDescent="0.4">
      <c r="A533" t="s">
        <v>72</v>
      </c>
      <c r="B533" t="s">
        <v>4251</v>
      </c>
      <c r="C533" t="s">
        <v>74</v>
      </c>
      <c r="D533" t="s">
        <v>74</v>
      </c>
      <c r="E533" t="s">
        <v>74</v>
      </c>
      <c r="F533" t="s">
        <v>4252</v>
      </c>
      <c r="G533" t="s">
        <v>74</v>
      </c>
      <c r="H533" t="s">
        <v>74</v>
      </c>
      <c r="I533" t="s">
        <v>4253</v>
      </c>
      <c r="J533" t="s">
        <v>108</v>
      </c>
      <c r="K533" t="s">
        <v>74</v>
      </c>
      <c r="L533" t="s">
        <v>74</v>
      </c>
      <c r="M533" t="s">
        <v>74</v>
      </c>
      <c r="N533" t="s">
        <v>74</v>
      </c>
      <c r="O533" t="s">
        <v>74</v>
      </c>
      <c r="P533" t="s">
        <v>74</v>
      </c>
      <c r="Q533" t="s">
        <v>74</v>
      </c>
      <c r="R533" t="s">
        <v>74</v>
      </c>
      <c r="S533" t="s">
        <v>74</v>
      </c>
      <c r="T533" t="s">
        <v>74</v>
      </c>
      <c r="U533" t="s">
        <v>74</v>
      </c>
      <c r="V533" s="3" t="s">
        <v>4254</v>
      </c>
      <c r="W533" t="s">
        <v>74</v>
      </c>
      <c r="X533" t="s">
        <v>74</v>
      </c>
      <c r="Y533" t="s">
        <v>74</v>
      </c>
      <c r="Z533" t="s">
        <v>74</v>
      </c>
      <c r="AA533" t="s">
        <v>2184</v>
      </c>
      <c r="AB533" t="s">
        <v>2806</v>
      </c>
      <c r="AC533" t="s">
        <v>74</v>
      </c>
      <c r="AD533" t="s">
        <v>74</v>
      </c>
      <c r="AE533" t="s">
        <v>74</v>
      </c>
      <c r="AF533" t="s">
        <v>74</v>
      </c>
      <c r="AG533" t="s">
        <v>74</v>
      </c>
      <c r="AH533" t="s">
        <v>74</v>
      </c>
      <c r="AI533" t="s">
        <v>74</v>
      </c>
      <c r="AJ533" t="s">
        <v>74</v>
      </c>
      <c r="AK533" t="s">
        <v>74</v>
      </c>
      <c r="AL533" t="s">
        <v>74</v>
      </c>
      <c r="AM533" t="s">
        <v>74</v>
      </c>
      <c r="AN533" t="s">
        <v>74</v>
      </c>
      <c r="AO533" t="s">
        <v>111</v>
      </c>
      <c r="AP533" t="s">
        <v>74</v>
      </c>
      <c r="AQ533" t="s">
        <v>74</v>
      </c>
      <c r="AR533" t="s">
        <v>74</v>
      </c>
      <c r="AS533" t="s">
        <v>74</v>
      </c>
      <c r="AT533" t="s">
        <v>275</v>
      </c>
      <c r="AU533">
        <v>2007</v>
      </c>
      <c r="AV533">
        <v>274</v>
      </c>
      <c r="AW533">
        <v>1613</v>
      </c>
      <c r="AX533" t="s">
        <v>74</v>
      </c>
      <c r="AY533" t="s">
        <v>74</v>
      </c>
      <c r="AZ533" t="s">
        <v>74</v>
      </c>
      <c r="BA533" t="s">
        <v>74</v>
      </c>
      <c r="BB533">
        <v>1043</v>
      </c>
      <c r="BC533">
        <v>1047</v>
      </c>
      <c r="BD533" t="s">
        <v>74</v>
      </c>
      <c r="BE533" t="s">
        <v>4255</v>
      </c>
      <c r="BF533" t="str">
        <f>HYPERLINK("http://dx.doi.org/10.1098/rspb.2006.0043","http://dx.doi.org/10.1098/rspb.2006.0043")</f>
        <v>http://dx.doi.org/10.1098/rspb.2006.0043</v>
      </c>
      <c r="BG533" t="s">
        <v>74</v>
      </c>
      <c r="BH533" t="s">
        <v>74</v>
      </c>
      <c r="BI533" t="s">
        <v>74</v>
      </c>
      <c r="BJ533" t="s">
        <v>74</v>
      </c>
      <c r="BK533" t="s">
        <v>74</v>
      </c>
      <c r="BL533" t="s">
        <v>74</v>
      </c>
      <c r="BM533" t="s">
        <v>74</v>
      </c>
      <c r="BN533">
        <v>17284412</v>
      </c>
      <c r="BO533" t="s">
        <v>74</v>
      </c>
      <c r="BP533" t="s">
        <v>74</v>
      </c>
      <c r="BQ533" t="s">
        <v>74</v>
      </c>
      <c r="BR533" t="s">
        <v>74</v>
      </c>
      <c r="BS533" t="s">
        <v>4256</v>
      </c>
      <c r="BT533" t="str">
        <f>HYPERLINK("https%3A%2F%2Fwww.webofscience.com%2Fwos%2Fwoscc%2Ffull-record%2FWOS:000245472200005","View Full Record in Web of Science")</f>
        <v>View Full Record in Web of Science</v>
      </c>
    </row>
    <row r="534" spans="1:72" x14ac:dyDescent="0.4">
      <c r="A534" t="s">
        <v>72</v>
      </c>
      <c r="B534" t="s">
        <v>2803</v>
      </c>
      <c r="C534" t="s">
        <v>74</v>
      </c>
      <c r="D534" t="s">
        <v>74</v>
      </c>
      <c r="E534" t="s">
        <v>74</v>
      </c>
      <c r="F534" t="s">
        <v>2803</v>
      </c>
      <c r="G534" t="s">
        <v>74</v>
      </c>
      <c r="H534" t="s">
        <v>74</v>
      </c>
      <c r="I534" t="s">
        <v>2804</v>
      </c>
      <c r="J534" t="s">
        <v>499</v>
      </c>
      <c r="K534" t="s">
        <v>74</v>
      </c>
      <c r="L534" t="s">
        <v>74</v>
      </c>
      <c r="M534" t="s">
        <v>74</v>
      </c>
      <c r="N534" t="s">
        <v>74</v>
      </c>
      <c r="O534" t="s">
        <v>74</v>
      </c>
      <c r="P534" t="s">
        <v>74</v>
      </c>
      <c r="Q534" t="s">
        <v>74</v>
      </c>
      <c r="R534" t="s">
        <v>74</v>
      </c>
      <c r="S534" t="s">
        <v>74</v>
      </c>
      <c r="T534" t="s">
        <v>74</v>
      </c>
      <c r="U534" t="s">
        <v>74</v>
      </c>
      <c r="V534" s="3" t="s">
        <v>2805</v>
      </c>
      <c r="W534" t="s">
        <v>74</v>
      </c>
      <c r="X534" t="s">
        <v>74</v>
      </c>
      <c r="Y534" t="s">
        <v>74</v>
      </c>
      <c r="Z534" t="s">
        <v>74</v>
      </c>
      <c r="AA534" t="s">
        <v>2184</v>
      </c>
      <c r="AB534" t="s">
        <v>2806</v>
      </c>
      <c r="AC534" t="s">
        <v>74</v>
      </c>
      <c r="AD534" t="s">
        <v>74</v>
      </c>
      <c r="AE534" t="s">
        <v>74</v>
      </c>
      <c r="AF534" t="s">
        <v>74</v>
      </c>
      <c r="AG534" t="s">
        <v>74</v>
      </c>
      <c r="AH534" t="s">
        <v>74</v>
      </c>
      <c r="AI534" t="s">
        <v>74</v>
      </c>
      <c r="AJ534" t="s">
        <v>74</v>
      </c>
      <c r="AK534" t="s">
        <v>74</v>
      </c>
      <c r="AL534" t="s">
        <v>74</v>
      </c>
      <c r="AM534" t="s">
        <v>74</v>
      </c>
      <c r="AN534" t="s">
        <v>74</v>
      </c>
      <c r="AO534" t="s">
        <v>503</v>
      </c>
      <c r="AP534" t="s">
        <v>504</v>
      </c>
      <c r="AQ534" t="s">
        <v>74</v>
      </c>
      <c r="AR534" t="s">
        <v>74</v>
      </c>
      <c r="AS534" t="s">
        <v>74</v>
      </c>
      <c r="AT534" t="s">
        <v>255</v>
      </c>
      <c r="AU534">
        <v>2005</v>
      </c>
      <c r="AV534">
        <v>7</v>
      </c>
      <c r="AW534">
        <v>1</v>
      </c>
      <c r="AX534" t="s">
        <v>74</v>
      </c>
      <c r="AY534" t="s">
        <v>74</v>
      </c>
      <c r="AZ534" t="s">
        <v>74</v>
      </c>
      <c r="BA534" t="s">
        <v>74</v>
      </c>
      <c r="BB534">
        <v>133</v>
      </c>
      <c r="BC534">
        <v>141</v>
      </c>
      <c r="BD534" t="s">
        <v>74</v>
      </c>
      <c r="BE534" t="s">
        <v>74</v>
      </c>
      <c r="BF534" t="s">
        <v>74</v>
      </c>
      <c r="BG534" t="s">
        <v>74</v>
      </c>
      <c r="BH534" t="s">
        <v>74</v>
      </c>
      <c r="BI534" t="s">
        <v>74</v>
      </c>
      <c r="BJ534" t="s">
        <v>74</v>
      </c>
      <c r="BK534" t="s">
        <v>74</v>
      </c>
      <c r="BL534" t="s">
        <v>74</v>
      </c>
      <c r="BM534" t="s">
        <v>74</v>
      </c>
      <c r="BN534" t="s">
        <v>74</v>
      </c>
      <c r="BO534" t="s">
        <v>74</v>
      </c>
      <c r="BP534" t="s">
        <v>74</v>
      </c>
      <c r="BQ534" t="s">
        <v>74</v>
      </c>
      <c r="BR534" t="s">
        <v>74</v>
      </c>
      <c r="BS534" t="s">
        <v>2807</v>
      </c>
      <c r="BT534" t="str">
        <f>HYPERLINK("https%3A%2F%2Fwww.webofscience.com%2Fwos%2Fwoscc%2Ffull-record%2FWOS:000227450800009","View Full Record in Web of Science")</f>
        <v>View Full Record in Web of Science</v>
      </c>
    </row>
    <row r="535" spans="1:72" x14ac:dyDescent="0.4">
      <c r="A535" t="s">
        <v>72</v>
      </c>
      <c r="B535" t="s">
        <v>215</v>
      </c>
      <c r="C535" t="s">
        <v>74</v>
      </c>
      <c r="D535" t="s">
        <v>74</v>
      </c>
      <c r="E535" t="s">
        <v>74</v>
      </c>
      <c r="F535" t="s">
        <v>216</v>
      </c>
      <c r="G535" t="s">
        <v>74</v>
      </c>
      <c r="H535" t="s">
        <v>74</v>
      </c>
      <c r="I535" t="s">
        <v>217</v>
      </c>
      <c r="J535" t="s">
        <v>218</v>
      </c>
      <c r="K535" t="s">
        <v>74</v>
      </c>
      <c r="L535" t="s">
        <v>74</v>
      </c>
      <c r="M535" t="s">
        <v>74</v>
      </c>
      <c r="N535" t="s">
        <v>74</v>
      </c>
      <c r="O535" t="s">
        <v>74</v>
      </c>
      <c r="P535" t="s">
        <v>74</v>
      </c>
      <c r="Q535" t="s">
        <v>74</v>
      </c>
      <c r="R535" t="s">
        <v>74</v>
      </c>
      <c r="S535" t="s">
        <v>74</v>
      </c>
      <c r="T535" t="s">
        <v>74</v>
      </c>
      <c r="U535" t="s">
        <v>74</v>
      </c>
      <c r="V535" s="3" t="s">
        <v>219</v>
      </c>
      <c r="W535" t="s">
        <v>74</v>
      </c>
      <c r="X535" t="s">
        <v>74</v>
      </c>
      <c r="Y535" t="s">
        <v>74</v>
      </c>
      <c r="Z535" t="s">
        <v>74</v>
      </c>
      <c r="AA535" t="s">
        <v>74</v>
      </c>
      <c r="AB535" t="s">
        <v>220</v>
      </c>
      <c r="AC535" t="s">
        <v>74</v>
      </c>
      <c r="AD535" t="s">
        <v>74</v>
      </c>
      <c r="AE535" t="s">
        <v>74</v>
      </c>
      <c r="AF535" t="s">
        <v>74</v>
      </c>
      <c r="AG535" t="s">
        <v>74</v>
      </c>
      <c r="AH535" t="s">
        <v>74</v>
      </c>
      <c r="AI535" t="s">
        <v>74</v>
      </c>
      <c r="AJ535" t="s">
        <v>74</v>
      </c>
      <c r="AK535" t="s">
        <v>74</v>
      </c>
      <c r="AL535" t="s">
        <v>74</v>
      </c>
      <c r="AM535" t="s">
        <v>74</v>
      </c>
      <c r="AN535" t="s">
        <v>74</v>
      </c>
      <c r="AO535" t="s">
        <v>221</v>
      </c>
      <c r="AP535" t="s">
        <v>222</v>
      </c>
      <c r="AQ535" t="s">
        <v>74</v>
      </c>
      <c r="AR535" t="s">
        <v>74</v>
      </c>
      <c r="AS535" t="s">
        <v>74</v>
      </c>
      <c r="AT535" t="s">
        <v>204</v>
      </c>
      <c r="AU535">
        <v>2021</v>
      </c>
      <c r="AV535">
        <v>34</v>
      </c>
      <c r="AW535">
        <v>7</v>
      </c>
      <c r="AX535" t="s">
        <v>74</v>
      </c>
      <c r="AY535" t="s">
        <v>74</v>
      </c>
      <c r="AZ535" t="s">
        <v>74</v>
      </c>
      <c r="BA535" t="s">
        <v>74</v>
      </c>
      <c r="BB535">
        <v>1110</v>
      </c>
      <c r="BC535">
        <v>1124</v>
      </c>
      <c r="BD535" t="s">
        <v>74</v>
      </c>
      <c r="BE535" t="s">
        <v>223</v>
      </c>
      <c r="BF535" t="str">
        <f>HYPERLINK("http://dx.doi.org/10.1111/jeb.13798","http://dx.doi.org/10.1111/jeb.13798")</f>
        <v>http://dx.doi.org/10.1111/jeb.13798</v>
      </c>
      <c r="BG535" t="s">
        <v>74</v>
      </c>
      <c r="BH535" t="s">
        <v>224</v>
      </c>
      <c r="BI535" t="s">
        <v>74</v>
      </c>
      <c r="BJ535" t="s">
        <v>74</v>
      </c>
      <c r="BK535" t="s">
        <v>74</v>
      </c>
      <c r="BL535" t="s">
        <v>74</v>
      </c>
      <c r="BM535" t="s">
        <v>74</v>
      </c>
      <c r="BN535">
        <v>33949033</v>
      </c>
      <c r="BO535" t="s">
        <v>74</v>
      </c>
      <c r="BP535" t="s">
        <v>74</v>
      </c>
      <c r="BQ535" t="s">
        <v>74</v>
      </c>
      <c r="BR535" t="s">
        <v>74</v>
      </c>
      <c r="BS535" t="s">
        <v>225</v>
      </c>
      <c r="BT535" t="str">
        <f>HYPERLINK("https%3A%2F%2Fwww.webofscience.com%2Fwos%2Fwoscc%2Ffull-record%2FWOS:000668020400001","View Full Record in Web of Science")</f>
        <v>View Full Record in Web of Science</v>
      </c>
    </row>
    <row r="536" spans="1:72" x14ac:dyDescent="0.4">
      <c r="A536" t="s">
        <v>72</v>
      </c>
      <c r="B536" t="s">
        <v>215</v>
      </c>
      <c r="C536" t="s">
        <v>74</v>
      </c>
      <c r="D536" t="s">
        <v>74</v>
      </c>
      <c r="E536" t="s">
        <v>74</v>
      </c>
      <c r="F536" t="s">
        <v>216</v>
      </c>
      <c r="G536" t="s">
        <v>74</v>
      </c>
      <c r="H536" t="s">
        <v>74</v>
      </c>
      <c r="I536" t="s">
        <v>898</v>
      </c>
      <c r="J536" t="s">
        <v>312</v>
      </c>
      <c r="K536" t="s">
        <v>74</v>
      </c>
      <c r="L536" t="s">
        <v>74</v>
      </c>
      <c r="M536" t="s">
        <v>74</v>
      </c>
      <c r="N536" t="s">
        <v>74</v>
      </c>
      <c r="O536" t="s">
        <v>74</v>
      </c>
      <c r="P536" t="s">
        <v>74</v>
      </c>
      <c r="Q536" t="s">
        <v>74</v>
      </c>
      <c r="R536" t="s">
        <v>74</v>
      </c>
      <c r="S536" t="s">
        <v>74</v>
      </c>
      <c r="T536" t="s">
        <v>74</v>
      </c>
      <c r="U536" t="s">
        <v>74</v>
      </c>
      <c r="V536" s="3" t="s">
        <v>899</v>
      </c>
      <c r="W536" t="s">
        <v>74</v>
      </c>
      <c r="X536" t="s">
        <v>74</v>
      </c>
      <c r="Y536" t="s">
        <v>74</v>
      </c>
      <c r="Z536" t="s">
        <v>74</v>
      </c>
      <c r="AA536" t="s">
        <v>74</v>
      </c>
      <c r="AB536" t="s">
        <v>74</v>
      </c>
      <c r="AC536" t="s">
        <v>74</v>
      </c>
      <c r="AD536" t="s">
        <v>74</v>
      </c>
      <c r="AE536" t="s">
        <v>74</v>
      </c>
      <c r="AF536" t="s">
        <v>74</v>
      </c>
      <c r="AG536" t="s">
        <v>74</v>
      </c>
      <c r="AH536" t="s">
        <v>74</v>
      </c>
      <c r="AI536" t="s">
        <v>74</v>
      </c>
      <c r="AJ536" t="s">
        <v>74</v>
      </c>
      <c r="AK536" t="s">
        <v>74</v>
      </c>
      <c r="AL536" t="s">
        <v>74</v>
      </c>
      <c r="AM536" t="s">
        <v>74</v>
      </c>
      <c r="AN536" t="s">
        <v>74</v>
      </c>
      <c r="AO536" t="s">
        <v>314</v>
      </c>
      <c r="AP536" t="s">
        <v>315</v>
      </c>
      <c r="AQ536" t="s">
        <v>74</v>
      </c>
      <c r="AR536" t="s">
        <v>74</v>
      </c>
      <c r="AS536" t="s">
        <v>74</v>
      </c>
      <c r="AT536" t="s">
        <v>900</v>
      </c>
      <c r="AU536">
        <v>2023</v>
      </c>
      <c r="AV536" t="s">
        <v>74</v>
      </c>
      <c r="AW536" t="s">
        <v>74</v>
      </c>
      <c r="AX536" t="s">
        <v>74</v>
      </c>
      <c r="AY536" t="s">
        <v>74</v>
      </c>
      <c r="AZ536" t="s">
        <v>74</v>
      </c>
      <c r="BA536" t="s">
        <v>74</v>
      </c>
      <c r="BB536" t="s">
        <v>74</v>
      </c>
      <c r="BC536" t="s">
        <v>74</v>
      </c>
      <c r="BD536" t="s">
        <v>74</v>
      </c>
      <c r="BE536" t="s">
        <v>901</v>
      </c>
      <c r="BF536" t="str">
        <f>HYPERLINK("http://dx.doi.org/10.1086/725916","http://dx.doi.org/10.1086/725916")</f>
        <v>http://dx.doi.org/10.1086/725916</v>
      </c>
      <c r="BG536" t="s">
        <v>74</v>
      </c>
      <c r="BH536" t="s">
        <v>902</v>
      </c>
      <c r="BI536" t="s">
        <v>74</v>
      </c>
      <c r="BJ536" t="s">
        <v>74</v>
      </c>
      <c r="BK536" t="s">
        <v>74</v>
      </c>
      <c r="BL536" t="s">
        <v>74</v>
      </c>
      <c r="BM536" t="s">
        <v>74</v>
      </c>
      <c r="BN536">
        <v>37792917</v>
      </c>
      <c r="BO536" t="s">
        <v>74</v>
      </c>
      <c r="BP536" t="s">
        <v>74</v>
      </c>
      <c r="BQ536" t="s">
        <v>74</v>
      </c>
      <c r="BR536" t="s">
        <v>74</v>
      </c>
      <c r="BS536" t="s">
        <v>903</v>
      </c>
      <c r="BT536" t="str">
        <f>HYPERLINK("https%3A%2F%2Fwww.webofscience.com%2Fwos%2Fwoscc%2Ffull-record%2FWOS:001168568800001","View Full Record in Web of Science")</f>
        <v>View Full Record in Web of Science</v>
      </c>
    </row>
    <row r="537" spans="1:72" x14ac:dyDescent="0.4">
      <c r="A537" t="s">
        <v>72</v>
      </c>
      <c r="B537" t="s">
        <v>564</v>
      </c>
      <c r="C537" t="s">
        <v>74</v>
      </c>
      <c r="D537" t="s">
        <v>74</v>
      </c>
      <c r="E537" t="s">
        <v>74</v>
      </c>
      <c r="F537" t="s">
        <v>565</v>
      </c>
      <c r="G537" t="s">
        <v>74</v>
      </c>
      <c r="H537" t="s">
        <v>74</v>
      </c>
      <c r="I537" t="s">
        <v>566</v>
      </c>
      <c r="J537" t="s">
        <v>140</v>
      </c>
      <c r="K537" t="s">
        <v>74</v>
      </c>
      <c r="L537" t="s">
        <v>74</v>
      </c>
      <c r="M537" t="s">
        <v>74</v>
      </c>
      <c r="N537" t="s">
        <v>74</v>
      </c>
      <c r="O537" t="s">
        <v>74</v>
      </c>
      <c r="P537" t="s">
        <v>74</v>
      </c>
      <c r="Q537" t="s">
        <v>74</v>
      </c>
      <c r="R537" t="s">
        <v>74</v>
      </c>
      <c r="S537" t="s">
        <v>74</v>
      </c>
      <c r="T537" t="s">
        <v>74</v>
      </c>
      <c r="U537" t="s">
        <v>74</v>
      </c>
      <c r="V537" s="3" t="s">
        <v>567</v>
      </c>
      <c r="W537" t="s">
        <v>74</v>
      </c>
      <c r="X537" t="s">
        <v>74</v>
      </c>
      <c r="Y537" t="s">
        <v>74</v>
      </c>
      <c r="Z537" t="s">
        <v>74</v>
      </c>
      <c r="AA537" t="s">
        <v>568</v>
      </c>
      <c r="AB537" t="s">
        <v>569</v>
      </c>
      <c r="AC537" t="s">
        <v>74</v>
      </c>
      <c r="AD537" t="s">
        <v>74</v>
      </c>
      <c r="AE537" t="s">
        <v>74</v>
      </c>
      <c r="AF537" t="s">
        <v>74</v>
      </c>
      <c r="AG537" t="s">
        <v>74</v>
      </c>
      <c r="AH537" t="s">
        <v>74</v>
      </c>
      <c r="AI537" t="s">
        <v>74</v>
      </c>
      <c r="AJ537" t="s">
        <v>74</v>
      </c>
      <c r="AK537" t="s">
        <v>74</v>
      </c>
      <c r="AL537" t="s">
        <v>74</v>
      </c>
      <c r="AM537" t="s">
        <v>74</v>
      </c>
      <c r="AN537" t="s">
        <v>74</v>
      </c>
      <c r="AO537" t="s">
        <v>143</v>
      </c>
      <c r="AP537" t="s">
        <v>144</v>
      </c>
      <c r="AQ537" t="s">
        <v>74</v>
      </c>
      <c r="AR537" t="s">
        <v>74</v>
      </c>
      <c r="AS537" t="s">
        <v>74</v>
      </c>
      <c r="AT537" t="s">
        <v>102</v>
      </c>
      <c r="AU537">
        <v>2021</v>
      </c>
      <c r="AV537">
        <v>176</v>
      </c>
      <c r="AW537" t="s">
        <v>74</v>
      </c>
      <c r="AX537" t="s">
        <v>74</v>
      </c>
      <c r="AY537" t="s">
        <v>74</v>
      </c>
      <c r="AZ537" t="s">
        <v>74</v>
      </c>
      <c r="BA537" t="s">
        <v>74</v>
      </c>
      <c r="BB537">
        <v>157</v>
      </c>
      <c r="BC537">
        <v>166</v>
      </c>
      <c r="BD537" t="s">
        <v>74</v>
      </c>
      <c r="BE537" t="s">
        <v>570</v>
      </c>
      <c r="BF537" t="str">
        <f>HYPERLINK("http://dx.doi.org/10.1016/j.anbehav.2021.04.006","http://dx.doi.org/10.1016/j.anbehav.2021.04.006")</f>
        <v>http://dx.doi.org/10.1016/j.anbehav.2021.04.006</v>
      </c>
      <c r="BG537" t="s">
        <v>74</v>
      </c>
      <c r="BH537" t="s">
        <v>571</v>
      </c>
      <c r="BI537" t="s">
        <v>74</v>
      </c>
      <c r="BJ537" t="s">
        <v>74</v>
      </c>
      <c r="BK537" t="s">
        <v>74</v>
      </c>
      <c r="BL537" t="s">
        <v>74</v>
      </c>
      <c r="BM537" t="s">
        <v>74</v>
      </c>
      <c r="BN537" t="s">
        <v>74</v>
      </c>
      <c r="BO537" t="s">
        <v>74</v>
      </c>
      <c r="BP537" t="s">
        <v>74</v>
      </c>
      <c r="BQ537" t="s">
        <v>74</v>
      </c>
      <c r="BR537" t="s">
        <v>74</v>
      </c>
      <c r="BS537" t="s">
        <v>572</v>
      </c>
      <c r="BT537" t="str">
        <f>HYPERLINK("https%3A%2F%2Fwww.webofscience.com%2Fwos%2Fwoscc%2Ffull-record%2FWOS:000655320000013","View Full Record in Web of Science")</f>
        <v>View Full Record in Web of Science</v>
      </c>
    </row>
    <row r="538" spans="1:72" x14ac:dyDescent="0.4">
      <c r="A538" t="s">
        <v>72</v>
      </c>
      <c r="B538" t="s">
        <v>564</v>
      </c>
      <c r="C538" t="s">
        <v>74</v>
      </c>
      <c r="D538" t="s">
        <v>74</v>
      </c>
      <c r="E538" t="s">
        <v>74</v>
      </c>
      <c r="F538" t="s">
        <v>565</v>
      </c>
      <c r="G538" t="s">
        <v>74</v>
      </c>
      <c r="H538" t="s">
        <v>74</v>
      </c>
      <c r="I538" t="s">
        <v>2557</v>
      </c>
      <c r="J538" t="s">
        <v>576</v>
      </c>
      <c r="K538" t="s">
        <v>74</v>
      </c>
      <c r="L538" t="s">
        <v>74</v>
      </c>
      <c r="M538" t="s">
        <v>74</v>
      </c>
      <c r="N538" t="s">
        <v>74</v>
      </c>
      <c r="O538" t="s">
        <v>74</v>
      </c>
      <c r="P538" t="s">
        <v>74</v>
      </c>
      <c r="Q538" t="s">
        <v>74</v>
      </c>
      <c r="R538" t="s">
        <v>74</v>
      </c>
      <c r="S538" t="s">
        <v>74</v>
      </c>
      <c r="T538" t="s">
        <v>74</v>
      </c>
      <c r="U538" t="s">
        <v>74</v>
      </c>
      <c r="V538" s="3" t="s">
        <v>2558</v>
      </c>
      <c r="W538" t="s">
        <v>74</v>
      </c>
      <c r="X538" t="s">
        <v>74</v>
      </c>
      <c r="Y538" t="s">
        <v>74</v>
      </c>
      <c r="Z538" t="s">
        <v>74</v>
      </c>
      <c r="AA538" t="s">
        <v>568</v>
      </c>
      <c r="AB538" t="s">
        <v>569</v>
      </c>
      <c r="AC538" t="s">
        <v>74</v>
      </c>
      <c r="AD538" t="s">
        <v>74</v>
      </c>
      <c r="AE538" t="s">
        <v>74</v>
      </c>
      <c r="AF538" t="s">
        <v>74</v>
      </c>
      <c r="AG538" t="s">
        <v>74</v>
      </c>
      <c r="AH538" t="s">
        <v>74</v>
      </c>
      <c r="AI538" t="s">
        <v>74</v>
      </c>
      <c r="AJ538" t="s">
        <v>74</v>
      </c>
      <c r="AK538" t="s">
        <v>74</v>
      </c>
      <c r="AL538" t="s">
        <v>74</v>
      </c>
      <c r="AM538" t="s">
        <v>74</v>
      </c>
      <c r="AN538" t="s">
        <v>74</v>
      </c>
      <c r="AO538" t="s">
        <v>579</v>
      </c>
      <c r="AP538" t="s">
        <v>580</v>
      </c>
      <c r="AQ538" t="s">
        <v>74</v>
      </c>
      <c r="AR538" t="s">
        <v>74</v>
      </c>
      <c r="AS538" t="s">
        <v>74</v>
      </c>
      <c r="AT538" t="s">
        <v>175</v>
      </c>
      <c r="AU538">
        <v>2020</v>
      </c>
      <c r="AV538">
        <v>34</v>
      </c>
      <c r="AW538">
        <v>5</v>
      </c>
      <c r="AX538" t="s">
        <v>74</v>
      </c>
      <c r="AY538" t="s">
        <v>74</v>
      </c>
      <c r="AZ538" t="s">
        <v>74</v>
      </c>
      <c r="BA538" t="s">
        <v>74</v>
      </c>
      <c r="BB538">
        <v>735</v>
      </c>
      <c r="BC538">
        <v>743</v>
      </c>
      <c r="BD538" t="s">
        <v>74</v>
      </c>
      <c r="BE538" t="s">
        <v>2559</v>
      </c>
      <c r="BF538" t="str">
        <f>HYPERLINK("http://dx.doi.org/10.1007/s10682-020-10064-y","http://dx.doi.org/10.1007/s10682-020-10064-y")</f>
        <v>http://dx.doi.org/10.1007/s10682-020-10064-y</v>
      </c>
      <c r="BG538" t="s">
        <v>74</v>
      </c>
      <c r="BH538" t="s">
        <v>2560</v>
      </c>
      <c r="BI538" t="s">
        <v>74</v>
      </c>
      <c r="BJ538" t="s">
        <v>74</v>
      </c>
      <c r="BK538" t="s">
        <v>74</v>
      </c>
      <c r="BL538" t="s">
        <v>74</v>
      </c>
      <c r="BM538" t="s">
        <v>74</v>
      </c>
      <c r="BN538" t="s">
        <v>74</v>
      </c>
      <c r="BO538" t="s">
        <v>74</v>
      </c>
      <c r="BP538" t="s">
        <v>74</v>
      </c>
      <c r="BQ538" t="s">
        <v>74</v>
      </c>
      <c r="BR538" t="s">
        <v>74</v>
      </c>
      <c r="BS538" t="s">
        <v>2561</v>
      </c>
      <c r="BT538" t="str">
        <f>HYPERLINK("https%3A%2F%2Fwww.webofscience.com%2Fwos%2Fwoscc%2Ffull-record%2FWOS:000555728700001","View Full Record in Web of Science")</f>
        <v>View Full Record in Web of Science</v>
      </c>
    </row>
    <row r="539" spans="1:72" x14ac:dyDescent="0.4">
      <c r="A539" t="s">
        <v>72</v>
      </c>
      <c r="B539" t="s">
        <v>5700</v>
      </c>
      <c r="C539" t="s">
        <v>74</v>
      </c>
      <c r="D539" t="s">
        <v>74</v>
      </c>
      <c r="E539" t="s">
        <v>74</v>
      </c>
      <c r="F539" t="s">
        <v>5700</v>
      </c>
      <c r="G539" t="s">
        <v>74</v>
      </c>
      <c r="H539" t="s">
        <v>74</v>
      </c>
      <c r="I539" t="s">
        <v>5701</v>
      </c>
      <c r="J539" t="s">
        <v>201</v>
      </c>
      <c r="K539" t="s">
        <v>74</v>
      </c>
      <c r="L539" t="s">
        <v>74</v>
      </c>
      <c r="M539" t="s">
        <v>74</v>
      </c>
      <c r="N539" t="s">
        <v>74</v>
      </c>
      <c r="O539" t="s">
        <v>74</v>
      </c>
      <c r="P539" t="s">
        <v>74</v>
      </c>
      <c r="Q539" t="s">
        <v>74</v>
      </c>
      <c r="R539" t="s">
        <v>74</v>
      </c>
      <c r="S539" t="s">
        <v>74</v>
      </c>
      <c r="T539" t="s">
        <v>74</v>
      </c>
      <c r="U539" t="s">
        <v>74</v>
      </c>
      <c r="V539" s="3" t="s">
        <v>5702</v>
      </c>
      <c r="W539" t="s">
        <v>74</v>
      </c>
      <c r="X539" t="s">
        <v>74</v>
      </c>
      <c r="Y539" t="s">
        <v>74</v>
      </c>
      <c r="Z539" t="s">
        <v>74</v>
      </c>
      <c r="AA539" t="s">
        <v>5703</v>
      </c>
      <c r="AB539" t="s">
        <v>5704</v>
      </c>
      <c r="AC539" t="s">
        <v>74</v>
      </c>
      <c r="AD539" t="s">
        <v>74</v>
      </c>
      <c r="AE539" t="s">
        <v>74</v>
      </c>
      <c r="AF539" t="s">
        <v>74</v>
      </c>
      <c r="AG539" t="s">
        <v>74</v>
      </c>
      <c r="AH539" t="s">
        <v>74</v>
      </c>
      <c r="AI539" t="s">
        <v>74</v>
      </c>
      <c r="AJ539" t="s">
        <v>74</v>
      </c>
      <c r="AK539" t="s">
        <v>74</v>
      </c>
      <c r="AL539" t="s">
        <v>74</v>
      </c>
      <c r="AM539" t="s">
        <v>74</v>
      </c>
      <c r="AN539" t="s">
        <v>74</v>
      </c>
      <c r="AO539" t="s">
        <v>203</v>
      </c>
      <c r="AP539" t="s">
        <v>1192</v>
      </c>
      <c r="AQ539" t="s">
        <v>74</v>
      </c>
      <c r="AR539" t="s">
        <v>74</v>
      </c>
      <c r="AS539" t="s">
        <v>74</v>
      </c>
      <c r="AT539" t="s">
        <v>964</v>
      </c>
      <c r="AU539">
        <v>2006</v>
      </c>
      <c r="AV539">
        <v>68</v>
      </c>
      <c r="AW539">
        <v>2</v>
      </c>
      <c r="AX539" t="s">
        <v>74</v>
      </c>
      <c r="AY539" t="s">
        <v>74</v>
      </c>
      <c r="AZ539" t="s">
        <v>74</v>
      </c>
      <c r="BA539" t="s">
        <v>74</v>
      </c>
      <c r="BB539">
        <v>373</v>
      </c>
      <c r="BC539">
        <v>384</v>
      </c>
      <c r="BD539" t="s">
        <v>74</v>
      </c>
      <c r="BE539" t="s">
        <v>5705</v>
      </c>
      <c r="BF539" t="str">
        <f>HYPERLINK("http://dx.doi.org/10.1111/j.0022-1112.2006.00896.x","http://dx.doi.org/10.1111/j.0022-1112.2006.00896.x")</f>
        <v>http://dx.doi.org/10.1111/j.0022-1112.2006.00896.x</v>
      </c>
      <c r="BG539" t="s">
        <v>74</v>
      </c>
      <c r="BH539" t="s">
        <v>74</v>
      </c>
      <c r="BI539" t="s">
        <v>74</v>
      </c>
      <c r="BJ539" t="s">
        <v>74</v>
      </c>
      <c r="BK539" t="s">
        <v>74</v>
      </c>
      <c r="BL539" t="s">
        <v>74</v>
      </c>
      <c r="BM539" t="s">
        <v>74</v>
      </c>
      <c r="BN539" t="s">
        <v>74</v>
      </c>
      <c r="BO539" t="s">
        <v>74</v>
      </c>
      <c r="BP539" t="s">
        <v>74</v>
      </c>
      <c r="BQ539" t="s">
        <v>74</v>
      </c>
      <c r="BR539" t="s">
        <v>74</v>
      </c>
      <c r="BS539" t="s">
        <v>5706</v>
      </c>
      <c r="BT539" t="str">
        <f>HYPERLINK("https%3A%2F%2Fwww.webofscience.com%2Fwos%2Fwoscc%2Ffull-record%2FWOS:000235469400003","View Full Record in Web of Science")</f>
        <v>View Full Record in Web of Science</v>
      </c>
    </row>
    <row r="540" spans="1:72" x14ac:dyDescent="0.4">
      <c r="A540" t="s">
        <v>72</v>
      </c>
      <c r="B540" t="s">
        <v>8748</v>
      </c>
      <c r="C540" t="s">
        <v>74</v>
      </c>
      <c r="D540" t="s">
        <v>74</v>
      </c>
      <c r="E540" t="s">
        <v>74</v>
      </c>
      <c r="F540" t="s">
        <v>8749</v>
      </c>
      <c r="G540" t="s">
        <v>74</v>
      </c>
      <c r="H540" t="s">
        <v>74</v>
      </c>
      <c r="I540" t="s">
        <v>8750</v>
      </c>
      <c r="J540" t="s">
        <v>970</v>
      </c>
      <c r="K540" t="s">
        <v>74</v>
      </c>
      <c r="L540" t="s">
        <v>74</v>
      </c>
      <c r="M540" t="s">
        <v>74</v>
      </c>
      <c r="N540" t="s">
        <v>74</v>
      </c>
      <c r="O540" t="s">
        <v>74</v>
      </c>
      <c r="P540" t="s">
        <v>74</v>
      </c>
      <c r="Q540" t="s">
        <v>74</v>
      </c>
      <c r="R540" t="s">
        <v>74</v>
      </c>
      <c r="S540" t="s">
        <v>74</v>
      </c>
      <c r="T540" t="s">
        <v>74</v>
      </c>
      <c r="U540" t="s">
        <v>74</v>
      </c>
      <c r="V540" s="3" t="s">
        <v>8751</v>
      </c>
      <c r="W540" t="s">
        <v>74</v>
      </c>
      <c r="X540" t="s">
        <v>74</v>
      </c>
      <c r="Y540" t="s">
        <v>74</v>
      </c>
      <c r="Z540" t="s">
        <v>74</v>
      </c>
      <c r="AA540" t="s">
        <v>8752</v>
      </c>
      <c r="AB540" t="s">
        <v>8753</v>
      </c>
      <c r="AC540" t="s">
        <v>74</v>
      </c>
      <c r="AD540" t="s">
        <v>74</v>
      </c>
      <c r="AE540" t="s">
        <v>74</v>
      </c>
      <c r="AF540" t="s">
        <v>74</v>
      </c>
      <c r="AG540" t="s">
        <v>74</v>
      </c>
      <c r="AH540" t="s">
        <v>74</v>
      </c>
      <c r="AI540" t="s">
        <v>74</v>
      </c>
      <c r="AJ540" t="s">
        <v>74</v>
      </c>
      <c r="AK540" t="s">
        <v>74</v>
      </c>
      <c r="AL540" t="s">
        <v>74</v>
      </c>
      <c r="AM540" t="s">
        <v>74</v>
      </c>
      <c r="AN540" t="s">
        <v>74</v>
      </c>
      <c r="AO540" t="s">
        <v>8754</v>
      </c>
      <c r="AP540" t="s">
        <v>8755</v>
      </c>
      <c r="AQ540" t="s">
        <v>74</v>
      </c>
      <c r="AR540" t="s">
        <v>74</v>
      </c>
      <c r="AS540" t="s">
        <v>74</v>
      </c>
      <c r="AT540" t="s">
        <v>305</v>
      </c>
      <c r="AU540">
        <v>2007</v>
      </c>
      <c r="AV540">
        <v>148</v>
      </c>
      <c r="AW540" t="s">
        <v>74</v>
      </c>
      <c r="AX540" t="s">
        <v>74</v>
      </c>
      <c r="AY540">
        <v>2</v>
      </c>
      <c r="AZ540" t="s">
        <v>74</v>
      </c>
      <c r="BA540" t="s">
        <v>74</v>
      </c>
      <c r="BB540" t="s">
        <v>8756</v>
      </c>
      <c r="BC540" t="s">
        <v>8757</v>
      </c>
      <c r="BD540" t="s">
        <v>74</v>
      </c>
      <c r="BE540" t="s">
        <v>8758</v>
      </c>
      <c r="BF540" t="str">
        <f>HYPERLINK("http://dx.doi.org/10.1007/s10336-007-0224-3","http://dx.doi.org/10.1007/s10336-007-0224-3")</f>
        <v>http://dx.doi.org/10.1007/s10336-007-0224-3</v>
      </c>
      <c r="BG540" t="s">
        <v>74</v>
      </c>
      <c r="BH540" t="s">
        <v>74</v>
      </c>
      <c r="BI540" t="s">
        <v>74</v>
      </c>
      <c r="BJ540" t="s">
        <v>74</v>
      </c>
      <c r="BK540" t="s">
        <v>74</v>
      </c>
      <c r="BL540" t="s">
        <v>74</v>
      </c>
      <c r="BM540" t="s">
        <v>74</v>
      </c>
      <c r="BN540" t="s">
        <v>74</v>
      </c>
      <c r="BO540" t="s">
        <v>74</v>
      </c>
      <c r="BP540" t="s">
        <v>74</v>
      </c>
      <c r="BQ540" t="s">
        <v>74</v>
      </c>
      <c r="BR540" t="s">
        <v>74</v>
      </c>
      <c r="BS540" t="s">
        <v>8759</v>
      </c>
      <c r="BT540" t="str">
        <f>HYPERLINK("https%3A%2F%2Fwww.webofscience.com%2Fwos%2Fwoscc%2Ffull-record%2FWOS:000255199000012","View Full Record in Web of Science")</f>
        <v>View Full Record in Web of Science</v>
      </c>
    </row>
    <row r="541" spans="1:72" x14ac:dyDescent="0.4">
      <c r="A541" t="s">
        <v>72</v>
      </c>
      <c r="B541" t="s">
        <v>4693</v>
      </c>
      <c r="C541" t="s">
        <v>74</v>
      </c>
      <c r="D541" t="s">
        <v>74</v>
      </c>
      <c r="E541" t="s">
        <v>74</v>
      </c>
      <c r="F541" t="s">
        <v>4694</v>
      </c>
      <c r="G541" t="s">
        <v>74</v>
      </c>
      <c r="H541" t="s">
        <v>74</v>
      </c>
      <c r="I541" t="s">
        <v>4695</v>
      </c>
      <c r="J541" t="s">
        <v>610</v>
      </c>
      <c r="K541" t="s">
        <v>74</v>
      </c>
      <c r="L541" t="s">
        <v>74</v>
      </c>
      <c r="M541" t="s">
        <v>74</v>
      </c>
      <c r="N541" t="s">
        <v>74</v>
      </c>
      <c r="O541" t="s">
        <v>74</v>
      </c>
      <c r="P541" t="s">
        <v>74</v>
      </c>
      <c r="Q541" t="s">
        <v>74</v>
      </c>
      <c r="R541" t="s">
        <v>74</v>
      </c>
      <c r="S541" t="s">
        <v>74</v>
      </c>
      <c r="T541" t="s">
        <v>74</v>
      </c>
      <c r="U541" t="s">
        <v>74</v>
      </c>
      <c r="V541" s="3" t="s">
        <v>4696</v>
      </c>
      <c r="W541" t="s">
        <v>74</v>
      </c>
      <c r="X541" t="s">
        <v>74</v>
      </c>
      <c r="Y541" t="s">
        <v>74</v>
      </c>
      <c r="Z541" t="s">
        <v>74</v>
      </c>
      <c r="AA541" t="s">
        <v>4697</v>
      </c>
      <c r="AB541" t="s">
        <v>4698</v>
      </c>
      <c r="AC541" t="s">
        <v>74</v>
      </c>
      <c r="AD541" t="s">
        <v>74</v>
      </c>
      <c r="AE541" t="s">
        <v>74</v>
      </c>
      <c r="AF541" t="s">
        <v>74</v>
      </c>
      <c r="AG541" t="s">
        <v>74</v>
      </c>
      <c r="AH541" t="s">
        <v>74</v>
      </c>
      <c r="AI541" t="s">
        <v>74</v>
      </c>
      <c r="AJ541" t="s">
        <v>74</v>
      </c>
      <c r="AK541" t="s">
        <v>74</v>
      </c>
      <c r="AL541" t="s">
        <v>74</v>
      </c>
      <c r="AM541" t="s">
        <v>74</v>
      </c>
      <c r="AN541" t="s">
        <v>74</v>
      </c>
      <c r="AO541" t="s">
        <v>614</v>
      </c>
      <c r="AP541" t="s">
        <v>615</v>
      </c>
      <c r="AQ541" t="s">
        <v>74</v>
      </c>
      <c r="AR541" t="s">
        <v>74</v>
      </c>
      <c r="AS541" t="s">
        <v>74</v>
      </c>
      <c r="AT541" t="s">
        <v>134</v>
      </c>
      <c r="AU541">
        <v>2014</v>
      </c>
      <c r="AV541">
        <v>120</v>
      </c>
      <c r="AW541">
        <v>5</v>
      </c>
      <c r="AX541" t="s">
        <v>74</v>
      </c>
      <c r="AY541" t="s">
        <v>74</v>
      </c>
      <c r="AZ541" t="s">
        <v>74</v>
      </c>
      <c r="BA541" t="s">
        <v>74</v>
      </c>
      <c r="BB541">
        <v>502</v>
      </c>
      <c r="BC541">
        <v>510</v>
      </c>
      <c r="BD541" t="s">
        <v>74</v>
      </c>
      <c r="BE541" t="s">
        <v>4699</v>
      </c>
      <c r="BF541" t="str">
        <f>HYPERLINK("http://dx.doi.org/10.1111/eth.12224","http://dx.doi.org/10.1111/eth.12224")</f>
        <v>http://dx.doi.org/10.1111/eth.12224</v>
      </c>
      <c r="BG541" t="s">
        <v>74</v>
      </c>
      <c r="BH541" t="s">
        <v>74</v>
      </c>
      <c r="BI541" t="s">
        <v>74</v>
      </c>
      <c r="BJ541" t="s">
        <v>74</v>
      </c>
      <c r="BK541" t="s">
        <v>74</v>
      </c>
      <c r="BL541" t="s">
        <v>74</v>
      </c>
      <c r="BM541" t="s">
        <v>74</v>
      </c>
      <c r="BN541" t="s">
        <v>74</v>
      </c>
      <c r="BO541" t="s">
        <v>74</v>
      </c>
      <c r="BP541" t="s">
        <v>74</v>
      </c>
      <c r="BQ541" t="s">
        <v>74</v>
      </c>
      <c r="BR541" t="s">
        <v>74</v>
      </c>
      <c r="BS541" t="s">
        <v>4700</v>
      </c>
      <c r="BT541" t="str">
        <f>HYPERLINK("https%3A%2F%2Fwww.webofscience.com%2Fwos%2Fwoscc%2Ffull-record%2FWOS:000333696100008","View Full Record in Web of Science")</f>
        <v>View Full Record in Web of Science</v>
      </c>
    </row>
    <row r="542" spans="1:72" x14ac:dyDescent="0.4">
      <c r="A542" t="s">
        <v>72</v>
      </c>
      <c r="B542" t="s">
        <v>1166</v>
      </c>
      <c r="C542" t="s">
        <v>74</v>
      </c>
      <c r="D542" t="s">
        <v>74</v>
      </c>
      <c r="E542" t="s">
        <v>74</v>
      </c>
      <c r="F542" t="s">
        <v>1167</v>
      </c>
      <c r="G542" t="s">
        <v>74</v>
      </c>
      <c r="H542" t="s">
        <v>74</v>
      </c>
      <c r="I542" t="s">
        <v>1168</v>
      </c>
      <c r="J542" t="s">
        <v>119</v>
      </c>
      <c r="K542" t="s">
        <v>74</v>
      </c>
      <c r="L542" t="s">
        <v>74</v>
      </c>
      <c r="M542" t="s">
        <v>74</v>
      </c>
      <c r="N542" t="s">
        <v>74</v>
      </c>
      <c r="O542" t="s">
        <v>74</v>
      </c>
      <c r="P542" t="s">
        <v>74</v>
      </c>
      <c r="Q542" t="s">
        <v>74</v>
      </c>
      <c r="R542" t="s">
        <v>74</v>
      </c>
      <c r="S542" t="s">
        <v>74</v>
      </c>
      <c r="T542" t="s">
        <v>74</v>
      </c>
      <c r="U542" t="s">
        <v>74</v>
      </c>
      <c r="V542" s="3" t="s">
        <v>1169</v>
      </c>
      <c r="W542" t="s">
        <v>74</v>
      </c>
      <c r="X542" t="s">
        <v>74</v>
      </c>
      <c r="Y542" t="s">
        <v>74</v>
      </c>
      <c r="Z542" t="s">
        <v>74</v>
      </c>
      <c r="AA542" t="s">
        <v>74</v>
      </c>
      <c r="AB542" t="s">
        <v>74</v>
      </c>
      <c r="AC542" t="s">
        <v>74</v>
      </c>
      <c r="AD542" t="s">
        <v>74</v>
      </c>
      <c r="AE542" t="s">
        <v>74</v>
      </c>
      <c r="AF542" t="s">
        <v>74</v>
      </c>
      <c r="AG542" t="s">
        <v>74</v>
      </c>
      <c r="AH542" t="s">
        <v>74</v>
      </c>
      <c r="AI542" t="s">
        <v>74</v>
      </c>
      <c r="AJ542" t="s">
        <v>74</v>
      </c>
      <c r="AK542" t="s">
        <v>74</v>
      </c>
      <c r="AL542" t="s">
        <v>74</v>
      </c>
      <c r="AM542" t="s">
        <v>74</v>
      </c>
      <c r="AN542" t="s">
        <v>74</v>
      </c>
      <c r="AO542" t="s">
        <v>121</v>
      </c>
      <c r="AP542" t="s">
        <v>122</v>
      </c>
      <c r="AQ542" t="s">
        <v>74</v>
      </c>
      <c r="AR542" t="s">
        <v>74</v>
      </c>
      <c r="AS542" t="s">
        <v>74</v>
      </c>
      <c r="AT542" t="s">
        <v>102</v>
      </c>
      <c r="AU542">
        <v>2010</v>
      </c>
      <c r="AV542">
        <v>84</v>
      </c>
      <c r="AW542">
        <v>2</v>
      </c>
      <c r="AX542" t="s">
        <v>74</v>
      </c>
      <c r="AY542" t="s">
        <v>74</v>
      </c>
      <c r="AZ542" t="s">
        <v>74</v>
      </c>
      <c r="BA542" t="s">
        <v>74</v>
      </c>
      <c r="BB542">
        <v>568</v>
      </c>
      <c r="BC542">
        <v>572</v>
      </c>
      <c r="BD542" t="s">
        <v>74</v>
      </c>
      <c r="BE542" t="s">
        <v>1170</v>
      </c>
      <c r="BF542" t="str">
        <f>HYPERLINK("http://dx.doi.org/10.1016/j.beproc.2010.02.012","http://dx.doi.org/10.1016/j.beproc.2010.02.012")</f>
        <v>http://dx.doi.org/10.1016/j.beproc.2010.02.012</v>
      </c>
      <c r="BG542" t="s">
        <v>74</v>
      </c>
      <c r="BH542" t="s">
        <v>74</v>
      </c>
      <c r="BI542" t="s">
        <v>74</v>
      </c>
      <c r="BJ542" t="s">
        <v>74</v>
      </c>
      <c r="BK542" t="s">
        <v>74</v>
      </c>
      <c r="BL542" t="s">
        <v>74</v>
      </c>
      <c r="BM542" t="s">
        <v>74</v>
      </c>
      <c r="BN542">
        <v>20176091</v>
      </c>
      <c r="BO542" t="s">
        <v>74</v>
      </c>
      <c r="BP542" t="s">
        <v>74</v>
      </c>
      <c r="BQ542" t="s">
        <v>74</v>
      </c>
      <c r="BR542" t="s">
        <v>74</v>
      </c>
      <c r="BS542" t="s">
        <v>1171</v>
      </c>
      <c r="BT542" t="str">
        <f>HYPERLINK("https%3A%2F%2Fwww.webofscience.com%2Fwos%2Fwoscc%2Ffull-record%2FWOS:000279096400004","View Full Record in Web of Science")</f>
        <v>View Full Record in Web of Science</v>
      </c>
    </row>
    <row r="543" spans="1:72" x14ac:dyDescent="0.4">
      <c r="A543" t="s">
        <v>72</v>
      </c>
      <c r="B543" t="s">
        <v>6889</v>
      </c>
      <c r="C543" t="s">
        <v>74</v>
      </c>
      <c r="D543" t="s">
        <v>74</v>
      </c>
      <c r="E543" t="s">
        <v>74</v>
      </c>
      <c r="F543" t="s">
        <v>6890</v>
      </c>
      <c r="G543" t="s">
        <v>74</v>
      </c>
      <c r="H543" t="s">
        <v>74</v>
      </c>
      <c r="I543" t="s">
        <v>6891</v>
      </c>
      <c r="J543" t="s">
        <v>129</v>
      </c>
      <c r="K543" t="s">
        <v>74</v>
      </c>
      <c r="L543" t="s">
        <v>74</v>
      </c>
      <c r="M543" t="s">
        <v>74</v>
      </c>
      <c r="N543" t="s">
        <v>74</v>
      </c>
      <c r="O543" t="s">
        <v>74</v>
      </c>
      <c r="P543" t="s">
        <v>74</v>
      </c>
      <c r="Q543" t="s">
        <v>74</v>
      </c>
      <c r="R543" t="s">
        <v>74</v>
      </c>
      <c r="S543" t="s">
        <v>74</v>
      </c>
      <c r="T543" t="s">
        <v>74</v>
      </c>
      <c r="U543" t="s">
        <v>74</v>
      </c>
      <c r="V543" s="3" t="s">
        <v>6892</v>
      </c>
      <c r="W543" t="s">
        <v>74</v>
      </c>
      <c r="X543" t="s">
        <v>74</v>
      </c>
      <c r="Y543" t="s">
        <v>74</v>
      </c>
      <c r="Z543" t="s">
        <v>74</v>
      </c>
      <c r="AA543" t="s">
        <v>6893</v>
      </c>
      <c r="AB543" t="s">
        <v>6894</v>
      </c>
      <c r="AC543" t="s">
        <v>74</v>
      </c>
      <c r="AD543" t="s">
        <v>74</v>
      </c>
      <c r="AE543" t="s">
        <v>74</v>
      </c>
      <c r="AF543" t="s">
        <v>74</v>
      </c>
      <c r="AG543" t="s">
        <v>74</v>
      </c>
      <c r="AH543" t="s">
        <v>74</v>
      </c>
      <c r="AI543" t="s">
        <v>74</v>
      </c>
      <c r="AJ543" t="s">
        <v>74</v>
      </c>
      <c r="AK543" t="s">
        <v>74</v>
      </c>
      <c r="AL543" t="s">
        <v>74</v>
      </c>
      <c r="AM543" t="s">
        <v>74</v>
      </c>
      <c r="AN543" t="s">
        <v>74</v>
      </c>
      <c r="AO543" t="s">
        <v>132</v>
      </c>
      <c r="AP543" t="s">
        <v>133</v>
      </c>
      <c r="AQ543" t="s">
        <v>74</v>
      </c>
      <c r="AR543" t="s">
        <v>74</v>
      </c>
      <c r="AS543" t="s">
        <v>74</v>
      </c>
      <c r="AT543" t="s">
        <v>633</v>
      </c>
      <c r="AU543">
        <v>2008</v>
      </c>
      <c r="AV543">
        <v>62</v>
      </c>
      <c r="AW543">
        <v>8</v>
      </c>
      <c r="AX543" t="s">
        <v>74</v>
      </c>
      <c r="AY543" t="s">
        <v>74</v>
      </c>
      <c r="AZ543" t="s">
        <v>74</v>
      </c>
      <c r="BA543" t="s">
        <v>74</v>
      </c>
      <c r="BB543">
        <v>1277</v>
      </c>
      <c r="BC543">
        <v>1288</v>
      </c>
      <c r="BD543" t="s">
        <v>74</v>
      </c>
      <c r="BE543" t="s">
        <v>6895</v>
      </c>
      <c r="BF543" t="str">
        <f>HYPERLINK("http://dx.doi.org/10.1007/s00265-008-0556-x","http://dx.doi.org/10.1007/s00265-008-0556-x")</f>
        <v>http://dx.doi.org/10.1007/s00265-008-0556-x</v>
      </c>
      <c r="BG543" t="s">
        <v>74</v>
      </c>
      <c r="BH543" t="s">
        <v>74</v>
      </c>
      <c r="BI543" t="s">
        <v>74</v>
      </c>
      <c r="BJ543" t="s">
        <v>74</v>
      </c>
      <c r="BK543" t="s">
        <v>74</v>
      </c>
      <c r="BL543" t="s">
        <v>74</v>
      </c>
      <c r="BM543" t="s">
        <v>74</v>
      </c>
      <c r="BN543" t="s">
        <v>74</v>
      </c>
      <c r="BO543" t="s">
        <v>74</v>
      </c>
      <c r="BP543" t="s">
        <v>74</v>
      </c>
      <c r="BQ543" t="s">
        <v>74</v>
      </c>
      <c r="BR543" t="s">
        <v>74</v>
      </c>
      <c r="BS543" t="s">
        <v>6896</v>
      </c>
      <c r="BT543" t="str">
        <f>HYPERLINK("https%3A%2F%2Fwww.webofscience.com%2Fwos%2Fwoscc%2Ffull-record%2FWOS:000255851400007","View Full Record in Web of Science")</f>
        <v>View Full Record in Web of Science</v>
      </c>
    </row>
    <row r="544" spans="1:72" x14ac:dyDescent="0.4">
      <c r="A544" t="s">
        <v>72</v>
      </c>
      <c r="B544" t="s">
        <v>7919</v>
      </c>
      <c r="C544" t="s">
        <v>74</v>
      </c>
      <c r="D544" t="s">
        <v>74</v>
      </c>
      <c r="E544" t="s">
        <v>74</v>
      </c>
      <c r="F544" t="s">
        <v>7920</v>
      </c>
      <c r="G544" t="s">
        <v>74</v>
      </c>
      <c r="H544" t="s">
        <v>74</v>
      </c>
      <c r="I544" t="s">
        <v>7921</v>
      </c>
      <c r="J544" t="s">
        <v>7922</v>
      </c>
      <c r="K544" t="s">
        <v>74</v>
      </c>
      <c r="L544" t="s">
        <v>74</v>
      </c>
      <c r="M544" t="s">
        <v>74</v>
      </c>
      <c r="N544" t="s">
        <v>74</v>
      </c>
      <c r="O544" t="s">
        <v>74</v>
      </c>
      <c r="P544" t="s">
        <v>74</v>
      </c>
      <c r="Q544" t="s">
        <v>74</v>
      </c>
      <c r="R544" t="s">
        <v>74</v>
      </c>
      <c r="S544" t="s">
        <v>74</v>
      </c>
      <c r="T544" t="s">
        <v>74</v>
      </c>
      <c r="U544" t="s">
        <v>74</v>
      </c>
      <c r="V544" s="3" t="s">
        <v>7923</v>
      </c>
      <c r="W544" t="s">
        <v>74</v>
      </c>
      <c r="X544" t="s">
        <v>74</v>
      </c>
      <c r="Y544" t="s">
        <v>74</v>
      </c>
      <c r="Z544" t="s">
        <v>74</v>
      </c>
      <c r="AA544" t="s">
        <v>7924</v>
      </c>
      <c r="AB544" t="s">
        <v>7925</v>
      </c>
      <c r="AC544" t="s">
        <v>74</v>
      </c>
      <c r="AD544" t="s">
        <v>74</v>
      </c>
      <c r="AE544" t="s">
        <v>74</v>
      </c>
      <c r="AF544" t="s">
        <v>74</v>
      </c>
      <c r="AG544" t="s">
        <v>74</v>
      </c>
      <c r="AH544" t="s">
        <v>74</v>
      </c>
      <c r="AI544" t="s">
        <v>74</v>
      </c>
      <c r="AJ544" t="s">
        <v>74</v>
      </c>
      <c r="AK544" t="s">
        <v>74</v>
      </c>
      <c r="AL544" t="s">
        <v>74</v>
      </c>
      <c r="AM544" t="s">
        <v>74</v>
      </c>
      <c r="AN544" t="s">
        <v>74</v>
      </c>
      <c r="AO544" t="s">
        <v>7926</v>
      </c>
      <c r="AP544" t="s">
        <v>7927</v>
      </c>
      <c r="AQ544" t="s">
        <v>74</v>
      </c>
      <c r="AR544" t="s">
        <v>74</v>
      </c>
      <c r="AS544" t="s">
        <v>74</v>
      </c>
      <c r="AT544" t="s">
        <v>633</v>
      </c>
      <c r="AU544">
        <v>2022</v>
      </c>
      <c r="AV544">
        <v>15</v>
      </c>
      <c r="AW544">
        <v>4</v>
      </c>
      <c r="AX544" t="s">
        <v>74</v>
      </c>
      <c r="AY544" t="s">
        <v>74</v>
      </c>
      <c r="AZ544" t="s">
        <v>74</v>
      </c>
      <c r="BA544" t="s">
        <v>74</v>
      </c>
      <c r="BB544">
        <v>751</v>
      </c>
      <c r="BC544">
        <v>760</v>
      </c>
      <c r="BD544" t="s">
        <v>74</v>
      </c>
      <c r="BE544" t="s">
        <v>7928</v>
      </c>
      <c r="BF544" t="str">
        <f>HYPERLINK("http://dx.doi.org/10.1002/aur.2670","http://dx.doi.org/10.1002/aur.2670")</f>
        <v>http://dx.doi.org/10.1002/aur.2670</v>
      </c>
      <c r="BG544" t="s">
        <v>74</v>
      </c>
      <c r="BH544" t="s">
        <v>5497</v>
      </c>
      <c r="BI544" t="s">
        <v>74</v>
      </c>
      <c r="BJ544" t="s">
        <v>74</v>
      </c>
      <c r="BK544" t="s">
        <v>74</v>
      </c>
      <c r="BL544" t="s">
        <v>74</v>
      </c>
      <c r="BM544" t="s">
        <v>74</v>
      </c>
      <c r="BN544">
        <v>35040592</v>
      </c>
      <c r="BO544" t="s">
        <v>74</v>
      </c>
      <c r="BP544" t="s">
        <v>74</v>
      </c>
      <c r="BQ544" t="s">
        <v>74</v>
      </c>
      <c r="BR544" t="s">
        <v>74</v>
      </c>
      <c r="BS544" t="s">
        <v>7929</v>
      </c>
      <c r="BT544" t="str">
        <f>HYPERLINK("https%3A%2F%2Fwww.webofscience.com%2Fwos%2Fwoscc%2Ffull-record%2FWOS:000743515200001","View Full Record in Web of Science")</f>
        <v>View Full Record in Web of Science</v>
      </c>
    </row>
    <row r="545" spans="1:72" x14ac:dyDescent="0.4">
      <c r="A545" t="s">
        <v>72</v>
      </c>
      <c r="B545" t="s">
        <v>2720</v>
      </c>
      <c r="C545" t="s">
        <v>74</v>
      </c>
      <c r="D545" t="s">
        <v>74</v>
      </c>
      <c r="E545" t="s">
        <v>74</v>
      </c>
      <c r="F545" t="s">
        <v>2721</v>
      </c>
      <c r="G545" t="s">
        <v>74</v>
      </c>
      <c r="H545" t="s">
        <v>74</v>
      </c>
      <c r="I545" t="s">
        <v>2722</v>
      </c>
      <c r="J545" t="s">
        <v>610</v>
      </c>
      <c r="K545" t="s">
        <v>74</v>
      </c>
      <c r="L545" t="s">
        <v>74</v>
      </c>
      <c r="M545" t="s">
        <v>74</v>
      </c>
      <c r="N545" t="s">
        <v>74</v>
      </c>
      <c r="O545" t="s">
        <v>74</v>
      </c>
      <c r="P545" t="s">
        <v>74</v>
      </c>
      <c r="Q545" t="s">
        <v>74</v>
      </c>
      <c r="R545" t="s">
        <v>74</v>
      </c>
      <c r="S545" t="s">
        <v>74</v>
      </c>
      <c r="T545" t="s">
        <v>74</v>
      </c>
      <c r="U545" t="s">
        <v>74</v>
      </c>
      <c r="V545" s="3" t="s">
        <v>2723</v>
      </c>
      <c r="W545" t="s">
        <v>74</v>
      </c>
      <c r="X545" t="s">
        <v>74</v>
      </c>
      <c r="Y545" t="s">
        <v>74</v>
      </c>
      <c r="Z545" t="s">
        <v>74</v>
      </c>
      <c r="AA545" t="s">
        <v>74</v>
      </c>
      <c r="AB545" t="s">
        <v>2724</v>
      </c>
      <c r="AC545" t="s">
        <v>74</v>
      </c>
      <c r="AD545" t="s">
        <v>74</v>
      </c>
      <c r="AE545" t="s">
        <v>74</v>
      </c>
      <c r="AF545" t="s">
        <v>74</v>
      </c>
      <c r="AG545" t="s">
        <v>74</v>
      </c>
      <c r="AH545" t="s">
        <v>74</v>
      </c>
      <c r="AI545" t="s">
        <v>74</v>
      </c>
      <c r="AJ545" t="s">
        <v>74</v>
      </c>
      <c r="AK545" t="s">
        <v>74</v>
      </c>
      <c r="AL545" t="s">
        <v>74</v>
      </c>
      <c r="AM545" t="s">
        <v>74</v>
      </c>
      <c r="AN545" t="s">
        <v>74</v>
      </c>
      <c r="AO545" t="s">
        <v>614</v>
      </c>
      <c r="AP545" t="s">
        <v>615</v>
      </c>
      <c r="AQ545" t="s">
        <v>74</v>
      </c>
      <c r="AR545" t="s">
        <v>74</v>
      </c>
      <c r="AS545" t="s">
        <v>74</v>
      </c>
      <c r="AT545" t="s">
        <v>213</v>
      </c>
      <c r="AU545">
        <v>2023</v>
      </c>
      <c r="AV545">
        <v>129</v>
      </c>
      <c r="AW545">
        <v>11</v>
      </c>
      <c r="AX545" t="s">
        <v>74</v>
      </c>
      <c r="AY545" t="s">
        <v>74</v>
      </c>
      <c r="AZ545" t="s">
        <v>74</v>
      </c>
      <c r="BA545" t="s">
        <v>74</v>
      </c>
      <c r="BB545">
        <v>612</v>
      </c>
      <c r="BC545">
        <v>621</v>
      </c>
      <c r="BD545" t="s">
        <v>74</v>
      </c>
      <c r="BE545" t="s">
        <v>2725</v>
      </c>
      <c r="BF545" t="str">
        <f>HYPERLINK("http://dx.doi.org/10.1111/eth.13397","http://dx.doi.org/10.1111/eth.13397")</f>
        <v>http://dx.doi.org/10.1111/eth.13397</v>
      </c>
      <c r="BG545" t="s">
        <v>74</v>
      </c>
      <c r="BH545" t="s">
        <v>2726</v>
      </c>
      <c r="BI545" t="s">
        <v>74</v>
      </c>
      <c r="BJ545" t="s">
        <v>74</v>
      </c>
      <c r="BK545" t="s">
        <v>74</v>
      </c>
      <c r="BL545" t="s">
        <v>74</v>
      </c>
      <c r="BM545" t="s">
        <v>74</v>
      </c>
      <c r="BN545" t="s">
        <v>74</v>
      </c>
      <c r="BO545" t="s">
        <v>74</v>
      </c>
      <c r="BP545" t="s">
        <v>74</v>
      </c>
      <c r="BQ545" t="s">
        <v>74</v>
      </c>
      <c r="BR545" t="s">
        <v>74</v>
      </c>
      <c r="BS545" t="s">
        <v>2727</v>
      </c>
      <c r="BT545" t="str">
        <f>HYPERLINK("https%3A%2F%2Fwww.webofscience.com%2Fwos%2Fwoscc%2Ffull-record%2FWOS:001033519800001","View Full Record in Web of Science")</f>
        <v>View Full Record in Web of Science</v>
      </c>
    </row>
    <row r="546" spans="1:72" x14ac:dyDescent="0.4">
      <c r="A546" t="s">
        <v>72</v>
      </c>
      <c r="B546" t="s">
        <v>3665</v>
      </c>
      <c r="C546" t="s">
        <v>74</v>
      </c>
      <c r="D546" t="s">
        <v>74</v>
      </c>
      <c r="E546" t="s">
        <v>74</v>
      </c>
      <c r="F546" t="s">
        <v>3666</v>
      </c>
      <c r="G546" t="s">
        <v>74</v>
      </c>
      <c r="H546" t="s">
        <v>74</v>
      </c>
      <c r="I546" t="s">
        <v>3667</v>
      </c>
      <c r="J546" t="s">
        <v>475</v>
      </c>
      <c r="K546" t="s">
        <v>74</v>
      </c>
      <c r="L546" t="s">
        <v>74</v>
      </c>
      <c r="M546" t="s">
        <v>74</v>
      </c>
      <c r="N546" t="s">
        <v>74</v>
      </c>
      <c r="O546" t="s">
        <v>74</v>
      </c>
      <c r="P546" t="s">
        <v>74</v>
      </c>
      <c r="Q546" t="s">
        <v>74</v>
      </c>
      <c r="R546" t="s">
        <v>74</v>
      </c>
      <c r="S546" t="s">
        <v>74</v>
      </c>
      <c r="T546" t="s">
        <v>74</v>
      </c>
      <c r="U546" t="s">
        <v>74</v>
      </c>
      <c r="V546" s="3" t="s">
        <v>3668</v>
      </c>
      <c r="W546" t="s">
        <v>74</v>
      </c>
      <c r="X546" t="s">
        <v>74</v>
      </c>
      <c r="Y546" t="s">
        <v>74</v>
      </c>
      <c r="Z546" t="s">
        <v>74</v>
      </c>
      <c r="AA546" t="s">
        <v>3669</v>
      </c>
      <c r="AB546" t="s">
        <v>3670</v>
      </c>
      <c r="AC546" t="s">
        <v>74</v>
      </c>
      <c r="AD546" t="s">
        <v>74</v>
      </c>
      <c r="AE546" t="s">
        <v>74</v>
      </c>
      <c r="AF546" t="s">
        <v>74</v>
      </c>
      <c r="AG546" t="s">
        <v>74</v>
      </c>
      <c r="AH546" t="s">
        <v>74</v>
      </c>
      <c r="AI546" t="s">
        <v>74</v>
      </c>
      <c r="AJ546" t="s">
        <v>74</v>
      </c>
      <c r="AK546" t="s">
        <v>74</v>
      </c>
      <c r="AL546" t="s">
        <v>74</v>
      </c>
      <c r="AM546" t="s">
        <v>74</v>
      </c>
      <c r="AN546" t="s">
        <v>74</v>
      </c>
      <c r="AO546" t="s">
        <v>477</v>
      </c>
      <c r="AP546" t="s">
        <v>74</v>
      </c>
      <c r="AQ546" t="s">
        <v>74</v>
      </c>
      <c r="AR546" t="s">
        <v>74</v>
      </c>
      <c r="AS546" t="s">
        <v>74</v>
      </c>
      <c r="AT546" t="s">
        <v>3671</v>
      </c>
      <c r="AU546">
        <v>2012</v>
      </c>
      <c r="AV546">
        <v>175</v>
      </c>
      <c r="AW546">
        <v>2</v>
      </c>
      <c r="AX546" t="s">
        <v>74</v>
      </c>
      <c r="AY546" t="s">
        <v>74</v>
      </c>
      <c r="AZ546" t="s">
        <v>74</v>
      </c>
      <c r="BA546" t="s">
        <v>74</v>
      </c>
      <c r="BB546">
        <v>290</v>
      </c>
      <c r="BC546">
        <v>296</v>
      </c>
      <c r="BD546" t="s">
        <v>74</v>
      </c>
      <c r="BE546" t="s">
        <v>3672</v>
      </c>
      <c r="BF546" t="str">
        <f>HYPERLINK("http://dx.doi.org/10.1016/j.ygcen.2011.11.022","http://dx.doi.org/10.1016/j.ygcen.2011.11.022")</f>
        <v>http://dx.doi.org/10.1016/j.ygcen.2011.11.022</v>
      </c>
      <c r="BG546" t="s">
        <v>74</v>
      </c>
      <c r="BH546" t="s">
        <v>74</v>
      </c>
      <c r="BI546" t="s">
        <v>74</v>
      </c>
      <c r="BJ546" t="s">
        <v>74</v>
      </c>
      <c r="BK546" t="s">
        <v>74</v>
      </c>
      <c r="BL546" t="s">
        <v>74</v>
      </c>
      <c r="BM546" t="s">
        <v>74</v>
      </c>
      <c r="BN546">
        <v>22137910</v>
      </c>
      <c r="BO546" t="s">
        <v>74</v>
      </c>
      <c r="BP546" t="s">
        <v>74</v>
      </c>
      <c r="BQ546" t="s">
        <v>74</v>
      </c>
      <c r="BR546" t="s">
        <v>74</v>
      </c>
      <c r="BS546" t="s">
        <v>3673</v>
      </c>
      <c r="BT546" t="str">
        <f>HYPERLINK("https%3A%2F%2Fwww.webofscience.com%2Fwos%2Fwoscc%2Ffull-record%2FWOS:000299137900009","View Full Record in Web of Science")</f>
        <v>View Full Record in Web of Science</v>
      </c>
    </row>
    <row r="547" spans="1:72" x14ac:dyDescent="0.4">
      <c r="A547" t="s">
        <v>72</v>
      </c>
      <c r="B547" t="s">
        <v>4573</v>
      </c>
      <c r="C547" t="s">
        <v>74</v>
      </c>
      <c r="D547" t="s">
        <v>74</v>
      </c>
      <c r="E547" t="s">
        <v>74</v>
      </c>
      <c r="F547" t="s">
        <v>4573</v>
      </c>
      <c r="G547" t="s">
        <v>74</v>
      </c>
      <c r="H547" t="s">
        <v>74</v>
      </c>
      <c r="I547" t="s">
        <v>4574</v>
      </c>
      <c r="J547" t="s">
        <v>140</v>
      </c>
      <c r="K547" t="s">
        <v>74</v>
      </c>
      <c r="L547" t="s">
        <v>74</v>
      </c>
      <c r="M547" t="s">
        <v>74</v>
      </c>
      <c r="N547" t="s">
        <v>74</v>
      </c>
      <c r="O547" t="s">
        <v>74</v>
      </c>
      <c r="P547" t="s">
        <v>74</v>
      </c>
      <c r="Q547" t="s">
        <v>74</v>
      </c>
      <c r="R547" t="s">
        <v>74</v>
      </c>
      <c r="S547" t="s">
        <v>74</v>
      </c>
      <c r="T547" t="s">
        <v>74</v>
      </c>
      <c r="U547" t="s">
        <v>74</v>
      </c>
      <c r="V547" s="3" t="s">
        <v>4575</v>
      </c>
      <c r="W547" t="s">
        <v>74</v>
      </c>
      <c r="X547" t="s">
        <v>74</v>
      </c>
      <c r="Y547" t="s">
        <v>74</v>
      </c>
      <c r="Z547" t="s">
        <v>74</v>
      </c>
      <c r="AA547" t="s">
        <v>74</v>
      </c>
      <c r="AB547" t="s">
        <v>74</v>
      </c>
      <c r="AC547" t="s">
        <v>74</v>
      </c>
      <c r="AD547" t="s">
        <v>74</v>
      </c>
      <c r="AE547" t="s">
        <v>74</v>
      </c>
      <c r="AF547" t="s">
        <v>74</v>
      </c>
      <c r="AG547" t="s">
        <v>74</v>
      </c>
      <c r="AH547" t="s">
        <v>74</v>
      </c>
      <c r="AI547" t="s">
        <v>74</v>
      </c>
      <c r="AJ547" t="s">
        <v>74</v>
      </c>
      <c r="AK547" t="s">
        <v>74</v>
      </c>
      <c r="AL547" t="s">
        <v>74</v>
      </c>
      <c r="AM547" t="s">
        <v>74</v>
      </c>
      <c r="AN547" t="s">
        <v>74</v>
      </c>
      <c r="AO547" t="s">
        <v>143</v>
      </c>
      <c r="AP547" t="s">
        <v>144</v>
      </c>
      <c r="AQ547" t="s">
        <v>74</v>
      </c>
      <c r="AR547" t="s">
        <v>74</v>
      </c>
      <c r="AS547" t="s">
        <v>74</v>
      </c>
      <c r="AT547" t="s">
        <v>74</v>
      </c>
      <c r="AU547">
        <v>1980</v>
      </c>
      <c r="AV547">
        <v>28</v>
      </c>
      <c r="AW547" t="s">
        <v>213</v>
      </c>
      <c r="AX547" t="s">
        <v>74</v>
      </c>
      <c r="AY547" t="s">
        <v>74</v>
      </c>
      <c r="AZ547" t="s">
        <v>74</v>
      </c>
      <c r="BA547" t="s">
        <v>74</v>
      </c>
      <c r="BB547">
        <v>1230</v>
      </c>
      <c r="BC547">
        <v>1238</v>
      </c>
      <c r="BD547" t="s">
        <v>74</v>
      </c>
      <c r="BE547" t="s">
        <v>4576</v>
      </c>
      <c r="BF547" t="str">
        <f>HYPERLINK("http://dx.doi.org/10.1016/S0003-3472(80)80111-4","http://dx.doi.org/10.1016/S0003-3472(80)80111-4")</f>
        <v>http://dx.doi.org/10.1016/S0003-3472(80)80111-4</v>
      </c>
      <c r="BG547" t="s">
        <v>74</v>
      </c>
      <c r="BH547" t="s">
        <v>74</v>
      </c>
      <c r="BI547" t="s">
        <v>74</v>
      </c>
      <c r="BJ547" t="s">
        <v>74</v>
      </c>
      <c r="BK547" t="s">
        <v>74</v>
      </c>
      <c r="BL547" t="s">
        <v>74</v>
      </c>
      <c r="BM547" t="s">
        <v>74</v>
      </c>
      <c r="BN547" t="s">
        <v>74</v>
      </c>
      <c r="BO547" t="s">
        <v>74</v>
      </c>
      <c r="BP547" t="s">
        <v>74</v>
      </c>
      <c r="BQ547" t="s">
        <v>74</v>
      </c>
      <c r="BR547" t="s">
        <v>74</v>
      </c>
      <c r="BS547" t="s">
        <v>4577</v>
      </c>
      <c r="BT547" t="str">
        <f>HYPERLINK("https%3A%2F%2Fwww.webofscience.com%2Fwos%2Fwoscc%2Ffull-record%2FWOS:A1980KT55300026","View Full Record in Web of Science")</f>
        <v>View Full Record in Web of Science</v>
      </c>
    </row>
    <row r="548" spans="1:72" x14ac:dyDescent="0.4">
      <c r="A548" t="s">
        <v>72</v>
      </c>
      <c r="B548" t="s">
        <v>2757</v>
      </c>
      <c r="C548" t="s">
        <v>74</v>
      </c>
      <c r="D548" t="s">
        <v>74</v>
      </c>
      <c r="E548" t="s">
        <v>74</v>
      </c>
      <c r="F548" t="s">
        <v>2758</v>
      </c>
      <c r="G548" t="s">
        <v>74</v>
      </c>
      <c r="H548" t="s">
        <v>74</v>
      </c>
      <c r="I548" t="s">
        <v>2759</v>
      </c>
      <c r="J548" t="s">
        <v>333</v>
      </c>
      <c r="K548" t="s">
        <v>74</v>
      </c>
      <c r="L548" t="s">
        <v>74</v>
      </c>
      <c r="M548" t="s">
        <v>74</v>
      </c>
      <c r="N548" t="s">
        <v>74</v>
      </c>
      <c r="O548" t="s">
        <v>74</v>
      </c>
      <c r="P548" t="s">
        <v>74</v>
      </c>
      <c r="Q548" t="s">
        <v>74</v>
      </c>
      <c r="R548" t="s">
        <v>74</v>
      </c>
      <c r="S548" t="s">
        <v>74</v>
      </c>
      <c r="T548" t="s">
        <v>74</v>
      </c>
      <c r="U548" t="s">
        <v>74</v>
      </c>
      <c r="V548" s="3" t="s">
        <v>2760</v>
      </c>
      <c r="W548" t="s">
        <v>74</v>
      </c>
      <c r="X548" t="s">
        <v>74</v>
      </c>
      <c r="Y548" t="s">
        <v>74</v>
      </c>
      <c r="Z548" t="s">
        <v>74</v>
      </c>
      <c r="AA548" t="s">
        <v>2761</v>
      </c>
      <c r="AB548" t="s">
        <v>2762</v>
      </c>
      <c r="AC548" t="s">
        <v>74</v>
      </c>
      <c r="AD548" t="s">
        <v>74</v>
      </c>
      <c r="AE548" t="s">
        <v>74</v>
      </c>
      <c r="AF548" t="s">
        <v>74</v>
      </c>
      <c r="AG548" t="s">
        <v>74</v>
      </c>
      <c r="AH548" t="s">
        <v>74</v>
      </c>
      <c r="AI548" t="s">
        <v>74</v>
      </c>
      <c r="AJ548" t="s">
        <v>74</v>
      </c>
      <c r="AK548" t="s">
        <v>74</v>
      </c>
      <c r="AL548" t="s">
        <v>74</v>
      </c>
      <c r="AM548" t="s">
        <v>74</v>
      </c>
      <c r="AN548" t="s">
        <v>74</v>
      </c>
      <c r="AO548" t="s">
        <v>337</v>
      </c>
      <c r="AP548" t="s">
        <v>338</v>
      </c>
      <c r="AQ548" t="s">
        <v>74</v>
      </c>
      <c r="AR548" t="s">
        <v>74</v>
      </c>
      <c r="AS548" t="s">
        <v>74</v>
      </c>
      <c r="AT548" t="s">
        <v>1038</v>
      </c>
      <c r="AU548">
        <v>2017</v>
      </c>
      <c r="AV548">
        <v>28</v>
      </c>
      <c r="AW548">
        <v>2</v>
      </c>
      <c r="AX548" t="s">
        <v>74</v>
      </c>
      <c r="AY548" t="s">
        <v>74</v>
      </c>
      <c r="AZ548" t="s">
        <v>74</v>
      </c>
      <c r="BA548" t="s">
        <v>74</v>
      </c>
      <c r="BB548">
        <v>597</v>
      </c>
      <c r="BC548">
        <v>606</v>
      </c>
      <c r="BD548" t="s">
        <v>74</v>
      </c>
      <c r="BE548" t="s">
        <v>2763</v>
      </c>
      <c r="BF548" t="str">
        <f>HYPERLINK("http://dx.doi.org/10.1093/beheco/arw186","http://dx.doi.org/10.1093/beheco/arw186")</f>
        <v>http://dx.doi.org/10.1093/beheco/arw186</v>
      </c>
      <c r="BG548" t="s">
        <v>74</v>
      </c>
      <c r="BH548" t="s">
        <v>74</v>
      </c>
      <c r="BI548" t="s">
        <v>74</v>
      </c>
      <c r="BJ548" t="s">
        <v>74</v>
      </c>
      <c r="BK548" t="s">
        <v>74</v>
      </c>
      <c r="BL548" t="s">
        <v>74</v>
      </c>
      <c r="BM548" t="s">
        <v>74</v>
      </c>
      <c r="BN548" t="s">
        <v>74</v>
      </c>
      <c r="BO548" t="s">
        <v>74</v>
      </c>
      <c r="BP548" t="s">
        <v>74</v>
      </c>
      <c r="BQ548" t="s">
        <v>74</v>
      </c>
      <c r="BR548" t="s">
        <v>74</v>
      </c>
      <c r="BS548" t="s">
        <v>2764</v>
      </c>
      <c r="BT548" t="str">
        <f>HYPERLINK("https%3A%2F%2Fwww.webofscience.com%2Fwos%2Fwoscc%2Ffull-record%2FWOS:000401769000036","View Full Record in Web of Science")</f>
        <v>View Full Record in Web of Science</v>
      </c>
    </row>
    <row r="549" spans="1:72" x14ac:dyDescent="0.4">
      <c r="A549" t="s">
        <v>72</v>
      </c>
      <c r="B549" t="s">
        <v>4886</v>
      </c>
      <c r="C549" t="s">
        <v>74</v>
      </c>
      <c r="D549" t="s">
        <v>74</v>
      </c>
      <c r="E549" t="s">
        <v>74</v>
      </c>
      <c r="F549" t="s">
        <v>4886</v>
      </c>
      <c r="G549" t="s">
        <v>74</v>
      </c>
      <c r="H549" t="s">
        <v>74</v>
      </c>
      <c r="I549" t="s">
        <v>4887</v>
      </c>
      <c r="J549" t="s">
        <v>509</v>
      </c>
      <c r="K549" t="s">
        <v>74</v>
      </c>
      <c r="L549" t="s">
        <v>74</v>
      </c>
      <c r="M549" t="s">
        <v>74</v>
      </c>
      <c r="N549" t="s">
        <v>74</v>
      </c>
      <c r="O549" t="s">
        <v>74</v>
      </c>
      <c r="P549" t="s">
        <v>74</v>
      </c>
      <c r="Q549" t="s">
        <v>74</v>
      </c>
      <c r="R549" t="s">
        <v>74</v>
      </c>
      <c r="S549" t="s">
        <v>74</v>
      </c>
      <c r="T549" t="s">
        <v>74</v>
      </c>
      <c r="U549" t="s">
        <v>74</v>
      </c>
      <c r="V549" s="3" t="s">
        <v>4888</v>
      </c>
      <c r="W549" t="s">
        <v>74</v>
      </c>
      <c r="X549" t="s">
        <v>74</v>
      </c>
      <c r="Y549" t="s">
        <v>74</v>
      </c>
      <c r="Z549" t="s">
        <v>74</v>
      </c>
      <c r="AA549" t="s">
        <v>74</v>
      </c>
      <c r="AB549" t="s">
        <v>4889</v>
      </c>
      <c r="AC549" t="s">
        <v>74</v>
      </c>
      <c r="AD549" t="s">
        <v>74</v>
      </c>
      <c r="AE549" t="s">
        <v>74</v>
      </c>
      <c r="AF549" t="s">
        <v>74</v>
      </c>
      <c r="AG549" t="s">
        <v>74</v>
      </c>
      <c r="AH549" t="s">
        <v>74</v>
      </c>
      <c r="AI549" t="s">
        <v>74</v>
      </c>
      <c r="AJ549" t="s">
        <v>74</v>
      </c>
      <c r="AK549" t="s">
        <v>74</v>
      </c>
      <c r="AL549" t="s">
        <v>74</v>
      </c>
      <c r="AM549" t="s">
        <v>74</v>
      </c>
      <c r="AN549" t="s">
        <v>74</v>
      </c>
      <c r="AO549" t="s">
        <v>511</v>
      </c>
      <c r="AP549" t="s">
        <v>74</v>
      </c>
      <c r="AQ549" t="s">
        <v>74</v>
      </c>
      <c r="AR549" t="s">
        <v>74</v>
      </c>
      <c r="AS549" t="s">
        <v>74</v>
      </c>
      <c r="AT549" t="s">
        <v>123</v>
      </c>
      <c r="AU549">
        <v>1995</v>
      </c>
      <c r="AV549">
        <v>29</v>
      </c>
      <c r="AW549">
        <v>1</v>
      </c>
      <c r="AX549" t="s">
        <v>74</v>
      </c>
      <c r="AY549" t="s">
        <v>74</v>
      </c>
      <c r="AZ549" t="s">
        <v>74</v>
      </c>
      <c r="BA549" t="s">
        <v>74</v>
      </c>
      <c r="BB549">
        <v>85</v>
      </c>
      <c r="BC549">
        <v>105</v>
      </c>
      <c r="BD549" t="s">
        <v>74</v>
      </c>
      <c r="BE549" t="s">
        <v>4890</v>
      </c>
      <c r="BF549" t="str">
        <f>HYPERLINK("http://dx.doi.org/10.1006/hbeh.1995.1007","http://dx.doi.org/10.1006/hbeh.1995.1007")</f>
        <v>http://dx.doi.org/10.1006/hbeh.1995.1007</v>
      </c>
      <c r="BG549" t="s">
        <v>74</v>
      </c>
      <c r="BH549" t="s">
        <v>74</v>
      </c>
      <c r="BI549" t="s">
        <v>74</v>
      </c>
      <c r="BJ549" t="s">
        <v>74</v>
      </c>
      <c r="BK549" t="s">
        <v>74</v>
      </c>
      <c r="BL549" t="s">
        <v>74</v>
      </c>
      <c r="BM549" t="s">
        <v>74</v>
      </c>
      <c r="BN549">
        <v>7782065</v>
      </c>
      <c r="BO549" t="s">
        <v>74</v>
      </c>
      <c r="BP549" t="s">
        <v>74</v>
      </c>
      <c r="BQ549" t="s">
        <v>74</v>
      </c>
      <c r="BR549" t="s">
        <v>74</v>
      </c>
      <c r="BS549" t="s">
        <v>4891</v>
      </c>
      <c r="BT549" t="str">
        <f>HYPERLINK("https%3A%2F%2Fwww.webofscience.com%2Fwos%2Fwoscc%2Ffull-record%2FWOS:A1995QN96000007","View Full Record in Web of Science")</f>
        <v>View Full Record in Web of Science</v>
      </c>
    </row>
    <row r="550" spans="1:72" x14ac:dyDescent="0.4">
      <c r="A550" t="s">
        <v>72</v>
      </c>
      <c r="B550" t="s">
        <v>4585</v>
      </c>
      <c r="C550" t="s">
        <v>74</v>
      </c>
      <c r="D550" t="s">
        <v>74</v>
      </c>
      <c r="E550" t="s">
        <v>74</v>
      </c>
      <c r="F550" t="s">
        <v>4586</v>
      </c>
      <c r="G550" t="s">
        <v>74</v>
      </c>
      <c r="H550" t="s">
        <v>74</v>
      </c>
      <c r="I550" t="s">
        <v>4587</v>
      </c>
      <c r="J550" t="s">
        <v>218</v>
      </c>
      <c r="K550" t="s">
        <v>74</v>
      </c>
      <c r="L550" t="s">
        <v>74</v>
      </c>
      <c r="M550" t="s">
        <v>74</v>
      </c>
      <c r="N550" t="s">
        <v>74</v>
      </c>
      <c r="O550" t="s">
        <v>74</v>
      </c>
      <c r="P550" t="s">
        <v>74</v>
      </c>
      <c r="Q550" t="s">
        <v>74</v>
      </c>
      <c r="R550" t="s">
        <v>74</v>
      </c>
      <c r="S550" t="s">
        <v>74</v>
      </c>
      <c r="T550" t="s">
        <v>74</v>
      </c>
      <c r="U550" t="s">
        <v>74</v>
      </c>
      <c r="V550" s="3" t="s">
        <v>4588</v>
      </c>
      <c r="W550" t="s">
        <v>74</v>
      </c>
      <c r="X550" t="s">
        <v>74</v>
      </c>
      <c r="Y550" t="s">
        <v>74</v>
      </c>
      <c r="Z550" t="s">
        <v>74</v>
      </c>
      <c r="AA550" t="s">
        <v>4589</v>
      </c>
      <c r="AB550" t="s">
        <v>4590</v>
      </c>
      <c r="AC550" t="s">
        <v>74</v>
      </c>
      <c r="AD550" t="s">
        <v>74</v>
      </c>
      <c r="AE550" t="s">
        <v>74</v>
      </c>
      <c r="AF550" t="s">
        <v>74</v>
      </c>
      <c r="AG550" t="s">
        <v>74</v>
      </c>
      <c r="AH550" t="s">
        <v>74</v>
      </c>
      <c r="AI550" t="s">
        <v>74</v>
      </c>
      <c r="AJ550" t="s">
        <v>74</v>
      </c>
      <c r="AK550" t="s">
        <v>74</v>
      </c>
      <c r="AL550" t="s">
        <v>74</v>
      </c>
      <c r="AM550" t="s">
        <v>74</v>
      </c>
      <c r="AN550" t="s">
        <v>74</v>
      </c>
      <c r="AO550" t="s">
        <v>221</v>
      </c>
      <c r="AP550" t="s">
        <v>222</v>
      </c>
      <c r="AQ550" t="s">
        <v>74</v>
      </c>
      <c r="AR550" t="s">
        <v>74</v>
      </c>
      <c r="AS550" t="s">
        <v>74</v>
      </c>
      <c r="AT550" t="s">
        <v>134</v>
      </c>
      <c r="AU550">
        <v>2020</v>
      </c>
      <c r="AV550">
        <v>33</v>
      </c>
      <c r="AW550">
        <v>5</v>
      </c>
      <c r="AX550" t="s">
        <v>74</v>
      </c>
      <c r="AY550" t="s">
        <v>74</v>
      </c>
      <c r="AZ550" t="s">
        <v>74</v>
      </c>
      <c r="BA550" t="s">
        <v>74</v>
      </c>
      <c r="BB550">
        <v>727</v>
      </c>
      <c r="BC550">
        <v>733</v>
      </c>
      <c r="BD550" t="s">
        <v>74</v>
      </c>
      <c r="BE550" t="s">
        <v>4591</v>
      </c>
      <c r="BF550" t="str">
        <f>HYPERLINK("http://dx.doi.org/10.1111/jeb.13607","http://dx.doi.org/10.1111/jeb.13607")</f>
        <v>http://dx.doi.org/10.1111/jeb.13607</v>
      </c>
      <c r="BG550" t="s">
        <v>74</v>
      </c>
      <c r="BH550" t="s">
        <v>74</v>
      </c>
      <c r="BI550" t="s">
        <v>74</v>
      </c>
      <c r="BJ550" t="s">
        <v>74</v>
      </c>
      <c r="BK550" t="s">
        <v>74</v>
      </c>
      <c r="BL550" t="s">
        <v>74</v>
      </c>
      <c r="BM550" t="s">
        <v>74</v>
      </c>
      <c r="BN550">
        <v>32069366</v>
      </c>
      <c r="BO550" t="s">
        <v>74</v>
      </c>
      <c r="BP550" t="s">
        <v>74</v>
      </c>
      <c r="BQ550" t="s">
        <v>74</v>
      </c>
      <c r="BR550" t="s">
        <v>74</v>
      </c>
      <c r="BS550" t="s">
        <v>4592</v>
      </c>
      <c r="BT550" t="str">
        <f>HYPERLINK("https%3A%2F%2Fwww.webofscience.com%2Fwos%2Fwoscc%2Ffull-record%2FWOS:000531419500014","View Full Record in Web of Science")</f>
        <v>View Full Record in Web of Science</v>
      </c>
    </row>
    <row r="551" spans="1:72" x14ac:dyDescent="0.4">
      <c r="A551" t="s">
        <v>72</v>
      </c>
      <c r="B551" t="s">
        <v>6238</v>
      </c>
      <c r="C551" t="s">
        <v>74</v>
      </c>
      <c r="D551" t="s">
        <v>74</v>
      </c>
      <c r="E551" t="s">
        <v>74</v>
      </c>
      <c r="F551" t="s">
        <v>6238</v>
      </c>
      <c r="G551" t="s">
        <v>74</v>
      </c>
      <c r="H551" t="s">
        <v>74</v>
      </c>
      <c r="I551" t="s">
        <v>6239</v>
      </c>
      <c r="J551" t="s">
        <v>6240</v>
      </c>
      <c r="K551" t="s">
        <v>74</v>
      </c>
      <c r="L551" t="s">
        <v>74</v>
      </c>
      <c r="M551" t="s">
        <v>74</v>
      </c>
      <c r="N551" t="s">
        <v>74</v>
      </c>
      <c r="O551" t="s">
        <v>74</v>
      </c>
      <c r="P551" t="s">
        <v>74</v>
      </c>
      <c r="Q551" t="s">
        <v>74</v>
      </c>
      <c r="R551" t="s">
        <v>74</v>
      </c>
      <c r="S551" t="s">
        <v>74</v>
      </c>
      <c r="T551" t="s">
        <v>74</v>
      </c>
      <c r="U551" t="s">
        <v>74</v>
      </c>
      <c r="V551" s="3" t="s">
        <v>6241</v>
      </c>
      <c r="W551" t="s">
        <v>74</v>
      </c>
      <c r="X551" t="s">
        <v>74</v>
      </c>
      <c r="Y551" t="s">
        <v>74</v>
      </c>
      <c r="Z551" t="s">
        <v>74</v>
      </c>
      <c r="AA551" t="s">
        <v>74</v>
      </c>
      <c r="AB551" t="s">
        <v>74</v>
      </c>
      <c r="AC551" t="s">
        <v>74</v>
      </c>
      <c r="AD551" t="s">
        <v>74</v>
      </c>
      <c r="AE551" t="s">
        <v>74</v>
      </c>
      <c r="AF551" t="s">
        <v>74</v>
      </c>
      <c r="AG551" t="s">
        <v>74</v>
      </c>
      <c r="AH551" t="s">
        <v>74</v>
      </c>
      <c r="AI551" t="s">
        <v>74</v>
      </c>
      <c r="AJ551" t="s">
        <v>74</v>
      </c>
      <c r="AK551" t="s">
        <v>74</v>
      </c>
      <c r="AL551" t="s">
        <v>74</v>
      </c>
      <c r="AM551" t="s">
        <v>74</v>
      </c>
      <c r="AN551" t="s">
        <v>74</v>
      </c>
      <c r="AO551" t="s">
        <v>6242</v>
      </c>
      <c r="AP551" t="s">
        <v>6243</v>
      </c>
      <c r="AQ551" t="s">
        <v>74</v>
      </c>
      <c r="AR551" t="s">
        <v>74</v>
      </c>
      <c r="AS551" t="s">
        <v>74</v>
      </c>
      <c r="AT551" t="s">
        <v>74</v>
      </c>
      <c r="AU551">
        <v>1983</v>
      </c>
      <c r="AV551">
        <v>33</v>
      </c>
      <c r="AW551">
        <v>2</v>
      </c>
      <c r="AX551" t="s">
        <v>74</v>
      </c>
      <c r="AY551" t="s">
        <v>74</v>
      </c>
      <c r="AZ551" t="s">
        <v>74</v>
      </c>
      <c r="BA551" t="s">
        <v>74</v>
      </c>
      <c r="BB551">
        <v>353</v>
      </c>
      <c r="BC551">
        <v>362</v>
      </c>
      <c r="BD551" t="s">
        <v>74</v>
      </c>
      <c r="BE551" t="s">
        <v>74</v>
      </c>
      <c r="BF551" t="s">
        <v>74</v>
      </c>
      <c r="BG551" t="s">
        <v>74</v>
      </c>
      <c r="BH551" t="s">
        <v>74</v>
      </c>
      <c r="BI551" t="s">
        <v>74</v>
      </c>
      <c r="BJ551" t="s">
        <v>74</v>
      </c>
      <c r="BK551" t="s">
        <v>74</v>
      </c>
      <c r="BL551" t="s">
        <v>74</v>
      </c>
      <c r="BM551" t="s">
        <v>74</v>
      </c>
      <c r="BN551" t="s">
        <v>74</v>
      </c>
      <c r="BO551" t="s">
        <v>74</v>
      </c>
      <c r="BP551" t="s">
        <v>74</v>
      </c>
      <c r="BQ551" t="s">
        <v>74</v>
      </c>
      <c r="BR551" t="s">
        <v>74</v>
      </c>
      <c r="BS551" t="s">
        <v>6244</v>
      </c>
      <c r="BT551" t="str">
        <f>HYPERLINK("https%3A%2F%2Fwww.webofscience.com%2Fwos%2Fwoscc%2Ffull-record%2FWOS:A1983QR68900012","View Full Record in Web of Science")</f>
        <v>View Full Record in Web of Science</v>
      </c>
    </row>
    <row r="552" spans="1:72" x14ac:dyDescent="0.4">
      <c r="A552" t="s">
        <v>72</v>
      </c>
      <c r="B552" t="s">
        <v>2031</v>
      </c>
      <c r="C552" t="s">
        <v>74</v>
      </c>
      <c r="D552" t="s">
        <v>74</v>
      </c>
      <c r="E552" t="s">
        <v>74</v>
      </c>
      <c r="F552" t="s">
        <v>2032</v>
      </c>
      <c r="G552" t="s">
        <v>74</v>
      </c>
      <c r="H552" t="s">
        <v>74</v>
      </c>
      <c r="I552" t="s">
        <v>2033</v>
      </c>
      <c r="J552" t="s">
        <v>218</v>
      </c>
      <c r="K552" t="s">
        <v>74</v>
      </c>
      <c r="L552" t="s">
        <v>74</v>
      </c>
      <c r="M552" t="s">
        <v>74</v>
      </c>
      <c r="N552" t="s">
        <v>74</v>
      </c>
      <c r="O552" t="s">
        <v>74</v>
      </c>
      <c r="P552" t="s">
        <v>74</v>
      </c>
      <c r="Q552" t="s">
        <v>74</v>
      </c>
      <c r="R552" t="s">
        <v>74</v>
      </c>
      <c r="S552" t="s">
        <v>74</v>
      </c>
      <c r="T552" t="s">
        <v>74</v>
      </c>
      <c r="U552" t="s">
        <v>74</v>
      </c>
      <c r="V552" s="3" t="s">
        <v>2034</v>
      </c>
      <c r="W552" t="s">
        <v>74</v>
      </c>
      <c r="X552" t="s">
        <v>74</v>
      </c>
      <c r="Y552" t="s">
        <v>74</v>
      </c>
      <c r="Z552" t="s">
        <v>74</v>
      </c>
      <c r="AA552" t="s">
        <v>74</v>
      </c>
      <c r="AB552" t="s">
        <v>2035</v>
      </c>
      <c r="AC552" t="s">
        <v>74</v>
      </c>
      <c r="AD552" t="s">
        <v>74</v>
      </c>
      <c r="AE552" t="s">
        <v>74</v>
      </c>
      <c r="AF552" t="s">
        <v>74</v>
      </c>
      <c r="AG552" t="s">
        <v>74</v>
      </c>
      <c r="AH552" t="s">
        <v>74</v>
      </c>
      <c r="AI552" t="s">
        <v>74</v>
      </c>
      <c r="AJ552" t="s">
        <v>74</v>
      </c>
      <c r="AK552" t="s">
        <v>74</v>
      </c>
      <c r="AL552" t="s">
        <v>74</v>
      </c>
      <c r="AM552" t="s">
        <v>74</v>
      </c>
      <c r="AN552" t="s">
        <v>74</v>
      </c>
      <c r="AO552" t="s">
        <v>221</v>
      </c>
      <c r="AP552" t="s">
        <v>222</v>
      </c>
      <c r="AQ552" t="s">
        <v>74</v>
      </c>
      <c r="AR552" t="s">
        <v>74</v>
      </c>
      <c r="AS552" t="s">
        <v>74</v>
      </c>
      <c r="AT552" t="s">
        <v>2036</v>
      </c>
      <c r="AU552">
        <v>2024</v>
      </c>
      <c r="AV552" t="s">
        <v>74</v>
      </c>
      <c r="AW552" t="s">
        <v>74</v>
      </c>
      <c r="AX552" t="s">
        <v>74</v>
      </c>
      <c r="AY552" t="s">
        <v>74</v>
      </c>
      <c r="AZ552" t="s">
        <v>74</v>
      </c>
      <c r="BA552" t="s">
        <v>74</v>
      </c>
      <c r="BB552" t="s">
        <v>74</v>
      </c>
      <c r="BC552" t="s">
        <v>74</v>
      </c>
      <c r="BD552" t="s">
        <v>74</v>
      </c>
      <c r="BE552" t="s">
        <v>2037</v>
      </c>
      <c r="BF552" t="str">
        <f>HYPERLINK("http://dx.doi.org/10.1093/jeb/voae085","http://dx.doi.org/10.1093/jeb/voae085")</f>
        <v>http://dx.doi.org/10.1093/jeb/voae085</v>
      </c>
      <c r="BG552" t="s">
        <v>74</v>
      </c>
      <c r="BH552" t="s">
        <v>869</v>
      </c>
      <c r="BI552" t="s">
        <v>74</v>
      </c>
      <c r="BJ552" t="s">
        <v>74</v>
      </c>
      <c r="BK552" t="s">
        <v>74</v>
      </c>
      <c r="BL552" t="s">
        <v>74</v>
      </c>
      <c r="BM552" t="s">
        <v>74</v>
      </c>
      <c r="BN552">
        <v>38989853</v>
      </c>
      <c r="BO552" t="s">
        <v>74</v>
      </c>
      <c r="BP552" t="s">
        <v>74</v>
      </c>
      <c r="BQ552" t="s">
        <v>74</v>
      </c>
      <c r="BR552" t="s">
        <v>74</v>
      </c>
      <c r="BS552" t="s">
        <v>2038</v>
      </c>
      <c r="BT552" t="str">
        <f>HYPERLINK("https%3A%2F%2Fwww.webofscience.com%2Fwos%2Fwoscc%2Ffull-record%2FWOS:001274409500001","View Full Record in Web of Science")</f>
        <v>View Full Record in Web of Science</v>
      </c>
    </row>
    <row r="553" spans="1:72" x14ac:dyDescent="0.4">
      <c r="A553" t="s">
        <v>72</v>
      </c>
      <c r="B553" t="s">
        <v>6769</v>
      </c>
      <c r="C553" t="s">
        <v>74</v>
      </c>
      <c r="D553" t="s">
        <v>74</v>
      </c>
      <c r="E553" t="s">
        <v>74</v>
      </c>
      <c r="F553" t="s">
        <v>6770</v>
      </c>
      <c r="G553" t="s">
        <v>74</v>
      </c>
      <c r="H553" t="s">
        <v>74</v>
      </c>
      <c r="I553" t="s">
        <v>6771</v>
      </c>
      <c r="J553" t="s">
        <v>6772</v>
      </c>
      <c r="K553" t="s">
        <v>74</v>
      </c>
      <c r="L553" t="s">
        <v>74</v>
      </c>
      <c r="M553" t="s">
        <v>74</v>
      </c>
      <c r="N553" t="s">
        <v>74</v>
      </c>
      <c r="O553" t="s">
        <v>74</v>
      </c>
      <c r="P553" t="s">
        <v>74</v>
      </c>
      <c r="Q553" t="s">
        <v>74</v>
      </c>
      <c r="R553" t="s">
        <v>74</v>
      </c>
      <c r="S553" t="s">
        <v>74</v>
      </c>
      <c r="T553" t="s">
        <v>74</v>
      </c>
      <c r="U553" t="s">
        <v>74</v>
      </c>
      <c r="V553" s="3" t="s">
        <v>6773</v>
      </c>
      <c r="W553" t="s">
        <v>74</v>
      </c>
      <c r="X553" t="s">
        <v>74</v>
      </c>
      <c r="Y553" t="s">
        <v>74</v>
      </c>
      <c r="Z553" t="s">
        <v>74</v>
      </c>
      <c r="AA553" t="s">
        <v>6774</v>
      </c>
      <c r="AB553" t="s">
        <v>6775</v>
      </c>
      <c r="AC553" t="s">
        <v>74</v>
      </c>
      <c r="AD553" t="s">
        <v>74</v>
      </c>
      <c r="AE553" t="s">
        <v>74</v>
      </c>
      <c r="AF553" t="s">
        <v>74</v>
      </c>
      <c r="AG553" t="s">
        <v>74</v>
      </c>
      <c r="AH553" t="s">
        <v>74</v>
      </c>
      <c r="AI553" t="s">
        <v>74</v>
      </c>
      <c r="AJ553" t="s">
        <v>74</v>
      </c>
      <c r="AK553" t="s">
        <v>74</v>
      </c>
      <c r="AL553" t="s">
        <v>74</v>
      </c>
      <c r="AM553" t="s">
        <v>74</v>
      </c>
      <c r="AN553" t="s">
        <v>74</v>
      </c>
      <c r="AO553" t="s">
        <v>6776</v>
      </c>
      <c r="AP553" t="s">
        <v>6777</v>
      </c>
      <c r="AQ553" t="s">
        <v>74</v>
      </c>
      <c r="AR553" t="s">
        <v>74</v>
      </c>
      <c r="AS553" t="s">
        <v>74</v>
      </c>
      <c r="AT553" t="s">
        <v>964</v>
      </c>
      <c r="AU553">
        <v>2022</v>
      </c>
      <c r="AV553">
        <v>20</v>
      </c>
      <c r="AW553">
        <v>2</v>
      </c>
      <c r="AX553" t="s">
        <v>74</v>
      </c>
      <c r="AY553" t="s">
        <v>74</v>
      </c>
      <c r="AZ553" t="s">
        <v>74</v>
      </c>
      <c r="BA553" t="s">
        <v>74</v>
      </c>
      <c r="BB553" t="s">
        <v>74</v>
      </c>
      <c r="BC553" t="s">
        <v>74</v>
      </c>
      <c r="BD553" t="s">
        <v>6778</v>
      </c>
      <c r="BE553" t="s">
        <v>6779</v>
      </c>
      <c r="BF553" t="str">
        <f>HYPERLINK("http://dx.doi.org/10.1371/journal.pbio.3001529","http://dx.doi.org/10.1371/journal.pbio.3001529")</f>
        <v>http://dx.doi.org/10.1371/journal.pbio.3001529</v>
      </c>
      <c r="BG553" t="s">
        <v>74</v>
      </c>
      <c r="BH553" t="s">
        <v>74</v>
      </c>
      <c r="BI553" t="s">
        <v>74</v>
      </c>
      <c r="BJ553" t="s">
        <v>74</v>
      </c>
      <c r="BK553" t="s">
        <v>74</v>
      </c>
      <c r="BL553" t="s">
        <v>74</v>
      </c>
      <c r="BM553" t="s">
        <v>74</v>
      </c>
      <c r="BN553">
        <v>35176032</v>
      </c>
      <c r="BO553" t="s">
        <v>74</v>
      </c>
      <c r="BP553" t="s">
        <v>74</v>
      </c>
      <c r="BQ553" t="s">
        <v>74</v>
      </c>
      <c r="BR553" t="s">
        <v>74</v>
      </c>
      <c r="BS553" t="s">
        <v>6780</v>
      </c>
      <c r="BT553" t="str">
        <f>HYPERLINK("https%3A%2F%2Fwww.webofscience.com%2Fwos%2Fwoscc%2Ffull-record%2FWOS:000759890300001","View Full Record in Web of Science")</f>
        <v>View Full Record in Web of Science</v>
      </c>
    </row>
    <row r="554" spans="1:72" x14ac:dyDescent="0.4">
      <c r="A554" t="s">
        <v>72</v>
      </c>
      <c r="B554" t="s">
        <v>3920</v>
      </c>
      <c r="C554" t="s">
        <v>74</v>
      </c>
      <c r="D554" t="s">
        <v>74</v>
      </c>
      <c r="E554" t="s">
        <v>74</v>
      </c>
      <c r="F554" t="s">
        <v>3921</v>
      </c>
      <c r="G554" t="s">
        <v>74</v>
      </c>
      <c r="H554" t="s">
        <v>74</v>
      </c>
      <c r="I554" t="s">
        <v>3922</v>
      </c>
      <c r="J554" t="s">
        <v>108</v>
      </c>
      <c r="K554" t="s">
        <v>74</v>
      </c>
      <c r="L554" t="s">
        <v>74</v>
      </c>
      <c r="M554" t="s">
        <v>74</v>
      </c>
      <c r="N554" t="s">
        <v>74</v>
      </c>
      <c r="O554" t="s">
        <v>74</v>
      </c>
      <c r="P554" t="s">
        <v>74</v>
      </c>
      <c r="Q554" t="s">
        <v>74</v>
      </c>
      <c r="R554" t="s">
        <v>74</v>
      </c>
      <c r="S554" t="s">
        <v>74</v>
      </c>
      <c r="T554" t="s">
        <v>74</v>
      </c>
      <c r="U554" t="s">
        <v>74</v>
      </c>
      <c r="V554" s="3" t="s">
        <v>3923</v>
      </c>
      <c r="W554" t="s">
        <v>74</v>
      </c>
      <c r="X554" t="s">
        <v>74</v>
      </c>
      <c r="Y554" t="s">
        <v>74</v>
      </c>
      <c r="Z554" t="s">
        <v>74</v>
      </c>
      <c r="AA554" t="s">
        <v>3924</v>
      </c>
      <c r="AB554" t="s">
        <v>3925</v>
      </c>
      <c r="AC554" t="s">
        <v>74</v>
      </c>
      <c r="AD554" t="s">
        <v>74</v>
      </c>
      <c r="AE554" t="s">
        <v>74</v>
      </c>
      <c r="AF554" t="s">
        <v>74</v>
      </c>
      <c r="AG554" t="s">
        <v>74</v>
      </c>
      <c r="AH554" t="s">
        <v>74</v>
      </c>
      <c r="AI554" t="s">
        <v>74</v>
      </c>
      <c r="AJ554" t="s">
        <v>74</v>
      </c>
      <c r="AK554" t="s">
        <v>74</v>
      </c>
      <c r="AL554" t="s">
        <v>74</v>
      </c>
      <c r="AM554" t="s">
        <v>74</v>
      </c>
      <c r="AN554" t="s">
        <v>74</v>
      </c>
      <c r="AO554" t="s">
        <v>111</v>
      </c>
      <c r="AP554" t="s">
        <v>112</v>
      </c>
      <c r="AQ554" t="s">
        <v>74</v>
      </c>
      <c r="AR554" t="s">
        <v>74</v>
      </c>
      <c r="AS554" t="s">
        <v>74</v>
      </c>
      <c r="AT554" t="s">
        <v>3926</v>
      </c>
      <c r="AU554">
        <v>2014</v>
      </c>
      <c r="AV554">
        <v>281</v>
      </c>
      <c r="AW554">
        <v>1793</v>
      </c>
      <c r="AX554" t="s">
        <v>74</v>
      </c>
      <c r="AY554" t="s">
        <v>74</v>
      </c>
      <c r="AZ554" t="s">
        <v>74</v>
      </c>
      <c r="BA554" t="s">
        <v>74</v>
      </c>
      <c r="BB554" t="s">
        <v>74</v>
      </c>
      <c r="BC554" t="s">
        <v>74</v>
      </c>
      <c r="BD554">
        <v>20141794</v>
      </c>
      <c r="BE554" t="s">
        <v>3927</v>
      </c>
      <c r="BF554" t="str">
        <f>HYPERLINK("http://dx.doi.org/10.1098/rspb.2014.1794","http://dx.doi.org/10.1098/rspb.2014.1794")</f>
        <v>http://dx.doi.org/10.1098/rspb.2014.1794</v>
      </c>
      <c r="BG554" t="s">
        <v>74</v>
      </c>
      <c r="BH554" t="s">
        <v>74</v>
      </c>
      <c r="BI554" t="s">
        <v>74</v>
      </c>
      <c r="BJ554" t="s">
        <v>74</v>
      </c>
      <c r="BK554" t="s">
        <v>74</v>
      </c>
      <c r="BL554" t="s">
        <v>74</v>
      </c>
      <c r="BM554" t="s">
        <v>74</v>
      </c>
      <c r="BN554">
        <v>25209943</v>
      </c>
      <c r="BO554" t="s">
        <v>74</v>
      </c>
      <c r="BP554" t="s">
        <v>74</v>
      </c>
      <c r="BQ554" t="s">
        <v>74</v>
      </c>
      <c r="BR554" t="s">
        <v>74</v>
      </c>
      <c r="BS554" t="s">
        <v>3928</v>
      </c>
      <c r="BT554" t="str">
        <f>HYPERLINK("https%3A%2F%2Fwww.webofscience.com%2Fwos%2Fwoscc%2Ffull-record%2FWOS:000341560300025","View Full Record in Web of Science")</f>
        <v>View Full Record in Web of Science</v>
      </c>
    </row>
    <row r="555" spans="1:72" x14ac:dyDescent="0.4">
      <c r="A555" t="s">
        <v>72</v>
      </c>
      <c r="B555" t="s">
        <v>737</v>
      </c>
      <c r="C555" t="s">
        <v>74</v>
      </c>
      <c r="D555" t="s">
        <v>74</v>
      </c>
      <c r="E555" t="s">
        <v>74</v>
      </c>
      <c r="F555" t="s">
        <v>738</v>
      </c>
      <c r="G555" t="s">
        <v>74</v>
      </c>
      <c r="H555" t="s">
        <v>74</v>
      </c>
      <c r="I555" t="s">
        <v>739</v>
      </c>
      <c r="J555" t="s">
        <v>408</v>
      </c>
      <c r="K555" t="s">
        <v>74</v>
      </c>
      <c r="L555" t="s">
        <v>74</v>
      </c>
      <c r="M555" t="s">
        <v>74</v>
      </c>
      <c r="N555" t="s">
        <v>74</v>
      </c>
      <c r="O555" t="s">
        <v>74</v>
      </c>
      <c r="P555" t="s">
        <v>74</v>
      </c>
      <c r="Q555" t="s">
        <v>74</v>
      </c>
      <c r="R555" t="s">
        <v>74</v>
      </c>
      <c r="S555" t="s">
        <v>74</v>
      </c>
      <c r="T555" t="s">
        <v>74</v>
      </c>
      <c r="U555" t="s">
        <v>74</v>
      </c>
      <c r="V555" s="3" t="s">
        <v>740</v>
      </c>
      <c r="W555" t="s">
        <v>74</v>
      </c>
      <c r="X555" t="s">
        <v>74</v>
      </c>
      <c r="Y555" t="s">
        <v>74</v>
      </c>
      <c r="Z555" t="s">
        <v>74</v>
      </c>
      <c r="AA555" t="s">
        <v>74</v>
      </c>
      <c r="AB555" t="s">
        <v>74</v>
      </c>
      <c r="AC555" t="s">
        <v>74</v>
      </c>
      <c r="AD555" t="s">
        <v>74</v>
      </c>
      <c r="AE555" t="s">
        <v>74</v>
      </c>
      <c r="AF555" t="s">
        <v>74</v>
      </c>
      <c r="AG555" t="s">
        <v>74</v>
      </c>
      <c r="AH555" t="s">
        <v>74</v>
      </c>
      <c r="AI555" t="s">
        <v>74</v>
      </c>
      <c r="AJ555" t="s">
        <v>74</v>
      </c>
      <c r="AK555" t="s">
        <v>74</v>
      </c>
      <c r="AL555" t="s">
        <v>74</v>
      </c>
      <c r="AM555" t="s">
        <v>74</v>
      </c>
      <c r="AN555" t="s">
        <v>74</v>
      </c>
      <c r="AO555" t="s">
        <v>412</v>
      </c>
      <c r="AP555" t="s">
        <v>413</v>
      </c>
      <c r="AQ555" t="s">
        <v>74</v>
      </c>
      <c r="AR555" t="s">
        <v>74</v>
      </c>
      <c r="AS555" t="s">
        <v>74</v>
      </c>
      <c r="AT555" t="s">
        <v>741</v>
      </c>
      <c r="AU555">
        <v>2024</v>
      </c>
      <c r="AV555" t="s">
        <v>74</v>
      </c>
      <c r="AW555" t="s">
        <v>74</v>
      </c>
      <c r="AX555" t="s">
        <v>74</v>
      </c>
      <c r="AY555" t="s">
        <v>74</v>
      </c>
      <c r="AZ555" t="s">
        <v>74</v>
      </c>
      <c r="BA555" t="s">
        <v>74</v>
      </c>
      <c r="BB555" t="s">
        <v>74</v>
      </c>
      <c r="BC555" t="s">
        <v>74</v>
      </c>
      <c r="BD555" t="s">
        <v>74</v>
      </c>
      <c r="BE555" t="s">
        <v>742</v>
      </c>
      <c r="BF555" t="str">
        <f>HYPERLINK("http://dx.doi.org/10.1093/biolinnean/blae006","http://dx.doi.org/10.1093/biolinnean/blae006")</f>
        <v>http://dx.doi.org/10.1093/biolinnean/blae006</v>
      </c>
      <c r="BG555" t="s">
        <v>74</v>
      </c>
      <c r="BH555" t="s">
        <v>743</v>
      </c>
      <c r="BI555" t="s">
        <v>74</v>
      </c>
      <c r="BJ555" t="s">
        <v>74</v>
      </c>
      <c r="BK555" t="s">
        <v>74</v>
      </c>
      <c r="BL555" t="s">
        <v>74</v>
      </c>
      <c r="BM555" t="s">
        <v>74</v>
      </c>
      <c r="BN555" t="s">
        <v>74</v>
      </c>
      <c r="BO555" t="s">
        <v>74</v>
      </c>
      <c r="BP555" t="s">
        <v>74</v>
      </c>
      <c r="BQ555" t="s">
        <v>74</v>
      </c>
      <c r="BR555" t="s">
        <v>74</v>
      </c>
      <c r="BS555" t="s">
        <v>744</v>
      </c>
      <c r="BT555" t="str">
        <f>HYPERLINK("https%3A%2F%2Fwww.webofscience.com%2Fwos%2Fwoscc%2Ffull-record%2FWOS:001178186000001","View Full Record in Web of Science")</f>
        <v>View Full Record in Web of Science</v>
      </c>
    </row>
    <row r="556" spans="1:72" x14ac:dyDescent="0.4">
      <c r="A556" t="s">
        <v>72</v>
      </c>
      <c r="B556" t="s">
        <v>4190</v>
      </c>
      <c r="C556" t="s">
        <v>74</v>
      </c>
      <c r="D556" t="s">
        <v>74</v>
      </c>
      <c r="E556" t="s">
        <v>74</v>
      </c>
      <c r="F556" t="s">
        <v>4191</v>
      </c>
      <c r="G556" t="s">
        <v>74</v>
      </c>
      <c r="H556" t="s">
        <v>74</v>
      </c>
      <c r="I556" t="s">
        <v>4192</v>
      </c>
      <c r="J556" t="s">
        <v>862</v>
      </c>
      <c r="K556" t="s">
        <v>74</v>
      </c>
      <c r="L556" t="s">
        <v>74</v>
      </c>
      <c r="M556" t="s">
        <v>74</v>
      </c>
      <c r="N556" t="s">
        <v>74</v>
      </c>
      <c r="O556" t="s">
        <v>74</v>
      </c>
      <c r="P556" t="s">
        <v>74</v>
      </c>
      <c r="Q556" t="s">
        <v>74</v>
      </c>
      <c r="R556" t="s">
        <v>74</v>
      </c>
      <c r="S556" t="s">
        <v>74</v>
      </c>
      <c r="T556" t="s">
        <v>74</v>
      </c>
      <c r="U556" t="s">
        <v>74</v>
      </c>
      <c r="V556" s="3" t="s">
        <v>4193</v>
      </c>
      <c r="W556" t="s">
        <v>74</v>
      </c>
      <c r="X556" t="s">
        <v>74</v>
      </c>
      <c r="Y556" t="s">
        <v>74</v>
      </c>
      <c r="Z556" t="s">
        <v>74</v>
      </c>
      <c r="AA556" t="s">
        <v>74</v>
      </c>
      <c r="AB556" t="s">
        <v>74</v>
      </c>
      <c r="AC556" t="s">
        <v>74</v>
      </c>
      <c r="AD556" t="s">
        <v>74</v>
      </c>
      <c r="AE556" t="s">
        <v>74</v>
      </c>
      <c r="AF556" t="s">
        <v>74</v>
      </c>
      <c r="AG556" t="s">
        <v>74</v>
      </c>
      <c r="AH556" t="s">
        <v>74</v>
      </c>
      <c r="AI556" t="s">
        <v>74</v>
      </c>
      <c r="AJ556" t="s">
        <v>74</v>
      </c>
      <c r="AK556" t="s">
        <v>74</v>
      </c>
      <c r="AL556" t="s">
        <v>74</v>
      </c>
      <c r="AM556" t="s">
        <v>74</v>
      </c>
      <c r="AN556" t="s">
        <v>74</v>
      </c>
      <c r="AO556" t="s">
        <v>865</v>
      </c>
      <c r="AP556" t="s">
        <v>866</v>
      </c>
      <c r="AQ556" t="s">
        <v>74</v>
      </c>
      <c r="AR556" t="s">
        <v>74</v>
      </c>
      <c r="AS556" t="s">
        <v>74</v>
      </c>
      <c r="AT556" t="s">
        <v>123</v>
      </c>
      <c r="AU556">
        <v>2014</v>
      </c>
      <c r="AV556">
        <v>17</v>
      </c>
      <c r="AW556">
        <v>1</v>
      </c>
      <c r="AX556" t="s">
        <v>74</v>
      </c>
      <c r="AY556" t="s">
        <v>74</v>
      </c>
      <c r="AZ556" t="s">
        <v>74</v>
      </c>
      <c r="BA556" t="s">
        <v>74</v>
      </c>
      <c r="BB556">
        <v>37</v>
      </c>
      <c r="BC556">
        <v>45</v>
      </c>
      <c r="BD556" t="s">
        <v>74</v>
      </c>
      <c r="BE556" t="s">
        <v>4194</v>
      </c>
      <c r="BF556" t="str">
        <f>HYPERLINK("http://dx.doi.org/10.1007/s10211-013-0156-2","http://dx.doi.org/10.1007/s10211-013-0156-2")</f>
        <v>http://dx.doi.org/10.1007/s10211-013-0156-2</v>
      </c>
      <c r="BG556" t="s">
        <v>74</v>
      </c>
      <c r="BH556" t="s">
        <v>74</v>
      </c>
      <c r="BI556" t="s">
        <v>74</v>
      </c>
      <c r="BJ556" t="s">
        <v>74</v>
      </c>
      <c r="BK556" t="s">
        <v>74</v>
      </c>
      <c r="BL556" t="s">
        <v>74</v>
      </c>
      <c r="BM556" t="s">
        <v>74</v>
      </c>
      <c r="BN556" t="s">
        <v>74</v>
      </c>
      <c r="BO556" t="s">
        <v>74</v>
      </c>
      <c r="BP556" t="s">
        <v>74</v>
      </c>
      <c r="BQ556" t="s">
        <v>74</v>
      </c>
      <c r="BR556" t="s">
        <v>74</v>
      </c>
      <c r="BS556" t="s">
        <v>4195</v>
      </c>
      <c r="BT556" t="str">
        <f>HYPERLINK("https%3A%2F%2Fwww.webofscience.com%2Fwos%2Fwoscc%2Ffull-record%2FWOS:000331631900006","View Full Record in Web of Science")</f>
        <v>View Full Record in Web of Science</v>
      </c>
    </row>
    <row r="557" spans="1:72" x14ac:dyDescent="0.4">
      <c r="A557" t="s">
        <v>72</v>
      </c>
      <c r="B557" t="s">
        <v>890</v>
      </c>
      <c r="C557" t="s">
        <v>74</v>
      </c>
      <c r="D557" t="s">
        <v>74</v>
      </c>
      <c r="E557" t="s">
        <v>74</v>
      </c>
      <c r="F557" t="s">
        <v>891</v>
      </c>
      <c r="G557" t="s">
        <v>74</v>
      </c>
      <c r="H557" t="s">
        <v>74</v>
      </c>
      <c r="I557" t="s">
        <v>892</v>
      </c>
      <c r="J557" t="s">
        <v>88</v>
      </c>
      <c r="K557" t="s">
        <v>74</v>
      </c>
      <c r="L557" t="s">
        <v>74</v>
      </c>
      <c r="M557" t="s">
        <v>74</v>
      </c>
      <c r="N557" t="s">
        <v>74</v>
      </c>
      <c r="O557" t="s">
        <v>74</v>
      </c>
      <c r="P557" t="s">
        <v>74</v>
      </c>
      <c r="Q557" t="s">
        <v>74</v>
      </c>
      <c r="R557" t="s">
        <v>74</v>
      </c>
      <c r="S557" t="s">
        <v>74</v>
      </c>
      <c r="T557" t="s">
        <v>74</v>
      </c>
      <c r="U557" t="s">
        <v>74</v>
      </c>
      <c r="V557" s="3" t="s">
        <v>893</v>
      </c>
      <c r="W557" t="s">
        <v>74</v>
      </c>
      <c r="X557" t="s">
        <v>74</v>
      </c>
      <c r="Y557" t="s">
        <v>74</v>
      </c>
      <c r="Z557" t="s">
        <v>74</v>
      </c>
      <c r="AA557" t="s">
        <v>74</v>
      </c>
      <c r="AB557" t="s">
        <v>894</v>
      </c>
      <c r="AC557" t="s">
        <v>74</v>
      </c>
      <c r="AD557" t="s">
        <v>74</v>
      </c>
      <c r="AE557" t="s">
        <v>74</v>
      </c>
      <c r="AF557" t="s">
        <v>74</v>
      </c>
      <c r="AG557" t="s">
        <v>74</v>
      </c>
      <c r="AH557" t="s">
        <v>74</v>
      </c>
      <c r="AI557" t="s">
        <v>74</v>
      </c>
      <c r="AJ557" t="s">
        <v>74</v>
      </c>
      <c r="AK557" t="s">
        <v>74</v>
      </c>
      <c r="AL557" t="s">
        <v>74</v>
      </c>
      <c r="AM557" t="s">
        <v>74</v>
      </c>
      <c r="AN557" t="s">
        <v>74</v>
      </c>
      <c r="AO557" t="s">
        <v>91</v>
      </c>
      <c r="AP557" t="s">
        <v>74</v>
      </c>
      <c r="AQ557" t="s">
        <v>74</v>
      </c>
      <c r="AR557" t="s">
        <v>74</v>
      </c>
      <c r="AS557" t="s">
        <v>74</v>
      </c>
      <c r="AT557" t="s">
        <v>895</v>
      </c>
      <c r="AU557">
        <v>2011</v>
      </c>
      <c r="AV557">
        <v>7</v>
      </c>
      <c r="AW557">
        <v>5</v>
      </c>
      <c r="AX557" t="s">
        <v>74</v>
      </c>
      <c r="AY557" t="s">
        <v>74</v>
      </c>
      <c r="AZ557" t="s">
        <v>74</v>
      </c>
      <c r="BA557" t="s">
        <v>74</v>
      </c>
      <c r="BB557">
        <v>658</v>
      </c>
      <c r="BC557">
        <v>660</v>
      </c>
      <c r="BD557" t="s">
        <v>74</v>
      </c>
      <c r="BE557" t="s">
        <v>896</v>
      </c>
      <c r="BF557" t="str">
        <f>HYPERLINK("http://dx.doi.org/10.1098/rsbl.2011.0087","http://dx.doi.org/10.1098/rsbl.2011.0087")</f>
        <v>http://dx.doi.org/10.1098/rsbl.2011.0087</v>
      </c>
      <c r="BG557" t="s">
        <v>74</v>
      </c>
      <c r="BH557" t="s">
        <v>74</v>
      </c>
      <c r="BI557" t="s">
        <v>74</v>
      </c>
      <c r="BJ557" t="s">
        <v>74</v>
      </c>
      <c r="BK557" t="s">
        <v>74</v>
      </c>
      <c r="BL557" t="s">
        <v>74</v>
      </c>
      <c r="BM557" t="s">
        <v>74</v>
      </c>
      <c r="BN557">
        <v>21450727</v>
      </c>
      <c r="BO557" t="s">
        <v>74</v>
      </c>
      <c r="BP557" t="s">
        <v>74</v>
      </c>
      <c r="BQ557" t="s">
        <v>74</v>
      </c>
      <c r="BR557" t="s">
        <v>74</v>
      </c>
      <c r="BS557" t="s">
        <v>897</v>
      </c>
      <c r="BT557" t="str">
        <f>HYPERLINK("https%3A%2F%2Fwww.webofscience.com%2Fwos%2Fwoscc%2Ffull-record%2FWOS:000294768400007","View Full Record in Web of Science")</f>
        <v>View Full Record in Web of Science</v>
      </c>
    </row>
    <row r="558" spans="1:72" x14ac:dyDescent="0.4">
      <c r="A558" t="s">
        <v>72</v>
      </c>
      <c r="B558" t="s">
        <v>3217</v>
      </c>
      <c r="C558" t="s">
        <v>74</v>
      </c>
      <c r="D558" t="s">
        <v>74</v>
      </c>
      <c r="E558" t="s">
        <v>74</v>
      </c>
      <c r="F558" t="s">
        <v>3218</v>
      </c>
      <c r="G558" t="s">
        <v>74</v>
      </c>
      <c r="H558" t="s">
        <v>74</v>
      </c>
      <c r="I558" t="s">
        <v>3219</v>
      </c>
      <c r="J558" t="s">
        <v>77</v>
      </c>
      <c r="K558" t="s">
        <v>74</v>
      </c>
      <c r="L558" t="s">
        <v>74</v>
      </c>
      <c r="M558" t="s">
        <v>74</v>
      </c>
      <c r="N558" t="s">
        <v>74</v>
      </c>
      <c r="O558" t="s">
        <v>74</v>
      </c>
      <c r="P558" t="s">
        <v>74</v>
      </c>
      <c r="Q558" t="s">
        <v>74</v>
      </c>
      <c r="R558" t="s">
        <v>74</v>
      </c>
      <c r="S558" t="s">
        <v>74</v>
      </c>
      <c r="T558" t="s">
        <v>74</v>
      </c>
      <c r="U558" t="s">
        <v>74</v>
      </c>
      <c r="V558" s="3" t="s">
        <v>3220</v>
      </c>
      <c r="W558" t="s">
        <v>74</v>
      </c>
      <c r="X558" t="s">
        <v>74</v>
      </c>
      <c r="Y558" t="s">
        <v>74</v>
      </c>
      <c r="Z558" t="s">
        <v>74</v>
      </c>
      <c r="AA558" t="s">
        <v>3221</v>
      </c>
      <c r="AB558" t="s">
        <v>3222</v>
      </c>
      <c r="AC558" t="s">
        <v>74</v>
      </c>
      <c r="AD558" t="s">
        <v>74</v>
      </c>
      <c r="AE558" t="s">
        <v>74</v>
      </c>
      <c r="AF558" t="s">
        <v>74</v>
      </c>
      <c r="AG558" t="s">
        <v>74</v>
      </c>
      <c r="AH558" t="s">
        <v>74</v>
      </c>
      <c r="AI558" t="s">
        <v>74</v>
      </c>
      <c r="AJ558" t="s">
        <v>74</v>
      </c>
      <c r="AK558" t="s">
        <v>74</v>
      </c>
      <c r="AL558" t="s">
        <v>74</v>
      </c>
      <c r="AM558" t="s">
        <v>74</v>
      </c>
      <c r="AN558" t="s">
        <v>74</v>
      </c>
      <c r="AO558" t="s">
        <v>81</v>
      </c>
      <c r="AP558" t="s">
        <v>82</v>
      </c>
      <c r="AQ558" t="s">
        <v>74</v>
      </c>
      <c r="AR558" t="s">
        <v>74</v>
      </c>
      <c r="AS558" t="s">
        <v>74</v>
      </c>
      <c r="AT558" t="s">
        <v>633</v>
      </c>
      <c r="AU558">
        <v>2007</v>
      </c>
      <c r="AV558">
        <v>144</v>
      </c>
      <c r="AW558" t="s">
        <v>74</v>
      </c>
      <c r="AX558">
        <v>4</v>
      </c>
      <c r="AY558" t="s">
        <v>74</v>
      </c>
      <c r="AZ558" t="s">
        <v>74</v>
      </c>
      <c r="BA558" t="s">
        <v>74</v>
      </c>
      <c r="BB558">
        <v>447</v>
      </c>
      <c r="BC558">
        <v>470</v>
      </c>
      <c r="BD558" t="s">
        <v>74</v>
      </c>
      <c r="BE558" t="s">
        <v>3223</v>
      </c>
      <c r="BF558" t="str">
        <f>HYPERLINK("http://dx.doi.org/10.1163/156853907780756030","http://dx.doi.org/10.1163/156853907780756030")</f>
        <v>http://dx.doi.org/10.1163/156853907780756030</v>
      </c>
      <c r="BG558" t="s">
        <v>74</v>
      </c>
      <c r="BH558" t="s">
        <v>74</v>
      </c>
      <c r="BI558" t="s">
        <v>74</v>
      </c>
      <c r="BJ558" t="s">
        <v>74</v>
      </c>
      <c r="BK558" t="s">
        <v>74</v>
      </c>
      <c r="BL558" t="s">
        <v>74</v>
      </c>
      <c r="BM558" t="s">
        <v>74</v>
      </c>
      <c r="BN558" t="s">
        <v>74</v>
      </c>
      <c r="BO558" t="s">
        <v>74</v>
      </c>
      <c r="BP558" t="s">
        <v>74</v>
      </c>
      <c r="BQ558" t="s">
        <v>74</v>
      </c>
      <c r="BR558" t="s">
        <v>74</v>
      </c>
      <c r="BS558" t="s">
        <v>3224</v>
      </c>
      <c r="BT558" t="str">
        <f>HYPERLINK("https%3A%2F%2Fwww.webofscience.com%2Fwos%2Fwoscc%2Ffull-record%2FWOS:000247125600005","View Full Record in Web of Science")</f>
        <v>View Full Record in Web of Science</v>
      </c>
    </row>
    <row r="559" spans="1:72" x14ac:dyDescent="0.4">
      <c r="A559" t="s">
        <v>72</v>
      </c>
      <c r="B559" t="s">
        <v>1034</v>
      </c>
      <c r="C559" t="s">
        <v>74</v>
      </c>
      <c r="D559" t="s">
        <v>74</v>
      </c>
      <c r="E559" t="s">
        <v>74</v>
      </c>
      <c r="F559" t="s">
        <v>1035</v>
      </c>
      <c r="G559" t="s">
        <v>74</v>
      </c>
      <c r="H559" t="s">
        <v>74</v>
      </c>
      <c r="I559" t="s">
        <v>1036</v>
      </c>
      <c r="J559" t="s">
        <v>333</v>
      </c>
      <c r="K559" t="s">
        <v>74</v>
      </c>
      <c r="L559" t="s">
        <v>74</v>
      </c>
      <c r="M559" t="s">
        <v>74</v>
      </c>
      <c r="N559" t="s">
        <v>74</v>
      </c>
      <c r="O559" t="s">
        <v>74</v>
      </c>
      <c r="P559" t="s">
        <v>74</v>
      </c>
      <c r="Q559" t="s">
        <v>74</v>
      </c>
      <c r="R559" t="s">
        <v>74</v>
      </c>
      <c r="S559" t="s">
        <v>74</v>
      </c>
      <c r="T559" t="s">
        <v>74</v>
      </c>
      <c r="U559" t="s">
        <v>74</v>
      </c>
      <c r="V559" s="3" t="s">
        <v>1037</v>
      </c>
      <c r="W559" t="s">
        <v>74</v>
      </c>
      <c r="X559" t="s">
        <v>74</v>
      </c>
      <c r="Y559" t="s">
        <v>74</v>
      </c>
      <c r="Z559" t="s">
        <v>74</v>
      </c>
      <c r="AA559" t="s">
        <v>74</v>
      </c>
      <c r="AB559" t="s">
        <v>74</v>
      </c>
      <c r="AC559" t="s">
        <v>74</v>
      </c>
      <c r="AD559" t="s">
        <v>74</v>
      </c>
      <c r="AE559" t="s">
        <v>74</v>
      </c>
      <c r="AF559" t="s">
        <v>74</v>
      </c>
      <c r="AG559" t="s">
        <v>74</v>
      </c>
      <c r="AH559" t="s">
        <v>74</v>
      </c>
      <c r="AI559" t="s">
        <v>74</v>
      </c>
      <c r="AJ559" t="s">
        <v>74</v>
      </c>
      <c r="AK559" t="s">
        <v>74</v>
      </c>
      <c r="AL559" t="s">
        <v>74</v>
      </c>
      <c r="AM559" t="s">
        <v>74</v>
      </c>
      <c r="AN559" t="s">
        <v>74</v>
      </c>
      <c r="AO559" t="s">
        <v>337</v>
      </c>
      <c r="AP559" t="s">
        <v>74</v>
      </c>
      <c r="AQ559" t="s">
        <v>74</v>
      </c>
      <c r="AR559" t="s">
        <v>74</v>
      </c>
      <c r="AS559" t="s">
        <v>74</v>
      </c>
      <c r="AT559" t="s">
        <v>1038</v>
      </c>
      <c r="AU559">
        <v>2007</v>
      </c>
      <c r="AV559">
        <v>18</v>
      </c>
      <c r="AW559">
        <v>2</v>
      </c>
      <c r="AX559" t="s">
        <v>74</v>
      </c>
      <c r="AY559" t="s">
        <v>74</v>
      </c>
      <c r="AZ559" t="s">
        <v>74</v>
      </c>
      <c r="BA559" t="s">
        <v>74</v>
      </c>
      <c r="BB559">
        <v>318</v>
      </c>
      <c r="BC559">
        <v>323</v>
      </c>
      <c r="BD559" t="s">
        <v>74</v>
      </c>
      <c r="BE559" t="s">
        <v>1039</v>
      </c>
      <c r="BF559" t="str">
        <f>HYPERLINK("http://dx.doi.org/10.1093/beheco/arl093","http://dx.doi.org/10.1093/beheco/arl093")</f>
        <v>http://dx.doi.org/10.1093/beheco/arl093</v>
      </c>
      <c r="BG559" t="s">
        <v>74</v>
      </c>
      <c r="BH559" t="s">
        <v>74</v>
      </c>
      <c r="BI559" t="s">
        <v>74</v>
      </c>
      <c r="BJ559" t="s">
        <v>74</v>
      </c>
      <c r="BK559" t="s">
        <v>74</v>
      </c>
      <c r="BL559" t="s">
        <v>74</v>
      </c>
      <c r="BM559" t="s">
        <v>74</v>
      </c>
      <c r="BN559" t="s">
        <v>74</v>
      </c>
      <c r="BO559" t="s">
        <v>74</v>
      </c>
      <c r="BP559" t="s">
        <v>74</v>
      </c>
      <c r="BQ559" t="s">
        <v>74</v>
      </c>
      <c r="BR559" t="s">
        <v>74</v>
      </c>
      <c r="BS559" t="s">
        <v>1040</v>
      </c>
      <c r="BT559" t="str">
        <f>HYPERLINK("https%3A%2F%2Fwww.webofscience.com%2Fwos%2Fwoscc%2Ffull-record%2FWOS:000244658100007","View Full Record in Web of Science")</f>
        <v>View Full Record in Web of Science</v>
      </c>
    </row>
    <row r="560" spans="1:72" x14ac:dyDescent="0.4">
      <c r="A560" t="s">
        <v>72</v>
      </c>
      <c r="B560" t="s">
        <v>2697</v>
      </c>
      <c r="C560" t="s">
        <v>74</v>
      </c>
      <c r="D560" t="s">
        <v>74</v>
      </c>
      <c r="E560" t="s">
        <v>74</v>
      </c>
      <c r="F560" t="s">
        <v>2698</v>
      </c>
      <c r="G560" t="s">
        <v>74</v>
      </c>
      <c r="H560" t="s">
        <v>74</v>
      </c>
      <c r="I560" t="s">
        <v>2699</v>
      </c>
      <c r="J560" t="s">
        <v>731</v>
      </c>
      <c r="K560" t="s">
        <v>74</v>
      </c>
      <c r="L560" t="s">
        <v>74</v>
      </c>
      <c r="M560" t="s">
        <v>74</v>
      </c>
      <c r="N560" t="s">
        <v>74</v>
      </c>
      <c r="O560" t="s">
        <v>74</v>
      </c>
      <c r="P560" t="s">
        <v>74</v>
      </c>
      <c r="Q560" t="s">
        <v>74</v>
      </c>
      <c r="R560" t="s">
        <v>74</v>
      </c>
      <c r="S560" t="s">
        <v>74</v>
      </c>
      <c r="T560" t="s">
        <v>74</v>
      </c>
      <c r="U560" t="s">
        <v>74</v>
      </c>
      <c r="V560" s="3" t="s">
        <v>2700</v>
      </c>
      <c r="W560" t="s">
        <v>74</v>
      </c>
      <c r="X560" t="s">
        <v>74</v>
      </c>
      <c r="Y560" t="s">
        <v>74</v>
      </c>
      <c r="Z560" t="s">
        <v>74</v>
      </c>
      <c r="AA560" t="s">
        <v>74</v>
      </c>
      <c r="AB560" t="s">
        <v>2701</v>
      </c>
      <c r="AC560" t="s">
        <v>74</v>
      </c>
      <c r="AD560" t="s">
        <v>74</v>
      </c>
      <c r="AE560" t="s">
        <v>74</v>
      </c>
      <c r="AF560" t="s">
        <v>74</v>
      </c>
      <c r="AG560" t="s">
        <v>74</v>
      </c>
      <c r="AH560" t="s">
        <v>74</v>
      </c>
      <c r="AI560" t="s">
        <v>74</v>
      </c>
      <c r="AJ560" t="s">
        <v>74</v>
      </c>
      <c r="AK560" t="s">
        <v>74</v>
      </c>
      <c r="AL560" t="s">
        <v>74</v>
      </c>
      <c r="AM560" t="s">
        <v>74</v>
      </c>
      <c r="AN560" t="s">
        <v>74</v>
      </c>
      <c r="AO560" t="s">
        <v>733</v>
      </c>
      <c r="AP560" t="s">
        <v>734</v>
      </c>
      <c r="AQ560" t="s">
        <v>74</v>
      </c>
      <c r="AR560" t="s">
        <v>74</v>
      </c>
      <c r="AS560" t="s">
        <v>74</v>
      </c>
      <c r="AT560" t="s">
        <v>2702</v>
      </c>
      <c r="AU560">
        <v>2007</v>
      </c>
      <c r="AV560">
        <v>183</v>
      </c>
      <c r="AW560">
        <v>1</v>
      </c>
      <c r="AX560" t="s">
        <v>74</v>
      </c>
      <c r="AY560" t="s">
        <v>74</v>
      </c>
      <c r="AZ560" t="s">
        <v>74</v>
      </c>
      <c r="BA560" t="s">
        <v>74</v>
      </c>
      <c r="BB560">
        <v>31</v>
      </c>
      <c r="BC560">
        <v>42</v>
      </c>
      <c r="BD560" t="s">
        <v>74</v>
      </c>
      <c r="BE560" t="s">
        <v>2703</v>
      </c>
      <c r="BF560" t="str">
        <f>HYPERLINK("http://dx.doi.org/10.1016/j.bbr.2007.05.021","http://dx.doi.org/10.1016/j.bbr.2007.05.021")</f>
        <v>http://dx.doi.org/10.1016/j.bbr.2007.05.021</v>
      </c>
      <c r="BG560" t="s">
        <v>74</v>
      </c>
      <c r="BH560" t="s">
        <v>74</v>
      </c>
      <c r="BI560" t="s">
        <v>74</v>
      </c>
      <c r="BJ560" t="s">
        <v>74</v>
      </c>
      <c r="BK560" t="s">
        <v>74</v>
      </c>
      <c r="BL560" t="s">
        <v>74</v>
      </c>
      <c r="BM560" t="s">
        <v>74</v>
      </c>
      <c r="BN560">
        <v>17602761</v>
      </c>
      <c r="BO560" t="s">
        <v>74</v>
      </c>
      <c r="BP560" t="s">
        <v>74</v>
      </c>
      <c r="BQ560" t="s">
        <v>74</v>
      </c>
      <c r="BR560" t="s">
        <v>74</v>
      </c>
      <c r="BS560" t="s">
        <v>2704</v>
      </c>
      <c r="BT560" t="str">
        <f>HYPERLINK("https%3A%2F%2Fwww.webofscience.com%2Fwos%2Fwoscc%2Ffull-record%2FWOS:000249511100005","View Full Record in Web of Science")</f>
        <v>View Full Record in Web of Science</v>
      </c>
    </row>
    <row r="561" spans="1:72" x14ac:dyDescent="0.4">
      <c r="A561" t="s">
        <v>72</v>
      </c>
      <c r="B561" t="s">
        <v>851</v>
      </c>
      <c r="C561" t="s">
        <v>74</v>
      </c>
      <c r="D561" t="s">
        <v>74</v>
      </c>
      <c r="E561" t="s">
        <v>74</v>
      </c>
      <c r="F561" t="s">
        <v>852</v>
      </c>
      <c r="G561" t="s">
        <v>74</v>
      </c>
      <c r="H561" t="s">
        <v>74</v>
      </c>
      <c r="I561" t="s">
        <v>853</v>
      </c>
      <c r="J561" t="s">
        <v>509</v>
      </c>
      <c r="K561" t="s">
        <v>74</v>
      </c>
      <c r="L561" t="s">
        <v>74</v>
      </c>
      <c r="M561" t="s">
        <v>74</v>
      </c>
      <c r="N561" t="s">
        <v>74</v>
      </c>
      <c r="O561" t="s">
        <v>74</v>
      </c>
      <c r="P561" t="s">
        <v>74</v>
      </c>
      <c r="Q561" t="s">
        <v>74</v>
      </c>
      <c r="R561" t="s">
        <v>74</v>
      </c>
      <c r="S561" t="s">
        <v>74</v>
      </c>
      <c r="T561" t="s">
        <v>74</v>
      </c>
      <c r="U561" t="s">
        <v>74</v>
      </c>
      <c r="V561" s="3" t="s">
        <v>854</v>
      </c>
      <c r="W561" t="s">
        <v>74</v>
      </c>
      <c r="X561" t="s">
        <v>74</v>
      </c>
      <c r="Y561" t="s">
        <v>74</v>
      </c>
      <c r="Z561" t="s">
        <v>74</v>
      </c>
      <c r="AA561" t="s">
        <v>855</v>
      </c>
      <c r="AB561" t="s">
        <v>856</v>
      </c>
      <c r="AC561" t="s">
        <v>74</v>
      </c>
      <c r="AD561" t="s">
        <v>74</v>
      </c>
      <c r="AE561" t="s">
        <v>74</v>
      </c>
      <c r="AF561" t="s">
        <v>74</v>
      </c>
      <c r="AG561" t="s">
        <v>74</v>
      </c>
      <c r="AH561" t="s">
        <v>74</v>
      </c>
      <c r="AI561" t="s">
        <v>74</v>
      </c>
      <c r="AJ561" t="s">
        <v>74</v>
      </c>
      <c r="AK561" t="s">
        <v>74</v>
      </c>
      <c r="AL561" t="s">
        <v>74</v>
      </c>
      <c r="AM561" t="s">
        <v>74</v>
      </c>
      <c r="AN561" t="s">
        <v>74</v>
      </c>
      <c r="AO561" t="s">
        <v>511</v>
      </c>
      <c r="AP561" t="s">
        <v>512</v>
      </c>
      <c r="AQ561" t="s">
        <v>74</v>
      </c>
      <c r="AR561" t="s">
        <v>74</v>
      </c>
      <c r="AS561" t="s">
        <v>74</v>
      </c>
      <c r="AT561" t="s">
        <v>145</v>
      </c>
      <c r="AU561">
        <v>2008</v>
      </c>
      <c r="AV561">
        <v>54</v>
      </c>
      <c r="AW561">
        <v>3</v>
      </c>
      <c r="AX561" t="s">
        <v>74</v>
      </c>
      <c r="AY561" t="s">
        <v>74</v>
      </c>
      <c r="AZ561" t="s">
        <v>74</v>
      </c>
      <c r="BA561" t="s">
        <v>74</v>
      </c>
      <c r="BB561">
        <v>463</v>
      </c>
      <c r="BC561">
        <v>470</v>
      </c>
      <c r="BD561" t="s">
        <v>74</v>
      </c>
      <c r="BE561" t="s">
        <v>857</v>
      </c>
      <c r="BF561" t="str">
        <f>HYPERLINK("http://dx.doi.org/10.1016/j.yhbeh.2008.05.006","http://dx.doi.org/10.1016/j.yhbeh.2008.05.006")</f>
        <v>http://dx.doi.org/10.1016/j.yhbeh.2008.05.006</v>
      </c>
      <c r="BG561" t="s">
        <v>74</v>
      </c>
      <c r="BH561" t="s">
        <v>74</v>
      </c>
      <c r="BI561" t="s">
        <v>74</v>
      </c>
      <c r="BJ561" t="s">
        <v>74</v>
      </c>
      <c r="BK561" t="s">
        <v>74</v>
      </c>
      <c r="BL561" t="s">
        <v>74</v>
      </c>
      <c r="BM561" t="s">
        <v>74</v>
      </c>
      <c r="BN561">
        <v>18586245</v>
      </c>
      <c r="BO561" t="s">
        <v>74</v>
      </c>
      <c r="BP561" t="s">
        <v>74</v>
      </c>
      <c r="BQ561" t="s">
        <v>74</v>
      </c>
      <c r="BR561" t="s">
        <v>74</v>
      </c>
      <c r="BS561" t="s">
        <v>858</v>
      </c>
      <c r="BT561" t="str">
        <f>HYPERLINK("https%3A%2F%2Fwww.webofscience.com%2Fwos%2Fwoscc%2Ffull-record%2FWOS:000258812900017","View Full Record in Web of Science")</f>
        <v>View Full Record in Web of Science</v>
      </c>
    </row>
    <row r="562" spans="1:72" x14ac:dyDescent="0.4">
      <c r="A562" t="s">
        <v>72</v>
      </c>
      <c r="B562" t="s">
        <v>4755</v>
      </c>
      <c r="C562" t="s">
        <v>74</v>
      </c>
      <c r="D562" t="s">
        <v>74</v>
      </c>
      <c r="E562" t="s">
        <v>74</v>
      </c>
      <c r="F562" t="s">
        <v>4756</v>
      </c>
      <c r="G562" t="s">
        <v>74</v>
      </c>
      <c r="H562" t="s">
        <v>74</v>
      </c>
      <c r="I562" t="s">
        <v>4757</v>
      </c>
      <c r="J562" t="s">
        <v>119</v>
      </c>
      <c r="K562" t="s">
        <v>74</v>
      </c>
      <c r="L562" t="s">
        <v>74</v>
      </c>
      <c r="M562" t="s">
        <v>74</v>
      </c>
      <c r="N562" t="s">
        <v>74</v>
      </c>
      <c r="O562" t="s">
        <v>74</v>
      </c>
      <c r="P562" t="s">
        <v>74</v>
      </c>
      <c r="Q562" t="s">
        <v>74</v>
      </c>
      <c r="R562" t="s">
        <v>74</v>
      </c>
      <c r="S562" t="s">
        <v>74</v>
      </c>
      <c r="T562" t="s">
        <v>74</v>
      </c>
      <c r="U562" t="s">
        <v>74</v>
      </c>
      <c r="V562" s="3" t="s">
        <v>4758</v>
      </c>
      <c r="W562" t="s">
        <v>74</v>
      </c>
      <c r="X562" t="s">
        <v>74</v>
      </c>
      <c r="Y562" t="s">
        <v>74</v>
      </c>
      <c r="Z562" t="s">
        <v>74</v>
      </c>
      <c r="AA562" t="s">
        <v>74</v>
      </c>
      <c r="AB562" t="s">
        <v>74</v>
      </c>
      <c r="AC562" t="s">
        <v>74</v>
      </c>
      <c r="AD562" t="s">
        <v>74</v>
      </c>
      <c r="AE562" t="s">
        <v>74</v>
      </c>
      <c r="AF562" t="s">
        <v>74</v>
      </c>
      <c r="AG562" t="s">
        <v>74</v>
      </c>
      <c r="AH562" t="s">
        <v>74</v>
      </c>
      <c r="AI562" t="s">
        <v>74</v>
      </c>
      <c r="AJ562" t="s">
        <v>74</v>
      </c>
      <c r="AK562" t="s">
        <v>74</v>
      </c>
      <c r="AL562" t="s">
        <v>74</v>
      </c>
      <c r="AM562" t="s">
        <v>74</v>
      </c>
      <c r="AN562" t="s">
        <v>74</v>
      </c>
      <c r="AO562" t="s">
        <v>121</v>
      </c>
      <c r="AP562" t="s">
        <v>122</v>
      </c>
      <c r="AQ562" t="s">
        <v>74</v>
      </c>
      <c r="AR562" t="s">
        <v>74</v>
      </c>
      <c r="AS562" t="s">
        <v>74</v>
      </c>
      <c r="AT562" t="s">
        <v>255</v>
      </c>
      <c r="AU562">
        <v>2021</v>
      </c>
      <c r="AV562">
        <v>182</v>
      </c>
      <c r="AW562" t="s">
        <v>74</v>
      </c>
      <c r="AX562" t="s">
        <v>74</v>
      </c>
      <c r="AY562" t="s">
        <v>74</v>
      </c>
      <c r="AZ562" t="s">
        <v>74</v>
      </c>
      <c r="BA562" t="s">
        <v>74</v>
      </c>
      <c r="BB562" t="s">
        <v>74</v>
      </c>
      <c r="BC562" t="s">
        <v>74</v>
      </c>
      <c r="BD562">
        <v>104294</v>
      </c>
      <c r="BE562" t="s">
        <v>4759</v>
      </c>
      <c r="BF562" t="str">
        <f>HYPERLINK("http://dx.doi.org/10.1016/j.beproc.2020.104294","http://dx.doi.org/10.1016/j.beproc.2020.104294")</f>
        <v>http://dx.doi.org/10.1016/j.beproc.2020.104294</v>
      </c>
      <c r="BG562" t="s">
        <v>74</v>
      </c>
      <c r="BH562" t="s">
        <v>74</v>
      </c>
      <c r="BI562" t="s">
        <v>74</v>
      </c>
      <c r="BJ562" t="s">
        <v>74</v>
      </c>
      <c r="BK562" t="s">
        <v>74</v>
      </c>
      <c r="BL562" t="s">
        <v>74</v>
      </c>
      <c r="BM562" t="s">
        <v>74</v>
      </c>
      <c r="BN562">
        <v>33290833</v>
      </c>
      <c r="BO562" t="s">
        <v>74</v>
      </c>
      <c r="BP562" t="s">
        <v>74</v>
      </c>
      <c r="BQ562" t="s">
        <v>74</v>
      </c>
      <c r="BR562" t="s">
        <v>74</v>
      </c>
      <c r="BS562" t="s">
        <v>4760</v>
      </c>
      <c r="BT562" t="str">
        <f>HYPERLINK("https%3A%2F%2Fwww.webofscience.com%2Fwos%2Fwoscc%2Ffull-record%2FWOS:000608124600001","View Full Record in Web of Science")</f>
        <v>View Full Record in Web of Science</v>
      </c>
    </row>
    <row r="563" spans="1:72" x14ac:dyDescent="0.4">
      <c r="A563" t="s">
        <v>72</v>
      </c>
      <c r="B563" t="s">
        <v>4755</v>
      </c>
      <c r="C563" t="s">
        <v>74</v>
      </c>
      <c r="D563" t="s">
        <v>74</v>
      </c>
      <c r="E563" t="s">
        <v>74</v>
      </c>
      <c r="F563" t="s">
        <v>4755</v>
      </c>
      <c r="G563" t="s">
        <v>74</v>
      </c>
      <c r="H563" t="s">
        <v>74</v>
      </c>
      <c r="I563" t="s">
        <v>6068</v>
      </c>
      <c r="J563" t="s">
        <v>475</v>
      </c>
      <c r="K563" t="s">
        <v>74</v>
      </c>
      <c r="L563" t="s">
        <v>74</v>
      </c>
      <c r="M563" t="s">
        <v>74</v>
      </c>
      <c r="N563" t="s">
        <v>74</v>
      </c>
      <c r="O563" t="s">
        <v>74</v>
      </c>
      <c r="P563" t="s">
        <v>74</v>
      </c>
      <c r="Q563" t="s">
        <v>74</v>
      </c>
      <c r="R563" t="s">
        <v>74</v>
      </c>
      <c r="S563" t="s">
        <v>74</v>
      </c>
      <c r="T563" t="s">
        <v>74</v>
      </c>
      <c r="U563" t="s">
        <v>74</v>
      </c>
      <c r="V563" s="3" t="s">
        <v>6069</v>
      </c>
      <c r="W563" t="s">
        <v>74</v>
      </c>
      <c r="X563" t="s">
        <v>74</v>
      </c>
      <c r="Y563" t="s">
        <v>74</v>
      </c>
      <c r="Z563" t="s">
        <v>74</v>
      </c>
      <c r="AA563" t="s">
        <v>74</v>
      </c>
      <c r="AB563" t="s">
        <v>74</v>
      </c>
      <c r="AC563" t="s">
        <v>74</v>
      </c>
      <c r="AD563" t="s">
        <v>74</v>
      </c>
      <c r="AE563" t="s">
        <v>74</v>
      </c>
      <c r="AF563" t="s">
        <v>74</v>
      </c>
      <c r="AG563" t="s">
        <v>74</v>
      </c>
      <c r="AH563" t="s">
        <v>74</v>
      </c>
      <c r="AI563" t="s">
        <v>74</v>
      </c>
      <c r="AJ563" t="s">
        <v>74</v>
      </c>
      <c r="AK563" t="s">
        <v>74</v>
      </c>
      <c r="AL563" t="s">
        <v>74</v>
      </c>
      <c r="AM563" t="s">
        <v>74</v>
      </c>
      <c r="AN563" t="s">
        <v>74</v>
      </c>
      <c r="AO563" t="s">
        <v>477</v>
      </c>
      <c r="AP563" t="s">
        <v>74</v>
      </c>
      <c r="AQ563" t="s">
        <v>74</v>
      </c>
      <c r="AR563" t="s">
        <v>74</v>
      </c>
      <c r="AS563" t="s">
        <v>74</v>
      </c>
      <c r="AT563" t="s">
        <v>352</v>
      </c>
      <c r="AU563">
        <v>2002</v>
      </c>
      <c r="AV563">
        <v>128</v>
      </c>
      <c r="AW563">
        <v>2</v>
      </c>
      <c r="AX563" t="s">
        <v>74</v>
      </c>
      <c r="AY563" t="s">
        <v>74</v>
      </c>
      <c r="AZ563" t="s">
        <v>74</v>
      </c>
      <c r="BA563" t="s">
        <v>74</v>
      </c>
      <c r="BB563">
        <v>153</v>
      </c>
      <c r="BC563">
        <v>161</v>
      </c>
      <c r="BD563" t="s">
        <v>6070</v>
      </c>
      <c r="BE563" t="s">
        <v>6071</v>
      </c>
      <c r="BF563" t="str">
        <f>HYPERLINK("http://dx.doi.org/10.1016/S0016-6480(02)00077-1","http://dx.doi.org/10.1016/S0016-6480(02)00077-1")</f>
        <v>http://dx.doi.org/10.1016/S0016-6480(02)00077-1</v>
      </c>
      <c r="BG563" t="s">
        <v>74</v>
      </c>
      <c r="BH563" t="s">
        <v>74</v>
      </c>
      <c r="BI563" t="s">
        <v>74</v>
      </c>
      <c r="BJ563" t="s">
        <v>74</v>
      </c>
      <c r="BK563" t="s">
        <v>74</v>
      </c>
      <c r="BL563" t="s">
        <v>74</v>
      </c>
      <c r="BM563" t="s">
        <v>74</v>
      </c>
      <c r="BN563">
        <v>12392689</v>
      </c>
      <c r="BO563" t="s">
        <v>74</v>
      </c>
      <c r="BP563" t="s">
        <v>74</v>
      </c>
      <c r="BQ563" t="s">
        <v>74</v>
      </c>
      <c r="BR563" t="s">
        <v>74</v>
      </c>
      <c r="BS563" t="s">
        <v>6072</v>
      </c>
      <c r="BT563" t="str">
        <f>HYPERLINK("https%3A%2F%2Fwww.webofscience.com%2Fwos%2Fwoscc%2Ffull-record%2FWOS:000178785900008","View Full Record in Web of Science")</f>
        <v>View Full Record in Web of Science</v>
      </c>
    </row>
    <row r="564" spans="1:72" x14ac:dyDescent="0.4">
      <c r="A564" t="s">
        <v>72</v>
      </c>
      <c r="B564" t="s">
        <v>8638</v>
      </c>
      <c r="C564" t="s">
        <v>74</v>
      </c>
      <c r="D564" t="s">
        <v>74</v>
      </c>
      <c r="E564" t="s">
        <v>74</v>
      </c>
      <c r="F564" t="s">
        <v>8638</v>
      </c>
      <c r="G564" t="s">
        <v>74</v>
      </c>
      <c r="H564" t="s">
        <v>74</v>
      </c>
      <c r="I564" t="s">
        <v>8639</v>
      </c>
      <c r="J564" t="s">
        <v>5814</v>
      </c>
      <c r="K564" t="s">
        <v>74</v>
      </c>
      <c r="L564" t="s">
        <v>74</v>
      </c>
      <c r="M564" t="s">
        <v>74</v>
      </c>
      <c r="N564" t="s">
        <v>74</v>
      </c>
      <c r="O564" t="s">
        <v>74</v>
      </c>
      <c r="P564" t="s">
        <v>74</v>
      </c>
      <c r="Q564" t="s">
        <v>74</v>
      </c>
      <c r="R564" t="s">
        <v>74</v>
      </c>
      <c r="S564" t="s">
        <v>74</v>
      </c>
      <c r="T564" t="s">
        <v>74</v>
      </c>
      <c r="U564" t="s">
        <v>74</v>
      </c>
      <c r="V564" s="3" t="s">
        <v>8640</v>
      </c>
      <c r="W564" t="s">
        <v>74</v>
      </c>
      <c r="X564" t="s">
        <v>74</v>
      </c>
      <c r="Y564" t="s">
        <v>74</v>
      </c>
      <c r="Z564" t="s">
        <v>74</v>
      </c>
      <c r="AA564" t="s">
        <v>8641</v>
      </c>
      <c r="AB564" t="s">
        <v>8642</v>
      </c>
      <c r="AC564" t="s">
        <v>74</v>
      </c>
      <c r="AD564" t="s">
        <v>74</v>
      </c>
      <c r="AE564" t="s">
        <v>74</v>
      </c>
      <c r="AF564" t="s">
        <v>74</v>
      </c>
      <c r="AG564" t="s">
        <v>74</v>
      </c>
      <c r="AH564" t="s">
        <v>74</v>
      </c>
      <c r="AI564" t="s">
        <v>74</v>
      </c>
      <c r="AJ564" t="s">
        <v>74</v>
      </c>
      <c r="AK564" t="s">
        <v>74</v>
      </c>
      <c r="AL564" t="s">
        <v>74</v>
      </c>
      <c r="AM564" t="s">
        <v>74</v>
      </c>
      <c r="AN564" t="s">
        <v>74</v>
      </c>
      <c r="AO564" t="s">
        <v>8643</v>
      </c>
      <c r="AP564" t="s">
        <v>74</v>
      </c>
      <c r="AQ564" t="s">
        <v>74</v>
      </c>
      <c r="AR564" t="s">
        <v>74</v>
      </c>
      <c r="AS564" t="s">
        <v>74</v>
      </c>
      <c r="AT564" t="s">
        <v>74</v>
      </c>
      <c r="AU564">
        <v>2000</v>
      </c>
      <c r="AV564">
        <v>97</v>
      </c>
      <c r="AW564">
        <v>1</v>
      </c>
      <c r="AX564" t="s">
        <v>74</v>
      </c>
      <c r="AY564" t="s">
        <v>74</v>
      </c>
      <c r="AZ564" t="s">
        <v>74</v>
      </c>
      <c r="BA564" t="s">
        <v>74</v>
      </c>
      <c r="BB564">
        <v>33</v>
      </c>
      <c r="BC564">
        <v>40</v>
      </c>
      <c r="BD564" t="s">
        <v>74</v>
      </c>
      <c r="BE564" t="s">
        <v>8644</v>
      </c>
      <c r="BF564" t="str">
        <f>HYPERLINK("http://dx.doi.org/10.14411/eje.2000.009","http://dx.doi.org/10.14411/eje.2000.009")</f>
        <v>http://dx.doi.org/10.14411/eje.2000.009</v>
      </c>
      <c r="BG564" t="s">
        <v>74</v>
      </c>
      <c r="BH564" t="s">
        <v>74</v>
      </c>
      <c r="BI564" t="s">
        <v>74</v>
      </c>
      <c r="BJ564" t="s">
        <v>74</v>
      </c>
      <c r="BK564" t="s">
        <v>74</v>
      </c>
      <c r="BL564" t="s">
        <v>74</v>
      </c>
      <c r="BM564" t="s">
        <v>74</v>
      </c>
      <c r="BN564" t="s">
        <v>74</v>
      </c>
      <c r="BO564" t="s">
        <v>74</v>
      </c>
      <c r="BP564" t="s">
        <v>74</v>
      </c>
      <c r="BQ564" t="s">
        <v>74</v>
      </c>
      <c r="BR564" t="s">
        <v>74</v>
      </c>
      <c r="BS564" t="s">
        <v>8645</v>
      </c>
      <c r="BT564" t="str">
        <f>HYPERLINK("https%3A%2F%2Fwww.webofscience.com%2Fwos%2Fwoscc%2Ffull-record%2FWOS:000087497200006","View Full Record in Web of Science")</f>
        <v>View Full Record in Web of Science</v>
      </c>
    </row>
    <row r="565" spans="1:72" x14ac:dyDescent="0.4">
      <c r="A565" t="s">
        <v>72</v>
      </c>
      <c r="B565" t="s">
        <v>6312</v>
      </c>
      <c r="C565" t="s">
        <v>74</v>
      </c>
      <c r="D565" t="s">
        <v>74</v>
      </c>
      <c r="E565" t="s">
        <v>74</v>
      </c>
      <c r="F565" t="s">
        <v>6313</v>
      </c>
      <c r="G565" t="s">
        <v>74</v>
      </c>
      <c r="H565" t="s">
        <v>74</v>
      </c>
      <c r="I565" t="s">
        <v>6314</v>
      </c>
      <c r="J565" t="s">
        <v>333</v>
      </c>
      <c r="K565" t="s">
        <v>74</v>
      </c>
      <c r="L565" t="s">
        <v>74</v>
      </c>
      <c r="M565" t="s">
        <v>74</v>
      </c>
      <c r="N565" t="s">
        <v>74</v>
      </c>
      <c r="O565" t="s">
        <v>74</v>
      </c>
      <c r="P565" t="s">
        <v>74</v>
      </c>
      <c r="Q565" t="s">
        <v>74</v>
      </c>
      <c r="R565" t="s">
        <v>74</v>
      </c>
      <c r="S565" t="s">
        <v>74</v>
      </c>
      <c r="T565" t="s">
        <v>74</v>
      </c>
      <c r="U565" t="s">
        <v>74</v>
      </c>
      <c r="V565" s="3" t="s">
        <v>6315</v>
      </c>
      <c r="W565" t="s">
        <v>74</v>
      </c>
      <c r="X565" t="s">
        <v>74</v>
      </c>
      <c r="Y565" t="s">
        <v>74</v>
      </c>
      <c r="Z565" t="s">
        <v>74</v>
      </c>
      <c r="AA565" t="s">
        <v>74</v>
      </c>
      <c r="AB565" t="s">
        <v>74</v>
      </c>
      <c r="AC565" t="s">
        <v>74</v>
      </c>
      <c r="AD565" t="s">
        <v>74</v>
      </c>
      <c r="AE565" t="s">
        <v>74</v>
      </c>
      <c r="AF565" t="s">
        <v>74</v>
      </c>
      <c r="AG565" t="s">
        <v>74</v>
      </c>
      <c r="AH565" t="s">
        <v>74</v>
      </c>
      <c r="AI565" t="s">
        <v>74</v>
      </c>
      <c r="AJ565" t="s">
        <v>74</v>
      </c>
      <c r="AK565" t="s">
        <v>74</v>
      </c>
      <c r="AL565" t="s">
        <v>74</v>
      </c>
      <c r="AM565" t="s">
        <v>74</v>
      </c>
      <c r="AN565" t="s">
        <v>74</v>
      </c>
      <c r="AO565" t="s">
        <v>337</v>
      </c>
      <c r="AP565" t="s">
        <v>338</v>
      </c>
      <c r="AQ565" t="s">
        <v>74</v>
      </c>
      <c r="AR565" t="s">
        <v>74</v>
      </c>
      <c r="AS565" t="s">
        <v>74</v>
      </c>
      <c r="AT565" t="s">
        <v>1038</v>
      </c>
      <c r="AU565">
        <v>2018</v>
      </c>
      <c r="AV565">
        <v>29</v>
      </c>
      <c r="AW565">
        <v>2</v>
      </c>
      <c r="AX565" t="s">
        <v>74</v>
      </c>
      <c r="AY565" t="s">
        <v>74</v>
      </c>
      <c r="AZ565" t="s">
        <v>74</v>
      </c>
      <c r="BA565" t="s">
        <v>74</v>
      </c>
      <c r="BB565">
        <v>289</v>
      </c>
      <c r="BC565">
        <v>300</v>
      </c>
      <c r="BD565" t="s">
        <v>74</v>
      </c>
      <c r="BE565" t="s">
        <v>6316</v>
      </c>
      <c r="BF565" t="str">
        <f>HYPERLINK("http://dx.doi.org/10.1093/beheco/arx180","http://dx.doi.org/10.1093/beheco/arx180")</f>
        <v>http://dx.doi.org/10.1093/beheco/arx180</v>
      </c>
      <c r="BG565" t="s">
        <v>74</v>
      </c>
      <c r="BH565" t="s">
        <v>74</v>
      </c>
      <c r="BI565" t="s">
        <v>74</v>
      </c>
      <c r="BJ565" t="s">
        <v>74</v>
      </c>
      <c r="BK565" t="s">
        <v>74</v>
      </c>
      <c r="BL565" t="s">
        <v>74</v>
      </c>
      <c r="BM565" t="s">
        <v>74</v>
      </c>
      <c r="BN565" t="s">
        <v>74</v>
      </c>
      <c r="BO565" t="s">
        <v>74</v>
      </c>
      <c r="BP565" t="s">
        <v>74</v>
      </c>
      <c r="BQ565" t="s">
        <v>74</v>
      </c>
      <c r="BR565" t="s">
        <v>74</v>
      </c>
      <c r="BS565" t="s">
        <v>6317</v>
      </c>
      <c r="BT565" t="str">
        <f>HYPERLINK("https%3A%2F%2Fwww.webofscience.com%2Fwos%2Fwoscc%2Ffull-record%2FWOS:000427885600008","View Full Record in Web of Science")</f>
        <v>View Full Record in Web of Science</v>
      </c>
    </row>
    <row r="566" spans="1:72" x14ac:dyDescent="0.4">
      <c r="A566" t="s">
        <v>72</v>
      </c>
      <c r="B566" t="s">
        <v>1133</v>
      </c>
      <c r="C566" t="s">
        <v>74</v>
      </c>
      <c r="D566" t="s">
        <v>74</v>
      </c>
      <c r="E566" t="s">
        <v>74</v>
      </c>
      <c r="F566" t="s">
        <v>1133</v>
      </c>
      <c r="G566" t="s">
        <v>74</v>
      </c>
      <c r="H566" t="s">
        <v>74</v>
      </c>
      <c r="I566" t="s">
        <v>1134</v>
      </c>
      <c r="J566" t="s">
        <v>1135</v>
      </c>
      <c r="K566" t="s">
        <v>74</v>
      </c>
      <c r="L566" t="s">
        <v>74</v>
      </c>
      <c r="M566" t="s">
        <v>74</v>
      </c>
      <c r="N566" t="s">
        <v>74</v>
      </c>
      <c r="O566" t="s">
        <v>74</v>
      </c>
      <c r="P566" t="s">
        <v>74</v>
      </c>
      <c r="Q566" t="s">
        <v>74</v>
      </c>
      <c r="R566" t="s">
        <v>74</v>
      </c>
      <c r="S566" t="s">
        <v>74</v>
      </c>
      <c r="T566" t="s">
        <v>74</v>
      </c>
      <c r="U566" t="s">
        <v>74</v>
      </c>
      <c r="V566" s="3" t="s">
        <v>1136</v>
      </c>
      <c r="W566" t="s">
        <v>74</v>
      </c>
      <c r="X566" t="s">
        <v>74</v>
      </c>
      <c r="Y566" t="s">
        <v>74</v>
      </c>
      <c r="Z566" t="s">
        <v>74</v>
      </c>
      <c r="AA566" t="s">
        <v>74</v>
      </c>
      <c r="AB566" t="s">
        <v>74</v>
      </c>
      <c r="AC566" t="s">
        <v>74</v>
      </c>
      <c r="AD566" t="s">
        <v>74</v>
      </c>
      <c r="AE566" t="s">
        <v>74</v>
      </c>
      <c r="AF566" t="s">
        <v>74</v>
      </c>
      <c r="AG566" t="s">
        <v>74</v>
      </c>
      <c r="AH566" t="s">
        <v>74</v>
      </c>
      <c r="AI566" t="s">
        <v>74</v>
      </c>
      <c r="AJ566" t="s">
        <v>74</v>
      </c>
      <c r="AK566" t="s">
        <v>74</v>
      </c>
      <c r="AL566" t="s">
        <v>74</v>
      </c>
      <c r="AM566" t="s">
        <v>74</v>
      </c>
      <c r="AN566" t="s">
        <v>74</v>
      </c>
      <c r="AO566" t="s">
        <v>1137</v>
      </c>
      <c r="AP566" t="s">
        <v>74</v>
      </c>
      <c r="AQ566" t="s">
        <v>74</v>
      </c>
      <c r="AR566" t="s">
        <v>74</v>
      </c>
      <c r="AS566" t="s">
        <v>74</v>
      </c>
      <c r="AT566" t="s">
        <v>305</v>
      </c>
      <c r="AU566">
        <v>1988</v>
      </c>
      <c r="AV566">
        <v>19</v>
      </c>
      <c r="AW566">
        <v>4</v>
      </c>
      <c r="AX566" t="s">
        <v>74</v>
      </c>
      <c r="AY566" t="s">
        <v>74</v>
      </c>
      <c r="AZ566" t="s">
        <v>74</v>
      </c>
      <c r="BA566" t="s">
        <v>74</v>
      </c>
      <c r="BB566">
        <v>287</v>
      </c>
      <c r="BC566">
        <v>289</v>
      </c>
      <c r="BD566" t="s">
        <v>74</v>
      </c>
      <c r="BE566" t="s">
        <v>1138</v>
      </c>
      <c r="BF566" t="str">
        <f>HYPERLINK("http://dx.doi.org/10.2307/3676723","http://dx.doi.org/10.2307/3676723")</f>
        <v>http://dx.doi.org/10.2307/3676723</v>
      </c>
      <c r="BG566" t="s">
        <v>74</v>
      </c>
      <c r="BH566" t="s">
        <v>74</v>
      </c>
      <c r="BI566" t="s">
        <v>74</v>
      </c>
      <c r="BJ566" t="s">
        <v>74</v>
      </c>
      <c r="BK566" t="s">
        <v>74</v>
      </c>
      <c r="BL566" t="s">
        <v>74</v>
      </c>
      <c r="BM566" t="s">
        <v>74</v>
      </c>
      <c r="BN566" t="s">
        <v>74</v>
      </c>
      <c r="BO566" t="s">
        <v>74</v>
      </c>
      <c r="BP566" t="s">
        <v>74</v>
      </c>
      <c r="BQ566" t="s">
        <v>74</v>
      </c>
      <c r="BR566" t="s">
        <v>74</v>
      </c>
      <c r="BS566" t="s">
        <v>1139</v>
      </c>
      <c r="BT566" t="str">
        <f>HYPERLINK("https%3A%2F%2Fwww.webofscience.com%2Fwos%2Fwoscc%2Ffull-record%2FWOS:A1988R388700006","View Full Record in Web of Science")</f>
        <v>View Full Record in Web of Science</v>
      </c>
    </row>
    <row r="567" spans="1:72" x14ac:dyDescent="0.4">
      <c r="A567" t="s">
        <v>72</v>
      </c>
      <c r="B567" t="s">
        <v>7034</v>
      </c>
      <c r="C567" t="s">
        <v>74</v>
      </c>
      <c r="D567" t="s">
        <v>74</v>
      </c>
      <c r="E567" t="s">
        <v>74</v>
      </c>
      <c r="F567" t="s">
        <v>7034</v>
      </c>
      <c r="G567" t="s">
        <v>74</v>
      </c>
      <c r="H567" t="s">
        <v>74</v>
      </c>
      <c r="I567" t="s">
        <v>7035</v>
      </c>
      <c r="J567" t="s">
        <v>333</v>
      </c>
      <c r="K567" t="s">
        <v>74</v>
      </c>
      <c r="L567" t="s">
        <v>74</v>
      </c>
      <c r="M567" t="s">
        <v>74</v>
      </c>
      <c r="N567" t="s">
        <v>74</v>
      </c>
      <c r="O567" t="s">
        <v>74</v>
      </c>
      <c r="P567" t="s">
        <v>74</v>
      </c>
      <c r="Q567" t="s">
        <v>74</v>
      </c>
      <c r="R567" t="s">
        <v>74</v>
      </c>
      <c r="S567" t="s">
        <v>74</v>
      </c>
      <c r="T567" t="s">
        <v>74</v>
      </c>
      <c r="U567" t="s">
        <v>74</v>
      </c>
      <c r="V567" s="3" t="s">
        <v>7036</v>
      </c>
      <c r="W567" t="s">
        <v>74</v>
      </c>
      <c r="X567" t="s">
        <v>74</v>
      </c>
      <c r="Y567" t="s">
        <v>74</v>
      </c>
      <c r="Z567" t="s">
        <v>74</v>
      </c>
      <c r="AA567" t="s">
        <v>74</v>
      </c>
      <c r="AB567" t="s">
        <v>74</v>
      </c>
      <c r="AC567" t="s">
        <v>74</v>
      </c>
      <c r="AD567" t="s">
        <v>74</v>
      </c>
      <c r="AE567" t="s">
        <v>74</v>
      </c>
      <c r="AF567" t="s">
        <v>74</v>
      </c>
      <c r="AG567" t="s">
        <v>74</v>
      </c>
      <c r="AH567" t="s">
        <v>74</v>
      </c>
      <c r="AI567" t="s">
        <v>74</v>
      </c>
      <c r="AJ567" t="s">
        <v>74</v>
      </c>
      <c r="AK567" t="s">
        <v>74</v>
      </c>
      <c r="AL567" t="s">
        <v>74</v>
      </c>
      <c r="AM567" t="s">
        <v>74</v>
      </c>
      <c r="AN567" t="s">
        <v>74</v>
      </c>
      <c r="AO567" t="s">
        <v>337</v>
      </c>
      <c r="AP567" t="s">
        <v>338</v>
      </c>
      <c r="AQ567" t="s">
        <v>74</v>
      </c>
      <c r="AR567" t="s">
        <v>74</v>
      </c>
      <c r="AS567" t="s">
        <v>74</v>
      </c>
      <c r="AT567" t="s">
        <v>213</v>
      </c>
      <c r="AU567">
        <v>2004</v>
      </c>
      <c r="AV567">
        <v>15</v>
      </c>
      <c r="AW567">
        <v>6</v>
      </c>
      <c r="AX567" t="s">
        <v>74</v>
      </c>
      <c r="AY567" t="s">
        <v>74</v>
      </c>
      <c r="AZ567" t="s">
        <v>74</v>
      </c>
      <c r="BA567" t="s">
        <v>74</v>
      </c>
      <c r="BB567">
        <v>946</v>
      </c>
      <c r="BC567">
        <v>951</v>
      </c>
      <c r="BD567" t="s">
        <v>74</v>
      </c>
      <c r="BE567" t="s">
        <v>7037</v>
      </c>
      <c r="BF567" t="str">
        <f>HYPERLINK("http://dx.doi.org/10.1093/beheco/arh078","http://dx.doi.org/10.1093/beheco/arh078")</f>
        <v>http://dx.doi.org/10.1093/beheco/arh078</v>
      </c>
      <c r="BG567" t="s">
        <v>74</v>
      </c>
      <c r="BH567" t="s">
        <v>74</v>
      </c>
      <c r="BI567" t="s">
        <v>74</v>
      </c>
      <c r="BJ567" t="s">
        <v>74</v>
      </c>
      <c r="BK567" t="s">
        <v>74</v>
      </c>
      <c r="BL567" t="s">
        <v>74</v>
      </c>
      <c r="BM567" t="s">
        <v>74</v>
      </c>
      <c r="BN567" t="s">
        <v>74</v>
      </c>
      <c r="BO567" t="s">
        <v>74</v>
      </c>
      <c r="BP567" t="s">
        <v>74</v>
      </c>
      <c r="BQ567" t="s">
        <v>74</v>
      </c>
      <c r="BR567" t="s">
        <v>74</v>
      </c>
      <c r="BS567" t="s">
        <v>7038</v>
      </c>
      <c r="BT567" t="str">
        <f>HYPERLINK("https%3A%2F%2Fwww.webofscience.com%2Fwos%2Fwoscc%2Ffull-record%2FWOS:000224482000008","View Full Record in Web of Science")</f>
        <v>View Full Record in Web of Science</v>
      </c>
    </row>
    <row r="568" spans="1:72" x14ac:dyDescent="0.4">
      <c r="A568" t="s">
        <v>72</v>
      </c>
      <c r="B568" t="s">
        <v>6269</v>
      </c>
      <c r="C568" t="s">
        <v>74</v>
      </c>
      <c r="D568" t="s">
        <v>74</v>
      </c>
      <c r="E568" t="s">
        <v>74</v>
      </c>
      <c r="F568" t="s">
        <v>6270</v>
      </c>
      <c r="G568" t="s">
        <v>74</v>
      </c>
      <c r="H568" t="s">
        <v>74</v>
      </c>
      <c r="I568" t="s">
        <v>6271</v>
      </c>
      <c r="J568" t="s">
        <v>654</v>
      </c>
      <c r="K568" t="s">
        <v>74</v>
      </c>
      <c r="L568" t="s">
        <v>74</v>
      </c>
      <c r="M568" t="s">
        <v>74</v>
      </c>
      <c r="N568" t="s">
        <v>74</v>
      </c>
      <c r="O568" t="s">
        <v>74</v>
      </c>
      <c r="P568" t="s">
        <v>74</v>
      </c>
      <c r="Q568" t="s">
        <v>74</v>
      </c>
      <c r="R568" t="s">
        <v>74</v>
      </c>
      <c r="S568" t="s">
        <v>74</v>
      </c>
      <c r="T568" t="s">
        <v>74</v>
      </c>
      <c r="U568" t="s">
        <v>74</v>
      </c>
      <c r="V568" s="3" t="s">
        <v>6272</v>
      </c>
      <c r="W568" t="s">
        <v>74</v>
      </c>
      <c r="X568" t="s">
        <v>74</v>
      </c>
      <c r="Y568" t="s">
        <v>74</v>
      </c>
      <c r="Z568" t="s">
        <v>74</v>
      </c>
      <c r="AA568" t="s">
        <v>74</v>
      </c>
      <c r="AB568" t="s">
        <v>6273</v>
      </c>
      <c r="AC568" t="s">
        <v>74</v>
      </c>
      <c r="AD568" t="s">
        <v>74</v>
      </c>
      <c r="AE568" t="s">
        <v>74</v>
      </c>
      <c r="AF568" t="s">
        <v>74</v>
      </c>
      <c r="AG568" t="s">
        <v>74</v>
      </c>
      <c r="AH568" t="s">
        <v>74</v>
      </c>
      <c r="AI568" t="s">
        <v>74</v>
      </c>
      <c r="AJ568" t="s">
        <v>74</v>
      </c>
      <c r="AK568" t="s">
        <v>74</v>
      </c>
      <c r="AL568" t="s">
        <v>74</v>
      </c>
      <c r="AM568" t="s">
        <v>74</v>
      </c>
      <c r="AN568" t="s">
        <v>74</v>
      </c>
      <c r="AO568" t="s">
        <v>658</v>
      </c>
      <c r="AP568" t="s">
        <v>74</v>
      </c>
      <c r="AQ568" t="s">
        <v>74</v>
      </c>
      <c r="AR568" t="s">
        <v>74</v>
      </c>
      <c r="AS568" t="s">
        <v>74</v>
      </c>
      <c r="AT568" t="s">
        <v>145</v>
      </c>
      <c r="AU568">
        <v>2021</v>
      </c>
      <c r="AV568">
        <v>11</v>
      </c>
      <c r="AW568">
        <v>16</v>
      </c>
      <c r="AX568" t="s">
        <v>74</v>
      </c>
      <c r="AY568" t="s">
        <v>74</v>
      </c>
      <c r="AZ568" t="s">
        <v>74</v>
      </c>
      <c r="BA568" t="s">
        <v>74</v>
      </c>
      <c r="BB568">
        <v>11038</v>
      </c>
      <c r="BC568">
        <v>11050</v>
      </c>
      <c r="BD568" t="s">
        <v>74</v>
      </c>
      <c r="BE568" t="s">
        <v>6274</v>
      </c>
      <c r="BF568" t="str">
        <f>HYPERLINK("http://dx.doi.org/10.1002/ece3.7892","http://dx.doi.org/10.1002/ece3.7892")</f>
        <v>http://dx.doi.org/10.1002/ece3.7892</v>
      </c>
      <c r="BG568" t="s">
        <v>74</v>
      </c>
      <c r="BH568" t="s">
        <v>3826</v>
      </c>
      <c r="BI568" t="s">
        <v>74</v>
      </c>
      <c r="BJ568" t="s">
        <v>74</v>
      </c>
      <c r="BK568" t="s">
        <v>74</v>
      </c>
      <c r="BL568" t="s">
        <v>74</v>
      </c>
      <c r="BM568" t="s">
        <v>74</v>
      </c>
      <c r="BN568">
        <v>34429901</v>
      </c>
      <c r="BO568" t="s">
        <v>74</v>
      </c>
      <c r="BP568" t="s">
        <v>74</v>
      </c>
      <c r="BQ568" t="s">
        <v>74</v>
      </c>
      <c r="BR568" t="s">
        <v>74</v>
      </c>
      <c r="BS568" t="s">
        <v>6275</v>
      </c>
      <c r="BT568" t="str">
        <f>HYPERLINK("https%3A%2F%2Fwww.webofscience.com%2Fwos%2Fwoscc%2Ffull-record%2FWOS:000670837800001","View Full Record in Web of Science")</f>
        <v>View Full Record in Web of Science</v>
      </c>
    </row>
    <row r="569" spans="1:72" x14ac:dyDescent="0.4">
      <c r="A569" t="s">
        <v>72</v>
      </c>
      <c r="B569" t="s">
        <v>8184</v>
      </c>
      <c r="C569" t="s">
        <v>74</v>
      </c>
      <c r="D569" t="s">
        <v>74</v>
      </c>
      <c r="E569" t="s">
        <v>74</v>
      </c>
      <c r="F569" t="s">
        <v>8184</v>
      </c>
      <c r="G569" t="s">
        <v>74</v>
      </c>
      <c r="H569" t="s">
        <v>74</v>
      </c>
      <c r="I569" t="s">
        <v>8185</v>
      </c>
      <c r="J569" t="s">
        <v>8186</v>
      </c>
      <c r="K569" t="s">
        <v>74</v>
      </c>
      <c r="L569" t="s">
        <v>74</v>
      </c>
      <c r="M569" t="s">
        <v>74</v>
      </c>
      <c r="N569" t="s">
        <v>74</v>
      </c>
      <c r="O569" t="s">
        <v>74</v>
      </c>
      <c r="P569" t="s">
        <v>74</v>
      </c>
      <c r="Q569" t="s">
        <v>74</v>
      </c>
      <c r="R569" t="s">
        <v>74</v>
      </c>
      <c r="S569" t="s">
        <v>74</v>
      </c>
      <c r="T569" t="s">
        <v>74</v>
      </c>
      <c r="U569" t="s">
        <v>74</v>
      </c>
      <c r="V569" s="3" t="s">
        <v>8187</v>
      </c>
      <c r="W569" t="s">
        <v>74</v>
      </c>
      <c r="X569" t="s">
        <v>74</v>
      </c>
      <c r="Y569" t="s">
        <v>74</v>
      </c>
      <c r="Z569" t="s">
        <v>74</v>
      </c>
      <c r="AA569" t="s">
        <v>8188</v>
      </c>
      <c r="AB569" t="s">
        <v>8189</v>
      </c>
      <c r="AC569" t="s">
        <v>74</v>
      </c>
      <c r="AD569" t="s">
        <v>74</v>
      </c>
      <c r="AE569" t="s">
        <v>74</v>
      </c>
      <c r="AF569" t="s">
        <v>74</v>
      </c>
      <c r="AG569" t="s">
        <v>74</v>
      </c>
      <c r="AH569" t="s">
        <v>74</v>
      </c>
      <c r="AI569" t="s">
        <v>74</v>
      </c>
      <c r="AJ569" t="s">
        <v>74</v>
      </c>
      <c r="AK569" t="s">
        <v>74</v>
      </c>
      <c r="AL569" t="s">
        <v>74</v>
      </c>
      <c r="AM569" t="s">
        <v>74</v>
      </c>
      <c r="AN569" t="s">
        <v>74</v>
      </c>
      <c r="AO569" t="s">
        <v>8190</v>
      </c>
      <c r="AP569" t="s">
        <v>8191</v>
      </c>
      <c r="AQ569" t="s">
        <v>74</v>
      </c>
      <c r="AR569" t="s">
        <v>74</v>
      </c>
      <c r="AS569" t="s">
        <v>74</v>
      </c>
      <c r="AT569" t="s">
        <v>352</v>
      </c>
      <c r="AU569">
        <v>2004</v>
      </c>
      <c r="AV569">
        <v>82</v>
      </c>
      <c r="AW569">
        <v>2</v>
      </c>
      <c r="AX569" t="s">
        <v>74</v>
      </c>
      <c r="AY569" t="s">
        <v>74</v>
      </c>
      <c r="AZ569" t="s">
        <v>74</v>
      </c>
      <c r="BA569" t="s">
        <v>74</v>
      </c>
      <c r="BB569">
        <v>99</v>
      </c>
      <c r="BC569">
        <v>108</v>
      </c>
      <c r="BD569" t="s">
        <v>74</v>
      </c>
      <c r="BE569" t="s">
        <v>8192</v>
      </c>
      <c r="BF569" t="str">
        <f>HYPERLINK("http://dx.doi.org/10.1016/j.nlm.2004.05.001","http://dx.doi.org/10.1016/j.nlm.2004.05.001")</f>
        <v>http://dx.doi.org/10.1016/j.nlm.2004.05.001</v>
      </c>
      <c r="BG569" t="s">
        <v>74</v>
      </c>
      <c r="BH569" t="s">
        <v>74</v>
      </c>
      <c r="BI569" t="s">
        <v>74</v>
      </c>
      <c r="BJ569" t="s">
        <v>74</v>
      </c>
      <c r="BK569" t="s">
        <v>74</v>
      </c>
      <c r="BL569" t="s">
        <v>74</v>
      </c>
      <c r="BM569" t="s">
        <v>74</v>
      </c>
      <c r="BN569">
        <v>15341795</v>
      </c>
      <c r="BO569" t="s">
        <v>74</v>
      </c>
      <c r="BP569" t="s">
        <v>74</v>
      </c>
      <c r="BQ569" t="s">
        <v>74</v>
      </c>
      <c r="BR569" t="s">
        <v>74</v>
      </c>
      <c r="BS569" t="s">
        <v>8193</v>
      </c>
      <c r="BT569" t="str">
        <f>HYPERLINK("https%3A%2F%2Fwww.webofscience.com%2Fwos%2Fwoscc%2Ffull-record%2FWOS:000223495300006","View Full Record in Web of Science")</f>
        <v>View Full Record in Web of Science</v>
      </c>
    </row>
    <row r="570" spans="1:72" x14ac:dyDescent="0.4">
      <c r="A570" t="s">
        <v>72</v>
      </c>
      <c r="B570" t="s">
        <v>3236</v>
      </c>
      <c r="C570" t="s">
        <v>74</v>
      </c>
      <c r="D570" t="s">
        <v>74</v>
      </c>
      <c r="E570" t="s">
        <v>74</v>
      </c>
      <c r="F570" t="s">
        <v>3236</v>
      </c>
      <c r="G570" t="s">
        <v>74</v>
      </c>
      <c r="H570" t="s">
        <v>74</v>
      </c>
      <c r="I570" t="s">
        <v>3237</v>
      </c>
      <c r="J570" t="s">
        <v>3238</v>
      </c>
      <c r="K570" t="s">
        <v>74</v>
      </c>
      <c r="L570" t="s">
        <v>74</v>
      </c>
      <c r="M570" t="s">
        <v>74</v>
      </c>
      <c r="N570" t="s">
        <v>74</v>
      </c>
      <c r="O570" t="s">
        <v>74</v>
      </c>
      <c r="P570" t="s">
        <v>74</v>
      </c>
      <c r="Q570" t="s">
        <v>74</v>
      </c>
      <c r="R570" t="s">
        <v>74</v>
      </c>
      <c r="S570" t="s">
        <v>74</v>
      </c>
      <c r="T570" t="s">
        <v>74</v>
      </c>
      <c r="U570" t="s">
        <v>74</v>
      </c>
      <c r="V570" s="3" t="s">
        <v>3239</v>
      </c>
      <c r="W570" t="s">
        <v>74</v>
      </c>
      <c r="X570" t="s">
        <v>74</v>
      </c>
      <c r="Y570" t="s">
        <v>74</v>
      </c>
      <c r="Z570" t="s">
        <v>74</v>
      </c>
      <c r="AA570" t="s">
        <v>74</v>
      </c>
      <c r="AB570" t="s">
        <v>74</v>
      </c>
      <c r="AC570" t="s">
        <v>74</v>
      </c>
      <c r="AD570" t="s">
        <v>74</v>
      </c>
      <c r="AE570" t="s">
        <v>74</v>
      </c>
      <c r="AF570" t="s">
        <v>74</v>
      </c>
      <c r="AG570" t="s">
        <v>74</v>
      </c>
      <c r="AH570" t="s">
        <v>74</v>
      </c>
      <c r="AI570" t="s">
        <v>74</v>
      </c>
      <c r="AJ570" t="s">
        <v>74</v>
      </c>
      <c r="AK570" t="s">
        <v>74</v>
      </c>
      <c r="AL570" t="s">
        <v>74</v>
      </c>
      <c r="AM570" t="s">
        <v>74</v>
      </c>
      <c r="AN570" t="s">
        <v>74</v>
      </c>
      <c r="AO570" t="s">
        <v>3240</v>
      </c>
      <c r="AP570" t="s">
        <v>3241</v>
      </c>
      <c r="AQ570" t="s">
        <v>74</v>
      </c>
      <c r="AR570" t="s">
        <v>74</v>
      </c>
      <c r="AS570" t="s">
        <v>74</v>
      </c>
      <c r="AT570" t="s">
        <v>74</v>
      </c>
      <c r="AU570">
        <v>1983</v>
      </c>
      <c r="AV570">
        <v>76</v>
      </c>
      <c r="AW570">
        <v>2</v>
      </c>
      <c r="AX570" t="s">
        <v>74</v>
      </c>
      <c r="AY570" t="s">
        <v>74</v>
      </c>
      <c r="AZ570" t="s">
        <v>74</v>
      </c>
      <c r="BA570" t="s">
        <v>74</v>
      </c>
      <c r="BB570">
        <v>197</v>
      </c>
      <c r="BC570">
        <v>204</v>
      </c>
      <c r="BD570" t="s">
        <v>74</v>
      </c>
      <c r="BE570" t="s">
        <v>3242</v>
      </c>
      <c r="BF570" t="str">
        <f>HYPERLINK("http://dx.doi.org/10.1093/aesa/76.2.197","http://dx.doi.org/10.1093/aesa/76.2.197")</f>
        <v>http://dx.doi.org/10.1093/aesa/76.2.197</v>
      </c>
      <c r="BG570" t="s">
        <v>74</v>
      </c>
      <c r="BH570" t="s">
        <v>74</v>
      </c>
      <c r="BI570" t="s">
        <v>74</v>
      </c>
      <c r="BJ570" t="s">
        <v>74</v>
      </c>
      <c r="BK570" t="s">
        <v>74</v>
      </c>
      <c r="BL570" t="s">
        <v>74</v>
      </c>
      <c r="BM570" t="s">
        <v>74</v>
      </c>
      <c r="BN570" t="s">
        <v>74</v>
      </c>
      <c r="BO570" t="s">
        <v>74</v>
      </c>
      <c r="BP570" t="s">
        <v>74</v>
      </c>
      <c r="BQ570" t="s">
        <v>74</v>
      </c>
      <c r="BR570" t="s">
        <v>74</v>
      </c>
      <c r="BS570" t="s">
        <v>3243</v>
      </c>
      <c r="BT570" t="str">
        <f>HYPERLINK("https%3A%2F%2Fwww.webofscience.com%2Fwos%2Fwoscc%2Ffull-record%2FWOS:A1983QE09100008","View Full Record in Web of Science")</f>
        <v>View Full Record in Web of Science</v>
      </c>
    </row>
    <row r="571" spans="1:72" x14ac:dyDescent="0.4">
      <c r="A571" t="s">
        <v>72</v>
      </c>
      <c r="B571" t="s">
        <v>394</v>
      </c>
      <c r="C571" t="s">
        <v>74</v>
      </c>
      <c r="D571" t="s">
        <v>74</v>
      </c>
      <c r="E571" t="s">
        <v>74</v>
      </c>
      <c r="F571" t="s">
        <v>395</v>
      </c>
      <c r="G571" t="s">
        <v>74</v>
      </c>
      <c r="H571" t="s">
        <v>74</v>
      </c>
      <c r="I571" t="s">
        <v>396</v>
      </c>
      <c r="J571" t="s">
        <v>397</v>
      </c>
      <c r="K571" t="s">
        <v>74</v>
      </c>
      <c r="L571" t="s">
        <v>74</v>
      </c>
      <c r="M571" t="s">
        <v>74</v>
      </c>
      <c r="N571" t="s">
        <v>74</v>
      </c>
      <c r="O571" t="s">
        <v>74</v>
      </c>
      <c r="P571" t="s">
        <v>74</v>
      </c>
      <c r="Q571" t="s">
        <v>74</v>
      </c>
      <c r="R571" t="s">
        <v>74</v>
      </c>
      <c r="S571" t="s">
        <v>74</v>
      </c>
      <c r="T571" t="s">
        <v>74</v>
      </c>
      <c r="U571" t="s">
        <v>74</v>
      </c>
      <c r="V571" s="3" t="s">
        <v>398</v>
      </c>
      <c r="W571" t="s">
        <v>74</v>
      </c>
      <c r="X571" t="s">
        <v>74</v>
      </c>
      <c r="Y571" t="s">
        <v>74</v>
      </c>
      <c r="Z571" t="s">
        <v>74</v>
      </c>
      <c r="AA571" t="s">
        <v>399</v>
      </c>
      <c r="AB571" t="s">
        <v>400</v>
      </c>
      <c r="AC571" t="s">
        <v>74</v>
      </c>
      <c r="AD571" t="s">
        <v>74</v>
      </c>
      <c r="AE571" t="s">
        <v>74</v>
      </c>
      <c r="AF571" t="s">
        <v>74</v>
      </c>
      <c r="AG571" t="s">
        <v>74</v>
      </c>
      <c r="AH571" t="s">
        <v>74</v>
      </c>
      <c r="AI571" t="s">
        <v>74</v>
      </c>
      <c r="AJ571" t="s">
        <v>74</v>
      </c>
      <c r="AK571" t="s">
        <v>74</v>
      </c>
      <c r="AL571" t="s">
        <v>74</v>
      </c>
      <c r="AM571" t="s">
        <v>74</v>
      </c>
      <c r="AN571" t="s">
        <v>74</v>
      </c>
      <c r="AO571" t="s">
        <v>401</v>
      </c>
      <c r="AP571" t="s">
        <v>402</v>
      </c>
      <c r="AQ571" t="s">
        <v>74</v>
      </c>
      <c r="AR571" t="s">
        <v>74</v>
      </c>
      <c r="AS571" t="s">
        <v>74</v>
      </c>
      <c r="AT571" t="s">
        <v>213</v>
      </c>
      <c r="AU571">
        <v>2016</v>
      </c>
      <c r="AV571">
        <v>15</v>
      </c>
      <c r="AW571">
        <v>8</v>
      </c>
      <c r="AX571" t="s">
        <v>74</v>
      </c>
      <c r="AY571" t="s">
        <v>74</v>
      </c>
      <c r="AZ571" t="s">
        <v>74</v>
      </c>
      <c r="BA571" t="s">
        <v>74</v>
      </c>
      <c r="BB571">
        <v>733</v>
      </c>
      <c r="BC571">
        <v>740</v>
      </c>
      <c r="BD571" t="s">
        <v>74</v>
      </c>
      <c r="BE571" t="s">
        <v>403</v>
      </c>
      <c r="BF571" t="str">
        <f>HYPERLINK("http://dx.doi.org/10.1111/gbb.12313","http://dx.doi.org/10.1111/gbb.12313")</f>
        <v>http://dx.doi.org/10.1111/gbb.12313</v>
      </c>
      <c r="BG571" t="s">
        <v>74</v>
      </c>
      <c r="BH571" t="s">
        <v>74</v>
      </c>
      <c r="BI571" t="s">
        <v>74</v>
      </c>
      <c r="BJ571" t="s">
        <v>74</v>
      </c>
      <c r="BK571" t="s">
        <v>74</v>
      </c>
      <c r="BL571" t="s">
        <v>74</v>
      </c>
      <c r="BM571" t="s">
        <v>74</v>
      </c>
      <c r="BN571">
        <v>27489198</v>
      </c>
      <c r="BO571" t="s">
        <v>74</v>
      </c>
      <c r="BP571" t="s">
        <v>74</v>
      </c>
      <c r="BQ571" t="s">
        <v>74</v>
      </c>
      <c r="BR571" t="s">
        <v>74</v>
      </c>
      <c r="BS571" t="s">
        <v>404</v>
      </c>
      <c r="BT571" t="str">
        <f>HYPERLINK("https%3A%2F%2Fwww.webofscience.com%2Fwos%2Fwoscc%2Ffull-record%2FWOS:000393079000005","View Full Record in Web of Science")</f>
        <v>View Full Record in Web of Science</v>
      </c>
    </row>
    <row r="572" spans="1:72" x14ac:dyDescent="0.4">
      <c r="A572" t="s">
        <v>72</v>
      </c>
      <c r="B572" t="s">
        <v>4096</v>
      </c>
      <c r="C572" t="s">
        <v>74</v>
      </c>
      <c r="D572" t="s">
        <v>74</v>
      </c>
      <c r="E572" t="s">
        <v>74</v>
      </c>
      <c r="F572" t="s">
        <v>4097</v>
      </c>
      <c r="G572" t="s">
        <v>74</v>
      </c>
      <c r="H572" t="s">
        <v>74</v>
      </c>
      <c r="I572" t="s">
        <v>4098</v>
      </c>
      <c r="J572" t="s">
        <v>218</v>
      </c>
      <c r="K572" t="s">
        <v>74</v>
      </c>
      <c r="L572" t="s">
        <v>74</v>
      </c>
      <c r="M572" t="s">
        <v>74</v>
      </c>
      <c r="N572" t="s">
        <v>74</v>
      </c>
      <c r="O572" t="s">
        <v>74</v>
      </c>
      <c r="P572" t="s">
        <v>74</v>
      </c>
      <c r="Q572" t="s">
        <v>74</v>
      </c>
      <c r="R572" t="s">
        <v>74</v>
      </c>
      <c r="S572" t="s">
        <v>74</v>
      </c>
      <c r="T572" t="s">
        <v>74</v>
      </c>
      <c r="U572" t="s">
        <v>74</v>
      </c>
      <c r="V572" s="3" t="s">
        <v>4099</v>
      </c>
      <c r="W572" t="s">
        <v>74</v>
      </c>
      <c r="X572" t="s">
        <v>74</v>
      </c>
      <c r="Y572" t="s">
        <v>74</v>
      </c>
      <c r="Z572" t="s">
        <v>74</v>
      </c>
      <c r="AA572" t="s">
        <v>74</v>
      </c>
      <c r="AB572" t="s">
        <v>4100</v>
      </c>
      <c r="AC572" t="s">
        <v>74</v>
      </c>
      <c r="AD572" t="s">
        <v>74</v>
      </c>
      <c r="AE572" t="s">
        <v>74</v>
      </c>
      <c r="AF572" t="s">
        <v>74</v>
      </c>
      <c r="AG572" t="s">
        <v>74</v>
      </c>
      <c r="AH572" t="s">
        <v>74</v>
      </c>
      <c r="AI572" t="s">
        <v>74</v>
      </c>
      <c r="AJ572" t="s">
        <v>74</v>
      </c>
      <c r="AK572" t="s">
        <v>74</v>
      </c>
      <c r="AL572" t="s">
        <v>74</v>
      </c>
      <c r="AM572" t="s">
        <v>74</v>
      </c>
      <c r="AN572" t="s">
        <v>74</v>
      </c>
      <c r="AO572" t="s">
        <v>221</v>
      </c>
      <c r="AP572" t="s">
        <v>222</v>
      </c>
      <c r="AQ572" t="s">
        <v>74</v>
      </c>
      <c r="AR572" t="s">
        <v>74</v>
      </c>
      <c r="AS572" t="s">
        <v>74</v>
      </c>
      <c r="AT572" t="s">
        <v>3302</v>
      </c>
      <c r="AU572">
        <v>2024</v>
      </c>
      <c r="AV572">
        <v>37</v>
      </c>
      <c r="AW572">
        <v>3</v>
      </c>
      <c r="AX572" t="s">
        <v>74</v>
      </c>
      <c r="AY572" t="s">
        <v>74</v>
      </c>
      <c r="AZ572" t="s">
        <v>74</v>
      </c>
      <c r="BA572" t="s">
        <v>74</v>
      </c>
      <c r="BB572">
        <v>267</v>
      </c>
      <c r="BC572">
        <v>273</v>
      </c>
      <c r="BD572" t="s">
        <v>74</v>
      </c>
      <c r="BE572" t="s">
        <v>4101</v>
      </c>
      <c r="BF572" t="str">
        <f>HYPERLINK("http://dx.doi.org/10.1093/jeb/voae010","http://dx.doi.org/10.1093/jeb/voae010")</f>
        <v>http://dx.doi.org/10.1093/jeb/voae010</v>
      </c>
      <c r="BG572" t="s">
        <v>74</v>
      </c>
      <c r="BH572" t="s">
        <v>583</v>
      </c>
      <c r="BI572" t="s">
        <v>74</v>
      </c>
      <c r="BJ572" t="s">
        <v>74</v>
      </c>
      <c r="BK572" t="s">
        <v>74</v>
      </c>
      <c r="BL572" t="s">
        <v>74</v>
      </c>
      <c r="BM572" t="s">
        <v>74</v>
      </c>
      <c r="BN572">
        <v>38306464</v>
      </c>
      <c r="BO572" t="s">
        <v>74</v>
      </c>
      <c r="BP572" t="s">
        <v>74</v>
      </c>
      <c r="BQ572" t="s">
        <v>74</v>
      </c>
      <c r="BR572" t="s">
        <v>74</v>
      </c>
      <c r="BS572" t="s">
        <v>4102</v>
      </c>
      <c r="BT572" t="str">
        <f>HYPERLINK("https%3A%2F%2Fwww.webofscience.com%2Fwos%2Fwoscc%2Ffull-record%2FWOS:001155391900001","View Full Record in Web of Science")</f>
        <v>View Full Record in Web of Science</v>
      </c>
    </row>
    <row r="573" spans="1:72" x14ac:dyDescent="0.4">
      <c r="A573" t="s">
        <v>72</v>
      </c>
      <c r="B573" t="s">
        <v>178</v>
      </c>
      <c r="C573" t="s">
        <v>74</v>
      </c>
      <c r="D573" t="s">
        <v>74</v>
      </c>
      <c r="E573" t="s">
        <v>74</v>
      </c>
      <c r="F573" t="s">
        <v>179</v>
      </c>
      <c r="G573" t="s">
        <v>74</v>
      </c>
      <c r="H573" t="s">
        <v>74</v>
      </c>
      <c r="I573" t="s">
        <v>180</v>
      </c>
      <c r="J573" t="s">
        <v>181</v>
      </c>
      <c r="K573" t="s">
        <v>74</v>
      </c>
      <c r="L573" t="s">
        <v>74</v>
      </c>
      <c r="M573" t="s">
        <v>74</v>
      </c>
      <c r="N573" t="s">
        <v>74</v>
      </c>
      <c r="O573" t="s">
        <v>74</v>
      </c>
      <c r="P573" t="s">
        <v>74</v>
      </c>
      <c r="Q573" t="s">
        <v>74</v>
      </c>
      <c r="R573" t="s">
        <v>74</v>
      </c>
      <c r="S573" t="s">
        <v>74</v>
      </c>
      <c r="T573" t="s">
        <v>74</v>
      </c>
      <c r="U573" t="s">
        <v>74</v>
      </c>
      <c r="V573" s="3" t="s">
        <v>182</v>
      </c>
      <c r="W573" t="s">
        <v>74</v>
      </c>
      <c r="X573" t="s">
        <v>74</v>
      </c>
      <c r="Y573" t="s">
        <v>74</v>
      </c>
      <c r="Z573" t="s">
        <v>74</v>
      </c>
      <c r="AA573" t="s">
        <v>183</v>
      </c>
      <c r="AB573" t="s">
        <v>184</v>
      </c>
      <c r="AC573" t="s">
        <v>74</v>
      </c>
      <c r="AD573" t="s">
        <v>74</v>
      </c>
      <c r="AE573" t="s">
        <v>74</v>
      </c>
      <c r="AF573" t="s">
        <v>74</v>
      </c>
      <c r="AG573" t="s">
        <v>74</v>
      </c>
      <c r="AH573" t="s">
        <v>74</v>
      </c>
      <c r="AI573" t="s">
        <v>74</v>
      </c>
      <c r="AJ573" t="s">
        <v>74</v>
      </c>
      <c r="AK573" t="s">
        <v>74</v>
      </c>
      <c r="AL573" t="s">
        <v>74</v>
      </c>
      <c r="AM573" t="s">
        <v>74</v>
      </c>
      <c r="AN573" t="s">
        <v>74</v>
      </c>
      <c r="AO573" t="s">
        <v>185</v>
      </c>
      <c r="AP573" t="s">
        <v>74</v>
      </c>
      <c r="AQ573" t="s">
        <v>74</v>
      </c>
      <c r="AR573" t="s">
        <v>74</v>
      </c>
      <c r="AS573" t="s">
        <v>74</v>
      </c>
      <c r="AT573" t="s">
        <v>186</v>
      </c>
      <c r="AU573">
        <v>2015</v>
      </c>
      <c r="AV573">
        <v>13</v>
      </c>
      <c r="AW573" t="s">
        <v>74</v>
      </c>
      <c r="AX573" t="s">
        <v>74</v>
      </c>
      <c r="AY573" t="s">
        <v>74</v>
      </c>
      <c r="AZ573" t="s">
        <v>74</v>
      </c>
      <c r="BA573" t="s">
        <v>74</v>
      </c>
      <c r="BB573" t="s">
        <v>74</v>
      </c>
      <c r="BC573" t="s">
        <v>74</v>
      </c>
      <c r="BD573">
        <v>82</v>
      </c>
      <c r="BE573" t="s">
        <v>187</v>
      </c>
      <c r="BF573" t="str">
        <f>HYPERLINK("http://dx.doi.org/10.1186/s12915-015-0192-7","http://dx.doi.org/10.1186/s12915-015-0192-7")</f>
        <v>http://dx.doi.org/10.1186/s12915-015-0192-7</v>
      </c>
      <c r="BG573" t="s">
        <v>74</v>
      </c>
      <c r="BH573" t="s">
        <v>74</v>
      </c>
      <c r="BI573" t="s">
        <v>74</v>
      </c>
      <c r="BJ573" t="s">
        <v>74</v>
      </c>
      <c r="BK573" t="s">
        <v>74</v>
      </c>
      <c r="BL573" t="s">
        <v>74</v>
      </c>
      <c r="BM573" t="s">
        <v>74</v>
      </c>
      <c r="BN573">
        <v>26437665</v>
      </c>
      <c r="BO573" t="s">
        <v>74</v>
      </c>
      <c r="BP573" t="s">
        <v>74</v>
      </c>
      <c r="BQ573" t="s">
        <v>74</v>
      </c>
      <c r="BR573" t="s">
        <v>74</v>
      </c>
      <c r="BS573" t="s">
        <v>188</v>
      </c>
      <c r="BT573" t="str">
        <f>HYPERLINK("https%3A%2F%2Fwww.webofscience.com%2Fwos%2Fwoscc%2Ffull-record%2FWOS:000362280500001","View Full Record in Web of Science")</f>
        <v>View Full Record in Web of Science</v>
      </c>
    </row>
    <row r="574" spans="1:72" x14ac:dyDescent="0.4">
      <c r="A574" t="s">
        <v>72</v>
      </c>
      <c r="B574" t="s">
        <v>6589</v>
      </c>
      <c r="C574" t="s">
        <v>74</v>
      </c>
      <c r="D574" t="s">
        <v>74</v>
      </c>
      <c r="E574" t="s">
        <v>74</v>
      </c>
      <c r="F574" t="s">
        <v>6589</v>
      </c>
      <c r="G574" t="s">
        <v>74</v>
      </c>
      <c r="H574" t="s">
        <v>74</v>
      </c>
      <c r="I574" t="s">
        <v>6590</v>
      </c>
      <c r="J574" t="s">
        <v>77</v>
      </c>
      <c r="K574" t="s">
        <v>74</v>
      </c>
      <c r="L574" t="s">
        <v>74</v>
      </c>
      <c r="M574" t="s">
        <v>74</v>
      </c>
      <c r="N574" t="s">
        <v>74</v>
      </c>
      <c r="O574" t="s">
        <v>74</v>
      </c>
      <c r="P574" t="s">
        <v>74</v>
      </c>
      <c r="Q574" t="s">
        <v>74</v>
      </c>
      <c r="R574" t="s">
        <v>74</v>
      </c>
      <c r="S574" t="s">
        <v>74</v>
      </c>
      <c r="T574" t="s">
        <v>74</v>
      </c>
      <c r="U574" t="s">
        <v>74</v>
      </c>
      <c r="V574" s="3" t="s">
        <v>6591</v>
      </c>
      <c r="W574" t="s">
        <v>74</v>
      </c>
      <c r="X574" t="s">
        <v>74</v>
      </c>
      <c r="Y574" t="s">
        <v>74</v>
      </c>
      <c r="Z574" t="s">
        <v>74</v>
      </c>
      <c r="AA574" t="s">
        <v>74</v>
      </c>
      <c r="AB574" t="s">
        <v>74</v>
      </c>
      <c r="AC574" t="s">
        <v>74</v>
      </c>
      <c r="AD574" t="s">
        <v>74</v>
      </c>
      <c r="AE574" t="s">
        <v>74</v>
      </c>
      <c r="AF574" t="s">
        <v>74</v>
      </c>
      <c r="AG574" t="s">
        <v>74</v>
      </c>
      <c r="AH574" t="s">
        <v>74</v>
      </c>
      <c r="AI574" t="s">
        <v>74</v>
      </c>
      <c r="AJ574" t="s">
        <v>74</v>
      </c>
      <c r="AK574" t="s">
        <v>74</v>
      </c>
      <c r="AL574" t="s">
        <v>74</v>
      </c>
      <c r="AM574" t="s">
        <v>74</v>
      </c>
      <c r="AN574" t="s">
        <v>74</v>
      </c>
      <c r="AO574" t="s">
        <v>81</v>
      </c>
      <c r="AP574" t="s">
        <v>82</v>
      </c>
      <c r="AQ574" t="s">
        <v>74</v>
      </c>
      <c r="AR574" t="s">
        <v>74</v>
      </c>
      <c r="AS574" t="s">
        <v>74</v>
      </c>
      <c r="AT574" t="s">
        <v>74</v>
      </c>
      <c r="AU574">
        <v>1978</v>
      </c>
      <c r="AV574">
        <v>67</v>
      </c>
      <c r="AW574" t="s">
        <v>74</v>
      </c>
      <c r="AX574" t="s">
        <v>1276</v>
      </c>
      <c r="AY574" t="s">
        <v>74</v>
      </c>
      <c r="AZ574" t="s">
        <v>74</v>
      </c>
      <c r="BA574" t="s">
        <v>74</v>
      </c>
      <c r="BB574">
        <v>178</v>
      </c>
      <c r="BC574">
        <v>207</v>
      </c>
      <c r="BD574" t="s">
        <v>74</v>
      </c>
      <c r="BE574" t="s">
        <v>6592</v>
      </c>
      <c r="BF574" t="str">
        <f>HYPERLINK("http://dx.doi.org/10.1163/156853978X00323","http://dx.doi.org/10.1163/156853978X00323")</f>
        <v>http://dx.doi.org/10.1163/156853978X00323</v>
      </c>
      <c r="BG574" t="s">
        <v>74</v>
      </c>
      <c r="BH574" t="s">
        <v>74</v>
      </c>
      <c r="BI574" t="s">
        <v>74</v>
      </c>
      <c r="BJ574" t="s">
        <v>74</v>
      </c>
      <c r="BK574" t="s">
        <v>74</v>
      </c>
      <c r="BL574" t="s">
        <v>74</v>
      </c>
      <c r="BM574" t="s">
        <v>74</v>
      </c>
      <c r="BN574" t="s">
        <v>74</v>
      </c>
      <c r="BO574" t="s">
        <v>74</v>
      </c>
      <c r="BP574" t="s">
        <v>74</v>
      </c>
      <c r="BQ574" t="s">
        <v>74</v>
      </c>
      <c r="BR574" t="s">
        <v>74</v>
      </c>
      <c r="BS574" t="s">
        <v>6593</v>
      </c>
      <c r="BT574" t="str">
        <f>HYPERLINK("https%3A%2F%2Fwww.webofscience.com%2Fwos%2Fwoscc%2Ffull-record%2FWOS:A1978GF13900003","View Full Record in Web of Science")</f>
        <v>View Full Record in Web of Science</v>
      </c>
    </row>
    <row r="575" spans="1:72" x14ac:dyDescent="0.4">
      <c r="A575" t="s">
        <v>72</v>
      </c>
      <c r="B575" t="s">
        <v>4983</v>
      </c>
      <c r="C575" t="s">
        <v>74</v>
      </c>
      <c r="D575" t="s">
        <v>74</v>
      </c>
      <c r="E575" t="s">
        <v>74</v>
      </c>
      <c r="F575" t="s">
        <v>4984</v>
      </c>
      <c r="G575" t="s">
        <v>74</v>
      </c>
      <c r="H575" t="s">
        <v>74</v>
      </c>
      <c r="I575" t="s">
        <v>4985</v>
      </c>
      <c r="J575" t="s">
        <v>408</v>
      </c>
      <c r="K575" t="s">
        <v>74</v>
      </c>
      <c r="L575" t="s">
        <v>74</v>
      </c>
      <c r="M575" t="s">
        <v>74</v>
      </c>
      <c r="N575" t="s">
        <v>74</v>
      </c>
      <c r="O575" t="s">
        <v>74</v>
      </c>
      <c r="P575" t="s">
        <v>74</v>
      </c>
      <c r="Q575" t="s">
        <v>74</v>
      </c>
      <c r="R575" t="s">
        <v>74</v>
      </c>
      <c r="S575" t="s">
        <v>74</v>
      </c>
      <c r="T575" t="s">
        <v>74</v>
      </c>
      <c r="U575" t="s">
        <v>74</v>
      </c>
      <c r="V575" s="3" t="s">
        <v>4986</v>
      </c>
      <c r="W575" t="s">
        <v>74</v>
      </c>
      <c r="X575" t="s">
        <v>74</v>
      </c>
      <c r="Y575" t="s">
        <v>74</v>
      </c>
      <c r="Z575" t="s">
        <v>74</v>
      </c>
      <c r="AA575" t="s">
        <v>4987</v>
      </c>
      <c r="AB575" t="s">
        <v>4988</v>
      </c>
      <c r="AC575" t="s">
        <v>74</v>
      </c>
      <c r="AD575" t="s">
        <v>74</v>
      </c>
      <c r="AE575" t="s">
        <v>74</v>
      </c>
      <c r="AF575" t="s">
        <v>74</v>
      </c>
      <c r="AG575" t="s">
        <v>74</v>
      </c>
      <c r="AH575" t="s">
        <v>74</v>
      </c>
      <c r="AI575" t="s">
        <v>74</v>
      </c>
      <c r="AJ575" t="s">
        <v>74</v>
      </c>
      <c r="AK575" t="s">
        <v>74</v>
      </c>
      <c r="AL575" t="s">
        <v>74</v>
      </c>
      <c r="AM575" t="s">
        <v>74</v>
      </c>
      <c r="AN575" t="s">
        <v>74</v>
      </c>
      <c r="AO575" t="s">
        <v>412</v>
      </c>
      <c r="AP575" t="s">
        <v>413</v>
      </c>
      <c r="AQ575" t="s">
        <v>74</v>
      </c>
      <c r="AR575" t="s">
        <v>74</v>
      </c>
      <c r="AS575" t="s">
        <v>74</v>
      </c>
      <c r="AT575" t="s">
        <v>213</v>
      </c>
      <c r="AU575">
        <v>2021</v>
      </c>
      <c r="AV575">
        <v>134</v>
      </c>
      <c r="AW575">
        <v>3</v>
      </c>
      <c r="AX575" t="s">
        <v>74</v>
      </c>
      <c r="AY575" t="s">
        <v>74</v>
      </c>
      <c r="AZ575" t="s">
        <v>74</v>
      </c>
      <c r="BA575" t="s">
        <v>74</v>
      </c>
      <c r="BB575">
        <v>685</v>
      </c>
      <c r="BC575">
        <v>696</v>
      </c>
      <c r="BD575" t="s">
        <v>74</v>
      </c>
      <c r="BE575" t="s">
        <v>4989</v>
      </c>
      <c r="BF575" t="str">
        <f>HYPERLINK("http://dx.doi.org/10.1093/biolinnean/blab102","http://dx.doi.org/10.1093/biolinnean/blab102")</f>
        <v>http://dx.doi.org/10.1093/biolinnean/blab102</v>
      </c>
      <c r="BG575" t="s">
        <v>74</v>
      </c>
      <c r="BH575" t="s">
        <v>4990</v>
      </c>
      <c r="BI575" t="s">
        <v>74</v>
      </c>
      <c r="BJ575" t="s">
        <v>74</v>
      </c>
      <c r="BK575" t="s">
        <v>74</v>
      </c>
      <c r="BL575" t="s">
        <v>74</v>
      </c>
      <c r="BM575" t="s">
        <v>74</v>
      </c>
      <c r="BN575" t="s">
        <v>74</v>
      </c>
      <c r="BO575" t="s">
        <v>74</v>
      </c>
      <c r="BP575" t="s">
        <v>74</v>
      </c>
      <c r="BQ575" t="s">
        <v>74</v>
      </c>
      <c r="BR575" t="s">
        <v>74</v>
      </c>
      <c r="BS575" t="s">
        <v>4991</v>
      </c>
      <c r="BT575" t="str">
        <f>HYPERLINK("https%3A%2F%2Fwww.webofscience.com%2Fwos%2Fwoscc%2Ffull-record%2FWOS:000715341100013","View Full Record in Web of Science")</f>
        <v>View Full Record in Web of Science</v>
      </c>
    </row>
    <row r="576" spans="1:72" x14ac:dyDescent="0.4">
      <c r="A576" t="s">
        <v>72</v>
      </c>
      <c r="B576" t="s">
        <v>7122</v>
      </c>
      <c r="C576" t="s">
        <v>74</v>
      </c>
      <c r="D576" t="s">
        <v>74</v>
      </c>
      <c r="E576" t="s">
        <v>74</v>
      </c>
      <c r="F576" t="s">
        <v>7123</v>
      </c>
      <c r="G576" t="s">
        <v>74</v>
      </c>
      <c r="H576" t="s">
        <v>74</v>
      </c>
      <c r="I576" t="s">
        <v>7124</v>
      </c>
      <c r="J576" t="s">
        <v>1656</v>
      </c>
      <c r="K576" t="s">
        <v>74</v>
      </c>
      <c r="L576" t="s">
        <v>74</v>
      </c>
      <c r="M576" t="s">
        <v>74</v>
      </c>
      <c r="N576" t="s">
        <v>74</v>
      </c>
      <c r="O576" t="s">
        <v>74</v>
      </c>
      <c r="P576" t="s">
        <v>74</v>
      </c>
      <c r="Q576" t="s">
        <v>74</v>
      </c>
      <c r="R576" t="s">
        <v>74</v>
      </c>
      <c r="S576" t="s">
        <v>74</v>
      </c>
      <c r="T576" t="s">
        <v>74</v>
      </c>
      <c r="U576" t="s">
        <v>74</v>
      </c>
      <c r="V576" s="3" t="s">
        <v>7125</v>
      </c>
      <c r="W576" t="s">
        <v>74</v>
      </c>
      <c r="X576" t="s">
        <v>74</v>
      </c>
      <c r="Y576" t="s">
        <v>74</v>
      </c>
      <c r="Z576" t="s">
        <v>74</v>
      </c>
      <c r="AA576" t="s">
        <v>7126</v>
      </c>
      <c r="AB576" t="s">
        <v>7127</v>
      </c>
      <c r="AC576" t="s">
        <v>74</v>
      </c>
      <c r="AD576" t="s">
        <v>74</v>
      </c>
      <c r="AE576" t="s">
        <v>74</v>
      </c>
      <c r="AF576" t="s">
        <v>74</v>
      </c>
      <c r="AG576" t="s">
        <v>74</v>
      </c>
      <c r="AH576" t="s">
        <v>74</v>
      </c>
      <c r="AI576" t="s">
        <v>74</v>
      </c>
      <c r="AJ576" t="s">
        <v>74</v>
      </c>
      <c r="AK576" t="s">
        <v>74</v>
      </c>
      <c r="AL576" t="s">
        <v>74</v>
      </c>
      <c r="AM576" t="s">
        <v>74</v>
      </c>
      <c r="AN576" t="s">
        <v>74</v>
      </c>
      <c r="AO576" t="s">
        <v>1658</v>
      </c>
      <c r="AP576" t="s">
        <v>1659</v>
      </c>
      <c r="AQ576" t="s">
        <v>74</v>
      </c>
      <c r="AR576" t="s">
        <v>74</v>
      </c>
      <c r="AS576" t="s">
        <v>74</v>
      </c>
      <c r="AT576" t="s">
        <v>7128</v>
      </c>
      <c r="AU576">
        <v>2022</v>
      </c>
      <c r="AV576">
        <v>5155</v>
      </c>
      <c r="AW576">
        <v>4</v>
      </c>
      <c r="AX576" t="s">
        <v>74</v>
      </c>
      <c r="AY576" t="s">
        <v>74</v>
      </c>
      <c r="AZ576" t="s">
        <v>74</v>
      </c>
      <c r="BA576" t="s">
        <v>74</v>
      </c>
      <c r="BB576">
        <v>564</v>
      </c>
      <c r="BC576">
        <v>580</v>
      </c>
      <c r="BD576" t="s">
        <v>74</v>
      </c>
      <c r="BE576" t="s">
        <v>7129</v>
      </c>
      <c r="BF576" t="str">
        <f>HYPERLINK("http://dx.doi.org/10.11646/zootaxa.5155.4.6","http://dx.doi.org/10.11646/zootaxa.5155.4.6")</f>
        <v>http://dx.doi.org/10.11646/zootaxa.5155.4.6</v>
      </c>
      <c r="BG576" t="s">
        <v>74</v>
      </c>
      <c r="BH576" t="s">
        <v>74</v>
      </c>
      <c r="BI576" t="s">
        <v>74</v>
      </c>
      <c r="BJ576" t="s">
        <v>74</v>
      </c>
      <c r="BK576" t="s">
        <v>74</v>
      </c>
      <c r="BL576" t="s">
        <v>74</v>
      </c>
      <c r="BM576" t="s">
        <v>74</v>
      </c>
      <c r="BN576">
        <v>36095567</v>
      </c>
      <c r="BO576" t="s">
        <v>74</v>
      </c>
      <c r="BP576" t="s">
        <v>74</v>
      </c>
      <c r="BQ576" t="s">
        <v>74</v>
      </c>
      <c r="BR576" t="s">
        <v>74</v>
      </c>
      <c r="BS576" t="s">
        <v>7130</v>
      </c>
      <c r="BT576" t="str">
        <f>HYPERLINK("https%3A%2F%2Fwww.webofscience.com%2Fwos%2Fwoscc%2Ffull-record%2FWOS:000821618900003","View Full Record in Web of Science")</f>
        <v>View Full Record in Web of Science</v>
      </c>
    </row>
    <row r="577" spans="1:72" x14ac:dyDescent="0.4">
      <c r="A577" t="s">
        <v>72</v>
      </c>
      <c r="B577" t="s">
        <v>7470</v>
      </c>
      <c r="C577" t="s">
        <v>74</v>
      </c>
      <c r="D577" t="s">
        <v>74</v>
      </c>
      <c r="E577" t="s">
        <v>74</v>
      </c>
      <c r="F577" t="s">
        <v>7470</v>
      </c>
      <c r="G577" t="s">
        <v>74</v>
      </c>
      <c r="H577" t="s">
        <v>74</v>
      </c>
      <c r="I577" t="s">
        <v>7471</v>
      </c>
      <c r="J577" t="s">
        <v>140</v>
      </c>
      <c r="K577" t="s">
        <v>74</v>
      </c>
      <c r="L577" t="s">
        <v>74</v>
      </c>
      <c r="M577" t="s">
        <v>74</v>
      </c>
      <c r="N577" t="s">
        <v>74</v>
      </c>
      <c r="O577" t="s">
        <v>74</v>
      </c>
      <c r="P577" t="s">
        <v>74</v>
      </c>
      <c r="Q577" t="s">
        <v>74</v>
      </c>
      <c r="R577" t="s">
        <v>74</v>
      </c>
      <c r="S577" t="s">
        <v>74</v>
      </c>
      <c r="T577" t="s">
        <v>74</v>
      </c>
      <c r="U577" t="s">
        <v>74</v>
      </c>
      <c r="V577" s="3" t="s">
        <v>7472</v>
      </c>
      <c r="W577" t="s">
        <v>74</v>
      </c>
      <c r="X577" t="s">
        <v>74</v>
      </c>
      <c r="Y577" t="s">
        <v>74</v>
      </c>
      <c r="Z577" t="s">
        <v>74</v>
      </c>
      <c r="AA577" t="s">
        <v>7473</v>
      </c>
      <c r="AB577" t="s">
        <v>7474</v>
      </c>
      <c r="AC577" t="s">
        <v>74</v>
      </c>
      <c r="AD577" t="s">
        <v>74</v>
      </c>
      <c r="AE577" t="s">
        <v>74</v>
      </c>
      <c r="AF577" t="s">
        <v>74</v>
      </c>
      <c r="AG577" t="s">
        <v>74</v>
      </c>
      <c r="AH577" t="s">
        <v>74</v>
      </c>
      <c r="AI577" t="s">
        <v>74</v>
      </c>
      <c r="AJ577" t="s">
        <v>74</v>
      </c>
      <c r="AK577" t="s">
        <v>74</v>
      </c>
      <c r="AL577" t="s">
        <v>74</v>
      </c>
      <c r="AM577" t="s">
        <v>74</v>
      </c>
      <c r="AN577" t="s">
        <v>74</v>
      </c>
      <c r="AO577" t="s">
        <v>143</v>
      </c>
      <c r="AP577" t="s">
        <v>74</v>
      </c>
      <c r="AQ577" t="s">
        <v>74</v>
      </c>
      <c r="AR577" t="s">
        <v>74</v>
      </c>
      <c r="AS577" t="s">
        <v>74</v>
      </c>
      <c r="AT577" t="s">
        <v>204</v>
      </c>
      <c r="AU577">
        <v>1998</v>
      </c>
      <c r="AV577">
        <v>56</v>
      </c>
      <c r="AW577" t="s">
        <v>74</v>
      </c>
      <c r="AX577">
        <v>1</v>
      </c>
      <c r="AY577" t="s">
        <v>74</v>
      </c>
      <c r="AZ577" t="s">
        <v>74</v>
      </c>
      <c r="BA577" t="s">
        <v>74</v>
      </c>
      <c r="BB577">
        <v>181</v>
      </c>
      <c r="BC577">
        <v>190</v>
      </c>
      <c r="BD577" t="s">
        <v>74</v>
      </c>
      <c r="BE577" t="s">
        <v>7475</v>
      </c>
      <c r="BF577" t="str">
        <f>HYPERLINK("http://dx.doi.org/10.1006/anbe.1998.0760","http://dx.doi.org/10.1006/anbe.1998.0760")</f>
        <v>http://dx.doi.org/10.1006/anbe.1998.0760</v>
      </c>
      <c r="BG577" t="s">
        <v>74</v>
      </c>
      <c r="BH577" t="s">
        <v>74</v>
      </c>
      <c r="BI577" t="s">
        <v>74</v>
      </c>
      <c r="BJ577" t="s">
        <v>74</v>
      </c>
      <c r="BK577" t="s">
        <v>74</v>
      </c>
      <c r="BL577" t="s">
        <v>74</v>
      </c>
      <c r="BM577" t="s">
        <v>74</v>
      </c>
      <c r="BN577">
        <v>9710476</v>
      </c>
      <c r="BO577" t="s">
        <v>74</v>
      </c>
      <c r="BP577" t="s">
        <v>74</v>
      </c>
      <c r="BQ577" t="s">
        <v>74</v>
      </c>
      <c r="BR577" t="s">
        <v>74</v>
      </c>
      <c r="BS577" t="s">
        <v>7476</v>
      </c>
      <c r="BT577" t="str">
        <f>HYPERLINK("https%3A%2F%2Fwww.webofscience.com%2Fwos%2Fwoscc%2Ffull-record%2FWOS:000075228700021","View Full Record in Web of Science")</f>
        <v>View Full Record in Web of Science</v>
      </c>
    </row>
    <row r="578" spans="1:72" x14ac:dyDescent="0.4">
      <c r="A578" t="s">
        <v>72</v>
      </c>
      <c r="B578" t="s">
        <v>2733</v>
      </c>
      <c r="C578" t="s">
        <v>74</v>
      </c>
      <c r="D578" t="s">
        <v>74</v>
      </c>
      <c r="E578" t="s">
        <v>74</v>
      </c>
      <c r="F578" t="s">
        <v>2734</v>
      </c>
      <c r="G578" t="s">
        <v>74</v>
      </c>
      <c r="H578" t="s">
        <v>74</v>
      </c>
      <c r="I578" t="s">
        <v>2735</v>
      </c>
      <c r="J578" t="s">
        <v>218</v>
      </c>
      <c r="K578" t="s">
        <v>74</v>
      </c>
      <c r="L578" t="s">
        <v>74</v>
      </c>
      <c r="M578" t="s">
        <v>74</v>
      </c>
      <c r="N578" t="s">
        <v>74</v>
      </c>
      <c r="O578" t="s">
        <v>74</v>
      </c>
      <c r="P578" t="s">
        <v>74</v>
      </c>
      <c r="Q578" t="s">
        <v>74</v>
      </c>
      <c r="R578" t="s">
        <v>74</v>
      </c>
      <c r="S578" t="s">
        <v>74</v>
      </c>
      <c r="T578" t="s">
        <v>74</v>
      </c>
      <c r="U578" t="s">
        <v>74</v>
      </c>
      <c r="V578" s="3" t="s">
        <v>2736</v>
      </c>
      <c r="W578" t="s">
        <v>74</v>
      </c>
      <c r="X578" t="s">
        <v>74</v>
      </c>
      <c r="Y578" t="s">
        <v>74</v>
      </c>
      <c r="Z578" t="s">
        <v>74</v>
      </c>
      <c r="AA578" t="s">
        <v>74</v>
      </c>
      <c r="AB578" t="s">
        <v>2737</v>
      </c>
      <c r="AC578" t="s">
        <v>74</v>
      </c>
      <c r="AD578" t="s">
        <v>74</v>
      </c>
      <c r="AE578" t="s">
        <v>74</v>
      </c>
      <c r="AF578" t="s">
        <v>74</v>
      </c>
      <c r="AG578" t="s">
        <v>74</v>
      </c>
      <c r="AH578" t="s">
        <v>74</v>
      </c>
      <c r="AI578" t="s">
        <v>74</v>
      </c>
      <c r="AJ578" t="s">
        <v>74</v>
      </c>
      <c r="AK578" t="s">
        <v>74</v>
      </c>
      <c r="AL578" t="s">
        <v>74</v>
      </c>
      <c r="AM578" t="s">
        <v>74</v>
      </c>
      <c r="AN578" t="s">
        <v>74</v>
      </c>
      <c r="AO578" t="s">
        <v>221</v>
      </c>
      <c r="AP578" t="s">
        <v>222</v>
      </c>
      <c r="AQ578" t="s">
        <v>74</v>
      </c>
      <c r="AR578" t="s">
        <v>74</v>
      </c>
      <c r="AS578" t="s">
        <v>74</v>
      </c>
      <c r="AT578" t="s">
        <v>145</v>
      </c>
      <c r="AU578">
        <v>2013</v>
      </c>
      <c r="AV578">
        <v>26</v>
      </c>
      <c r="AW578">
        <v>8</v>
      </c>
      <c r="AX578" t="s">
        <v>74</v>
      </c>
      <c r="AY578" t="s">
        <v>74</v>
      </c>
      <c r="AZ578" t="s">
        <v>74</v>
      </c>
      <c r="BA578" t="s">
        <v>74</v>
      </c>
      <c r="BB578">
        <v>1611</v>
      </c>
      <c r="BC578">
        <v>1624</v>
      </c>
      <c r="BD578" t="s">
        <v>74</v>
      </c>
      <c r="BE578" t="s">
        <v>2738</v>
      </c>
      <c r="BF578" t="str">
        <f>HYPERLINK("http://dx.doi.org/10.1111/jeb.12173","http://dx.doi.org/10.1111/jeb.12173")</f>
        <v>http://dx.doi.org/10.1111/jeb.12173</v>
      </c>
      <c r="BG578" t="s">
        <v>74</v>
      </c>
      <c r="BH578" t="s">
        <v>74</v>
      </c>
      <c r="BI578" t="s">
        <v>74</v>
      </c>
      <c r="BJ578" t="s">
        <v>74</v>
      </c>
      <c r="BK578" t="s">
        <v>74</v>
      </c>
      <c r="BL578" t="s">
        <v>74</v>
      </c>
      <c r="BM578" t="s">
        <v>74</v>
      </c>
      <c r="BN578">
        <v>23859471</v>
      </c>
      <c r="BO578" t="s">
        <v>74</v>
      </c>
      <c r="BP578" t="s">
        <v>74</v>
      </c>
      <c r="BQ578" t="s">
        <v>74</v>
      </c>
      <c r="BR578" t="s">
        <v>74</v>
      </c>
      <c r="BS578" t="s">
        <v>2739</v>
      </c>
      <c r="BT578" t="str">
        <f>HYPERLINK("https%3A%2F%2Fwww.webofscience.com%2Fwos%2Fwoscc%2Ffull-record%2FWOS:000323101800001","View Full Record in Web of Science")</f>
        <v>View Full Record in Web of Science</v>
      </c>
    </row>
    <row r="579" spans="1:72" x14ac:dyDescent="0.4">
      <c r="A579" t="s">
        <v>72</v>
      </c>
      <c r="B579" t="s">
        <v>4701</v>
      </c>
      <c r="C579" t="s">
        <v>74</v>
      </c>
      <c r="D579" t="s">
        <v>74</v>
      </c>
      <c r="E579" t="s">
        <v>74</v>
      </c>
      <c r="F579" t="s">
        <v>4702</v>
      </c>
      <c r="G579" t="s">
        <v>74</v>
      </c>
      <c r="H579" t="s">
        <v>74</v>
      </c>
      <c r="I579" t="s">
        <v>4703</v>
      </c>
      <c r="J579" t="s">
        <v>1656</v>
      </c>
      <c r="K579" t="s">
        <v>74</v>
      </c>
      <c r="L579" t="s">
        <v>74</v>
      </c>
      <c r="M579" t="s">
        <v>74</v>
      </c>
      <c r="N579" t="s">
        <v>74</v>
      </c>
      <c r="O579" t="s">
        <v>74</v>
      </c>
      <c r="P579" t="s">
        <v>74</v>
      </c>
      <c r="Q579" t="s">
        <v>74</v>
      </c>
      <c r="R579" t="s">
        <v>74</v>
      </c>
      <c r="S579" t="s">
        <v>74</v>
      </c>
      <c r="T579" t="s">
        <v>74</v>
      </c>
      <c r="U579" t="s">
        <v>74</v>
      </c>
      <c r="V579" s="3" t="s">
        <v>4704</v>
      </c>
      <c r="W579" t="s">
        <v>74</v>
      </c>
      <c r="X579" t="s">
        <v>74</v>
      </c>
      <c r="Y579" t="s">
        <v>74</v>
      </c>
      <c r="Z579" t="s">
        <v>74</v>
      </c>
      <c r="AA579" t="s">
        <v>4705</v>
      </c>
      <c r="AB579" t="s">
        <v>4706</v>
      </c>
      <c r="AC579" t="s">
        <v>74</v>
      </c>
      <c r="AD579" t="s">
        <v>74</v>
      </c>
      <c r="AE579" t="s">
        <v>74</v>
      </c>
      <c r="AF579" t="s">
        <v>74</v>
      </c>
      <c r="AG579" t="s">
        <v>74</v>
      </c>
      <c r="AH579" t="s">
        <v>74</v>
      </c>
      <c r="AI579" t="s">
        <v>74</v>
      </c>
      <c r="AJ579" t="s">
        <v>74</v>
      </c>
      <c r="AK579" t="s">
        <v>74</v>
      </c>
      <c r="AL579" t="s">
        <v>74</v>
      </c>
      <c r="AM579" t="s">
        <v>74</v>
      </c>
      <c r="AN579" t="s">
        <v>74</v>
      </c>
      <c r="AO579" t="s">
        <v>1658</v>
      </c>
      <c r="AP579" t="s">
        <v>1659</v>
      </c>
      <c r="AQ579" t="s">
        <v>74</v>
      </c>
      <c r="AR579" t="s">
        <v>74</v>
      </c>
      <c r="AS579" t="s">
        <v>74</v>
      </c>
      <c r="AT579" t="s">
        <v>4707</v>
      </c>
      <c r="AU579">
        <v>2023</v>
      </c>
      <c r="AV579">
        <v>5230</v>
      </c>
      <c r="AW579">
        <v>1</v>
      </c>
      <c r="AX579" t="s">
        <v>74</v>
      </c>
      <c r="AY579" t="s">
        <v>74</v>
      </c>
      <c r="AZ579" t="s">
        <v>74</v>
      </c>
      <c r="BA579" t="s">
        <v>74</v>
      </c>
      <c r="BB579">
        <v>48</v>
      </c>
      <c r="BC579">
        <v>66</v>
      </c>
      <c r="BD579" t="s">
        <v>74</v>
      </c>
      <c r="BE579" t="s">
        <v>4708</v>
      </c>
      <c r="BF579" t="str">
        <f>HYPERLINK("http://dx.doi.org/10.11646/zootaxa.5230.1.3","http://dx.doi.org/10.11646/zootaxa.5230.1.3")</f>
        <v>http://dx.doi.org/10.11646/zootaxa.5230.1.3</v>
      </c>
      <c r="BG579" t="s">
        <v>74</v>
      </c>
      <c r="BH579" t="s">
        <v>74</v>
      </c>
      <c r="BI579" t="s">
        <v>74</v>
      </c>
      <c r="BJ579" t="s">
        <v>74</v>
      </c>
      <c r="BK579" t="s">
        <v>74</v>
      </c>
      <c r="BL579" t="s">
        <v>74</v>
      </c>
      <c r="BM579" t="s">
        <v>74</v>
      </c>
      <c r="BN579">
        <v>37044858</v>
      </c>
      <c r="BO579" t="s">
        <v>74</v>
      </c>
      <c r="BP579" t="s">
        <v>74</v>
      </c>
      <c r="BQ579" t="s">
        <v>74</v>
      </c>
      <c r="BR579" t="s">
        <v>74</v>
      </c>
      <c r="BS579" t="s">
        <v>4709</v>
      </c>
      <c r="BT579" t="str">
        <f>HYPERLINK("https%3A%2F%2Fwww.webofscience.com%2Fwos%2Fwoscc%2Ffull-record%2FWOS:000927998600003","View Full Record in Web of Science")</f>
        <v>View Full Record in Web of Science</v>
      </c>
    </row>
    <row r="580" spans="1:72" x14ac:dyDescent="0.4">
      <c r="A580" t="s">
        <v>72</v>
      </c>
      <c r="B580" t="s">
        <v>7047</v>
      </c>
      <c r="C580" t="s">
        <v>74</v>
      </c>
      <c r="D580" t="s">
        <v>74</v>
      </c>
      <c r="E580" t="s">
        <v>74</v>
      </c>
      <c r="F580" t="s">
        <v>7048</v>
      </c>
      <c r="G580" t="s">
        <v>74</v>
      </c>
      <c r="H580" t="s">
        <v>74</v>
      </c>
      <c r="I580" t="s">
        <v>7049</v>
      </c>
      <c r="J580" t="s">
        <v>2017</v>
      </c>
      <c r="K580" t="s">
        <v>74</v>
      </c>
      <c r="L580" t="s">
        <v>74</v>
      </c>
      <c r="M580" t="s">
        <v>74</v>
      </c>
      <c r="N580" t="s">
        <v>74</v>
      </c>
      <c r="O580" t="s">
        <v>74</v>
      </c>
      <c r="P580" t="s">
        <v>74</v>
      </c>
      <c r="Q580" t="s">
        <v>74</v>
      </c>
      <c r="R580" t="s">
        <v>74</v>
      </c>
      <c r="S580" t="s">
        <v>74</v>
      </c>
      <c r="T580" t="s">
        <v>74</v>
      </c>
      <c r="U580" t="s">
        <v>74</v>
      </c>
      <c r="V580" s="3" t="s">
        <v>7050</v>
      </c>
      <c r="W580" t="s">
        <v>74</v>
      </c>
      <c r="X580" t="s">
        <v>74</v>
      </c>
      <c r="Y580" t="s">
        <v>74</v>
      </c>
      <c r="Z580" t="s">
        <v>74</v>
      </c>
      <c r="AA580" t="s">
        <v>74</v>
      </c>
      <c r="AB580" t="s">
        <v>74</v>
      </c>
      <c r="AC580" t="s">
        <v>74</v>
      </c>
      <c r="AD580" t="s">
        <v>74</v>
      </c>
      <c r="AE580" t="s">
        <v>74</v>
      </c>
      <c r="AF580" t="s">
        <v>74</v>
      </c>
      <c r="AG580" t="s">
        <v>74</v>
      </c>
      <c r="AH580" t="s">
        <v>74</v>
      </c>
      <c r="AI580" t="s">
        <v>74</v>
      </c>
      <c r="AJ580" t="s">
        <v>74</v>
      </c>
      <c r="AK580" t="s">
        <v>74</v>
      </c>
      <c r="AL580" t="s">
        <v>74</v>
      </c>
      <c r="AM580" t="s">
        <v>74</v>
      </c>
      <c r="AN580" t="s">
        <v>74</v>
      </c>
      <c r="AO580" t="s">
        <v>2021</v>
      </c>
      <c r="AP580" t="s">
        <v>74</v>
      </c>
      <c r="AQ580" t="s">
        <v>74</v>
      </c>
      <c r="AR580" t="s">
        <v>74</v>
      </c>
      <c r="AS580" t="s">
        <v>74</v>
      </c>
      <c r="AT580" t="s">
        <v>7051</v>
      </c>
      <c r="AU580">
        <v>2021</v>
      </c>
      <c r="AV580">
        <v>9</v>
      </c>
      <c r="AW580" t="s">
        <v>74</v>
      </c>
      <c r="AX580" t="s">
        <v>74</v>
      </c>
      <c r="AY580" t="s">
        <v>74</v>
      </c>
      <c r="AZ580" t="s">
        <v>74</v>
      </c>
      <c r="BA580" t="s">
        <v>74</v>
      </c>
      <c r="BB580" t="s">
        <v>74</v>
      </c>
      <c r="BC580" t="s">
        <v>74</v>
      </c>
      <c r="BD580">
        <v>734126</v>
      </c>
      <c r="BE580" t="s">
        <v>7052</v>
      </c>
      <c r="BF580" t="str">
        <f>HYPERLINK("http://dx.doi.org/10.3389/fevo.2021.734126","http://dx.doi.org/10.3389/fevo.2021.734126")</f>
        <v>http://dx.doi.org/10.3389/fevo.2021.734126</v>
      </c>
      <c r="BG580" t="s">
        <v>74</v>
      </c>
      <c r="BH580" t="s">
        <v>74</v>
      </c>
      <c r="BI580" t="s">
        <v>74</v>
      </c>
      <c r="BJ580" t="s">
        <v>74</v>
      </c>
      <c r="BK580" t="s">
        <v>74</v>
      </c>
      <c r="BL580" t="s">
        <v>74</v>
      </c>
      <c r="BM580" t="s">
        <v>74</v>
      </c>
      <c r="BN580" t="s">
        <v>74</v>
      </c>
      <c r="BO580" t="s">
        <v>74</v>
      </c>
      <c r="BP580" t="s">
        <v>74</v>
      </c>
      <c r="BQ580" t="s">
        <v>74</v>
      </c>
      <c r="BR580" t="s">
        <v>74</v>
      </c>
      <c r="BS580" t="s">
        <v>7053</v>
      </c>
      <c r="BT580" t="str">
        <f>HYPERLINK("https%3A%2F%2Fwww.webofscience.com%2Fwos%2Fwoscc%2Ffull-record%2FWOS:000712776000001","View Full Record in Web of Science")</f>
        <v>View Full Record in Web of Science</v>
      </c>
    </row>
    <row r="581" spans="1:72" x14ac:dyDescent="0.4">
      <c r="A581" t="s">
        <v>72</v>
      </c>
      <c r="B581" t="s">
        <v>7047</v>
      </c>
      <c r="C581" t="s">
        <v>74</v>
      </c>
      <c r="D581" t="s">
        <v>74</v>
      </c>
      <c r="E581" t="s">
        <v>74</v>
      </c>
      <c r="F581" t="s">
        <v>7047</v>
      </c>
      <c r="G581" t="s">
        <v>74</v>
      </c>
      <c r="H581" t="s">
        <v>74</v>
      </c>
      <c r="I581" t="s">
        <v>7249</v>
      </c>
      <c r="J581" t="s">
        <v>171</v>
      </c>
      <c r="K581" t="s">
        <v>74</v>
      </c>
      <c r="L581" t="s">
        <v>74</v>
      </c>
      <c r="M581" t="s">
        <v>74</v>
      </c>
      <c r="N581" t="s">
        <v>74</v>
      </c>
      <c r="O581" t="s">
        <v>74</v>
      </c>
      <c r="P581" t="s">
        <v>74</v>
      </c>
      <c r="Q581" t="s">
        <v>74</v>
      </c>
      <c r="R581" t="s">
        <v>74</v>
      </c>
      <c r="S581" t="s">
        <v>74</v>
      </c>
      <c r="T581" t="s">
        <v>74</v>
      </c>
      <c r="U581" t="s">
        <v>74</v>
      </c>
      <c r="V581" s="3" t="s">
        <v>7250</v>
      </c>
      <c r="W581" t="s">
        <v>74</v>
      </c>
      <c r="X581" t="s">
        <v>74</v>
      </c>
      <c r="Y581" t="s">
        <v>74</v>
      </c>
      <c r="Z581" t="s">
        <v>74</v>
      </c>
      <c r="AA581" t="s">
        <v>74</v>
      </c>
      <c r="AB581" t="s">
        <v>74</v>
      </c>
      <c r="AC581" t="s">
        <v>74</v>
      </c>
      <c r="AD581" t="s">
        <v>74</v>
      </c>
      <c r="AE581" t="s">
        <v>74</v>
      </c>
      <c r="AF581" t="s">
        <v>74</v>
      </c>
      <c r="AG581" t="s">
        <v>74</v>
      </c>
      <c r="AH581" t="s">
        <v>74</v>
      </c>
      <c r="AI581" t="s">
        <v>74</v>
      </c>
      <c r="AJ581" t="s">
        <v>74</v>
      </c>
      <c r="AK581" t="s">
        <v>74</v>
      </c>
      <c r="AL581" t="s">
        <v>74</v>
      </c>
      <c r="AM581" t="s">
        <v>74</v>
      </c>
      <c r="AN581" t="s">
        <v>74</v>
      </c>
      <c r="AO581" t="s">
        <v>173</v>
      </c>
      <c r="AP581" t="s">
        <v>174</v>
      </c>
      <c r="AQ581" t="s">
        <v>74</v>
      </c>
      <c r="AR581" t="s">
        <v>74</v>
      </c>
      <c r="AS581" t="s">
        <v>74</v>
      </c>
      <c r="AT581" t="s">
        <v>255</v>
      </c>
      <c r="AU581">
        <v>2006</v>
      </c>
      <c r="AV581">
        <v>60</v>
      </c>
      <c r="AW581">
        <v>1</v>
      </c>
      <c r="AX581" t="s">
        <v>74</v>
      </c>
      <c r="AY581" t="s">
        <v>74</v>
      </c>
      <c r="AZ581" t="s">
        <v>74</v>
      </c>
      <c r="BA581" t="s">
        <v>74</v>
      </c>
      <c r="BB581">
        <v>157</v>
      </c>
      <c r="BC581">
        <v>168</v>
      </c>
      <c r="BD581" t="s">
        <v>74</v>
      </c>
      <c r="BE581" t="s">
        <v>74</v>
      </c>
      <c r="BF581" t="s">
        <v>74</v>
      </c>
      <c r="BG581" t="s">
        <v>74</v>
      </c>
      <c r="BH581" t="s">
        <v>74</v>
      </c>
      <c r="BI581" t="s">
        <v>74</v>
      </c>
      <c r="BJ581" t="s">
        <v>74</v>
      </c>
      <c r="BK581" t="s">
        <v>74</v>
      </c>
      <c r="BL581" t="s">
        <v>74</v>
      </c>
      <c r="BM581" t="s">
        <v>74</v>
      </c>
      <c r="BN581">
        <v>16568640</v>
      </c>
      <c r="BO581" t="s">
        <v>74</v>
      </c>
      <c r="BP581" t="s">
        <v>74</v>
      </c>
      <c r="BQ581" t="s">
        <v>74</v>
      </c>
      <c r="BR581" t="s">
        <v>74</v>
      </c>
      <c r="BS581" t="s">
        <v>7251</v>
      </c>
      <c r="BT581" t="str">
        <f>HYPERLINK("https%3A%2F%2Fwww.webofscience.com%2Fwos%2Fwoscc%2Ffull-record%2FWOS:000235477400015","View Full Record in Web of Science")</f>
        <v>View Full Record in Web of Science</v>
      </c>
    </row>
    <row r="582" spans="1:72" x14ac:dyDescent="0.4">
      <c r="A582" t="s">
        <v>72</v>
      </c>
      <c r="B582" t="s">
        <v>8434</v>
      </c>
      <c r="C582" t="s">
        <v>74</v>
      </c>
      <c r="D582" t="s">
        <v>74</v>
      </c>
      <c r="E582" t="s">
        <v>74</v>
      </c>
      <c r="F582" t="s">
        <v>8434</v>
      </c>
      <c r="G582" t="s">
        <v>74</v>
      </c>
      <c r="H582" t="s">
        <v>74</v>
      </c>
      <c r="I582" t="s">
        <v>8435</v>
      </c>
      <c r="J582" t="s">
        <v>140</v>
      </c>
      <c r="K582" t="s">
        <v>74</v>
      </c>
      <c r="L582" t="s">
        <v>74</v>
      </c>
      <c r="M582" t="s">
        <v>74</v>
      </c>
      <c r="N582" t="s">
        <v>74</v>
      </c>
      <c r="O582" t="s">
        <v>74</v>
      </c>
      <c r="P582" t="s">
        <v>74</v>
      </c>
      <c r="Q582" t="s">
        <v>74</v>
      </c>
      <c r="R582" t="s">
        <v>74</v>
      </c>
      <c r="S582" t="s">
        <v>74</v>
      </c>
      <c r="T582" t="s">
        <v>74</v>
      </c>
      <c r="U582" t="s">
        <v>74</v>
      </c>
      <c r="V582" s="3" t="s">
        <v>8436</v>
      </c>
      <c r="W582" t="s">
        <v>74</v>
      </c>
      <c r="X582" t="s">
        <v>74</v>
      </c>
      <c r="Y582" t="s">
        <v>74</v>
      </c>
      <c r="Z582" t="s">
        <v>74</v>
      </c>
      <c r="AA582" t="s">
        <v>74</v>
      </c>
      <c r="AB582" t="s">
        <v>74</v>
      </c>
      <c r="AC582" t="s">
        <v>74</v>
      </c>
      <c r="AD582" t="s">
        <v>74</v>
      </c>
      <c r="AE582" t="s">
        <v>74</v>
      </c>
      <c r="AF582" t="s">
        <v>74</v>
      </c>
      <c r="AG582" t="s">
        <v>74</v>
      </c>
      <c r="AH582" t="s">
        <v>74</v>
      </c>
      <c r="AI582" t="s">
        <v>74</v>
      </c>
      <c r="AJ582" t="s">
        <v>74</v>
      </c>
      <c r="AK582" t="s">
        <v>74</v>
      </c>
      <c r="AL582" t="s">
        <v>74</v>
      </c>
      <c r="AM582" t="s">
        <v>74</v>
      </c>
      <c r="AN582" t="s">
        <v>74</v>
      </c>
      <c r="AO582" t="s">
        <v>143</v>
      </c>
      <c r="AP582" t="s">
        <v>144</v>
      </c>
      <c r="AQ582" t="s">
        <v>74</v>
      </c>
      <c r="AR582" t="s">
        <v>74</v>
      </c>
      <c r="AS582" t="s">
        <v>74</v>
      </c>
      <c r="AT582" t="s">
        <v>102</v>
      </c>
      <c r="AU582">
        <v>2002</v>
      </c>
      <c r="AV582">
        <v>63</v>
      </c>
      <c r="AW582" t="s">
        <v>74</v>
      </c>
      <c r="AX582">
        <v>6</v>
      </c>
      <c r="AY582" t="s">
        <v>74</v>
      </c>
      <c r="AZ582" t="s">
        <v>74</v>
      </c>
      <c r="BA582" t="s">
        <v>74</v>
      </c>
      <c r="BB582">
        <v>1135</v>
      </c>
      <c r="BC582">
        <v>1142</v>
      </c>
      <c r="BD582" t="s">
        <v>74</v>
      </c>
      <c r="BE582" t="s">
        <v>8437</v>
      </c>
      <c r="BF582" t="str">
        <f>HYPERLINK("http://dx.doi.org/10.1006/anbe.2002.3009","http://dx.doi.org/10.1006/anbe.2002.3009")</f>
        <v>http://dx.doi.org/10.1006/anbe.2002.3009</v>
      </c>
      <c r="BG582" t="s">
        <v>74</v>
      </c>
      <c r="BH582" t="s">
        <v>74</v>
      </c>
      <c r="BI582" t="s">
        <v>74</v>
      </c>
      <c r="BJ582" t="s">
        <v>74</v>
      </c>
      <c r="BK582" t="s">
        <v>74</v>
      </c>
      <c r="BL582" t="s">
        <v>74</v>
      </c>
      <c r="BM582" t="s">
        <v>74</v>
      </c>
      <c r="BN582" t="s">
        <v>74</v>
      </c>
      <c r="BO582" t="s">
        <v>74</v>
      </c>
      <c r="BP582" t="s">
        <v>74</v>
      </c>
      <c r="BQ582" t="s">
        <v>74</v>
      </c>
      <c r="BR582" t="s">
        <v>74</v>
      </c>
      <c r="BS582" t="s">
        <v>8438</v>
      </c>
      <c r="BT582" t="str">
        <f>HYPERLINK("https%3A%2F%2Fwww.webofscience.com%2Fwos%2Fwoscc%2Ffull-record%2FWOS:000177715700012","View Full Record in Web of Science")</f>
        <v>View Full Record in Web of Science</v>
      </c>
    </row>
    <row r="583" spans="1:72" x14ac:dyDescent="0.4">
      <c r="A583" t="s">
        <v>72</v>
      </c>
      <c r="B583" t="s">
        <v>453</v>
      </c>
      <c r="C583" t="s">
        <v>74</v>
      </c>
      <c r="D583" t="s">
        <v>74</v>
      </c>
      <c r="E583" t="s">
        <v>74</v>
      </c>
      <c r="F583" t="s">
        <v>454</v>
      </c>
      <c r="G583" t="s">
        <v>74</v>
      </c>
      <c r="H583" t="s">
        <v>74</v>
      </c>
      <c r="I583" t="s">
        <v>455</v>
      </c>
      <c r="J583" t="s">
        <v>456</v>
      </c>
      <c r="K583" t="s">
        <v>74</v>
      </c>
      <c r="L583" t="s">
        <v>74</v>
      </c>
      <c r="M583" t="s">
        <v>74</v>
      </c>
      <c r="N583" t="s">
        <v>74</v>
      </c>
      <c r="O583" t="s">
        <v>74</v>
      </c>
      <c r="P583" t="s">
        <v>74</v>
      </c>
      <c r="Q583" t="s">
        <v>74</v>
      </c>
      <c r="R583" t="s">
        <v>74</v>
      </c>
      <c r="S583" t="s">
        <v>74</v>
      </c>
      <c r="T583" t="s">
        <v>74</v>
      </c>
      <c r="U583" t="s">
        <v>74</v>
      </c>
      <c r="V583" s="3" t="s">
        <v>457</v>
      </c>
      <c r="W583" t="s">
        <v>74</v>
      </c>
      <c r="X583" t="s">
        <v>74</v>
      </c>
      <c r="Y583" t="s">
        <v>74</v>
      </c>
      <c r="Z583" t="s">
        <v>74</v>
      </c>
      <c r="AA583" t="s">
        <v>458</v>
      </c>
      <c r="AB583" t="s">
        <v>459</v>
      </c>
      <c r="AC583" t="s">
        <v>74</v>
      </c>
      <c r="AD583" t="s">
        <v>74</v>
      </c>
      <c r="AE583" t="s">
        <v>74</v>
      </c>
      <c r="AF583" t="s">
        <v>74</v>
      </c>
      <c r="AG583" t="s">
        <v>74</v>
      </c>
      <c r="AH583" t="s">
        <v>74</v>
      </c>
      <c r="AI583" t="s">
        <v>74</v>
      </c>
      <c r="AJ583" t="s">
        <v>74</v>
      </c>
      <c r="AK583" t="s">
        <v>74</v>
      </c>
      <c r="AL583" t="s">
        <v>74</v>
      </c>
      <c r="AM583" t="s">
        <v>74</v>
      </c>
      <c r="AN583" t="s">
        <v>74</v>
      </c>
      <c r="AO583" t="s">
        <v>460</v>
      </c>
      <c r="AP583" t="s">
        <v>461</v>
      </c>
      <c r="AQ583" t="s">
        <v>74</v>
      </c>
      <c r="AR583" t="s">
        <v>74</v>
      </c>
      <c r="AS583" t="s">
        <v>74</v>
      </c>
      <c r="AT583" t="s">
        <v>213</v>
      </c>
      <c r="AU583">
        <v>2012</v>
      </c>
      <c r="AV583">
        <v>288</v>
      </c>
      <c r="AW583">
        <v>3</v>
      </c>
      <c r="AX583" t="s">
        <v>74</v>
      </c>
      <c r="AY583" t="s">
        <v>74</v>
      </c>
      <c r="AZ583" t="s">
        <v>74</v>
      </c>
      <c r="BA583" t="s">
        <v>74</v>
      </c>
      <c r="BB583">
        <v>207</v>
      </c>
      <c r="BC583">
        <v>213</v>
      </c>
      <c r="BD583" t="s">
        <v>74</v>
      </c>
      <c r="BE583" t="s">
        <v>462</v>
      </c>
      <c r="BF583" t="str">
        <f>HYPERLINK("http://dx.doi.org/10.1111/j.1469-7998.2012.00943.x","http://dx.doi.org/10.1111/j.1469-7998.2012.00943.x")</f>
        <v>http://dx.doi.org/10.1111/j.1469-7998.2012.00943.x</v>
      </c>
      <c r="BG583" t="s">
        <v>74</v>
      </c>
      <c r="BH583" t="s">
        <v>74</v>
      </c>
      <c r="BI583" t="s">
        <v>74</v>
      </c>
      <c r="BJ583" t="s">
        <v>74</v>
      </c>
      <c r="BK583" t="s">
        <v>74</v>
      </c>
      <c r="BL583" t="s">
        <v>74</v>
      </c>
      <c r="BM583" t="s">
        <v>74</v>
      </c>
      <c r="BN583" t="s">
        <v>74</v>
      </c>
      <c r="BO583" t="s">
        <v>74</v>
      </c>
      <c r="BP583" t="s">
        <v>74</v>
      </c>
      <c r="BQ583" t="s">
        <v>74</v>
      </c>
      <c r="BR583" t="s">
        <v>74</v>
      </c>
      <c r="BS583" t="s">
        <v>463</v>
      </c>
      <c r="BT583" t="str">
        <f>HYPERLINK("https%3A%2F%2Fwww.webofscience.com%2Fwos%2Fwoscc%2Ffull-record%2FWOS:000310330900007","View Full Record in Web of Science")</f>
        <v>View Full Record in Web of Science</v>
      </c>
    </row>
    <row r="584" spans="1:72" x14ac:dyDescent="0.4">
      <c r="A584" t="s">
        <v>72</v>
      </c>
      <c r="B584" t="s">
        <v>5987</v>
      </c>
      <c r="C584" t="s">
        <v>74</v>
      </c>
      <c r="D584" t="s">
        <v>74</v>
      </c>
      <c r="E584" t="s">
        <v>74</v>
      </c>
      <c r="F584" t="s">
        <v>5987</v>
      </c>
      <c r="G584" t="s">
        <v>74</v>
      </c>
      <c r="H584" t="s">
        <v>74</v>
      </c>
      <c r="I584" t="s">
        <v>5988</v>
      </c>
      <c r="J584" t="s">
        <v>610</v>
      </c>
      <c r="K584" t="s">
        <v>74</v>
      </c>
      <c r="L584" t="s">
        <v>74</v>
      </c>
      <c r="M584" t="s">
        <v>74</v>
      </c>
      <c r="N584" t="s">
        <v>74</v>
      </c>
      <c r="O584" t="s">
        <v>74</v>
      </c>
      <c r="P584" t="s">
        <v>74</v>
      </c>
      <c r="Q584" t="s">
        <v>74</v>
      </c>
      <c r="R584" t="s">
        <v>74</v>
      </c>
      <c r="S584" t="s">
        <v>74</v>
      </c>
      <c r="T584" t="s">
        <v>74</v>
      </c>
      <c r="U584" t="s">
        <v>74</v>
      </c>
      <c r="V584" s="3" t="s">
        <v>5989</v>
      </c>
      <c r="W584" t="s">
        <v>74</v>
      </c>
      <c r="X584" t="s">
        <v>74</v>
      </c>
      <c r="Y584" t="s">
        <v>74</v>
      </c>
      <c r="Z584" t="s">
        <v>74</v>
      </c>
      <c r="AA584" t="s">
        <v>74</v>
      </c>
      <c r="AB584" t="s">
        <v>74</v>
      </c>
      <c r="AC584" t="s">
        <v>74</v>
      </c>
      <c r="AD584" t="s">
        <v>74</v>
      </c>
      <c r="AE584" t="s">
        <v>74</v>
      </c>
      <c r="AF584" t="s">
        <v>74</v>
      </c>
      <c r="AG584" t="s">
        <v>74</v>
      </c>
      <c r="AH584" t="s">
        <v>74</v>
      </c>
      <c r="AI584" t="s">
        <v>74</v>
      </c>
      <c r="AJ584" t="s">
        <v>74</v>
      </c>
      <c r="AK584" t="s">
        <v>74</v>
      </c>
      <c r="AL584" t="s">
        <v>74</v>
      </c>
      <c r="AM584" t="s">
        <v>74</v>
      </c>
      <c r="AN584" t="s">
        <v>74</v>
      </c>
      <c r="AO584" t="s">
        <v>614</v>
      </c>
      <c r="AP584" t="s">
        <v>74</v>
      </c>
      <c r="AQ584" t="s">
        <v>74</v>
      </c>
      <c r="AR584" t="s">
        <v>74</v>
      </c>
      <c r="AS584" t="s">
        <v>74</v>
      </c>
      <c r="AT584" t="s">
        <v>175</v>
      </c>
      <c r="AU584">
        <v>1995</v>
      </c>
      <c r="AV584">
        <v>101</v>
      </c>
      <c r="AW584">
        <v>2</v>
      </c>
      <c r="AX584" t="s">
        <v>74</v>
      </c>
      <c r="AY584" t="s">
        <v>74</v>
      </c>
      <c r="AZ584" t="s">
        <v>74</v>
      </c>
      <c r="BA584" t="s">
        <v>74</v>
      </c>
      <c r="BB584">
        <v>121</v>
      </c>
      <c r="BC584">
        <v>129</v>
      </c>
      <c r="BD584" t="s">
        <v>74</v>
      </c>
      <c r="BE584" t="s">
        <v>74</v>
      </c>
      <c r="BF584" t="s">
        <v>74</v>
      </c>
      <c r="BG584" t="s">
        <v>74</v>
      </c>
      <c r="BH584" t="s">
        <v>74</v>
      </c>
      <c r="BI584" t="s">
        <v>74</v>
      </c>
      <c r="BJ584" t="s">
        <v>74</v>
      </c>
      <c r="BK584" t="s">
        <v>74</v>
      </c>
      <c r="BL584" t="s">
        <v>74</v>
      </c>
      <c r="BM584" t="s">
        <v>74</v>
      </c>
      <c r="BN584" t="s">
        <v>74</v>
      </c>
      <c r="BO584" t="s">
        <v>74</v>
      </c>
      <c r="BP584" t="s">
        <v>74</v>
      </c>
      <c r="BQ584" t="s">
        <v>74</v>
      </c>
      <c r="BR584" t="s">
        <v>74</v>
      </c>
      <c r="BS584" t="s">
        <v>5990</v>
      </c>
      <c r="BT584" t="str">
        <f>HYPERLINK("https%3A%2F%2Fwww.webofscience.com%2Fwos%2Fwoscc%2Ffull-record%2FWOS:A1995RW16700004","View Full Record in Web of Science")</f>
        <v>View Full Record in Web of Science</v>
      </c>
    </row>
    <row r="585" spans="1:72" x14ac:dyDescent="0.4">
      <c r="A585" t="s">
        <v>72</v>
      </c>
      <c r="B585" t="s">
        <v>6723</v>
      </c>
      <c r="C585" t="s">
        <v>74</v>
      </c>
      <c r="D585" t="s">
        <v>74</v>
      </c>
      <c r="E585" t="s">
        <v>74</v>
      </c>
      <c r="F585" t="s">
        <v>6724</v>
      </c>
      <c r="G585" t="s">
        <v>74</v>
      </c>
      <c r="H585" t="s">
        <v>74</v>
      </c>
      <c r="I585" t="s">
        <v>6725</v>
      </c>
      <c r="J585" t="s">
        <v>77</v>
      </c>
      <c r="K585" t="s">
        <v>74</v>
      </c>
      <c r="L585" t="s">
        <v>74</v>
      </c>
      <c r="M585" t="s">
        <v>74</v>
      </c>
      <c r="N585" t="s">
        <v>74</v>
      </c>
      <c r="O585" t="s">
        <v>74</v>
      </c>
      <c r="P585" t="s">
        <v>74</v>
      </c>
      <c r="Q585" t="s">
        <v>74</v>
      </c>
      <c r="R585" t="s">
        <v>74</v>
      </c>
      <c r="S585" t="s">
        <v>74</v>
      </c>
      <c r="T585" t="s">
        <v>74</v>
      </c>
      <c r="U585" t="s">
        <v>74</v>
      </c>
      <c r="V585" s="3" t="s">
        <v>6726</v>
      </c>
      <c r="W585" t="s">
        <v>74</v>
      </c>
      <c r="X585" t="s">
        <v>74</v>
      </c>
      <c r="Y585" t="s">
        <v>74</v>
      </c>
      <c r="Z585" t="s">
        <v>74</v>
      </c>
      <c r="AA585" t="s">
        <v>6727</v>
      </c>
      <c r="AB585" t="s">
        <v>6728</v>
      </c>
      <c r="AC585" t="s">
        <v>74</v>
      </c>
      <c r="AD585" t="s">
        <v>74</v>
      </c>
      <c r="AE585" t="s">
        <v>74</v>
      </c>
      <c r="AF585" t="s">
        <v>74</v>
      </c>
      <c r="AG585" t="s">
        <v>74</v>
      </c>
      <c r="AH585" t="s">
        <v>74</v>
      </c>
      <c r="AI585" t="s">
        <v>74</v>
      </c>
      <c r="AJ585" t="s">
        <v>74</v>
      </c>
      <c r="AK585" t="s">
        <v>74</v>
      </c>
      <c r="AL585" t="s">
        <v>74</v>
      </c>
      <c r="AM585" t="s">
        <v>74</v>
      </c>
      <c r="AN585" t="s">
        <v>74</v>
      </c>
      <c r="AO585" t="s">
        <v>81</v>
      </c>
      <c r="AP585" t="s">
        <v>82</v>
      </c>
      <c r="AQ585" t="s">
        <v>74</v>
      </c>
      <c r="AR585" t="s">
        <v>74</v>
      </c>
      <c r="AS585" t="s">
        <v>74</v>
      </c>
      <c r="AT585" t="s">
        <v>74</v>
      </c>
      <c r="AU585">
        <v>2010</v>
      </c>
      <c r="AV585">
        <v>147</v>
      </c>
      <c r="AW585">
        <v>1</v>
      </c>
      <c r="AX585" t="s">
        <v>74</v>
      </c>
      <c r="AY585" t="s">
        <v>74</v>
      </c>
      <c r="AZ585" t="s">
        <v>74</v>
      </c>
      <c r="BA585" t="s">
        <v>74</v>
      </c>
      <c r="BB585">
        <v>19</v>
      </c>
      <c r="BC585">
        <v>36</v>
      </c>
      <c r="BD585" t="s">
        <v>74</v>
      </c>
      <c r="BE585" t="s">
        <v>6729</v>
      </c>
      <c r="BF585" t="str">
        <f>HYPERLINK("http://dx.doi.org/10.1163/000579509X12483520922043","http://dx.doi.org/10.1163/000579509X12483520922043")</f>
        <v>http://dx.doi.org/10.1163/000579509X12483520922043</v>
      </c>
      <c r="BG585" t="s">
        <v>74</v>
      </c>
      <c r="BH585" t="s">
        <v>74</v>
      </c>
      <c r="BI585" t="s">
        <v>74</v>
      </c>
      <c r="BJ585" t="s">
        <v>74</v>
      </c>
      <c r="BK585" t="s">
        <v>74</v>
      </c>
      <c r="BL585" t="s">
        <v>74</v>
      </c>
      <c r="BM585" t="s">
        <v>74</v>
      </c>
      <c r="BN585" t="s">
        <v>74</v>
      </c>
      <c r="BO585" t="s">
        <v>74</v>
      </c>
      <c r="BP585" t="s">
        <v>74</v>
      </c>
      <c r="BQ585" t="s">
        <v>74</v>
      </c>
      <c r="BR585" t="s">
        <v>74</v>
      </c>
      <c r="BS585" t="s">
        <v>6730</v>
      </c>
      <c r="BT585" t="str">
        <f>HYPERLINK("https%3A%2F%2Fwww.webofscience.com%2Fwos%2Fwoscc%2Ffull-record%2FWOS:000275078900002","View Full Record in Web of Science")</f>
        <v>View Full Record in Web of Science</v>
      </c>
    </row>
    <row r="586" spans="1:72" x14ac:dyDescent="0.4">
      <c r="A586" t="s">
        <v>72</v>
      </c>
      <c r="B586" t="s">
        <v>4493</v>
      </c>
      <c r="C586" t="s">
        <v>74</v>
      </c>
      <c r="D586" t="s">
        <v>74</v>
      </c>
      <c r="E586" t="s">
        <v>74</v>
      </c>
      <c r="F586" t="s">
        <v>4493</v>
      </c>
      <c r="G586" t="s">
        <v>74</v>
      </c>
      <c r="H586" t="s">
        <v>74</v>
      </c>
      <c r="I586" t="s">
        <v>4494</v>
      </c>
      <c r="J586" t="s">
        <v>2847</v>
      </c>
      <c r="K586" t="s">
        <v>74</v>
      </c>
      <c r="L586" t="s">
        <v>74</v>
      </c>
      <c r="M586" t="s">
        <v>74</v>
      </c>
      <c r="N586" t="s">
        <v>74</v>
      </c>
      <c r="O586" t="s">
        <v>74</v>
      </c>
      <c r="P586" t="s">
        <v>74</v>
      </c>
      <c r="Q586" t="s">
        <v>74</v>
      </c>
      <c r="R586" t="s">
        <v>74</v>
      </c>
      <c r="S586" t="s">
        <v>74</v>
      </c>
      <c r="T586" t="s">
        <v>74</v>
      </c>
      <c r="U586" t="s">
        <v>74</v>
      </c>
      <c r="V586" s="3" t="s">
        <v>4495</v>
      </c>
      <c r="W586" t="s">
        <v>74</v>
      </c>
      <c r="X586" t="s">
        <v>74</v>
      </c>
      <c r="Y586" t="s">
        <v>74</v>
      </c>
      <c r="Z586" t="s">
        <v>74</v>
      </c>
      <c r="AA586" t="s">
        <v>74</v>
      </c>
      <c r="AB586" t="s">
        <v>74</v>
      </c>
      <c r="AC586" t="s">
        <v>74</v>
      </c>
      <c r="AD586" t="s">
        <v>74</v>
      </c>
      <c r="AE586" t="s">
        <v>74</v>
      </c>
      <c r="AF586" t="s">
        <v>74</v>
      </c>
      <c r="AG586" t="s">
        <v>74</v>
      </c>
      <c r="AH586" t="s">
        <v>74</v>
      </c>
      <c r="AI586" t="s">
        <v>74</v>
      </c>
      <c r="AJ586" t="s">
        <v>74</v>
      </c>
      <c r="AK586" t="s">
        <v>74</v>
      </c>
      <c r="AL586" t="s">
        <v>74</v>
      </c>
      <c r="AM586" t="s">
        <v>74</v>
      </c>
      <c r="AN586" t="s">
        <v>74</v>
      </c>
      <c r="AO586" t="s">
        <v>2849</v>
      </c>
      <c r="AP586" t="s">
        <v>74</v>
      </c>
      <c r="AQ586" t="s">
        <v>74</v>
      </c>
      <c r="AR586" t="s">
        <v>74</v>
      </c>
      <c r="AS586" t="s">
        <v>74</v>
      </c>
      <c r="AT586" t="s">
        <v>4496</v>
      </c>
      <c r="AU586">
        <v>1995</v>
      </c>
      <c r="AV586">
        <v>186</v>
      </c>
      <c r="AW586">
        <v>1</v>
      </c>
      <c r="AX586" t="s">
        <v>74</v>
      </c>
      <c r="AY586" t="s">
        <v>74</v>
      </c>
      <c r="AZ586" t="s">
        <v>74</v>
      </c>
      <c r="BA586" t="s">
        <v>74</v>
      </c>
      <c r="BB586">
        <v>17</v>
      </c>
      <c r="BC586">
        <v>31</v>
      </c>
      <c r="BD586" t="s">
        <v>74</v>
      </c>
      <c r="BE586" t="s">
        <v>4497</v>
      </c>
      <c r="BF586" t="str">
        <f>HYPERLINK("http://dx.doi.org/10.1016/0022-0981(94)00147-6","http://dx.doi.org/10.1016/0022-0981(94)00147-6")</f>
        <v>http://dx.doi.org/10.1016/0022-0981(94)00147-6</v>
      </c>
      <c r="BG586" t="s">
        <v>74</v>
      </c>
      <c r="BH586" t="s">
        <v>74</v>
      </c>
      <c r="BI586" t="s">
        <v>74</v>
      </c>
      <c r="BJ586" t="s">
        <v>74</v>
      </c>
      <c r="BK586" t="s">
        <v>74</v>
      </c>
      <c r="BL586" t="s">
        <v>74</v>
      </c>
      <c r="BM586" t="s">
        <v>74</v>
      </c>
      <c r="BN586" t="s">
        <v>74</v>
      </c>
      <c r="BO586" t="s">
        <v>74</v>
      </c>
      <c r="BP586" t="s">
        <v>74</v>
      </c>
      <c r="BQ586" t="s">
        <v>74</v>
      </c>
      <c r="BR586" t="s">
        <v>74</v>
      </c>
      <c r="BS586" t="s">
        <v>4498</v>
      </c>
      <c r="BT586" t="str">
        <f>HYPERLINK("https%3A%2F%2Fwww.webofscience.com%2Fwos%2Fwoscc%2Ffull-record%2FWOS:A1995QN80300003","View Full Record in Web of Science")</f>
        <v>View Full Record in Web of Science</v>
      </c>
    </row>
    <row r="587" spans="1:72" x14ac:dyDescent="0.4">
      <c r="A587" t="s">
        <v>72</v>
      </c>
      <c r="B587" t="s">
        <v>3674</v>
      </c>
      <c r="C587" t="s">
        <v>74</v>
      </c>
      <c r="D587" t="s">
        <v>74</v>
      </c>
      <c r="E587" t="s">
        <v>74</v>
      </c>
      <c r="F587" t="s">
        <v>3675</v>
      </c>
      <c r="G587" t="s">
        <v>74</v>
      </c>
      <c r="H587" t="s">
        <v>74</v>
      </c>
      <c r="I587" t="s">
        <v>3676</v>
      </c>
      <c r="J587" t="s">
        <v>1812</v>
      </c>
      <c r="K587" t="s">
        <v>74</v>
      </c>
      <c r="L587" t="s">
        <v>74</v>
      </c>
      <c r="M587" t="s">
        <v>74</v>
      </c>
      <c r="N587" t="s">
        <v>74</v>
      </c>
      <c r="O587" t="s">
        <v>74</v>
      </c>
      <c r="P587" t="s">
        <v>74</v>
      </c>
      <c r="Q587" t="s">
        <v>74</v>
      </c>
      <c r="R587" t="s">
        <v>74</v>
      </c>
      <c r="S587" t="s">
        <v>74</v>
      </c>
      <c r="T587" t="s">
        <v>74</v>
      </c>
      <c r="U587" t="s">
        <v>74</v>
      </c>
      <c r="V587" s="3" t="s">
        <v>3677</v>
      </c>
      <c r="W587" t="s">
        <v>74</v>
      </c>
      <c r="X587" t="s">
        <v>74</v>
      </c>
      <c r="Y587" t="s">
        <v>74</v>
      </c>
      <c r="Z587" t="s">
        <v>74</v>
      </c>
      <c r="AA587" t="s">
        <v>3678</v>
      </c>
      <c r="AB587" t="s">
        <v>3679</v>
      </c>
      <c r="AC587" t="s">
        <v>74</v>
      </c>
      <c r="AD587" t="s">
        <v>74</v>
      </c>
      <c r="AE587" t="s">
        <v>74</v>
      </c>
      <c r="AF587" t="s">
        <v>74</v>
      </c>
      <c r="AG587" t="s">
        <v>74</v>
      </c>
      <c r="AH587" t="s">
        <v>74</v>
      </c>
      <c r="AI587" t="s">
        <v>74</v>
      </c>
      <c r="AJ587" t="s">
        <v>74</v>
      </c>
      <c r="AK587" t="s">
        <v>74</v>
      </c>
      <c r="AL587" t="s">
        <v>74</v>
      </c>
      <c r="AM587" t="s">
        <v>74</v>
      </c>
      <c r="AN587" t="s">
        <v>74</v>
      </c>
      <c r="AO587" t="s">
        <v>1814</v>
      </c>
      <c r="AP587" t="s">
        <v>1815</v>
      </c>
      <c r="AQ587" t="s">
        <v>74</v>
      </c>
      <c r="AR587" t="s">
        <v>74</v>
      </c>
      <c r="AS587" t="s">
        <v>74</v>
      </c>
      <c r="AT587" t="s">
        <v>102</v>
      </c>
      <c r="AU587">
        <v>2010</v>
      </c>
      <c r="AV587">
        <v>44</v>
      </c>
      <c r="AW587">
        <v>2</v>
      </c>
      <c r="AX587" t="s">
        <v>74</v>
      </c>
      <c r="AY587" t="s">
        <v>74</v>
      </c>
      <c r="AZ587" t="s">
        <v>74</v>
      </c>
      <c r="BA587" t="s">
        <v>74</v>
      </c>
      <c r="BB587">
        <v>261</v>
      </c>
      <c r="BC587">
        <v>271</v>
      </c>
      <c r="BD587" t="s">
        <v>74</v>
      </c>
      <c r="BE587" t="s">
        <v>3680</v>
      </c>
      <c r="BF587" t="str">
        <f>HYPERLINK("http://dx.doi.org/10.1670/08-275.1","http://dx.doi.org/10.1670/08-275.1")</f>
        <v>http://dx.doi.org/10.1670/08-275.1</v>
      </c>
      <c r="BG587" t="s">
        <v>74</v>
      </c>
      <c r="BH587" t="s">
        <v>74</v>
      </c>
      <c r="BI587" t="s">
        <v>74</v>
      </c>
      <c r="BJ587" t="s">
        <v>74</v>
      </c>
      <c r="BK587" t="s">
        <v>74</v>
      </c>
      <c r="BL587" t="s">
        <v>74</v>
      </c>
      <c r="BM587" t="s">
        <v>74</v>
      </c>
      <c r="BN587" t="s">
        <v>74</v>
      </c>
      <c r="BO587" t="s">
        <v>74</v>
      </c>
      <c r="BP587" t="s">
        <v>74</v>
      </c>
      <c r="BQ587" t="s">
        <v>74</v>
      </c>
      <c r="BR587" t="s">
        <v>74</v>
      </c>
      <c r="BS587" t="s">
        <v>3681</v>
      </c>
      <c r="BT587" t="str">
        <f>HYPERLINK("https%3A%2F%2Fwww.webofscience.com%2Fwos%2Fwoscc%2Ffull-record%2FWOS:000278297700010","View Full Record in Web of Science")</f>
        <v>View Full Record in Web of Science</v>
      </c>
    </row>
    <row r="588" spans="1:72" x14ac:dyDescent="0.4">
      <c r="A588" t="s">
        <v>72</v>
      </c>
      <c r="B588" t="s">
        <v>1886</v>
      </c>
      <c r="C588" t="s">
        <v>74</v>
      </c>
      <c r="D588" t="s">
        <v>74</v>
      </c>
      <c r="E588" t="s">
        <v>74</v>
      </c>
      <c r="F588" t="s">
        <v>1887</v>
      </c>
      <c r="G588" t="s">
        <v>74</v>
      </c>
      <c r="H588" t="s">
        <v>74</v>
      </c>
      <c r="I588" t="s">
        <v>1888</v>
      </c>
      <c r="J588" t="s">
        <v>129</v>
      </c>
      <c r="K588" t="s">
        <v>74</v>
      </c>
      <c r="L588" t="s">
        <v>74</v>
      </c>
      <c r="M588" t="s">
        <v>74</v>
      </c>
      <c r="N588" t="s">
        <v>74</v>
      </c>
      <c r="O588" t="s">
        <v>74</v>
      </c>
      <c r="P588" t="s">
        <v>74</v>
      </c>
      <c r="Q588" t="s">
        <v>74</v>
      </c>
      <c r="R588" t="s">
        <v>74</v>
      </c>
      <c r="S588" t="s">
        <v>74</v>
      </c>
      <c r="T588" t="s">
        <v>74</v>
      </c>
      <c r="U588" t="s">
        <v>74</v>
      </c>
      <c r="V588" s="3" t="s">
        <v>1889</v>
      </c>
      <c r="W588" t="s">
        <v>74</v>
      </c>
      <c r="X588" t="s">
        <v>74</v>
      </c>
      <c r="Y588" t="s">
        <v>74</v>
      </c>
      <c r="Z588" t="s">
        <v>74</v>
      </c>
      <c r="AA588" t="s">
        <v>74</v>
      </c>
      <c r="AB588" t="s">
        <v>74</v>
      </c>
      <c r="AC588" t="s">
        <v>74</v>
      </c>
      <c r="AD588" t="s">
        <v>74</v>
      </c>
      <c r="AE588" t="s">
        <v>74</v>
      </c>
      <c r="AF588" t="s">
        <v>74</v>
      </c>
      <c r="AG588" t="s">
        <v>74</v>
      </c>
      <c r="AH588" t="s">
        <v>74</v>
      </c>
      <c r="AI588" t="s">
        <v>74</v>
      </c>
      <c r="AJ588" t="s">
        <v>74</v>
      </c>
      <c r="AK588" t="s">
        <v>74</v>
      </c>
      <c r="AL588" t="s">
        <v>74</v>
      </c>
      <c r="AM588" t="s">
        <v>74</v>
      </c>
      <c r="AN588" t="s">
        <v>74</v>
      </c>
      <c r="AO588" t="s">
        <v>132</v>
      </c>
      <c r="AP588" t="s">
        <v>133</v>
      </c>
      <c r="AQ588" t="s">
        <v>74</v>
      </c>
      <c r="AR588" t="s">
        <v>74</v>
      </c>
      <c r="AS588" t="s">
        <v>74</v>
      </c>
      <c r="AT588" t="s">
        <v>964</v>
      </c>
      <c r="AU588">
        <v>2021</v>
      </c>
      <c r="AV588">
        <v>75</v>
      </c>
      <c r="AW588">
        <v>2</v>
      </c>
      <c r="AX588" t="s">
        <v>74</v>
      </c>
      <c r="AY588" t="s">
        <v>74</v>
      </c>
      <c r="AZ588" t="s">
        <v>74</v>
      </c>
      <c r="BA588" t="s">
        <v>74</v>
      </c>
      <c r="BB588" t="s">
        <v>74</v>
      </c>
      <c r="BC588" t="s">
        <v>74</v>
      </c>
      <c r="BD588">
        <v>40</v>
      </c>
      <c r="BE588" t="s">
        <v>1890</v>
      </c>
      <c r="BF588" t="str">
        <f>HYPERLINK("http://dx.doi.org/10.1007/s00265-021-02980-y","http://dx.doi.org/10.1007/s00265-021-02980-y")</f>
        <v>http://dx.doi.org/10.1007/s00265-021-02980-y</v>
      </c>
      <c r="BG588" t="s">
        <v>74</v>
      </c>
      <c r="BH588" t="s">
        <v>74</v>
      </c>
      <c r="BI588" t="s">
        <v>74</v>
      </c>
      <c r="BJ588" t="s">
        <v>74</v>
      </c>
      <c r="BK588" t="s">
        <v>74</v>
      </c>
      <c r="BL588" t="s">
        <v>74</v>
      </c>
      <c r="BM588" t="s">
        <v>74</v>
      </c>
      <c r="BN588" t="s">
        <v>74</v>
      </c>
      <c r="BO588" t="s">
        <v>74</v>
      </c>
      <c r="BP588" t="s">
        <v>74</v>
      </c>
      <c r="BQ588" t="s">
        <v>74</v>
      </c>
      <c r="BR588" t="s">
        <v>74</v>
      </c>
      <c r="BS588" t="s">
        <v>1891</v>
      </c>
      <c r="BT588" t="str">
        <f>HYPERLINK("https%3A%2F%2Fwww.webofscience.com%2Fwos%2Fwoscc%2Ffull-record%2FWOS:000613234900001","View Full Record in Web of Science")</f>
        <v>View Full Record in Web of Science</v>
      </c>
    </row>
    <row r="589" spans="1:72" x14ac:dyDescent="0.4">
      <c r="A589" t="s">
        <v>72</v>
      </c>
      <c r="B589" t="s">
        <v>3016</v>
      </c>
      <c r="C589" t="s">
        <v>74</v>
      </c>
      <c r="D589" t="s">
        <v>74</v>
      </c>
      <c r="E589" t="s">
        <v>74</v>
      </c>
      <c r="F589" t="s">
        <v>3017</v>
      </c>
      <c r="G589" t="s">
        <v>74</v>
      </c>
      <c r="H589" t="s">
        <v>74</v>
      </c>
      <c r="I589" t="s">
        <v>3018</v>
      </c>
      <c r="J589" t="s">
        <v>201</v>
      </c>
      <c r="K589" t="s">
        <v>74</v>
      </c>
      <c r="L589" t="s">
        <v>74</v>
      </c>
      <c r="M589" t="s">
        <v>74</v>
      </c>
      <c r="N589" t="s">
        <v>74</v>
      </c>
      <c r="O589" t="s">
        <v>74</v>
      </c>
      <c r="P589" t="s">
        <v>74</v>
      </c>
      <c r="Q589" t="s">
        <v>74</v>
      </c>
      <c r="R589" t="s">
        <v>74</v>
      </c>
      <c r="S589" t="s">
        <v>74</v>
      </c>
      <c r="T589" t="s">
        <v>74</v>
      </c>
      <c r="U589" t="s">
        <v>74</v>
      </c>
      <c r="V589" s="3" t="s">
        <v>3019</v>
      </c>
      <c r="W589" t="s">
        <v>74</v>
      </c>
      <c r="X589" t="s">
        <v>74</v>
      </c>
      <c r="Y589" t="s">
        <v>74</v>
      </c>
      <c r="Z589" t="s">
        <v>74</v>
      </c>
      <c r="AA589" t="s">
        <v>74</v>
      </c>
      <c r="AB589" t="s">
        <v>74</v>
      </c>
      <c r="AC589" t="s">
        <v>74</v>
      </c>
      <c r="AD589" t="s">
        <v>74</v>
      </c>
      <c r="AE589" t="s">
        <v>74</v>
      </c>
      <c r="AF589" t="s">
        <v>74</v>
      </c>
      <c r="AG589" t="s">
        <v>74</v>
      </c>
      <c r="AH589" t="s">
        <v>74</v>
      </c>
      <c r="AI589" t="s">
        <v>74</v>
      </c>
      <c r="AJ589" t="s">
        <v>74</v>
      </c>
      <c r="AK589" t="s">
        <v>74</v>
      </c>
      <c r="AL589" t="s">
        <v>74</v>
      </c>
      <c r="AM589" t="s">
        <v>74</v>
      </c>
      <c r="AN589" t="s">
        <v>74</v>
      </c>
      <c r="AO589" t="s">
        <v>203</v>
      </c>
      <c r="AP589" t="s">
        <v>1192</v>
      </c>
      <c r="AQ589" t="s">
        <v>74</v>
      </c>
      <c r="AR589" t="s">
        <v>74</v>
      </c>
      <c r="AS589" t="s">
        <v>74</v>
      </c>
      <c r="AT589" t="s">
        <v>123</v>
      </c>
      <c r="AU589">
        <v>2020</v>
      </c>
      <c r="AV589">
        <v>96</v>
      </c>
      <c r="AW589">
        <v>3</v>
      </c>
      <c r="AX589" t="s">
        <v>74</v>
      </c>
      <c r="AY589" t="s">
        <v>74</v>
      </c>
      <c r="AZ589" t="s">
        <v>74</v>
      </c>
      <c r="BA589" t="s">
        <v>74</v>
      </c>
      <c r="BB589">
        <v>663</v>
      </c>
      <c r="BC589">
        <v>668</v>
      </c>
      <c r="BD589" t="s">
        <v>74</v>
      </c>
      <c r="BE589" t="s">
        <v>3020</v>
      </c>
      <c r="BF589" t="str">
        <f>HYPERLINK("http://dx.doi.org/10.1111/jfb.14257","http://dx.doi.org/10.1111/jfb.14257")</f>
        <v>http://dx.doi.org/10.1111/jfb.14257</v>
      </c>
      <c r="BG589" t="s">
        <v>74</v>
      </c>
      <c r="BH589" t="s">
        <v>3021</v>
      </c>
      <c r="BI589" t="s">
        <v>74</v>
      </c>
      <c r="BJ589" t="s">
        <v>74</v>
      </c>
      <c r="BK589" t="s">
        <v>74</v>
      </c>
      <c r="BL589" t="s">
        <v>74</v>
      </c>
      <c r="BM589" t="s">
        <v>74</v>
      </c>
      <c r="BN589">
        <v>31944298</v>
      </c>
      <c r="BO589" t="s">
        <v>74</v>
      </c>
      <c r="BP589" t="s">
        <v>74</v>
      </c>
      <c r="BQ589" t="s">
        <v>74</v>
      </c>
      <c r="BR589" t="s">
        <v>74</v>
      </c>
      <c r="BS589" t="s">
        <v>3022</v>
      </c>
      <c r="BT589" t="str">
        <f>HYPERLINK("https%3A%2F%2Fwww.webofscience.com%2Fwos%2Fwoscc%2Ffull-record%2FWOS:000509418500001","View Full Record in Web of Science")</f>
        <v>View Full Record in Web of Science</v>
      </c>
    </row>
    <row r="590" spans="1:72" x14ac:dyDescent="0.4">
      <c r="A590" t="s">
        <v>72</v>
      </c>
      <c r="B590" t="s">
        <v>5660</v>
      </c>
      <c r="C590" t="s">
        <v>74</v>
      </c>
      <c r="D590" t="s">
        <v>74</v>
      </c>
      <c r="E590" t="s">
        <v>74</v>
      </c>
      <c r="F590" t="s">
        <v>5660</v>
      </c>
      <c r="G590" t="s">
        <v>74</v>
      </c>
      <c r="H590" t="s">
        <v>74</v>
      </c>
      <c r="I590" t="s">
        <v>5661</v>
      </c>
      <c r="J590" t="s">
        <v>530</v>
      </c>
      <c r="K590" t="s">
        <v>74</v>
      </c>
      <c r="L590" t="s">
        <v>74</v>
      </c>
      <c r="M590" t="s">
        <v>74</v>
      </c>
      <c r="N590" t="s">
        <v>74</v>
      </c>
      <c r="O590" t="s">
        <v>74</v>
      </c>
      <c r="P590" t="s">
        <v>74</v>
      </c>
      <c r="Q590" t="s">
        <v>74</v>
      </c>
      <c r="R590" t="s">
        <v>74</v>
      </c>
      <c r="S590" t="s">
        <v>74</v>
      </c>
      <c r="T590" t="s">
        <v>74</v>
      </c>
      <c r="U590" t="s">
        <v>74</v>
      </c>
      <c r="V590" s="3" t="s">
        <v>5662</v>
      </c>
      <c r="W590" t="s">
        <v>74</v>
      </c>
      <c r="X590" t="s">
        <v>74</v>
      </c>
      <c r="Y590" t="s">
        <v>74</v>
      </c>
      <c r="Z590" t="s">
        <v>74</v>
      </c>
      <c r="AA590" t="s">
        <v>5663</v>
      </c>
      <c r="AB590" t="s">
        <v>5664</v>
      </c>
      <c r="AC590" t="s">
        <v>74</v>
      </c>
      <c r="AD590" t="s">
        <v>74</v>
      </c>
      <c r="AE590" t="s">
        <v>74</v>
      </c>
      <c r="AF590" t="s">
        <v>74</v>
      </c>
      <c r="AG590" t="s">
        <v>74</v>
      </c>
      <c r="AH590" t="s">
        <v>74</v>
      </c>
      <c r="AI590" t="s">
        <v>74</v>
      </c>
      <c r="AJ590" t="s">
        <v>74</v>
      </c>
      <c r="AK590" t="s">
        <v>74</v>
      </c>
      <c r="AL590" t="s">
        <v>74</v>
      </c>
      <c r="AM590" t="s">
        <v>74</v>
      </c>
      <c r="AN590" t="s">
        <v>74</v>
      </c>
      <c r="AO590" t="s">
        <v>532</v>
      </c>
      <c r="AP590" t="s">
        <v>533</v>
      </c>
      <c r="AQ590" t="s">
        <v>74</v>
      </c>
      <c r="AR590" t="s">
        <v>74</v>
      </c>
      <c r="AS590" t="s">
        <v>74</v>
      </c>
      <c r="AT590" t="s">
        <v>305</v>
      </c>
      <c r="AU590">
        <v>2001</v>
      </c>
      <c r="AV590">
        <v>139</v>
      </c>
      <c r="AW590">
        <v>6</v>
      </c>
      <c r="AX590" t="s">
        <v>74</v>
      </c>
      <c r="AY590" t="s">
        <v>74</v>
      </c>
      <c r="AZ590" t="s">
        <v>74</v>
      </c>
      <c r="BA590" t="s">
        <v>74</v>
      </c>
      <c r="BB590">
        <v>1147</v>
      </c>
      <c r="BC590">
        <v>1154</v>
      </c>
      <c r="BD590" t="s">
        <v>74</v>
      </c>
      <c r="BE590" t="s">
        <v>74</v>
      </c>
      <c r="BF590" t="s">
        <v>74</v>
      </c>
      <c r="BG590" t="s">
        <v>74</v>
      </c>
      <c r="BH590" t="s">
        <v>74</v>
      </c>
      <c r="BI590" t="s">
        <v>74</v>
      </c>
      <c r="BJ590" t="s">
        <v>74</v>
      </c>
      <c r="BK590" t="s">
        <v>74</v>
      </c>
      <c r="BL590" t="s">
        <v>74</v>
      </c>
      <c r="BM590" t="s">
        <v>74</v>
      </c>
      <c r="BN590" t="s">
        <v>74</v>
      </c>
      <c r="BO590" t="s">
        <v>74</v>
      </c>
      <c r="BP590" t="s">
        <v>74</v>
      </c>
      <c r="BQ590" t="s">
        <v>74</v>
      </c>
      <c r="BR590" t="s">
        <v>74</v>
      </c>
      <c r="BS590" t="s">
        <v>5665</v>
      </c>
      <c r="BT590" t="str">
        <f>HYPERLINK("https%3A%2F%2Fwww.webofscience.com%2Fwos%2Fwoscc%2Ffull-record%2FWOS:000173168700014","View Full Record in Web of Science")</f>
        <v>View Full Record in Web of Science</v>
      </c>
    </row>
    <row r="591" spans="1:72" x14ac:dyDescent="0.4">
      <c r="A591" t="s">
        <v>72</v>
      </c>
      <c r="B591" t="s">
        <v>2586</v>
      </c>
      <c r="C591" t="s">
        <v>74</v>
      </c>
      <c r="D591" t="s">
        <v>74</v>
      </c>
      <c r="E591" t="s">
        <v>74</v>
      </c>
      <c r="F591" t="s">
        <v>2587</v>
      </c>
      <c r="G591" t="s">
        <v>74</v>
      </c>
      <c r="H591" t="s">
        <v>74</v>
      </c>
      <c r="I591" t="s">
        <v>2588</v>
      </c>
      <c r="J591" t="s">
        <v>824</v>
      </c>
      <c r="K591" t="s">
        <v>74</v>
      </c>
      <c r="L591" t="s">
        <v>74</v>
      </c>
      <c r="M591" t="s">
        <v>74</v>
      </c>
      <c r="N591" t="s">
        <v>74</v>
      </c>
      <c r="O591" t="s">
        <v>74</v>
      </c>
      <c r="P591" t="s">
        <v>74</v>
      </c>
      <c r="Q591" t="s">
        <v>74</v>
      </c>
      <c r="R591" t="s">
        <v>74</v>
      </c>
      <c r="S591" t="s">
        <v>74</v>
      </c>
      <c r="T591" t="s">
        <v>74</v>
      </c>
      <c r="U591" t="s">
        <v>74</v>
      </c>
      <c r="V591" s="3" t="s">
        <v>2589</v>
      </c>
      <c r="W591" t="s">
        <v>74</v>
      </c>
      <c r="X591" t="s">
        <v>74</v>
      </c>
      <c r="Y591" t="s">
        <v>74</v>
      </c>
      <c r="Z591" t="s">
        <v>74</v>
      </c>
      <c r="AA591" t="s">
        <v>2590</v>
      </c>
      <c r="AB591" t="s">
        <v>2591</v>
      </c>
      <c r="AC591" t="s">
        <v>74</v>
      </c>
      <c r="AD591" t="s">
        <v>74</v>
      </c>
      <c r="AE591" t="s">
        <v>74</v>
      </c>
      <c r="AF591" t="s">
        <v>74</v>
      </c>
      <c r="AG591" t="s">
        <v>74</v>
      </c>
      <c r="AH591" t="s">
        <v>74</v>
      </c>
      <c r="AI591" t="s">
        <v>74</v>
      </c>
      <c r="AJ591" t="s">
        <v>74</v>
      </c>
      <c r="AK591" t="s">
        <v>74</v>
      </c>
      <c r="AL591" t="s">
        <v>74</v>
      </c>
      <c r="AM591" t="s">
        <v>74</v>
      </c>
      <c r="AN591" t="s">
        <v>74</v>
      </c>
      <c r="AO591" t="s">
        <v>828</v>
      </c>
      <c r="AP591" t="s">
        <v>829</v>
      </c>
      <c r="AQ591" t="s">
        <v>74</v>
      </c>
      <c r="AR591" t="s">
        <v>74</v>
      </c>
      <c r="AS591" t="s">
        <v>74</v>
      </c>
      <c r="AT591" t="s">
        <v>213</v>
      </c>
      <c r="AU591">
        <v>2014</v>
      </c>
      <c r="AV591">
        <v>83</v>
      </c>
      <c r="AW591">
        <v>6</v>
      </c>
      <c r="AX591" t="s">
        <v>74</v>
      </c>
      <c r="AY591" t="s">
        <v>74</v>
      </c>
      <c r="AZ591" t="s">
        <v>74</v>
      </c>
      <c r="BA591" t="s">
        <v>74</v>
      </c>
      <c r="BB591">
        <v>1490</v>
      </c>
      <c r="BC591">
        <v>1500</v>
      </c>
      <c r="BD591" t="s">
        <v>74</v>
      </c>
      <c r="BE591" t="s">
        <v>2592</v>
      </c>
      <c r="BF591" t="str">
        <f>HYPERLINK("http://dx.doi.org/10.1111/1365-2656.12252","http://dx.doi.org/10.1111/1365-2656.12252")</f>
        <v>http://dx.doi.org/10.1111/1365-2656.12252</v>
      </c>
      <c r="BG591" t="s">
        <v>74</v>
      </c>
      <c r="BH591" t="s">
        <v>74</v>
      </c>
      <c r="BI591" t="s">
        <v>74</v>
      </c>
      <c r="BJ591" t="s">
        <v>74</v>
      </c>
      <c r="BK591" t="s">
        <v>74</v>
      </c>
      <c r="BL591" t="s">
        <v>74</v>
      </c>
      <c r="BM591" t="s">
        <v>74</v>
      </c>
      <c r="BN591">
        <v>24889087</v>
      </c>
      <c r="BO591" t="s">
        <v>74</v>
      </c>
      <c r="BP591" t="s">
        <v>74</v>
      </c>
      <c r="BQ591" t="s">
        <v>74</v>
      </c>
      <c r="BR591" t="s">
        <v>74</v>
      </c>
      <c r="BS591" t="s">
        <v>2593</v>
      </c>
      <c r="BT591" t="str">
        <f>HYPERLINK("https%3A%2F%2Fwww.webofscience.com%2Fwos%2Fwoscc%2Ffull-record%2FWOS:000344339500025","View Full Record in Web of Science")</f>
        <v>View Full Record in Web of Science</v>
      </c>
    </row>
    <row r="592" spans="1:72" x14ac:dyDescent="0.4">
      <c r="A592" t="s">
        <v>72</v>
      </c>
      <c r="B592" t="s">
        <v>5958</v>
      </c>
      <c r="C592" t="s">
        <v>74</v>
      </c>
      <c r="D592" t="s">
        <v>74</v>
      </c>
      <c r="E592" t="s">
        <v>74</v>
      </c>
      <c r="F592" t="s">
        <v>5959</v>
      </c>
      <c r="G592" t="s">
        <v>74</v>
      </c>
      <c r="H592" t="s">
        <v>74</v>
      </c>
      <c r="I592" t="s">
        <v>5960</v>
      </c>
      <c r="J592" t="s">
        <v>5961</v>
      </c>
      <c r="K592" t="s">
        <v>74</v>
      </c>
      <c r="L592" t="s">
        <v>74</v>
      </c>
      <c r="M592" t="s">
        <v>74</v>
      </c>
      <c r="N592" t="s">
        <v>74</v>
      </c>
      <c r="O592" t="s">
        <v>74</v>
      </c>
      <c r="P592" t="s">
        <v>74</v>
      </c>
      <c r="Q592" t="s">
        <v>74</v>
      </c>
      <c r="R592" t="s">
        <v>74</v>
      </c>
      <c r="S592" t="s">
        <v>74</v>
      </c>
      <c r="T592" t="s">
        <v>74</v>
      </c>
      <c r="U592" t="s">
        <v>74</v>
      </c>
      <c r="V592" s="3" t="s">
        <v>5962</v>
      </c>
      <c r="W592" t="s">
        <v>74</v>
      </c>
      <c r="X592" t="s">
        <v>74</v>
      </c>
      <c r="Y592" t="s">
        <v>74</v>
      </c>
      <c r="Z592" t="s">
        <v>74</v>
      </c>
      <c r="AA592" t="s">
        <v>5963</v>
      </c>
      <c r="AB592" t="s">
        <v>5964</v>
      </c>
      <c r="AC592" t="s">
        <v>74</v>
      </c>
      <c r="AD592" t="s">
        <v>74</v>
      </c>
      <c r="AE592" t="s">
        <v>74</v>
      </c>
      <c r="AF592" t="s">
        <v>74</v>
      </c>
      <c r="AG592" t="s">
        <v>74</v>
      </c>
      <c r="AH592" t="s">
        <v>74</v>
      </c>
      <c r="AI592" t="s">
        <v>74</v>
      </c>
      <c r="AJ592" t="s">
        <v>74</v>
      </c>
      <c r="AK592" t="s">
        <v>74</v>
      </c>
      <c r="AL592" t="s">
        <v>74</v>
      </c>
      <c r="AM592" t="s">
        <v>74</v>
      </c>
      <c r="AN592" t="s">
        <v>74</v>
      </c>
      <c r="AO592" t="s">
        <v>5965</v>
      </c>
      <c r="AP592" t="s">
        <v>5966</v>
      </c>
      <c r="AQ592" t="s">
        <v>74</v>
      </c>
      <c r="AR592" t="s">
        <v>74</v>
      </c>
      <c r="AS592" t="s">
        <v>74</v>
      </c>
      <c r="AT592" t="s">
        <v>175</v>
      </c>
      <c r="AU592">
        <v>2015</v>
      </c>
      <c r="AV592">
        <v>40</v>
      </c>
      <c r="AW592">
        <v>4</v>
      </c>
      <c r="AX592" t="s">
        <v>74</v>
      </c>
      <c r="AY592" t="s">
        <v>74</v>
      </c>
      <c r="AZ592" t="s">
        <v>74</v>
      </c>
      <c r="BA592" t="s">
        <v>74</v>
      </c>
      <c r="BB592">
        <v>881</v>
      </c>
      <c r="BC592">
        <v>890</v>
      </c>
      <c r="BD592" t="s">
        <v>74</v>
      </c>
      <c r="BE592" t="s">
        <v>5967</v>
      </c>
      <c r="BF592" t="str">
        <f>HYPERLINK("http://dx.doi.org/10.1111/syen.12137","http://dx.doi.org/10.1111/syen.12137")</f>
        <v>http://dx.doi.org/10.1111/syen.12137</v>
      </c>
      <c r="BG592" t="s">
        <v>74</v>
      </c>
      <c r="BH592" t="s">
        <v>74</v>
      </c>
      <c r="BI592" t="s">
        <v>74</v>
      </c>
      <c r="BJ592" t="s">
        <v>74</v>
      </c>
      <c r="BK592" t="s">
        <v>74</v>
      </c>
      <c r="BL592" t="s">
        <v>74</v>
      </c>
      <c r="BM592" t="s">
        <v>74</v>
      </c>
      <c r="BN592" t="s">
        <v>74</v>
      </c>
      <c r="BO592" t="s">
        <v>74</v>
      </c>
      <c r="BP592" t="s">
        <v>74</v>
      </c>
      <c r="BQ592" t="s">
        <v>74</v>
      </c>
      <c r="BR592" t="s">
        <v>74</v>
      </c>
      <c r="BS592" t="s">
        <v>5968</v>
      </c>
      <c r="BT592" t="str">
        <f>HYPERLINK("https%3A%2F%2Fwww.webofscience.com%2Fwos%2Fwoscc%2Ffull-record%2FWOS:000360760000010","View Full Record in Web of Science")</f>
        <v>View Full Record in Web of Science</v>
      </c>
    </row>
    <row r="593" spans="1:72" x14ac:dyDescent="0.4">
      <c r="A593" t="s">
        <v>72</v>
      </c>
      <c r="B593" t="s">
        <v>6433</v>
      </c>
      <c r="C593" t="s">
        <v>74</v>
      </c>
      <c r="D593" t="s">
        <v>74</v>
      </c>
      <c r="E593" t="s">
        <v>74</v>
      </c>
      <c r="F593" t="s">
        <v>6434</v>
      </c>
      <c r="G593" t="s">
        <v>74</v>
      </c>
      <c r="H593" t="s">
        <v>74</v>
      </c>
      <c r="I593" t="s">
        <v>6435</v>
      </c>
      <c r="J593" t="s">
        <v>6436</v>
      </c>
      <c r="K593" t="s">
        <v>74</v>
      </c>
      <c r="L593" t="s">
        <v>74</v>
      </c>
      <c r="M593" t="s">
        <v>74</v>
      </c>
      <c r="N593" t="s">
        <v>74</v>
      </c>
      <c r="O593" t="s">
        <v>74</v>
      </c>
      <c r="P593" t="s">
        <v>74</v>
      </c>
      <c r="Q593" t="s">
        <v>74</v>
      </c>
      <c r="R593" t="s">
        <v>74</v>
      </c>
      <c r="S593" t="s">
        <v>74</v>
      </c>
      <c r="T593" t="s">
        <v>74</v>
      </c>
      <c r="U593" t="s">
        <v>74</v>
      </c>
      <c r="V593" s="3" t="s">
        <v>6437</v>
      </c>
      <c r="W593" t="s">
        <v>74</v>
      </c>
      <c r="X593" t="s">
        <v>74</v>
      </c>
      <c r="Y593" t="s">
        <v>74</v>
      </c>
      <c r="Z593" t="s">
        <v>74</v>
      </c>
      <c r="AA593" t="s">
        <v>6438</v>
      </c>
      <c r="AB593" t="s">
        <v>74</v>
      </c>
      <c r="AC593" t="s">
        <v>74</v>
      </c>
      <c r="AD593" t="s">
        <v>74</v>
      </c>
      <c r="AE593" t="s">
        <v>74</v>
      </c>
      <c r="AF593" t="s">
        <v>74</v>
      </c>
      <c r="AG593" t="s">
        <v>74</v>
      </c>
      <c r="AH593" t="s">
        <v>74</v>
      </c>
      <c r="AI593" t="s">
        <v>74</v>
      </c>
      <c r="AJ593" t="s">
        <v>74</v>
      </c>
      <c r="AK593" t="s">
        <v>74</v>
      </c>
      <c r="AL593" t="s">
        <v>74</v>
      </c>
      <c r="AM593" t="s">
        <v>74</v>
      </c>
      <c r="AN593" t="s">
        <v>74</v>
      </c>
      <c r="AO593" t="s">
        <v>6439</v>
      </c>
      <c r="AP593" t="s">
        <v>74</v>
      </c>
      <c r="AQ593" t="s">
        <v>74</v>
      </c>
      <c r="AR593" t="s">
        <v>74</v>
      </c>
      <c r="AS593" t="s">
        <v>74</v>
      </c>
      <c r="AT593" t="s">
        <v>4830</v>
      </c>
      <c r="AU593">
        <v>2007</v>
      </c>
      <c r="AV593">
        <v>20</v>
      </c>
      <c r="AW593">
        <v>1</v>
      </c>
      <c r="AX593" t="s">
        <v>74</v>
      </c>
      <c r="AY593" t="s">
        <v>74</v>
      </c>
      <c r="AZ593" t="s">
        <v>74</v>
      </c>
      <c r="BA593" t="s">
        <v>74</v>
      </c>
      <c r="BB593">
        <v>72</v>
      </c>
      <c r="BC593">
        <v>81</v>
      </c>
      <c r="BD593" t="s">
        <v>74</v>
      </c>
      <c r="BE593" t="s">
        <v>6440</v>
      </c>
      <c r="BF593" t="str">
        <f>HYPERLINK("http://dx.doi.org/10.1071/SB06010","http://dx.doi.org/10.1071/SB06010")</f>
        <v>http://dx.doi.org/10.1071/SB06010</v>
      </c>
      <c r="BG593" t="s">
        <v>74</v>
      </c>
      <c r="BH593" t="s">
        <v>74</v>
      </c>
      <c r="BI593" t="s">
        <v>74</v>
      </c>
      <c r="BJ593" t="s">
        <v>74</v>
      </c>
      <c r="BK593" t="s">
        <v>74</v>
      </c>
      <c r="BL593" t="s">
        <v>74</v>
      </c>
      <c r="BM593" t="s">
        <v>74</v>
      </c>
      <c r="BN593" t="s">
        <v>74</v>
      </c>
      <c r="BO593" t="s">
        <v>74</v>
      </c>
      <c r="BP593" t="s">
        <v>74</v>
      </c>
      <c r="BQ593" t="s">
        <v>74</v>
      </c>
      <c r="BR593" t="s">
        <v>74</v>
      </c>
      <c r="BS593" t="s">
        <v>6441</v>
      </c>
      <c r="BT593" t="str">
        <f>HYPERLINK("https%3A%2F%2Fwww.webofscience.com%2Fwos%2Fwoscc%2Ffull-record%2FWOS:000244420200005","View Full Record in Web of Science")</f>
        <v>View Full Record in Web of Science</v>
      </c>
    </row>
    <row r="594" spans="1:72" x14ac:dyDescent="0.4">
      <c r="A594" t="s">
        <v>72</v>
      </c>
      <c r="B594" t="s">
        <v>6134</v>
      </c>
      <c r="C594" t="s">
        <v>74</v>
      </c>
      <c r="D594" t="s">
        <v>74</v>
      </c>
      <c r="E594" t="s">
        <v>74</v>
      </c>
      <c r="F594" t="s">
        <v>6135</v>
      </c>
      <c r="G594" t="s">
        <v>74</v>
      </c>
      <c r="H594" t="s">
        <v>74</v>
      </c>
      <c r="I594" t="s">
        <v>6136</v>
      </c>
      <c r="J594" t="s">
        <v>6137</v>
      </c>
      <c r="K594" t="s">
        <v>74</v>
      </c>
      <c r="L594" t="s">
        <v>74</v>
      </c>
      <c r="M594" t="s">
        <v>74</v>
      </c>
      <c r="N594" t="s">
        <v>74</v>
      </c>
      <c r="O594" t="s">
        <v>74</v>
      </c>
      <c r="P594" t="s">
        <v>74</v>
      </c>
      <c r="Q594" t="s">
        <v>74</v>
      </c>
      <c r="R594" t="s">
        <v>74</v>
      </c>
      <c r="S594" t="s">
        <v>74</v>
      </c>
      <c r="T594" t="s">
        <v>74</v>
      </c>
      <c r="U594" t="s">
        <v>74</v>
      </c>
      <c r="V594" s="3" t="s">
        <v>6138</v>
      </c>
      <c r="W594" t="s">
        <v>74</v>
      </c>
      <c r="X594" t="s">
        <v>74</v>
      </c>
      <c r="Y594" t="s">
        <v>74</v>
      </c>
      <c r="Z594" t="s">
        <v>74</v>
      </c>
      <c r="AA594" t="s">
        <v>6139</v>
      </c>
      <c r="AB594" t="s">
        <v>74</v>
      </c>
      <c r="AC594" t="s">
        <v>74</v>
      </c>
      <c r="AD594" t="s">
        <v>74</v>
      </c>
      <c r="AE594" t="s">
        <v>74</v>
      </c>
      <c r="AF594" t="s">
        <v>74</v>
      </c>
      <c r="AG594" t="s">
        <v>74</v>
      </c>
      <c r="AH594" t="s">
        <v>74</v>
      </c>
      <c r="AI594" t="s">
        <v>74</v>
      </c>
      <c r="AJ594" t="s">
        <v>74</v>
      </c>
      <c r="AK594" t="s">
        <v>74</v>
      </c>
      <c r="AL594" t="s">
        <v>74</v>
      </c>
      <c r="AM594" t="s">
        <v>74</v>
      </c>
      <c r="AN594" t="s">
        <v>74</v>
      </c>
      <c r="AO594" t="s">
        <v>6140</v>
      </c>
      <c r="AP594" t="s">
        <v>6141</v>
      </c>
      <c r="AQ594" t="s">
        <v>74</v>
      </c>
      <c r="AR594" t="s">
        <v>74</v>
      </c>
      <c r="AS594" t="s">
        <v>74</v>
      </c>
      <c r="AT594" t="s">
        <v>6142</v>
      </c>
      <c r="AU594">
        <v>2015</v>
      </c>
      <c r="AV594" t="s">
        <v>74</v>
      </c>
      <c r="AW594" t="s">
        <v>74</v>
      </c>
      <c r="AX594" t="s">
        <v>74</v>
      </c>
      <c r="AY594">
        <v>31</v>
      </c>
      <c r="AZ594" t="s">
        <v>74</v>
      </c>
      <c r="BA594" t="s">
        <v>74</v>
      </c>
      <c r="BB594">
        <v>75</v>
      </c>
      <c r="BC594">
        <v>95</v>
      </c>
      <c r="BD594" t="s">
        <v>74</v>
      </c>
      <c r="BE594" t="s">
        <v>74</v>
      </c>
      <c r="BF594" t="s">
        <v>74</v>
      </c>
      <c r="BG594" t="s">
        <v>74</v>
      </c>
      <c r="BH594" t="s">
        <v>74</v>
      </c>
      <c r="BI594" t="s">
        <v>74</v>
      </c>
      <c r="BJ594" t="s">
        <v>74</v>
      </c>
      <c r="BK594" t="s">
        <v>74</v>
      </c>
      <c r="BL594" t="s">
        <v>74</v>
      </c>
      <c r="BM594" t="s">
        <v>74</v>
      </c>
      <c r="BN594" t="s">
        <v>74</v>
      </c>
      <c r="BO594" t="s">
        <v>74</v>
      </c>
      <c r="BP594" t="s">
        <v>74</v>
      </c>
      <c r="BQ594" t="s">
        <v>74</v>
      </c>
      <c r="BR594" t="s">
        <v>74</v>
      </c>
      <c r="BS594" t="s">
        <v>6143</v>
      </c>
      <c r="BT594" t="str">
        <f>HYPERLINK("https%3A%2F%2Fwww.webofscience.com%2Fwos%2Fwoscc%2Ffull-record%2FWOS:000360400000009","View Full Record in Web of Science")</f>
        <v>View Full Record in Web of Science</v>
      </c>
    </row>
    <row r="595" spans="1:72" x14ac:dyDescent="0.4">
      <c r="A595" t="s">
        <v>72</v>
      </c>
      <c r="B595" t="s">
        <v>238</v>
      </c>
      <c r="C595" t="s">
        <v>74</v>
      </c>
      <c r="D595" t="s">
        <v>74</v>
      </c>
      <c r="E595" t="s">
        <v>74</v>
      </c>
      <c r="F595" t="s">
        <v>239</v>
      </c>
      <c r="G595" t="s">
        <v>74</v>
      </c>
      <c r="H595" t="s">
        <v>74</v>
      </c>
      <c r="I595" t="s">
        <v>240</v>
      </c>
      <c r="J595" t="s">
        <v>241</v>
      </c>
      <c r="K595" t="s">
        <v>74</v>
      </c>
      <c r="L595" t="s">
        <v>74</v>
      </c>
      <c r="M595" t="s">
        <v>74</v>
      </c>
      <c r="N595" t="s">
        <v>74</v>
      </c>
      <c r="O595" t="s">
        <v>74</v>
      </c>
      <c r="P595" t="s">
        <v>74</v>
      </c>
      <c r="Q595" t="s">
        <v>74</v>
      </c>
      <c r="R595" t="s">
        <v>74</v>
      </c>
      <c r="S595" t="s">
        <v>74</v>
      </c>
      <c r="T595" t="s">
        <v>74</v>
      </c>
      <c r="U595" t="s">
        <v>74</v>
      </c>
      <c r="V595" s="3" t="s">
        <v>242</v>
      </c>
      <c r="W595" t="s">
        <v>74</v>
      </c>
      <c r="X595" t="s">
        <v>74</v>
      </c>
      <c r="Y595" t="s">
        <v>74</v>
      </c>
      <c r="Z595" t="s">
        <v>74</v>
      </c>
      <c r="AA595" t="s">
        <v>243</v>
      </c>
      <c r="AB595" t="s">
        <v>244</v>
      </c>
      <c r="AC595" t="s">
        <v>74</v>
      </c>
      <c r="AD595" t="s">
        <v>74</v>
      </c>
      <c r="AE595" t="s">
        <v>74</v>
      </c>
      <c r="AF595" t="s">
        <v>74</v>
      </c>
      <c r="AG595" t="s">
        <v>74</v>
      </c>
      <c r="AH595" t="s">
        <v>74</v>
      </c>
      <c r="AI595" t="s">
        <v>74</v>
      </c>
      <c r="AJ595" t="s">
        <v>74</v>
      </c>
      <c r="AK595" t="s">
        <v>74</v>
      </c>
      <c r="AL595" t="s">
        <v>74</v>
      </c>
      <c r="AM595" t="s">
        <v>74</v>
      </c>
      <c r="AN595" t="s">
        <v>74</v>
      </c>
      <c r="AO595" t="s">
        <v>245</v>
      </c>
      <c r="AP595" t="s">
        <v>246</v>
      </c>
      <c r="AQ595" t="s">
        <v>74</v>
      </c>
      <c r="AR595" t="s">
        <v>74</v>
      </c>
      <c r="AS595" t="s">
        <v>74</v>
      </c>
      <c r="AT595" t="s">
        <v>134</v>
      </c>
      <c r="AU595">
        <v>2014</v>
      </c>
      <c r="AV595">
        <v>175</v>
      </c>
      <c r="AW595">
        <v>1</v>
      </c>
      <c r="AX595" t="s">
        <v>74</v>
      </c>
      <c r="AY595" t="s">
        <v>74</v>
      </c>
      <c r="AZ595" t="s">
        <v>74</v>
      </c>
      <c r="BA595" t="s">
        <v>74</v>
      </c>
      <c r="BB595">
        <v>85</v>
      </c>
      <c r="BC595">
        <v>93</v>
      </c>
      <c r="BD595" t="s">
        <v>74</v>
      </c>
      <c r="BE595" t="s">
        <v>247</v>
      </c>
      <c r="BF595" t="str">
        <f>HYPERLINK("http://dx.doi.org/10.1007/s00442-013-2879-1","http://dx.doi.org/10.1007/s00442-013-2879-1")</f>
        <v>http://dx.doi.org/10.1007/s00442-013-2879-1</v>
      </c>
      <c r="BG595" t="s">
        <v>74</v>
      </c>
      <c r="BH595" t="s">
        <v>74</v>
      </c>
      <c r="BI595" t="s">
        <v>74</v>
      </c>
      <c r="BJ595" t="s">
        <v>74</v>
      </c>
      <c r="BK595" t="s">
        <v>74</v>
      </c>
      <c r="BL595" t="s">
        <v>74</v>
      </c>
      <c r="BM595" t="s">
        <v>74</v>
      </c>
      <c r="BN595">
        <v>24414236</v>
      </c>
      <c r="BO595" t="s">
        <v>74</v>
      </c>
      <c r="BP595" t="s">
        <v>74</v>
      </c>
      <c r="BQ595" t="s">
        <v>74</v>
      </c>
      <c r="BR595" t="s">
        <v>74</v>
      </c>
      <c r="BS595" t="s">
        <v>248</v>
      </c>
      <c r="BT595" t="str">
        <f>HYPERLINK("https%3A%2F%2Fwww.webofscience.com%2Fwos%2Fwoscc%2Ffull-record%2FWOS:000334691600008","View Full Record in Web of Science")</f>
        <v>View Full Record in Web of Science</v>
      </c>
    </row>
    <row r="596" spans="1:72" x14ac:dyDescent="0.4">
      <c r="A596" t="s">
        <v>72</v>
      </c>
      <c r="B596" t="s">
        <v>238</v>
      </c>
      <c r="C596" t="s">
        <v>74</v>
      </c>
      <c r="D596" t="s">
        <v>74</v>
      </c>
      <c r="E596" t="s">
        <v>74</v>
      </c>
      <c r="F596" t="s">
        <v>239</v>
      </c>
      <c r="G596" t="s">
        <v>74</v>
      </c>
      <c r="H596" t="s">
        <v>74</v>
      </c>
      <c r="I596" t="s">
        <v>1149</v>
      </c>
      <c r="J596" t="s">
        <v>333</v>
      </c>
      <c r="K596" t="s">
        <v>74</v>
      </c>
      <c r="L596" t="s">
        <v>74</v>
      </c>
      <c r="M596" t="s">
        <v>74</v>
      </c>
      <c r="N596" t="s">
        <v>74</v>
      </c>
      <c r="O596" t="s">
        <v>74</v>
      </c>
      <c r="P596" t="s">
        <v>74</v>
      </c>
      <c r="Q596" t="s">
        <v>74</v>
      </c>
      <c r="R596" t="s">
        <v>74</v>
      </c>
      <c r="S596" t="s">
        <v>74</v>
      </c>
      <c r="T596" t="s">
        <v>74</v>
      </c>
      <c r="U596" t="s">
        <v>74</v>
      </c>
      <c r="V596" s="3" t="s">
        <v>1150</v>
      </c>
      <c r="W596" t="s">
        <v>74</v>
      </c>
      <c r="X596" t="s">
        <v>74</v>
      </c>
      <c r="Y596" t="s">
        <v>74</v>
      </c>
      <c r="Z596" t="s">
        <v>74</v>
      </c>
      <c r="AA596" t="s">
        <v>243</v>
      </c>
      <c r="AB596" t="s">
        <v>244</v>
      </c>
      <c r="AC596" t="s">
        <v>74</v>
      </c>
      <c r="AD596" t="s">
        <v>74</v>
      </c>
      <c r="AE596" t="s">
        <v>74</v>
      </c>
      <c r="AF596" t="s">
        <v>74</v>
      </c>
      <c r="AG596" t="s">
        <v>74</v>
      </c>
      <c r="AH596" t="s">
        <v>74</v>
      </c>
      <c r="AI596" t="s">
        <v>74</v>
      </c>
      <c r="AJ596" t="s">
        <v>74</v>
      </c>
      <c r="AK596" t="s">
        <v>74</v>
      </c>
      <c r="AL596" t="s">
        <v>74</v>
      </c>
      <c r="AM596" t="s">
        <v>74</v>
      </c>
      <c r="AN596" t="s">
        <v>74</v>
      </c>
      <c r="AO596" t="s">
        <v>337</v>
      </c>
      <c r="AP596" t="s">
        <v>338</v>
      </c>
      <c r="AQ596" t="s">
        <v>74</v>
      </c>
      <c r="AR596" t="s">
        <v>74</v>
      </c>
      <c r="AS596" t="s">
        <v>74</v>
      </c>
      <c r="AT596" t="s">
        <v>808</v>
      </c>
      <c r="AU596">
        <v>2017</v>
      </c>
      <c r="AV596">
        <v>28</v>
      </c>
      <c r="AW596">
        <v>3</v>
      </c>
      <c r="AX596" t="s">
        <v>74</v>
      </c>
      <c r="AY596" t="s">
        <v>74</v>
      </c>
      <c r="AZ596" t="s">
        <v>74</v>
      </c>
      <c r="BA596" t="s">
        <v>74</v>
      </c>
      <c r="BB596">
        <v>925</v>
      </c>
      <c r="BC596">
        <v>933</v>
      </c>
      <c r="BD596" t="s">
        <v>74</v>
      </c>
      <c r="BE596" t="s">
        <v>1151</v>
      </c>
      <c r="BF596" t="str">
        <f>HYPERLINK("http://dx.doi.org/10.1093/beheco/arx052","http://dx.doi.org/10.1093/beheco/arx052")</f>
        <v>http://dx.doi.org/10.1093/beheco/arx052</v>
      </c>
      <c r="BG596" t="s">
        <v>74</v>
      </c>
      <c r="BH596" t="s">
        <v>74</v>
      </c>
      <c r="BI596" t="s">
        <v>74</v>
      </c>
      <c r="BJ596" t="s">
        <v>74</v>
      </c>
      <c r="BK596" t="s">
        <v>74</v>
      </c>
      <c r="BL596" t="s">
        <v>74</v>
      </c>
      <c r="BM596" t="s">
        <v>74</v>
      </c>
      <c r="BN596" t="s">
        <v>74</v>
      </c>
      <c r="BO596" t="s">
        <v>74</v>
      </c>
      <c r="BP596" t="s">
        <v>74</v>
      </c>
      <c r="BQ596" t="s">
        <v>74</v>
      </c>
      <c r="BR596" t="s">
        <v>74</v>
      </c>
      <c r="BS596" t="s">
        <v>1152</v>
      </c>
      <c r="BT596" t="str">
        <f>HYPERLINK("https%3A%2F%2Fwww.webofscience.com%2Fwos%2Fwoscc%2Ffull-record%2FWOS:000401942800043","View Full Record in Web of Science")</f>
        <v>View Full Record in Web of Science</v>
      </c>
    </row>
    <row r="597" spans="1:72" x14ac:dyDescent="0.4">
      <c r="A597" t="s">
        <v>72</v>
      </c>
      <c r="B597" t="s">
        <v>417</v>
      </c>
      <c r="C597" t="s">
        <v>74</v>
      </c>
      <c r="D597" t="s">
        <v>74</v>
      </c>
      <c r="E597" t="s">
        <v>74</v>
      </c>
      <c r="F597" t="s">
        <v>418</v>
      </c>
      <c r="G597" t="s">
        <v>74</v>
      </c>
      <c r="H597" t="s">
        <v>74</v>
      </c>
      <c r="I597" t="s">
        <v>419</v>
      </c>
      <c r="J597" t="s">
        <v>420</v>
      </c>
      <c r="K597" t="s">
        <v>74</v>
      </c>
      <c r="L597" t="s">
        <v>74</v>
      </c>
      <c r="M597" t="s">
        <v>74</v>
      </c>
      <c r="N597" t="s">
        <v>74</v>
      </c>
      <c r="O597" t="s">
        <v>74</v>
      </c>
      <c r="P597" t="s">
        <v>74</v>
      </c>
      <c r="Q597" t="s">
        <v>74</v>
      </c>
      <c r="R597" t="s">
        <v>74</v>
      </c>
      <c r="S597" t="s">
        <v>74</v>
      </c>
      <c r="T597" t="s">
        <v>74</v>
      </c>
      <c r="U597" t="s">
        <v>74</v>
      </c>
      <c r="V597" s="3" t="s">
        <v>421</v>
      </c>
      <c r="W597" t="s">
        <v>74</v>
      </c>
      <c r="X597" t="s">
        <v>74</v>
      </c>
      <c r="Y597" t="s">
        <v>74</v>
      </c>
      <c r="Z597" t="s">
        <v>74</v>
      </c>
      <c r="AA597" t="s">
        <v>422</v>
      </c>
      <c r="AB597" t="s">
        <v>423</v>
      </c>
      <c r="AC597" t="s">
        <v>74</v>
      </c>
      <c r="AD597" t="s">
        <v>74</v>
      </c>
      <c r="AE597" t="s">
        <v>74</v>
      </c>
      <c r="AF597" t="s">
        <v>74</v>
      </c>
      <c r="AG597" t="s">
        <v>74</v>
      </c>
      <c r="AH597" t="s">
        <v>74</v>
      </c>
      <c r="AI597" t="s">
        <v>74</v>
      </c>
      <c r="AJ597" t="s">
        <v>74</v>
      </c>
      <c r="AK597" t="s">
        <v>74</v>
      </c>
      <c r="AL597" t="s">
        <v>74</v>
      </c>
      <c r="AM597" t="s">
        <v>74</v>
      </c>
      <c r="AN597" t="s">
        <v>74</v>
      </c>
      <c r="AO597" t="s">
        <v>424</v>
      </c>
      <c r="AP597" t="s">
        <v>74</v>
      </c>
      <c r="AQ597" t="s">
        <v>74</v>
      </c>
      <c r="AR597" t="s">
        <v>74</v>
      </c>
      <c r="AS597" t="s">
        <v>74</v>
      </c>
      <c r="AT597" t="s">
        <v>425</v>
      </c>
      <c r="AU597">
        <v>2016</v>
      </c>
      <c r="AV597">
        <v>16</v>
      </c>
      <c r="AW597" t="s">
        <v>74</v>
      </c>
      <c r="AX597" t="s">
        <v>74</v>
      </c>
      <c r="AY597" t="s">
        <v>74</v>
      </c>
      <c r="AZ597" t="s">
        <v>74</v>
      </c>
      <c r="BA597" t="s">
        <v>74</v>
      </c>
      <c r="BB597" t="s">
        <v>74</v>
      </c>
      <c r="BC597" t="s">
        <v>74</v>
      </c>
      <c r="BD597">
        <v>3</v>
      </c>
      <c r="BE597" t="s">
        <v>426</v>
      </c>
      <c r="BF597" t="str">
        <f>HYPERLINK("http://dx.doi.org/10.1186/s12862-015-0569-9","http://dx.doi.org/10.1186/s12862-015-0569-9")</f>
        <v>http://dx.doi.org/10.1186/s12862-015-0569-9</v>
      </c>
      <c r="BG597" t="s">
        <v>74</v>
      </c>
      <c r="BH597" t="s">
        <v>74</v>
      </c>
      <c r="BI597" t="s">
        <v>74</v>
      </c>
      <c r="BJ597" t="s">
        <v>74</v>
      </c>
      <c r="BK597" t="s">
        <v>74</v>
      </c>
      <c r="BL597" t="s">
        <v>74</v>
      </c>
      <c r="BM597" t="s">
        <v>74</v>
      </c>
      <c r="BN597">
        <v>26729482</v>
      </c>
      <c r="BO597" t="s">
        <v>74</v>
      </c>
      <c r="BP597" t="s">
        <v>74</v>
      </c>
      <c r="BQ597" t="s">
        <v>74</v>
      </c>
      <c r="BR597" t="s">
        <v>74</v>
      </c>
      <c r="BS597" t="s">
        <v>427</v>
      </c>
      <c r="BT597" t="str">
        <f>HYPERLINK("https%3A%2F%2Fwww.webofscience.com%2Fwos%2Fwoscc%2Ffull-record%2FWOS:000367430900003","View Full Record in Web of Science")</f>
        <v>View Full Record in Web of Science</v>
      </c>
    </row>
    <row r="598" spans="1:72" x14ac:dyDescent="0.4">
      <c r="A598" t="s">
        <v>72</v>
      </c>
      <c r="B598" t="s">
        <v>405</v>
      </c>
      <c r="C598" t="s">
        <v>74</v>
      </c>
      <c r="D598" t="s">
        <v>74</v>
      </c>
      <c r="E598" t="s">
        <v>74</v>
      </c>
      <c r="F598" t="s">
        <v>406</v>
      </c>
      <c r="G598" t="s">
        <v>74</v>
      </c>
      <c r="H598" t="s">
        <v>74</v>
      </c>
      <c r="I598" t="s">
        <v>407</v>
      </c>
      <c r="J598" t="s">
        <v>408</v>
      </c>
      <c r="K598" t="s">
        <v>74</v>
      </c>
      <c r="L598" t="s">
        <v>74</v>
      </c>
      <c r="M598" t="s">
        <v>74</v>
      </c>
      <c r="N598" t="s">
        <v>74</v>
      </c>
      <c r="O598" t="s">
        <v>74</v>
      </c>
      <c r="P598" t="s">
        <v>74</v>
      </c>
      <c r="Q598" t="s">
        <v>74</v>
      </c>
      <c r="R598" t="s">
        <v>74</v>
      </c>
      <c r="S598" t="s">
        <v>74</v>
      </c>
      <c r="T598" t="s">
        <v>74</v>
      </c>
      <c r="U598" t="s">
        <v>74</v>
      </c>
      <c r="V598" s="3" t="s">
        <v>409</v>
      </c>
      <c r="W598" t="s">
        <v>74</v>
      </c>
      <c r="X598" t="s">
        <v>74</v>
      </c>
      <c r="Y598" t="s">
        <v>74</v>
      </c>
      <c r="Z598" t="s">
        <v>74</v>
      </c>
      <c r="AA598" t="s">
        <v>410</v>
      </c>
      <c r="AB598" t="s">
        <v>411</v>
      </c>
      <c r="AC598" t="s">
        <v>74</v>
      </c>
      <c r="AD598" t="s">
        <v>74</v>
      </c>
      <c r="AE598" t="s">
        <v>74</v>
      </c>
      <c r="AF598" t="s">
        <v>74</v>
      </c>
      <c r="AG598" t="s">
        <v>74</v>
      </c>
      <c r="AH598" t="s">
        <v>74</v>
      </c>
      <c r="AI598" t="s">
        <v>74</v>
      </c>
      <c r="AJ598" t="s">
        <v>74</v>
      </c>
      <c r="AK598" t="s">
        <v>74</v>
      </c>
      <c r="AL598" t="s">
        <v>74</v>
      </c>
      <c r="AM598" t="s">
        <v>74</v>
      </c>
      <c r="AN598" t="s">
        <v>74</v>
      </c>
      <c r="AO598" t="s">
        <v>412</v>
      </c>
      <c r="AP598" t="s">
        <v>413</v>
      </c>
      <c r="AQ598" t="s">
        <v>74</v>
      </c>
      <c r="AR598" t="s">
        <v>74</v>
      </c>
      <c r="AS598" t="s">
        <v>74</v>
      </c>
      <c r="AT598" t="s">
        <v>275</v>
      </c>
      <c r="AU598">
        <v>2022</v>
      </c>
      <c r="AV598">
        <v>136</v>
      </c>
      <c r="AW598">
        <v>1</v>
      </c>
      <c r="AX598" t="s">
        <v>74</v>
      </c>
      <c r="AY598" t="s">
        <v>74</v>
      </c>
      <c r="AZ598" t="s">
        <v>74</v>
      </c>
      <c r="BA598" t="s">
        <v>74</v>
      </c>
      <c r="BB598">
        <v>111</v>
      </c>
      <c r="BC598">
        <v>119</v>
      </c>
      <c r="BD598" t="s">
        <v>74</v>
      </c>
      <c r="BE598" t="s">
        <v>414</v>
      </c>
      <c r="BF598" t="str">
        <f>HYPERLINK("http://dx.doi.org/10.1093/biolinnean/blac014","http://dx.doi.org/10.1093/biolinnean/blac014")</f>
        <v>http://dx.doi.org/10.1093/biolinnean/blac014</v>
      </c>
      <c r="BG598" t="s">
        <v>74</v>
      </c>
      <c r="BH598" t="s">
        <v>415</v>
      </c>
      <c r="BI598" t="s">
        <v>74</v>
      </c>
      <c r="BJ598" t="s">
        <v>74</v>
      </c>
      <c r="BK598" t="s">
        <v>74</v>
      </c>
      <c r="BL598" t="s">
        <v>74</v>
      </c>
      <c r="BM598" t="s">
        <v>74</v>
      </c>
      <c r="BN598" t="s">
        <v>74</v>
      </c>
      <c r="BO598" t="s">
        <v>74</v>
      </c>
      <c r="BP598" t="s">
        <v>74</v>
      </c>
      <c r="BQ598" t="s">
        <v>74</v>
      </c>
      <c r="BR598" t="s">
        <v>74</v>
      </c>
      <c r="BS598" t="s">
        <v>416</v>
      </c>
      <c r="BT598" t="str">
        <f>HYPERLINK("https%3A%2F%2Fwww.webofscience.com%2Fwos%2Fwoscc%2Ffull-record%2FWOS:000768465800001","View Full Record in Web of Science")</f>
        <v>View Full Record in Web of Science</v>
      </c>
    </row>
    <row r="599" spans="1:72" x14ac:dyDescent="0.4">
      <c r="A599" t="s">
        <v>72</v>
      </c>
      <c r="B599" t="s">
        <v>1221</v>
      </c>
      <c r="C599" t="s">
        <v>74</v>
      </c>
      <c r="D599" t="s">
        <v>74</v>
      </c>
      <c r="E599" t="s">
        <v>74</v>
      </c>
      <c r="F599" t="s">
        <v>1222</v>
      </c>
      <c r="G599" t="s">
        <v>74</v>
      </c>
      <c r="H599" t="s">
        <v>74</v>
      </c>
      <c r="I599" t="s">
        <v>1223</v>
      </c>
      <c r="J599" t="s">
        <v>312</v>
      </c>
      <c r="K599" t="s">
        <v>74</v>
      </c>
      <c r="L599" t="s">
        <v>74</v>
      </c>
      <c r="M599" t="s">
        <v>74</v>
      </c>
      <c r="N599" t="s">
        <v>74</v>
      </c>
      <c r="O599" t="s">
        <v>74</v>
      </c>
      <c r="P599" t="s">
        <v>74</v>
      </c>
      <c r="Q599" t="s">
        <v>74</v>
      </c>
      <c r="R599" t="s">
        <v>74</v>
      </c>
      <c r="S599" t="s">
        <v>74</v>
      </c>
      <c r="T599" t="s">
        <v>74</v>
      </c>
      <c r="U599" t="s">
        <v>74</v>
      </c>
      <c r="V599" s="3" t="s">
        <v>1224</v>
      </c>
      <c r="W599" t="s">
        <v>74</v>
      </c>
      <c r="X599" t="s">
        <v>74</v>
      </c>
      <c r="Y599" t="s">
        <v>74</v>
      </c>
      <c r="Z599" t="s">
        <v>74</v>
      </c>
      <c r="AA599" t="s">
        <v>1225</v>
      </c>
      <c r="AB599" t="s">
        <v>1226</v>
      </c>
      <c r="AC599" t="s">
        <v>74</v>
      </c>
      <c r="AD599" t="s">
        <v>74</v>
      </c>
      <c r="AE599" t="s">
        <v>74</v>
      </c>
      <c r="AF599" t="s">
        <v>74</v>
      </c>
      <c r="AG599" t="s">
        <v>74</v>
      </c>
      <c r="AH599" t="s">
        <v>74</v>
      </c>
      <c r="AI599" t="s">
        <v>74</v>
      </c>
      <c r="AJ599" t="s">
        <v>74</v>
      </c>
      <c r="AK599" t="s">
        <v>74</v>
      </c>
      <c r="AL599" t="s">
        <v>74</v>
      </c>
      <c r="AM599" t="s">
        <v>74</v>
      </c>
      <c r="AN599" t="s">
        <v>74</v>
      </c>
      <c r="AO599" t="s">
        <v>314</v>
      </c>
      <c r="AP599" t="s">
        <v>315</v>
      </c>
      <c r="AQ599" t="s">
        <v>74</v>
      </c>
      <c r="AR599" t="s">
        <v>74</v>
      </c>
      <c r="AS599" t="s">
        <v>74</v>
      </c>
      <c r="AT599" t="s">
        <v>175</v>
      </c>
      <c r="AU599">
        <v>2015</v>
      </c>
      <c r="AV599">
        <v>186</v>
      </c>
      <c r="AW599">
        <v>4</v>
      </c>
      <c r="AX599" t="s">
        <v>74</v>
      </c>
      <c r="AY599" t="s">
        <v>74</v>
      </c>
      <c r="AZ599" t="s">
        <v>74</v>
      </c>
      <c r="BA599" t="s">
        <v>74</v>
      </c>
      <c r="BB599">
        <v>547</v>
      </c>
      <c r="BC599">
        <v>552</v>
      </c>
      <c r="BD599" t="s">
        <v>74</v>
      </c>
      <c r="BE599" t="s">
        <v>1227</v>
      </c>
      <c r="BF599" t="str">
        <f>HYPERLINK("http://dx.doi.org/10.1086/682711","http://dx.doi.org/10.1086/682711")</f>
        <v>http://dx.doi.org/10.1086/682711</v>
      </c>
      <c r="BG599" t="s">
        <v>74</v>
      </c>
      <c r="BH599" t="s">
        <v>74</v>
      </c>
      <c r="BI599" t="s">
        <v>74</v>
      </c>
      <c r="BJ599" t="s">
        <v>74</v>
      </c>
      <c r="BK599" t="s">
        <v>74</v>
      </c>
      <c r="BL599" t="s">
        <v>74</v>
      </c>
      <c r="BM599" t="s">
        <v>74</v>
      </c>
      <c r="BN599">
        <v>26655577</v>
      </c>
      <c r="BO599" t="s">
        <v>74</v>
      </c>
      <c r="BP599" t="s">
        <v>74</v>
      </c>
      <c r="BQ599" t="s">
        <v>74</v>
      </c>
      <c r="BR599" t="s">
        <v>74</v>
      </c>
      <c r="BS599" t="s">
        <v>1228</v>
      </c>
      <c r="BT599" t="str">
        <f>HYPERLINK("https%3A%2F%2Fwww.webofscience.com%2Fwos%2Fwoscc%2Ffull-record%2FWOS:000362840100013","View Full Record in Web of Science")</f>
        <v>View Full Record in Web of Science</v>
      </c>
    </row>
    <row r="600" spans="1:72" x14ac:dyDescent="0.4">
      <c r="A600" t="s">
        <v>72</v>
      </c>
      <c r="B600" t="s">
        <v>159</v>
      </c>
      <c r="C600" t="s">
        <v>74</v>
      </c>
      <c r="D600" t="s">
        <v>74</v>
      </c>
      <c r="E600" t="s">
        <v>74</v>
      </c>
      <c r="F600" t="s">
        <v>160</v>
      </c>
      <c r="G600" t="s">
        <v>74</v>
      </c>
      <c r="H600" t="s">
        <v>74</v>
      </c>
      <c r="I600" t="s">
        <v>161</v>
      </c>
      <c r="J600" t="s">
        <v>108</v>
      </c>
      <c r="K600" t="s">
        <v>74</v>
      </c>
      <c r="L600" t="s">
        <v>74</v>
      </c>
      <c r="M600" t="s">
        <v>74</v>
      </c>
      <c r="N600" t="s">
        <v>74</v>
      </c>
      <c r="O600" t="s">
        <v>74</v>
      </c>
      <c r="P600" t="s">
        <v>74</v>
      </c>
      <c r="Q600" t="s">
        <v>74</v>
      </c>
      <c r="R600" t="s">
        <v>74</v>
      </c>
      <c r="S600" t="s">
        <v>74</v>
      </c>
      <c r="T600" t="s">
        <v>74</v>
      </c>
      <c r="U600" t="s">
        <v>74</v>
      </c>
      <c r="V600" s="3" t="s">
        <v>162</v>
      </c>
      <c r="W600" t="s">
        <v>74</v>
      </c>
      <c r="X600" t="s">
        <v>74</v>
      </c>
      <c r="Y600" t="s">
        <v>74</v>
      </c>
      <c r="Z600" t="s">
        <v>74</v>
      </c>
      <c r="AA600" t="s">
        <v>163</v>
      </c>
      <c r="AB600" t="s">
        <v>164</v>
      </c>
      <c r="AC600" t="s">
        <v>74</v>
      </c>
      <c r="AD600" t="s">
        <v>74</v>
      </c>
      <c r="AE600" t="s">
        <v>74</v>
      </c>
      <c r="AF600" t="s">
        <v>74</v>
      </c>
      <c r="AG600" t="s">
        <v>74</v>
      </c>
      <c r="AH600" t="s">
        <v>74</v>
      </c>
      <c r="AI600" t="s">
        <v>74</v>
      </c>
      <c r="AJ600" t="s">
        <v>74</v>
      </c>
      <c r="AK600" t="s">
        <v>74</v>
      </c>
      <c r="AL600" t="s">
        <v>74</v>
      </c>
      <c r="AM600" t="s">
        <v>74</v>
      </c>
      <c r="AN600" t="s">
        <v>74</v>
      </c>
      <c r="AO600" t="s">
        <v>111</v>
      </c>
      <c r="AP600" t="s">
        <v>112</v>
      </c>
      <c r="AQ600" t="s">
        <v>74</v>
      </c>
      <c r="AR600" t="s">
        <v>74</v>
      </c>
      <c r="AS600" t="s">
        <v>74</v>
      </c>
      <c r="AT600" t="s">
        <v>165</v>
      </c>
      <c r="AU600">
        <v>2015</v>
      </c>
      <c r="AV600">
        <v>282</v>
      </c>
      <c r="AW600">
        <v>1815</v>
      </c>
      <c r="AX600" t="s">
        <v>74</v>
      </c>
      <c r="AY600" t="s">
        <v>74</v>
      </c>
      <c r="AZ600" t="s">
        <v>74</v>
      </c>
      <c r="BA600" t="s">
        <v>74</v>
      </c>
      <c r="BB600" t="s">
        <v>74</v>
      </c>
      <c r="BC600" t="s">
        <v>74</v>
      </c>
      <c r="BD600">
        <v>20151551</v>
      </c>
      <c r="BE600" t="s">
        <v>166</v>
      </c>
      <c r="BF600" t="str">
        <f>HYPERLINK("http://dx.doi.org/10.1098/rspb.2015.1551","http://dx.doi.org/10.1098/rspb.2015.1551")</f>
        <v>http://dx.doi.org/10.1098/rspb.2015.1551</v>
      </c>
      <c r="BG600" t="s">
        <v>74</v>
      </c>
      <c r="BH600" t="s">
        <v>74</v>
      </c>
      <c r="BI600" t="s">
        <v>74</v>
      </c>
      <c r="BJ600" t="s">
        <v>74</v>
      </c>
      <c r="BK600" t="s">
        <v>74</v>
      </c>
      <c r="BL600" t="s">
        <v>74</v>
      </c>
      <c r="BM600" t="s">
        <v>74</v>
      </c>
      <c r="BN600">
        <v>26378216</v>
      </c>
      <c r="BO600" t="s">
        <v>74</v>
      </c>
      <c r="BP600" t="s">
        <v>74</v>
      </c>
      <c r="BQ600" t="s">
        <v>74</v>
      </c>
      <c r="BR600" t="s">
        <v>74</v>
      </c>
      <c r="BS600" t="s">
        <v>167</v>
      </c>
      <c r="BT600" t="str">
        <f>HYPERLINK("https%3A%2F%2Fwww.webofscience.com%2Fwos%2Fwoscc%2Ffull-record%2FWOS:000363357100008","View Full Record in Web of Science")</f>
        <v>View Full Record in Web of Science</v>
      </c>
    </row>
    <row r="601" spans="1:72" x14ac:dyDescent="0.4">
      <c r="A601" t="s">
        <v>72</v>
      </c>
      <c r="B601" t="s">
        <v>4006</v>
      </c>
      <c r="C601" t="s">
        <v>74</v>
      </c>
      <c r="D601" t="s">
        <v>74</v>
      </c>
      <c r="E601" t="s">
        <v>74</v>
      </c>
      <c r="F601" t="s">
        <v>4007</v>
      </c>
      <c r="G601" t="s">
        <v>74</v>
      </c>
      <c r="H601" t="s">
        <v>74</v>
      </c>
      <c r="I601" t="s">
        <v>4008</v>
      </c>
      <c r="J601" t="s">
        <v>140</v>
      </c>
      <c r="K601" t="s">
        <v>74</v>
      </c>
      <c r="L601" t="s">
        <v>74</v>
      </c>
      <c r="M601" t="s">
        <v>74</v>
      </c>
      <c r="N601" t="s">
        <v>74</v>
      </c>
      <c r="O601" t="s">
        <v>74</v>
      </c>
      <c r="P601" t="s">
        <v>74</v>
      </c>
      <c r="Q601" t="s">
        <v>74</v>
      </c>
      <c r="R601" t="s">
        <v>74</v>
      </c>
      <c r="S601" t="s">
        <v>74</v>
      </c>
      <c r="T601" t="s">
        <v>74</v>
      </c>
      <c r="U601" t="s">
        <v>74</v>
      </c>
      <c r="V601" s="3" t="s">
        <v>4009</v>
      </c>
      <c r="W601" t="s">
        <v>74</v>
      </c>
      <c r="X601" t="s">
        <v>74</v>
      </c>
      <c r="Y601" t="s">
        <v>74</v>
      </c>
      <c r="Z601" t="s">
        <v>74</v>
      </c>
      <c r="AA601" t="s">
        <v>4010</v>
      </c>
      <c r="AB601" t="s">
        <v>4011</v>
      </c>
      <c r="AC601" t="s">
        <v>74</v>
      </c>
      <c r="AD601" t="s">
        <v>74</v>
      </c>
      <c r="AE601" t="s">
        <v>74</v>
      </c>
      <c r="AF601" t="s">
        <v>74</v>
      </c>
      <c r="AG601" t="s">
        <v>74</v>
      </c>
      <c r="AH601" t="s">
        <v>74</v>
      </c>
      <c r="AI601" t="s">
        <v>74</v>
      </c>
      <c r="AJ601" t="s">
        <v>74</v>
      </c>
      <c r="AK601" t="s">
        <v>74</v>
      </c>
      <c r="AL601" t="s">
        <v>74</v>
      </c>
      <c r="AM601" t="s">
        <v>74</v>
      </c>
      <c r="AN601" t="s">
        <v>74</v>
      </c>
      <c r="AO601" t="s">
        <v>143</v>
      </c>
      <c r="AP601" t="s">
        <v>144</v>
      </c>
      <c r="AQ601" t="s">
        <v>74</v>
      </c>
      <c r="AR601" t="s">
        <v>74</v>
      </c>
      <c r="AS601" t="s">
        <v>74</v>
      </c>
      <c r="AT601" t="s">
        <v>123</v>
      </c>
      <c r="AU601">
        <v>2018</v>
      </c>
      <c r="AV601">
        <v>137</v>
      </c>
      <c r="AW601" t="s">
        <v>74</v>
      </c>
      <c r="AX601" t="s">
        <v>74</v>
      </c>
      <c r="AY601" t="s">
        <v>74</v>
      </c>
      <c r="AZ601" t="s">
        <v>74</v>
      </c>
      <c r="BA601" t="s">
        <v>74</v>
      </c>
      <c r="BB601">
        <v>141</v>
      </c>
      <c r="BC601">
        <v>148</v>
      </c>
      <c r="BD601" t="s">
        <v>74</v>
      </c>
      <c r="BE601" t="s">
        <v>4012</v>
      </c>
      <c r="BF601" t="str">
        <f>HYPERLINK("http://dx.doi.org/10.1016/j.anbehav.2018.01.012","http://dx.doi.org/10.1016/j.anbehav.2018.01.012")</f>
        <v>http://dx.doi.org/10.1016/j.anbehav.2018.01.012</v>
      </c>
      <c r="BG601" t="s">
        <v>74</v>
      </c>
      <c r="BH601" t="s">
        <v>74</v>
      </c>
      <c r="BI601" t="s">
        <v>74</v>
      </c>
      <c r="BJ601" t="s">
        <v>74</v>
      </c>
      <c r="BK601" t="s">
        <v>74</v>
      </c>
      <c r="BL601" t="s">
        <v>74</v>
      </c>
      <c r="BM601" t="s">
        <v>74</v>
      </c>
      <c r="BN601" t="s">
        <v>74</v>
      </c>
      <c r="BO601" t="s">
        <v>74</v>
      </c>
      <c r="BP601" t="s">
        <v>74</v>
      </c>
      <c r="BQ601" t="s">
        <v>74</v>
      </c>
      <c r="BR601" t="s">
        <v>74</v>
      </c>
      <c r="BS601" t="s">
        <v>4013</v>
      </c>
      <c r="BT601" t="str">
        <f>HYPERLINK("https%3A%2F%2Fwww.webofscience.com%2Fwos%2Fwoscc%2Ffull-record%2FWOS:000427436600015","View Full Record in Web of Science")</f>
        <v>View Full Record in Web of Science</v>
      </c>
    </row>
    <row r="602" spans="1:72" x14ac:dyDescent="0.4">
      <c r="A602" t="s">
        <v>72</v>
      </c>
      <c r="B602" t="s">
        <v>6344</v>
      </c>
      <c r="C602" t="s">
        <v>74</v>
      </c>
      <c r="D602" t="s">
        <v>74</v>
      </c>
      <c r="E602" t="s">
        <v>74</v>
      </c>
      <c r="F602" t="s">
        <v>6345</v>
      </c>
      <c r="G602" t="s">
        <v>74</v>
      </c>
      <c r="H602" t="s">
        <v>74</v>
      </c>
      <c r="I602" t="s">
        <v>6346</v>
      </c>
      <c r="J602" t="s">
        <v>140</v>
      </c>
      <c r="K602" t="s">
        <v>74</v>
      </c>
      <c r="L602" t="s">
        <v>74</v>
      </c>
      <c r="M602" t="s">
        <v>74</v>
      </c>
      <c r="N602" t="s">
        <v>74</v>
      </c>
      <c r="O602" t="s">
        <v>74</v>
      </c>
      <c r="P602" t="s">
        <v>74</v>
      </c>
      <c r="Q602" t="s">
        <v>74</v>
      </c>
      <c r="R602" t="s">
        <v>74</v>
      </c>
      <c r="S602" t="s">
        <v>74</v>
      </c>
      <c r="T602" t="s">
        <v>74</v>
      </c>
      <c r="U602" t="s">
        <v>74</v>
      </c>
      <c r="V602" s="3" t="s">
        <v>6347</v>
      </c>
      <c r="W602" t="s">
        <v>74</v>
      </c>
      <c r="X602" t="s">
        <v>74</v>
      </c>
      <c r="Y602" t="s">
        <v>74</v>
      </c>
      <c r="Z602" t="s">
        <v>74</v>
      </c>
      <c r="AA602" t="s">
        <v>6348</v>
      </c>
      <c r="AB602" t="s">
        <v>6349</v>
      </c>
      <c r="AC602" t="s">
        <v>74</v>
      </c>
      <c r="AD602" t="s">
        <v>74</v>
      </c>
      <c r="AE602" t="s">
        <v>74</v>
      </c>
      <c r="AF602" t="s">
        <v>74</v>
      </c>
      <c r="AG602" t="s">
        <v>74</v>
      </c>
      <c r="AH602" t="s">
        <v>74</v>
      </c>
      <c r="AI602" t="s">
        <v>74</v>
      </c>
      <c r="AJ602" t="s">
        <v>74</v>
      </c>
      <c r="AK602" t="s">
        <v>74</v>
      </c>
      <c r="AL602" t="s">
        <v>74</v>
      </c>
      <c r="AM602" t="s">
        <v>74</v>
      </c>
      <c r="AN602" t="s">
        <v>74</v>
      </c>
      <c r="AO602" t="s">
        <v>143</v>
      </c>
      <c r="AP602" t="s">
        <v>144</v>
      </c>
      <c r="AQ602" t="s">
        <v>74</v>
      </c>
      <c r="AR602" t="s">
        <v>74</v>
      </c>
      <c r="AS602" t="s">
        <v>74</v>
      </c>
      <c r="AT602" t="s">
        <v>305</v>
      </c>
      <c r="AU602">
        <v>2015</v>
      </c>
      <c r="AV602">
        <v>110</v>
      </c>
      <c r="AW602" t="s">
        <v>74</v>
      </c>
      <c r="AX602" t="s">
        <v>74</v>
      </c>
      <c r="AY602" t="s">
        <v>74</v>
      </c>
      <c r="AZ602" t="s">
        <v>74</v>
      </c>
      <c r="BA602" t="s">
        <v>74</v>
      </c>
      <c r="BB602">
        <v>155</v>
      </c>
      <c r="BC602">
        <v>161</v>
      </c>
      <c r="BD602" t="s">
        <v>74</v>
      </c>
      <c r="BE602" t="s">
        <v>6350</v>
      </c>
      <c r="BF602" t="str">
        <f>HYPERLINK("http://dx.doi.org/10.1016/j.anbehav.2015.09.025","http://dx.doi.org/10.1016/j.anbehav.2015.09.025")</f>
        <v>http://dx.doi.org/10.1016/j.anbehav.2015.09.025</v>
      </c>
      <c r="BG602" t="s">
        <v>74</v>
      </c>
      <c r="BH602" t="s">
        <v>74</v>
      </c>
      <c r="BI602" t="s">
        <v>74</v>
      </c>
      <c r="BJ602" t="s">
        <v>74</v>
      </c>
      <c r="BK602" t="s">
        <v>74</v>
      </c>
      <c r="BL602" t="s">
        <v>74</v>
      </c>
      <c r="BM602" t="s">
        <v>74</v>
      </c>
      <c r="BN602" t="s">
        <v>74</v>
      </c>
      <c r="BO602" t="s">
        <v>74</v>
      </c>
      <c r="BP602" t="s">
        <v>74</v>
      </c>
      <c r="BQ602" t="s">
        <v>74</v>
      </c>
      <c r="BR602" t="s">
        <v>74</v>
      </c>
      <c r="BS602" t="s">
        <v>6351</v>
      </c>
      <c r="BT602" t="str">
        <f>HYPERLINK("https%3A%2F%2Fwww.webofscience.com%2Fwos%2Fwoscc%2Ffull-record%2FWOS:000366731500022","View Full Record in Web of Science")</f>
        <v>View Full Record in Web of Science</v>
      </c>
    </row>
    <row r="603" spans="1:72" x14ac:dyDescent="0.4">
      <c r="A603" t="s">
        <v>72</v>
      </c>
      <c r="B603" t="s">
        <v>627</v>
      </c>
      <c r="C603" t="s">
        <v>74</v>
      </c>
      <c r="D603" t="s">
        <v>74</v>
      </c>
      <c r="E603" t="s">
        <v>74</v>
      </c>
      <c r="F603" t="s">
        <v>628</v>
      </c>
      <c r="G603" t="s">
        <v>74</v>
      </c>
      <c r="H603" t="s">
        <v>74</v>
      </c>
      <c r="I603" t="s">
        <v>629</v>
      </c>
      <c r="J603" t="s">
        <v>140</v>
      </c>
      <c r="K603" t="s">
        <v>74</v>
      </c>
      <c r="L603" t="s">
        <v>74</v>
      </c>
      <c r="M603" t="s">
        <v>74</v>
      </c>
      <c r="N603" t="s">
        <v>74</v>
      </c>
      <c r="O603" t="s">
        <v>74</v>
      </c>
      <c r="P603" t="s">
        <v>74</v>
      </c>
      <c r="Q603" t="s">
        <v>74</v>
      </c>
      <c r="R603" t="s">
        <v>74</v>
      </c>
      <c r="S603" t="s">
        <v>74</v>
      </c>
      <c r="T603" t="s">
        <v>74</v>
      </c>
      <c r="U603" t="s">
        <v>74</v>
      </c>
      <c r="V603" s="3" t="s">
        <v>630</v>
      </c>
      <c r="W603" t="s">
        <v>74</v>
      </c>
      <c r="X603" t="s">
        <v>74</v>
      </c>
      <c r="Y603" t="s">
        <v>74</v>
      </c>
      <c r="Z603" t="s">
        <v>74</v>
      </c>
      <c r="AA603" t="s">
        <v>631</v>
      </c>
      <c r="AB603" t="s">
        <v>632</v>
      </c>
      <c r="AC603" t="s">
        <v>74</v>
      </c>
      <c r="AD603" t="s">
        <v>74</v>
      </c>
      <c r="AE603" t="s">
        <v>74</v>
      </c>
      <c r="AF603" t="s">
        <v>74</v>
      </c>
      <c r="AG603" t="s">
        <v>74</v>
      </c>
      <c r="AH603" t="s">
        <v>74</v>
      </c>
      <c r="AI603" t="s">
        <v>74</v>
      </c>
      <c r="AJ603" t="s">
        <v>74</v>
      </c>
      <c r="AK603" t="s">
        <v>74</v>
      </c>
      <c r="AL603" t="s">
        <v>74</v>
      </c>
      <c r="AM603" t="s">
        <v>74</v>
      </c>
      <c r="AN603" t="s">
        <v>74</v>
      </c>
      <c r="AO603" t="s">
        <v>143</v>
      </c>
      <c r="AP603" t="s">
        <v>144</v>
      </c>
      <c r="AQ603" t="s">
        <v>74</v>
      </c>
      <c r="AR603" t="s">
        <v>74</v>
      </c>
      <c r="AS603" t="s">
        <v>74</v>
      </c>
      <c r="AT603" t="s">
        <v>633</v>
      </c>
      <c r="AU603">
        <v>2019</v>
      </c>
      <c r="AV603">
        <v>150</v>
      </c>
      <c r="AW603" t="s">
        <v>74</v>
      </c>
      <c r="AX603" t="s">
        <v>74</v>
      </c>
      <c r="AY603" t="s">
        <v>74</v>
      </c>
      <c r="AZ603" t="s">
        <v>74</v>
      </c>
      <c r="BA603" t="s">
        <v>74</v>
      </c>
      <c r="BB603">
        <v>285</v>
      </c>
      <c r="BC603">
        <v>301</v>
      </c>
      <c r="BD603" t="s">
        <v>74</v>
      </c>
      <c r="BE603" t="s">
        <v>634</v>
      </c>
      <c r="BF603" t="str">
        <f>HYPERLINK("http://dx.doi.org/10.1016/j.anbehav.2019.01.025","http://dx.doi.org/10.1016/j.anbehav.2019.01.025")</f>
        <v>http://dx.doi.org/10.1016/j.anbehav.2019.01.025</v>
      </c>
      <c r="BG603" t="s">
        <v>74</v>
      </c>
      <c r="BH603" t="s">
        <v>74</v>
      </c>
      <c r="BI603" t="s">
        <v>74</v>
      </c>
      <c r="BJ603" t="s">
        <v>74</v>
      </c>
      <c r="BK603" t="s">
        <v>74</v>
      </c>
      <c r="BL603" t="s">
        <v>74</v>
      </c>
      <c r="BM603" t="s">
        <v>74</v>
      </c>
      <c r="BN603" t="s">
        <v>74</v>
      </c>
      <c r="BO603" t="s">
        <v>74</v>
      </c>
      <c r="BP603" t="s">
        <v>74</v>
      </c>
      <c r="BQ603" t="s">
        <v>74</v>
      </c>
      <c r="BR603" t="s">
        <v>74</v>
      </c>
      <c r="BS603" t="s">
        <v>635</v>
      </c>
      <c r="BT603" t="str">
        <f>HYPERLINK("https%3A%2F%2Fwww.webofscience.com%2Fwos%2Fwoscc%2Ffull-record%2FWOS:000463590000025","View Full Record in Web of Science")</f>
        <v>View Full Record in Web of Science</v>
      </c>
    </row>
    <row r="604" spans="1:72" x14ac:dyDescent="0.4">
      <c r="A604" t="s">
        <v>72</v>
      </c>
      <c r="B604" t="s">
        <v>8042</v>
      </c>
      <c r="C604" t="s">
        <v>74</v>
      </c>
      <c r="D604" t="s">
        <v>74</v>
      </c>
      <c r="E604" t="s">
        <v>74</v>
      </c>
      <c r="F604" t="s">
        <v>8043</v>
      </c>
      <c r="G604" t="s">
        <v>74</v>
      </c>
      <c r="H604" t="s">
        <v>74</v>
      </c>
      <c r="I604" t="s">
        <v>8044</v>
      </c>
      <c r="J604" t="s">
        <v>129</v>
      </c>
      <c r="K604" t="s">
        <v>74</v>
      </c>
      <c r="L604" t="s">
        <v>74</v>
      </c>
      <c r="M604" t="s">
        <v>74</v>
      </c>
      <c r="N604" t="s">
        <v>74</v>
      </c>
      <c r="O604" t="s">
        <v>74</v>
      </c>
      <c r="P604" t="s">
        <v>74</v>
      </c>
      <c r="Q604" t="s">
        <v>74</v>
      </c>
      <c r="R604" t="s">
        <v>74</v>
      </c>
      <c r="S604" t="s">
        <v>74</v>
      </c>
      <c r="T604" t="s">
        <v>74</v>
      </c>
      <c r="U604" t="s">
        <v>74</v>
      </c>
      <c r="V604" s="3" t="s">
        <v>8045</v>
      </c>
      <c r="W604" t="s">
        <v>74</v>
      </c>
      <c r="X604" t="s">
        <v>74</v>
      </c>
      <c r="Y604" t="s">
        <v>74</v>
      </c>
      <c r="Z604" t="s">
        <v>74</v>
      </c>
      <c r="AA604" t="s">
        <v>8046</v>
      </c>
      <c r="AB604" t="s">
        <v>8047</v>
      </c>
      <c r="AC604" t="s">
        <v>74</v>
      </c>
      <c r="AD604" t="s">
        <v>74</v>
      </c>
      <c r="AE604" t="s">
        <v>74</v>
      </c>
      <c r="AF604" t="s">
        <v>74</v>
      </c>
      <c r="AG604" t="s">
        <v>74</v>
      </c>
      <c r="AH604" t="s">
        <v>74</v>
      </c>
      <c r="AI604" t="s">
        <v>74</v>
      </c>
      <c r="AJ604" t="s">
        <v>74</v>
      </c>
      <c r="AK604" t="s">
        <v>74</v>
      </c>
      <c r="AL604" t="s">
        <v>74</v>
      </c>
      <c r="AM604" t="s">
        <v>74</v>
      </c>
      <c r="AN604" t="s">
        <v>74</v>
      </c>
      <c r="AO604" t="s">
        <v>132</v>
      </c>
      <c r="AP604" t="s">
        <v>133</v>
      </c>
      <c r="AQ604" t="s">
        <v>74</v>
      </c>
      <c r="AR604" t="s">
        <v>74</v>
      </c>
      <c r="AS604" t="s">
        <v>74</v>
      </c>
      <c r="AT604" t="s">
        <v>213</v>
      </c>
      <c r="AU604">
        <v>2013</v>
      </c>
      <c r="AV604">
        <v>67</v>
      </c>
      <c r="AW604">
        <v>11</v>
      </c>
      <c r="AX604" t="s">
        <v>74</v>
      </c>
      <c r="AY604" t="s">
        <v>74</v>
      </c>
      <c r="AZ604" t="s">
        <v>74</v>
      </c>
      <c r="BA604" t="s">
        <v>74</v>
      </c>
      <c r="BB604">
        <v>1817</v>
      </c>
      <c r="BC604">
        <v>1824</v>
      </c>
      <c r="BD604" t="s">
        <v>74</v>
      </c>
      <c r="BE604" t="s">
        <v>8048</v>
      </c>
      <c r="BF604" t="str">
        <f>HYPERLINK("http://dx.doi.org/10.1007/s00265-013-1591-9","http://dx.doi.org/10.1007/s00265-013-1591-9")</f>
        <v>http://dx.doi.org/10.1007/s00265-013-1591-9</v>
      </c>
      <c r="BG604" t="s">
        <v>74</v>
      </c>
      <c r="BH604" t="s">
        <v>74</v>
      </c>
      <c r="BI604" t="s">
        <v>74</v>
      </c>
      <c r="BJ604" t="s">
        <v>74</v>
      </c>
      <c r="BK604" t="s">
        <v>74</v>
      </c>
      <c r="BL604" t="s">
        <v>74</v>
      </c>
      <c r="BM604" t="s">
        <v>74</v>
      </c>
      <c r="BN604" t="s">
        <v>74</v>
      </c>
      <c r="BO604" t="s">
        <v>74</v>
      </c>
      <c r="BP604" t="s">
        <v>74</v>
      </c>
      <c r="BQ604" t="s">
        <v>74</v>
      </c>
      <c r="BR604" t="s">
        <v>74</v>
      </c>
      <c r="BS604" t="s">
        <v>8049</v>
      </c>
      <c r="BT604" t="str">
        <f>HYPERLINK("https%3A%2F%2Fwww.webofscience.com%2Fwos%2Fwoscc%2Ffull-record%2FWOS:000325765800010","View Full Record in Web of Science")</f>
        <v>View Full Record in Web of Science</v>
      </c>
    </row>
    <row r="605" spans="1:72" x14ac:dyDescent="0.4">
      <c r="A605" t="s">
        <v>72</v>
      </c>
      <c r="B605" t="s">
        <v>6451</v>
      </c>
      <c r="C605" t="s">
        <v>74</v>
      </c>
      <c r="D605" t="s">
        <v>74</v>
      </c>
      <c r="E605" t="s">
        <v>74</v>
      </c>
      <c r="F605" t="s">
        <v>6452</v>
      </c>
      <c r="G605" t="s">
        <v>74</v>
      </c>
      <c r="H605" t="s">
        <v>74</v>
      </c>
      <c r="I605" t="s">
        <v>6453</v>
      </c>
      <c r="J605" t="s">
        <v>6454</v>
      </c>
      <c r="K605" t="s">
        <v>74</v>
      </c>
      <c r="L605" t="s">
        <v>74</v>
      </c>
      <c r="M605" t="s">
        <v>74</v>
      </c>
      <c r="N605" t="s">
        <v>74</v>
      </c>
      <c r="O605" t="s">
        <v>74</v>
      </c>
      <c r="P605" t="s">
        <v>74</v>
      </c>
      <c r="Q605" t="s">
        <v>74</v>
      </c>
      <c r="R605" t="s">
        <v>74</v>
      </c>
      <c r="S605" t="s">
        <v>74</v>
      </c>
      <c r="T605" t="s">
        <v>74</v>
      </c>
      <c r="U605" t="s">
        <v>74</v>
      </c>
      <c r="V605" s="3" t="s">
        <v>6455</v>
      </c>
      <c r="W605" t="s">
        <v>74</v>
      </c>
      <c r="X605" t="s">
        <v>74</v>
      </c>
      <c r="Y605" t="s">
        <v>74</v>
      </c>
      <c r="Z605" t="s">
        <v>74</v>
      </c>
      <c r="AA605" t="s">
        <v>6456</v>
      </c>
      <c r="AB605" t="s">
        <v>6457</v>
      </c>
      <c r="AC605" t="s">
        <v>74</v>
      </c>
      <c r="AD605" t="s">
        <v>74</v>
      </c>
      <c r="AE605" t="s">
        <v>74</v>
      </c>
      <c r="AF605" t="s">
        <v>74</v>
      </c>
      <c r="AG605" t="s">
        <v>74</v>
      </c>
      <c r="AH605" t="s">
        <v>74</v>
      </c>
      <c r="AI605" t="s">
        <v>74</v>
      </c>
      <c r="AJ605" t="s">
        <v>74</v>
      </c>
      <c r="AK605" t="s">
        <v>74</v>
      </c>
      <c r="AL605" t="s">
        <v>74</v>
      </c>
      <c r="AM605" t="s">
        <v>74</v>
      </c>
      <c r="AN605" t="s">
        <v>74</v>
      </c>
      <c r="AO605" t="s">
        <v>6458</v>
      </c>
      <c r="AP605" t="s">
        <v>6459</v>
      </c>
      <c r="AQ605" t="s">
        <v>74</v>
      </c>
      <c r="AR605" t="s">
        <v>74</v>
      </c>
      <c r="AS605" t="s">
        <v>74</v>
      </c>
      <c r="AT605" t="s">
        <v>74</v>
      </c>
      <c r="AU605">
        <v>2020</v>
      </c>
      <c r="AV605">
        <v>72</v>
      </c>
      <c r="AW605">
        <v>1</v>
      </c>
      <c r="AX605" t="s">
        <v>74</v>
      </c>
      <c r="AY605" t="s">
        <v>74</v>
      </c>
      <c r="AZ605" t="s">
        <v>74</v>
      </c>
      <c r="BA605" t="s">
        <v>74</v>
      </c>
      <c r="BB605">
        <v>45</v>
      </c>
      <c r="BC605">
        <v>52</v>
      </c>
      <c r="BD605" t="s">
        <v>74</v>
      </c>
      <c r="BE605" t="s">
        <v>6460</v>
      </c>
      <c r="BF605" t="str">
        <f>HYPERLINK("http://dx.doi.org/10.2298/ABS190823065L","http://dx.doi.org/10.2298/ABS190823065L")</f>
        <v>http://dx.doi.org/10.2298/ABS190823065L</v>
      </c>
      <c r="BG605" t="s">
        <v>74</v>
      </c>
      <c r="BH605" t="s">
        <v>74</v>
      </c>
      <c r="BI605" t="s">
        <v>74</v>
      </c>
      <c r="BJ605" t="s">
        <v>74</v>
      </c>
      <c r="BK605" t="s">
        <v>74</v>
      </c>
      <c r="BL605" t="s">
        <v>74</v>
      </c>
      <c r="BM605" t="s">
        <v>74</v>
      </c>
      <c r="BN605" t="s">
        <v>74</v>
      </c>
      <c r="BO605" t="s">
        <v>74</v>
      </c>
      <c r="BP605" t="s">
        <v>74</v>
      </c>
      <c r="BQ605" t="s">
        <v>74</v>
      </c>
      <c r="BR605" t="s">
        <v>74</v>
      </c>
      <c r="BS605" t="s">
        <v>6461</v>
      </c>
      <c r="BT605" t="str">
        <f>HYPERLINK("https%3A%2F%2Fwww.webofscience.com%2Fwos%2Fwoscc%2Ffull-record%2FWOS:000524505000006","View Full Record in Web of Science")</f>
        <v>View Full Record in Web of Science</v>
      </c>
    </row>
    <row r="606" spans="1:72" x14ac:dyDescent="0.4">
      <c r="A606" t="s">
        <v>72</v>
      </c>
      <c r="B606" t="s">
        <v>8629</v>
      </c>
      <c r="C606" t="s">
        <v>74</v>
      </c>
      <c r="D606" t="s">
        <v>74</v>
      </c>
      <c r="E606" t="s">
        <v>74</v>
      </c>
      <c r="F606" t="s">
        <v>8630</v>
      </c>
      <c r="G606" t="s">
        <v>74</v>
      </c>
      <c r="H606" t="s">
        <v>74</v>
      </c>
      <c r="I606" t="s">
        <v>8631</v>
      </c>
      <c r="J606" t="s">
        <v>842</v>
      </c>
      <c r="K606" t="s">
        <v>74</v>
      </c>
      <c r="L606" t="s">
        <v>74</v>
      </c>
      <c r="M606" t="s">
        <v>74</v>
      </c>
      <c r="N606" t="s">
        <v>74</v>
      </c>
      <c r="O606" t="s">
        <v>74</v>
      </c>
      <c r="P606" t="s">
        <v>74</v>
      </c>
      <c r="Q606" t="s">
        <v>74</v>
      </c>
      <c r="R606" t="s">
        <v>74</v>
      </c>
      <c r="S606" t="s">
        <v>74</v>
      </c>
      <c r="T606" t="s">
        <v>74</v>
      </c>
      <c r="U606" t="s">
        <v>74</v>
      </c>
      <c r="V606" s="3" t="s">
        <v>8632</v>
      </c>
      <c r="W606" t="s">
        <v>74</v>
      </c>
      <c r="X606" t="s">
        <v>74</v>
      </c>
      <c r="Y606" t="s">
        <v>74</v>
      </c>
      <c r="Z606" t="s">
        <v>74</v>
      </c>
      <c r="AA606" t="s">
        <v>8633</v>
      </c>
      <c r="AB606" t="s">
        <v>8634</v>
      </c>
      <c r="AC606" t="s">
        <v>74</v>
      </c>
      <c r="AD606" t="s">
        <v>74</v>
      </c>
      <c r="AE606" t="s">
        <v>74</v>
      </c>
      <c r="AF606" t="s">
        <v>74</v>
      </c>
      <c r="AG606" t="s">
        <v>74</v>
      </c>
      <c r="AH606" t="s">
        <v>74</v>
      </c>
      <c r="AI606" t="s">
        <v>74</v>
      </c>
      <c r="AJ606" t="s">
        <v>74</v>
      </c>
      <c r="AK606" t="s">
        <v>74</v>
      </c>
      <c r="AL606" t="s">
        <v>74</v>
      </c>
      <c r="AM606" t="s">
        <v>74</v>
      </c>
      <c r="AN606" t="s">
        <v>74</v>
      </c>
      <c r="AO606" t="s">
        <v>846</v>
      </c>
      <c r="AP606" t="s">
        <v>847</v>
      </c>
      <c r="AQ606" t="s">
        <v>74</v>
      </c>
      <c r="AR606" t="s">
        <v>74</v>
      </c>
      <c r="AS606" t="s">
        <v>74</v>
      </c>
      <c r="AT606" t="s">
        <v>102</v>
      </c>
      <c r="AU606">
        <v>2022</v>
      </c>
      <c r="AV606">
        <v>84</v>
      </c>
      <c r="AW606">
        <v>6</v>
      </c>
      <c r="AX606" t="s">
        <v>74</v>
      </c>
      <c r="AY606" t="s">
        <v>74</v>
      </c>
      <c r="AZ606" t="s">
        <v>74</v>
      </c>
      <c r="BA606" t="s">
        <v>74</v>
      </c>
      <c r="BB606" t="s">
        <v>74</v>
      </c>
      <c r="BC606" t="s">
        <v>74</v>
      </c>
      <c r="BD606" t="s">
        <v>8635</v>
      </c>
      <c r="BE606" t="s">
        <v>8636</v>
      </c>
      <c r="BF606" t="str">
        <f>HYPERLINK("http://dx.doi.org/10.1002/ajp.23305","http://dx.doi.org/10.1002/ajp.23305")</f>
        <v>http://dx.doi.org/10.1002/ajp.23305</v>
      </c>
      <c r="BG606" t="s">
        <v>74</v>
      </c>
      <c r="BH606" t="s">
        <v>3826</v>
      </c>
      <c r="BI606" t="s">
        <v>74</v>
      </c>
      <c r="BJ606" t="s">
        <v>74</v>
      </c>
      <c r="BK606" t="s">
        <v>74</v>
      </c>
      <c r="BL606" t="s">
        <v>74</v>
      </c>
      <c r="BM606" t="s">
        <v>74</v>
      </c>
      <c r="BN606">
        <v>34270104</v>
      </c>
      <c r="BO606" t="s">
        <v>74</v>
      </c>
      <c r="BP606" t="s">
        <v>74</v>
      </c>
      <c r="BQ606" t="s">
        <v>74</v>
      </c>
      <c r="BR606" t="s">
        <v>74</v>
      </c>
      <c r="BS606" t="s">
        <v>8637</v>
      </c>
      <c r="BT606" t="str">
        <f>HYPERLINK("https%3A%2F%2Fwww.webofscience.com%2Fwos%2Fwoscc%2Ffull-record%2FWOS:000673989800001","View Full Record in Web of Science")</f>
        <v>View Full Record in Web of Science</v>
      </c>
    </row>
    <row r="607" spans="1:72" x14ac:dyDescent="0.4">
      <c r="A607" t="s">
        <v>72</v>
      </c>
      <c r="B607" t="s">
        <v>3682</v>
      </c>
      <c r="C607" t="s">
        <v>74</v>
      </c>
      <c r="D607" t="s">
        <v>74</v>
      </c>
      <c r="E607" t="s">
        <v>74</v>
      </c>
      <c r="F607" t="s">
        <v>3682</v>
      </c>
      <c r="G607" t="s">
        <v>74</v>
      </c>
      <c r="H607" t="s">
        <v>74</v>
      </c>
      <c r="I607" t="s">
        <v>3683</v>
      </c>
      <c r="J607" t="s">
        <v>1341</v>
      </c>
      <c r="K607" t="s">
        <v>74</v>
      </c>
      <c r="L607" t="s">
        <v>74</v>
      </c>
      <c r="M607" t="s">
        <v>74</v>
      </c>
      <c r="N607" t="s">
        <v>74</v>
      </c>
      <c r="O607" t="s">
        <v>74</v>
      </c>
      <c r="P607" t="s">
        <v>74</v>
      </c>
      <c r="Q607" t="s">
        <v>74</v>
      </c>
      <c r="R607" t="s">
        <v>74</v>
      </c>
      <c r="S607" t="s">
        <v>74</v>
      </c>
      <c r="T607" t="s">
        <v>74</v>
      </c>
      <c r="U607" t="s">
        <v>74</v>
      </c>
      <c r="V607" s="3" t="s">
        <v>3684</v>
      </c>
      <c r="W607" t="s">
        <v>74</v>
      </c>
      <c r="X607" t="s">
        <v>74</v>
      </c>
      <c r="Y607" t="s">
        <v>74</v>
      </c>
      <c r="Z607" t="s">
        <v>74</v>
      </c>
      <c r="AA607" t="s">
        <v>3685</v>
      </c>
      <c r="AB607" t="s">
        <v>74</v>
      </c>
      <c r="AC607" t="s">
        <v>74</v>
      </c>
      <c r="AD607" t="s">
        <v>74</v>
      </c>
      <c r="AE607" t="s">
        <v>74</v>
      </c>
      <c r="AF607" t="s">
        <v>74</v>
      </c>
      <c r="AG607" t="s">
        <v>74</v>
      </c>
      <c r="AH607" t="s">
        <v>74</v>
      </c>
      <c r="AI607" t="s">
        <v>74</v>
      </c>
      <c r="AJ607" t="s">
        <v>74</v>
      </c>
      <c r="AK607" t="s">
        <v>74</v>
      </c>
      <c r="AL607" t="s">
        <v>74</v>
      </c>
      <c r="AM607" t="s">
        <v>74</v>
      </c>
      <c r="AN607" t="s">
        <v>74</v>
      </c>
      <c r="AO607" t="s">
        <v>1343</v>
      </c>
      <c r="AP607" t="s">
        <v>3686</v>
      </c>
      <c r="AQ607" t="s">
        <v>74</v>
      </c>
      <c r="AR607" t="s">
        <v>74</v>
      </c>
      <c r="AS607" t="s">
        <v>74</v>
      </c>
      <c r="AT607" t="s">
        <v>204</v>
      </c>
      <c r="AU607">
        <v>2005</v>
      </c>
      <c r="AV607">
        <v>51</v>
      </c>
      <c r="AW607">
        <v>7</v>
      </c>
      <c r="AX607" t="s">
        <v>74</v>
      </c>
      <c r="AY607" t="s">
        <v>74</v>
      </c>
      <c r="AZ607" t="s">
        <v>74</v>
      </c>
      <c r="BA607" t="s">
        <v>74</v>
      </c>
      <c r="BB607">
        <v>737</v>
      </c>
      <c r="BC607">
        <v>747</v>
      </c>
      <c r="BD607" t="s">
        <v>74</v>
      </c>
      <c r="BE607" t="s">
        <v>3687</v>
      </c>
      <c r="BF607" t="str">
        <f>HYPERLINK("http://dx.doi.org/10.1016/j.jinsphys.2005.03.015","http://dx.doi.org/10.1016/j.jinsphys.2005.03.015")</f>
        <v>http://dx.doi.org/10.1016/j.jinsphys.2005.03.015</v>
      </c>
      <c r="BG607" t="s">
        <v>74</v>
      </c>
      <c r="BH607" t="s">
        <v>74</v>
      </c>
      <c r="BI607" t="s">
        <v>74</v>
      </c>
      <c r="BJ607" t="s">
        <v>74</v>
      </c>
      <c r="BK607" t="s">
        <v>74</v>
      </c>
      <c r="BL607" t="s">
        <v>74</v>
      </c>
      <c r="BM607" t="s">
        <v>74</v>
      </c>
      <c r="BN607" t="s">
        <v>74</v>
      </c>
      <c r="BO607" t="s">
        <v>74</v>
      </c>
      <c r="BP607" t="s">
        <v>74</v>
      </c>
      <c r="BQ607" t="s">
        <v>74</v>
      </c>
      <c r="BR607" t="s">
        <v>74</v>
      </c>
      <c r="BS607" t="s">
        <v>3688</v>
      </c>
      <c r="BT607" t="str">
        <f>HYPERLINK("https%3A%2F%2Fwww.webofscience.com%2Fwos%2Fwoscc%2Ffull-record%2FWOS:000231717400001","View Full Record in Web of Science")</f>
        <v>View Full Record in Web of Science</v>
      </c>
    </row>
    <row r="608" spans="1:72" x14ac:dyDescent="0.4">
      <c r="A608" t="s">
        <v>72</v>
      </c>
      <c r="B608" t="s">
        <v>5416</v>
      </c>
      <c r="C608" t="s">
        <v>74</v>
      </c>
      <c r="D608" t="s">
        <v>74</v>
      </c>
      <c r="E608" t="s">
        <v>74</v>
      </c>
      <c r="F608" t="s">
        <v>5417</v>
      </c>
      <c r="G608" t="s">
        <v>74</v>
      </c>
      <c r="H608" t="s">
        <v>74</v>
      </c>
      <c r="I608" t="s">
        <v>5418</v>
      </c>
      <c r="J608" t="s">
        <v>1396</v>
      </c>
      <c r="K608" t="s">
        <v>74</v>
      </c>
      <c r="L608" t="s">
        <v>74</v>
      </c>
      <c r="M608" t="s">
        <v>74</v>
      </c>
      <c r="N608" t="s">
        <v>74</v>
      </c>
      <c r="O608" t="s">
        <v>74</v>
      </c>
      <c r="P608" t="s">
        <v>74</v>
      </c>
      <c r="Q608" t="s">
        <v>74</v>
      </c>
      <c r="R608" t="s">
        <v>74</v>
      </c>
      <c r="S608" t="s">
        <v>74</v>
      </c>
      <c r="T608" t="s">
        <v>74</v>
      </c>
      <c r="U608" t="s">
        <v>74</v>
      </c>
      <c r="V608" s="3" t="s">
        <v>5419</v>
      </c>
      <c r="W608" t="s">
        <v>74</v>
      </c>
      <c r="X608" t="s">
        <v>74</v>
      </c>
      <c r="Y608" t="s">
        <v>74</v>
      </c>
      <c r="Z608" t="s">
        <v>74</v>
      </c>
      <c r="AA608" t="s">
        <v>5420</v>
      </c>
      <c r="AB608" t="s">
        <v>5421</v>
      </c>
      <c r="AC608" t="s">
        <v>74</v>
      </c>
      <c r="AD608" t="s">
        <v>74</v>
      </c>
      <c r="AE608" t="s">
        <v>74</v>
      </c>
      <c r="AF608" t="s">
        <v>74</v>
      </c>
      <c r="AG608" t="s">
        <v>74</v>
      </c>
      <c r="AH608" t="s">
        <v>74</v>
      </c>
      <c r="AI608" t="s">
        <v>74</v>
      </c>
      <c r="AJ608" t="s">
        <v>74</v>
      </c>
      <c r="AK608" t="s">
        <v>74</v>
      </c>
      <c r="AL608" t="s">
        <v>74</v>
      </c>
      <c r="AM608" t="s">
        <v>74</v>
      </c>
      <c r="AN608" t="s">
        <v>74</v>
      </c>
      <c r="AO608" t="s">
        <v>1400</v>
      </c>
      <c r="AP608" t="s">
        <v>5422</v>
      </c>
      <c r="AQ608" t="s">
        <v>74</v>
      </c>
      <c r="AR608" t="s">
        <v>74</v>
      </c>
      <c r="AS608" t="s">
        <v>74</v>
      </c>
      <c r="AT608" t="s">
        <v>964</v>
      </c>
      <c r="AU608">
        <v>2018</v>
      </c>
      <c r="AV608">
        <v>56</v>
      </c>
      <c r="AW608">
        <v>1</v>
      </c>
      <c r="AX608" t="s">
        <v>74</v>
      </c>
      <c r="AY608" t="s">
        <v>74</v>
      </c>
      <c r="AZ608" t="s">
        <v>74</v>
      </c>
      <c r="BA608" t="s">
        <v>74</v>
      </c>
      <c r="BB608">
        <v>61</v>
      </c>
      <c r="BC608">
        <v>76</v>
      </c>
      <c r="BD608" t="s">
        <v>74</v>
      </c>
      <c r="BE608" t="s">
        <v>5423</v>
      </c>
      <c r="BF608" t="str">
        <f>HYPERLINK("http://dx.doi.org/10.1111/jzs.12186","http://dx.doi.org/10.1111/jzs.12186")</f>
        <v>http://dx.doi.org/10.1111/jzs.12186</v>
      </c>
      <c r="BG608" t="s">
        <v>74</v>
      </c>
      <c r="BH608" t="s">
        <v>74</v>
      </c>
      <c r="BI608" t="s">
        <v>74</v>
      </c>
      <c r="BJ608" t="s">
        <v>74</v>
      </c>
      <c r="BK608" t="s">
        <v>74</v>
      </c>
      <c r="BL608" t="s">
        <v>74</v>
      </c>
      <c r="BM608" t="s">
        <v>74</v>
      </c>
      <c r="BN608" t="s">
        <v>74</v>
      </c>
      <c r="BO608" t="s">
        <v>74</v>
      </c>
      <c r="BP608" t="s">
        <v>74</v>
      </c>
      <c r="BQ608" t="s">
        <v>74</v>
      </c>
      <c r="BR608" t="s">
        <v>74</v>
      </c>
      <c r="BS608" t="s">
        <v>5424</v>
      </c>
      <c r="BT608" t="str">
        <f>HYPERLINK("https%3A%2F%2Fwww.webofscience.com%2Fwos%2Fwoscc%2Ffull-record%2FWOS:000419657600005","View Full Record in Web of Science")</f>
        <v>View Full Record in Web of Science</v>
      </c>
    </row>
    <row r="609" spans="1:72" x14ac:dyDescent="0.4">
      <c r="A609" t="s">
        <v>72</v>
      </c>
      <c r="B609" t="s">
        <v>8029</v>
      </c>
      <c r="C609" t="s">
        <v>74</v>
      </c>
      <c r="D609" t="s">
        <v>74</v>
      </c>
      <c r="E609" t="s">
        <v>74</v>
      </c>
      <c r="F609" t="s">
        <v>8030</v>
      </c>
      <c r="G609" t="s">
        <v>74</v>
      </c>
      <c r="H609" t="s">
        <v>74</v>
      </c>
      <c r="I609" t="s">
        <v>8031</v>
      </c>
      <c r="J609" t="s">
        <v>3026</v>
      </c>
      <c r="K609" t="s">
        <v>74</v>
      </c>
      <c r="L609" t="s">
        <v>74</v>
      </c>
      <c r="M609" t="s">
        <v>74</v>
      </c>
      <c r="N609" t="s">
        <v>74</v>
      </c>
      <c r="O609" t="s">
        <v>74</v>
      </c>
      <c r="P609" t="s">
        <v>74</v>
      </c>
      <c r="Q609" t="s">
        <v>74</v>
      </c>
      <c r="R609" t="s">
        <v>74</v>
      </c>
      <c r="S609" t="s">
        <v>74</v>
      </c>
      <c r="T609" t="s">
        <v>74</v>
      </c>
      <c r="U609" t="s">
        <v>74</v>
      </c>
      <c r="V609" s="3" t="s">
        <v>8032</v>
      </c>
      <c r="W609" t="s">
        <v>74</v>
      </c>
      <c r="X609" t="s">
        <v>74</v>
      </c>
      <c r="Y609" t="s">
        <v>74</v>
      </c>
      <c r="Z609" t="s">
        <v>74</v>
      </c>
      <c r="AA609" t="s">
        <v>8033</v>
      </c>
      <c r="AB609" t="s">
        <v>8034</v>
      </c>
      <c r="AC609" t="s">
        <v>74</v>
      </c>
      <c r="AD609" t="s">
        <v>74</v>
      </c>
      <c r="AE609" t="s">
        <v>74</v>
      </c>
      <c r="AF609" t="s">
        <v>74</v>
      </c>
      <c r="AG609" t="s">
        <v>74</v>
      </c>
      <c r="AH609" t="s">
        <v>74</v>
      </c>
      <c r="AI609" t="s">
        <v>74</v>
      </c>
      <c r="AJ609" t="s">
        <v>74</v>
      </c>
      <c r="AK609" t="s">
        <v>74</v>
      </c>
      <c r="AL609" t="s">
        <v>74</v>
      </c>
      <c r="AM609" t="s">
        <v>74</v>
      </c>
      <c r="AN609" t="s">
        <v>74</v>
      </c>
      <c r="AO609" t="s">
        <v>3030</v>
      </c>
      <c r="AP609" t="s">
        <v>74</v>
      </c>
      <c r="AQ609" t="s">
        <v>74</v>
      </c>
      <c r="AR609" t="s">
        <v>74</v>
      </c>
      <c r="AS609" t="s">
        <v>74</v>
      </c>
      <c r="AT609" t="s">
        <v>4557</v>
      </c>
      <c r="AU609">
        <v>2014</v>
      </c>
      <c r="AV609">
        <v>3</v>
      </c>
      <c r="AW609">
        <v>12</v>
      </c>
      <c r="AX609" t="s">
        <v>74</v>
      </c>
      <c r="AY609" t="s">
        <v>74</v>
      </c>
      <c r="AZ609" t="s">
        <v>74</v>
      </c>
      <c r="BA609" t="s">
        <v>74</v>
      </c>
      <c r="BB609">
        <v>1245</v>
      </c>
      <c r="BC609">
        <v>1251</v>
      </c>
      <c r="BD609" t="s">
        <v>74</v>
      </c>
      <c r="BE609" t="s">
        <v>8035</v>
      </c>
      <c r="BF609" t="str">
        <f>HYPERLINK("http://dx.doi.org/10.1242/bio.20149175","http://dx.doi.org/10.1242/bio.20149175")</f>
        <v>http://dx.doi.org/10.1242/bio.20149175</v>
      </c>
      <c r="BG609" t="s">
        <v>74</v>
      </c>
      <c r="BH609" t="s">
        <v>74</v>
      </c>
      <c r="BI609" t="s">
        <v>74</v>
      </c>
      <c r="BJ609" t="s">
        <v>74</v>
      </c>
      <c r="BK609" t="s">
        <v>74</v>
      </c>
      <c r="BL609" t="s">
        <v>74</v>
      </c>
      <c r="BM609" t="s">
        <v>74</v>
      </c>
      <c r="BN609">
        <v>25432516</v>
      </c>
      <c r="BO609" t="s">
        <v>74</v>
      </c>
      <c r="BP609" t="s">
        <v>74</v>
      </c>
      <c r="BQ609" t="s">
        <v>74</v>
      </c>
      <c r="BR609" t="s">
        <v>74</v>
      </c>
      <c r="BS609" t="s">
        <v>8036</v>
      </c>
      <c r="BT609" t="str">
        <f>HYPERLINK("https%3A%2F%2Fwww.webofscience.com%2Fwos%2Fwoscc%2Ffull-record%2FWOS:000348098800012","View Full Record in Web of Science")</f>
        <v>View Full Record in Web of Science</v>
      </c>
    </row>
    <row r="610" spans="1:72" x14ac:dyDescent="0.4">
      <c r="A610" t="s">
        <v>72</v>
      </c>
      <c r="B610" t="s">
        <v>1353</v>
      </c>
      <c r="C610" t="s">
        <v>74</v>
      </c>
      <c r="D610" t="s">
        <v>74</v>
      </c>
      <c r="E610" t="s">
        <v>74</v>
      </c>
      <c r="F610" t="s">
        <v>1354</v>
      </c>
      <c r="G610" t="s">
        <v>74</v>
      </c>
      <c r="H610" t="s">
        <v>74</v>
      </c>
      <c r="I610" t="s">
        <v>1355</v>
      </c>
      <c r="J610" t="s">
        <v>408</v>
      </c>
      <c r="K610" t="s">
        <v>74</v>
      </c>
      <c r="L610" t="s">
        <v>74</v>
      </c>
      <c r="M610" t="s">
        <v>74</v>
      </c>
      <c r="N610" t="s">
        <v>74</v>
      </c>
      <c r="O610" t="s">
        <v>74</v>
      </c>
      <c r="P610" t="s">
        <v>74</v>
      </c>
      <c r="Q610" t="s">
        <v>74</v>
      </c>
      <c r="R610" t="s">
        <v>74</v>
      </c>
      <c r="S610" t="s">
        <v>74</v>
      </c>
      <c r="T610" t="s">
        <v>74</v>
      </c>
      <c r="U610" t="s">
        <v>74</v>
      </c>
      <c r="V610" s="3" t="s">
        <v>1356</v>
      </c>
      <c r="W610" t="s">
        <v>74</v>
      </c>
      <c r="X610" t="s">
        <v>74</v>
      </c>
      <c r="Y610" t="s">
        <v>74</v>
      </c>
      <c r="Z610" t="s">
        <v>74</v>
      </c>
      <c r="AA610" t="s">
        <v>74</v>
      </c>
      <c r="AB610" t="s">
        <v>1357</v>
      </c>
      <c r="AC610" t="s">
        <v>74</v>
      </c>
      <c r="AD610" t="s">
        <v>74</v>
      </c>
      <c r="AE610" t="s">
        <v>74</v>
      </c>
      <c r="AF610" t="s">
        <v>74</v>
      </c>
      <c r="AG610" t="s">
        <v>74</v>
      </c>
      <c r="AH610" t="s">
        <v>74</v>
      </c>
      <c r="AI610" t="s">
        <v>74</v>
      </c>
      <c r="AJ610" t="s">
        <v>74</v>
      </c>
      <c r="AK610" t="s">
        <v>74</v>
      </c>
      <c r="AL610" t="s">
        <v>74</v>
      </c>
      <c r="AM610" t="s">
        <v>74</v>
      </c>
      <c r="AN610" t="s">
        <v>74</v>
      </c>
      <c r="AO610" t="s">
        <v>412</v>
      </c>
      <c r="AP610" t="s">
        <v>413</v>
      </c>
      <c r="AQ610" t="s">
        <v>74</v>
      </c>
      <c r="AR610" t="s">
        <v>74</v>
      </c>
      <c r="AS610" t="s">
        <v>74</v>
      </c>
      <c r="AT610" t="s">
        <v>145</v>
      </c>
      <c r="AU610">
        <v>2008</v>
      </c>
      <c r="AV610">
        <v>94</v>
      </c>
      <c r="AW610">
        <v>4</v>
      </c>
      <c r="AX610" t="s">
        <v>74</v>
      </c>
      <c r="AY610" t="s">
        <v>74</v>
      </c>
      <c r="AZ610" t="s">
        <v>74</v>
      </c>
      <c r="BA610" t="s">
        <v>74</v>
      </c>
      <c r="BB610">
        <v>663</v>
      </c>
      <c r="BC610">
        <v>673</v>
      </c>
      <c r="BD610" t="s">
        <v>74</v>
      </c>
      <c r="BE610" t="s">
        <v>1358</v>
      </c>
      <c r="BF610" t="str">
        <f>HYPERLINK("http://dx.doi.org/10.1111/j.1095-8312.2008.01021.x","http://dx.doi.org/10.1111/j.1095-8312.2008.01021.x")</f>
        <v>http://dx.doi.org/10.1111/j.1095-8312.2008.01021.x</v>
      </c>
      <c r="BG610" t="s">
        <v>74</v>
      </c>
      <c r="BH610" t="s">
        <v>74</v>
      </c>
      <c r="BI610" t="s">
        <v>74</v>
      </c>
      <c r="BJ610" t="s">
        <v>74</v>
      </c>
      <c r="BK610" t="s">
        <v>74</v>
      </c>
      <c r="BL610" t="s">
        <v>74</v>
      </c>
      <c r="BM610" t="s">
        <v>74</v>
      </c>
      <c r="BN610" t="s">
        <v>74</v>
      </c>
      <c r="BO610" t="s">
        <v>74</v>
      </c>
      <c r="BP610" t="s">
        <v>74</v>
      </c>
      <c r="BQ610" t="s">
        <v>74</v>
      </c>
      <c r="BR610" t="s">
        <v>74</v>
      </c>
      <c r="BS610" t="s">
        <v>1359</v>
      </c>
      <c r="BT610" t="str">
        <f>HYPERLINK("https%3A%2F%2Fwww.webofscience.com%2Fwos%2Fwoscc%2Ffull-record%2FWOS:000258458500002","View Full Record in Web of Science")</f>
        <v>View Full Record in Web of Science</v>
      </c>
    </row>
    <row r="611" spans="1:72" x14ac:dyDescent="0.4">
      <c r="A611" t="s">
        <v>72</v>
      </c>
      <c r="B611" t="s">
        <v>967</v>
      </c>
      <c r="C611" t="s">
        <v>74</v>
      </c>
      <c r="D611" t="s">
        <v>74</v>
      </c>
      <c r="E611" t="s">
        <v>74</v>
      </c>
      <c r="F611" t="s">
        <v>968</v>
      </c>
      <c r="G611" t="s">
        <v>74</v>
      </c>
      <c r="H611" t="s">
        <v>74</v>
      </c>
      <c r="I611" t="s">
        <v>969</v>
      </c>
      <c r="J611" t="s">
        <v>970</v>
      </c>
      <c r="K611" t="s">
        <v>74</v>
      </c>
      <c r="L611" t="s">
        <v>74</v>
      </c>
      <c r="M611" t="s">
        <v>74</v>
      </c>
      <c r="N611" t="s">
        <v>74</v>
      </c>
      <c r="O611" t="s">
        <v>74</v>
      </c>
      <c r="P611" t="s">
        <v>74</v>
      </c>
      <c r="Q611" t="s">
        <v>74</v>
      </c>
      <c r="R611" t="s">
        <v>74</v>
      </c>
      <c r="S611" t="s">
        <v>74</v>
      </c>
      <c r="T611" t="s">
        <v>74</v>
      </c>
      <c r="U611" t="s">
        <v>74</v>
      </c>
      <c r="V611" s="3" t="s">
        <v>971</v>
      </c>
      <c r="W611" t="s">
        <v>74</v>
      </c>
      <c r="X611" t="s">
        <v>74</v>
      </c>
      <c r="Y611" t="s">
        <v>74</v>
      </c>
      <c r="Z611" t="s">
        <v>74</v>
      </c>
      <c r="AA611" t="s">
        <v>972</v>
      </c>
      <c r="AB611" t="s">
        <v>973</v>
      </c>
      <c r="AC611" t="s">
        <v>74</v>
      </c>
      <c r="AD611" t="s">
        <v>74</v>
      </c>
      <c r="AE611" t="s">
        <v>74</v>
      </c>
      <c r="AF611" t="s">
        <v>74</v>
      </c>
      <c r="AG611" t="s">
        <v>74</v>
      </c>
      <c r="AH611" t="s">
        <v>74</v>
      </c>
      <c r="AI611" t="s">
        <v>74</v>
      </c>
      <c r="AJ611" t="s">
        <v>74</v>
      </c>
      <c r="AK611" t="s">
        <v>74</v>
      </c>
      <c r="AL611" t="s">
        <v>74</v>
      </c>
      <c r="AM611" t="s">
        <v>74</v>
      </c>
      <c r="AN611" t="s">
        <v>74</v>
      </c>
      <c r="AO611" t="s">
        <v>974</v>
      </c>
      <c r="AP611" t="s">
        <v>975</v>
      </c>
      <c r="AQ611" t="s">
        <v>74</v>
      </c>
      <c r="AR611" t="s">
        <v>74</v>
      </c>
      <c r="AS611" t="s">
        <v>74</v>
      </c>
      <c r="AT611" t="s">
        <v>204</v>
      </c>
      <c r="AU611">
        <v>2008</v>
      </c>
      <c r="AV611">
        <v>149</v>
      </c>
      <c r="AW611">
        <v>3</v>
      </c>
      <c r="AX611" t="s">
        <v>74</v>
      </c>
      <c r="AY611" t="s">
        <v>74</v>
      </c>
      <c r="AZ611" t="s">
        <v>74</v>
      </c>
      <c r="BA611" t="s">
        <v>74</v>
      </c>
      <c r="BB611">
        <v>415</v>
      </c>
      <c r="BC611">
        <v>421</v>
      </c>
      <c r="BD611" t="s">
        <v>74</v>
      </c>
      <c r="BE611" t="s">
        <v>976</v>
      </c>
      <c r="BF611" t="str">
        <f>HYPERLINK("http://dx.doi.org/10.1007/s10336-008-0283-0","http://dx.doi.org/10.1007/s10336-008-0283-0")</f>
        <v>http://dx.doi.org/10.1007/s10336-008-0283-0</v>
      </c>
      <c r="BG611" t="s">
        <v>74</v>
      </c>
      <c r="BH611" t="s">
        <v>74</v>
      </c>
      <c r="BI611" t="s">
        <v>74</v>
      </c>
      <c r="BJ611" t="s">
        <v>74</v>
      </c>
      <c r="BK611" t="s">
        <v>74</v>
      </c>
      <c r="BL611" t="s">
        <v>74</v>
      </c>
      <c r="BM611" t="s">
        <v>74</v>
      </c>
      <c r="BN611" t="s">
        <v>74</v>
      </c>
      <c r="BO611" t="s">
        <v>74</v>
      </c>
      <c r="BP611" t="s">
        <v>74</v>
      </c>
      <c r="BQ611" t="s">
        <v>74</v>
      </c>
      <c r="BR611" t="s">
        <v>74</v>
      </c>
      <c r="BS611" t="s">
        <v>977</v>
      </c>
      <c r="BT611" t="str">
        <f>HYPERLINK("https%3A%2F%2Fwww.webofscience.com%2Fwos%2Fwoscc%2Ffull-record%2FWOS:000256660000013","View Full Record in Web of Science")</f>
        <v>View Full Record in Web of Science</v>
      </c>
    </row>
    <row r="612" spans="1:72" x14ac:dyDescent="0.4">
      <c r="A612" t="s">
        <v>72</v>
      </c>
      <c r="B612" t="s">
        <v>6357</v>
      </c>
      <c r="C612" t="s">
        <v>74</v>
      </c>
      <c r="D612" t="s">
        <v>74</v>
      </c>
      <c r="E612" t="s">
        <v>74</v>
      </c>
      <c r="F612" t="s">
        <v>6358</v>
      </c>
      <c r="G612" t="s">
        <v>74</v>
      </c>
      <c r="H612" t="s">
        <v>74</v>
      </c>
      <c r="I612" t="s">
        <v>6359</v>
      </c>
      <c r="J612" t="s">
        <v>77</v>
      </c>
      <c r="K612" t="s">
        <v>74</v>
      </c>
      <c r="L612" t="s">
        <v>74</v>
      </c>
      <c r="M612" t="s">
        <v>74</v>
      </c>
      <c r="N612" t="s">
        <v>74</v>
      </c>
      <c r="O612" t="s">
        <v>74</v>
      </c>
      <c r="P612" t="s">
        <v>74</v>
      </c>
      <c r="Q612" t="s">
        <v>74</v>
      </c>
      <c r="R612" t="s">
        <v>74</v>
      </c>
      <c r="S612" t="s">
        <v>74</v>
      </c>
      <c r="T612" t="s">
        <v>74</v>
      </c>
      <c r="U612" t="s">
        <v>74</v>
      </c>
      <c r="V612" s="3" t="s">
        <v>6360</v>
      </c>
      <c r="W612" t="s">
        <v>74</v>
      </c>
      <c r="X612" t="s">
        <v>74</v>
      </c>
      <c r="Y612" t="s">
        <v>74</v>
      </c>
      <c r="Z612" t="s">
        <v>74</v>
      </c>
      <c r="AA612" t="s">
        <v>74</v>
      </c>
      <c r="AB612" t="s">
        <v>6361</v>
      </c>
      <c r="AC612" t="s">
        <v>74</v>
      </c>
      <c r="AD612" t="s">
        <v>74</v>
      </c>
      <c r="AE612" t="s">
        <v>74</v>
      </c>
      <c r="AF612" t="s">
        <v>74</v>
      </c>
      <c r="AG612" t="s">
        <v>74</v>
      </c>
      <c r="AH612" t="s">
        <v>74</v>
      </c>
      <c r="AI612" t="s">
        <v>74</v>
      </c>
      <c r="AJ612" t="s">
        <v>74</v>
      </c>
      <c r="AK612" t="s">
        <v>74</v>
      </c>
      <c r="AL612" t="s">
        <v>74</v>
      </c>
      <c r="AM612" t="s">
        <v>74</v>
      </c>
      <c r="AN612" t="s">
        <v>74</v>
      </c>
      <c r="AO612" t="s">
        <v>81</v>
      </c>
      <c r="AP612" t="s">
        <v>82</v>
      </c>
      <c r="AQ612" t="s">
        <v>74</v>
      </c>
      <c r="AR612" t="s">
        <v>74</v>
      </c>
      <c r="AS612" t="s">
        <v>74</v>
      </c>
      <c r="AT612" t="s">
        <v>74</v>
      </c>
      <c r="AU612">
        <v>2015</v>
      </c>
      <c r="AV612">
        <v>152</v>
      </c>
      <c r="AW612" t="s">
        <v>6362</v>
      </c>
      <c r="AX612" t="s">
        <v>74</v>
      </c>
      <c r="AY612" t="s">
        <v>74</v>
      </c>
      <c r="AZ612" t="s">
        <v>74</v>
      </c>
      <c r="BA612" t="s">
        <v>74</v>
      </c>
      <c r="BB612">
        <v>1601</v>
      </c>
      <c r="BC612">
        <v>1621</v>
      </c>
      <c r="BD612" t="s">
        <v>74</v>
      </c>
      <c r="BE612" t="s">
        <v>6363</v>
      </c>
      <c r="BF612" t="str">
        <f>HYPERLINK("http://dx.doi.org/10.1163/1568539X-00003295","http://dx.doi.org/10.1163/1568539X-00003295")</f>
        <v>http://dx.doi.org/10.1163/1568539X-00003295</v>
      </c>
      <c r="BG612" t="s">
        <v>74</v>
      </c>
      <c r="BH612" t="s">
        <v>74</v>
      </c>
      <c r="BI612" t="s">
        <v>74</v>
      </c>
      <c r="BJ612" t="s">
        <v>74</v>
      </c>
      <c r="BK612" t="s">
        <v>74</v>
      </c>
      <c r="BL612" t="s">
        <v>74</v>
      </c>
      <c r="BM612" t="s">
        <v>74</v>
      </c>
      <c r="BN612" t="s">
        <v>74</v>
      </c>
      <c r="BO612" t="s">
        <v>74</v>
      </c>
      <c r="BP612" t="s">
        <v>74</v>
      </c>
      <c r="BQ612" t="s">
        <v>74</v>
      </c>
      <c r="BR612" t="s">
        <v>74</v>
      </c>
      <c r="BS612" t="s">
        <v>6364</v>
      </c>
      <c r="BT612" t="str">
        <f>HYPERLINK("https%3A%2F%2Fwww.webofscience.com%2Fwos%2Fwoscc%2Ffull-record%2FWOS:000362911000001","View Full Record in Web of Science")</f>
        <v>View Full Record in Web of Science</v>
      </c>
    </row>
    <row r="613" spans="1:72" x14ac:dyDescent="0.4">
      <c r="A613" t="s">
        <v>72</v>
      </c>
      <c r="B613" t="s">
        <v>8706</v>
      </c>
      <c r="C613" t="s">
        <v>74</v>
      </c>
      <c r="D613" t="s">
        <v>74</v>
      </c>
      <c r="E613" t="s">
        <v>74</v>
      </c>
      <c r="F613" t="s">
        <v>8707</v>
      </c>
      <c r="G613" t="s">
        <v>74</v>
      </c>
      <c r="H613" t="s">
        <v>74</v>
      </c>
      <c r="I613" t="s">
        <v>8708</v>
      </c>
      <c r="J613" t="s">
        <v>4522</v>
      </c>
      <c r="K613" t="s">
        <v>74</v>
      </c>
      <c r="L613" t="s">
        <v>74</v>
      </c>
      <c r="M613" t="s">
        <v>74</v>
      </c>
      <c r="N613" t="s">
        <v>74</v>
      </c>
      <c r="O613" t="s">
        <v>74</v>
      </c>
      <c r="P613" t="s">
        <v>74</v>
      </c>
      <c r="Q613" t="s">
        <v>74</v>
      </c>
      <c r="R613" t="s">
        <v>74</v>
      </c>
      <c r="S613" t="s">
        <v>74</v>
      </c>
      <c r="T613" t="s">
        <v>74</v>
      </c>
      <c r="U613" t="s">
        <v>74</v>
      </c>
      <c r="V613" s="3" t="s">
        <v>8709</v>
      </c>
      <c r="W613" t="s">
        <v>74</v>
      </c>
      <c r="X613" t="s">
        <v>74</v>
      </c>
      <c r="Y613" t="s">
        <v>74</v>
      </c>
      <c r="Z613" t="s">
        <v>74</v>
      </c>
      <c r="AA613" t="s">
        <v>8710</v>
      </c>
      <c r="AB613" t="s">
        <v>8711</v>
      </c>
      <c r="AC613" t="s">
        <v>74</v>
      </c>
      <c r="AD613" t="s">
        <v>74</v>
      </c>
      <c r="AE613" t="s">
        <v>74</v>
      </c>
      <c r="AF613" t="s">
        <v>74</v>
      </c>
      <c r="AG613" t="s">
        <v>74</v>
      </c>
      <c r="AH613" t="s">
        <v>74</v>
      </c>
      <c r="AI613" t="s">
        <v>74</v>
      </c>
      <c r="AJ613" t="s">
        <v>74</v>
      </c>
      <c r="AK613" t="s">
        <v>74</v>
      </c>
      <c r="AL613" t="s">
        <v>74</v>
      </c>
      <c r="AM613" t="s">
        <v>74</v>
      </c>
      <c r="AN613" t="s">
        <v>74</v>
      </c>
      <c r="AO613" t="s">
        <v>4526</v>
      </c>
      <c r="AP613" t="s">
        <v>4527</v>
      </c>
      <c r="AQ613" t="s">
        <v>74</v>
      </c>
      <c r="AR613" t="s">
        <v>74</v>
      </c>
      <c r="AS613" t="s">
        <v>74</v>
      </c>
      <c r="AT613" t="s">
        <v>8712</v>
      </c>
      <c r="AU613">
        <v>2016</v>
      </c>
      <c r="AV613">
        <v>50</v>
      </c>
      <c r="AW613" t="s">
        <v>8713</v>
      </c>
      <c r="AX613" t="s">
        <v>74</v>
      </c>
      <c r="AY613" t="s">
        <v>74</v>
      </c>
      <c r="AZ613" t="s">
        <v>74</v>
      </c>
      <c r="BA613" t="s">
        <v>74</v>
      </c>
      <c r="BB613">
        <v>1283</v>
      </c>
      <c r="BC613">
        <v>1289</v>
      </c>
      <c r="BD613" t="s">
        <v>74</v>
      </c>
      <c r="BE613" t="s">
        <v>8714</v>
      </c>
      <c r="BF613" t="str">
        <f>HYPERLINK("http://dx.doi.org/10.1080/00222933.2015.1105318","http://dx.doi.org/10.1080/00222933.2015.1105318")</f>
        <v>http://dx.doi.org/10.1080/00222933.2015.1105318</v>
      </c>
      <c r="BG613" t="s">
        <v>74</v>
      </c>
      <c r="BH613" t="s">
        <v>74</v>
      </c>
      <c r="BI613" t="s">
        <v>74</v>
      </c>
      <c r="BJ613" t="s">
        <v>74</v>
      </c>
      <c r="BK613" t="s">
        <v>74</v>
      </c>
      <c r="BL613" t="s">
        <v>74</v>
      </c>
      <c r="BM613" t="s">
        <v>74</v>
      </c>
      <c r="BN613" t="s">
        <v>74</v>
      </c>
      <c r="BO613" t="s">
        <v>74</v>
      </c>
      <c r="BP613" t="s">
        <v>74</v>
      </c>
      <c r="BQ613" t="s">
        <v>74</v>
      </c>
      <c r="BR613" t="s">
        <v>74</v>
      </c>
      <c r="BS613" t="s">
        <v>8715</v>
      </c>
      <c r="BT613" t="str">
        <f>HYPERLINK("https%3A%2F%2Fwww.webofscience.com%2Fwos%2Fwoscc%2Ffull-record%2FWOS:000373297600001","View Full Record in Web of Science")</f>
        <v>View Full Record in Web of Science</v>
      </c>
    </row>
    <row r="614" spans="1:72" x14ac:dyDescent="0.4">
      <c r="A614" t="s">
        <v>72</v>
      </c>
      <c r="B614" t="s">
        <v>4512</v>
      </c>
      <c r="C614" t="s">
        <v>74</v>
      </c>
      <c r="D614" t="s">
        <v>74</v>
      </c>
      <c r="E614" t="s">
        <v>74</v>
      </c>
      <c r="F614" t="s">
        <v>4513</v>
      </c>
      <c r="G614" t="s">
        <v>74</v>
      </c>
      <c r="H614" t="s">
        <v>74</v>
      </c>
      <c r="I614" t="s">
        <v>4514</v>
      </c>
      <c r="J614" t="s">
        <v>1949</v>
      </c>
      <c r="K614" t="s">
        <v>74</v>
      </c>
      <c r="L614" t="s">
        <v>74</v>
      </c>
      <c r="M614" t="s">
        <v>74</v>
      </c>
      <c r="N614" t="s">
        <v>74</v>
      </c>
      <c r="O614" t="s">
        <v>74</v>
      </c>
      <c r="P614" t="s">
        <v>74</v>
      </c>
      <c r="Q614" t="s">
        <v>74</v>
      </c>
      <c r="R614" t="s">
        <v>74</v>
      </c>
      <c r="S614" t="s">
        <v>74</v>
      </c>
      <c r="T614" t="s">
        <v>74</v>
      </c>
      <c r="U614" t="s">
        <v>74</v>
      </c>
      <c r="V614" s="3" t="s">
        <v>4515</v>
      </c>
      <c r="W614" t="s">
        <v>74</v>
      </c>
      <c r="X614" t="s">
        <v>74</v>
      </c>
      <c r="Y614" t="s">
        <v>74</v>
      </c>
      <c r="Z614" t="s">
        <v>74</v>
      </c>
      <c r="AA614" t="s">
        <v>74</v>
      </c>
      <c r="AB614" t="s">
        <v>4516</v>
      </c>
      <c r="AC614" t="s">
        <v>74</v>
      </c>
      <c r="AD614" t="s">
        <v>74</v>
      </c>
      <c r="AE614" t="s">
        <v>74</v>
      </c>
      <c r="AF614" t="s">
        <v>74</v>
      </c>
      <c r="AG614" t="s">
        <v>74</v>
      </c>
      <c r="AH614" t="s">
        <v>74</v>
      </c>
      <c r="AI614" t="s">
        <v>74</v>
      </c>
      <c r="AJ614" t="s">
        <v>74</v>
      </c>
      <c r="AK614" t="s">
        <v>74</v>
      </c>
      <c r="AL614" t="s">
        <v>74</v>
      </c>
      <c r="AM614" t="s">
        <v>74</v>
      </c>
      <c r="AN614" t="s">
        <v>74</v>
      </c>
      <c r="AO614" t="s">
        <v>74</v>
      </c>
      <c r="AP614" t="s">
        <v>1953</v>
      </c>
      <c r="AQ614" t="s">
        <v>74</v>
      </c>
      <c r="AR614" t="s">
        <v>74</v>
      </c>
      <c r="AS614" t="s">
        <v>74</v>
      </c>
      <c r="AT614" t="s">
        <v>204</v>
      </c>
      <c r="AU614">
        <v>2024</v>
      </c>
      <c r="AV614">
        <v>15</v>
      </c>
      <c r="AW614">
        <v>7</v>
      </c>
      <c r="AX614" t="s">
        <v>74</v>
      </c>
      <c r="AY614" t="s">
        <v>74</v>
      </c>
      <c r="AZ614" t="s">
        <v>74</v>
      </c>
      <c r="BA614" t="s">
        <v>74</v>
      </c>
      <c r="BB614" t="s">
        <v>74</v>
      </c>
      <c r="BC614" t="s">
        <v>74</v>
      </c>
      <c r="BD614">
        <v>548</v>
      </c>
      <c r="BE614" t="s">
        <v>4517</v>
      </c>
      <c r="BF614" t="str">
        <f>HYPERLINK("http://dx.doi.org/10.3390/insects15070548","http://dx.doi.org/10.3390/insects15070548")</f>
        <v>http://dx.doi.org/10.3390/insects15070548</v>
      </c>
      <c r="BG614" t="s">
        <v>74</v>
      </c>
      <c r="BH614" t="s">
        <v>74</v>
      </c>
      <c r="BI614" t="s">
        <v>74</v>
      </c>
      <c r="BJ614" t="s">
        <v>74</v>
      </c>
      <c r="BK614" t="s">
        <v>74</v>
      </c>
      <c r="BL614" t="s">
        <v>74</v>
      </c>
      <c r="BM614" t="s">
        <v>74</v>
      </c>
      <c r="BN614">
        <v>39057280</v>
      </c>
      <c r="BO614" t="s">
        <v>74</v>
      </c>
      <c r="BP614" t="s">
        <v>74</v>
      </c>
      <c r="BQ614" t="s">
        <v>74</v>
      </c>
      <c r="BR614" t="s">
        <v>74</v>
      </c>
      <c r="BS614" t="s">
        <v>4518</v>
      </c>
      <c r="BT614" t="str">
        <f>HYPERLINK("https%3A%2F%2Fwww.webofscience.com%2Fwos%2Fwoscc%2Ffull-record%2FWOS:001278556300001","View Full Record in Web of Science")</f>
        <v>View Full Record in Web of Science</v>
      </c>
    </row>
    <row r="615" spans="1:72" x14ac:dyDescent="0.4">
      <c r="A615" t="s">
        <v>72</v>
      </c>
      <c r="B615" t="s">
        <v>7648</v>
      </c>
      <c r="C615" t="s">
        <v>74</v>
      </c>
      <c r="D615" t="s">
        <v>74</v>
      </c>
      <c r="E615" t="s">
        <v>74</v>
      </c>
      <c r="F615" t="s">
        <v>7649</v>
      </c>
      <c r="G615" t="s">
        <v>74</v>
      </c>
      <c r="H615" t="s">
        <v>74</v>
      </c>
      <c r="I615" t="s">
        <v>7650</v>
      </c>
      <c r="J615" t="s">
        <v>6968</v>
      </c>
      <c r="K615" t="s">
        <v>74</v>
      </c>
      <c r="L615" t="s">
        <v>74</v>
      </c>
      <c r="M615" t="s">
        <v>74</v>
      </c>
      <c r="N615" t="s">
        <v>74</v>
      </c>
      <c r="O615" t="s">
        <v>74</v>
      </c>
      <c r="P615" t="s">
        <v>74</v>
      </c>
      <c r="Q615" t="s">
        <v>74</v>
      </c>
      <c r="R615" t="s">
        <v>74</v>
      </c>
      <c r="S615" t="s">
        <v>74</v>
      </c>
      <c r="T615" t="s">
        <v>74</v>
      </c>
      <c r="U615" t="s">
        <v>74</v>
      </c>
      <c r="V615" s="3" t="s">
        <v>7651</v>
      </c>
      <c r="W615" t="s">
        <v>74</v>
      </c>
      <c r="X615" t="s">
        <v>74</v>
      </c>
      <c r="Y615" t="s">
        <v>74</v>
      </c>
      <c r="Z615" t="s">
        <v>74</v>
      </c>
      <c r="AA615" t="s">
        <v>74</v>
      </c>
      <c r="AB615" t="s">
        <v>74</v>
      </c>
      <c r="AC615" t="s">
        <v>74</v>
      </c>
      <c r="AD615" t="s">
        <v>74</v>
      </c>
      <c r="AE615" t="s">
        <v>74</v>
      </c>
      <c r="AF615" t="s">
        <v>74</v>
      </c>
      <c r="AG615" t="s">
        <v>74</v>
      </c>
      <c r="AH615" t="s">
        <v>74</v>
      </c>
      <c r="AI615" t="s">
        <v>74</v>
      </c>
      <c r="AJ615" t="s">
        <v>74</v>
      </c>
      <c r="AK615" t="s">
        <v>74</v>
      </c>
      <c r="AL615" t="s">
        <v>74</v>
      </c>
      <c r="AM615" t="s">
        <v>74</v>
      </c>
      <c r="AN615" t="s">
        <v>74</v>
      </c>
      <c r="AO615" t="s">
        <v>6970</v>
      </c>
      <c r="AP615" t="s">
        <v>6971</v>
      </c>
      <c r="AQ615" t="s">
        <v>74</v>
      </c>
      <c r="AR615" t="s">
        <v>74</v>
      </c>
      <c r="AS615" t="s">
        <v>74</v>
      </c>
      <c r="AT615" t="s">
        <v>352</v>
      </c>
      <c r="AU615">
        <v>2021</v>
      </c>
      <c r="AV615">
        <v>21</v>
      </c>
      <c r="AW615">
        <v>3</v>
      </c>
      <c r="AX615" t="s">
        <v>74</v>
      </c>
      <c r="AY615" t="s">
        <v>74</v>
      </c>
      <c r="AZ615" t="s">
        <v>74</v>
      </c>
      <c r="BA615" t="s">
        <v>74</v>
      </c>
      <c r="BB615">
        <v>533</v>
      </c>
      <c r="BC615">
        <v>545</v>
      </c>
      <c r="BD615" t="s">
        <v>74</v>
      </c>
      <c r="BE615" t="s">
        <v>7652</v>
      </c>
      <c r="BF615" t="str">
        <f>HYPERLINK("http://dx.doi.org/10.1007/s13127-021-00498-9","http://dx.doi.org/10.1007/s13127-021-00498-9")</f>
        <v>http://dx.doi.org/10.1007/s13127-021-00498-9</v>
      </c>
      <c r="BG615" t="s">
        <v>74</v>
      </c>
      <c r="BH615" t="s">
        <v>224</v>
      </c>
      <c r="BI615" t="s">
        <v>74</v>
      </c>
      <c r="BJ615" t="s">
        <v>74</v>
      </c>
      <c r="BK615" t="s">
        <v>74</v>
      </c>
      <c r="BL615" t="s">
        <v>74</v>
      </c>
      <c r="BM615" t="s">
        <v>74</v>
      </c>
      <c r="BN615" t="s">
        <v>74</v>
      </c>
      <c r="BO615" t="s">
        <v>74</v>
      </c>
      <c r="BP615" t="s">
        <v>74</v>
      </c>
      <c r="BQ615" t="s">
        <v>74</v>
      </c>
      <c r="BR615" t="s">
        <v>74</v>
      </c>
      <c r="BS615" t="s">
        <v>7653</v>
      </c>
      <c r="BT615" t="str">
        <f>HYPERLINK("https%3A%2F%2Fwww.webofscience.com%2Fwos%2Fwoscc%2Ffull-record%2FWOS:000665705600001","View Full Record in Web of Science")</f>
        <v>View Full Record in Web of Science</v>
      </c>
    </row>
    <row r="616" spans="1:72" x14ac:dyDescent="0.4">
      <c r="A616" t="s">
        <v>72</v>
      </c>
      <c r="B616" t="s">
        <v>8227</v>
      </c>
      <c r="C616" t="s">
        <v>74</v>
      </c>
      <c r="D616" t="s">
        <v>74</v>
      </c>
      <c r="E616" t="s">
        <v>74</v>
      </c>
      <c r="F616" t="s">
        <v>8228</v>
      </c>
      <c r="G616" t="s">
        <v>74</v>
      </c>
      <c r="H616" t="s">
        <v>74</v>
      </c>
      <c r="I616" t="s">
        <v>8229</v>
      </c>
      <c r="J616" t="s">
        <v>8230</v>
      </c>
      <c r="K616" t="s">
        <v>74</v>
      </c>
      <c r="L616" t="s">
        <v>74</v>
      </c>
      <c r="M616" t="s">
        <v>74</v>
      </c>
      <c r="N616" t="s">
        <v>74</v>
      </c>
      <c r="O616" t="s">
        <v>74</v>
      </c>
      <c r="P616" t="s">
        <v>74</v>
      </c>
      <c r="Q616" t="s">
        <v>74</v>
      </c>
      <c r="R616" t="s">
        <v>74</v>
      </c>
      <c r="S616" t="s">
        <v>74</v>
      </c>
      <c r="T616" t="s">
        <v>74</v>
      </c>
      <c r="U616" t="s">
        <v>74</v>
      </c>
      <c r="V616" s="3" t="s">
        <v>8231</v>
      </c>
      <c r="W616" t="s">
        <v>74</v>
      </c>
      <c r="X616" t="s">
        <v>74</v>
      </c>
      <c r="Y616" t="s">
        <v>74</v>
      </c>
      <c r="Z616" t="s">
        <v>74</v>
      </c>
      <c r="AA616" t="s">
        <v>74</v>
      </c>
      <c r="AB616" t="s">
        <v>8232</v>
      </c>
      <c r="AC616" t="s">
        <v>74</v>
      </c>
      <c r="AD616" t="s">
        <v>74</v>
      </c>
      <c r="AE616" t="s">
        <v>74</v>
      </c>
      <c r="AF616" t="s">
        <v>74</v>
      </c>
      <c r="AG616" t="s">
        <v>74</v>
      </c>
      <c r="AH616" t="s">
        <v>74</v>
      </c>
      <c r="AI616" t="s">
        <v>74</v>
      </c>
      <c r="AJ616" t="s">
        <v>74</v>
      </c>
      <c r="AK616" t="s">
        <v>74</v>
      </c>
      <c r="AL616" t="s">
        <v>74</v>
      </c>
      <c r="AM616" t="s">
        <v>74</v>
      </c>
      <c r="AN616" t="s">
        <v>74</v>
      </c>
      <c r="AO616" t="s">
        <v>8233</v>
      </c>
      <c r="AP616" t="s">
        <v>8234</v>
      </c>
      <c r="AQ616" t="s">
        <v>74</v>
      </c>
      <c r="AR616" t="s">
        <v>74</v>
      </c>
      <c r="AS616" t="s">
        <v>74</v>
      </c>
      <c r="AT616" t="s">
        <v>204</v>
      </c>
      <c r="AU616">
        <v>2010</v>
      </c>
      <c r="AV616">
        <v>23</v>
      </c>
      <c r="AW616">
        <v>7</v>
      </c>
      <c r="AX616" t="s">
        <v>74</v>
      </c>
      <c r="AY616" t="s">
        <v>74</v>
      </c>
      <c r="AZ616" t="s">
        <v>74</v>
      </c>
      <c r="BA616" t="s">
        <v>74</v>
      </c>
      <c r="BB616">
        <v>952</v>
      </c>
      <c r="BC616">
        <v>959</v>
      </c>
      <c r="BD616" t="s">
        <v>74</v>
      </c>
      <c r="BE616" t="s">
        <v>8235</v>
      </c>
      <c r="BF616" t="str">
        <f>HYPERLINK("http://dx.doi.org/10.5713/ajas.2010.90276","http://dx.doi.org/10.5713/ajas.2010.90276")</f>
        <v>http://dx.doi.org/10.5713/ajas.2010.90276</v>
      </c>
      <c r="BG616" t="s">
        <v>74</v>
      </c>
      <c r="BH616" t="s">
        <v>74</v>
      </c>
      <c r="BI616" t="s">
        <v>74</v>
      </c>
      <c r="BJ616" t="s">
        <v>74</v>
      </c>
      <c r="BK616" t="s">
        <v>74</v>
      </c>
      <c r="BL616" t="s">
        <v>74</v>
      </c>
      <c r="BM616" t="s">
        <v>74</v>
      </c>
      <c r="BN616" t="s">
        <v>74</v>
      </c>
      <c r="BO616" t="s">
        <v>74</v>
      </c>
      <c r="BP616" t="s">
        <v>74</v>
      </c>
      <c r="BQ616" t="s">
        <v>74</v>
      </c>
      <c r="BR616" t="s">
        <v>74</v>
      </c>
      <c r="BS616" t="s">
        <v>8236</v>
      </c>
      <c r="BT616" t="str">
        <f>HYPERLINK("https%3A%2F%2Fwww.webofscience.com%2Fwos%2Fwoscc%2Ffull-record%2FWOS:000279576700016","View Full Record in Web of Science")</f>
        <v>View Full Record in Web of Science</v>
      </c>
    </row>
    <row r="617" spans="1:72" x14ac:dyDescent="0.4">
      <c r="A617" t="s">
        <v>72</v>
      </c>
      <c r="B617" t="s">
        <v>6510</v>
      </c>
      <c r="C617" t="s">
        <v>74</v>
      </c>
      <c r="D617" t="s">
        <v>74</v>
      </c>
      <c r="E617" t="s">
        <v>74</v>
      </c>
      <c r="F617" t="s">
        <v>6511</v>
      </c>
      <c r="G617" t="s">
        <v>74</v>
      </c>
      <c r="H617" t="s">
        <v>74</v>
      </c>
      <c r="I617" t="s">
        <v>6512</v>
      </c>
      <c r="J617" t="s">
        <v>6513</v>
      </c>
      <c r="K617" t="s">
        <v>74</v>
      </c>
      <c r="L617" t="s">
        <v>74</v>
      </c>
      <c r="M617" t="s">
        <v>74</v>
      </c>
      <c r="N617" t="s">
        <v>74</v>
      </c>
      <c r="O617" t="s">
        <v>74</v>
      </c>
      <c r="P617" t="s">
        <v>74</v>
      </c>
      <c r="Q617" t="s">
        <v>74</v>
      </c>
      <c r="R617" t="s">
        <v>74</v>
      </c>
      <c r="S617" t="s">
        <v>74</v>
      </c>
      <c r="T617" t="s">
        <v>74</v>
      </c>
      <c r="U617" t="s">
        <v>74</v>
      </c>
      <c r="V617" s="3" t="s">
        <v>6514</v>
      </c>
      <c r="W617" t="s">
        <v>74</v>
      </c>
      <c r="X617" t="s">
        <v>74</v>
      </c>
      <c r="Y617" t="s">
        <v>74</v>
      </c>
      <c r="Z617" t="s">
        <v>74</v>
      </c>
      <c r="AA617" t="s">
        <v>6515</v>
      </c>
      <c r="AB617" t="s">
        <v>6516</v>
      </c>
      <c r="AC617" t="s">
        <v>74</v>
      </c>
      <c r="AD617" t="s">
        <v>74</v>
      </c>
      <c r="AE617" t="s">
        <v>74</v>
      </c>
      <c r="AF617" t="s">
        <v>74</v>
      </c>
      <c r="AG617" t="s">
        <v>74</v>
      </c>
      <c r="AH617" t="s">
        <v>74</v>
      </c>
      <c r="AI617" t="s">
        <v>74</v>
      </c>
      <c r="AJ617" t="s">
        <v>74</v>
      </c>
      <c r="AK617" t="s">
        <v>74</v>
      </c>
      <c r="AL617" t="s">
        <v>74</v>
      </c>
      <c r="AM617" t="s">
        <v>74</v>
      </c>
      <c r="AN617" t="s">
        <v>74</v>
      </c>
      <c r="AO617" t="s">
        <v>74</v>
      </c>
      <c r="AP617" t="s">
        <v>6517</v>
      </c>
      <c r="AQ617" t="s">
        <v>74</v>
      </c>
      <c r="AR617" t="s">
        <v>74</v>
      </c>
      <c r="AS617" t="s">
        <v>74</v>
      </c>
      <c r="AT617" t="s">
        <v>352</v>
      </c>
      <c r="AU617">
        <v>2022</v>
      </c>
      <c r="AV617">
        <v>4</v>
      </c>
      <c r="AW617">
        <v>5</v>
      </c>
      <c r="AX617" t="s">
        <v>74</v>
      </c>
      <c r="AY617" t="s">
        <v>74</v>
      </c>
      <c r="AZ617" t="s">
        <v>74</v>
      </c>
      <c r="BA617" t="s">
        <v>74</v>
      </c>
      <c r="BB617">
        <v>499</v>
      </c>
      <c r="BC617">
        <v>510</v>
      </c>
      <c r="BD617" t="s">
        <v>74</v>
      </c>
      <c r="BE617" t="s">
        <v>6518</v>
      </c>
      <c r="BF617" t="str">
        <f>HYPERLINK("http://dx.doi.org/10.1002/ppp3.10286","http://dx.doi.org/10.1002/ppp3.10286")</f>
        <v>http://dx.doi.org/10.1002/ppp3.10286</v>
      </c>
      <c r="BG617" t="s">
        <v>74</v>
      </c>
      <c r="BH617" t="s">
        <v>2832</v>
      </c>
      <c r="BI617" t="s">
        <v>74</v>
      </c>
      <c r="BJ617" t="s">
        <v>74</v>
      </c>
      <c r="BK617" t="s">
        <v>74</v>
      </c>
      <c r="BL617" t="s">
        <v>74</v>
      </c>
      <c r="BM617" t="s">
        <v>74</v>
      </c>
      <c r="BN617" t="s">
        <v>74</v>
      </c>
      <c r="BO617" t="s">
        <v>74</v>
      </c>
      <c r="BP617" t="s">
        <v>74</v>
      </c>
      <c r="BQ617" t="s">
        <v>74</v>
      </c>
      <c r="BR617" t="s">
        <v>74</v>
      </c>
      <c r="BS617" t="s">
        <v>6519</v>
      </c>
      <c r="BT617" t="str">
        <f>HYPERLINK("https%3A%2F%2Fwww.webofscience.com%2Fwos%2Fwoscc%2Ffull-record%2FWOS:000820245800001","View Full Record in Web of Science")</f>
        <v>View Full Record in Web of Science</v>
      </c>
    </row>
    <row r="618" spans="1:72" x14ac:dyDescent="0.4">
      <c r="A618" t="s">
        <v>72</v>
      </c>
      <c r="B618" t="s">
        <v>6150</v>
      </c>
      <c r="C618" t="s">
        <v>74</v>
      </c>
      <c r="D618" t="s">
        <v>74</v>
      </c>
      <c r="E618" t="s">
        <v>74</v>
      </c>
      <c r="F618" t="s">
        <v>6150</v>
      </c>
      <c r="G618" t="s">
        <v>74</v>
      </c>
      <c r="H618" t="s">
        <v>74</v>
      </c>
      <c r="I618" t="s">
        <v>6151</v>
      </c>
      <c r="J618" t="s">
        <v>6152</v>
      </c>
      <c r="K618" t="s">
        <v>74</v>
      </c>
      <c r="L618" t="s">
        <v>74</v>
      </c>
      <c r="M618" t="s">
        <v>74</v>
      </c>
      <c r="N618" t="s">
        <v>74</v>
      </c>
      <c r="O618" t="s">
        <v>74</v>
      </c>
      <c r="P618" t="s">
        <v>74</v>
      </c>
      <c r="Q618" t="s">
        <v>74</v>
      </c>
      <c r="R618" t="s">
        <v>74</v>
      </c>
      <c r="S618" t="s">
        <v>74</v>
      </c>
      <c r="T618" t="s">
        <v>74</v>
      </c>
      <c r="U618" t="s">
        <v>74</v>
      </c>
      <c r="V618" s="3" t="s">
        <v>6153</v>
      </c>
      <c r="W618" t="s">
        <v>74</v>
      </c>
      <c r="X618" t="s">
        <v>74</v>
      </c>
      <c r="Y618" t="s">
        <v>74</v>
      </c>
      <c r="Z618" t="s">
        <v>74</v>
      </c>
      <c r="AA618" t="s">
        <v>6154</v>
      </c>
      <c r="AB618" t="s">
        <v>6155</v>
      </c>
      <c r="AC618" t="s">
        <v>74</v>
      </c>
      <c r="AD618" t="s">
        <v>74</v>
      </c>
      <c r="AE618" t="s">
        <v>74</v>
      </c>
      <c r="AF618" t="s">
        <v>74</v>
      </c>
      <c r="AG618" t="s">
        <v>74</v>
      </c>
      <c r="AH618" t="s">
        <v>74</v>
      </c>
      <c r="AI618" t="s">
        <v>74</v>
      </c>
      <c r="AJ618" t="s">
        <v>74</v>
      </c>
      <c r="AK618" t="s">
        <v>74</v>
      </c>
      <c r="AL618" t="s">
        <v>74</v>
      </c>
      <c r="AM618" t="s">
        <v>74</v>
      </c>
      <c r="AN618" t="s">
        <v>74</v>
      </c>
      <c r="AO618" t="s">
        <v>6156</v>
      </c>
      <c r="AP618" t="s">
        <v>6157</v>
      </c>
      <c r="AQ618" t="s">
        <v>74</v>
      </c>
      <c r="AR618" t="s">
        <v>74</v>
      </c>
      <c r="AS618" t="s">
        <v>74</v>
      </c>
      <c r="AT618" t="s">
        <v>74</v>
      </c>
      <c r="AU618">
        <v>1984</v>
      </c>
      <c r="AV618">
        <v>116</v>
      </c>
      <c r="AW618">
        <v>6</v>
      </c>
      <c r="AX618" t="s">
        <v>74</v>
      </c>
      <c r="AY618" t="s">
        <v>74</v>
      </c>
      <c r="AZ618" t="s">
        <v>74</v>
      </c>
      <c r="BA618" t="s">
        <v>74</v>
      </c>
      <c r="BB618">
        <v>827</v>
      </c>
      <c r="BC618">
        <v>840</v>
      </c>
      <c r="BD618" t="s">
        <v>74</v>
      </c>
      <c r="BE618" t="s">
        <v>6158</v>
      </c>
      <c r="BF618" t="str">
        <f>HYPERLINK("http://dx.doi.org/10.4039/Ent116827-6","http://dx.doi.org/10.4039/Ent116827-6")</f>
        <v>http://dx.doi.org/10.4039/Ent116827-6</v>
      </c>
      <c r="BG618" t="s">
        <v>74</v>
      </c>
      <c r="BH618" t="s">
        <v>74</v>
      </c>
      <c r="BI618" t="s">
        <v>74</v>
      </c>
      <c r="BJ618" t="s">
        <v>74</v>
      </c>
      <c r="BK618" t="s">
        <v>74</v>
      </c>
      <c r="BL618" t="s">
        <v>74</v>
      </c>
      <c r="BM618" t="s">
        <v>74</v>
      </c>
      <c r="BN618" t="s">
        <v>74</v>
      </c>
      <c r="BO618" t="s">
        <v>74</v>
      </c>
      <c r="BP618" t="s">
        <v>74</v>
      </c>
      <c r="BQ618" t="s">
        <v>74</v>
      </c>
      <c r="BR618" t="s">
        <v>74</v>
      </c>
      <c r="BS618" t="s">
        <v>6159</v>
      </c>
      <c r="BT618" t="str">
        <f>HYPERLINK("https%3A%2F%2Fwww.webofscience.com%2Fwos%2Fwoscc%2Ffull-record%2FWOS:A1984SW69600006","View Full Record in Web of Science")</f>
        <v>View Full Record in Web of Science</v>
      </c>
    </row>
    <row r="619" spans="1:72" x14ac:dyDescent="0.4">
      <c r="A619" t="s">
        <v>72</v>
      </c>
      <c r="B619" t="s">
        <v>6019</v>
      </c>
      <c r="C619" t="s">
        <v>74</v>
      </c>
      <c r="D619" t="s">
        <v>74</v>
      </c>
      <c r="E619" t="s">
        <v>74</v>
      </c>
      <c r="F619" t="s">
        <v>6020</v>
      </c>
      <c r="G619" t="s">
        <v>74</v>
      </c>
      <c r="H619" t="s">
        <v>74</v>
      </c>
      <c r="I619" t="s">
        <v>6021</v>
      </c>
      <c r="J619" t="s">
        <v>129</v>
      </c>
      <c r="K619" t="s">
        <v>74</v>
      </c>
      <c r="L619" t="s">
        <v>74</v>
      </c>
      <c r="M619" t="s">
        <v>74</v>
      </c>
      <c r="N619" t="s">
        <v>74</v>
      </c>
      <c r="O619" t="s">
        <v>74</v>
      </c>
      <c r="P619" t="s">
        <v>74</v>
      </c>
      <c r="Q619" t="s">
        <v>74</v>
      </c>
      <c r="R619" t="s">
        <v>74</v>
      </c>
      <c r="S619" t="s">
        <v>74</v>
      </c>
      <c r="T619" t="s">
        <v>74</v>
      </c>
      <c r="U619" t="s">
        <v>74</v>
      </c>
      <c r="V619" s="3" t="s">
        <v>6022</v>
      </c>
      <c r="W619" t="s">
        <v>74</v>
      </c>
      <c r="X619" t="s">
        <v>74</v>
      </c>
      <c r="Y619" t="s">
        <v>74</v>
      </c>
      <c r="Z619" t="s">
        <v>74</v>
      </c>
      <c r="AA619" t="s">
        <v>74</v>
      </c>
      <c r="AB619" t="s">
        <v>74</v>
      </c>
      <c r="AC619" t="s">
        <v>74</v>
      </c>
      <c r="AD619" t="s">
        <v>74</v>
      </c>
      <c r="AE619" t="s">
        <v>74</v>
      </c>
      <c r="AF619" t="s">
        <v>74</v>
      </c>
      <c r="AG619" t="s">
        <v>74</v>
      </c>
      <c r="AH619" t="s">
        <v>74</v>
      </c>
      <c r="AI619" t="s">
        <v>74</v>
      </c>
      <c r="AJ619" t="s">
        <v>74</v>
      </c>
      <c r="AK619" t="s">
        <v>74</v>
      </c>
      <c r="AL619" t="s">
        <v>74</v>
      </c>
      <c r="AM619" t="s">
        <v>74</v>
      </c>
      <c r="AN619" t="s">
        <v>74</v>
      </c>
      <c r="AO619" t="s">
        <v>132</v>
      </c>
      <c r="AP619" t="s">
        <v>133</v>
      </c>
      <c r="AQ619" t="s">
        <v>74</v>
      </c>
      <c r="AR619" t="s">
        <v>74</v>
      </c>
      <c r="AS619" t="s">
        <v>74</v>
      </c>
      <c r="AT619" t="s">
        <v>102</v>
      </c>
      <c r="AU619">
        <v>2019</v>
      </c>
      <c r="AV619">
        <v>73</v>
      </c>
      <c r="AW619">
        <v>6</v>
      </c>
      <c r="AX619" t="s">
        <v>74</v>
      </c>
      <c r="AY619" t="s">
        <v>74</v>
      </c>
      <c r="AZ619" t="s">
        <v>74</v>
      </c>
      <c r="BA619" t="s">
        <v>74</v>
      </c>
      <c r="BB619" t="s">
        <v>74</v>
      </c>
      <c r="BC619" t="s">
        <v>74</v>
      </c>
      <c r="BD619">
        <v>83</v>
      </c>
      <c r="BE619" t="s">
        <v>6023</v>
      </c>
      <c r="BF619" t="str">
        <f>HYPERLINK("http://dx.doi.org/10.1007/s00265-019-2691-y","http://dx.doi.org/10.1007/s00265-019-2691-y")</f>
        <v>http://dx.doi.org/10.1007/s00265-019-2691-y</v>
      </c>
      <c r="BG619" t="s">
        <v>74</v>
      </c>
      <c r="BH619" t="s">
        <v>74</v>
      </c>
      <c r="BI619" t="s">
        <v>74</v>
      </c>
      <c r="BJ619" t="s">
        <v>74</v>
      </c>
      <c r="BK619" t="s">
        <v>74</v>
      </c>
      <c r="BL619" t="s">
        <v>74</v>
      </c>
      <c r="BM619" t="s">
        <v>74</v>
      </c>
      <c r="BN619" t="s">
        <v>74</v>
      </c>
      <c r="BO619" t="s">
        <v>74</v>
      </c>
      <c r="BP619" t="s">
        <v>74</v>
      </c>
      <c r="BQ619" t="s">
        <v>74</v>
      </c>
      <c r="BR619" t="s">
        <v>74</v>
      </c>
      <c r="BS619" t="s">
        <v>6024</v>
      </c>
      <c r="BT619" t="str">
        <f>HYPERLINK("https%3A%2F%2Fwww.webofscience.com%2Fwos%2Fwoscc%2Ffull-record%2FWOS:000469197100001","View Full Record in Web of Science")</f>
        <v>View Full Record in Web of Science</v>
      </c>
    </row>
    <row r="620" spans="1:72" x14ac:dyDescent="0.4">
      <c r="A620" t="s">
        <v>72</v>
      </c>
      <c r="B620" t="s">
        <v>1728</v>
      </c>
      <c r="C620" t="s">
        <v>74</v>
      </c>
      <c r="D620" t="s">
        <v>74</v>
      </c>
      <c r="E620" t="s">
        <v>74</v>
      </c>
      <c r="F620" t="s">
        <v>1729</v>
      </c>
      <c r="G620" t="s">
        <v>74</v>
      </c>
      <c r="H620" t="s">
        <v>74</v>
      </c>
      <c r="I620" t="s">
        <v>1730</v>
      </c>
      <c r="J620" t="s">
        <v>129</v>
      </c>
      <c r="K620" t="s">
        <v>74</v>
      </c>
      <c r="L620" t="s">
        <v>74</v>
      </c>
      <c r="M620" t="s">
        <v>74</v>
      </c>
      <c r="N620" t="s">
        <v>74</v>
      </c>
      <c r="O620" t="s">
        <v>74</v>
      </c>
      <c r="P620" t="s">
        <v>74</v>
      </c>
      <c r="Q620" t="s">
        <v>74</v>
      </c>
      <c r="R620" t="s">
        <v>74</v>
      </c>
      <c r="S620" t="s">
        <v>74</v>
      </c>
      <c r="T620" t="s">
        <v>74</v>
      </c>
      <c r="U620" t="s">
        <v>74</v>
      </c>
      <c r="V620" s="3" t="s">
        <v>1731</v>
      </c>
      <c r="W620" t="s">
        <v>74</v>
      </c>
      <c r="X620" t="s">
        <v>74</v>
      </c>
      <c r="Y620" t="s">
        <v>74</v>
      </c>
      <c r="Z620" t="s">
        <v>74</v>
      </c>
      <c r="AA620" t="s">
        <v>1011</v>
      </c>
      <c r="AB620" t="s">
        <v>1012</v>
      </c>
      <c r="AC620" t="s">
        <v>74</v>
      </c>
      <c r="AD620" t="s">
        <v>74</v>
      </c>
      <c r="AE620" t="s">
        <v>74</v>
      </c>
      <c r="AF620" t="s">
        <v>74</v>
      </c>
      <c r="AG620" t="s">
        <v>74</v>
      </c>
      <c r="AH620" t="s">
        <v>74</v>
      </c>
      <c r="AI620" t="s">
        <v>74</v>
      </c>
      <c r="AJ620" t="s">
        <v>74</v>
      </c>
      <c r="AK620" t="s">
        <v>74</v>
      </c>
      <c r="AL620" t="s">
        <v>74</v>
      </c>
      <c r="AM620" t="s">
        <v>74</v>
      </c>
      <c r="AN620" t="s">
        <v>74</v>
      </c>
      <c r="AO620" t="s">
        <v>132</v>
      </c>
      <c r="AP620" t="s">
        <v>133</v>
      </c>
      <c r="AQ620" t="s">
        <v>74</v>
      </c>
      <c r="AR620" t="s">
        <v>74</v>
      </c>
      <c r="AS620" t="s">
        <v>74</v>
      </c>
      <c r="AT620" t="s">
        <v>102</v>
      </c>
      <c r="AU620">
        <v>2014</v>
      </c>
      <c r="AV620">
        <v>68</v>
      </c>
      <c r="AW620">
        <v>6</v>
      </c>
      <c r="AX620" t="s">
        <v>74</v>
      </c>
      <c r="AY620" t="s">
        <v>74</v>
      </c>
      <c r="AZ620" t="s">
        <v>74</v>
      </c>
      <c r="BA620" t="s">
        <v>74</v>
      </c>
      <c r="BB620">
        <v>1007</v>
      </c>
      <c r="BC620">
        <v>1017</v>
      </c>
      <c r="BD620" t="s">
        <v>74</v>
      </c>
      <c r="BE620" t="s">
        <v>1732</v>
      </c>
      <c r="BF620" t="str">
        <f>HYPERLINK("http://dx.doi.org/10.1007/s00265-014-1713-z","http://dx.doi.org/10.1007/s00265-014-1713-z")</f>
        <v>http://dx.doi.org/10.1007/s00265-014-1713-z</v>
      </c>
      <c r="BG620" t="s">
        <v>74</v>
      </c>
      <c r="BH620" t="s">
        <v>74</v>
      </c>
      <c r="BI620" t="s">
        <v>74</v>
      </c>
      <c r="BJ620" t="s">
        <v>74</v>
      </c>
      <c r="BK620" t="s">
        <v>74</v>
      </c>
      <c r="BL620" t="s">
        <v>74</v>
      </c>
      <c r="BM620" t="s">
        <v>74</v>
      </c>
      <c r="BN620" t="s">
        <v>74</v>
      </c>
      <c r="BO620" t="s">
        <v>74</v>
      </c>
      <c r="BP620" t="s">
        <v>74</v>
      </c>
      <c r="BQ620" t="s">
        <v>74</v>
      </c>
      <c r="BR620" t="s">
        <v>74</v>
      </c>
      <c r="BS620" t="s">
        <v>1733</v>
      </c>
      <c r="BT620" t="str">
        <f>HYPERLINK("https%3A%2F%2Fwww.webofscience.com%2Fwos%2Fwoscc%2Ffull-record%2FWOS:000336022700013","View Full Record in Web of Science")</f>
        <v>View Full Record in Web of Science</v>
      </c>
    </row>
    <row r="621" spans="1:72" x14ac:dyDescent="0.4">
      <c r="A621" t="s">
        <v>72</v>
      </c>
      <c r="B621" t="s">
        <v>3725</v>
      </c>
      <c r="C621" t="s">
        <v>74</v>
      </c>
      <c r="D621" t="s">
        <v>74</v>
      </c>
      <c r="E621" t="s">
        <v>74</v>
      </c>
      <c r="F621" t="s">
        <v>3726</v>
      </c>
      <c r="G621" t="s">
        <v>74</v>
      </c>
      <c r="H621" t="s">
        <v>74</v>
      </c>
      <c r="I621" t="s">
        <v>3727</v>
      </c>
      <c r="J621" t="s">
        <v>119</v>
      </c>
      <c r="K621" t="s">
        <v>74</v>
      </c>
      <c r="L621" t="s">
        <v>74</v>
      </c>
      <c r="M621" t="s">
        <v>74</v>
      </c>
      <c r="N621" t="s">
        <v>74</v>
      </c>
      <c r="O621" t="s">
        <v>74</v>
      </c>
      <c r="P621" t="s">
        <v>74</v>
      </c>
      <c r="Q621" t="s">
        <v>74</v>
      </c>
      <c r="R621" t="s">
        <v>74</v>
      </c>
      <c r="S621" t="s">
        <v>74</v>
      </c>
      <c r="T621" t="s">
        <v>74</v>
      </c>
      <c r="U621" t="s">
        <v>74</v>
      </c>
      <c r="V621" s="3" t="s">
        <v>3728</v>
      </c>
      <c r="W621" t="s">
        <v>74</v>
      </c>
      <c r="X621" t="s">
        <v>74</v>
      </c>
      <c r="Y621" t="s">
        <v>74</v>
      </c>
      <c r="Z621" t="s">
        <v>74</v>
      </c>
      <c r="AA621" t="s">
        <v>3729</v>
      </c>
      <c r="AB621" t="s">
        <v>3730</v>
      </c>
      <c r="AC621" t="s">
        <v>74</v>
      </c>
      <c r="AD621" t="s">
        <v>74</v>
      </c>
      <c r="AE621" t="s">
        <v>74</v>
      </c>
      <c r="AF621" t="s">
        <v>74</v>
      </c>
      <c r="AG621" t="s">
        <v>74</v>
      </c>
      <c r="AH621" t="s">
        <v>74</v>
      </c>
      <c r="AI621" t="s">
        <v>74</v>
      </c>
      <c r="AJ621" t="s">
        <v>74</v>
      </c>
      <c r="AK621" t="s">
        <v>74</v>
      </c>
      <c r="AL621" t="s">
        <v>74</v>
      </c>
      <c r="AM621" t="s">
        <v>74</v>
      </c>
      <c r="AN621" t="s">
        <v>74</v>
      </c>
      <c r="AO621" t="s">
        <v>121</v>
      </c>
      <c r="AP621" t="s">
        <v>122</v>
      </c>
      <c r="AQ621" t="s">
        <v>74</v>
      </c>
      <c r="AR621" t="s">
        <v>74</v>
      </c>
      <c r="AS621" t="s">
        <v>74</v>
      </c>
      <c r="AT621" t="s">
        <v>175</v>
      </c>
      <c r="AU621">
        <v>2016</v>
      </c>
      <c r="AV621">
        <v>131</v>
      </c>
      <c r="AW621" t="s">
        <v>74</v>
      </c>
      <c r="AX621" t="s">
        <v>74</v>
      </c>
      <c r="AY621" t="s">
        <v>74</v>
      </c>
      <c r="AZ621" t="s">
        <v>74</v>
      </c>
      <c r="BA621" t="s">
        <v>74</v>
      </c>
      <c r="BB621">
        <v>59</v>
      </c>
      <c r="BC621">
        <v>67</v>
      </c>
      <c r="BD621" t="s">
        <v>74</v>
      </c>
      <c r="BE621" t="s">
        <v>3731</v>
      </c>
      <c r="BF621" t="str">
        <f>HYPERLINK("http://dx.doi.org/10.1016/j.beproc.2016.08.010","http://dx.doi.org/10.1016/j.beproc.2016.08.010")</f>
        <v>http://dx.doi.org/10.1016/j.beproc.2016.08.010</v>
      </c>
      <c r="BG621" t="s">
        <v>74</v>
      </c>
      <c r="BH621" t="s">
        <v>74</v>
      </c>
      <c r="BI621" t="s">
        <v>74</v>
      </c>
      <c r="BJ621" t="s">
        <v>74</v>
      </c>
      <c r="BK621" t="s">
        <v>74</v>
      </c>
      <c r="BL621" t="s">
        <v>74</v>
      </c>
      <c r="BM621" t="s">
        <v>74</v>
      </c>
      <c r="BN621">
        <v>27561967</v>
      </c>
      <c r="BO621" t="s">
        <v>74</v>
      </c>
      <c r="BP621" t="s">
        <v>74</v>
      </c>
      <c r="BQ621" t="s">
        <v>74</v>
      </c>
      <c r="BR621" t="s">
        <v>74</v>
      </c>
      <c r="BS621" t="s">
        <v>3732</v>
      </c>
      <c r="BT621" t="str">
        <f>HYPERLINK("https%3A%2F%2Fwww.webofscience.com%2Fwos%2Fwoscc%2Ffull-record%2FWOS:000384383500009","View Full Record in Web of Science")</f>
        <v>View Full Record in Web of Science</v>
      </c>
    </row>
    <row r="622" spans="1:72" x14ac:dyDescent="0.4">
      <c r="A622" t="s">
        <v>72</v>
      </c>
      <c r="B622" t="s">
        <v>1393</v>
      </c>
      <c r="C622" t="s">
        <v>74</v>
      </c>
      <c r="D622" t="s">
        <v>74</v>
      </c>
      <c r="E622" t="s">
        <v>74</v>
      </c>
      <c r="F622" t="s">
        <v>1394</v>
      </c>
      <c r="G622" t="s">
        <v>74</v>
      </c>
      <c r="H622" t="s">
        <v>74</v>
      </c>
      <c r="I622" t="s">
        <v>1395</v>
      </c>
      <c r="J622" t="s">
        <v>1396</v>
      </c>
      <c r="K622" t="s">
        <v>74</v>
      </c>
      <c r="L622" t="s">
        <v>74</v>
      </c>
      <c r="M622" t="s">
        <v>74</v>
      </c>
      <c r="N622" t="s">
        <v>74</v>
      </c>
      <c r="O622" t="s">
        <v>74</v>
      </c>
      <c r="P622" t="s">
        <v>74</v>
      </c>
      <c r="Q622" t="s">
        <v>74</v>
      </c>
      <c r="R622" t="s">
        <v>74</v>
      </c>
      <c r="S622" t="s">
        <v>74</v>
      </c>
      <c r="T622" t="s">
        <v>74</v>
      </c>
      <c r="U622" t="s">
        <v>74</v>
      </c>
      <c r="V622" s="3" t="s">
        <v>1397</v>
      </c>
      <c r="W622" t="s">
        <v>74</v>
      </c>
      <c r="X622" t="s">
        <v>74</v>
      </c>
      <c r="Y622" t="s">
        <v>74</v>
      </c>
      <c r="Z622" t="s">
        <v>74</v>
      </c>
      <c r="AA622" t="s">
        <v>1398</v>
      </c>
      <c r="AB622" t="s">
        <v>1399</v>
      </c>
      <c r="AC622" t="s">
        <v>74</v>
      </c>
      <c r="AD622" t="s">
        <v>74</v>
      </c>
      <c r="AE622" t="s">
        <v>74</v>
      </c>
      <c r="AF622" t="s">
        <v>74</v>
      </c>
      <c r="AG622" t="s">
        <v>74</v>
      </c>
      <c r="AH622" t="s">
        <v>74</v>
      </c>
      <c r="AI622" t="s">
        <v>74</v>
      </c>
      <c r="AJ622" t="s">
        <v>74</v>
      </c>
      <c r="AK622" t="s">
        <v>74</v>
      </c>
      <c r="AL622" t="s">
        <v>74</v>
      </c>
      <c r="AM622" t="s">
        <v>74</v>
      </c>
      <c r="AN622" t="s">
        <v>74</v>
      </c>
      <c r="AO622" t="s">
        <v>1400</v>
      </c>
      <c r="AP622" t="s">
        <v>74</v>
      </c>
      <c r="AQ622" t="s">
        <v>74</v>
      </c>
      <c r="AR622" t="s">
        <v>74</v>
      </c>
      <c r="AS622" t="s">
        <v>74</v>
      </c>
      <c r="AT622" t="s">
        <v>964</v>
      </c>
      <c r="AU622">
        <v>2013</v>
      </c>
      <c r="AV622">
        <v>51</v>
      </c>
      <c r="AW622">
        <v>1</v>
      </c>
      <c r="AX622" t="s">
        <v>74</v>
      </c>
      <c r="AY622" t="s">
        <v>74</v>
      </c>
      <c r="AZ622" t="s">
        <v>74</v>
      </c>
      <c r="BA622" t="s">
        <v>74</v>
      </c>
      <c r="BB622">
        <v>64</v>
      </c>
      <c r="BC622">
        <v>71</v>
      </c>
      <c r="BD622" t="s">
        <v>74</v>
      </c>
      <c r="BE622" t="s">
        <v>1401</v>
      </c>
      <c r="BF622" t="str">
        <f>HYPERLINK("http://dx.doi.org/10.1111/j.1439-0469.2012.00668.x","http://dx.doi.org/10.1111/j.1439-0469.2012.00668.x")</f>
        <v>http://dx.doi.org/10.1111/j.1439-0469.2012.00668.x</v>
      </c>
      <c r="BG622" t="s">
        <v>74</v>
      </c>
      <c r="BH622" t="s">
        <v>74</v>
      </c>
      <c r="BI622" t="s">
        <v>74</v>
      </c>
      <c r="BJ622" t="s">
        <v>74</v>
      </c>
      <c r="BK622" t="s">
        <v>74</v>
      </c>
      <c r="BL622" t="s">
        <v>74</v>
      </c>
      <c r="BM622" t="s">
        <v>74</v>
      </c>
      <c r="BN622" t="s">
        <v>74</v>
      </c>
      <c r="BO622" t="s">
        <v>74</v>
      </c>
      <c r="BP622" t="s">
        <v>74</v>
      </c>
      <c r="BQ622" t="s">
        <v>74</v>
      </c>
      <c r="BR622" t="s">
        <v>74</v>
      </c>
      <c r="BS622" t="s">
        <v>1402</v>
      </c>
      <c r="BT622" t="str">
        <f>HYPERLINK("https%3A%2F%2Fwww.webofscience.com%2Fwos%2Fwoscc%2Ffull-record%2FWOS:000313753400008","View Full Record in Web of Science")</f>
        <v>View Full Record in Web of Science</v>
      </c>
    </row>
    <row r="623" spans="1:72" x14ac:dyDescent="0.4">
      <c r="A623" t="s">
        <v>72</v>
      </c>
      <c r="B623" t="s">
        <v>1393</v>
      </c>
      <c r="C623" t="s">
        <v>74</v>
      </c>
      <c r="D623" t="s">
        <v>74</v>
      </c>
      <c r="E623" t="s">
        <v>74</v>
      </c>
      <c r="F623" t="s">
        <v>1394</v>
      </c>
      <c r="G623" t="s">
        <v>74</v>
      </c>
      <c r="H623" t="s">
        <v>74</v>
      </c>
      <c r="I623" t="s">
        <v>1749</v>
      </c>
      <c r="J623" t="s">
        <v>140</v>
      </c>
      <c r="K623" t="s">
        <v>74</v>
      </c>
      <c r="L623" t="s">
        <v>74</v>
      </c>
      <c r="M623" t="s">
        <v>74</v>
      </c>
      <c r="N623" t="s">
        <v>74</v>
      </c>
      <c r="O623" t="s">
        <v>74</v>
      </c>
      <c r="P623" t="s">
        <v>74</v>
      </c>
      <c r="Q623" t="s">
        <v>74</v>
      </c>
      <c r="R623" t="s">
        <v>74</v>
      </c>
      <c r="S623" t="s">
        <v>74</v>
      </c>
      <c r="T623" t="s">
        <v>74</v>
      </c>
      <c r="U623" t="s">
        <v>74</v>
      </c>
      <c r="V623" s="3" t="s">
        <v>1750</v>
      </c>
      <c r="W623" t="s">
        <v>74</v>
      </c>
      <c r="X623" t="s">
        <v>74</v>
      </c>
      <c r="Y623" t="s">
        <v>74</v>
      </c>
      <c r="Z623" t="s">
        <v>74</v>
      </c>
      <c r="AA623" t="s">
        <v>1398</v>
      </c>
      <c r="AB623" t="s">
        <v>1399</v>
      </c>
      <c r="AC623" t="s">
        <v>74</v>
      </c>
      <c r="AD623" t="s">
        <v>74</v>
      </c>
      <c r="AE623" t="s">
        <v>74</v>
      </c>
      <c r="AF623" t="s">
        <v>74</v>
      </c>
      <c r="AG623" t="s">
        <v>74</v>
      </c>
      <c r="AH623" t="s">
        <v>74</v>
      </c>
      <c r="AI623" t="s">
        <v>74</v>
      </c>
      <c r="AJ623" t="s">
        <v>74</v>
      </c>
      <c r="AK623" t="s">
        <v>74</v>
      </c>
      <c r="AL623" t="s">
        <v>74</v>
      </c>
      <c r="AM623" t="s">
        <v>74</v>
      </c>
      <c r="AN623" t="s">
        <v>74</v>
      </c>
      <c r="AO623" t="s">
        <v>143</v>
      </c>
      <c r="AP623" t="s">
        <v>74</v>
      </c>
      <c r="AQ623" t="s">
        <v>74</v>
      </c>
      <c r="AR623" t="s">
        <v>74</v>
      </c>
      <c r="AS623" t="s">
        <v>74</v>
      </c>
      <c r="AT623" t="s">
        <v>134</v>
      </c>
      <c r="AU623">
        <v>2009</v>
      </c>
      <c r="AV623">
        <v>77</v>
      </c>
      <c r="AW623">
        <v>5</v>
      </c>
      <c r="AX623" t="s">
        <v>74</v>
      </c>
      <c r="AY623" t="s">
        <v>74</v>
      </c>
      <c r="AZ623" t="s">
        <v>74</v>
      </c>
      <c r="BA623" t="s">
        <v>74</v>
      </c>
      <c r="BB623">
        <v>1267</v>
      </c>
      <c r="BC623">
        <v>1272</v>
      </c>
      <c r="BD623" t="s">
        <v>74</v>
      </c>
      <c r="BE623" t="s">
        <v>1751</v>
      </c>
      <c r="BF623" t="str">
        <f>HYPERLINK("http://dx.doi.org/10.1016/j.anbehav.2009.01.031","http://dx.doi.org/10.1016/j.anbehav.2009.01.031")</f>
        <v>http://dx.doi.org/10.1016/j.anbehav.2009.01.031</v>
      </c>
      <c r="BG623" t="s">
        <v>74</v>
      </c>
      <c r="BH623" t="s">
        <v>74</v>
      </c>
      <c r="BI623" t="s">
        <v>74</v>
      </c>
      <c r="BJ623" t="s">
        <v>74</v>
      </c>
      <c r="BK623" t="s">
        <v>74</v>
      </c>
      <c r="BL623" t="s">
        <v>74</v>
      </c>
      <c r="BM623" t="s">
        <v>74</v>
      </c>
      <c r="BN623">
        <v>20161226</v>
      </c>
      <c r="BO623" t="s">
        <v>74</v>
      </c>
      <c r="BP623" t="s">
        <v>74</v>
      </c>
      <c r="BQ623" t="s">
        <v>74</v>
      </c>
      <c r="BR623" t="s">
        <v>74</v>
      </c>
      <c r="BS623" t="s">
        <v>1752</v>
      </c>
      <c r="BT623" t="str">
        <f>HYPERLINK("https%3A%2F%2Fwww.webofscience.com%2Fwos%2Fwoscc%2Ffull-record%2FWOS:000265283900036","View Full Record in Web of Science")</f>
        <v>View Full Record in Web of Science</v>
      </c>
    </row>
    <row r="624" spans="1:72" x14ac:dyDescent="0.4">
      <c r="A624" t="s">
        <v>72</v>
      </c>
      <c r="B624" t="s">
        <v>1007</v>
      </c>
      <c r="C624" t="s">
        <v>74</v>
      </c>
      <c r="D624" t="s">
        <v>74</v>
      </c>
      <c r="E624" t="s">
        <v>74</v>
      </c>
      <c r="F624" t="s">
        <v>1008</v>
      </c>
      <c r="G624" t="s">
        <v>74</v>
      </c>
      <c r="H624" t="s">
        <v>74</v>
      </c>
      <c r="I624" t="s">
        <v>1009</v>
      </c>
      <c r="J624" t="s">
        <v>333</v>
      </c>
      <c r="K624" t="s">
        <v>74</v>
      </c>
      <c r="L624" t="s">
        <v>74</v>
      </c>
      <c r="M624" t="s">
        <v>74</v>
      </c>
      <c r="N624" t="s">
        <v>74</v>
      </c>
      <c r="O624" t="s">
        <v>74</v>
      </c>
      <c r="P624" t="s">
        <v>74</v>
      </c>
      <c r="Q624" t="s">
        <v>74</v>
      </c>
      <c r="R624" t="s">
        <v>74</v>
      </c>
      <c r="S624" t="s">
        <v>74</v>
      </c>
      <c r="T624" t="s">
        <v>74</v>
      </c>
      <c r="U624" t="s">
        <v>74</v>
      </c>
      <c r="V624" s="3" t="s">
        <v>1010</v>
      </c>
      <c r="W624" t="s">
        <v>74</v>
      </c>
      <c r="X624" t="s">
        <v>74</v>
      </c>
      <c r="Y624" t="s">
        <v>74</v>
      </c>
      <c r="Z624" t="s">
        <v>74</v>
      </c>
      <c r="AA624" t="s">
        <v>1011</v>
      </c>
      <c r="AB624" t="s">
        <v>1012</v>
      </c>
      <c r="AC624" t="s">
        <v>74</v>
      </c>
      <c r="AD624" t="s">
        <v>74</v>
      </c>
      <c r="AE624" t="s">
        <v>74</v>
      </c>
      <c r="AF624" t="s">
        <v>74</v>
      </c>
      <c r="AG624" t="s">
        <v>74</v>
      </c>
      <c r="AH624" t="s">
        <v>74</v>
      </c>
      <c r="AI624" t="s">
        <v>74</v>
      </c>
      <c r="AJ624" t="s">
        <v>74</v>
      </c>
      <c r="AK624" t="s">
        <v>74</v>
      </c>
      <c r="AL624" t="s">
        <v>74</v>
      </c>
      <c r="AM624" t="s">
        <v>74</v>
      </c>
      <c r="AN624" t="s">
        <v>74</v>
      </c>
      <c r="AO624" t="s">
        <v>337</v>
      </c>
      <c r="AP624" t="s">
        <v>338</v>
      </c>
      <c r="AQ624" t="s">
        <v>74</v>
      </c>
      <c r="AR624" t="s">
        <v>74</v>
      </c>
      <c r="AS624" t="s">
        <v>74</v>
      </c>
      <c r="AT624" t="s">
        <v>1013</v>
      </c>
      <c r="AU624">
        <v>2018</v>
      </c>
      <c r="AV624">
        <v>29</v>
      </c>
      <c r="AW624">
        <v>5</v>
      </c>
      <c r="AX624" t="s">
        <v>74</v>
      </c>
      <c r="AY624" t="s">
        <v>74</v>
      </c>
      <c r="AZ624" t="s">
        <v>74</v>
      </c>
      <c r="BA624" t="s">
        <v>74</v>
      </c>
      <c r="BB624">
        <v>1075</v>
      </c>
      <c r="BC624">
        <v>1087</v>
      </c>
      <c r="BD624" t="s">
        <v>74</v>
      </c>
      <c r="BE624" t="s">
        <v>1014</v>
      </c>
      <c r="BF624" t="str">
        <f>HYPERLINK("http://dx.doi.org/10.1093/beheco/ary076","http://dx.doi.org/10.1093/beheco/ary076")</f>
        <v>http://dx.doi.org/10.1093/beheco/ary076</v>
      </c>
      <c r="BG624" t="s">
        <v>74</v>
      </c>
      <c r="BH624" t="s">
        <v>74</v>
      </c>
      <c r="BI624" t="s">
        <v>74</v>
      </c>
      <c r="BJ624" t="s">
        <v>74</v>
      </c>
      <c r="BK624" t="s">
        <v>74</v>
      </c>
      <c r="BL624" t="s">
        <v>74</v>
      </c>
      <c r="BM624" t="s">
        <v>74</v>
      </c>
      <c r="BN624" t="s">
        <v>74</v>
      </c>
      <c r="BO624" t="s">
        <v>74</v>
      </c>
      <c r="BP624" t="s">
        <v>74</v>
      </c>
      <c r="BQ624" t="s">
        <v>74</v>
      </c>
      <c r="BR624" t="s">
        <v>74</v>
      </c>
      <c r="BS624" t="s">
        <v>1015</v>
      </c>
      <c r="BT624" t="str">
        <f>HYPERLINK("https%3A%2F%2Fwww.webofscience.com%2Fwos%2Fwoscc%2Ffull-record%2FWOS:000444301900027","View Full Record in Web of Science")</f>
        <v>View Full Record in Web of Science</v>
      </c>
    </row>
    <row r="625" spans="1:72" x14ac:dyDescent="0.4">
      <c r="A625" t="s">
        <v>72</v>
      </c>
      <c r="B625" t="s">
        <v>1007</v>
      </c>
      <c r="C625" t="s">
        <v>74</v>
      </c>
      <c r="D625" t="s">
        <v>74</v>
      </c>
      <c r="E625" t="s">
        <v>74</v>
      </c>
      <c r="F625" t="s">
        <v>1008</v>
      </c>
      <c r="G625" t="s">
        <v>74</v>
      </c>
      <c r="H625" t="s">
        <v>74</v>
      </c>
      <c r="I625" t="s">
        <v>2285</v>
      </c>
      <c r="J625" t="s">
        <v>108</v>
      </c>
      <c r="K625" t="s">
        <v>74</v>
      </c>
      <c r="L625" t="s">
        <v>74</v>
      </c>
      <c r="M625" t="s">
        <v>74</v>
      </c>
      <c r="N625" t="s">
        <v>74</v>
      </c>
      <c r="O625" t="s">
        <v>74</v>
      </c>
      <c r="P625" t="s">
        <v>74</v>
      </c>
      <c r="Q625" t="s">
        <v>74</v>
      </c>
      <c r="R625" t="s">
        <v>74</v>
      </c>
      <c r="S625" t="s">
        <v>74</v>
      </c>
      <c r="T625" t="s">
        <v>74</v>
      </c>
      <c r="U625" t="s">
        <v>74</v>
      </c>
      <c r="V625" s="3" t="s">
        <v>2286</v>
      </c>
      <c r="W625" t="s">
        <v>74</v>
      </c>
      <c r="X625" t="s">
        <v>74</v>
      </c>
      <c r="Y625" t="s">
        <v>74</v>
      </c>
      <c r="Z625" t="s">
        <v>74</v>
      </c>
      <c r="AA625" t="s">
        <v>1011</v>
      </c>
      <c r="AB625" t="s">
        <v>1012</v>
      </c>
      <c r="AC625" t="s">
        <v>74</v>
      </c>
      <c r="AD625" t="s">
        <v>74</v>
      </c>
      <c r="AE625" t="s">
        <v>74</v>
      </c>
      <c r="AF625" t="s">
        <v>74</v>
      </c>
      <c r="AG625" t="s">
        <v>74</v>
      </c>
      <c r="AH625" t="s">
        <v>74</v>
      </c>
      <c r="AI625" t="s">
        <v>74</v>
      </c>
      <c r="AJ625" t="s">
        <v>74</v>
      </c>
      <c r="AK625" t="s">
        <v>74</v>
      </c>
      <c r="AL625" t="s">
        <v>74</v>
      </c>
      <c r="AM625" t="s">
        <v>74</v>
      </c>
      <c r="AN625" t="s">
        <v>74</v>
      </c>
      <c r="AO625" t="s">
        <v>111</v>
      </c>
      <c r="AP625" t="s">
        <v>112</v>
      </c>
      <c r="AQ625" t="s">
        <v>74</v>
      </c>
      <c r="AR625" t="s">
        <v>74</v>
      </c>
      <c r="AS625" t="s">
        <v>74</v>
      </c>
      <c r="AT625" t="s">
        <v>2287</v>
      </c>
      <c r="AU625">
        <v>2016</v>
      </c>
      <c r="AV625">
        <v>283</v>
      </c>
      <c r="AW625">
        <v>1841</v>
      </c>
      <c r="AX625" t="s">
        <v>74</v>
      </c>
      <c r="AY625" t="s">
        <v>74</v>
      </c>
      <c r="AZ625" t="s">
        <v>74</v>
      </c>
      <c r="BA625" t="s">
        <v>74</v>
      </c>
      <c r="BB625" t="s">
        <v>74</v>
      </c>
      <c r="BC625" t="s">
        <v>74</v>
      </c>
      <c r="BD625">
        <v>20161873</v>
      </c>
      <c r="BE625" t="s">
        <v>2288</v>
      </c>
      <c r="BF625" t="str">
        <f>HYPERLINK("http://dx.doi.org/10.1098/rspb.2016.1873","http://dx.doi.org/10.1098/rspb.2016.1873")</f>
        <v>http://dx.doi.org/10.1098/rspb.2016.1873</v>
      </c>
      <c r="BG625" t="s">
        <v>74</v>
      </c>
      <c r="BH625" t="s">
        <v>74</v>
      </c>
      <c r="BI625" t="s">
        <v>74</v>
      </c>
      <c r="BJ625" t="s">
        <v>74</v>
      </c>
      <c r="BK625" t="s">
        <v>74</v>
      </c>
      <c r="BL625" t="s">
        <v>74</v>
      </c>
      <c r="BM625" t="s">
        <v>74</v>
      </c>
      <c r="BN625">
        <v>27798310</v>
      </c>
      <c r="BO625" t="s">
        <v>74</v>
      </c>
      <c r="BP625" t="s">
        <v>74</v>
      </c>
      <c r="BQ625" t="s">
        <v>74</v>
      </c>
      <c r="BR625" t="s">
        <v>74</v>
      </c>
      <c r="BS625" t="s">
        <v>2289</v>
      </c>
      <c r="BT625" t="str">
        <f>HYPERLINK("https%3A%2F%2Fwww.webofscience.com%2Fwos%2Fwoscc%2Ffull-record%2FWOS:000386492600019","View Full Record in Web of Science")</f>
        <v>View Full Record in Web of Science</v>
      </c>
    </row>
    <row r="626" spans="1:72" x14ac:dyDescent="0.4">
      <c r="A626" t="s">
        <v>72</v>
      </c>
      <c r="B626" t="s">
        <v>2222</v>
      </c>
      <c r="C626" t="s">
        <v>74</v>
      </c>
      <c r="D626" t="s">
        <v>74</v>
      </c>
      <c r="E626" t="s">
        <v>74</v>
      </c>
      <c r="F626" t="s">
        <v>2223</v>
      </c>
      <c r="G626" t="s">
        <v>74</v>
      </c>
      <c r="H626" t="s">
        <v>74</v>
      </c>
      <c r="I626" t="s">
        <v>2224</v>
      </c>
      <c r="J626" t="s">
        <v>1803</v>
      </c>
      <c r="K626" t="s">
        <v>74</v>
      </c>
      <c r="L626" t="s">
        <v>74</v>
      </c>
      <c r="M626" t="s">
        <v>74</v>
      </c>
      <c r="N626" t="s">
        <v>74</v>
      </c>
      <c r="O626" t="s">
        <v>74</v>
      </c>
      <c r="P626" t="s">
        <v>74</v>
      </c>
      <c r="Q626" t="s">
        <v>74</v>
      </c>
      <c r="R626" t="s">
        <v>74</v>
      </c>
      <c r="S626" t="s">
        <v>74</v>
      </c>
      <c r="T626" t="s">
        <v>74</v>
      </c>
      <c r="U626" t="s">
        <v>74</v>
      </c>
      <c r="V626" s="3" t="s">
        <v>2225</v>
      </c>
      <c r="W626" t="s">
        <v>74</v>
      </c>
      <c r="X626" t="s">
        <v>74</v>
      </c>
      <c r="Y626" t="s">
        <v>74</v>
      </c>
      <c r="Z626" t="s">
        <v>74</v>
      </c>
      <c r="AA626" t="s">
        <v>2226</v>
      </c>
      <c r="AB626" t="s">
        <v>2227</v>
      </c>
      <c r="AC626" t="s">
        <v>74</v>
      </c>
      <c r="AD626" t="s">
        <v>74</v>
      </c>
      <c r="AE626" t="s">
        <v>74</v>
      </c>
      <c r="AF626" t="s">
        <v>74</v>
      </c>
      <c r="AG626" t="s">
        <v>74</v>
      </c>
      <c r="AH626" t="s">
        <v>74</v>
      </c>
      <c r="AI626" t="s">
        <v>74</v>
      </c>
      <c r="AJ626" t="s">
        <v>74</v>
      </c>
      <c r="AK626" t="s">
        <v>74</v>
      </c>
      <c r="AL626" t="s">
        <v>74</v>
      </c>
      <c r="AM626" t="s">
        <v>74</v>
      </c>
      <c r="AN626" t="s">
        <v>74</v>
      </c>
      <c r="AO626" t="s">
        <v>1807</v>
      </c>
      <c r="AP626" t="s">
        <v>1808</v>
      </c>
      <c r="AQ626" t="s">
        <v>74</v>
      </c>
      <c r="AR626" t="s">
        <v>74</v>
      </c>
      <c r="AS626" t="s">
        <v>74</v>
      </c>
      <c r="AT626" t="s">
        <v>175</v>
      </c>
      <c r="AU626">
        <v>2014</v>
      </c>
      <c r="AV626">
        <v>28</v>
      </c>
      <c r="AW626">
        <v>5</v>
      </c>
      <c r="AX626" t="s">
        <v>74</v>
      </c>
      <c r="AY626" t="s">
        <v>74</v>
      </c>
      <c r="AZ626" t="s">
        <v>74</v>
      </c>
      <c r="BA626" t="s">
        <v>74</v>
      </c>
      <c r="BB626">
        <v>1197</v>
      </c>
      <c r="BC626">
        <v>1207</v>
      </c>
      <c r="BD626" t="s">
        <v>74</v>
      </c>
      <c r="BE626" t="s">
        <v>2228</v>
      </c>
      <c r="BF626" t="str">
        <f>HYPERLINK("http://dx.doi.org/10.1111/1365-2435.12244","http://dx.doi.org/10.1111/1365-2435.12244")</f>
        <v>http://dx.doi.org/10.1111/1365-2435.12244</v>
      </c>
      <c r="BG626" t="s">
        <v>74</v>
      </c>
      <c r="BH626" t="s">
        <v>74</v>
      </c>
      <c r="BI626" t="s">
        <v>74</v>
      </c>
      <c r="BJ626" t="s">
        <v>74</v>
      </c>
      <c r="BK626" t="s">
        <v>74</v>
      </c>
      <c r="BL626" t="s">
        <v>74</v>
      </c>
      <c r="BM626" t="s">
        <v>74</v>
      </c>
      <c r="BN626" t="s">
        <v>74</v>
      </c>
      <c r="BO626" t="s">
        <v>74</v>
      </c>
      <c r="BP626" t="s">
        <v>74</v>
      </c>
      <c r="BQ626" t="s">
        <v>74</v>
      </c>
      <c r="BR626" t="s">
        <v>74</v>
      </c>
      <c r="BS626" t="s">
        <v>2229</v>
      </c>
      <c r="BT626" t="str">
        <f>HYPERLINK("https%3A%2F%2Fwww.webofscience.com%2Fwos%2Fwoscc%2Ffull-record%2FWOS:000342615100015","View Full Record in Web of Science")</f>
        <v>View Full Record in Web of Science</v>
      </c>
    </row>
    <row r="627" spans="1:72" x14ac:dyDescent="0.4">
      <c r="A627" t="s">
        <v>72</v>
      </c>
      <c r="B627" t="s">
        <v>4212</v>
      </c>
      <c r="C627" t="s">
        <v>74</v>
      </c>
      <c r="D627" t="s">
        <v>74</v>
      </c>
      <c r="E627" t="s">
        <v>74</v>
      </c>
      <c r="F627" t="s">
        <v>4213</v>
      </c>
      <c r="G627" t="s">
        <v>74</v>
      </c>
      <c r="H627" t="s">
        <v>74</v>
      </c>
      <c r="I627" t="s">
        <v>4214</v>
      </c>
      <c r="J627" t="s">
        <v>140</v>
      </c>
      <c r="K627" t="s">
        <v>74</v>
      </c>
      <c r="L627" t="s">
        <v>74</v>
      </c>
      <c r="M627" t="s">
        <v>74</v>
      </c>
      <c r="N627" t="s">
        <v>74</v>
      </c>
      <c r="O627" t="s">
        <v>74</v>
      </c>
      <c r="P627" t="s">
        <v>74</v>
      </c>
      <c r="Q627" t="s">
        <v>74</v>
      </c>
      <c r="R627" t="s">
        <v>74</v>
      </c>
      <c r="S627" t="s">
        <v>74</v>
      </c>
      <c r="T627" t="s">
        <v>74</v>
      </c>
      <c r="U627" t="s">
        <v>74</v>
      </c>
      <c r="V627" s="3" t="s">
        <v>4215</v>
      </c>
      <c r="W627" t="s">
        <v>74</v>
      </c>
      <c r="X627" t="s">
        <v>74</v>
      </c>
      <c r="Y627" t="s">
        <v>74</v>
      </c>
      <c r="Z627" t="s">
        <v>74</v>
      </c>
      <c r="AA627" t="s">
        <v>4216</v>
      </c>
      <c r="AB627" t="s">
        <v>4217</v>
      </c>
      <c r="AC627" t="s">
        <v>74</v>
      </c>
      <c r="AD627" t="s">
        <v>74</v>
      </c>
      <c r="AE627" t="s">
        <v>74</v>
      </c>
      <c r="AF627" t="s">
        <v>74</v>
      </c>
      <c r="AG627" t="s">
        <v>74</v>
      </c>
      <c r="AH627" t="s">
        <v>74</v>
      </c>
      <c r="AI627" t="s">
        <v>74</v>
      </c>
      <c r="AJ627" t="s">
        <v>74</v>
      </c>
      <c r="AK627" t="s">
        <v>74</v>
      </c>
      <c r="AL627" t="s">
        <v>74</v>
      </c>
      <c r="AM627" t="s">
        <v>74</v>
      </c>
      <c r="AN627" t="s">
        <v>74</v>
      </c>
      <c r="AO627" t="s">
        <v>143</v>
      </c>
      <c r="AP627" t="s">
        <v>144</v>
      </c>
      <c r="AQ627" t="s">
        <v>74</v>
      </c>
      <c r="AR627" t="s">
        <v>74</v>
      </c>
      <c r="AS627" t="s">
        <v>74</v>
      </c>
      <c r="AT627" t="s">
        <v>102</v>
      </c>
      <c r="AU627">
        <v>2009</v>
      </c>
      <c r="AV627">
        <v>77</v>
      </c>
      <c r="AW627">
        <v>6</v>
      </c>
      <c r="AX627" t="s">
        <v>74</v>
      </c>
      <c r="AY627" t="s">
        <v>74</v>
      </c>
      <c r="AZ627" t="s">
        <v>74</v>
      </c>
      <c r="BA627" t="s">
        <v>74</v>
      </c>
      <c r="BB627">
        <v>1525</v>
      </c>
      <c r="BC627">
        <v>1532</v>
      </c>
      <c r="BD627" t="s">
        <v>74</v>
      </c>
      <c r="BE627" t="s">
        <v>4218</v>
      </c>
      <c r="BF627" t="str">
        <f>HYPERLINK("http://dx.doi.org/10.1016/j.anbehav.2009.02.027","http://dx.doi.org/10.1016/j.anbehav.2009.02.027")</f>
        <v>http://dx.doi.org/10.1016/j.anbehav.2009.02.027</v>
      </c>
      <c r="BG627" t="s">
        <v>74</v>
      </c>
      <c r="BH627" t="s">
        <v>74</v>
      </c>
      <c r="BI627" t="s">
        <v>74</v>
      </c>
      <c r="BJ627" t="s">
        <v>74</v>
      </c>
      <c r="BK627" t="s">
        <v>74</v>
      </c>
      <c r="BL627" t="s">
        <v>74</v>
      </c>
      <c r="BM627" t="s">
        <v>74</v>
      </c>
      <c r="BN627" t="s">
        <v>74</v>
      </c>
      <c r="BO627" t="s">
        <v>74</v>
      </c>
      <c r="BP627" t="s">
        <v>74</v>
      </c>
      <c r="BQ627" t="s">
        <v>74</v>
      </c>
      <c r="BR627" t="s">
        <v>74</v>
      </c>
      <c r="BS627" t="s">
        <v>4219</v>
      </c>
      <c r="BT627" t="str">
        <f>HYPERLINK("https%3A%2F%2Fwww.webofscience.com%2Fwos%2Fwoscc%2Ffull-record%2FWOS:000266884200022","View Full Record in Web of Science")</f>
        <v>View Full Record in Web of Science</v>
      </c>
    </row>
    <row r="628" spans="1:72" x14ac:dyDescent="0.4">
      <c r="A628" t="s">
        <v>72</v>
      </c>
      <c r="B628" t="s">
        <v>6000</v>
      </c>
      <c r="C628" t="s">
        <v>74</v>
      </c>
      <c r="D628" t="s">
        <v>74</v>
      </c>
      <c r="E628" t="s">
        <v>74</v>
      </c>
      <c r="F628" t="s">
        <v>6001</v>
      </c>
      <c r="G628" t="s">
        <v>74</v>
      </c>
      <c r="H628" t="s">
        <v>74</v>
      </c>
      <c r="I628" t="s">
        <v>6002</v>
      </c>
      <c r="J628" t="s">
        <v>1384</v>
      </c>
      <c r="K628" t="s">
        <v>74</v>
      </c>
      <c r="L628" t="s">
        <v>74</v>
      </c>
      <c r="M628" t="s">
        <v>74</v>
      </c>
      <c r="N628" t="s">
        <v>74</v>
      </c>
      <c r="O628" t="s">
        <v>74</v>
      </c>
      <c r="P628" t="s">
        <v>74</v>
      </c>
      <c r="Q628" t="s">
        <v>74</v>
      </c>
      <c r="R628" t="s">
        <v>74</v>
      </c>
      <c r="S628" t="s">
        <v>74</v>
      </c>
      <c r="T628" t="s">
        <v>74</v>
      </c>
      <c r="U628" t="s">
        <v>74</v>
      </c>
      <c r="V628" s="3" t="s">
        <v>6003</v>
      </c>
      <c r="W628" t="s">
        <v>74</v>
      </c>
      <c r="X628" t="s">
        <v>74</v>
      </c>
      <c r="Y628" t="s">
        <v>74</v>
      </c>
      <c r="Z628" t="s">
        <v>74</v>
      </c>
      <c r="AA628" t="s">
        <v>74</v>
      </c>
      <c r="AB628" t="s">
        <v>6004</v>
      </c>
      <c r="AC628" t="s">
        <v>74</v>
      </c>
      <c r="AD628" t="s">
        <v>74</v>
      </c>
      <c r="AE628" t="s">
        <v>74</v>
      </c>
      <c r="AF628" t="s">
        <v>74</v>
      </c>
      <c r="AG628" t="s">
        <v>74</v>
      </c>
      <c r="AH628" t="s">
        <v>74</v>
      </c>
      <c r="AI628" t="s">
        <v>74</v>
      </c>
      <c r="AJ628" t="s">
        <v>74</v>
      </c>
      <c r="AK628" t="s">
        <v>74</v>
      </c>
      <c r="AL628" t="s">
        <v>74</v>
      </c>
      <c r="AM628" t="s">
        <v>74</v>
      </c>
      <c r="AN628" t="s">
        <v>74</v>
      </c>
      <c r="AO628" t="s">
        <v>1388</v>
      </c>
      <c r="AP628" t="s">
        <v>1389</v>
      </c>
      <c r="AQ628" t="s">
        <v>74</v>
      </c>
      <c r="AR628" t="s">
        <v>74</v>
      </c>
      <c r="AS628" t="s">
        <v>74</v>
      </c>
      <c r="AT628" t="s">
        <v>633</v>
      </c>
      <c r="AU628">
        <v>2023</v>
      </c>
      <c r="AV628">
        <v>165</v>
      </c>
      <c r="AW628">
        <v>2</v>
      </c>
      <c r="AX628" t="s">
        <v>74</v>
      </c>
      <c r="AY628" t="s">
        <v>74</v>
      </c>
      <c r="AZ628" t="s">
        <v>74</v>
      </c>
      <c r="BA628" t="s">
        <v>74</v>
      </c>
      <c r="BB628">
        <v>561</v>
      </c>
      <c r="BC628">
        <v>570</v>
      </c>
      <c r="BD628" t="s">
        <v>74</v>
      </c>
      <c r="BE628" t="s">
        <v>6005</v>
      </c>
      <c r="BF628" t="str">
        <f>HYPERLINK("http://dx.doi.org/10.1111/ibi.13141","http://dx.doi.org/10.1111/ibi.13141")</f>
        <v>http://dx.doi.org/10.1111/ibi.13141</v>
      </c>
      <c r="BG628" t="s">
        <v>74</v>
      </c>
      <c r="BH628" t="s">
        <v>6006</v>
      </c>
      <c r="BI628" t="s">
        <v>74</v>
      </c>
      <c r="BJ628" t="s">
        <v>74</v>
      </c>
      <c r="BK628" t="s">
        <v>74</v>
      </c>
      <c r="BL628" t="s">
        <v>74</v>
      </c>
      <c r="BM628" t="s">
        <v>74</v>
      </c>
      <c r="BN628" t="s">
        <v>74</v>
      </c>
      <c r="BO628" t="s">
        <v>74</v>
      </c>
      <c r="BP628" t="s">
        <v>74</v>
      </c>
      <c r="BQ628" t="s">
        <v>74</v>
      </c>
      <c r="BR628" t="s">
        <v>74</v>
      </c>
      <c r="BS628" t="s">
        <v>6007</v>
      </c>
      <c r="BT628" t="str">
        <f>HYPERLINK("https%3A%2F%2Fwww.webofscience.com%2Fwos%2Fwoscc%2Ffull-record%2FWOS:000864028600001","View Full Record in Web of Science")</f>
        <v>View Full Record in Web of Science</v>
      </c>
    </row>
    <row r="629" spans="1:72" x14ac:dyDescent="0.4">
      <c r="A629" t="s">
        <v>72</v>
      </c>
      <c r="B629" t="s">
        <v>8406</v>
      </c>
      <c r="C629" t="s">
        <v>74</v>
      </c>
      <c r="D629" t="s">
        <v>74</v>
      </c>
      <c r="E629" t="s">
        <v>74</v>
      </c>
      <c r="F629" t="s">
        <v>8407</v>
      </c>
      <c r="G629" t="s">
        <v>74</v>
      </c>
      <c r="H629" t="s">
        <v>74</v>
      </c>
      <c r="I629" t="s">
        <v>8408</v>
      </c>
      <c r="J629" t="s">
        <v>5937</v>
      </c>
      <c r="K629" t="s">
        <v>74</v>
      </c>
      <c r="L629" t="s">
        <v>74</v>
      </c>
      <c r="M629" t="s">
        <v>74</v>
      </c>
      <c r="N629" t="s">
        <v>74</v>
      </c>
      <c r="O629" t="s">
        <v>74</v>
      </c>
      <c r="P629" t="s">
        <v>74</v>
      </c>
      <c r="Q629" t="s">
        <v>74</v>
      </c>
      <c r="R629" t="s">
        <v>74</v>
      </c>
      <c r="S629" t="s">
        <v>74</v>
      </c>
      <c r="T629" t="s">
        <v>74</v>
      </c>
      <c r="U629" t="s">
        <v>74</v>
      </c>
      <c r="V629" s="3" t="s">
        <v>8409</v>
      </c>
      <c r="W629" t="s">
        <v>74</v>
      </c>
      <c r="X629" t="s">
        <v>74</v>
      </c>
      <c r="Y629" t="s">
        <v>74</v>
      </c>
      <c r="Z629" t="s">
        <v>74</v>
      </c>
      <c r="AA629" t="s">
        <v>612</v>
      </c>
      <c r="AB629" t="s">
        <v>613</v>
      </c>
      <c r="AC629" t="s">
        <v>74</v>
      </c>
      <c r="AD629" t="s">
        <v>74</v>
      </c>
      <c r="AE629" t="s">
        <v>74</v>
      </c>
      <c r="AF629" t="s">
        <v>74</v>
      </c>
      <c r="AG629" t="s">
        <v>74</v>
      </c>
      <c r="AH629" t="s">
        <v>74</v>
      </c>
      <c r="AI629" t="s">
        <v>74</v>
      </c>
      <c r="AJ629" t="s">
        <v>74</v>
      </c>
      <c r="AK629" t="s">
        <v>74</v>
      </c>
      <c r="AL629" t="s">
        <v>74</v>
      </c>
      <c r="AM629" t="s">
        <v>74</v>
      </c>
      <c r="AN629" t="s">
        <v>74</v>
      </c>
      <c r="AO629" t="s">
        <v>5941</v>
      </c>
      <c r="AP629" t="s">
        <v>74</v>
      </c>
      <c r="AQ629" t="s">
        <v>74</v>
      </c>
      <c r="AR629" t="s">
        <v>74</v>
      </c>
      <c r="AS629" t="s">
        <v>74</v>
      </c>
      <c r="AT629" t="s">
        <v>145</v>
      </c>
      <c r="AU629">
        <v>2023</v>
      </c>
      <c r="AV629">
        <v>13</v>
      </c>
      <c r="AW629">
        <v>16</v>
      </c>
      <c r="AX629" t="s">
        <v>74</v>
      </c>
      <c r="AY629" t="s">
        <v>74</v>
      </c>
      <c r="AZ629" t="s">
        <v>74</v>
      </c>
      <c r="BA629" t="s">
        <v>74</v>
      </c>
      <c r="BB629" t="s">
        <v>74</v>
      </c>
      <c r="BC629" t="s">
        <v>74</v>
      </c>
      <c r="BD629">
        <v>2623</v>
      </c>
      <c r="BE629" t="s">
        <v>8410</v>
      </c>
      <c r="BF629" t="str">
        <f>HYPERLINK("http://dx.doi.org/10.3390/ani13162623","http://dx.doi.org/10.3390/ani13162623")</f>
        <v>http://dx.doi.org/10.3390/ani13162623</v>
      </c>
      <c r="BG629" t="s">
        <v>74</v>
      </c>
      <c r="BH629" t="s">
        <v>74</v>
      </c>
      <c r="BI629" t="s">
        <v>74</v>
      </c>
      <c r="BJ629" t="s">
        <v>74</v>
      </c>
      <c r="BK629" t="s">
        <v>74</v>
      </c>
      <c r="BL629" t="s">
        <v>74</v>
      </c>
      <c r="BM629" t="s">
        <v>74</v>
      </c>
      <c r="BN629">
        <v>37627414</v>
      </c>
      <c r="BO629" t="s">
        <v>74</v>
      </c>
      <c r="BP629" t="s">
        <v>74</v>
      </c>
      <c r="BQ629" t="s">
        <v>74</v>
      </c>
      <c r="BR629" t="s">
        <v>74</v>
      </c>
      <c r="BS629" t="s">
        <v>8411</v>
      </c>
      <c r="BT629" t="str">
        <f>HYPERLINK("https%3A%2F%2Fwww.webofscience.com%2Fwos%2Fwoscc%2Ffull-record%2FWOS:001055601600001","View Full Record in Web of Science")</f>
        <v>View Full Record in Web of Science</v>
      </c>
    </row>
    <row r="630" spans="1:72" x14ac:dyDescent="0.4">
      <c r="A630" t="s">
        <v>72</v>
      </c>
      <c r="B630" t="s">
        <v>7345</v>
      </c>
      <c r="C630" t="s">
        <v>74</v>
      </c>
      <c r="D630" t="s">
        <v>74</v>
      </c>
      <c r="E630" t="s">
        <v>74</v>
      </c>
      <c r="F630" t="s">
        <v>7346</v>
      </c>
      <c r="G630" t="s">
        <v>74</v>
      </c>
      <c r="H630" t="s">
        <v>74</v>
      </c>
      <c r="I630" t="s">
        <v>7347</v>
      </c>
      <c r="J630" t="s">
        <v>1112</v>
      </c>
      <c r="K630" t="s">
        <v>74</v>
      </c>
      <c r="L630" t="s">
        <v>74</v>
      </c>
      <c r="M630" t="s">
        <v>74</v>
      </c>
      <c r="N630" t="s">
        <v>74</v>
      </c>
      <c r="O630" t="s">
        <v>74</v>
      </c>
      <c r="P630" t="s">
        <v>74</v>
      </c>
      <c r="Q630" t="s">
        <v>74</v>
      </c>
      <c r="R630" t="s">
        <v>74</v>
      </c>
      <c r="S630" t="s">
        <v>74</v>
      </c>
      <c r="T630" t="s">
        <v>74</v>
      </c>
      <c r="U630" t="s">
        <v>74</v>
      </c>
      <c r="V630" s="3" t="s">
        <v>7348</v>
      </c>
      <c r="W630" t="s">
        <v>74</v>
      </c>
      <c r="X630" t="s">
        <v>74</v>
      </c>
      <c r="Y630" t="s">
        <v>74</v>
      </c>
      <c r="Z630" t="s">
        <v>74</v>
      </c>
      <c r="AA630" t="s">
        <v>7349</v>
      </c>
      <c r="AB630" t="s">
        <v>7350</v>
      </c>
      <c r="AC630" t="s">
        <v>74</v>
      </c>
      <c r="AD630" t="s">
        <v>74</v>
      </c>
      <c r="AE630" t="s">
        <v>74</v>
      </c>
      <c r="AF630" t="s">
        <v>74</v>
      </c>
      <c r="AG630" t="s">
        <v>74</v>
      </c>
      <c r="AH630" t="s">
        <v>74</v>
      </c>
      <c r="AI630" t="s">
        <v>74</v>
      </c>
      <c r="AJ630" t="s">
        <v>74</v>
      </c>
      <c r="AK630" t="s">
        <v>74</v>
      </c>
      <c r="AL630" t="s">
        <v>74</v>
      </c>
      <c r="AM630" t="s">
        <v>74</v>
      </c>
      <c r="AN630" t="s">
        <v>74</v>
      </c>
      <c r="AO630" t="s">
        <v>1114</v>
      </c>
      <c r="AP630" t="s">
        <v>1115</v>
      </c>
      <c r="AQ630" t="s">
        <v>74</v>
      </c>
      <c r="AR630" t="s">
        <v>74</v>
      </c>
      <c r="AS630" t="s">
        <v>74</v>
      </c>
      <c r="AT630" t="s">
        <v>204</v>
      </c>
      <c r="AU630">
        <v>2014</v>
      </c>
      <c r="AV630">
        <v>156</v>
      </c>
      <c r="AW630" t="s">
        <v>74</v>
      </c>
      <c r="AX630" t="s">
        <v>74</v>
      </c>
      <c r="AY630" t="s">
        <v>74</v>
      </c>
      <c r="AZ630" t="s">
        <v>74</v>
      </c>
      <c r="BA630" t="s">
        <v>74</v>
      </c>
      <c r="BB630">
        <v>44</v>
      </c>
      <c r="BC630">
        <v>53</v>
      </c>
      <c r="BD630" t="s">
        <v>74</v>
      </c>
      <c r="BE630" t="s">
        <v>7351</v>
      </c>
      <c r="BF630" t="str">
        <f>HYPERLINK("http://dx.doi.org/10.1016/j.applanim.2014.04.006","http://dx.doi.org/10.1016/j.applanim.2014.04.006")</f>
        <v>http://dx.doi.org/10.1016/j.applanim.2014.04.006</v>
      </c>
      <c r="BG630" t="s">
        <v>74</v>
      </c>
      <c r="BH630" t="s">
        <v>74</v>
      </c>
      <c r="BI630" t="s">
        <v>74</v>
      </c>
      <c r="BJ630" t="s">
        <v>74</v>
      </c>
      <c r="BK630" t="s">
        <v>74</v>
      </c>
      <c r="BL630" t="s">
        <v>74</v>
      </c>
      <c r="BM630" t="s">
        <v>74</v>
      </c>
      <c r="BN630" t="s">
        <v>74</v>
      </c>
      <c r="BO630" t="s">
        <v>74</v>
      </c>
      <c r="BP630" t="s">
        <v>74</v>
      </c>
      <c r="BQ630" t="s">
        <v>74</v>
      </c>
      <c r="BR630" t="s">
        <v>74</v>
      </c>
      <c r="BS630" t="s">
        <v>7352</v>
      </c>
      <c r="BT630" t="str">
        <f>HYPERLINK("https%3A%2F%2Fwww.webofscience.com%2Fwos%2Fwoscc%2Ffull-record%2FWOS:000337998000006","View Full Record in Web of Science")</f>
        <v>View Full Record in Web of Science</v>
      </c>
    </row>
    <row r="631" spans="1:72" x14ac:dyDescent="0.4">
      <c r="A631" t="s">
        <v>72</v>
      </c>
      <c r="B631" t="s">
        <v>5790</v>
      </c>
      <c r="C631" t="s">
        <v>74</v>
      </c>
      <c r="D631" t="s">
        <v>74</v>
      </c>
      <c r="E631" t="s">
        <v>74</v>
      </c>
      <c r="F631" t="s">
        <v>5791</v>
      </c>
      <c r="G631" t="s">
        <v>74</v>
      </c>
      <c r="H631" t="s">
        <v>74</v>
      </c>
      <c r="I631" t="s">
        <v>5792</v>
      </c>
      <c r="J631" t="s">
        <v>281</v>
      </c>
      <c r="K631" t="s">
        <v>74</v>
      </c>
      <c r="L631" t="s">
        <v>74</v>
      </c>
      <c r="M631" t="s">
        <v>74</v>
      </c>
      <c r="N631" t="s">
        <v>74</v>
      </c>
      <c r="O631" t="s">
        <v>74</v>
      </c>
      <c r="P631" t="s">
        <v>74</v>
      </c>
      <c r="Q631" t="s">
        <v>74</v>
      </c>
      <c r="R631" t="s">
        <v>74</v>
      </c>
      <c r="S631" t="s">
        <v>74</v>
      </c>
      <c r="T631" t="s">
        <v>74</v>
      </c>
      <c r="U631" t="s">
        <v>74</v>
      </c>
      <c r="V631" s="3" t="s">
        <v>5793</v>
      </c>
      <c r="W631" t="s">
        <v>74</v>
      </c>
      <c r="X631" t="s">
        <v>74</v>
      </c>
      <c r="Y631" t="s">
        <v>74</v>
      </c>
      <c r="Z631" t="s">
        <v>74</v>
      </c>
      <c r="AA631" t="s">
        <v>5794</v>
      </c>
      <c r="AB631" t="s">
        <v>5795</v>
      </c>
      <c r="AC631" t="s">
        <v>74</v>
      </c>
      <c r="AD631" t="s">
        <v>74</v>
      </c>
      <c r="AE631" t="s">
        <v>74</v>
      </c>
      <c r="AF631" t="s">
        <v>74</v>
      </c>
      <c r="AG631" t="s">
        <v>74</v>
      </c>
      <c r="AH631" t="s">
        <v>74</v>
      </c>
      <c r="AI631" t="s">
        <v>74</v>
      </c>
      <c r="AJ631" t="s">
        <v>74</v>
      </c>
      <c r="AK631" t="s">
        <v>74</v>
      </c>
      <c r="AL631" t="s">
        <v>74</v>
      </c>
      <c r="AM631" t="s">
        <v>74</v>
      </c>
      <c r="AN631" t="s">
        <v>74</v>
      </c>
      <c r="AO631" t="s">
        <v>285</v>
      </c>
      <c r="AP631" t="s">
        <v>286</v>
      </c>
      <c r="AQ631" t="s">
        <v>74</v>
      </c>
      <c r="AR631" t="s">
        <v>74</v>
      </c>
      <c r="AS631" t="s">
        <v>74</v>
      </c>
      <c r="AT631" t="s">
        <v>255</v>
      </c>
      <c r="AU631">
        <v>2021</v>
      </c>
      <c r="AV631">
        <v>24</v>
      </c>
      <c r="AW631">
        <v>1</v>
      </c>
      <c r="AX631" t="s">
        <v>74</v>
      </c>
      <c r="AY631" t="s">
        <v>74</v>
      </c>
      <c r="AZ631" t="s">
        <v>74</v>
      </c>
      <c r="BA631" t="s">
        <v>74</v>
      </c>
      <c r="BB631">
        <v>205</v>
      </c>
      <c r="BC631">
        <v>212</v>
      </c>
      <c r="BD631" t="s">
        <v>74</v>
      </c>
      <c r="BE631" t="s">
        <v>5796</v>
      </c>
      <c r="BF631" t="str">
        <f>HYPERLINK("http://dx.doi.org/10.1007/s10071-020-01434-8","http://dx.doi.org/10.1007/s10071-020-01434-8")</f>
        <v>http://dx.doi.org/10.1007/s10071-020-01434-8</v>
      </c>
      <c r="BG631" t="s">
        <v>74</v>
      </c>
      <c r="BH631" t="s">
        <v>1067</v>
      </c>
      <c r="BI631" t="s">
        <v>74</v>
      </c>
      <c r="BJ631" t="s">
        <v>74</v>
      </c>
      <c r="BK631" t="s">
        <v>74</v>
      </c>
      <c r="BL631" t="s">
        <v>74</v>
      </c>
      <c r="BM631" t="s">
        <v>74</v>
      </c>
      <c r="BN631">
        <v>32980971</v>
      </c>
      <c r="BO631" t="s">
        <v>74</v>
      </c>
      <c r="BP631" t="s">
        <v>74</v>
      </c>
      <c r="BQ631" t="s">
        <v>74</v>
      </c>
      <c r="BR631" t="s">
        <v>74</v>
      </c>
      <c r="BS631" t="s">
        <v>5797</v>
      </c>
      <c r="BT631" t="str">
        <f>HYPERLINK("https%3A%2F%2Fwww.webofscience.com%2Fwos%2Fwoscc%2Ffull-record%2FWOS:000573200000001","View Full Record in Web of Science")</f>
        <v>View Full Record in Web of Science</v>
      </c>
    </row>
    <row r="632" spans="1:72" x14ac:dyDescent="0.4">
      <c r="A632" t="s">
        <v>72</v>
      </c>
      <c r="B632" t="s">
        <v>4391</v>
      </c>
      <c r="C632" t="s">
        <v>74</v>
      </c>
      <c r="D632" t="s">
        <v>74</v>
      </c>
      <c r="E632" t="s">
        <v>74</v>
      </c>
      <c r="F632" t="s">
        <v>4391</v>
      </c>
      <c r="G632" t="s">
        <v>74</v>
      </c>
      <c r="H632" t="s">
        <v>74</v>
      </c>
      <c r="I632" t="s">
        <v>4392</v>
      </c>
      <c r="J632" t="s">
        <v>1533</v>
      </c>
      <c r="K632" t="s">
        <v>74</v>
      </c>
      <c r="L632" t="s">
        <v>74</v>
      </c>
      <c r="M632" t="s">
        <v>74</v>
      </c>
      <c r="N632" t="s">
        <v>74</v>
      </c>
      <c r="O632" t="s">
        <v>74</v>
      </c>
      <c r="P632" t="s">
        <v>74</v>
      </c>
      <c r="Q632" t="s">
        <v>74</v>
      </c>
      <c r="R632" t="s">
        <v>74</v>
      </c>
      <c r="S632" t="s">
        <v>74</v>
      </c>
      <c r="T632" t="s">
        <v>74</v>
      </c>
      <c r="U632" t="s">
        <v>74</v>
      </c>
      <c r="V632" s="3" t="s">
        <v>4393</v>
      </c>
      <c r="W632" t="s">
        <v>74</v>
      </c>
      <c r="X632" t="s">
        <v>74</v>
      </c>
      <c r="Y632" t="s">
        <v>74</v>
      </c>
      <c r="Z632" t="s">
        <v>74</v>
      </c>
      <c r="AA632" t="s">
        <v>74</v>
      </c>
      <c r="AB632" t="s">
        <v>74</v>
      </c>
      <c r="AC632" t="s">
        <v>74</v>
      </c>
      <c r="AD632" t="s">
        <v>74</v>
      </c>
      <c r="AE632" t="s">
        <v>74</v>
      </c>
      <c r="AF632" t="s">
        <v>74</v>
      </c>
      <c r="AG632" t="s">
        <v>74</v>
      </c>
      <c r="AH632" t="s">
        <v>74</v>
      </c>
      <c r="AI632" t="s">
        <v>74</v>
      </c>
      <c r="AJ632" t="s">
        <v>74</v>
      </c>
      <c r="AK632" t="s">
        <v>74</v>
      </c>
      <c r="AL632" t="s">
        <v>74</v>
      </c>
      <c r="AM632" t="s">
        <v>74</v>
      </c>
      <c r="AN632" t="s">
        <v>74</v>
      </c>
      <c r="AO632" t="s">
        <v>1535</v>
      </c>
      <c r="AP632" t="s">
        <v>1536</v>
      </c>
      <c r="AQ632" t="s">
        <v>74</v>
      </c>
      <c r="AR632" t="s">
        <v>74</v>
      </c>
      <c r="AS632" t="s">
        <v>74</v>
      </c>
      <c r="AT632" t="s">
        <v>74</v>
      </c>
      <c r="AU632">
        <v>1976</v>
      </c>
      <c r="AV632">
        <v>26</v>
      </c>
      <c r="AW632">
        <v>3</v>
      </c>
      <c r="AX632" t="s">
        <v>74</v>
      </c>
      <c r="AY632" t="s">
        <v>74</v>
      </c>
      <c r="AZ632" t="s">
        <v>74</v>
      </c>
      <c r="BA632" t="s">
        <v>74</v>
      </c>
      <c r="BB632">
        <v>349</v>
      </c>
      <c r="BC632">
        <v>360</v>
      </c>
      <c r="BD632" t="s">
        <v>74</v>
      </c>
      <c r="BE632" t="s">
        <v>4394</v>
      </c>
      <c r="BF632" t="str">
        <f>HYPERLINK("http://dx.doi.org/10.1901/jeab.1976.26-349","http://dx.doi.org/10.1901/jeab.1976.26-349")</f>
        <v>http://dx.doi.org/10.1901/jeab.1976.26-349</v>
      </c>
      <c r="BG632" t="s">
        <v>74</v>
      </c>
      <c r="BH632" t="s">
        <v>74</v>
      </c>
      <c r="BI632" t="s">
        <v>74</v>
      </c>
      <c r="BJ632" t="s">
        <v>74</v>
      </c>
      <c r="BK632" t="s">
        <v>74</v>
      </c>
      <c r="BL632" t="s">
        <v>74</v>
      </c>
      <c r="BM632" t="s">
        <v>74</v>
      </c>
      <c r="BN632">
        <v>1033979</v>
      </c>
      <c r="BO632" t="s">
        <v>74</v>
      </c>
      <c r="BP632" t="s">
        <v>74</v>
      </c>
      <c r="BQ632" t="s">
        <v>74</v>
      </c>
      <c r="BR632" t="s">
        <v>74</v>
      </c>
      <c r="BS632" t="s">
        <v>4395</v>
      </c>
      <c r="BT632" t="str">
        <f>HYPERLINK("https%3A%2F%2Fwww.webofscience.com%2Fwos%2Fwoscc%2Ffull-record%2FWOS:A1976CN54900004","View Full Record in Web of Science")</f>
        <v>View Full Record in Web of Science</v>
      </c>
    </row>
    <row r="633" spans="1:72" x14ac:dyDescent="0.4">
      <c r="A633" t="s">
        <v>72</v>
      </c>
      <c r="B633" t="s">
        <v>7604</v>
      </c>
      <c r="C633" t="s">
        <v>74</v>
      </c>
      <c r="D633" t="s">
        <v>74</v>
      </c>
      <c r="E633" t="s">
        <v>74</v>
      </c>
      <c r="F633" t="s">
        <v>7604</v>
      </c>
      <c r="G633" t="s">
        <v>74</v>
      </c>
      <c r="H633" t="s">
        <v>74</v>
      </c>
      <c r="I633" t="s">
        <v>7605</v>
      </c>
      <c r="J633" t="s">
        <v>610</v>
      </c>
      <c r="K633" t="s">
        <v>74</v>
      </c>
      <c r="L633" t="s">
        <v>74</v>
      </c>
      <c r="M633" t="s">
        <v>74</v>
      </c>
      <c r="N633" t="s">
        <v>74</v>
      </c>
      <c r="O633" t="s">
        <v>74</v>
      </c>
      <c r="P633" t="s">
        <v>74</v>
      </c>
      <c r="Q633" t="s">
        <v>74</v>
      </c>
      <c r="R633" t="s">
        <v>74</v>
      </c>
      <c r="S633" t="s">
        <v>74</v>
      </c>
      <c r="T633" t="s">
        <v>74</v>
      </c>
      <c r="U633" t="s">
        <v>74</v>
      </c>
      <c r="V633" s="3" t="s">
        <v>7606</v>
      </c>
      <c r="W633" t="s">
        <v>74</v>
      </c>
      <c r="X633" t="s">
        <v>74</v>
      </c>
      <c r="Y633" t="s">
        <v>74</v>
      </c>
      <c r="Z633" t="s">
        <v>74</v>
      </c>
      <c r="AA633" t="s">
        <v>1933</v>
      </c>
      <c r="AB633" t="s">
        <v>1934</v>
      </c>
      <c r="AC633" t="s">
        <v>74</v>
      </c>
      <c r="AD633" t="s">
        <v>74</v>
      </c>
      <c r="AE633" t="s">
        <v>74</v>
      </c>
      <c r="AF633" t="s">
        <v>74</v>
      </c>
      <c r="AG633" t="s">
        <v>74</v>
      </c>
      <c r="AH633" t="s">
        <v>74</v>
      </c>
      <c r="AI633" t="s">
        <v>74</v>
      </c>
      <c r="AJ633" t="s">
        <v>74</v>
      </c>
      <c r="AK633" t="s">
        <v>74</v>
      </c>
      <c r="AL633" t="s">
        <v>74</v>
      </c>
      <c r="AM633" t="s">
        <v>74</v>
      </c>
      <c r="AN633" t="s">
        <v>74</v>
      </c>
      <c r="AO633" t="s">
        <v>614</v>
      </c>
      <c r="AP633" t="s">
        <v>615</v>
      </c>
      <c r="AQ633" t="s">
        <v>74</v>
      </c>
      <c r="AR633" t="s">
        <v>74</v>
      </c>
      <c r="AS633" t="s">
        <v>74</v>
      </c>
      <c r="AT633" t="s">
        <v>175</v>
      </c>
      <c r="AU633">
        <v>2001</v>
      </c>
      <c r="AV633">
        <v>107</v>
      </c>
      <c r="AW633">
        <v>10</v>
      </c>
      <c r="AX633" t="s">
        <v>74</v>
      </c>
      <c r="AY633" t="s">
        <v>74</v>
      </c>
      <c r="AZ633" t="s">
        <v>74</v>
      </c>
      <c r="BA633" t="s">
        <v>74</v>
      </c>
      <c r="BB633">
        <v>901</v>
      </c>
      <c r="BC633">
        <v>912</v>
      </c>
      <c r="BD633" t="s">
        <v>74</v>
      </c>
      <c r="BE633" t="s">
        <v>7607</v>
      </c>
      <c r="BF633" t="str">
        <f>HYPERLINK("http://dx.doi.org/10.1046/j.1439-0310.2001.00724.x","http://dx.doi.org/10.1046/j.1439-0310.2001.00724.x")</f>
        <v>http://dx.doi.org/10.1046/j.1439-0310.2001.00724.x</v>
      </c>
      <c r="BG633" t="s">
        <v>74</v>
      </c>
      <c r="BH633" t="s">
        <v>74</v>
      </c>
      <c r="BI633" t="s">
        <v>74</v>
      </c>
      <c r="BJ633" t="s">
        <v>74</v>
      </c>
      <c r="BK633" t="s">
        <v>74</v>
      </c>
      <c r="BL633" t="s">
        <v>74</v>
      </c>
      <c r="BM633" t="s">
        <v>74</v>
      </c>
      <c r="BN633" t="s">
        <v>74</v>
      </c>
      <c r="BO633" t="s">
        <v>74</v>
      </c>
      <c r="BP633" t="s">
        <v>74</v>
      </c>
      <c r="BQ633" t="s">
        <v>74</v>
      </c>
      <c r="BR633" t="s">
        <v>74</v>
      </c>
      <c r="BS633" t="s">
        <v>7608</v>
      </c>
      <c r="BT633" t="str">
        <f>HYPERLINK("https%3A%2F%2Fwww.webofscience.com%2Fwos%2Fwoscc%2Ffull-record%2FWOS:000172914000004","View Full Record in Web of Science")</f>
        <v>View Full Record in Web of Science</v>
      </c>
    </row>
    <row r="634" spans="1:72" x14ac:dyDescent="0.4">
      <c r="A634" t="s">
        <v>72</v>
      </c>
      <c r="B634" t="s">
        <v>1930</v>
      </c>
      <c r="C634" t="s">
        <v>74</v>
      </c>
      <c r="D634" t="s">
        <v>74</v>
      </c>
      <c r="E634" t="s">
        <v>74</v>
      </c>
      <c r="F634" t="s">
        <v>1930</v>
      </c>
      <c r="G634" t="s">
        <v>74</v>
      </c>
      <c r="H634" t="s">
        <v>74</v>
      </c>
      <c r="I634" t="s">
        <v>1931</v>
      </c>
      <c r="J634" t="s">
        <v>229</v>
      </c>
      <c r="K634" t="s">
        <v>74</v>
      </c>
      <c r="L634" t="s">
        <v>74</v>
      </c>
      <c r="M634" t="s">
        <v>74</v>
      </c>
      <c r="N634" t="s">
        <v>74</v>
      </c>
      <c r="O634" t="s">
        <v>74</v>
      </c>
      <c r="P634" t="s">
        <v>74</v>
      </c>
      <c r="Q634" t="s">
        <v>74</v>
      </c>
      <c r="R634" t="s">
        <v>74</v>
      </c>
      <c r="S634" t="s">
        <v>74</v>
      </c>
      <c r="T634" t="s">
        <v>74</v>
      </c>
      <c r="U634" t="s">
        <v>74</v>
      </c>
      <c r="V634" s="3" t="s">
        <v>1932</v>
      </c>
      <c r="W634" t="s">
        <v>74</v>
      </c>
      <c r="X634" t="s">
        <v>74</v>
      </c>
      <c r="Y634" t="s">
        <v>74</v>
      </c>
      <c r="Z634" t="s">
        <v>74</v>
      </c>
      <c r="AA634" t="s">
        <v>1933</v>
      </c>
      <c r="AB634" t="s">
        <v>1934</v>
      </c>
      <c r="AC634" t="s">
        <v>74</v>
      </c>
      <c r="AD634" t="s">
        <v>74</v>
      </c>
      <c r="AE634" t="s">
        <v>74</v>
      </c>
      <c r="AF634" t="s">
        <v>74</v>
      </c>
      <c r="AG634" t="s">
        <v>74</v>
      </c>
      <c r="AH634" t="s">
        <v>74</v>
      </c>
      <c r="AI634" t="s">
        <v>74</v>
      </c>
      <c r="AJ634" t="s">
        <v>74</v>
      </c>
      <c r="AK634" t="s">
        <v>74</v>
      </c>
      <c r="AL634" t="s">
        <v>74</v>
      </c>
      <c r="AM634" t="s">
        <v>74</v>
      </c>
      <c r="AN634" t="s">
        <v>74</v>
      </c>
      <c r="AO634" t="s">
        <v>233</v>
      </c>
      <c r="AP634" t="s">
        <v>234</v>
      </c>
      <c r="AQ634" t="s">
        <v>74</v>
      </c>
      <c r="AR634" t="s">
        <v>74</v>
      </c>
      <c r="AS634" t="s">
        <v>74</v>
      </c>
      <c r="AT634" t="s">
        <v>1038</v>
      </c>
      <c r="AU634">
        <v>2002</v>
      </c>
      <c r="AV634">
        <v>28</v>
      </c>
      <c r="AW634">
        <v>2</v>
      </c>
      <c r="AX634" t="s">
        <v>74</v>
      </c>
      <c r="AY634" t="s">
        <v>74</v>
      </c>
      <c r="AZ634" t="s">
        <v>74</v>
      </c>
      <c r="BA634" t="s">
        <v>74</v>
      </c>
      <c r="BB634">
        <v>154</v>
      </c>
      <c r="BC634">
        <v>163</v>
      </c>
      <c r="BD634" t="s">
        <v>74</v>
      </c>
      <c r="BE634" t="s">
        <v>1935</v>
      </c>
      <c r="BF634" t="str">
        <f>HYPERLINK("http://dx.doi.org/10.1002/ab.90017","http://dx.doi.org/10.1002/ab.90017")</f>
        <v>http://dx.doi.org/10.1002/ab.90017</v>
      </c>
      <c r="BG634" t="s">
        <v>74</v>
      </c>
      <c r="BH634" t="s">
        <v>74</v>
      </c>
      <c r="BI634" t="s">
        <v>74</v>
      </c>
      <c r="BJ634" t="s">
        <v>74</v>
      </c>
      <c r="BK634" t="s">
        <v>74</v>
      </c>
      <c r="BL634" t="s">
        <v>74</v>
      </c>
      <c r="BM634" t="s">
        <v>74</v>
      </c>
      <c r="BN634" t="s">
        <v>74</v>
      </c>
      <c r="BO634" t="s">
        <v>74</v>
      </c>
      <c r="BP634" t="s">
        <v>74</v>
      </c>
      <c r="BQ634" t="s">
        <v>74</v>
      </c>
      <c r="BR634" t="s">
        <v>74</v>
      </c>
      <c r="BS634" t="s">
        <v>1936</v>
      </c>
      <c r="BT634" t="str">
        <f>HYPERLINK("https%3A%2F%2Fwww.webofscience.com%2Fwos%2Fwoscc%2Ffull-record%2FWOS:000174435600008","View Full Record in Web of Science")</f>
        <v>View Full Record in Web of Science</v>
      </c>
    </row>
    <row r="635" spans="1:72" x14ac:dyDescent="0.4">
      <c r="A635" t="s">
        <v>72</v>
      </c>
      <c r="B635" t="s">
        <v>1930</v>
      </c>
      <c r="C635" t="s">
        <v>74</v>
      </c>
      <c r="D635" t="s">
        <v>74</v>
      </c>
      <c r="E635" t="s">
        <v>74</v>
      </c>
      <c r="F635" t="s">
        <v>1930</v>
      </c>
      <c r="G635" t="s">
        <v>74</v>
      </c>
      <c r="H635" t="s">
        <v>74</v>
      </c>
      <c r="I635" t="s">
        <v>5603</v>
      </c>
      <c r="J635" t="s">
        <v>129</v>
      </c>
      <c r="K635" t="s">
        <v>74</v>
      </c>
      <c r="L635" t="s">
        <v>74</v>
      </c>
      <c r="M635" t="s">
        <v>74</v>
      </c>
      <c r="N635" t="s">
        <v>74</v>
      </c>
      <c r="O635" t="s">
        <v>74</v>
      </c>
      <c r="P635" t="s">
        <v>74</v>
      </c>
      <c r="Q635" t="s">
        <v>74</v>
      </c>
      <c r="R635" t="s">
        <v>74</v>
      </c>
      <c r="S635" t="s">
        <v>74</v>
      </c>
      <c r="T635" t="s">
        <v>74</v>
      </c>
      <c r="U635" t="s">
        <v>74</v>
      </c>
      <c r="V635" s="3" t="s">
        <v>5604</v>
      </c>
      <c r="W635" t="s">
        <v>74</v>
      </c>
      <c r="X635" t="s">
        <v>74</v>
      </c>
      <c r="Y635" t="s">
        <v>74</v>
      </c>
      <c r="Z635" t="s">
        <v>74</v>
      </c>
      <c r="AA635" t="s">
        <v>1933</v>
      </c>
      <c r="AB635" t="s">
        <v>1934</v>
      </c>
      <c r="AC635" t="s">
        <v>74</v>
      </c>
      <c r="AD635" t="s">
        <v>74</v>
      </c>
      <c r="AE635" t="s">
        <v>74</v>
      </c>
      <c r="AF635" t="s">
        <v>74</v>
      </c>
      <c r="AG635" t="s">
        <v>74</v>
      </c>
      <c r="AH635" t="s">
        <v>74</v>
      </c>
      <c r="AI635" t="s">
        <v>74</v>
      </c>
      <c r="AJ635" t="s">
        <v>74</v>
      </c>
      <c r="AK635" t="s">
        <v>74</v>
      </c>
      <c r="AL635" t="s">
        <v>74</v>
      </c>
      <c r="AM635" t="s">
        <v>74</v>
      </c>
      <c r="AN635" t="s">
        <v>74</v>
      </c>
      <c r="AO635" t="s">
        <v>132</v>
      </c>
      <c r="AP635" t="s">
        <v>74</v>
      </c>
      <c r="AQ635" t="s">
        <v>74</v>
      </c>
      <c r="AR635" t="s">
        <v>74</v>
      </c>
      <c r="AS635" t="s">
        <v>74</v>
      </c>
      <c r="AT635" t="s">
        <v>145</v>
      </c>
      <c r="AU635">
        <v>2003</v>
      </c>
      <c r="AV635">
        <v>54</v>
      </c>
      <c r="AW635">
        <v>3</v>
      </c>
      <c r="AX635" t="s">
        <v>74</v>
      </c>
      <c r="AY635" t="s">
        <v>74</v>
      </c>
      <c r="AZ635" t="s">
        <v>74</v>
      </c>
      <c r="BA635" t="s">
        <v>74</v>
      </c>
      <c r="BB635">
        <v>218</v>
      </c>
      <c r="BC635">
        <v>224</v>
      </c>
      <c r="BD635" t="s">
        <v>74</v>
      </c>
      <c r="BE635" t="s">
        <v>5605</v>
      </c>
      <c r="BF635" t="str">
        <f>HYPERLINK("http://dx.doi.org/10.1007/s00265-003-0623-2","http://dx.doi.org/10.1007/s00265-003-0623-2")</f>
        <v>http://dx.doi.org/10.1007/s00265-003-0623-2</v>
      </c>
      <c r="BG635" t="s">
        <v>74</v>
      </c>
      <c r="BH635" t="s">
        <v>74</v>
      </c>
      <c r="BI635" t="s">
        <v>74</v>
      </c>
      <c r="BJ635" t="s">
        <v>74</v>
      </c>
      <c r="BK635" t="s">
        <v>74</v>
      </c>
      <c r="BL635" t="s">
        <v>74</v>
      </c>
      <c r="BM635" t="s">
        <v>74</v>
      </c>
      <c r="BN635" t="s">
        <v>74</v>
      </c>
      <c r="BO635" t="s">
        <v>74</v>
      </c>
      <c r="BP635" t="s">
        <v>74</v>
      </c>
      <c r="BQ635" t="s">
        <v>74</v>
      </c>
      <c r="BR635" t="s">
        <v>74</v>
      </c>
      <c r="BS635" t="s">
        <v>5606</v>
      </c>
      <c r="BT635" t="str">
        <f>HYPERLINK("https%3A%2F%2Fwww.webofscience.com%2Fwos%2Fwoscc%2Ffull-record%2FWOS:000184754900003","View Full Record in Web of Science")</f>
        <v>View Full Record in Web of Science</v>
      </c>
    </row>
    <row r="636" spans="1:72" x14ac:dyDescent="0.4">
      <c r="A636" t="s">
        <v>72</v>
      </c>
      <c r="B636" t="s">
        <v>1930</v>
      </c>
      <c r="C636" t="s">
        <v>74</v>
      </c>
      <c r="D636" t="s">
        <v>74</v>
      </c>
      <c r="E636" t="s">
        <v>74</v>
      </c>
      <c r="F636" t="s">
        <v>1930</v>
      </c>
      <c r="G636" t="s">
        <v>74</v>
      </c>
      <c r="H636" t="s">
        <v>74</v>
      </c>
      <c r="I636" t="s">
        <v>7276</v>
      </c>
      <c r="J636" t="s">
        <v>610</v>
      </c>
      <c r="K636" t="s">
        <v>74</v>
      </c>
      <c r="L636" t="s">
        <v>74</v>
      </c>
      <c r="M636" t="s">
        <v>74</v>
      </c>
      <c r="N636" t="s">
        <v>74</v>
      </c>
      <c r="O636" t="s">
        <v>74</v>
      </c>
      <c r="P636" t="s">
        <v>74</v>
      </c>
      <c r="Q636" t="s">
        <v>74</v>
      </c>
      <c r="R636" t="s">
        <v>74</v>
      </c>
      <c r="S636" t="s">
        <v>74</v>
      </c>
      <c r="T636" t="s">
        <v>74</v>
      </c>
      <c r="U636" t="s">
        <v>74</v>
      </c>
      <c r="V636" s="3" t="s">
        <v>7277</v>
      </c>
      <c r="W636" t="s">
        <v>74</v>
      </c>
      <c r="X636" t="s">
        <v>74</v>
      </c>
      <c r="Y636" t="s">
        <v>74</v>
      </c>
      <c r="Z636" t="s">
        <v>74</v>
      </c>
      <c r="AA636" t="s">
        <v>1933</v>
      </c>
      <c r="AB636" t="s">
        <v>1934</v>
      </c>
      <c r="AC636" t="s">
        <v>74</v>
      </c>
      <c r="AD636" t="s">
        <v>74</v>
      </c>
      <c r="AE636" t="s">
        <v>74</v>
      </c>
      <c r="AF636" t="s">
        <v>74</v>
      </c>
      <c r="AG636" t="s">
        <v>74</v>
      </c>
      <c r="AH636" t="s">
        <v>74</v>
      </c>
      <c r="AI636" t="s">
        <v>74</v>
      </c>
      <c r="AJ636" t="s">
        <v>74</v>
      </c>
      <c r="AK636" t="s">
        <v>74</v>
      </c>
      <c r="AL636" t="s">
        <v>74</v>
      </c>
      <c r="AM636" t="s">
        <v>74</v>
      </c>
      <c r="AN636" t="s">
        <v>74</v>
      </c>
      <c r="AO636" t="s">
        <v>614</v>
      </c>
      <c r="AP636" t="s">
        <v>615</v>
      </c>
      <c r="AQ636" t="s">
        <v>74</v>
      </c>
      <c r="AR636" t="s">
        <v>74</v>
      </c>
      <c r="AS636" t="s">
        <v>74</v>
      </c>
      <c r="AT636" t="s">
        <v>204</v>
      </c>
      <c r="AU636">
        <v>2004</v>
      </c>
      <c r="AV636">
        <v>110</v>
      </c>
      <c r="AW636">
        <v>7</v>
      </c>
      <c r="AX636" t="s">
        <v>74</v>
      </c>
      <c r="AY636" t="s">
        <v>74</v>
      </c>
      <c r="AZ636" t="s">
        <v>74</v>
      </c>
      <c r="BA636" t="s">
        <v>74</v>
      </c>
      <c r="BB636">
        <v>543</v>
      </c>
      <c r="BC636">
        <v>561</v>
      </c>
      <c r="BD636" t="s">
        <v>74</v>
      </c>
      <c r="BE636" t="s">
        <v>7278</v>
      </c>
      <c r="BF636" t="str">
        <f>HYPERLINK("http://dx.doi.org/10.1111/j.1439-0310.2004.00996.x","http://dx.doi.org/10.1111/j.1439-0310.2004.00996.x")</f>
        <v>http://dx.doi.org/10.1111/j.1439-0310.2004.00996.x</v>
      </c>
      <c r="BG636" t="s">
        <v>74</v>
      </c>
      <c r="BH636" t="s">
        <v>74</v>
      </c>
      <c r="BI636" t="s">
        <v>74</v>
      </c>
      <c r="BJ636" t="s">
        <v>74</v>
      </c>
      <c r="BK636" t="s">
        <v>74</v>
      </c>
      <c r="BL636" t="s">
        <v>74</v>
      </c>
      <c r="BM636" t="s">
        <v>74</v>
      </c>
      <c r="BN636" t="s">
        <v>74</v>
      </c>
      <c r="BO636" t="s">
        <v>74</v>
      </c>
      <c r="BP636" t="s">
        <v>74</v>
      </c>
      <c r="BQ636" t="s">
        <v>74</v>
      </c>
      <c r="BR636" t="s">
        <v>74</v>
      </c>
      <c r="BS636" t="s">
        <v>7279</v>
      </c>
      <c r="BT636" t="str">
        <f>HYPERLINK("https%3A%2F%2Fwww.webofscience.com%2Fwos%2Fwoscc%2Ffull-record%2FWOS:000222483900004","View Full Record in Web of Science")</f>
        <v>View Full Record in Web of Science</v>
      </c>
    </row>
    <row r="637" spans="1:72" x14ac:dyDescent="0.4">
      <c r="A637" t="s">
        <v>72</v>
      </c>
      <c r="B637" t="s">
        <v>249</v>
      </c>
      <c r="C637" t="s">
        <v>74</v>
      </c>
      <c r="D637" t="s">
        <v>74</v>
      </c>
      <c r="E637" t="s">
        <v>74</v>
      </c>
      <c r="F637" t="s">
        <v>250</v>
      </c>
      <c r="G637" t="s">
        <v>74</v>
      </c>
      <c r="H637" t="s">
        <v>74</v>
      </c>
      <c r="I637" t="s">
        <v>251</v>
      </c>
      <c r="J637" t="s">
        <v>129</v>
      </c>
      <c r="K637" t="s">
        <v>74</v>
      </c>
      <c r="L637" t="s">
        <v>74</v>
      </c>
      <c r="M637" t="s">
        <v>74</v>
      </c>
      <c r="N637" t="s">
        <v>74</v>
      </c>
      <c r="O637" t="s">
        <v>74</v>
      </c>
      <c r="P637" t="s">
        <v>74</v>
      </c>
      <c r="Q637" t="s">
        <v>74</v>
      </c>
      <c r="R637" t="s">
        <v>74</v>
      </c>
      <c r="S637" t="s">
        <v>74</v>
      </c>
      <c r="T637" t="s">
        <v>74</v>
      </c>
      <c r="U637" t="s">
        <v>74</v>
      </c>
      <c r="V637" s="3" t="s">
        <v>252</v>
      </c>
      <c r="W637" t="s">
        <v>74</v>
      </c>
      <c r="X637" t="s">
        <v>74</v>
      </c>
      <c r="Y637" t="s">
        <v>74</v>
      </c>
      <c r="Z637" t="s">
        <v>74</v>
      </c>
      <c r="AA637" t="s">
        <v>253</v>
      </c>
      <c r="AB637" t="s">
        <v>254</v>
      </c>
      <c r="AC637" t="s">
        <v>74</v>
      </c>
      <c r="AD637" t="s">
        <v>74</v>
      </c>
      <c r="AE637" t="s">
        <v>74</v>
      </c>
      <c r="AF637" t="s">
        <v>74</v>
      </c>
      <c r="AG637" t="s">
        <v>74</v>
      </c>
      <c r="AH637" t="s">
        <v>74</v>
      </c>
      <c r="AI637" t="s">
        <v>74</v>
      </c>
      <c r="AJ637" t="s">
        <v>74</v>
      </c>
      <c r="AK637" t="s">
        <v>74</v>
      </c>
      <c r="AL637" t="s">
        <v>74</v>
      </c>
      <c r="AM637" t="s">
        <v>74</v>
      </c>
      <c r="AN637" t="s">
        <v>74</v>
      </c>
      <c r="AO637" t="s">
        <v>132</v>
      </c>
      <c r="AP637" t="s">
        <v>133</v>
      </c>
      <c r="AQ637" t="s">
        <v>74</v>
      </c>
      <c r="AR637" t="s">
        <v>74</v>
      </c>
      <c r="AS637" t="s">
        <v>74</v>
      </c>
      <c r="AT637" t="s">
        <v>255</v>
      </c>
      <c r="AU637">
        <v>2010</v>
      </c>
      <c r="AV637">
        <v>64</v>
      </c>
      <c r="AW637">
        <v>3</v>
      </c>
      <c r="AX637" t="s">
        <v>74</v>
      </c>
      <c r="AY637" t="s">
        <v>74</v>
      </c>
      <c r="AZ637" t="s">
        <v>74</v>
      </c>
      <c r="BA637" t="s">
        <v>74</v>
      </c>
      <c r="BB637">
        <v>317</v>
      </c>
      <c r="BC637">
        <v>324</v>
      </c>
      <c r="BD637" t="s">
        <v>74</v>
      </c>
      <c r="BE637" t="s">
        <v>256</v>
      </c>
      <c r="BF637" t="str">
        <f>HYPERLINK("http://dx.doi.org/10.1007/s00265-009-0811-9","http://dx.doi.org/10.1007/s00265-009-0811-9")</f>
        <v>http://dx.doi.org/10.1007/s00265-009-0811-9</v>
      </c>
      <c r="BG637" t="s">
        <v>74</v>
      </c>
      <c r="BH637" t="s">
        <v>74</v>
      </c>
      <c r="BI637" t="s">
        <v>74</v>
      </c>
      <c r="BJ637" t="s">
        <v>74</v>
      </c>
      <c r="BK637" t="s">
        <v>74</v>
      </c>
      <c r="BL637" t="s">
        <v>74</v>
      </c>
      <c r="BM637" t="s">
        <v>74</v>
      </c>
      <c r="BN637" t="s">
        <v>74</v>
      </c>
      <c r="BO637" t="s">
        <v>74</v>
      </c>
      <c r="BP637" t="s">
        <v>74</v>
      </c>
      <c r="BQ637" t="s">
        <v>74</v>
      </c>
      <c r="BR637" t="s">
        <v>74</v>
      </c>
      <c r="BS637" t="s">
        <v>257</v>
      </c>
      <c r="BT637" t="str">
        <f>HYPERLINK("https%3A%2F%2Fwww.webofscience.com%2Fwos%2Fwoscc%2Ffull-record%2FWOS:000274433500002","View Full Record in Web of Science")</f>
        <v>View Full Record in Web of Science</v>
      </c>
    </row>
    <row r="638" spans="1:72" x14ac:dyDescent="0.4">
      <c r="A638" t="s">
        <v>72</v>
      </c>
      <c r="B638" t="s">
        <v>5272</v>
      </c>
      <c r="C638" t="s">
        <v>74</v>
      </c>
      <c r="D638" t="s">
        <v>74</v>
      </c>
      <c r="E638" t="s">
        <v>74</v>
      </c>
      <c r="F638" t="s">
        <v>5273</v>
      </c>
      <c r="G638" t="s">
        <v>74</v>
      </c>
      <c r="H638" t="s">
        <v>74</v>
      </c>
      <c r="I638" t="s">
        <v>5274</v>
      </c>
      <c r="J638" t="s">
        <v>1656</v>
      </c>
      <c r="K638" t="s">
        <v>74</v>
      </c>
      <c r="L638" t="s">
        <v>74</v>
      </c>
      <c r="M638" t="s">
        <v>74</v>
      </c>
      <c r="N638" t="s">
        <v>74</v>
      </c>
      <c r="O638" t="s">
        <v>74</v>
      </c>
      <c r="P638" t="s">
        <v>74</v>
      </c>
      <c r="Q638" t="s">
        <v>74</v>
      </c>
      <c r="R638" t="s">
        <v>74</v>
      </c>
      <c r="S638" t="s">
        <v>74</v>
      </c>
      <c r="T638" t="s">
        <v>74</v>
      </c>
      <c r="U638" t="s">
        <v>74</v>
      </c>
      <c r="V638" s="3" t="s">
        <v>5275</v>
      </c>
      <c r="W638" t="s">
        <v>74</v>
      </c>
      <c r="X638" t="s">
        <v>74</v>
      </c>
      <c r="Y638" t="s">
        <v>74</v>
      </c>
      <c r="Z638" t="s">
        <v>74</v>
      </c>
      <c r="AA638" t="s">
        <v>5276</v>
      </c>
      <c r="AB638" t="s">
        <v>5277</v>
      </c>
      <c r="AC638" t="s">
        <v>74</v>
      </c>
      <c r="AD638" t="s">
        <v>74</v>
      </c>
      <c r="AE638" t="s">
        <v>74</v>
      </c>
      <c r="AF638" t="s">
        <v>74</v>
      </c>
      <c r="AG638" t="s">
        <v>74</v>
      </c>
      <c r="AH638" t="s">
        <v>74</v>
      </c>
      <c r="AI638" t="s">
        <v>74</v>
      </c>
      <c r="AJ638" t="s">
        <v>74</v>
      </c>
      <c r="AK638" t="s">
        <v>74</v>
      </c>
      <c r="AL638" t="s">
        <v>74</v>
      </c>
      <c r="AM638" t="s">
        <v>74</v>
      </c>
      <c r="AN638" t="s">
        <v>74</v>
      </c>
      <c r="AO638" t="s">
        <v>1658</v>
      </c>
      <c r="AP638" t="s">
        <v>1659</v>
      </c>
      <c r="AQ638" t="s">
        <v>74</v>
      </c>
      <c r="AR638" t="s">
        <v>74</v>
      </c>
      <c r="AS638" t="s">
        <v>74</v>
      </c>
      <c r="AT638" t="s">
        <v>5278</v>
      </c>
      <c r="AU638">
        <v>2013</v>
      </c>
      <c r="AV638">
        <v>3664</v>
      </c>
      <c r="AW638">
        <v>4</v>
      </c>
      <c r="AX638" t="s">
        <v>74</v>
      </c>
      <c r="AY638" t="s">
        <v>74</v>
      </c>
      <c r="AZ638" t="s">
        <v>74</v>
      </c>
      <c r="BA638" t="s">
        <v>74</v>
      </c>
      <c r="BB638">
        <v>505</v>
      </c>
      <c r="BC638">
        <v>524</v>
      </c>
      <c r="BD638" t="s">
        <v>74</v>
      </c>
      <c r="BE638" t="s">
        <v>5279</v>
      </c>
      <c r="BF638" t="str">
        <f>HYPERLINK("http://dx.doi.org/10.11646/zootaxa.3664.4.5","http://dx.doi.org/10.11646/zootaxa.3664.4.5")</f>
        <v>http://dx.doi.org/10.11646/zootaxa.3664.4.5</v>
      </c>
      <c r="BG638" t="s">
        <v>74</v>
      </c>
      <c r="BH638" t="s">
        <v>74</v>
      </c>
      <c r="BI638" t="s">
        <v>74</v>
      </c>
      <c r="BJ638" t="s">
        <v>74</v>
      </c>
      <c r="BK638" t="s">
        <v>74</v>
      </c>
      <c r="BL638" t="s">
        <v>74</v>
      </c>
      <c r="BM638" t="s">
        <v>74</v>
      </c>
      <c r="BN638">
        <v>26266316</v>
      </c>
      <c r="BO638" t="s">
        <v>74</v>
      </c>
      <c r="BP638" t="s">
        <v>74</v>
      </c>
      <c r="BQ638" t="s">
        <v>74</v>
      </c>
      <c r="BR638" t="s">
        <v>74</v>
      </c>
      <c r="BS638" t="s">
        <v>5280</v>
      </c>
      <c r="BT638" t="str">
        <f>HYPERLINK("https%3A%2F%2Fwww.webofscience.com%2Fwos%2Fwoscc%2Ffull-record%2FWOS:000319727800005","View Full Record in Web of Science")</f>
        <v>View Full Record in Web of Science</v>
      </c>
    </row>
    <row r="639" spans="1:72" x14ac:dyDescent="0.4">
      <c r="A639" t="s">
        <v>72</v>
      </c>
      <c r="B639" t="s">
        <v>5499</v>
      </c>
      <c r="C639" t="s">
        <v>74</v>
      </c>
      <c r="D639" t="s">
        <v>74</v>
      </c>
      <c r="E639" t="s">
        <v>74</v>
      </c>
      <c r="F639" t="s">
        <v>5499</v>
      </c>
      <c r="G639" t="s">
        <v>74</v>
      </c>
      <c r="H639" t="s">
        <v>74</v>
      </c>
      <c r="I639" t="s">
        <v>5500</v>
      </c>
      <c r="J639" t="s">
        <v>140</v>
      </c>
      <c r="K639" t="s">
        <v>74</v>
      </c>
      <c r="L639" t="s">
        <v>74</v>
      </c>
      <c r="M639" t="s">
        <v>74</v>
      </c>
      <c r="N639" t="s">
        <v>74</v>
      </c>
      <c r="O639" t="s">
        <v>74</v>
      </c>
      <c r="P639" t="s">
        <v>74</v>
      </c>
      <c r="Q639" t="s">
        <v>74</v>
      </c>
      <c r="R639" t="s">
        <v>74</v>
      </c>
      <c r="S639" t="s">
        <v>74</v>
      </c>
      <c r="T639" t="s">
        <v>74</v>
      </c>
      <c r="U639" t="s">
        <v>74</v>
      </c>
      <c r="V639" s="3" t="s">
        <v>5501</v>
      </c>
      <c r="W639" t="s">
        <v>74</v>
      </c>
      <c r="X639" t="s">
        <v>74</v>
      </c>
      <c r="Y639" t="s">
        <v>74</v>
      </c>
      <c r="Z639" t="s">
        <v>74</v>
      </c>
      <c r="AA639" t="s">
        <v>74</v>
      </c>
      <c r="AB639" t="s">
        <v>74</v>
      </c>
      <c r="AC639" t="s">
        <v>74</v>
      </c>
      <c r="AD639" t="s">
        <v>74</v>
      </c>
      <c r="AE639" t="s">
        <v>74</v>
      </c>
      <c r="AF639" t="s">
        <v>74</v>
      </c>
      <c r="AG639" t="s">
        <v>74</v>
      </c>
      <c r="AH639" t="s">
        <v>74</v>
      </c>
      <c r="AI639" t="s">
        <v>74</v>
      </c>
      <c r="AJ639" t="s">
        <v>74</v>
      </c>
      <c r="AK639" t="s">
        <v>74</v>
      </c>
      <c r="AL639" t="s">
        <v>74</v>
      </c>
      <c r="AM639" t="s">
        <v>74</v>
      </c>
      <c r="AN639" t="s">
        <v>74</v>
      </c>
      <c r="AO639" t="s">
        <v>143</v>
      </c>
      <c r="AP639" t="s">
        <v>144</v>
      </c>
      <c r="AQ639" t="s">
        <v>74</v>
      </c>
      <c r="AR639" t="s">
        <v>74</v>
      </c>
      <c r="AS639" t="s">
        <v>74</v>
      </c>
      <c r="AT639" t="s">
        <v>145</v>
      </c>
      <c r="AU639">
        <v>2003</v>
      </c>
      <c r="AV639">
        <v>66</v>
      </c>
      <c r="AW639" t="s">
        <v>74</v>
      </c>
      <c r="AX639">
        <v>2</v>
      </c>
      <c r="AY639" t="s">
        <v>74</v>
      </c>
      <c r="AZ639" t="s">
        <v>74</v>
      </c>
      <c r="BA639" t="s">
        <v>74</v>
      </c>
      <c r="BB639">
        <v>299</v>
      </c>
      <c r="BC639">
        <v>307</v>
      </c>
      <c r="BD639" t="s">
        <v>74</v>
      </c>
      <c r="BE639" t="s">
        <v>5502</v>
      </c>
      <c r="BF639" t="str">
        <f>HYPERLINK("http://dx.doi.org/10.1006/anbe.2003.2214","http://dx.doi.org/10.1006/anbe.2003.2214")</f>
        <v>http://dx.doi.org/10.1006/anbe.2003.2214</v>
      </c>
      <c r="BG639" t="s">
        <v>74</v>
      </c>
      <c r="BH639" t="s">
        <v>74</v>
      </c>
      <c r="BI639" t="s">
        <v>74</v>
      </c>
      <c r="BJ639" t="s">
        <v>74</v>
      </c>
      <c r="BK639" t="s">
        <v>74</v>
      </c>
      <c r="BL639" t="s">
        <v>74</v>
      </c>
      <c r="BM639" t="s">
        <v>74</v>
      </c>
      <c r="BN639" t="s">
        <v>74</v>
      </c>
      <c r="BO639" t="s">
        <v>74</v>
      </c>
      <c r="BP639" t="s">
        <v>74</v>
      </c>
      <c r="BQ639" t="s">
        <v>74</v>
      </c>
      <c r="BR639" t="s">
        <v>74</v>
      </c>
      <c r="BS639" t="s">
        <v>5503</v>
      </c>
      <c r="BT639" t="str">
        <f>HYPERLINK("https%3A%2F%2Fwww.webofscience.com%2Fwos%2Fwoscc%2Ffull-record%2FWOS:000184899600013","View Full Record in Web of Science")</f>
        <v>View Full Record in Web of Science</v>
      </c>
    </row>
    <row r="640" spans="1:72" x14ac:dyDescent="0.4">
      <c r="A640" t="s">
        <v>72</v>
      </c>
      <c r="B640" t="s">
        <v>2025</v>
      </c>
      <c r="C640" t="s">
        <v>74</v>
      </c>
      <c r="D640" t="s">
        <v>74</v>
      </c>
      <c r="E640" t="s">
        <v>74</v>
      </c>
      <c r="F640" t="s">
        <v>2025</v>
      </c>
      <c r="G640" t="s">
        <v>74</v>
      </c>
      <c r="H640" t="s">
        <v>74</v>
      </c>
      <c r="I640" t="s">
        <v>2026</v>
      </c>
      <c r="J640" t="s">
        <v>1126</v>
      </c>
      <c r="K640" t="s">
        <v>74</v>
      </c>
      <c r="L640" t="s">
        <v>74</v>
      </c>
      <c r="M640" t="s">
        <v>74</v>
      </c>
      <c r="N640" t="s">
        <v>74</v>
      </c>
      <c r="O640" t="s">
        <v>74</v>
      </c>
      <c r="P640" t="s">
        <v>74</v>
      </c>
      <c r="Q640" t="s">
        <v>74</v>
      </c>
      <c r="R640" t="s">
        <v>74</v>
      </c>
      <c r="S640" t="s">
        <v>74</v>
      </c>
      <c r="T640" t="s">
        <v>74</v>
      </c>
      <c r="U640" t="s">
        <v>74</v>
      </c>
      <c r="V640" s="3" t="s">
        <v>2027</v>
      </c>
      <c r="W640" t="s">
        <v>74</v>
      </c>
      <c r="X640" t="s">
        <v>74</v>
      </c>
      <c r="Y640" t="s">
        <v>74</v>
      </c>
      <c r="Z640" t="s">
        <v>74</v>
      </c>
      <c r="AA640" t="s">
        <v>74</v>
      </c>
      <c r="AB640" t="s">
        <v>74</v>
      </c>
      <c r="AC640" t="s">
        <v>74</v>
      </c>
      <c r="AD640" t="s">
        <v>74</v>
      </c>
      <c r="AE640" t="s">
        <v>74</v>
      </c>
      <c r="AF640" t="s">
        <v>74</v>
      </c>
      <c r="AG640" t="s">
        <v>74</v>
      </c>
      <c r="AH640" t="s">
        <v>74</v>
      </c>
      <c r="AI640" t="s">
        <v>74</v>
      </c>
      <c r="AJ640" t="s">
        <v>74</v>
      </c>
      <c r="AK640" t="s">
        <v>74</v>
      </c>
      <c r="AL640" t="s">
        <v>74</v>
      </c>
      <c r="AM640" t="s">
        <v>74</v>
      </c>
      <c r="AN640" t="s">
        <v>74</v>
      </c>
      <c r="AO640" t="s">
        <v>1128</v>
      </c>
      <c r="AP640" t="s">
        <v>1129</v>
      </c>
      <c r="AQ640" t="s">
        <v>74</v>
      </c>
      <c r="AR640" t="s">
        <v>74</v>
      </c>
      <c r="AS640" t="s">
        <v>74</v>
      </c>
      <c r="AT640" t="s">
        <v>2028</v>
      </c>
      <c r="AU640">
        <v>1985</v>
      </c>
      <c r="AV640" t="s">
        <v>74</v>
      </c>
      <c r="AW640">
        <v>4</v>
      </c>
      <c r="AX640" t="s">
        <v>74</v>
      </c>
      <c r="AY640" t="s">
        <v>74</v>
      </c>
      <c r="AZ640" t="s">
        <v>74</v>
      </c>
      <c r="BA640" t="s">
        <v>74</v>
      </c>
      <c r="BB640">
        <v>905</v>
      </c>
      <c r="BC640">
        <v>910</v>
      </c>
      <c r="BD640" t="s">
        <v>74</v>
      </c>
      <c r="BE640" t="s">
        <v>2029</v>
      </c>
      <c r="BF640" t="str">
        <f>HYPERLINK("http://dx.doi.org/10.2307/1445240","http://dx.doi.org/10.2307/1445240")</f>
        <v>http://dx.doi.org/10.2307/1445240</v>
      </c>
      <c r="BG640" t="s">
        <v>74</v>
      </c>
      <c r="BH640" t="s">
        <v>74</v>
      </c>
      <c r="BI640" t="s">
        <v>74</v>
      </c>
      <c r="BJ640" t="s">
        <v>74</v>
      </c>
      <c r="BK640" t="s">
        <v>74</v>
      </c>
      <c r="BL640" t="s">
        <v>74</v>
      </c>
      <c r="BM640" t="s">
        <v>74</v>
      </c>
      <c r="BN640" t="s">
        <v>74</v>
      </c>
      <c r="BO640" t="s">
        <v>74</v>
      </c>
      <c r="BP640" t="s">
        <v>74</v>
      </c>
      <c r="BQ640" t="s">
        <v>74</v>
      </c>
      <c r="BR640" t="s">
        <v>74</v>
      </c>
      <c r="BS640" t="s">
        <v>2030</v>
      </c>
      <c r="BT640" t="str">
        <f>HYPERLINK("https%3A%2F%2Fwww.webofscience.com%2Fwos%2Fwoscc%2Ffull-record%2FWOS:A1985AXC0800010","View Full Record in Web of Science")</f>
        <v>View Full Record in Web of Science</v>
      </c>
    </row>
    <row r="641" spans="1:72" x14ac:dyDescent="0.4">
      <c r="A641" t="s">
        <v>72</v>
      </c>
      <c r="B641" t="s">
        <v>1381</v>
      </c>
      <c r="C641" t="s">
        <v>74</v>
      </c>
      <c r="D641" t="s">
        <v>74</v>
      </c>
      <c r="E641" t="s">
        <v>74</v>
      </c>
      <c r="F641" t="s">
        <v>1382</v>
      </c>
      <c r="G641" t="s">
        <v>74</v>
      </c>
      <c r="H641" t="s">
        <v>74</v>
      </c>
      <c r="I641" t="s">
        <v>1383</v>
      </c>
      <c r="J641" t="s">
        <v>1384</v>
      </c>
      <c r="K641" t="s">
        <v>74</v>
      </c>
      <c r="L641" t="s">
        <v>74</v>
      </c>
      <c r="M641" t="s">
        <v>74</v>
      </c>
      <c r="N641" t="s">
        <v>74</v>
      </c>
      <c r="O641" t="s">
        <v>74</v>
      </c>
      <c r="P641" t="s">
        <v>74</v>
      </c>
      <c r="Q641" t="s">
        <v>74</v>
      </c>
      <c r="R641" t="s">
        <v>74</v>
      </c>
      <c r="S641" t="s">
        <v>74</v>
      </c>
      <c r="T641" t="s">
        <v>74</v>
      </c>
      <c r="U641" t="s">
        <v>74</v>
      </c>
      <c r="V641" s="3" t="s">
        <v>1385</v>
      </c>
      <c r="W641" t="s">
        <v>74</v>
      </c>
      <c r="X641" t="s">
        <v>74</v>
      </c>
      <c r="Y641" t="s">
        <v>74</v>
      </c>
      <c r="Z641" t="s">
        <v>74</v>
      </c>
      <c r="AA641" t="s">
        <v>1386</v>
      </c>
      <c r="AB641" t="s">
        <v>1387</v>
      </c>
      <c r="AC641" t="s">
        <v>74</v>
      </c>
      <c r="AD641" t="s">
        <v>74</v>
      </c>
      <c r="AE641" t="s">
        <v>74</v>
      </c>
      <c r="AF641" t="s">
        <v>74</v>
      </c>
      <c r="AG641" t="s">
        <v>74</v>
      </c>
      <c r="AH641" t="s">
        <v>74</v>
      </c>
      <c r="AI641" t="s">
        <v>74</v>
      </c>
      <c r="AJ641" t="s">
        <v>74</v>
      </c>
      <c r="AK641" t="s">
        <v>74</v>
      </c>
      <c r="AL641" t="s">
        <v>74</v>
      </c>
      <c r="AM641" t="s">
        <v>74</v>
      </c>
      <c r="AN641" t="s">
        <v>74</v>
      </c>
      <c r="AO641" t="s">
        <v>1388</v>
      </c>
      <c r="AP641" t="s">
        <v>1389</v>
      </c>
      <c r="AQ641" t="s">
        <v>74</v>
      </c>
      <c r="AR641" t="s">
        <v>74</v>
      </c>
      <c r="AS641" t="s">
        <v>74</v>
      </c>
      <c r="AT641" t="s">
        <v>175</v>
      </c>
      <c r="AU641">
        <v>2023</v>
      </c>
      <c r="AV641">
        <v>165</v>
      </c>
      <c r="AW641">
        <v>4</v>
      </c>
      <c r="AX641" t="s">
        <v>74</v>
      </c>
      <c r="AY641" t="s">
        <v>74</v>
      </c>
      <c r="AZ641" t="s">
        <v>74</v>
      </c>
      <c r="BA641" t="s">
        <v>74</v>
      </c>
      <c r="BB641">
        <v>1359</v>
      </c>
      <c r="BC641">
        <v>1367</v>
      </c>
      <c r="BD641" t="s">
        <v>74</v>
      </c>
      <c r="BE641" t="s">
        <v>1390</v>
      </c>
      <c r="BF641" t="str">
        <f>HYPERLINK("http://dx.doi.org/10.1111/ibi.13219","http://dx.doi.org/10.1111/ibi.13219")</f>
        <v>http://dx.doi.org/10.1111/ibi.13219</v>
      </c>
      <c r="BG641" t="s">
        <v>74</v>
      </c>
      <c r="BH641" t="s">
        <v>1391</v>
      </c>
      <c r="BI641" t="s">
        <v>74</v>
      </c>
      <c r="BJ641" t="s">
        <v>74</v>
      </c>
      <c r="BK641" t="s">
        <v>74</v>
      </c>
      <c r="BL641" t="s">
        <v>74</v>
      </c>
      <c r="BM641" t="s">
        <v>74</v>
      </c>
      <c r="BN641" t="s">
        <v>74</v>
      </c>
      <c r="BO641" t="s">
        <v>74</v>
      </c>
      <c r="BP641" t="s">
        <v>74</v>
      </c>
      <c r="BQ641" t="s">
        <v>74</v>
      </c>
      <c r="BR641" t="s">
        <v>74</v>
      </c>
      <c r="BS641" t="s">
        <v>1392</v>
      </c>
      <c r="BT641" t="str">
        <f>HYPERLINK("https%3A%2F%2Fwww.webofscience.com%2Fwos%2Fwoscc%2Ffull-record%2FWOS:000985415400001","View Full Record in Web of Science")</f>
        <v>View Full Record in Web of Science</v>
      </c>
    </row>
    <row r="642" spans="1:72" x14ac:dyDescent="0.4">
      <c r="A642" t="s">
        <v>72</v>
      </c>
      <c r="B642" t="s">
        <v>7373</v>
      </c>
      <c r="C642" t="s">
        <v>74</v>
      </c>
      <c r="D642" t="s">
        <v>74</v>
      </c>
      <c r="E642" t="s">
        <v>74</v>
      </c>
      <c r="F642" t="s">
        <v>7374</v>
      </c>
      <c r="G642" t="s">
        <v>74</v>
      </c>
      <c r="H642" t="s">
        <v>74</v>
      </c>
      <c r="I642" t="s">
        <v>7375</v>
      </c>
      <c r="J642" t="s">
        <v>7376</v>
      </c>
      <c r="K642" t="s">
        <v>74</v>
      </c>
      <c r="L642" t="s">
        <v>74</v>
      </c>
      <c r="M642" t="s">
        <v>74</v>
      </c>
      <c r="N642" t="s">
        <v>74</v>
      </c>
      <c r="O642" t="s">
        <v>74</v>
      </c>
      <c r="P642" t="s">
        <v>74</v>
      </c>
      <c r="Q642" t="s">
        <v>74</v>
      </c>
      <c r="R642" t="s">
        <v>74</v>
      </c>
      <c r="S642" t="s">
        <v>74</v>
      </c>
      <c r="T642" t="s">
        <v>74</v>
      </c>
      <c r="U642" t="s">
        <v>74</v>
      </c>
      <c r="V642" s="3" t="s">
        <v>7377</v>
      </c>
      <c r="W642" t="s">
        <v>74</v>
      </c>
      <c r="X642" t="s">
        <v>74</v>
      </c>
      <c r="Y642" t="s">
        <v>74</v>
      </c>
      <c r="Z642" t="s">
        <v>74</v>
      </c>
      <c r="AA642" t="s">
        <v>7378</v>
      </c>
      <c r="AB642" t="s">
        <v>7379</v>
      </c>
      <c r="AC642" t="s">
        <v>74</v>
      </c>
      <c r="AD642" t="s">
        <v>74</v>
      </c>
      <c r="AE642" t="s">
        <v>74</v>
      </c>
      <c r="AF642" t="s">
        <v>74</v>
      </c>
      <c r="AG642" t="s">
        <v>74</v>
      </c>
      <c r="AH642" t="s">
        <v>74</v>
      </c>
      <c r="AI642" t="s">
        <v>74</v>
      </c>
      <c r="AJ642" t="s">
        <v>74</v>
      </c>
      <c r="AK642" t="s">
        <v>74</v>
      </c>
      <c r="AL642" t="s">
        <v>74</v>
      </c>
      <c r="AM642" t="s">
        <v>74</v>
      </c>
      <c r="AN642" t="s">
        <v>74</v>
      </c>
      <c r="AO642" t="s">
        <v>7380</v>
      </c>
      <c r="AP642" t="s">
        <v>7381</v>
      </c>
      <c r="AQ642" t="s">
        <v>74</v>
      </c>
      <c r="AR642" t="s">
        <v>74</v>
      </c>
      <c r="AS642" t="s">
        <v>74</v>
      </c>
      <c r="AT642" t="s">
        <v>255</v>
      </c>
      <c r="AU642">
        <v>2021</v>
      </c>
      <c r="AV642">
        <v>62</v>
      </c>
      <c r="AW642">
        <v>1</v>
      </c>
      <c r="AX642" t="s">
        <v>74</v>
      </c>
      <c r="AY642" t="s">
        <v>74</v>
      </c>
      <c r="AZ642" t="s">
        <v>74</v>
      </c>
      <c r="BA642" t="s">
        <v>74</v>
      </c>
      <c r="BB642">
        <v>11</v>
      </c>
      <c r="BC642">
        <v>17</v>
      </c>
      <c r="BD642" t="s">
        <v>74</v>
      </c>
      <c r="BE642" t="s">
        <v>7382</v>
      </c>
      <c r="BF642" t="str">
        <f>HYPERLINK("http://dx.doi.org/10.1007/s10329-020-00852-z","http://dx.doi.org/10.1007/s10329-020-00852-z")</f>
        <v>http://dx.doi.org/10.1007/s10329-020-00852-z</v>
      </c>
      <c r="BG642" t="s">
        <v>74</v>
      </c>
      <c r="BH642" t="s">
        <v>2560</v>
      </c>
      <c r="BI642" t="s">
        <v>74</v>
      </c>
      <c r="BJ642" t="s">
        <v>74</v>
      </c>
      <c r="BK642" t="s">
        <v>74</v>
      </c>
      <c r="BL642" t="s">
        <v>74</v>
      </c>
      <c r="BM642" t="s">
        <v>74</v>
      </c>
      <c r="BN642">
        <v>32804328</v>
      </c>
      <c r="BO642" t="s">
        <v>74</v>
      </c>
      <c r="BP642" t="s">
        <v>74</v>
      </c>
      <c r="BQ642" t="s">
        <v>74</v>
      </c>
      <c r="BR642" t="s">
        <v>74</v>
      </c>
      <c r="BS642" t="s">
        <v>7383</v>
      </c>
      <c r="BT642" t="str">
        <f>HYPERLINK("https%3A%2F%2Fwww.webofscience.com%2Fwos%2Fwoscc%2Ffull-record%2FWOS:000560278300001","View Full Record in Web of Science")</f>
        <v>View Full Record in Web of Science</v>
      </c>
    </row>
    <row r="643" spans="1:72" x14ac:dyDescent="0.4">
      <c r="A643" t="s">
        <v>72</v>
      </c>
      <c r="B643" t="s">
        <v>3322</v>
      </c>
      <c r="C643" t="s">
        <v>74</v>
      </c>
      <c r="D643" t="s">
        <v>74</v>
      </c>
      <c r="E643" t="s">
        <v>74</v>
      </c>
      <c r="F643" t="s">
        <v>3323</v>
      </c>
      <c r="G643" t="s">
        <v>74</v>
      </c>
      <c r="H643" t="s">
        <v>74</v>
      </c>
      <c r="I643" t="s">
        <v>3324</v>
      </c>
      <c r="J643" t="s">
        <v>119</v>
      </c>
      <c r="K643" t="s">
        <v>74</v>
      </c>
      <c r="L643" t="s">
        <v>74</v>
      </c>
      <c r="M643" t="s">
        <v>74</v>
      </c>
      <c r="N643" t="s">
        <v>74</v>
      </c>
      <c r="O643" t="s">
        <v>74</v>
      </c>
      <c r="P643" t="s">
        <v>74</v>
      </c>
      <c r="Q643" t="s">
        <v>74</v>
      </c>
      <c r="R643" t="s">
        <v>74</v>
      </c>
      <c r="S643" t="s">
        <v>74</v>
      </c>
      <c r="T643" t="s">
        <v>74</v>
      </c>
      <c r="U643" t="s">
        <v>74</v>
      </c>
      <c r="V643" s="3" t="s">
        <v>3325</v>
      </c>
      <c r="W643" t="s">
        <v>74</v>
      </c>
      <c r="X643" t="s">
        <v>74</v>
      </c>
      <c r="Y643" t="s">
        <v>74</v>
      </c>
      <c r="Z643" t="s">
        <v>74</v>
      </c>
      <c r="AA643" t="s">
        <v>3163</v>
      </c>
      <c r="AB643" t="s">
        <v>3326</v>
      </c>
      <c r="AC643" t="s">
        <v>74</v>
      </c>
      <c r="AD643" t="s">
        <v>74</v>
      </c>
      <c r="AE643" t="s">
        <v>74</v>
      </c>
      <c r="AF643" t="s">
        <v>74</v>
      </c>
      <c r="AG643" t="s">
        <v>74</v>
      </c>
      <c r="AH643" t="s">
        <v>74</v>
      </c>
      <c r="AI643" t="s">
        <v>74</v>
      </c>
      <c r="AJ643" t="s">
        <v>74</v>
      </c>
      <c r="AK643" t="s">
        <v>74</v>
      </c>
      <c r="AL643" t="s">
        <v>74</v>
      </c>
      <c r="AM643" t="s">
        <v>74</v>
      </c>
      <c r="AN643" t="s">
        <v>74</v>
      </c>
      <c r="AO643" t="s">
        <v>121</v>
      </c>
      <c r="AP643" t="s">
        <v>122</v>
      </c>
      <c r="AQ643" t="s">
        <v>74</v>
      </c>
      <c r="AR643" t="s">
        <v>74</v>
      </c>
      <c r="AS643" t="s">
        <v>74</v>
      </c>
      <c r="AT643" t="s">
        <v>123</v>
      </c>
      <c r="AU643">
        <v>2016</v>
      </c>
      <c r="AV643">
        <v>124</v>
      </c>
      <c r="AW643" t="s">
        <v>74</v>
      </c>
      <c r="AX643" t="s">
        <v>74</v>
      </c>
      <c r="AY643" t="s">
        <v>74</v>
      </c>
      <c r="AZ643" t="s">
        <v>74</v>
      </c>
      <c r="BA643" t="s">
        <v>74</v>
      </c>
      <c r="BB643">
        <v>47</v>
      </c>
      <c r="BC643">
        <v>51</v>
      </c>
      <c r="BD643" t="s">
        <v>74</v>
      </c>
      <c r="BE643" t="s">
        <v>3327</v>
      </c>
      <c r="BF643" t="str">
        <f>HYPERLINK("http://dx.doi.org/10.1016/j.beproc.2015.11.021","http://dx.doi.org/10.1016/j.beproc.2015.11.021")</f>
        <v>http://dx.doi.org/10.1016/j.beproc.2015.11.021</v>
      </c>
      <c r="BG643" t="s">
        <v>74</v>
      </c>
      <c r="BH643" t="s">
        <v>74</v>
      </c>
      <c r="BI643" t="s">
        <v>74</v>
      </c>
      <c r="BJ643" t="s">
        <v>74</v>
      </c>
      <c r="BK643" t="s">
        <v>74</v>
      </c>
      <c r="BL643" t="s">
        <v>74</v>
      </c>
      <c r="BM643" t="s">
        <v>74</v>
      </c>
      <c r="BN643">
        <v>26655891</v>
      </c>
      <c r="BO643" t="s">
        <v>74</v>
      </c>
      <c r="BP643" t="s">
        <v>74</v>
      </c>
      <c r="BQ643" t="s">
        <v>74</v>
      </c>
      <c r="BR643" t="s">
        <v>74</v>
      </c>
      <c r="BS643" t="s">
        <v>3328</v>
      </c>
      <c r="BT643" t="str">
        <f>HYPERLINK("https%3A%2F%2Fwww.webofscience.com%2Fwos%2Fwoscc%2Ffull-record%2FWOS:000371552600007","View Full Record in Web of Science")</f>
        <v>View Full Record in Web of Science</v>
      </c>
    </row>
    <row r="644" spans="1:72" x14ac:dyDescent="0.4">
      <c r="A644" t="s">
        <v>72</v>
      </c>
      <c r="B644" t="s">
        <v>7235</v>
      </c>
      <c r="C644" t="s">
        <v>74</v>
      </c>
      <c r="D644" t="s">
        <v>74</v>
      </c>
      <c r="E644" t="s">
        <v>74</v>
      </c>
      <c r="F644" t="s">
        <v>7236</v>
      </c>
      <c r="G644" t="s">
        <v>74</v>
      </c>
      <c r="H644" t="s">
        <v>74</v>
      </c>
      <c r="I644" t="s">
        <v>7237</v>
      </c>
      <c r="J644" t="s">
        <v>654</v>
      </c>
      <c r="K644" t="s">
        <v>74</v>
      </c>
      <c r="L644" t="s">
        <v>74</v>
      </c>
      <c r="M644" t="s">
        <v>74</v>
      </c>
      <c r="N644" t="s">
        <v>74</v>
      </c>
      <c r="O644" t="s">
        <v>74</v>
      </c>
      <c r="P644" t="s">
        <v>74</v>
      </c>
      <c r="Q644" t="s">
        <v>74</v>
      </c>
      <c r="R644" t="s">
        <v>74</v>
      </c>
      <c r="S644" t="s">
        <v>74</v>
      </c>
      <c r="T644" t="s">
        <v>74</v>
      </c>
      <c r="U644" t="s">
        <v>74</v>
      </c>
      <c r="V644" s="3" t="s">
        <v>7238</v>
      </c>
      <c r="W644" t="s">
        <v>74</v>
      </c>
      <c r="X644" t="s">
        <v>74</v>
      </c>
      <c r="Y644" t="s">
        <v>74</v>
      </c>
      <c r="Z644" t="s">
        <v>74</v>
      </c>
      <c r="AA644" t="s">
        <v>7239</v>
      </c>
      <c r="AB644" t="s">
        <v>7240</v>
      </c>
      <c r="AC644" t="s">
        <v>74</v>
      </c>
      <c r="AD644" t="s">
        <v>74</v>
      </c>
      <c r="AE644" t="s">
        <v>74</v>
      </c>
      <c r="AF644" t="s">
        <v>74</v>
      </c>
      <c r="AG644" t="s">
        <v>74</v>
      </c>
      <c r="AH644" t="s">
        <v>74</v>
      </c>
      <c r="AI644" t="s">
        <v>74</v>
      </c>
      <c r="AJ644" t="s">
        <v>74</v>
      </c>
      <c r="AK644" t="s">
        <v>74</v>
      </c>
      <c r="AL644" t="s">
        <v>74</v>
      </c>
      <c r="AM644" t="s">
        <v>74</v>
      </c>
      <c r="AN644" t="s">
        <v>74</v>
      </c>
      <c r="AO644" t="s">
        <v>658</v>
      </c>
      <c r="AP644" t="s">
        <v>74</v>
      </c>
      <c r="AQ644" t="s">
        <v>74</v>
      </c>
      <c r="AR644" t="s">
        <v>74</v>
      </c>
      <c r="AS644" t="s">
        <v>74</v>
      </c>
      <c r="AT644" t="s">
        <v>633</v>
      </c>
      <c r="AU644">
        <v>2019</v>
      </c>
      <c r="AV644">
        <v>9</v>
      </c>
      <c r="AW644">
        <v>7</v>
      </c>
      <c r="AX644" t="s">
        <v>74</v>
      </c>
      <c r="AY644" t="s">
        <v>74</v>
      </c>
      <c r="AZ644" t="s">
        <v>74</v>
      </c>
      <c r="BA644" t="s">
        <v>74</v>
      </c>
      <c r="BB644">
        <v>4001</v>
      </c>
      <c r="BC644">
        <v>4012</v>
      </c>
      <c r="BD644" t="s">
        <v>74</v>
      </c>
      <c r="BE644" t="s">
        <v>7241</v>
      </c>
      <c r="BF644" t="str">
        <f>HYPERLINK("http://dx.doi.org/10.1002/ece3.5029","http://dx.doi.org/10.1002/ece3.5029")</f>
        <v>http://dx.doi.org/10.1002/ece3.5029</v>
      </c>
      <c r="BG644" t="s">
        <v>74</v>
      </c>
      <c r="BH644" t="s">
        <v>74</v>
      </c>
      <c r="BI644" t="s">
        <v>74</v>
      </c>
      <c r="BJ644" t="s">
        <v>74</v>
      </c>
      <c r="BK644" t="s">
        <v>74</v>
      </c>
      <c r="BL644" t="s">
        <v>74</v>
      </c>
      <c r="BM644" t="s">
        <v>74</v>
      </c>
      <c r="BN644">
        <v>31015983</v>
      </c>
      <c r="BO644" t="s">
        <v>74</v>
      </c>
      <c r="BP644" t="s">
        <v>74</v>
      </c>
      <c r="BQ644" t="s">
        <v>74</v>
      </c>
      <c r="BR644" t="s">
        <v>74</v>
      </c>
      <c r="BS644" t="s">
        <v>7242</v>
      </c>
      <c r="BT644" t="str">
        <f>HYPERLINK("https%3A%2F%2Fwww.webofscience.com%2Fwos%2Fwoscc%2Ffull-record%2FWOS:000465089500027","View Full Record in Web of Science")</f>
        <v>View Full Record in Web of Science</v>
      </c>
    </row>
    <row r="645" spans="1:72" x14ac:dyDescent="0.4">
      <c r="A645" t="s">
        <v>72</v>
      </c>
      <c r="B645" t="s">
        <v>7826</v>
      </c>
      <c r="C645" t="s">
        <v>74</v>
      </c>
      <c r="D645" t="s">
        <v>74</v>
      </c>
      <c r="E645" t="s">
        <v>74</v>
      </c>
      <c r="F645" t="s">
        <v>7827</v>
      </c>
      <c r="G645" t="s">
        <v>74</v>
      </c>
      <c r="H645" t="s">
        <v>74</v>
      </c>
      <c r="I645" t="s">
        <v>7828</v>
      </c>
      <c r="J645" t="s">
        <v>218</v>
      </c>
      <c r="K645" t="s">
        <v>74</v>
      </c>
      <c r="L645" t="s">
        <v>74</v>
      </c>
      <c r="M645" t="s">
        <v>74</v>
      </c>
      <c r="N645" t="s">
        <v>74</v>
      </c>
      <c r="O645" t="s">
        <v>74</v>
      </c>
      <c r="P645" t="s">
        <v>74</v>
      </c>
      <c r="Q645" t="s">
        <v>74</v>
      </c>
      <c r="R645" t="s">
        <v>74</v>
      </c>
      <c r="S645" t="s">
        <v>74</v>
      </c>
      <c r="T645" t="s">
        <v>74</v>
      </c>
      <c r="U645" t="s">
        <v>74</v>
      </c>
      <c r="V645" s="3" t="s">
        <v>7829</v>
      </c>
      <c r="W645" t="s">
        <v>74</v>
      </c>
      <c r="X645" t="s">
        <v>74</v>
      </c>
      <c r="Y645" t="s">
        <v>74</v>
      </c>
      <c r="Z645" t="s">
        <v>74</v>
      </c>
      <c r="AA645" t="s">
        <v>74</v>
      </c>
      <c r="AB645" t="s">
        <v>7830</v>
      </c>
      <c r="AC645" t="s">
        <v>74</v>
      </c>
      <c r="AD645" t="s">
        <v>74</v>
      </c>
      <c r="AE645" t="s">
        <v>74</v>
      </c>
      <c r="AF645" t="s">
        <v>74</v>
      </c>
      <c r="AG645" t="s">
        <v>74</v>
      </c>
      <c r="AH645" t="s">
        <v>74</v>
      </c>
      <c r="AI645" t="s">
        <v>74</v>
      </c>
      <c r="AJ645" t="s">
        <v>74</v>
      </c>
      <c r="AK645" t="s">
        <v>74</v>
      </c>
      <c r="AL645" t="s">
        <v>74</v>
      </c>
      <c r="AM645" t="s">
        <v>74</v>
      </c>
      <c r="AN645" t="s">
        <v>74</v>
      </c>
      <c r="AO645" t="s">
        <v>221</v>
      </c>
      <c r="AP645" t="s">
        <v>222</v>
      </c>
      <c r="AQ645" t="s">
        <v>74</v>
      </c>
      <c r="AR645" t="s">
        <v>74</v>
      </c>
      <c r="AS645" t="s">
        <v>74</v>
      </c>
      <c r="AT645" t="s">
        <v>213</v>
      </c>
      <c r="AU645">
        <v>2022</v>
      </c>
      <c r="AV645">
        <v>35</v>
      </c>
      <c r="AW645">
        <v>11</v>
      </c>
      <c r="AX645" t="s">
        <v>74</v>
      </c>
      <c r="AY645" t="s">
        <v>74</v>
      </c>
      <c r="AZ645" t="s">
        <v>74</v>
      </c>
      <c r="BA645" t="s">
        <v>74</v>
      </c>
      <c r="BB645">
        <v>1558</v>
      </c>
      <c r="BC645">
        <v>1567</v>
      </c>
      <c r="BD645" t="s">
        <v>74</v>
      </c>
      <c r="BE645" t="s">
        <v>7831</v>
      </c>
      <c r="BF645" t="str">
        <f>HYPERLINK("http://dx.doi.org/10.1111/jeb.14089","http://dx.doi.org/10.1111/jeb.14089")</f>
        <v>http://dx.doi.org/10.1111/jeb.14089</v>
      </c>
      <c r="BG645" t="s">
        <v>74</v>
      </c>
      <c r="BH645" t="s">
        <v>6006</v>
      </c>
      <c r="BI645" t="s">
        <v>74</v>
      </c>
      <c r="BJ645" t="s">
        <v>74</v>
      </c>
      <c r="BK645" t="s">
        <v>74</v>
      </c>
      <c r="BL645" t="s">
        <v>74</v>
      </c>
      <c r="BM645" t="s">
        <v>74</v>
      </c>
      <c r="BN645">
        <v>36196886</v>
      </c>
      <c r="BO645" t="s">
        <v>74</v>
      </c>
      <c r="BP645" t="s">
        <v>74</v>
      </c>
      <c r="BQ645" t="s">
        <v>74</v>
      </c>
      <c r="BR645" t="s">
        <v>74</v>
      </c>
      <c r="BS645" t="s">
        <v>7832</v>
      </c>
      <c r="BT645" t="str">
        <f>HYPERLINK("https%3A%2F%2Fwww.webofscience.com%2Fwos%2Fwoscc%2Ffull-record%2FWOS:000863852000001","View Full Record in Web of Science")</f>
        <v>View Full Record in Web of Science</v>
      </c>
    </row>
    <row r="646" spans="1:72" x14ac:dyDescent="0.4">
      <c r="A646" t="s">
        <v>72</v>
      </c>
      <c r="B646" t="s">
        <v>8492</v>
      </c>
      <c r="C646" t="s">
        <v>74</v>
      </c>
      <c r="D646" t="s">
        <v>74</v>
      </c>
      <c r="E646" t="s">
        <v>74</v>
      </c>
      <c r="F646" t="s">
        <v>8492</v>
      </c>
      <c r="G646" t="s">
        <v>74</v>
      </c>
      <c r="H646" t="s">
        <v>74</v>
      </c>
      <c r="I646" t="s">
        <v>8493</v>
      </c>
      <c r="J646" t="s">
        <v>140</v>
      </c>
      <c r="K646" t="s">
        <v>74</v>
      </c>
      <c r="L646" t="s">
        <v>74</v>
      </c>
      <c r="M646" t="s">
        <v>74</v>
      </c>
      <c r="N646" t="s">
        <v>74</v>
      </c>
      <c r="O646" t="s">
        <v>74</v>
      </c>
      <c r="P646" t="s">
        <v>74</v>
      </c>
      <c r="Q646" t="s">
        <v>74</v>
      </c>
      <c r="R646" t="s">
        <v>74</v>
      </c>
      <c r="S646" t="s">
        <v>74</v>
      </c>
      <c r="T646" t="s">
        <v>74</v>
      </c>
      <c r="U646" t="s">
        <v>74</v>
      </c>
      <c r="V646" s="3" t="s">
        <v>8494</v>
      </c>
      <c r="W646" t="s">
        <v>74</v>
      </c>
      <c r="X646" t="s">
        <v>74</v>
      </c>
      <c r="Y646" t="s">
        <v>74</v>
      </c>
      <c r="Z646" t="s">
        <v>74</v>
      </c>
      <c r="AA646" t="s">
        <v>468</v>
      </c>
      <c r="AB646" t="s">
        <v>74</v>
      </c>
      <c r="AC646" t="s">
        <v>74</v>
      </c>
      <c r="AD646" t="s">
        <v>74</v>
      </c>
      <c r="AE646" t="s">
        <v>74</v>
      </c>
      <c r="AF646" t="s">
        <v>74</v>
      </c>
      <c r="AG646" t="s">
        <v>74</v>
      </c>
      <c r="AH646" t="s">
        <v>74</v>
      </c>
      <c r="AI646" t="s">
        <v>74</v>
      </c>
      <c r="AJ646" t="s">
        <v>74</v>
      </c>
      <c r="AK646" t="s">
        <v>74</v>
      </c>
      <c r="AL646" t="s">
        <v>74</v>
      </c>
      <c r="AM646" t="s">
        <v>74</v>
      </c>
      <c r="AN646" t="s">
        <v>74</v>
      </c>
      <c r="AO646" t="s">
        <v>143</v>
      </c>
      <c r="AP646" t="s">
        <v>144</v>
      </c>
      <c r="AQ646" t="s">
        <v>74</v>
      </c>
      <c r="AR646" t="s">
        <v>74</v>
      </c>
      <c r="AS646" t="s">
        <v>74</v>
      </c>
      <c r="AT646" t="s">
        <v>175</v>
      </c>
      <c r="AU646">
        <v>1997</v>
      </c>
      <c r="AV646">
        <v>54</v>
      </c>
      <c r="AW646" t="s">
        <v>74</v>
      </c>
      <c r="AX646">
        <v>4</v>
      </c>
      <c r="AY646" t="s">
        <v>74</v>
      </c>
      <c r="AZ646" t="s">
        <v>74</v>
      </c>
      <c r="BA646" t="s">
        <v>74</v>
      </c>
      <c r="BB646">
        <v>927</v>
      </c>
      <c r="BC646">
        <v>939</v>
      </c>
      <c r="BD646" t="s">
        <v>74</v>
      </c>
      <c r="BE646" t="s">
        <v>8495</v>
      </c>
      <c r="BF646" t="str">
        <f>HYPERLINK("http://dx.doi.org/10.1006/anbe.1997.0476","http://dx.doi.org/10.1006/anbe.1997.0476")</f>
        <v>http://dx.doi.org/10.1006/anbe.1997.0476</v>
      </c>
      <c r="BG646" t="s">
        <v>74</v>
      </c>
      <c r="BH646" t="s">
        <v>74</v>
      </c>
      <c r="BI646" t="s">
        <v>74</v>
      </c>
      <c r="BJ646" t="s">
        <v>74</v>
      </c>
      <c r="BK646" t="s">
        <v>74</v>
      </c>
      <c r="BL646" t="s">
        <v>74</v>
      </c>
      <c r="BM646" t="s">
        <v>74</v>
      </c>
      <c r="BN646">
        <v>9344445</v>
      </c>
      <c r="BO646" t="s">
        <v>74</v>
      </c>
      <c r="BP646" t="s">
        <v>74</v>
      </c>
      <c r="BQ646" t="s">
        <v>74</v>
      </c>
      <c r="BR646" t="s">
        <v>74</v>
      </c>
      <c r="BS646" t="s">
        <v>8496</v>
      </c>
      <c r="BT646" t="str">
        <f>HYPERLINK("https%3A%2F%2Fwww.webofscience.com%2Fwos%2Fwoscc%2Ffull-record%2FWOS:A1997YE30600016","View Full Record in Web of Science")</f>
        <v>View Full Record in Web of Science</v>
      </c>
    </row>
    <row r="647" spans="1:72" x14ac:dyDescent="0.4">
      <c r="A647" t="s">
        <v>72</v>
      </c>
      <c r="B647" t="s">
        <v>6388</v>
      </c>
      <c r="C647" t="s">
        <v>74</v>
      </c>
      <c r="D647" t="s">
        <v>74</v>
      </c>
      <c r="E647" t="s">
        <v>74</v>
      </c>
      <c r="F647" t="s">
        <v>6388</v>
      </c>
      <c r="G647" t="s">
        <v>74</v>
      </c>
      <c r="H647" t="s">
        <v>74</v>
      </c>
      <c r="I647" t="s">
        <v>6389</v>
      </c>
      <c r="J647" t="s">
        <v>171</v>
      </c>
      <c r="K647" t="s">
        <v>74</v>
      </c>
      <c r="L647" t="s">
        <v>74</v>
      </c>
      <c r="M647" t="s">
        <v>74</v>
      </c>
      <c r="N647" t="s">
        <v>74</v>
      </c>
      <c r="O647" t="s">
        <v>74</v>
      </c>
      <c r="P647" t="s">
        <v>74</v>
      </c>
      <c r="Q647" t="s">
        <v>74</v>
      </c>
      <c r="R647" t="s">
        <v>74</v>
      </c>
      <c r="S647" t="s">
        <v>74</v>
      </c>
      <c r="T647" t="s">
        <v>74</v>
      </c>
      <c r="U647" t="s">
        <v>74</v>
      </c>
      <c r="V647" s="3" t="s">
        <v>6390</v>
      </c>
      <c r="W647" t="s">
        <v>74</v>
      </c>
      <c r="X647" t="s">
        <v>74</v>
      </c>
      <c r="Y647" t="s">
        <v>74</v>
      </c>
      <c r="Z647" t="s">
        <v>74</v>
      </c>
      <c r="AA647" t="s">
        <v>6391</v>
      </c>
      <c r="AB647" t="s">
        <v>74</v>
      </c>
      <c r="AC647" t="s">
        <v>74</v>
      </c>
      <c r="AD647" t="s">
        <v>74</v>
      </c>
      <c r="AE647" t="s">
        <v>74</v>
      </c>
      <c r="AF647" t="s">
        <v>74</v>
      </c>
      <c r="AG647" t="s">
        <v>74</v>
      </c>
      <c r="AH647" t="s">
        <v>74</v>
      </c>
      <c r="AI647" t="s">
        <v>74</v>
      </c>
      <c r="AJ647" t="s">
        <v>74</v>
      </c>
      <c r="AK647" t="s">
        <v>74</v>
      </c>
      <c r="AL647" t="s">
        <v>74</v>
      </c>
      <c r="AM647" t="s">
        <v>74</v>
      </c>
      <c r="AN647" t="s">
        <v>74</v>
      </c>
      <c r="AO647" t="s">
        <v>173</v>
      </c>
      <c r="AP647" t="s">
        <v>174</v>
      </c>
      <c r="AQ647" t="s">
        <v>74</v>
      </c>
      <c r="AR647" t="s">
        <v>74</v>
      </c>
      <c r="AS647" t="s">
        <v>74</v>
      </c>
      <c r="AT647" t="s">
        <v>134</v>
      </c>
      <c r="AU647">
        <v>1986</v>
      </c>
      <c r="AV647">
        <v>40</v>
      </c>
      <c r="AW647">
        <v>3</v>
      </c>
      <c r="AX647" t="s">
        <v>74</v>
      </c>
      <c r="AY647" t="s">
        <v>74</v>
      </c>
      <c r="AZ647" t="s">
        <v>74</v>
      </c>
      <c r="BA647" t="s">
        <v>74</v>
      </c>
      <c r="BB647">
        <v>605</v>
      </c>
      <c r="BC647">
        <v>615</v>
      </c>
      <c r="BD647" t="s">
        <v>74</v>
      </c>
      <c r="BE647" t="s">
        <v>6392</v>
      </c>
      <c r="BF647" t="str">
        <f>HYPERLINK("http://dx.doi.org/10.2307/2408581","http://dx.doi.org/10.2307/2408581")</f>
        <v>http://dx.doi.org/10.2307/2408581</v>
      </c>
      <c r="BG647" t="s">
        <v>74</v>
      </c>
      <c r="BH647" t="s">
        <v>74</v>
      </c>
      <c r="BI647" t="s">
        <v>74</v>
      </c>
      <c r="BJ647" t="s">
        <v>74</v>
      </c>
      <c r="BK647" t="s">
        <v>74</v>
      </c>
      <c r="BL647" t="s">
        <v>74</v>
      </c>
      <c r="BM647" t="s">
        <v>74</v>
      </c>
      <c r="BN647">
        <v>28556339</v>
      </c>
      <c r="BO647" t="s">
        <v>74</v>
      </c>
      <c r="BP647" t="s">
        <v>74</v>
      </c>
      <c r="BQ647" t="s">
        <v>74</v>
      </c>
      <c r="BR647" t="s">
        <v>74</v>
      </c>
      <c r="BS647" t="s">
        <v>6393</v>
      </c>
      <c r="BT647" t="str">
        <f>HYPERLINK("https%3A%2F%2Fwww.webofscience.com%2Fwos%2Fwoscc%2Ffull-record%2FWOS:A1986C438800014","View Full Record in Web of Science")</f>
        <v>View Full Record in Web of Science</v>
      </c>
    </row>
    <row r="648" spans="1:72" x14ac:dyDescent="0.4">
      <c r="A648" t="s">
        <v>72</v>
      </c>
      <c r="B648" t="s">
        <v>464</v>
      </c>
      <c r="C648" t="s">
        <v>74</v>
      </c>
      <c r="D648" t="s">
        <v>74</v>
      </c>
      <c r="E648" t="s">
        <v>74</v>
      </c>
      <c r="F648" t="s">
        <v>465</v>
      </c>
      <c r="G648" t="s">
        <v>74</v>
      </c>
      <c r="H648" t="s">
        <v>74</v>
      </c>
      <c r="I648" t="s">
        <v>466</v>
      </c>
      <c r="J648" t="s">
        <v>140</v>
      </c>
      <c r="K648" t="s">
        <v>74</v>
      </c>
      <c r="L648" t="s">
        <v>74</v>
      </c>
      <c r="M648" t="s">
        <v>74</v>
      </c>
      <c r="N648" t="s">
        <v>74</v>
      </c>
      <c r="O648" t="s">
        <v>74</v>
      </c>
      <c r="P648" t="s">
        <v>74</v>
      </c>
      <c r="Q648" t="s">
        <v>74</v>
      </c>
      <c r="R648" t="s">
        <v>74</v>
      </c>
      <c r="S648" t="s">
        <v>74</v>
      </c>
      <c r="T648" t="s">
        <v>74</v>
      </c>
      <c r="U648" t="s">
        <v>74</v>
      </c>
      <c r="V648" s="3" t="s">
        <v>467</v>
      </c>
      <c r="W648" t="s">
        <v>74</v>
      </c>
      <c r="X648" t="s">
        <v>74</v>
      </c>
      <c r="Y648" t="s">
        <v>74</v>
      </c>
      <c r="Z648" t="s">
        <v>74</v>
      </c>
      <c r="AA648" t="s">
        <v>468</v>
      </c>
      <c r="AB648" t="s">
        <v>469</v>
      </c>
      <c r="AC648" t="s">
        <v>74</v>
      </c>
      <c r="AD648" t="s">
        <v>74</v>
      </c>
      <c r="AE648" t="s">
        <v>74</v>
      </c>
      <c r="AF648" t="s">
        <v>74</v>
      </c>
      <c r="AG648" t="s">
        <v>74</v>
      </c>
      <c r="AH648" t="s">
        <v>74</v>
      </c>
      <c r="AI648" t="s">
        <v>74</v>
      </c>
      <c r="AJ648" t="s">
        <v>74</v>
      </c>
      <c r="AK648" t="s">
        <v>74</v>
      </c>
      <c r="AL648" t="s">
        <v>74</v>
      </c>
      <c r="AM648" t="s">
        <v>74</v>
      </c>
      <c r="AN648" t="s">
        <v>74</v>
      </c>
      <c r="AO648" t="s">
        <v>143</v>
      </c>
      <c r="AP648" t="s">
        <v>144</v>
      </c>
      <c r="AQ648" t="s">
        <v>74</v>
      </c>
      <c r="AR648" t="s">
        <v>74</v>
      </c>
      <c r="AS648" t="s">
        <v>74</v>
      </c>
      <c r="AT648" t="s">
        <v>134</v>
      </c>
      <c r="AU648">
        <v>2015</v>
      </c>
      <c r="AV648">
        <v>103</v>
      </c>
      <c r="AW648" t="s">
        <v>74</v>
      </c>
      <c r="AX648" t="s">
        <v>74</v>
      </c>
      <c r="AY648" t="s">
        <v>74</v>
      </c>
      <c r="AZ648" t="s">
        <v>74</v>
      </c>
      <c r="BA648" t="s">
        <v>74</v>
      </c>
      <c r="BB648">
        <v>117</v>
      </c>
      <c r="BC648">
        <v>124</v>
      </c>
      <c r="BD648" t="s">
        <v>74</v>
      </c>
      <c r="BE648" t="s">
        <v>470</v>
      </c>
      <c r="BF648" t="str">
        <f>HYPERLINK("http://dx.doi.org/10.1016/j.anbehav.2015.02.010","http://dx.doi.org/10.1016/j.anbehav.2015.02.010")</f>
        <v>http://dx.doi.org/10.1016/j.anbehav.2015.02.010</v>
      </c>
      <c r="BG648" t="s">
        <v>74</v>
      </c>
      <c r="BH648" t="s">
        <v>74</v>
      </c>
      <c r="BI648" t="s">
        <v>74</v>
      </c>
      <c r="BJ648" t="s">
        <v>74</v>
      </c>
      <c r="BK648" t="s">
        <v>74</v>
      </c>
      <c r="BL648" t="s">
        <v>74</v>
      </c>
      <c r="BM648" t="s">
        <v>74</v>
      </c>
      <c r="BN648" t="s">
        <v>74</v>
      </c>
      <c r="BO648" t="s">
        <v>74</v>
      </c>
      <c r="BP648" t="s">
        <v>74</v>
      </c>
      <c r="BQ648" t="s">
        <v>74</v>
      </c>
      <c r="BR648" t="s">
        <v>74</v>
      </c>
      <c r="BS648" t="s">
        <v>471</v>
      </c>
      <c r="BT648" t="str">
        <f>HYPERLINK("https%3A%2F%2Fwww.webofscience.com%2Fwos%2Fwoscc%2Ffull-record%2FWOS:000353378200015","View Full Record in Web of Science")</f>
        <v>View Full Record in Web of Science</v>
      </c>
    </row>
    <row r="649" spans="1:72" x14ac:dyDescent="0.4">
      <c r="A649" t="s">
        <v>72</v>
      </c>
      <c r="B649" t="s">
        <v>2163</v>
      </c>
      <c r="C649" t="s">
        <v>74</v>
      </c>
      <c r="D649" t="s">
        <v>74</v>
      </c>
      <c r="E649" t="s">
        <v>74</v>
      </c>
      <c r="F649" t="s">
        <v>2164</v>
      </c>
      <c r="G649" t="s">
        <v>74</v>
      </c>
      <c r="H649" t="s">
        <v>74</v>
      </c>
      <c r="I649" t="s">
        <v>2165</v>
      </c>
      <c r="J649" t="s">
        <v>312</v>
      </c>
      <c r="K649" t="s">
        <v>74</v>
      </c>
      <c r="L649" t="s">
        <v>74</v>
      </c>
      <c r="M649" t="s">
        <v>74</v>
      </c>
      <c r="N649" t="s">
        <v>74</v>
      </c>
      <c r="O649" t="s">
        <v>74</v>
      </c>
      <c r="P649" t="s">
        <v>74</v>
      </c>
      <c r="Q649" t="s">
        <v>74</v>
      </c>
      <c r="R649" t="s">
        <v>74</v>
      </c>
      <c r="S649" t="s">
        <v>74</v>
      </c>
      <c r="T649" t="s">
        <v>74</v>
      </c>
      <c r="U649" t="s">
        <v>74</v>
      </c>
      <c r="V649" s="3" t="s">
        <v>2166</v>
      </c>
      <c r="W649" t="s">
        <v>74</v>
      </c>
      <c r="X649" t="s">
        <v>74</v>
      </c>
      <c r="Y649" t="s">
        <v>74</v>
      </c>
      <c r="Z649" t="s">
        <v>74</v>
      </c>
      <c r="AA649" t="s">
        <v>2167</v>
      </c>
      <c r="AB649" t="s">
        <v>2168</v>
      </c>
      <c r="AC649" t="s">
        <v>74</v>
      </c>
      <c r="AD649" t="s">
        <v>74</v>
      </c>
      <c r="AE649" t="s">
        <v>74</v>
      </c>
      <c r="AF649" t="s">
        <v>74</v>
      </c>
      <c r="AG649" t="s">
        <v>74</v>
      </c>
      <c r="AH649" t="s">
        <v>74</v>
      </c>
      <c r="AI649" t="s">
        <v>74</v>
      </c>
      <c r="AJ649" t="s">
        <v>74</v>
      </c>
      <c r="AK649" t="s">
        <v>74</v>
      </c>
      <c r="AL649" t="s">
        <v>74</v>
      </c>
      <c r="AM649" t="s">
        <v>74</v>
      </c>
      <c r="AN649" t="s">
        <v>74</v>
      </c>
      <c r="AO649" t="s">
        <v>314</v>
      </c>
      <c r="AP649" t="s">
        <v>74</v>
      </c>
      <c r="AQ649" t="s">
        <v>74</v>
      </c>
      <c r="AR649" t="s">
        <v>74</v>
      </c>
      <c r="AS649" t="s">
        <v>74</v>
      </c>
      <c r="AT649" t="s">
        <v>255</v>
      </c>
      <c r="AU649">
        <v>2012</v>
      </c>
      <c r="AV649">
        <v>179</v>
      </c>
      <c r="AW649">
        <v>1</v>
      </c>
      <c r="AX649" t="s">
        <v>74</v>
      </c>
      <c r="AY649" t="s">
        <v>74</v>
      </c>
      <c r="AZ649" t="s">
        <v>74</v>
      </c>
      <c r="BA649" t="s">
        <v>74</v>
      </c>
      <c r="BB649" t="s">
        <v>2169</v>
      </c>
      <c r="BC649" t="s">
        <v>2170</v>
      </c>
      <c r="BD649" t="s">
        <v>74</v>
      </c>
      <c r="BE649" t="s">
        <v>2171</v>
      </c>
      <c r="BF649" t="str">
        <f>HYPERLINK("http://dx.doi.org/10.1086/663197","http://dx.doi.org/10.1086/663197")</f>
        <v>http://dx.doi.org/10.1086/663197</v>
      </c>
      <c r="BG649" t="s">
        <v>74</v>
      </c>
      <c r="BH649" t="s">
        <v>74</v>
      </c>
      <c r="BI649" t="s">
        <v>74</v>
      </c>
      <c r="BJ649" t="s">
        <v>74</v>
      </c>
      <c r="BK649" t="s">
        <v>74</v>
      </c>
      <c r="BL649" t="s">
        <v>74</v>
      </c>
      <c r="BM649" t="s">
        <v>74</v>
      </c>
      <c r="BN649">
        <v>22173468</v>
      </c>
      <c r="BO649" t="s">
        <v>74</v>
      </c>
      <c r="BP649" t="s">
        <v>74</v>
      </c>
      <c r="BQ649" t="s">
        <v>74</v>
      </c>
      <c r="BR649" t="s">
        <v>74</v>
      </c>
      <c r="BS649" t="s">
        <v>2172</v>
      </c>
      <c r="BT649" t="str">
        <f>HYPERLINK("https%3A%2F%2Fwww.webofscience.com%2Fwos%2Fwoscc%2Ffull-record%2FWOS:000298379200001","View Full Record in Web of Science")</f>
        <v>View Full Record in Web of Science</v>
      </c>
    </row>
    <row r="650" spans="1:72" x14ac:dyDescent="0.4">
      <c r="A650" t="s">
        <v>72</v>
      </c>
      <c r="B650" t="s">
        <v>1272</v>
      </c>
      <c r="C650" t="s">
        <v>74</v>
      </c>
      <c r="D650" t="s">
        <v>74</v>
      </c>
      <c r="E650" t="s">
        <v>74</v>
      </c>
      <c r="F650" t="s">
        <v>1272</v>
      </c>
      <c r="G650" t="s">
        <v>74</v>
      </c>
      <c r="H650" t="s">
        <v>74</v>
      </c>
      <c r="I650" t="s">
        <v>1273</v>
      </c>
      <c r="J650" t="s">
        <v>610</v>
      </c>
      <c r="K650" t="s">
        <v>74</v>
      </c>
      <c r="L650" t="s">
        <v>74</v>
      </c>
      <c r="M650" t="s">
        <v>74</v>
      </c>
      <c r="N650" t="s">
        <v>74</v>
      </c>
      <c r="O650" t="s">
        <v>74</v>
      </c>
      <c r="P650" t="s">
        <v>74</v>
      </c>
      <c r="Q650" t="s">
        <v>74</v>
      </c>
      <c r="R650" t="s">
        <v>74</v>
      </c>
      <c r="S650" t="s">
        <v>74</v>
      </c>
      <c r="T650" t="s">
        <v>74</v>
      </c>
      <c r="U650" t="s">
        <v>74</v>
      </c>
      <c r="V650" s="3" t="s">
        <v>1274</v>
      </c>
      <c r="W650" t="s">
        <v>74</v>
      </c>
      <c r="X650" t="s">
        <v>74</v>
      </c>
      <c r="Y650" t="s">
        <v>74</v>
      </c>
      <c r="Z650" t="s">
        <v>74</v>
      </c>
      <c r="AA650" t="s">
        <v>1275</v>
      </c>
      <c r="AB650" t="s">
        <v>74</v>
      </c>
      <c r="AC650" t="s">
        <v>74</v>
      </c>
      <c r="AD650" t="s">
        <v>74</v>
      </c>
      <c r="AE650" t="s">
        <v>74</v>
      </c>
      <c r="AF650" t="s">
        <v>74</v>
      </c>
      <c r="AG650" t="s">
        <v>74</v>
      </c>
      <c r="AH650" t="s">
        <v>74</v>
      </c>
      <c r="AI650" t="s">
        <v>74</v>
      </c>
      <c r="AJ650" t="s">
        <v>74</v>
      </c>
      <c r="AK650" t="s">
        <v>74</v>
      </c>
      <c r="AL650" t="s">
        <v>74</v>
      </c>
      <c r="AM650" t="s">
        <v>74</v>
      </c>
      <c r="AN650" t="s">
        <v>74</v>
      </c>
      <c r="AO650" t="s">
        <v>614</v>
      </c>
      <c r="AP650" t="s">
        <v>74</v>
      </c>
      <c r="AQ650" t="s">
        <v>74</v>
      </c>
      <c r="AR650" t="s">
        <v>74</v>
      </c>
      <c r="AS650" t="s">
        <v>74</v>
      </c>
      <c r="AT650" t="s">
        <v>1075</v>
      </c>
      <c r="AU650">
        <v>1994</v>
      </c>
      <c r="AV650">
        <v>98</v>
      </c>
      <c r="AW650" t="s">
        <v>1276</v>
      </c>
      <c r="AX650" t="s">
        <v>74</v>
      </c>
      <c r="AY650" t="s">
        <v>74</v>
      </c>
      <c r="AZ650" t="s">
        <v>74</v>
      </c>
      <c r="BA650" t="s">
        <v>74</v>
      </c>
      <c r="BB650">
        <v>246</v>
      </c>
      <c r="BC650">
        <v>264</v>
      </c>
      <c r="BD650" t="s">
        <v>74</v>
      </c>
      <c r="BE650" t="s">
        <v>74</v>
      </c>
      <c r="BF650" t="s">
        <v>74</v>
      </c>
      <c r="BG650" t="s">
        <v>74</v>
      </c>
      <c r="BH650" t="s">
        <v>74</v>
      </c>
      <c r="BI650" t="s">
        <v>74</v>
      </c>
      <c r="BJ650" t="s">
        <v>74</v>
      </c>
      <c r="BK650" t="s">
        <v>74</v>
      </c>
      <c r="BL650" t="s">
        <v>74</v>
      </c>
      <c r="BM650" t="s">
        <v>74</v>
      </c>
      <c r="BN650" t="s">
        <v>74</v>
      </c>
      <c r="BO650" t="s">
        <v>74</v>
      </c>
      <c r="BP650" t="s">
        <v>74</v>
      </c>
      <c r="BQ650" t="s">
        <v>74</v>
      </c>
      <c r="BR650" t="s">
        <v>74</v>
      </c>
      <c r="BS650" t="s">
        <v>1277</v>
      </c>
      <c r="BT650" t="str">
        <f>HYPERLINK("https%3A%2F%2Fwww.webofscience.com%2Fwos%2Fwoscc%2Ffull-record%2FWOS:A1994QA66800006","View Full Record in Web of Science")</f>
        <v>View Full Record in Web of Science</v>
      </c>
    </row>
    <row r="651" spans="1:72" x14ac:dyDescent="0.4">
      <c r="A651" t="s">
        <v>72</v>
      </c>
      <c r="B651" t="s">
        <v>3860</v>
      </c>
      <c r="C651" t="s">
        <v>74</v>
      </c>
      <c r="D651" t="s">
        <v>74</v>
      </c>
      <c r="E651" t="s">
        <v>74</v>
      </c>
      <c r="F651" t="s">
        <v>3861</v>
      </c>
      <c r="G651" t="s">
        <v>74</v>
      </c>
      <c r="H651" t="s">
        <v>74</v>
      </c>
      <c r="I651" t="s">
        <v>3862</v>
      </c>
      <c r="J651" t="s">
        <v>1198</v>
      </c>
      <c r="K651" t="s">
        <v>74</v>
      </c>
      <c r="L651" t="s">
        <v>74</v>
      </c>
      <c r="M651" t="s">
        <v>74</v>
      </c>
      <c r="N651" t="s">
        <v>74</v>
      </c>
      <c r="O651" t="s">
        <v>74</v>
      </c>
      <c r="P651" t="s">
        <v>74</v>
      </c>
      <c r="Q651" t="s">
        <v>74</v>
      </c>
      <c r="R651" t="s">
        <v>74</v>
      </c>
      <c r="S651" t="s">
        <v>74</v>
      </c>
      <c r="T651" t="s">
        <v>74</v>
      </c>
      <c r="U651" t="s">
        <v>74</v>
      </c>
      <c r="V651" s="3" t="s">
        <v>3863</v>
      </c>
      <c r="W651" t="s">
        <v>74</v>
      </c>
      <c r="X651" t="s">
        <v>74</v>
      </c>
      <c r="Y651" t="s">
        <v>74</v>
      </c>
      <c r="Z651" t="s">
        <v>74</v>
      </c>
      <c r="AA651" t="s">
        <v>74</v>
      </c>
      <c r="AB651" t="s">
        <v>2709</v>
      </c>
      <c r="AC651" t="s">
        <v>74</v>
      </c>
      <c r="AD651" t="s">
        <v>74</v>
      </c>
      <c r="AE651" t="s">
        <v>74</v>
      </c>
      <c r="AF651" t="s">
        <v>74</v>
      </c>
      <c r="AG651" t="s">
        <v>74</v>
      </c>
      <c r="AH651" t="s">
        <v>74</v>
      </c>
      <c r="AI651" t="s">
        <v>74</v>
      </c>
      <c r="AJ651" t="s">
        <v>74</v>
      </c>
      <c r="AK651" t="s">
        <v>74</v>
      </c>
      <c r="AL651" t="s">
        <v>74</v>
      </c>
      <c r="AM651" t="s">
        <v>74</v>
      </c>
      <c r="AN651" t="s">
        <v>74</v>
      </c>
      <c r="AO651" t="s">
        <v>1202</v>
      </c>
      <c r="AP651" t="s">
        <v>1203</v>
      </c>
      <c r="AQ651" t="s">
        <v>74</v>
      </c>
      <c r="AR651" t="s">
        <v>74</v>
      </c>
      <c r="AS651" t="s">
        <v>74</v>
      </c>
      <c r="AT651" t="s">
        <v>102</v>
      </c>
      <c r="AU651">
        <v>2015</v>
      </c>
      <c r="AV651">
        <v>71</v>
      </c>
      <c r="AW651">
        <v>2</v>
      </c>
      <c r="AX651" t="s">
        <v>74</v>
      </c>
      <c r="AY651" t="s">
        <v>74</v>
      </c>
      <c r="AZ651" t="s">
        <v>74</v>
      </c>
      <c r="BA651" t="s">
        <v>74</v>
      </c>
      <c r="BB651">
        <v>110</v>
      </c>
      <c r="BC651">
        <v>116</v>
      </c>
      <c r="BD651" t="s">
        <v>74</v>
      </c>
      <c r="BE651" t="s">
        <v>3864</v>
      </c>
      <c r="BF651" t="str">
        <f>HYPERLINK("http://dx.doi.org/10.1655/HERPETOLOGICA-D-14-00044","http://dx.doi.org/10.1655/HERPETOLOGICA-D-14-00044")</f>
        <v>http://dx.doi.org/10.1655/HERPETOLOGICA-D-14-00044</v>
      </c>
      <c r="BG651" t="s">
        <v>74</v>
      </c>
      <c r="BH651" t="s">
        <v>74</v>
      </c>
      <c r="BI651" t="s">
        <v>74</v>
      </c>
      <c r="BJ651" t="s">
        <v>74</v>
      </c>
      <c r="BK651" t="s">
        <v>74</v>
      </c>
      <c r="BL651" t="s">
        <v>74</v>
      </c>
      <c r="BM651" t="s">
        <v>74</v>
      </c>
      <c r="BN651" t="s">
        <v>74</v>
      </c>
      <c r="BO651" t="s">
        <v>74</v>
      </c>
      <c r="BP651" t="s">
        <v>74</v>
      </c>
      <c r="BQ651" t="s">
        <v>74</v>
      </c>
      <c r="BR651" t="s">
        <v>74</v>
      </c>
      <c r="BS651" t="s">
        <v>3865</v>
      </c>
      <c r="BT651" t="str">
        <f>HYPERLINK("https%3A%2F%2Fwww.webofscience.com%2Fwos%2Fwoscc%2Ffull-record%2FWOS:000357733800005","View Full Record in Web of Science")</f>
        <v>View Full Record in Web of Science</v>
      </c>
    </row>
    <row r="652" spans="1:72" x14ac:dyDescent="0.4">
      <c r="A652" t="s">
        <v>72</v>
      </c>
      <c r="B652" t="s">
        <v>7069</v>
      </c>
      <c r="C652" t="s">
        <v>74</v>
      </c>
      <c r="D652" t="s">
        <v>74</v>
      </c>
      <c r="E652" t="s">
        <v>74</v>
      </c>
      <c r="F652" t="s">
        <v>7070</v>
      </c>
      <c r="G652" t="s">
        <v>74</v>
      </c>
      <c r="H652" t="s">
        <v>74</v>
      </c>
      <c r="I652" t="s">
        <v>7071</v>
      </c>
      <c r="J652" t="s">
        <v>1198</v>
      </c>
      <c r="K652" t="s">
        <v>74</v>
      </c>
      <c r="L652" t="s">
        <v>74</v>
      </c>
      <c r="M652" t="s">
        <v>74</v>
      </c>
      <c r="N652" t="s">
        <v>74</v>
      </c>
      <c r="O652" t="s">
        <v>74</v>
      </c>
      <c r="P652" t="s">
        <v>74</v>
      </c>
      <c r="Q652" t="s">
        <v>74</v>
      </c>
      <c r="R652" t="s">
        <v>74</v>
      </c>
      <c r="S652" t="s">
        <v>74</v>
      </c>
      <c r="T652" t="s">
        <v>74</v>
      </c>
      <c r="U652" t="s">
        <v>74</v>
      </c>
      <c r="V652" s="3" t="s">
        <v>7072</v>
      </c>
      <c r="W652" t="s">
        <v>74</v>
      </c>
      <c r="X652" t="s">
        <v>74</v>
      </c>
      <c r="Y652" t="s">
        <v>74</v>
      </c>
      <c r="Z652" t="s">
        <v>74</v>
      </c>
      <c r="AA652" t="s">
        <v>74</v>
      </c>
      <c r="AB652" t="s">
        <v>74</v>
      </c>
      <c r="AC652" t="s">
        <v>74</v>
      </c>
      <c r="AD652" t="s">
        <v>74</v>
      </c>
      <c r="AE652" t="s">
        <v>74</v>
      </c>
      <c r="AF652" t="s">
        <v>74</v>
      </c>
      <c r="AG652" t="s">
        <v>74</v>
      </c>
      <c r="AH652" t="s">
        <v>74</v>
      </c>
      <c r="AI652" t="s">
        <v>74</v>
      </c>
      <c r="AJ652" t="s">
        <v>74</v>
      </c>
      <c r="AK652" t="s">
        <v>74</v>
      </c>
      <c r="AL652" t="s">
        <v>74</v>
      </c>
      <c r="AM652" t="s">
        <v>74</v>
      </c>
      <c r="AN652" t="s">
        <v>74</v>
      </c>
      <c r="AO652" t="s">
        <v>1202</v>
      </c>
      <c r="AP652" t="s">
        <v>1203</v>
      </c>
      <c r="AQ652" t="s">
        <v>74</v>
      </c>
      <c r="AR652" t="s">
        <v>74</v>
      </c>
      <c r="AS652" t="s">
        <v>74</v>
      </c>
      <c r="AT652" t="s">
        <v>305</v>
      </c>
      <c r="AU652">
        <v>2023</v>
      </c>
      <c r="AV652">
        <v>79</v>
      </c>
      <c r="AW652">
        <v>4</v>
      </c>
      <c r="AX652" t="s">
        <v>74</v>
      </c>
      <c r="AY652" t="s">
        <v>74</v>
      </c>
      <c r="AZ652" t="s">
        <v>74</v>
      </c>
      <c r="BA652" t="s">
        <v>74</v>
      </c>
      <c r="BB652">
        <v>196</v>
      </c>
      <c r="BC652">
        <v>206</v>
      </c>
      <c r="BD652" t="s">
        <v>74</v>
      </c>
      <c r="BE652" t="s">
        <v>7073</v>
      </c>
      <c r="BF652" t="str">
        <f>HYPERLINK("http://dx.doi.org/10.1655/Herpetologica-D-23-00011.s1","http://dx.doi.org/10.1655/Herpetologica-D-23-00011.s1")</f>
        <v>http://dx.doi.org/10.1655/Herpetologica-D-23-00011.s1</v>
      </c>
      <c r="BG652" t="s">
        <v>74</v>
      </c>
      <c r="BH652" t="s">
        <v>74</v>
      </c>
      <c r="BI652" t="s">
        <v>74</v>
      </c>
      <c r="BJ652" t="s">
        <v>74</v>
      </c>
      <c r="BK652" t="s">
        <v>74</v>
      </c>
      <c r="BL652" t="s">
        <v>74</v>
      </c>
      <c r="BM652" t="s">
        <v>74</v>
      </c>
      <c r="BN652" t="s">
        <v>74</v>
      </c>
      <c r="BO652" t="s">
        <v>74</v>
      </c>
      <c r="BP652" t="s">
        <v>74</v>
      </c>
      <c r="BQ652" t="s">
        <v>74</v>
      </c>
      <c r="BR652" t="s">
        <v>74</v>
      </c>
      <c r="BS652" t="s">
        <v>7074</v>
      </c>
      <c r="BT652" t="str">
        <f>HYPERLINK("https%3A%2F%2Fwww.webofscience.com%2Fwos%2Fwoscc%2Ffull-record%2FWOS:001208746500005","View Full Record in Web of Science")</f>
        <v>View Full Record in Web of Science</v>
      </c>
    </row>
    <row r="653" spans="1:72" x14ac:dyDescent="0.4">
      <c r="A653" t="s">
        <v>72</v>
      </c>
      <c r="B653" t="s">
        <v>2180</v>
      </c>
      <c r="C653" t="s">
        <v>74</v>
      </c>
      <c r="D653" t="s">
        <v>74</v>
      </c>
      <c r="E653" t="s">
        <v>74</v>
      </c>
      <c r="F653" t="s">
        <v>2181</v>
      </c>
      <c r="G653" t="s">
        <v>74</v>
      </c>
      <c r="H653" t="s">
        <v>74</v>
      </c>
      <c r="I653" t="s">
        <v>2182</v>
      </c>
      <c r="J653" t="s">
        <v>333</v>
      </c>
      <c r="K653" t="s">
        <v>74</v>
      </c>
      <c r="L653" t="s">
        <v>74</v>
      </c>
      <c r="M653" t="s">
        <v>74</v>
      </c>
      <c r="N653" t="s">
        <v>74</v>
      </c>
      <c r="O653" t="s">
        <v>74</v>
      </c>
      <c r="P653" t="s">
        <v>74</v>
      </c>
      <c r="Q653" t="s">
        <v>74</v>
      </c>
      <c r="R653" t="s">
        <v>74</v>
      </c>
      <c r="S653" t="s">
        <v>74</v>
      </c>
      <c r="T653" t="s">
        <v>74</v>
      </c>
      <c r="U653" t="s">
        <v>74</v>
      </c>
      <c r="V653" s="3" t="s">
        <v>2183</v>
      </c>
      <c r="W653" t="s">
        <v>74</v>
      </c>
      <c r="X653" t="s">
        <v>74</v>
      </c>
      <c r="Y653" t="s">
        <v>74</v>
      </c>
      <c r="Z653" t="s">
        <v>74</v>
      </c>
      <c r="AA653" t="s">
        <v>2184</v>
      </c>
      <c r="AB653" t="s">
        <v>2185</v>
      </c>
      <c r="AC653" t="s">
        <v>74</v>
      </c>
      <c r="AD653" t="s">
        <v>74</v>
      </c>
      <c r="AE653" t="s">
        <v>74</v>
      </c>
      <c r="AF653" t="s">
        <v>74</v>
      </c>
      <c r="AG653" t="s">
        <v>74</v>
      </c>
      <c r="AH653" t="s">
        <v>74</v>
      </c>
      <c r="AI653" t="s">
        <v>74</v>
      </c>
      <c r="AJ653" t="s">
        <v>74</v>
      </c>
      <c r="AK653" t="s">
        <v>74</v>
      </c>
      <c r="AL653" t="s">
        <v>74</v>
      </c>
      <c r="AM653" t="s">
        <v>74</v>
      </c>
      <c r="AN653" t="s">
        <v>74</v>
      </c>
      <c r="AO653" t="s">
        <v>337</v>
      </c>
      <c r="AP653" t="s">
        <v>338</v>
      </c>
      <c r="AQ653" t="s">
        <v>74</v>
      </c>
      <c r="AR653" t="s">
        <v>74</v>
      </c>
      <c r="AS653" t="s">
        <v>74</v>
      </c>
      <c r="AT653" t="s">
        <v>339</v>
      </c>
      <c r="AU653">
        <v>2013</v>
      </c>
      <c r="AV653">
        <v>24</v>
      </c>
      <c r="AW653">
        <v>4</v>
      </c>
      <c r="AX653" t="s">
        <v>74</v>
      </c>
      <c r="AY653" t="s">
        <v>74</v>
      </c>
      <c r="AZ653" t="s">
        <v>74</v>
      </c>
      <c r="BA653" t="s">
        <v>74</v>
      </c>
      <c r="BB653">
        <v>846</v>
      </c>
      <c r="BC653">
        <v>852</v>
      </c>
      <c r="BD653" t="s">
        <v>74</v>
      </c>
      <c r="BE653" t="s">
        <v>2186</v>
      </c>
      <c r="BF653" t="str">
        <f>HYPERLINK("http://dx.doi.org/10.1093/beheco/art027","http://dx.doi.org/10.1093/beheco/art027")</f>
        <v>http://dx.doi.org/10.1093/beheco/art027</v>
      </c>
      <c r="BG653" t="s">
        <v>74</v>
      </c>
      <c r="BH653" t="s">
        <v>74</v>
      </c>
      <c r="BI653" t="s">
        <v>74</v>
      </c>
      <c r="BJ653" t="s">
        <v>74</v>
      </c>
      <c r="BK653" t="s">
        <v>74</v>
      </c>
      <c r="BL653" t="s">
        <v>74</v>
      </c>
      <c r="BM653" t="s">
        <v>74</v>
      </c>
      <c r="BN653" t="s">
        <v>74</v>
      </c>
      <c r="BO653" t="s">
        <v>74</v>
      </c>
      <c r="BP653" t="s">
        <v>74</v>
      </c>
      <c r="BQ653" t="s">
        <v>74</v>
      </c>
      <c r="BR653" t="s">
        <v>74</v>
      </c>
      <c r="BS653" t="s">
        <v>2187</v>
      </c>
      <c r="BT653" t="str">
        <f>HYPERLINK("https%3A%2F%2Fwww.webofscience.com%2Fwos%2Fwoscc%2Ffull-record%2FWOS:000320409900014","View Full Record in Web of Science")</f>
        <v>View Full Record in Web of Science</v>
      </c>
    </row>
    <row r="654" spans="1:72" x14ac:dyDescent="0.4">
      <c r="A654" t="s">
        <v>72</v>
      </c>
      <c r="B654" t="s">
        <v>2705</v>
      </c>
      <c r="C654" t="s">
        <v>74</v>
      </c>
      <c r="D654" t="s">
        <v>74</v>
      </c>
      <c r="E654" t="s">
        <v>74</v>
      </c>
      <c r="F654" t="s">
        <v>2706</v>
      </c>
      <c r="G654" t="s">
        <v>74</v>
      </c>
      <c r="H654" t="s">
        <v>74</v>
      </c>
      <c r="I654" t="s">
        <v>2707</v>
      </c>
      <c r="J654" t="s">
        <v>1198</v>
      </c>
      <c r="K654" t="s">
        <v>74</v>
      </c>
      <c r="L654" t="s">
        <v>74</v>
      </c>
      <c r="M654" t="s">
        <v>74</v>
      </c>
      <c r="N654" t="s">
        <v>74</v>
      </c>
      <c r="O654" t="s">
        <v>74</v>
      </c>
      <c r="P654" t="s">
        <v>74</v>
      </c>
      <c r="Q654" t="s">
        <v>74</v>
      </c>
      <c r="R654" t="s">
        <v>74</v>
      </c>
      <c r="S654" t="s">
        <v>74</v>
      </c>
      <c r="T654" t="s">
        <v>74</v>
      </c>
      <c r="U654" t="s">
        <v>74</v>
      </c>
      <c r="V654" s="3" t="s">
        <v>2708</v>
      </c>
      <c r="W654" t="s">
        <v>74</v>
      </c>
      <c r="X654" t="s">
        <v>74</v>
      </c>
      <c r="Y654" t="s">
        <v>74</v>
      </c>
      <c r="Z654" t="s">
        <v>74</v>
      </c>
      <c r="AA654" t="s">
        <v>74</v>
      </c>
      <c r="AB654" t="s">
        <v>2709</v>
      </c>
      <c r="AC654" t="s">
        <v>74</v>
      </c>
      <c r="AD654" t="s">
        <v>74</v>
      </c>
      <c r="AE654" t="s">
        <v>74</v>
      </c>
      <c r="AF654" t="s">
        <v>74</v>
      </c>
      <c r="AG654" t="s">
        <v>74</v>
      </c>
      <c r="AH654" t="s">
        <v>74</v>
      </c>
      <c r="AI654" t="s">
        <v>74</v>
      </c>
      <c r="AJ654" t="s">
        <v>74</v>
      </c>
      <c r="AK654" t="s">
        <v>74</v>
      </c>
      <c r="AL654" t="s">
        <v>74</v>
      </c>
      <c r="AM654" t="s">
        <v>74</v>
      </c>
      <c r="AN654" t="s">
        <v>74</v>
      </c>
      <c r="AO654" t="s">
        <v>1202</v>
      </c>
      <c r="AP654" t="s">
        <v>1203</v>
      </c>
      <c r="AQ654" t="s">
        <v>74</v>
      </c>
      <c r="AR654" t="s">
        <v>74</v>
      </c>
      <c r="AS654" t="s">
        <v>74</v>
      </c>
      <c r="AT654" t="s">
        <v>102</v>
      </c>
      <c r="AU654">
        <v>2014</v>
      </c>
      <c r="AV654">
        <v>70</v>
      </c>
      <c r="AW654">
        <v>2</v>
      </c>
      <c r="AX654" t="s">
        <v>74</v>
      </c>
      <c r="AY654" t="s">
        <v>74</v>
      </c>
      <c r="AZ654" t="s">
        <v>74</v>
      </c>
      <c r="BA654" t="s">
        <v>74</v>
      </c>
      <c r="BB654">
        <v>157</v>
      </c>
      <c r="BC654">
        <v>170</v>
      </c>
      <c r="BD654" t="s">
        <v>74</v>
      </c>
      <c r="BE654" t="s">
        <v>2710</v>
      </c>
      <c r="BF654" t="str">
        <f>HYPERLINK("http://dx.doi.org/10.1655/HERPETOLOGICA-D-13-00073","http://dx.doi.org/10.1655/HERPETOLOGICA-D-13-00073")</f>
        <v>http://dx.doi.org/10.1655/HERPETOLOGICA-D-13-00073</v>
      </c>
      <c r="BG654" t="s">
        <v>74</v>
      </c>
      <c r="BH654" t="s">
        <v>74</v>
      </c>
      <c r="BI654" t="s">
        <v>74</v>
      </c>
      <c r="BJ654" t="s">
        <v>74</v>
      </c>
      <c r="BK654" t="s">
        <v>74</v>
      </c>
      <c r="BL654" t="s">
        <v>74</v>
      </c>
      <c r="BM654" t="s">
        <v>74</v>
      </c>
      <c r="BN654" t="s">
        <v>74</v>
      </c>
      <c r="BO654" t="s">
        <v>74</v>
      </c>
      <c r="BP654" t="s">
        <v>74</v>
      </c>
      <c r="BQ654" t="s">
        <v>74</v>
      </c>
      <c r="BR654" t="s">
        <v>74</v>
      </c>
      <c r="BS654" t="s">
        <v>2711</v>
      </c>
      <c r="BT654" t="str">
        <f>HYPERLINK("https%3A%2F%2Fwww.webofscience.com%2Fwos%2Fwoscc%2Ffull-record%2FWOS:000336047900004","View Full Record in Web of Science")</f>
        <v>View Full Record in Web of Science</v>
      </c>
    </row>
    <row r="655" spans="1:72" x14ac:dyDescent="0.4">
      <c r="A655" t="s">
        <v>72</v>
      </c>
      <c r="B655" t="s">
        <v>3989</v>
      </c>
      <c r="C655" t="s">
        <v>74</v>
      </c>
      <c r="D655" t="s">
        <v>74</v>
      </c>
      <c r="E655" t="s">
        <v>74</v>
      </c>
      <c r="F655" t="s">
        <v>3990</v>
      </c>
      <c r="G655" t="s">
        <v>74</v>
      </c>
      <c r="H655" t="s">
        <v>74</v>
      </c>
      <c r="I655" t="s">
        <v>3991</v>
      </c>
      <c r="J655" t="s">
        <v>129</v>
      </c>
      <c r="K655" t="s">
        <v>74</v>
      </c>
      <c r="L655" t="s">
        <v>74</v>
      </c>
      <c r="M655" t="s">
        <v>74</v>
      </c>
      <c r="N655" t="s">
        <v>74</v>
      </c>
      <c r="O655" t="s">
        <v>74</v>
      </c>
      <c r="P655" t="s">
        <v>74</v>
      </c>
      <c r="Q655" t="s">
        <v>74</v>
      </c>
      <c r="R655" t="s">
        <v>74</v>
      </c>
      <c r="S655" t="s">
        <v>74</v>
      </c>
      <c r="T655" t="s">
        <v>74</v>
      </c>
      <c r="U655" t="s">
        <v>74</v>
      </c>
      <c r="V655" s="3" t="s">
        <v>3992</v>
      </c>
      <c r="W655" t="s">
        <v>74</v>
      </c>
      <c r="X655" t="s">
        <v>74</v>
      </c>
      <c r="Y655" t="s">
        <v>74</v>
      </c>
      <c r="Z655" t="s">
        <v>74</v>
      </c>
      <c r="AA655" t="s">
        <v>3993</v>
      </c>
      <c r="AB655" t="s">
        <v>3994</v>
      </c>
      <c r="AC655" t="s">
        <v>74</v>
      </c>
      <c r="AD655" t="s">
        <v>74</v>
      </c>
      <c r="AE655" t="s">
        <v>74</v>
      </c>
      <c r="AF655" t="s">
        <v>74</v>
      </c>
      <c r="AG655" t="s">
        <v>74</v>
      </c>
      <c r="AH655" t="s">
        <v>74</v>
      </c>
      <c r="AI655" t="s">
        <v>74</v>
      </c>
      <c r="AJ655" t="s">
        <v>74</v>
      </c>
      <c r="AK655" t="s">
        <v>74</v>
      </c>
      <c r="AL655" t="s">
        <v>74</v>
      </c>
      <c r="AM655" t="s">
        <v>74</v>
      </c>
      <c r="AN655" t="s">
        <v>74</v>
      </c>
      <c r="AO655" t="s">
        <v>132</v>
      </c>
      <c r="AP655" t="s">
        <v>133</v>
      </c>
      <c r="AQ655" t="s">
        <v>74</v>
      </c>
      <c r="AR655" t="s">
        <v>74</v>
      </c>
      <c r="AS655" t="s">
        <v>74</v>
      </c>
      <c r="AT655" t="s">
        <v>633</v>
      </c>
      <c r="AU655">
        <v>2008</v>
      </c>
      <c r="AV655">
        <v>62</v>
      </c>
      <c r="AW655">
        <v>8</v>
      </c>
      <c r="AX655" t="s">
        <v>74</v>
      </c>
      <c r="AY655" t="s">
        <v>74</v>
      </c>
      <c r="AZ655" t="s">
        <v>74</v>
      </c>
      <c r="BA655" t="s">
        <v>74</v>
      </c>
      <c r="BB655">
        <v>1341</v>
      </c>
      <c r="BC655">
        <v>1350</v>
      </c>
      <c r="BD655" t="s">
        <v>74</v>
      </c>
      <c r="BE655" t="s">
        <v>3995</v>
      </c>
      <c r="BF655" t="str">
        <f>HYPERLINK("http://dx.doi.org/10.1007/s00265-008-0562-z","http://dx.doi.org/10.1007/s00265-008-0562-z")</f>
        <v>http://dx.doi.org/10.1007/s00265-008-0562-z</v>
      </c>
      <c r="BG655" t="s">
        <v>74</v>
      </c>
      <c r="BH655" t="s">
        <v>74</v>
      </c>
      <c r="BI655" t="s">
        <v>74</v>
      </c>
      <c r="BJ655" t="s">
        <v>74</v>
      </c>
      <c r="BK655" t="s">
        <v>74</v>
      </c>
      <c r="BL655" t="s">
        <v>74</v>
      </c>
      <c r="BM655" t="s">
        <v>74</v>
      </c>
      <c r="BN655" t="s">
        <v>74</v>
      </c>
      <c r="BO655" t="s">
        <v>74</v>
      </c>
      <c r="BP655" t="s">
        <v>74</v>
      </c>
      <c r="BQ655" t="s">
        <v>74</v>
      </c>
      <c r="BR655" t="s">
        <v>74</v>
      </c>
      <c r="BS655" t="s">
        <v>3996</v>
      </c>
      <c r="BT655" t="str">
        <f>HYPERLINK("https%3A%2F%2Fwww.webofscience.com%2Fwos%2Fwoscc%2Ffull-record%2FWOS:000255851400013","View Full Record in Web of Science")</f>
        <v>View Full Record in Web of Science</v>
      </c>
    </row>
    <row r="656" spans="1:72" x14ac:dyDescent="0.4">
      <c r="A656" t="s">
        <v>72</v>
      </c>
      <c r="B656" t="s">
        <v>7673</v>
      </c>
      <c r="C656" t="s">
        <v>74</v>
      </c>
      <c r="D656" t="s">
        <v>74</v>
      </c>
      <c r="E656" t="s">
        <v>74</v>
      </c>
      <c r="F656" t="s">
        <v>7674</v>
      </c>
      <c r="G656" t="s">
        <v>74</v>
      </c>
      <c r="H656" t="s">
        <v>74</v>
      </c>
      <c r="I656" t="s">
        <v>7675</v>
      </c>
      <c r="J656" t="s">
        <v>610</v>
      </c>
      <c r="K656" t="s">
        <v>74</v>
      </c>
      <c r="L656" t="s">
        <v>74</v>
      </c>
      <c r="M656" t="s">
        <v>74</v>
      </c>
      <c r="N656" t="s">
        <v>74</v>
      </c>
      <c r="O656" t="s">
        <v>74</v>
      </c>
      <c r="P656" t="s">
        <v>74</v>
      </c>
      <c r="Q656" t="s">
        <v>74</v>
      </c>
      <c r="R656" t="s">
        <v>74</v>
      </c>
      <c r="S656" t="s">
        <v>74</v>
      </c>
      <c r="T656" t="s">
        <v>74</v>
      </c>
      <c r="U656" t="s">
        <v>74</v>
      </c>
      <c r="V656" s="3" t="s">
        <v>7676</v>
      </c>
      <c r="W656" t="s">
        <v>74</v>
      </c>
      <c r="X656" t="s">
        <v>74</v>
      </c>
      <c r="Y656" t="s">
        <v>74</v>
      </c>
      <c r="Z656" t="s">
        <v>74</v>
      </c>
      <c r="AA656" t="s">
        <v>74</v>
      </c>
      <c r="AB656" t="s">
        <v>74</v>
      </c>
      <c r="AC656" t="s">
        <v>74</v>
      </c>
      <c r="AD656" t="s">
        <v>74</v>
      </c>
      <c r="AE656" t="s">
        <v>74</v>
      </c>
      <c r="AF656" t="s">
        <v>74</v>
      </c>
      <c r="AG656" t="s">
        <v>74</v>
      </c>
      <c r="AH656" t="s">
        <v>74</v>
      </c>
      <c r="AI656" t="s">
        <v>74</v>
      </c>
      <c r="AJ656" t="s">
        <v>74</v>
      </c>
      <c r="AK656" t="s">
        <v>74</v>
      </c>
      <c r="AL656" t="s">
        <v>74</v>
      </c>
      <c r="AM656" t="s">
        <v>74</v>
      </c>
      <c r="AN656" t="s">
        <v>74</v>
      </c>
      <c r="AO656" t="s">
        <v>614</v>
      </c>
      <c r="AP656" t="s">
        <v>615</v>
      </c>
      <c r="AQ656" t="s">
        <v>74</v>
      </c>
      <c r="AR656" t="s">
        <v>74</v>
      </c>
      <c r="AS656" t="s">
        <v>74</v>
      </c>
      <c r="AT656" t="s">
        <v>145</v>
      </c>
      <c r="AU656">
        <v>2019</v>
      </c>
      <c r="AV656">
        <v>125</v>
      </c>
      <c r="AW656">
        <v>8</v>
      </c>
      <c r="AX656" t="s">
        <v>74</v>
      </c>
      <c r="AY656" t="s">
        <v>74</v>
      </c>
      <c r="AZ656" t="s">
        <v>74</v>
      </c>
      <c r="BA656" t="s">
        <v>74</v>
      </c>
      <c r="BB656">
        <v>575</v>
      </c>
      <c r="BC656">
        <v>586</v>
      </c>
      <c r="BD656" t="s">
        <v>74</v>
      </c>
      <c r="BE656" t="s">
        <v>7677</v>
      </c>
      <c r="BF656" t="str">
        <f>HYPERLINK("http://dx.doi.org/10.1111/eth.12885","http://dx.doi.org/10.1111/eth.12885")</f>
        <v>http://dx.doi.org/10.1111/eth.12885</v>
      </c>
      <c r="BG656" t="s">
        <v>74</v>
      </c>
      <c r="BH656" t="s">
        <v>74</v>
      </c>
      <c r="BI656" t="s">
        <v>74</v>
      </c>
      <c r="BJ656" t="s">
        <v>74</v>
      </c>
      <c r="BK656" t="s">
        <v>74</v>
      </c>
      <c r="BL656" t="s">
        <v>74</v>
      </c>
      <c r="BM656" t="s">
        <v>74</v>
      </c>
      <c r="BN656" t="s">
        <v>74</v>
      </c>
      <c r="BO656" t="s">
        <v>74</v>
      </c>
      <c r="BP656" t="s">
        <v>74</v>
      </c>
      <c r="BQ656" t="s">
        <v>74</v>
      </c>
      <c r="BR656" t="s">
        <v>74</v>
      </c>
      <c r="BS656" t="s">
        <v>7678</v>
      </c>
      <c r="BT656" t="str">
        <f>HYPERLINK("https%3A%2F%2Fwww.webofscience.com%2Fwos%2Fwoscc%2Ffull-record%2FWOS:000474271600009","View Full Record in Web of Science")</f>
        <v>View Full Record in Web of Science</v>
      </c>
    </row>
    <row r="657" spans="1:72" x14ac:dyDescent="0.4">
      <c r="A657" t="s">
        <v>72</v>
      </c>
      <c r="B657" t="s">
        <v>5631</v>
      </c>
      <c r="C657" t="s">
        <v>74</v>
      </c>
      <c r="D657" t="s">
        <v>74</v>
      </c>
      <c r="E657" t="s">
        <v>74</v>
      </c>
      <c r="F657" t="s">
        <v>5632</v>
      </c>
      <c r="G657" t="s">
        <v>74</v>
      </c>
      <c r="H657" t="s">
        <v>74</v>
      </c>
      <c r="I657" t="s">
        <v>5633</v>
      </c>
      <c r="J657" t="s">
        <v>1549</v>
      </c>
      <c r="K657" t="s">
        <v>74</v>
      </c>
      <c r="L657" t="s">
        <v>74</v>
      </c>
      <c r="M657" t="s">
        <v>74</v>
      </c>
      <c r="N657" t="s">
        <v>74</v>
      </c>
      <c r="O657" t="s">
        <v>74</v>
      </c>
      <c r="P657" t="s">
        <v>74</v>
      </c>
      <c r="Q657" t="s">
        <v>74</v>
      </c>
      <c r="R657" t="s">
        <v>74</v>
      </c>
      <c r="S657" t="s">
        <v>74</v>
      </c>
      <c r="T657" t="s">
        <v>74</v>
      </c>
      <c r="U657" t="s">
        <v>74</v>
      </c>
      <c r="V657" s="3" t="s">
        <v>5634</v>
      </c>
      <c r="W657" t="s">
        <v>74</v>
      </c>
      <c r="X657" t="s">
        <v>74</v>
      </c>
      <c r="Y657" t="s">
        <v>74</v>
      </c>
      <c r="Z657" t="s">
        <v>74</v>
      </c>
      <c r="AA657" t="s">
        <v>74</v>
      </c>
      <c r="AB657" t="s">
        <v>5635</v>
      </c>
      <c r="AC657" t="s">
        <v>74</v>
      </c>
      <c r="AD657" t="s">
        <v>74</v>
      </c>
      <c r="AE657" t="s">
        <v>74</v>
      </c>
      <c r="AF657" t="s">
        <v>74</v>
      </c>
      <c r="AG657" t="s">
        <v>74</v>
      </c>
      <c r="AH657" t="s">
        <v>74</v>
      </c>
      <c r="AI657" t="s">
        <v>74</v>
      </c>
      <c r="AJ657" t="s">
        <v>74</v>
      </c>
      <c r="AK657" t="s">
        <v>74</v>
      </c>
      <c r="AL657" t="s">
        <v>74</v>
      </c>
      <c r="AM657" t="s">
        <v>74</v>
      </c>
      <c r="AN657" t="s">
        <v>74</v>
      </c>
      <c r="AO657" t="s">
        <v>1551</v>
      </c>
      <c r="AP657" t="s">
        <v>74</v>
      </c>
      <c r="AQ657" t="s">
        <v>74</v>
      </c>
      <c r="AR657" t="s">
        <v>74</v>
      </c>
      <c r="AS657" t="s">
        <v>74</v>
      </c>
      <c r="AT657" t="s">
        <v>102</v>
      </c>
      <c r="AU657">
        <v>2012</v>
      </c>
      <c r="AV657">
        <v>37</v>
      </c>
      <c r="AW657">
        <v>2</v>
      </c>
      <c r="AX657" t="s">
        <v>74</v>
      </c>
      <c r="AY657" t="s">
        <v>74</v>
      </c>
      <c r="AZ657" t="s">
        <v>74</v>
      </c>
      <c r="BA657" t="s">
        <v>74</v>
      </c>
      <c r="BB657">
        <v>109</v>
      </c>
      <c r="BC657">
        <v>118</v>
      </c>
      <c r="BD657" t="s">
        <v>74</v>
      </c>
      <c r="BE657" t="s">
        <v>5636</v>
      </c>
      <c r="BF657" t="str">
        <f>HYPERLINK("http://dx.doi.org/10.1111/j.1365-3032.2011.00812.x","http://dx.doi.org/10.1111/j.1365-3032.2011.00812.x")</f>
        <v>http://dx.doi.org/10.1111/j.1365-3032.2011.00812.x</v>
      </c>
      <c r="BG657" t="s">
        <v>74</v>
      </c>
      <c r="BH657" t="s">
        <v>74</v>
      </c>
      <c r="BI657" t="s">
        <v>74</v>
      </c>
      <c r="BJ657" t="s">
        <v>74</v>
      </c>
      <c r="BK657" t="s">
        <v>74</v>
      </c>
      <c r="BL657" t="s">
        <v>74</v>
      </c>
      <c r="BM657" t="s">
        <v>74</v>
      </c>
      <c r="BN657" t="s">
        <v>74</v>
      </c>
      <c r="BO657" t="s">
        <v>74</v>
      </c>
      <c r="BP657" t="s">
        <v>74</v>
      </c>
      <c r="BQ657" t="s">
        <v>74</v>
      </c>
      <c r="BR657" t="s">
        <v>74</v>
      </c>
      <c r="BS657" t="s">
        <v>5637</v>
      </c>
      <c r="BT657" t="str">
        <f>HYPERLINK("https%3A%2F%2Fwww.webofscience.com%2Fwos%2Fwoscc%2Ffull-record%2FWOS:000304091500002","View Full Record in Web of Science")</f>
        <v>View Full Record in Web of Science</v>
      </c>
    </row>
    <row r="658" spans="1:72" x14ac:dyDescent="0.4">
      <c r="A658" t="s">
        <v>72</v>
      </c>
      <c r="B658" t="s">
        <v>1102</v>
      </c>
      <c r="C658" t="s">
        <v>74</v>
      </c>
      <c r="D658" t="s">
        <v>74</v>
      </c>
      <c r="E658" t="s">
        <v>74</v>
      </c>
      <c r="F658" t="s">
        <v>1103</v>
      </c>
      <c r="G658" t="s">
        <v>74</v>
      </c>
      <c r="H658" t="s">
        <v>74</v>
      </c>
      <c r="I658" t="s">
        <v>1104</v>
      </c>
      <c r="J658" t="s">
        <v>1044</v>
      </c>
      <c r="K658" t="s">
        <v>74</v>
      </c>
      <c r="L658" t="s">
        <v>74</v>
      </c>
      <c r="M658" t="s">
        <v>74</v>
      </c>
      <c r="N658" t="s">
        <v>74</v>
      </c>
      <c r="O658" t="s">
        <v>74</v>
      </c>
      <c r="P658" t="s">
        <v>74</v>
      </c>
      <c r="Q658" t="s">
        <v>74</v>
      </c>
      <c r="R658" t="s">
        <v>74</v>
      </c>
      <c r="S658" t="s">
        <v>74</v>
      </c>
      <c r="T658" t="s">
        <v>74</v>
      </c>
      <c r="U658" t="s">
        <v>74</v>
      </c>
      <c r="V658" s="3" t="s">
        <v>1105</v>
      </c>
      <c r="W658" t="s">
        <v>74</v>
      </c>
      <c r="X658" t="s">
        <v>74</v>
      </c>
      <c r="Y658" t="s">
        <v>74</v>
      </c>
      <c r="Z658" t="s">
        <v>74</v>
      </c>
      <c r="AA658" t="s">
        <v>1106</v>
      </c>
      <c r="AB658" t="s">
        <v>1107</v>
      </c>
      <c r="AC658" t="s">
        <v>74</v>
      </c>
      <c r="AD658" t="s">
        <v>74</v>
      </c>
      <c r="AE658" t="s">
        <v>74</v>
      </c>
      <c r="AF658" t="s">
        <v>74</v>
      </c>
      <c r="AG658" t="s">
        <v>74</v>
      </c>
      <c r="AH658" t="s">
        <v>74</v>
      </c>
      <c r="AI658" t="s">
        <v>74</v>
      </c>
      <c r="AJ658" t="s">
        <v>74</v>
      </c>
      <c r="AK658" t="s">
        <v>74</v>
      </c>
      <c r="AL658" t="s">
        <v>74</v>
      </c>
      <c r="AM658" t="s">
        <v>74</v>
      </c>
      <c r="AN658" t="s">
        <v>74</v>
      </c>
      <c r="AO658" t="s">
        <v>1048</v>
      </c>
      <c r="AP658" t="s">
        <v>74</v>
      </c>
      <c r="AQ658" t="s">
        <v>74</v>
      </c>
      <c r="AR658" t="s">
        <v>74</v>
      </c>
      <c r="AS658" t="s">
        <v>74</v>
      </c>
      <c r="AT658" t="s">
        <v>145</v>
      </c>
      <c r="AU658">
        <v>2010</v>
      </c>
      <c r="AV658">
        <v>19</v>
      </c>
      <c r="AW658">
        <v>16</v>
      </c>
      <c r="AX658" t="s">
        <v>74</v>
      </c>
      <c r="AY658" t="s">
        <v>74</v>
      </c>
      <c r="AZ658" t="s">
        <v>74</v>
      </c>
      <c r="BA658" t="s">
        <v>74</v>
      </c>
      <c r="BB658">
        <v>3285</v>
      </c>
      <c r="BC658">
        <v>3300</v>
      </c>
      <c r="BD658" t="s">
        <v>74</v>
      </c>
      <c r="BE658" t="s">
        <v>1108</v>
      </c>
      <c r="BF658" t="str">
        <f>HYPERLINK("http://dx.doi.org/10.1111/j.1365-294X.2010.04751.x","http://dx.doi.org/10.1111/j.1365-294X.2010.04751.x")</f>
        <v>http://dx.doi.org/10.1111/j.1365-294X.2010.04751.x</v>
      </c>
      <c r="BG658" t="s">
        <v>74</v>
      </c>
      <c r="BH658" t="s">
        <v>74</v>
      </c>
      <c r="BI658" t="s">
        <v>74</v>
      </c>
      <c r="BJ658" t="s">
        <v>74</v>
      </c>
      <c r="BK658" t="s">
        <v>74</v>
      </c>
      <c r="BL658" t="s">
        <v>74</v>
      </c>
      <c r="BM658" t="s">
        <v>74</v>
      </c>
      <c r="BN658">
        <v>20659245</v>
      </c>
      <c r="BO658" t="s">
        <v>74</v>
      </c>
      <c r="BP658" t="s">
        <v>74</v>
      </c>
      <c r="BQ658" t="s">
        <v>74</v>
      </c>
      <c r="BR658" t="s">
        <v>74</v>
      </c>
      <c r="BS658" t="s">
        <v>1109</v>
      </c>
      <c r="BT658" t="str">
        <f>HYPERLINK("https%3A%2F%2Fwww.webofscience.com%2Fwos%2Fwoscc%2Ffull-record%2FWOS:000208393200001","View Full Record in Web of Science")</f>
        <v>View Full Record in Web of Science</v>
      </c>
    </row>
    <row r="659" spans="1:72" x14ac:dyDescent="0.4">
      <c r="A659" t="s">
        <v>72</v>
      </c>
      <c r="B659" t="s">
        <v>3448</v>
      </c>
      <c r="C659" t="s">
        <v>74</v>
      </c>
      <c r="D659" t="s">
        <v>74</v>
      </c>
      <c r="E659" t="s">
        <v>74</v>
      </c>
      <c r="F659" t="s">
        <v>3449</v>
      </c>
      <c r="G659" t="s">
        <v>74</v>
      </c>
      <c r="H659" t="s">
        <v>74</v>
      </c>
      <c r="I659" t="s">
        <v>3450</v>
      </c>
      <c r="J659" t="s">
        <v>3451</v>
      </c>
      <c r="K659" t="s">
        <v>74</v>
      </c>
      <c r="L659" t="s">
        <v>74</v>
      </c>
      <c r="M659" t="s">
        <v>74</v>
      </c>
      <c r="N659" t="s">
        <v>74</v>
      </c>
      <c r="O659" t="s">
        <v>74</v>
      </c>
      <c r="P659" t="s">
        <v>74</v>
      </c>
      <c r="Q659" t="s">
        <v>74</v>
      </c>
      <c r="R659" t="s">
        <v>74</v>
      </c>
      <c r="S659" t="s">
        <v>74</v>
      </c>
      <c r="T659" t="s">
        <v>74</v>
      </c>
      <c r="U659" t="s">
        <v>74</v>
      </c>
      <c r="V659" s="3" t="s">
        <v>3452</v>
      </c>
      <c r="W659" t="s">
        <v>74</v>
      </c>
      <c r="X659" t="s">
        <v>74</v>
      </c>
      <c r="Y659" t="s">
        <v>74</v>
      </c>
      <c r="Z659" t="s">
        <v>74</v>
      </c>
      <c r="AA659" t="s">
        <v>3453</v>
      </c>
      <c r="AB659" t="s">
        <v>1610</v>
      </c>
      <c r="AC659" t="s">
        <v>74</v>
      </c>
      <c r="AD659" t="s">
        <v>74</v>
      </c>
      <c r="AE659" t="s">
        <v>74</v>
      </c>
      <c r="AF659" t="s">
        <v>74</v>
      </c>
      <c r="AG659" t="s">
        <v>74</v>
      </c>
      <c r="AH659" t="s">
        <v>74</v>
      </c>
      <c r="AI659" t="s">
        <v>74</v>
      </c>
      <c r="AJ659" t="s">
        <v>74</v>
      </c>
      <c r="AK659" t="s">
        <v>74</v>
      </c>
      <c r="AL659" t="s">
        <v>74</v>
      </c>
      <c r="AM659" t="s">
        <v>74</v>
      </c>
      <c r="AN659" t="s">
        <v>74</v>
      </c>
      <c r="AO659" t="s">
        <v>3454</v>
      </c>
      <c r="AP659" t="s">
        <v>74</v>
      </c>
      <c r="AQ659" t="s">
        <v>74</v>
      </c>
      <c r="AR659" t="s">
        <v>74</v>
      </c>
      <c r="AS659" t="s">
        <v>74</v>
      </c>
      <c r="AT659" t="s">
        <v>213</v>
      </c>
      <c r="AU659">
        <v>2010</v>
      </c>
      <c r="AV659">
        <v>81</v>
      </c>
      <c r="AW659">
        <v>3</v>
      </c>
      <c r="AX659" t="s">
        <v>74</v>
      </c>
      <c r="AY659" t="s">
        <v>74</v>
      </c>
      <c r="AZ659" t="s">
        <v>74</v>
      </c>
      <c r="BA659" t="s">
        <v>74</v>
      </c>
      <c r="BB659">
        <v>247</v>
      </c>
      <c r="BC659">
        <v>250</v>
      </c>
      <c r="BD659" t="s">
        <v>3455</v>
      </c>
      <c r="BE659" t="s">
        <v>3456</v>
      </c>
      <c r="BF659" t="str">
        <f>HYPERLINK("http://dx.doi.org/10.2989/00306525.2010.519864","http://dx.doi.org/10.2989/00306525.2010.519864")</f>
        <v>http://dx.doi.org/10.2989/00306525.2010.519864</v>
      </c>
      <c r="BG659" t="s">
        <v>74</v>
      </c>
      <c r="BH659" t="s">
        <v>74</v>
      </c>
      <c r="BI659" t="s">
        <v>74</v>
      </c>
      <c r="BJ659" t="s">
        <v>74</v>
      </c>
      <c r="BK659" t="s">
        <v>74</v>
      </c>
      <c r="BL659" t="s">
        <v>74</v>
      </c>
      <c r="BM659" t="s">
        <v>74</v>
      </c>
      <c r="BN659" t="s">
        <v>74</v>
      </c>
      <c r="BO659" t="s">
        <v>74</v>
      </c>
      <c r="BP659" t="s">
        <v>74</v>
      </c>
      <c r="BQ659" t="s">
        <v>74</v>
      </c>
      <c r="BR659" t="s">
        <v>74</v>
      </c>
      <c r="BS659" t="s">
        <v>3457</v>
      </c>
      <c r="BT659" t="str">
        <f>HYPERLINK("https%3A%2F%2Fwww.webofscience.com%2Fwos%2Fwoscc%2Ffull-record%2FWOS:000284229300012","View Full Record in Web of Science")</f>
        <v>View Full Record in Web of Science</v>
      </c>
    </row>
    <row r="660" spans="1:72" x14ac:dyDescent="0.4">
      <c r="A660" t="s">
        <v>72</v>
      </c>
      <c r="B660" t="s">
        <v>2121</v>
      </c>
      <c r="C660" t="s">
        <v>74</v>
      </c>
      <c r="D660" t="s">
        <v>74</v>
      </c>
      <c r="E660" t="s">
        <v>74</v>
      </c>
      <c r="F660" t="s">
        <v>2121</v>
      </c>
      <c r="G660" t="s">
        <v>74</v>
      </c>
      <c r="H660" t="s">
        <v>74</v>
      </c>
      <c r="I660" t="s">
        <v>2122</v>
      </c>
      <c r="J660" t="s">
        <v>77</v>
      </c>
      <c r="K660" t="s">
        <v>74</v>
      </c>
      <c r="L660" t="s">
        <v>74</v>
      </c>
      <c r="M660" t="s">
        <v>74</v>
      </c>
      <c r="N660" t="s">
        <v>74</v>
      </c>
      <c r="O660" t="s">
        <v>74</v>
      </c>
      <c r="P660" t="s">
        <v>74</v>
      </c>
      <c r="Q660" t="s">
        <v>74</v>
      </c>
      <c r="R660" t="s">
        <v>74</v>
      </c>
      <c r="S660" t="s">
        <v>74</v>
      </c>
      <c r="T660" t="s">
        <v>74</v>
      </c>
      <c r="U660" t="s">
        <v>74</v>
      </c>
      <c r="V660" s="3" t="s">
        <v>2123</v>
      </c>
      <c r="W660" t="s">
        <v>74</v>
      </c>
      <c r="X660" t="s">
        <v>74</v>
      </c>
      <c r="Y660" t="s">
        <v>74</v>
      </c>
      <c r="Z660" t="s">
        <v>74</v>
      </c>
      <c r="AA660" t="s">
        <v>2124</v>
      </c>
      <c r="AB660" t="s">
        <v>2125</v>
      </c>
      <c r="AC660" t="s">
        <v>74</v>
      </c>
      <c r="AD660" t="s">
        <v>74</v>
      </c>
      <c r="AE660" t="s">
        <v>74</v>
      </c>
      <c r="AF660" t="s">
        <v>74</v>
      </c>
      <c r="AG660" t="s">
        <v>74</v>
      </c>
      <c r="AH660" t="s">
        <v>74</v>
      </c>
      <c r="AI660" t="s">
        <v>74</v>
      </c>
      <c r="AJ660" t="s">
        <v>74</v>
      </c>
      <c r="AK660" t="s">
        <v>74</v>
      </c>
      <c r="AL660" t="s">
        <v>74</v>
      </c>
      <c r="AM660" t="s">
        <v>74</v>
      </c>
      <c r="AN660" t="s">
        <v>74</v>
      </c>
      <c r="AO660" t="s">
        <v>81</v>
      </c>
      <c r="AP660" t="s">
        <v>74</v>
      </c>
      <c r="AQ660" t="s">
        <v>74</v>
      </c>
      <c r="AR660" t="s">
        <v>74</v>
      </c>
      <c r="AS660" t="s">
        <v>74</v>
      </c>
      <c r="AT660" t="s">
        <v>352</v>
      </c>
      <c r="AU660">
        <v>1991</v>
      </c>
      <c r="AV660">
        <v>118</v>
      </c>
      <c r="AW660" t="s">
        <v>74</v>
      </c>
      <c r="AX660" t="s">
        <v>1276</v>
      </c>
      <c r="AY660" t="s">
        <v>74</v>
      </c>
      <c r="AZ660" t="s">
        <v>74</v>
      </c>
      <c r="BA660" t="s">
        <v>74</v>
      </c>
      <c r="BB660">
        <v>214</v>
      </c>
      <c r="BC660">
        <v>234</v>
      </c>
      <c r="BD660" t="s">
        <v>74</v>
      </c>
      <c r="BE660" t="s">
        <v>2126</v>
      </c>
      <c r="BF660" t="str">
        <f>HYPERLINK("http://dx.doi.org/10.1163/156853991X00292","http://dx.doi.org/10.1163/156853991X00292")</f>
        <v>http://dx.doi.org/10.1163/156853991X00292</v>
      </c>
      <c r="BG660" t="s">
        <v>74</v>
      </c>
      <c r="BH660" t="s">
        <v>74</v>
      </c>
      <c r="BI660" t="s">
        <v>74</v>
      </c>
      <c r="BJ660" t="s">
        <v>74</v>
      </c>
      <c r="BK660" t="s">
        <v>74</v>
      </c>
      <c r="BL660" t="s">
        <v>74</v>
      </c>
      <c r="BM660" t="s">
        <v>74</v>
      </c>
      <c r="BN660" t="s">
        <v>74</v>
      </c>
      <c r="BO660" t="s">
        <v>74</v>
      </c>
      <c r="BP660" t="s">
        <v>74</v>
      </c>
      <c r="BQ660" t="s">
        <v>74</v>
      </c>
      <c r="BR660" t="s">
        <v>74</v>
      </c>
      <c r="BS660" t="s">
        <v>2127</v>
      </c>
      <c r="BT660" t="str">
        <f>HYPERLINK("https%3A%2F%2Fwww.webofscience.com%2Fwos%2Fwoscc%2Ffull-record%2FWOS:A1991GT42800004","View Full Record in Web of Science")</f>
        <v>View Full Record in Web of Science</v>
      </c>
    </row>
    <row r="661" spans="1:72" x14ac:dyDescent="0.4">
      <c r="A661" t="s">
        <v>72</v>
      </c>
      <c r="B661" t="s">
        <v>7943</v>
      </c>
      <c r="C661" t="s">
        <v>74</v>
      </c>
      <c r="D661" t="s">
        <v>74</v>
      </c>
      <c r="E661" t="s">
        <v>74</v>
      </c>
      <c r="F661" t="s">
        <v>7943</v>
      </c>
      <c r="G661" t="s">
        <v>74</v>
      </c>
      <c r="H661" t="s">
        <v>74</v>
      </c>
      <c r="I661" t="s">
        <v>7944</v>
      </c>
      <c r="J661" t="s">
        <v>5065</v>
      </c>
      <c r="K661" t="s">
        <v>74</v>
      </c>
      <c r="L661" t="s">
        <v>74</v>
      </c>
      <c r="M661" t="s">
        <v>74</v>
      </c>
      <c r="N661" t="s">
        <v>74</v>
      </c>
      <c r="O661" t="s">
        <v>7945</v>
      </c>
      <c r="P661" t="s">
        <v>7946</v>
      </c>
      <c r="Q661" t="s">
        <v>7947</v>
      </c>
      <c r="R661" t="s">
        <v>7948</v>
      </c>
      <c r="S661" t="s">
        <v>7949</v>
      </c>
      <c r="T661" t="s">
        <v>74</v>
      </c>
      <c r="U661" t="s">
        <v>74</v>
      </c>
      <c r="V661" s="3" t="s">
        <v>7950</v>
      </c>
      <c r="W661" t="s">
        <v>74</v>
      </c>
      <c r="X661" t="s">
        <v>74</v>
      </c>
      <c r="Y661" t="s">
        <v>74</v>
      </c>
      <c r="Z661" t="s">
        <v>74</v>
      </c>
      <c r="AA661" t="s">
        <v>2124</v>
      </c>
      <c r="AB661" t="s">
        <v>74</v>
      </c>
      <c r="AC661" t="s">
        <v>74</v>
      </c>
      <c r="AD661" t="s">
        <v>74</v>
      </c>
      <c r="AE661" t="s">
        <v>74</v>
      </c>
      <c r="AF661" t="s">
        <v>74</v>
      </c>
      <c r="AG661" t="s">
        <v>74</v>
      </c>
      <c r="AH661" t="s">
        <v>74</v>
      </c>
      <c r="AI661" t="s">
        <v>74</v>
      </c>
      <c r="AJ661" t="s">
        <v>74</v>
      </c>
      <c r="AK661" t="s">
        <v>74</v>
      </c>
      <c r="AL661" t="s">
        <v>74</v>
      </c>
      <c r="AM661" t="s">
        <v>74</v>
      </c>
      <c r="AN661" t="s">
        <v>74</v>
      </c>
      <c r="AO661" t="s">
        <v>5068</v>
      </c>
      <c r="AP661" t="s">
        <v>74</v>
      </c>
      <c r="AQ661" t="s">
        <v>74</v>
      </c>
      <c r="AR661" t="s">
        <v>74</v>
      </c>
      <c r="AS661" t="s">
        <v>74</v>
      </c>
      <c r="AT661" t="s">
        <v>74</v>
      </c>
      <c r="AU661">
        <v>1993</v>
      </c>
      <c r="AV661">
        <v>23</v>
      </c>
      <c r="AW661" t="s">
        <v>3743</v>
      </c>
      <c r="AX661" t="s">
        <v>74</v>
      </c>
      <c r="AY661" t="s">
        <v>74</v>
      </c>
      <c r="AZ661" t="s">
        <v>74</v>
      </c>
      <c r="BA661" t="s">
        <v>74</v>
      </c>
      <c r="BB661">
        <v>29</v>
      </c>
      <c r="BC661">
        <v>44</v>
      </c>
      <c r="BD661" t="s">
        <v>74</v>
      </c>
      <c r="BE661" t="s">
        <v>7951</v>
      </c>
      <c r="BF661" t="str">
        <f>HYPERLINK("http://dx.doi.org/10.1080/10236249309378855","http://dx.doi.org/10.1080/10236249309378855")</f>
        <v>http://dx.doi.org/10.1080/10236249309378855</v>
      </c>
      <c r="BG661" t="s">
        <v>74</v>
      </c>
      <c r="BH661" t="s">
        <v>74</v>
      </c>
      <c r="BI661" t="s">
        <v>74</v>
      </c>
      <c r="BJ661" t="s">
        <v>74</v>
      </c>
      <c r="BK661" t="s">
        <v>74</v>
      </c>
      <c r="BL661" t="s">
        <v>74</v>
      </c>
      <c r="BM661" t="s">
        <v>74</v>
      </c>
      <c r="BN661" t="s">
        <v>74</v>
      </c>
      <c r="BO661" t="s">
        <v>74</v>
      </c>
      <c r="BP661" t="s">
        <v>74</v>
      </c>
      <c r="BQ661" t="s">
        <v>74</v>
      </c>
      <c r="BR661" t="s">
        <v>74</v>
      </c>
      <c r="BS661" t="s">
        <v>7952</v>
      </c>
      <c r="BT661" t="str">
        <f>HYPERLINK("https%3A%2F%2Fwww.webofscience.com%2Fwos%2Fwoscc%2Ffull-record%2FWOS:A1993MN22500006","View Full Record in Web of Science")</f>
        <v>View Full Record in Web of Science</v>
      </c>
    </row>
    <row r="662" spans="1:72" x14ac:dyDescent="0.4">
      <c r="A662" t="s">
        <v>72</v>
      </c>
      <c r="B662" t="s">
        <v>7220</v>
      </c>
      <c r="C662" t="s">
        <v>74</v>
      </c>
      <c r="D662" t="s">
        <v>74</v>
      </c>
      <c r="E662" t="s">
        <v>74</v>
      </c>
      <c r="F662" t="s">
        <v>7221</v>
      </c>
      <c r="G662" t="s">
        <v>74</v>
      </c>
      <c r="H662" t="s">
        <v>74</v>
      </c>
      <c r="I662" t="s">
        <v>7222</v>
      </c>
      <c r="J662" t="s">
        <v>1656</v>
      </c>
      <c r="K662" t="s">
        <v>74</v>
      </c>
      <c r="L662" t="s">
        <v>74</v>
      </c>
      <c r="M662" t="s">
        <v>74</v>
      </c>
      <c r="N662" t="s">
        <v>74</v>
      </c>
      <c r="O662" t="s">
        <v>74</v>
      </c>
      <c r="P662" t="s">
        <v>74</v>
      </c>
      <c r="Q662" t="s">
        <v>74</v>
      </c>
      <c r="R662" t="s">
        <v>74</v>
      </c>
      <c r="S662" t="s">
        <v>74</v>
      </c>
      <c r="T662" t="s">
        <v>74</v>
      </c>
      <c r="U662" t="s">
        <v>74</v>
      </c>
      <c r="V662" s="3" t="s">
        <v>7223</v>
      </c>
      <c r="W662" t="s">
        <v>74</v>
      </c>
      <c r="X662" t="s">
        <v>74</v>
      </c>
      <c r="Y662" t="s">
        <v>74</v>
      </c>
      <c r="Z662" t="s">
        <v>74</v>
      </c>
      <c r="AA662" t="s">
        <v>7224</v>
      </c>
      <c r="AB662" t="s">
        <v>7225</v>
      </c>
      <c r="AC662" t="s">
        <v>74</v>
      </c>
      <c r="AD662" t="s">
        <v>74</v>
      </c>
      <c r="AE662" t="s">
        <v>74</v>
      </c>
      <c r="AF662" t="s">
        <v>74</v>
      </c>
      <c r="AG662" t="s">
        <v>74</v>
      </c>
      <c r="AH662" t="s">
        <v>74</v>
      </c>
      <c r="AI662" t="s">
        <v>74</v>
      </c>
      <c r="AJ662" t="s">
        <v>74</v>
      </c>
      <c r="AK662" t="s">
        <v>74</v>
      </c>
      <c r="AL662" t="s">
        <v>74</v>
      </c>
      <c r="AM662" t="s">
        <v>74</v>
      </c>
      <c r="AN662" t="s">
        <v>74</v>
      </c>
      <c r="AO662" t="s">
        <v>1658</v>
      </c>
      <c r="AP662" t="s">
        <v>1659</v>
      </c>
      <c r="AQ662" t="s">
        <v>74</v>
      </c>
      <c r="AR662" t="s">
        <v>74</v>
      </c>
      <c r="AS662" t="s">
        <v>74</v>
      </c>
      <c r="AT662" t="s">
        <v>2492</v>
      </c>
      <c r="AU662">
        <v>2021</v>
      </c>
      <c r="AV662">
        <v>5072</v>
      </c>
      <c r="AW662">
        <v>3</v>
      </c>
      <c r="AX662" t="s">
        <v>74</v>
      </c>
      <c r="AY662" t="s">
        <v>74</v>
      </c>
      <c r="AZ662" t="s">
        <v>74</v>
      </c>
      <c r="BA662" t="s">
        <v>74</v>
      </c>
      <c r="BB662">
        <v>201</v>
      </c>
      <c r="BC662">
        <v>237</v>
      </c>
      <c r="BD662" t="s">
        <v>74</v>
      </c>
      <c r="BE662" t="s">
        <v>7226</v>
      </c>
      <c r="BF662" t="str">
        <f>HYPERLINK("http://dx.doi.org/10.11646/zootaxa.5072.3.1","http://dx.doi.org/10.11646/zootaxa.5072.3.1")</f>
        <v>http://dx.doi.org/10.11646/zootaxa.5072.3.1</v>
      </c>
      <c r="BG662" t="s">
        <v>74</v>
      </c>
      <c r="BH662" t="s">
        <v>74</v>
      </c>
      <c r="BI662" t="s">
        <v>74</v>
      </c>
      <c r="BJ662" t="s">
        <v>74</v>
      </c>
      <c r="BK662" t="s">
        <v>74</v>
      </c>
      <c r="BL662" t="s">
        <v>74</v>
      </c>
      <c r="BM662" t="s">
        <v>74</v>
      </c>
      <c r="BN662">
        <v>35390870</v>
      </c>
      <c r="BO662" t="s">
        <v>74</v>
      </c>
      <c r="BP662" t="s">
        <v>74</v>
      </c>
      <c r="BQ662" t="s">
        <v>74</v>
      </c>
      <c r="BR662" t="s">
        <v>74</v>
      </c>
      <c r="BS662" t="s">
        <v>7227</v>
      </c>
      <c r="BT662" t="str">
        <f>HYPERLINK("https%3A%2F%2Fwww.webofscience.com%2Fwos%2Fwoscc%2Ffull-record%2FWOS:000725866700001","View Full Record in Web of Science")</f>
        <v>View Full Record in Web of Science</v>
      </c>
    </row>
    <row r="663" spans="1:72" x14ac:dyDescent="0.4">
      <c r="A663" t="s">
        <v>72</v>
      </c>
      <c r="B663" t="s">
        <v>4548</v>
      </c>
      <c r="C663" t="s">
        <v>74</v>
      </c>
      <c r="D663" t="s">
        <v>74</v>
      </c>
      <c r="E663" t="s">
        <v>74</v>
      </c>
      <c r="F663" t="s">
        <v>4549</v>
      </c>
      <c r="G663" t="s">
        <v>74</v>
      </c>
      <c r="H663" t="s">
        <v>74</v>
      </c>
      <c r="I663" t="s">
        <v>4550</v>
      </c>
      <c r="J663" t="s">
        <v>4551</v>
      </c>
      <c r="K663" t="s">
        <v>74</v>
      </c>
      <c r="L663" t="s">
        <v>74</v>
      </c>
      <c r="M663" t="s">
        <v>74</v>
      </c>
      <c r="N663" t="s">
        <v>74</v>
      </c>
      <c r="O663" t="s">
        <v>74</v>
      </c>
      <c r="P663" t="s">
        <v>74</v>
      </c>
      <c r="Q663" t="s">
        <v>74</v>
      </c>
      <c r="R663" t="s">
        <v>74</v>
      </c>
      <c r="S663" t="s">
        <v>74</v>
      </c>
      <c r="T663" t="s">
        <v>74</v>
      </c>
      <c r="U663" t="s">
        <v>74</v>
      </c>
      <c r="V663" s="3" t="s">
        <v>4552</v>
      </c>
      <c r="W663" t="s">
        <v>74</v>
      </c>
      <c r="X663" t="s">
        <v>74</v>
      </c>
      <c r="Y663" t="s">
        <v>74</v>
      </c>
      <c r="Z663" t="s">
        <v>74</v>
      </c>
      <c r="AA663" t="s">
        <v>4553</v>
      </c>
      <c r="AB663" t="s">
        <v>4554</v>
      </c>
      <c r="AC663" t="s">
        <v>74</v>
      </c>
      <c r="AD663" t="s">
        <v>74</v>
      </c>
      <c r="AE663" t="s">
        <v>74</v>
      </c>
      <c r="AF663" t="s">
        <v>74</v>
      </c>
      <c r="AG663" t="s">
        <v>74</v>
      </c>
      <c r="AH663" t="s">
        <v>74</v>
      </c>
      <c r="AI663" t="s">
        <v>74</v>
      </c>
      <c r="AJ663" t="s">
        <v>74</v>
      </c>
      <c r="AK663" t="s">
        <v>74</v>
      </c>
      <c r="AL663" t="s">
        <v>74</v>
      </c>
      <c r="AM663" t="s">
        <v>74</v>
      </c>
      <c r="AN663" t="s">
        <v>74</v>
      </c>
      <c r="AO663" t="s">
        <v>4555</v>
      </c>
      <c r="AP663" t="s">
        <v>4556</v>
      </c>
      <c r="AQ663" t="s">
        <v>74</v>
      </c>
      <c r="AR663" t="s">
        <v>74</v>
      </c>
      <c r="AS663" t="s">
        <v>74</v>
      </c>
      <c r="AT663" t="s">
        <v>4557</v>
      </c>
      <c r="AU663">
        <v>2023</v>
      </c>
      <c r="AV663">
        <v>577</v>
      </c>
      <c r="AW663" t="s">
        <v>74</v>
      </c>
      <c r="AX663" t="s">
        <v>74</v>
      </c>
      <c r="AY663" t="s">
        <v>74</v>
      </c>
      <c r="AZ663" t="s">
        <v>74</v>
      </c>
      <c r="BA663" t="s">
        <v>74</v>
      </c>
      <c r="BB663" t="s">
        <v>74</v>
      </c>
      <c r="BC663" t="s">
        <v>74</v>
      </c>
      <c r="BD663">
        <v>739980</v>
      </c>
      <c r="BE663" t="s">
        <v>4558</v>
      </c>
      <c r="BF663" t="str">
        <f>HYPERLINK("http://dx.doi.org/10.1016/j.aquaculture.2023.739980","http://dx.doi.org/10.1016/j.aquaculture.2023.739980")</f>
        <v>http://dx.doi.org/10.1016/j.aquaculture.2023.739980</v>
      </c>
      <c r="BG663" t="s">
        <v>74</v>
      </c>
      <c r="BH663" t="s">
        <v>4559</v>
      </c>
      <c r="BI663" t="s">
        <v>74</v>
      </c>
      <c r="BJ663" t="s">
        <v>74</v>
      </c>
      <c r="BK663" t="s">
        <v>74</v>
      </c>
      <c r="BL663" t="s">
        <v>74</v>
      </c>
      <c r="BM663" t="s">
        <v>74</v>
      </c>
      <c r="BN663" t="s">
        <v>74</v>
      </c>
      <c r="BO663" t="s">
        <v>74</v>
      </c>
      <c r="BP663" t="s">
        <v>74</v>
      </c>
      <c r="BQ663" t="s">
        <v>74</v>
      </c>
      <c r="BR663" t="s">
        <v>74</v>
      </c>
      <c r="BS663" t="s">
        <v>4560</v>
      </c>
      <c r="BT663" t="str">
        <f>HYPERLINK("https%3A%2F%2Fwww.webofscience.com%2Fwos%2Fwoscc%2Ffull-record%2FWOS:001065191600001","View Full Record in Web of Science")</f>
        <v>View Full Record in Web of Science</v>
      </c>
    </row>
    <row r="664" spans="1:72" x14ac:dyDescent="0.4">
      <c r="A664" t="s">
        <v>72</v>
      </c>
      <c r="B664" t="s">
        <v>1346</v>
      </c>
      <c r="C664" t="s">
        <v>74</v>
      </c>
      <c r="D664" t="s">
        <v>74</v>
      </c>
      <c r="E664" t="s">
        <v>74</v>
      </c>
      <c r="F664" t="s">
        <v>1346</v>
      </c>
      <c r="G664" t="s">
        <v>74</v>
      </c>
      <c r="H664" t="s">
        <v>74</v>
      </c>
      <c r="I664" t="s">
        <v>1347</v>
      </c>
      <c r="J664" t="s">
        <v>192</v>
      </c>
      <c r="K664" t="s">
        <v>74</v>
      </c>
      <c r="L664" t="s">
        <v>74</v>
      </c>
      <c r="M664" t="s">
        <v>74</v>
      </c>
      <c r="N664" t="s">
        <v>74</v>
      </c>
      <c r="O664" t="s">
        <v>74</v>
      </c>
      <c r="P664" t="s">
        <v>74</v>
      </c>
      <c r="Q664" t="s">
        <v>74</v>
      </c>
      <c r="R664" t="s">
        <v>74</v>
      </c>
      <c r="S664" t="s">
        <v>74</v>
      </c>
      <c r="T664" t="s">
        <v>74</v>
      </c>
      <c r="U664" t="s">
        <v>74</v>
      </c>
      <c r="V664" s="3" t="s">
        <v>1348</v>
      </c>
      <c r="W664" t="s">
        <v>74</v>
      </c>
      <c r="X664" t="s">
        <v>74</v>
      </c>
      <c r="Y664" t="s">
        <v>74</v>
      </c>
      <c r="Z664" t="s">
        <v>74</v>
      </c>
      <c r="AA664" t="s">
        <v>74</v>
      </c>
      <c r="AB664" t="s">
        <v>74</v>
      </c>
      <c r="AC664" t="s">
        <v>74</v>
      </c>
      <c r="AD664" t="s">
        <v>74</v>
      </c>
      <c r="AE664" t="s">
        <v>74</v>
      </c>
      <c r="AF664" t="s">
        <v>74</v>
      </c>
      <c r="AG664" t="s">
        <v>74</v>
      </c>
      <c r="AH664" t="s">
        <v>74</v>
      </c>
      <c r="AI664" t="s">
        <v>74</v>
      </c>
      <c r="AJ664" t="s">
        <v>74</v>
      </c>
      <c r="AK664" t="s">
        <v>74</v>
      </c>
      <c r="AL664" t="s">
        <v>74</v>
      </c>
      <c r="AM664" t="s">
        <v>74</v>
      </c>
      <c r="AN664" t="s">
        <v>74</v>
      </c>
      <c r="AO664" t="s">
        <v>195</v>
      </c>
      <c r="AP664" t="s">
        <v>196</v>
      </c>
      <c r="AQ664" t="s">
        <v>74</v>
      </c>
      <c r="AR664" t="s">
        <v>74</v>
      </c>
      <c r="AS664" t="s">
        <v>74</v>
      </c>
      <c r="AT664" t="s">
        <v>1349</v>
      </c>
      <c r="AU664">
        <v>1996</v>
      </c>
      <c r="AV664">
        <v>337</v>
      </c>
      <c r="AW664" t="s">
        <v>1350</v>
      </c>
      <c r="AX664" t="s">
        <v>74</v>
      </c>
      <c r="AY664" t="s">
        <v>74</v>
      </c>
      <c r="AZ664" t="s">
        <v>74</v>
      </c>
      <c r="BA664" t="s">
        <v>74</v>
      </c>
      <c r="BB664">
        <v>69</v>
      </c>
      <c r="BC664">
        <v>76</v>
      </c>
      <c r="BD664" t="s">
        <v>74</v>
      </c>
      <c r="BE664" t="s">
        <v>1351</v>
      </c>
      <c r="BF664" t="str">
        <f>HYPERLINK("http://dx.doi.org/10.1007/BF00028507","http://dx.doi.org/10.1007/BF00028507")</f>
        <v>http://dx.doi.org/10.1007/BF00028507</v>
      </c>
      <c r="BG664" t="s">
        <v>74</v>
      </c>
      <c r="BH664" t="s">
        <v>74</v>
      </c>
      <c r="BI664" t="s">
        <v>74</v>
      </c>
      <c r="BJ664" t="s">
        <v>74</v>
      </c>
      <c r="BK664" t="s">
        <v>74</v>
      </c>
      <c r="BL664" t="s">
        <v>74</v>
      </c>
      <c r="BM664" t="s">
        <v>74</v>
      </c>
      <c r="BN664" t="s">
        <v>74</v>
      </c>
      <c r="BO664" t="s">
        <v>74</v>
      </c>
      <c r="BP664" t="s">
        <v>74</v>
      </c>
      <c r="BQ664" t="s">
        <v>74</v>
      </c>
      <c r="BR664" t="s">
        <v>74</v>
      </c>
      <c r="BS664" t="s">
        <v>1352</v>
      </c>
      <c r="BT664" t="str">
        <f>HYPERLINK("https%3A%2F%2Fwww.webofscience.com%2Fwos%2Fwoscc%2Ffull-record%2FWOS:A1996WB14600006","View Full Record in Web of Science")</f>
        <v>View Full Record in Web of Science</v>
      </c>
    </row>
    <row r="665" spans="1:72" x14ac:dyDescent="0.4">
      <c r="A665" t="s">
        <v>72</v>
      </c>
      <c r="B665" t="s">
        <v>4294</v>
      </c>
      <c r="C665" t="s">
        <v>74</v>
      </c>
      <c r="D665" t="s">
        <v>74</v>
      </c>
      <c r="E665" t="s">
        <v>74</v>
      </c>
      <c r="F665" t="s">
        <v>4294</v>
      </c>
      <c r="G665" t="s">
        <v>74</v>
      </c>
      <c r="H665" t="s">
        <v>74</v>
      </c>
      <c r="I665" t="s">
        <v>4295</v>
      </c>
      <c r="J665" t="s">
        <v>140</v>
      </c>
      <c r="K665" t="s">
        <v>74</v>
      </c>
      <c r="L665" t="s">
        <v>74</v>
      </c>
      <c r="M665" t="s">
        <v>74</v>
      </c>
      <c r="N665" t="s">
        <v>74</v>
      </c>
      <c r="O665" t="s">
        <v>74</v>
      </c>
      <c r="P665" t="s">
        <v>74</v>
      </c>
      <c r="Q665" t="s">
        <v>74</v>
      </c>
      <c r="R665" t="s">
        <v>74</v>
      </c>
      <c r="S665" t="s">
        <v>74</v>
      </c>
      <c r="T665" t="s">
        <v>74</v>
      </c>
      <c r="U665" t="s">
        <v>74</v>
      </c>
      <c r="V665" s="3" t="s">
        <v>4296</v>
      </c>
      <c r="W665" t="s">
        <v>74</v>
      </c>
      <c r="X665" t="s">
        <v>74</v>
      </c>
      <c r="Y665" t="s">
        <v>74</v>
      </c>
      <c r="Z665" t="s">
        <v>74</v>
      </c>
      <c r="AA665" t="s">
        <v>74</v>
      </c>
      <c r="AB665" t="s">
        <v>74</v>
      </c>
      <c r="AC665" t="s">
        <v>74</v>
      </c>
      <c r="AD665" t="s">
        <v>74</v>
      </c>
      <c r="AE665" t="s">
        <v>74</v>
      </c>
      <c r="AF665" t="s">
        <v>74</v>
      </c>
      <c r="AG665" t="s">
        <v>74</v>
      </c>
      <c r="AH665" t="s">
        <v>74</v>
      </c>
      <c r="AI665" t="s">
        <v>74</v>
      </c>
      <c r="AJ665" t="s">
        <v>74</v>
      </c>
      <c r="AK665" t="s">
        <v>74</v>
      </c>
      <c r="AL665" t="s">
        <v>74</v>
      </c>
      <c r="AM665" t="s">
        <v>74</v>
      </c>
      <c r="AN665" t="s">
        <v>74</v>
      </c>
      <c r="AO665" t="s">
        <v>143</v>
      </c>
      <c r="AP665" t="s">
        <v>144</v>
      </c>
      <c r="AQ665" t="s">
        <v>74</v>
      </c>
      <c r="AR665" t="s">
        <v>74</v>
      </c>
      <c r="AS665" t="s">
        <v>74</v>
      </c>
      <c r="AT665" t="s">
        <v>123</v>
      </c>
      <c r="AU665">
        <v>2004</v>
      </c>
      <c r="AV665">
        <v>67</v>
      </c>
      <c r="AW665" t="s">
        <v>74</v>
      </c>
      <c r="AX665">
        <v>3</v>
      </c>
      <c r="AY665" t="s">
        <v>74</v>
      </c>
      <c r="AZ665" t="s">
        <v>74</v>
      </c>
      <c r="BA665" t="s">
        <v>74</v>
      </c>
      <c r="BB665">
        <v>397</v>
      </c>
      <c r="BC665">
        <v>402</v>
      </c>
      <c r="BD665" t="s">
        <v>74</v>
      </c>
      <c r="BE665" t="s">
        <v>4297</v>
      </c>
      <c r="BF665" t="str">
        <f>HYPERLINK("http://dx.doi.org/10.1016/j.anbehav.2003.03.017","http://dx.doi.org/10.1016/j.anbehav.2003.03.017")</f>
        <v>http://dx.doi.org/10.1016/j.anbehav.2003.03.017</v>
      </c>
      <c r="BG665" t="s">
        <v>74</v>
      </c>
      <c r="BH665" t="s">
        <v>74</v>
      </c>
      <c r="BI665" t="s">
        <v>74</v>
      </c>
      <c r="BJ665" t="s">
        <v>74</v>
      </c>
      <c r="BK665" t="s">
        <v>74</v>
      </c>
      <c r="BL665" t="s">
        <v>74</v>
      </c>
      <c r="BM665" t="s">
        <v>74</v>
      </c>
      <c r="BN665" t="s">
        <v>74</v>
      </c>
      <c r="BO665" t="s">
        <v>74</v>
      </c>
      <c r="BP665" t="s">
        <v>74</v>
      </c>
      <c r="BQ665" t="s">
        <v>74</v>
      </c>
      <c r="BR665" t="s">
        <v>74</v>
      </c>
      <c r="BS665" t="s">
        <v>4298</v>
      </c>
      <c r="BT665" t="str">
        <f>HYPERLINK("https%3A%2F%2Fwww.webofscience.com%2Fwos%2Fwoscc%2Ffull-record%2FWOS:000220540800003","View Full Record in Web of Science")</f>
        <v>View Full Record in Web of Science</v>
      </c>
    </row>
    <row r="666" spans="1:72" x14ac:dyDescent="0.4">
      <c r="A666" t="s">
        <v>72</v>
      </c>
      <c r="B666" t="s">
        <v>2940</v>
      </c>
      <c r="C666" t="s">
        <v>74</v>
      </c>
      <c r="D666" t="s">
        <v>74</v>
      </c>
      <c r="E666" t="s">
        <v>74</v>
      </c>
      <c r="F666" t="s">
        <v>2941</v>
      </c>
      <c r="G666" t="s">
        <v>74</v>
      </c>
      <c r="H666" t="s">
        <v>74</v>
      </c>
      <c r="I666" t="s">
        <v>2942</v>
      </c>
      <c r="J666" t="s">
        <v>970</v>
      </c>
      <c r="K666" t="s">
        <v>74</v>
      </c>
      <c r="L666" t="s">
        <v>74</v>
      </c>
      <c r="M666" t="s">
        <v>74</v>
      </c>
      <c r="N666" t="s">
        <v>74</v>
      </c>
      <c r="O666" t="s">
        <v>74</v>
      </c>
      <c r="P666" t="s">
        <v>74</v>
      </c>
      <c r="Q666" t="s">
        <v>74</v>
      </c>
      <c r="R666" t="s">
        <v>74</v>
      </c>
      <c r="S666" t="s">
        <v>74</v>
      </c>
      <c r="T666" t="s">
        <v>74</v>
      </c>
      <c r="U666" t="s">
        <v>74</v>
      </c>
      <c r="V666" s="3" t="s">
        <v>2943</v>
      </c>
      <c r="W666" t="s">
        <v>74</v>
      </c>
      <c r="X666" t="s">
        <v>74</v>
      </c>
      <c r="Y666" t="s">
        <v>74</v>
      </c>
      <c r="Z666" t="s">
        <v>74</v>
      </c>
      <c r="AA666" t="s">
        <v>2944</v>
      </c>
      <c r="AB666" t="s">
        <v>2945</v>
      </c>
      <c r="AC666" t="s">
        <v>74</v>
      </c>
      <c r="AD666" t="s">
        <v>74</v>
      </c>
      <c r="AE666" t="s">
        <v>74</v>
      </c>
      <c r="AF666" t="s">
        <v>74</v>
      </c>
      <c r="AG666" t="s">
        <v>74</v>
      </c>
      <c r="AH666" t="s">
        <v>74</v>
      </c>
      <c r="AI666" t="s">
        <v>74</v>
      </c>
      <c r="AJ666" t="s">
        <v>74</v>
      </c>
      <c r="AK666" t="s">
        <v>74</v>
      </c>
      <c r="AL666" t="s">
        <v>74</v>
      </c>
      <c r="AM666" t="s">
        <v>74</v>
      </c>
      <c r="AN666" t="s">
        <v>74</v>
      </c>
      <c r="AO666" t="s">
        <v>974</v>
      </c>
      <c r="AP666" t="s">
        <v>975</v>
      </c>
      <c r="AQ666" t="s">
        <v>74</v>
      </c>
      <c r="AR666" t="s">
        <v>74</v>
      </c>
      <c r="AS666" t="s">
        <v>74</v>
      </c>
      <c r="AT666" t="s">
        <v>204</v>
      </c>
      <c r="AU666">
        <v>2015</v>
      </c>
      <c r="AV666">
        <v>156</v>
      </c>
      <c r="AW666">
        <v>3</v>
      </c>
      <c r="AX666" t="s">
        <v>74</v>
      </c>
      <c r="AY666" t="s">
        <v>74</v>
      </c>
      <c r="AZ666" t="s">
        <v>74</v>
      </c>
      <c r="BA666" t="s">
        <v>74</v>
      </c>
      <c r="BB666">
        <v>783</v>
      </c>
      <c r="BC666">
        <v>793</v>
      </c>
      <c r="BD666" t="s">
        <v>74</v>
      </c>
      <c r="BE666" t="s">
        <v>2946</v>
      </c>
      <c r="BF666" t="str">
        <f>HYPERLINK("http://dx.doi.org/10.1007/s10336-015-1168-7","http://dx.doi.org/10.1007/s10336-015-1168-7")</f>
        <v>http://dx.doi.org/10.1007/s10336-015-1168-7</v>
      </c>
      <c r="BG666" t="s">
        <v>74</v>
      </c>
      <c r="BH666" t="s">
        <v>74</v>
      </c>
      <c r="BI666" t="s">
        <v>74</v>
      </c>
      <c r="BJ666" t="s">
        <v>74</v>
      </c>
      <c r="BK666" t="s">
        <v>74</v>
      </c>
      <c r="BL666" t="s">
        <v>74</v>
      </c>
      <c r="BM666" t="s">
        <v>74</v>
      </c>
      <c r="BN666" t="s">
        <v>74</v>
      </c>
      <c r="BO666" t="s">
        <v>74</v>
      </c>
      <c r="BP666" t="s">
        <v>74</v>
      </c>
      <c r="BQ666" t="s">
        <v>74</v>
      </c>
      <c r="BR666" t="s">
        <v>74</v>
      </c>
      <c r="BS666" t="s">
        <v>2947</v>
      </c>
      <c r="BT666" t="str">
        <f>HYPERLINK("https%3A%2F%2Fwww.webofscience.com%2Fwos%2Fwoscc%2Ffull-record%2FWOS:000356447100022","View Full Record in Web of Science")</f>
        <v>View Full Record in Web of Science</v>
      </c>
    </row>
    <row r="667" spans="1:72" x14ac:dyDescent="0.4">
      <c r="A667" t="s">
        <v>72</v>
      </c>
      <c r="B667" t="s">
        <v>7061</v>
      </c>
      <c r="C667" t="s">
        <v>74</v>
      </c>
      <c r="D667" t="s">
        <v>74</v>
      </c>
      <c r="E667" t="s">
        <v>74</v>
      </c>
      <c r="F667" t="s">
        <v>7062</v>
      </c>
      <c r="G667" t="s">
        <v>74</v>
      </c>
      <c r="H667" t="s">
        <v>74</v>
      </c>
      <c r="I667" t="s">
        <v>7063</v>
      </c>
      <c r="J667" t="s">
        <v>108</v>
      </c>
      <c r="K667" t="s">
        <v>74</v>
      </c>
      <c r="L667" t="s">
        <v>74</v>
      </c>
      <c r="M667" t="s">
        <v>74</v>
      </c>
      <c r="N667" t="s">
        <v>74</v>
      </c>
      <c r="O667" t="s">
        <v>74</v>
      </c>
      <c r="P667" t="s">
        <v>74</v>
      </c>
      <c r="Q667" t="s">
        <v>74</v>
      </c>
      <c r="R667" t="s">
        <v>74</v>
      </c>
      <c r="S667" t="s">
        <v>74</v>
      </c>
      <c r="T667" t="s">
        <v>74</v>
      </c>
      <c r="U667" t="s">
        <v>74</v>
      </c>
      <c r="V667" s="3" t="s">
        <v>7064</v>
      </c>
      <c r="W667" t="s">
        <v>74</v>
      </c>
      <c r="X667" t="s">
        <v>74</v>
      </c>
      <c r="Y667" t="s">
        <v>74</v>
      </c>
      <c r="Z667" t="s">
        <v>74</v>
      </c>
      <c r="AA667" t="s">
        <v>7065</v>
      </c>
      <c r="AB667" t="s">
        <v>7066</v>
      </c>
      <c r="AC667" t="s">
        <v>74</v>
      </c>
      <c r="AD667" t="s">
        <v>74</v>
      </c>
      <c r="AE667" t="s">
        <v>74</v>
      </c>
      <c r="AF667" t="s">
        <v>74</v>
      </c>
      <c r="AG667" t="s">
        <v>74</v>
      </c>
      <c r="AH667" t="s">
        <v>74</v>
      </c>
      <c r="AI667" t="s">
        <v>74</v>
      </c>
      <c r="AJ667" t="s">
        <v>74</v>
      </c>
      <c r="AK667" t="s">
        <v>74</v>
      </c>
      <c r="AL667" t="s">
        <v>74</v>
      </c>
      <c r="AM667" t="s">
        <v>74</v>
      </c>
      <c r="AN667" t="s">
        <v>74</v>
      </c>
      <c r="AO667" t="s">
        <v>111</v>
      </c>
      <c r="AP667" t="s">
        <v>112</v>
      </c>
      <c r="AQ667" t="s">
        <v>74</v>
      </c>
      <c r="AR667" t="s">
        <v>74</v>
      </c>
      <c r="AS667" t="s">
        <v>74</v>
      </c>
      <c r="AT667" t="s">
        <v>493</v>
      </c>
      <c r="AU667">
        <v>2015</v>
      </c>
      <c r="AV667">
        <v>282</v>
      </c>
      <c r="AW667">
        <v>1811</v>
      </c>
      <c r="AX667" t="s">
        <v>74</v>
      </c>
      <c r="AY667" t="s">
        <v>74</v>
      </c>
      <c r="AZ667" t="s">
        <v>74</v>
      </c>
      <c r="BA667" t="s">
        <v>74</v>
      </c>
      <c r="BB667" t="s">
        <v>74</v>
      </c>
      <c r="BC667" t="s">
        <v>74</v>
      </c>
      <c r="BD667">
        <v>20150624</v>
      </c>
      <c r="BE667" t="s">
        <v>7067</v>
      </c>
      <c r="BF667" t="str">
        <f>HYPERLINK("http://dx.doi.org/10.1098/rspb.2015.0624","http://dx.doi.org/10.1098/rspb.2015.0624")</f>
        <v>http://dx.doi.org/10.1098/rspb.2015.0624</v>
      </c>
      <c r="BG667" t="s">
        <v>74</v>
      </c>
      <c r="BH667" t="s">
        <v>74</v>
      </c>
      <c r="BI667" t="s">
        <v>74</v>
      </c>
      <c r="BJ667" t="s">
        <v>74</v>
      </c>
      <c r="BK667" t="s">
        <v>74</v>
      </c>
      <c r="BL667" t="s">
        <v>74</v>
      </c>
      <c r="BM667" t="s">
        <v>74</v>
      </c>
      <c r="BN667">
        <v>26136445</v>
      </c>
      <c r="BO667" t="s">
        <v>74</v>
      </c>
      <c r="BP667" t="s">
        <v>74</v>
      </c>
      <c r="BQ667" t="s">
        <v>74</v>
      </c>
      <c r="BR667" t="s">
        <v>74</v>
      </c>
      <c r="BS667" t="s">
        <v>7068</v>
      </c>
      <c r="BT667" t="str">
        <f>HYPERLINK("https%3A%2F%2Fwww.webofscience.com%2Fwos%2Fwoscc%2Ffull-record%2FWOS:000358735700011","View Full Record in Web of Science")</f>
        <v>View Full Record in Web of Science</v>
      </c>
    </row>
    <row r="668" spans="1:72" x14ac:dyDescent="0.4">
      <c r="A668" t="s">
        <v>72</v>
      </c>
      <c r="B668" t="s">
        <v>5257</v>
      </c>
      <c r="C668" t="s">
        <v>74</v>
      </c>
      <c r="D668" t="s">
        <v>74</v>
      </c>
      <c r="E668" t="s">
        <v>74</v>
      </c>
      <c r="F668" t="s">
        <v>5257</v>
      </c>
      <c r="G668" t="s">
        <v>74</v>
      </c>
      <c r="H668" t="s">
        <v>74</v>
      </c>
      <c r="I668" t="s">
        <v>5258</v>
      </c>
      <c r="J668" t="s">
        <v>3817</v>
      </c>
      <c r="K668" t="s">
        <v>74</v>
      </c>
      <c r="L668" t="s">
        <v>74</v>
      </c>
      <c r="M668" t="s">
        <v>74</v>
      </c>
      <c r="N668" t="s">
        <v>74</v>
      </c>
      <c r="O668" t="s">
        <v>74</v>
      </c>
      <c r="P668" t="s">
        <v>74</v>
      </c>
      <c r="Q668" t="s">
        <v>74</v>
      </c>
      <c r="R668" t="s">
        <v>74</v>
      </c>
      <c r="S668" t="s">
        <v>74</v>
      </c>
      <c r="T668" t="s">
        <v>74</v>
      </c>
      <c r="U668" t="s">
        <v>74</v>
      </c>
      <c r="V668" s="3" t="s">
        <v>5259</v>
      </c>
      <c r="W668" t="s">
        <v>74</v>
      </c>
      <c r="X668" t="s">
        <v>74</v>
      </c>
      <c r="Y668" t="s">
        <v>74</v>
      </c>
      <c r="Z668" t="s">
        <v>74</v>
      </c>
      <c r="AA668" t="s">
        <v>74</v>
      </c>
      <c r="AB668" t="s">
        <v>74</v>
      </c>
      <c r="AC668" t="s">
        <v>74</v>
      </c>
      <c r="AD668" t="s">
        <v>74</v>
      </c>
      <c r="AE668" t="s">
        <v>74</v>
      </c>
      <c r="AF668" t="s">
        <v>74</v>
      </c>
      <c r="AG668" t="s">
        <v>74</v>
      </c>
      <c r="AH668" t="s">
        <v>74</v>
      </c>
      <c r="AI668" t="s">
        <v>74</v>
      </c>
      <c r="AJ668" t="s">
        <v>74</v>
      </c>
      <c r="AK668" t="s">
        <v>74</v>
      </c>
      <c r="AL668" t="s">
        <v>74</v>
      </c>
      <c r="AM668" t="s">
        <v>74</v>
      </c>
      <c r="AN668" t="s">
        <v>74</v>
      </c>
      <c r="AO668" t="s">
        <v>3821</v>
      </c>
      <c r="AP668" t="s">
        <v>3822</v>
      </c>
      <c r="AQ668" t="s">
        <v>74</v>
      </c>
      <c r="AR668" t="s">
        <v>74</v>
      </c>
      <c r="AS668" t="s">
        <v>74</v>
      </c>
      <c r="AT668" t="s">
        <v>74</v>
      </c>
      <c r="AU668">
        <v>1981</v>
      </c>
      <c r="AV668">
        <v>71</v>
      </c>
      <c r="AW668">
        <v>3</v>
      </c>
      <c r="AX668" t="s">
        <v>74</v>
      </c>
      <c r="AY668" t="s">
        <v>74</v>
      </c>
      <c r="AZ668" t="s">
        <v>74</v>
      </c>
      <c r="BA668" t="s">
        <v>74</v>
      </c>
      <c r="BB668">
        <v>253</v>
      </c>
      <c r="BC668">
        <v>264</v>
      </c>
      <c r="BD668" t="s">
        <v>74</v>
      </c>
      <c r="BE668" t="s">
        <v>5260</v>
      </c>
      <c r="BF668" t="str">
        <f>HYPERLINK("http://dx.doi.org/10.1111/j.1096-3642.1981.tb01132.x","http://dx.doi.org/10.1111/j.1096-3642.1981.tb01132.x")</f>
        <v>http://dx.doi.org/10.1111/j.1096-3642.1981.tb01132.x</v>
      </c>
      <c r="BG668" t="s">
        <v>74</v>
      </c>
      <c r="BH668" t="s">
        <v>74</v>
      </c>
      <c r="BI668" t="s">
        <v>74</v>
      </c>
      <c r="BJ668" t="s">
        <v>74</v>
      </c>
      <c r="BK668" t="s">
        <v>74</v>
      </c>
      <c r="BL668" t="s">
        <v>74</v>
      </c>
      <c r="BM668" t="s">
        <v>74</v>
      </c>
      <c r="BN668" t="s">
        <v>74</v>
      </c>
      <c r="BO668" t="s">
        <v>74</v>
      </c>
      <c r="BP668" t="s">
        <v>74</v>
      </c>
      <c r="BQ668" t="s">
        <v>74</v>
      </c>
      <c r="BR668" t="s">
        <v>74</v>
      </c>
      <c r="BS668" t="s">
        <v>5261</v>
      </c>
      <c r="BT668" t="str">
        <f>HYPERLINK("https%3A%2F%2Fwww.webofscience.com%2Fwos%2Fwoscc%2Ffull-record%2FWOS:A1981LF81100001","View Full Record in Web of Science")</f>
        <v>View Full Record in Web of Science</v>
      </c>
    </row>
    <row r="669" spans="1:72" x14ac:dyDescent="0.4">
      <c r="A669" t="s">
        <v>72</v>
      </c>
      <c r="B669" t="s">
        <v>4183</v>
      </c>
      <c r="C669" t="s">
        <v>74</v>
      </c>
      <c r="D669" t="s">
        <v>74</v>
      </c>
      <c r="E669" t="s">
        <v>74</v>
      </c>
      <c r="F669" t="s">
        <v>4184</v>
      </c>
      <c r="G669" t="s">
        <v>74</v>
      </c>
      <c r="H669" t="s">
        <v>74</v>
      </c>
      <c r="I669" t="s">
        <v>4185</v>
      </c>
      <c r="J669" t="s">
        <v>333</v>
      </c>
      <c r="K669" t="s">
        <v>74</v>
      </c>
      <c r="L669" t="s">
        <v>74</v>
      </c>
      <c r="M669" t="s">
        <v>74</v>
      </c>
      <c r="N669" t="s">
        <v>74</v>
      </c>
      <c r="O669" t="s">
        <v>74</v>
      </c>
      <c r="P669" t="s">
        <v>74</v>
      </c>
      <c r="Q669" t="s">
        <v>74</v>
      </c>
      <c r="R669" t="s">
        <v>74</v>
      </c>
      <c r="S669" t="s">
        <v>74</v>
      </c>
      <c r="T669" t="s">
        <v>74</v>
      </c>
      <c r="U669" t="s">
        <v>74</v>
      </c>
      <c r="V669" s="3" t="s">
        <v>4186</v>
      </c>
      <c r="W669" t="s">
        <v>74</v>
      </c>
      <c r="X669" t="s">
        <v>74</v>
      </c>
      <c r="Y669" t="s">
        <v>74</v>
      </c>
      <c r="Z669" t="s">
        <v>74</v>
      </c>
      <c r="AA669" t="s">
        <v>74</v>
      </c>
      <c r="AB669" t="s">
        <v>4187</v>
      </c>
      <c r="AC669" t="s">
        <v>74</v>
      </c>
      <c r="AD669" t="s">
        <v>74</v>
      </c>
      <c r="AE669" t="s">
        <v>74</v>
      </c>
      <c r="AF669" t="s">
        <v>74</v>
      </c>
      <c r="AG669" t="s">
        <v>74</v>
      </c>
      <c r="AH669" t="s">
        <v>74</v>
      </c>
      <c r="AI669" t="s">
        <v>74</v>
      </c>
      <c r="AJ669" t="s">
        <v>74</v>
      </c>
      <c r="AK669" t="s">
        <v>74</v>
      </c>
      <c r="AL669" t="s">
        <v>74</v>
      </c>
      <c r="AM669" t="s">
        <v>74</v>
      </c>
      <c r="AN669" t="s">
        <v>74</v>
      </c>
      <c r="AO669" t="s">
        <v>337</v>
      </c>
      <c r="AP669" t="s">
        <v>338</v>
      </c>
      <c r="AQ669" t="s">
        <v>74</v>
      </c>
      <c r="AR669" t="s">
        <v>74</v>
      </c>
      <c r="AS669" t="s">
        <v>74</v>
      </c>
      <c r="AT669" t="s">
        <v>1075</v>
      </c>
      <c r="AU669">
        <v>2014</v>
      </c>
      <c r="AV669">
        <v>25</v>
      </c>
      <c r="AW669">
        <v>6</v>
      </c>
      <c r="AX669" t="s">
        <v>74</v>
      </c>
      <c r="AY669" t="s">
        <v>74</v>
      </c>
      <c r="AZ669" t="s">
        <v>74</v>
      </c>
      <c r="BA669" t="s">
        <v>74</v>
      </c>
      <c r="BB669">
        <v>1325</v>
      </c>
      <c r="BC669">
        <v>1337</v>
      </c>
      <c r="BD669" t="s">
        <v>74</v>
      </c>
      <c r="BE669" t="s">
        <v>4188</v>
      </c>
      <c r="BF669" t="str">
        <f>HYPERLINK("http://dx.doi.org/10.1093/beheco/aru126","http://dx.doi.org/10.1093/beheco/aru126")</f>
        <v>http://dx.doi.org/10.1093/beheco/aru126</v>
      </c>
      <c r="BG669" t="s">
        <v>74</v>
      </c>
      <c r="BH669" t="s">
        <v>74</v>
      </c>
      <c r="BI669" t="s">
        <v>74</v>
      </c>
      <c r="BJ669" t="s">
        <v>74</v>
      </c>
      <c r="BK669" t="s">
        <v>74</v>
      </c>
      <c r="BL669" t="s">
        <v>74</v>
      </c>
      <c r="BM669" t="s">
        <v>74</v>
      </c>
      <c r="BN669">
        <v>25419083</v>
      </c>
      <c r="BO669" t="s">
        <v>74</v>
      </c>
      <c r="BP669" t="s">
        <v>74</v>
      </c>
      <c r="BQ669" t="s">
        <v>74</v>
      </c>
      <c r="BR669" t="s">
        <v>74</v>
      </c>
      <c r="BS669" t="s">
        <v>4189</v>
      </c>
      <c r="BT669" t="str">
        <f>HYPERLINK("https%3A%2F%2Fwww.webofscience.com%2Fwos%2Fwoscc%2Ffull-record%2FWOS:000345432900014","View Full Record in Web of Science")</f>
        <v>View Full Record in Web of Science</v>
      </c>
    </row>
    <row r="670" spans="1:72" x14ac:dyDescent="0.4">
      <c r="A670" t="s">
        <v>72</v>
      </c>
      <c r="B670" t="s">
        <v>5047</v>
      </c>
      <c r="C670" t="s">
        <v>74</v>
      </c>
      <c r="D670" t="s">
        <v>74</v>
      </c>
      <c r="E670" t="s">
        <v>74</v>
      </c>
      <c r="F670" t="s">
        <v>5047</v>
      </c>
      <c r="G670" t="s">
        <v>74</v>
      </c>
      <c r="H670" t="s">
        <v>74</v>
      </c>
      <c r="I670" t="s">
        <v>5048</v>
      </c>
      <c r="J670" t="s">
        <v>5049</v>
      </c>
      <c r="K670" t="s">
        <v>74</v>
      </c>
      <c r="L670" t="s">
        <v>74</v>
      </c>
      <c r="M670" t="s">
        <v>74</v>
      </c>
      <c r="N670" t="s">
        <v>74</v>
      </c>
      <c r="O670" t="s">
        <v>74</v>
      </c>
      <c r="P670" t="s">
        <v>74</v>
      </c>
      <c r="Q670" t="s">
        <v>74</v>
      </c>
      <c r="R670" t="s">
        <v>74</v>
      </c>
      <c r="S670" t="s">
        <v>74</v>
      </c>
      <c r="T670" t="s">
        <v>74</v>
      </c>
      <c r="U670" t="s">
        <v>74</v>
      </c>
      <c r="V670" s="3" t="s">
        <v>5050</v>
      </c>
      <c r="W670" t="s">
        <v>74</v>
      </c>
      <c r="X670" t="s">
        <v>74</v>
      </c>
      <c r="Y670" t="s">
        <v>74</v>
      </c>
      <c r="Z670" t="s">
        <v>74</v>
      </c>
      <c r="AA670" t="s">
        <v>5051</v>
      </c>
      <c r="AB670" t="s">
        <v>5052</v>
      </c>
      <c r="AC670" t="s">
        <v>74</v>
      </c>
      <c r="AD670" t="s">
        <v>74</v>
      </c>
      <c r="AE670" t="s">
        <v>74</v>
      </c>
      <c r="AF670" t="s">
        <v>74</v>
      </c>
      <c r="AG670" t="s">
        <v>74</v>
      </c>
      <c r="AH670" t="s">
        <v>74</v>
      </c>
      <c r="AI670" t="s">
        <v>74</v>
      </c>
      <c r="AJ670" t="s">
        <v>74</v>
      </c>
      <c r="AK670" t="s">
        <v>74</v>
      </c>
      <c r="AL670" t="s">
        <v>74</v>
      </c>
      <c r="AM670" t="s">
        <v>74</v>
      </c>
      <c r="AN670" t="s">
        <v>74</v>
      </c>
      <c r="AO670" t="s">
        <v>5053</v>
      </c>
      <c r="AP670" t="s">
        <v>74</v>
      </c>
      <c r="AQ670" t="s">
        <v>74</v>
      </c>
      <c r="AR670" t="s">
        <v>74</v>
      </c>
      <c r="AS670" t="s">
        <v>74</v>
      </c>
      <c r="AT670" t="s">
        <v>255</v>
      </c>
      <c r="AU670">
        <v>2006</v>
      </c>
      <c r="AV670">
        <v>22</v>
      </c>
      <c r="AW670">
        <v>1</v>
      </c>
      <c r="AX670" t="s">
        <v>74</v>
      </c>
      <c r="AY670" t="s">
        <v>74</v>
      </c>
      <c r="AZ670" t="s">
        <v>74</v>
      </c>
      <c r="BA670" t="s">
        <v>74</v>
      </c>
      <c r="BB670">
        <v>25</v>
      </c>
      <c r="BC670">
        <v>33</v>
      </c>
      <c r="BD670" t="s">
        <v>74</v>
      </c>
      <c r="BE670" t="s">
        <v>5054</v>
      </c>
      <c r="BF670" t="str">
        <f>HYPERLINK("http://dx.doi.org/10.1111/j.1748-7692.2006.00003.x","http://dx.doi.org/10.1111/j.1748-7692.2006.00003.x")</f>
        <v>http://dx.doi.org/10.1111/j.1748-7692.2006.00003.x</v>
      </c>
      <c r="BG670" t="s">
        <v>74</v>
      </c>
      <c r="BH670" t="s">
        <v>74</v>
      </c>
      <c r="BI670" t="s">
        <v>74</v>
      </c>
      <c r="BJ670" t="s">
        <v>74</v>
      </c>
      <c r="BK670" t="s">
        <v>74</v>
      </c>
      <c r="BL670" t="s">
        <v>74</v>
      </c>
      <c r="BM670" t="s">
        <v>74</v>
      </c>
      <c r="BN670" t="s">
        <v>74</v>
      </c>
      <c r="BO670" t="s">
        <v>74</v>
      </c>
      <c r="BP670" t="s">
        <v>74</v>
      </c>
      <c r="BQ670" t="s">
        <v>74</v>
      </c>
      <c r="BR670" t="s">
        <v>74</v>
      </c>
      <c r="BS670" t="s">
        <v>5055</v>
      </c>
      <c r="BT670" t="str">
        <f>HYPERLINK("https%3A%2F%2Fwww.webofscience.com%2Fwos%2Fwoscc%2Ffull-record%2FWOS:000234942300003","View Full Record in Web of Science")</f>
        <v>View Full Record in Web of Science</v>
      </c>
    </row>
    <row r="671" spans="1:72" x14ac:dyDescent="0.4">
      <c r="A671" t="s">
        <v>72</v>
      </c>
      <c r="B671" t="s">
        <v>1119</v>
      </c>
      <c r="C671" t="s">
        <v>74</v>
      </c>
      <c r="D671" t="s">
        <v>74</v>
      </c>
      <c r="E671" t="s">
        <v>74</v>
      </c>
      <c r="F671" t="s">
        <v>1119</v>
      </c>
      <c r="G671" t="s">
        <v>74</v>
      </c>
      <c r="H671" t="s">
        <v>74</v>
      </c>
      <c r="I671" t="s">
        <v>1120</v>
      </c>
      <c r="J671" t="s">
        <v>140</v>
      </c>
      <c r="K671" t="s">
        <v>74</v>
      </c>
      <c r="L671" t="s">
        <v>74</v>
      </c>
      <c r="M671" t="s">
        <v>74</v>
      </c>
      <c r="N671" t="s">
        <v>74</v>
      </c>
      <c r="O671" t="s">
        <v>74</v>
      </c>
      <c r="P671" t="s">
        <v>74</v>
      </c>
      <c r="Q671" t="s">
        <v>74</v>
      </c>
      <c r="R671" t="s">
        <v>74</v>
      </c>
      <c r="S671" t="s">
        <v>74</v>
      </c>
      <c r="T671" t="s">
        <v>74</v>
      </c>
      <c r="U671" t="s">
        <v>74</v>
      </c>
      <c r="V671" s="3" t="s">
        <v>1121</v>
      </c>
      <c r="W671" t="s">
        <v>74</v>
      </c>
      <c r="X671" t="s">
        <v>74</v>
      </c>
      <c r="Y671" t="s">
        <v>74</v>
      </c>
      <c r="Z671" t="s">
        <v>74</v>
      </c>
      <c r="AA671" t="s">
        <v>74</v>
      </c>
      <c r="AB671" t="s">
        <v>1122</v>
      </c>
      <c r="AC671" t="s">
        <v>74</v>
      </c>
      <c r="AD671" t="s">
        <v>74</v>
      </c>
      <c r="AE671" t="s">
        <v>74</v>
      </c>
      <c r="AF671" t="s">
        <v>74</v>
      </c>
      <c r="AG671" t="s">
        <v>74</v>
      </c>
      <c r="AH671" t="s">
        <v>74</v>
      </c>
      <c r="AI671" t="s">
        <v>74</v>
      </c>
      <c r="AJ671" t="s">
        <v>74</v>
      </c>
      <c r="AK671" t="s">
        <v>74</v>
      </c>
      <c r="AL671" t="s">
        <v>74</v>
      </c>
      <c r="AM671" t="s">
        <v>74</v>
      </c>
      <c r="AN671" t="s">
        <v>74</v>
      </c>
      <c r="AO671" t="s">
        <v>143</v>
      </c>
      <c r="AP671" t="s">
        <v>144</v>
      </c>
      <c r="AQ671" t="s">
        <v>74</v>
      </c>
      <c r="AR671" t="s">
        <v>74</v>
      </c>
      <c r="AS671" t="s">
        <v>74</v>
      </c>
      <c r="AT671" t="s">
        <v>74</v>
      </c>
      <c r="AU671">
        <v>1981</v>
      </c>
      <c r="AV671">
        <v>29</v>
      </c>
      <c r="AW671" t="s">
        <v>134</v>
      </c>
      <c r="AX671" t="s">
        <v>74</v>
      </c>
      <c r="AY671" t="s">
        <v>74</v>
      </c>
      <c r="AZ671" t="s">
        <v>74</v>
      </c>
      <c r="BA671" t="s">
        <v>74</v>
      </c>
      <c r="BB671">
        <v>325</v>
      </c>
      <c r="BC671">
        <v>331</v>
      </c>
      <c r="BD671" t="s">
        <v>74</v>
      </c>
      <c r="BE671" t="s">
        <v>1123</v>
      </c>
      <c r="BF671" t="str">
        <f>HYPERLINK("http://dx.doi.org/10.1016/S0003-3472(81)80092-9","http://dx.doi.org/10.1016/S0003-3472(81)80092-9")</f>
        <v>http://dx.doi.org/10.1016/S0003-3472(81)80092-9</v>
      </c>
      <c r="BG671" t="s">
        <v>74</v>
      </c>
      <c r="BH671" t="s">
        <v>74</v>
      </c>
      <c r="BI671" t="s">
        <v>74</v>
      </c>
      <c r="BJ671" t="s">
        <v>74</v>
      </c>
      <c r="BK671" t="s">
        <v>74</v>
      </c>
      <c r="BL671" t="s">
        <v>74</v>
      </c>
      <c r="BM671" t="s">
        <v>74</v>
      </c>
      <c r="BN671" t="s">
        <v>74</v>
      </c>
      <c r="BO671" t="s">
        <v>74</v>
      </c>
      <c r="BP671" t="s">
        <v>74</v>
      </c>
      <c r="BQ671" t="s">
        <v>74</v>
      </c>
      <c r="BR671" t="s">
        <v>74</v>
      </c>
      <c r="BS671" t="s">
        <v>1124</v>
      </c>
      <c r="BT671" t="str">
        <f>HYPERLINK("https%3A%2F%2Fwww.webofscience.com%2Fwos%2Fwoscc%2Ffull-record%2FWOS:A1981LQ60200001","View Full Record in Web of Science")</f>
        <v>View Full Record in Web of Science</v>
      </c>
    </row>
    <row r="672" spans="1:72" x14ac:dyDescent="0.4">
      <c r="A672" t="s">
        <v>72</v>
      </c>
      <c r="B672" t="s">
        <v>3953</v>
      </c>
      <c r="C672" t="s">
        <v>74</v>
      </c>
      <c r="D672" t="s">
        <v>74</v>
      </c>
      <c r="E672" t="s">
        <v>74</v>
      </c>
      <c r="F672" t="s">
        <v>3954</v>
      </c>
      <c r="G672" t="s">
        <v>74</v>
      </c>
      <c r="H672" t="s">
        <v>74</v>
      </c>
      <c r="I672" t="s">
        <v>3955</v>
      </c>
      <c r="J672" t="s">
        <v>201</v>
      </c>
      <c r="K672" t="s">
        <v>74</v>
      </c>
      <c r="L672" t="s">
        <v>74</v>
      </c>
      <c r="M672" t="s">
        <v>74</v>
      </c>
      <c r="N672" t="s">
        <v>74</v>
      </c>
      <c r="O672" t="s">
        <v>74</v>
      </c>
      <c r="P672" t="s">
        <v>74</v>
      </c>
      <c r="Q672" t="s">
        <v>74</v>
      </c>
      <c r="R672" t="s">
        <v>74</v>
      </c>
      <c r="S672" t="s">
        <v>74</v>
      </c>
      <c r="T672" t="s">
        <v>74</v>
      </c>
      <c r="U672" t="s">
        <v>74</v>
      </c>
      <c r="V672" s="3" t="s">
        <v>3956</v>
      </c>
      <c r="W672" t="s">
        <v>74</v>
      </c>
      <c r="X672" t="s">
        <v>74</v>
      </c>
      <c r="Y672" t="s">
        <v>74</v>
      </c>
      <c r="Z672" t="s">
        <v>74</v>
      </c>
      <c r="AA672" t="s">
        <v>379</v>
      </c>
      <c r="AB672" t="s">
        <v>3957</v>
      </c>
      <c r="AC672" t="s">
        <v>74</v>
      </c>
      <c r="AD672" t="s">
        <v>74</v>
      </c>
      <c r="AE672" t="s">
        <v>74</v>
      </c>
      <c r="AF672" t="s">
        <v>74</v>
      </c>
      <c r="AG672" t="s">
        <v>74</v>
      </c>
      <c r="AH672" t="s">
        <v>74</v>
      </c>
      <c r="AI672" t="s">
        <v>74</v>
      </c>
      <c r="AJ672" t="s">
        <v>74</v>
      </c>
      <c r="AK672" t="s">
        <v>74</v>
      </c>
      <c r="AL672" t="s">
        <v>74</v>
      </c>
      <c r="AM672" t="s">
        <v>74</v>
      </c>
      <c r="AN672" t="s">
        <v>74</v>
      </c>
      <c r="AO672" t="s">
        <v>203</v>
      </c>
      <c r="AP672" t="s">
        <v>1192</v>
      </c>
      <c r="AQ672" t="s">
        <v>74</v>
      </c>
      <c r="AR672" t="s">
        <v>74</v>
      </c>
      <c r="AS672" t="s">
        <v>74</v>
      </c>
      <c r="AT672" t="s">
        <v>213</v>
      </c>
      <c r="AU672">
        <v>2013</v>
      </c>
      <c r="AV672">
        <v>83</v>
      </c>
      <c r="AW672">
        <v>5</v>
      </c>
      <c r="AX672" t="s">
        <v>74</v>
      </c>
      <c r="AY672" t="s">
        <v>74</v>
      </c>
      <c r="AZ672" t="s">
        <v>74</v>
      </c>
      <c r="BA672" t="s">
        <v>74</v>
      </c>
      <c r="BB672">
        <v>1371</v>
      </c>
      <c r="BC672">
        <v>1380</v>
      </c>
      <c r="BD672" t="s">
        <v>74</v>
      </c>
      <c r="BE672" t="s">
        <v>3958</v>
      </c>
      <c r="BF672" t="str">
        <f>HYPERLINK("http://dx.doi.org/10.1111/jfb.12239","http://dx.doi.org/10.1111/jfb.12239")</f>
        <v>http://dx.doi.org/10.1111/jfb.12239</v>
      </c>
      <c r="BG672" t="s">
        <v>74</v>
      </c>
      <c r="BH672" t="s">
        <v>74</v>
      </c>
      <c r="BI672" t="s">
        <v>74</v>
      </c>
      <c r="BJ672" t="s">
        <v>74</v>
      </c>
      <c r="BK672" t="s">
        <v>74</v>
      </c>
      <c r="BL672" t="s">
        <v>74</v>
      </c>
      <c r="BM672" t="s">
        <v>74</v>
      </c>
      <c r="BN672">
        <v>24580670</v>
      </c>
      <c r="BO672" t="s">
        <v>74</v>
      </c>
      <c r="BP672" t="s">
        <v>74</v>
      </c>
      <c r="BQ672" t="s">
        <v>74</v>
      </c>
      <c r="BR672" t="s">
        <v>74</v>
      </c>
      <c r="BS672" t="s">
        <v>3959</v>
      </c>
      <c r="BT672" t="str">
        <f>HYPERLINK("https%3A%2F%2Fwww.webofscience.com%2Fwos%2Fwoscc%2Ffull-record%2FWOS:000326476700019","View Full Record in Web of Science")</f>
        <v>View Full Record in Web of Science</v>
      </c>
    </row>
    <row r="673" spans="1:72" x14ac:dyDescent="0.4">
      <c r="A673" t="s">
        <v>72</v>
      </c>
      <c r="B673" t="s">
        <v>5638</v>
      </c>
      <c r="C673" t="s">
        <v>74</v>
      </c>
      <c r="D673" t="s">
        <v>74</v>
      </c>
      <c r="E673" t="s">
        <v>74</v>
      </c>
      <c r="F673" t="s">
        <v>5639</v>
      </c>
      <c r="G673" t="s">
        <v>74</v>
      </c>
      <c r="H673" t="s">
        <v>74</v>
      </c>
      <c r="I673" t="s">
        <v>5640</v>
      </c>
      <c r="J673" t="s">
        <v>408</v>
      </c>
      <c r="K673" t="s">
        <v>74</v>
      </c>
      <c r="L673" t="s">
        <v>74</v>
      </c>
      <c r="M673" t="s">
        <v>74</v>
      </c>
      <c r="N673" t="s">
        <v>74</v>
      </c>
      <c r="O673" t="s">
        <v>74</v>
      </c>
      <c r="P673" t="s">
        <v>74</v>
      </c>
      <c r="Q673" t="s">
        <v>74</v>
      </c>
      <c r="R673" t="s">
        <v>74</v>
      </c>
      <c r="S673" t="s">
        <v>74</v>
      </c>
      <c r="T673" t="s">
        <v>74</v>
      </c>
      <c r="U673" t="s">
        <v>74</v>
      </c>
      <c r="V673" s="3" t="s">
        <v>5641</v>
      </c>
      <c r="W673" t="s">
        <v>74</v>
      </c>
      <c r="X673" t="s">
        <v>74</v>
      </c>
      <c r="Y673" t="s">
        <v>74</v>
      </c>
      <c r="Z673" t="s">
        <v>74</v>
      </c>
      <c r="AA673" t="s">
        <v>5642</v>
      </c>
      <c r="AB673" t="s">
        <v>5643</v>
      </c>
      <c r="AC673" t="s">
        <v>74</v>
      </c>
      <c r="AD673" t="s">
        <v>74</v>
      </c>
      <c r="AE673" t="s">
        <v>74</v>
      </c>
      <c r="AF673" t="s">
        <v>74</v>
      </c>
      <c r="AG673" t="s">
        <v>74</v>
      </c>
      <c r="AH673" t="s">
        <v>74</v>
      </c>
      <c r="AI673" t="s">
        <v>74</v>
      </c>
      <c r="AJ673" t="s">
        <v>74</v>
      </c>
      <c r="AK673" t="s">
        <v>74</v>
      </c>
      <c r="AL673" t="s">
        <v>74</v>
      </c>
      <c r="AM673" t="s">
        <v>74</v>
      </c>
      <c r="AN673" t="s">
        <v>74</v>
      </c>
      <c r="AO673" t="s">
        <v>412</v>
      </c>
      <c r="AP673" t="s">
        <v>413</v>
      </c>
      <c r="AQ673" t="s">
        <v>74</v>
      </c>
      <c r="AR673" t="s">
        <v>74</v>
      </c>
      <c r="AS673" t="s">
        <v>74</v>
      </c>
      <c r="AT673" t="s">
        <v>352</v>
      </c>
      <c r="AU673">
        <v>2013</v>
      </c>
      <c r="AV673">
        <v>110</v>
      </c>
      <c r="AW673">
        <v>1</v>
      </c>
      <c r="AX673" t="s">
        <v>74</v>
      </c>
      <c r="AY673" t="s">
        <v>74</v>
      </c>
      <c r="AZ673" t="s">
        <v>74</v>
      </c>
      <c r="BA673" t="s">
        <v>74</v>
      </c>
      <c r="BB673">
        <v>128</v>
      </c>
      <c r="BC673">
        <v>141</v>
      </c>
      <c r="BD673" t="s">
        <v>74</v>
      </c>
      <c r="BE673" t="s">
        <v>5644</v>
      </c>
      <c r="BF673" t="str">
        <f>HYPERLINK("http://dx.doi.org/10.1111/bij.12104","http://dx.doi.org/10.1111/bij.12104")</f>
        <v>http://dx.doi.org/10.1111/bij.12104</v>
      </c>
      <c r="BG673" t="s">
        <v>74</v>
      </c>
      <c r="BH673" t="s">
        <v>74</v>
      </c>
      <c r="BI673" t="s">
        <v>74</v>
      </c>
      <c r="BJ673" t="s">
        <v>74</v>
      </c>
      <c r="BK673" t="s">
        <v>74</v>
      </c>
      <c r="BL673" t="s">
        <v>74</v>
      </c>
      <c r="BM673" t="s">
        <v>74</v>
      </c>
      <c r="BN673" t="s">
        <v>74</v>
      </c>
      <c r="BO673" t="s">
        <v>74</v>
      </c>
      <c r="BP673" t="s">
        <v>74</v>
      </c>
      <c r="BQ673" t="s">
        <v>74</v>
      </c>
      <c r="BR673" t="s">
        <v>74</v>
      </c>
      <c r="BS673" t="s">
        <v>5645</v>
      </c>
      <c r="BT673" t="str">
        <f>HYPERLINK("https%3A%2F%2Fwww.webofscience.com%2Fwos%2Fwoscc%2Ffull-record%2FWOS:000323040200010","View Full Record in Web of Science")</f>
        <v>View Full Record in Web of Science</v>
      </c>
    </row>
    <row r="674" spans="1:72" x14ac:dyDescent="0.4">
      <c r="A674" t="s">
        <v>72</v>
      </c>
      <c r="B674" t="s">
        <v>3806</v>
      </c>
      <c r="C674" t="s">
        <v>74</v>
      </c>
      <c r="D674" t="s">
        <v>74</v>
      </c>
      <c r="E674" t="s">
        <v>74</v>
      </c>
      <c r="F674" t="s">
        <v>3807</v>
      </c>
      <c r="G674" t="s">
        <v>74</v>
      </c>
      <c r="H674" t="s">
        <v>74</v>
      </c>
      <c r="I674" t="s">
        <v>3808</v>
      </c>
      <c r="J674" t="s">
        <v>333</v>
      </c>
      <c r="K674" t="s">
        <v>74</v>
      </c>
      <c r="L674" t="s">
        <v>74</v>
      </c>
      <c r="M674" t="s">
        <v>74</v>
      </c>
      <c r="N674" t="s">
        <v>74</v>
      </c>
      <c r="O674" t="s">
        <v>74</v>
      </c>
      <c r="P674" t="s">
        <v>74</v>
      </c>
      <c r="Q674" t="s">
        <v>74</v>
      </c>
      <c r="R674" t="s">
        <v>74</v>
      </c>
      <c r="S674" t="s">
        <v>74</v>
      </c>
      <c r="T674" t="s">
        <v>74</v>
      </c>
      <c r="U674" t="s">
        <v>74</v>
      </c>
      <c r="V674" s="3" t="s">
        <v>3809</v>
      </c>
      <c r="W674" t="s">
        <v>74</v>
      </c>
      <c r="X674" t="s">
        <v>74</v>
      </c>
      <c r="Y674" t="s">
        <v>74</v>
      </c>
      <c r="Z674" t="s">
        <v>74</v>
      </c>
      <c r="AA674" t="s">
        <v>3810</v>
      </c>
      <c r="AB674" t="s">
        <v>3811</v>
      </c>
      <c r="AC674" t="s">
        <v>74</v>
      </c>
      <c r="AD674" t="s">
        <v>74</v>
      </c>
      <c r="AE674" t="s">
        <v>74</v>
      </c>
      <c r="AF674" t="s">
        <v>74</v>
      </c>
      <c r="AG674" t="s">
        <v>74</v>
      </c>
      <c r="AH674" t="s">
        <v>74</v>
      </c>
      <c r="AI674" t="s">
        <v>74</v>
      </c>
      <c r="AJ674" t="s">
        <v>74</v>
      </c>
      <c r="AK674" t="s">
        <v>74</v>
      </c>
      <c r="AL674" t="s">
        <v>74</v>
      </c>
      <c r="AM674" t="s">
        <v>74</v>
      </c>
      <c r="AN674" t="s">
        <v>74</v>
      </c>
      <c r="AO674" t="s">
        <v>337</v>
      </c>
      <c r="AP674" t="s">
        <v>338</v>
      </c>
      <c r="AQ674" t="s">
        <v>74</v>
      </c>
      <c r="AR674" t="s">
        <v>74</v>
      </c>
      <c r="AS674" t="s">
        <v>74</v>
      </c>
      <c r="AT674" t="s">
        <v>1475</v>
      </c>
      <c r="AU674">
        <v>2016</v>
      </c>
      <c r="AV674">
        <v>27</v>
      </c>
      <c r="AW674">
        <v>1</v>
      </c>
      <c r="AX674" t="s">
        <v>74</v>
      </c>
      <c r="AY674" t="s">
        <v>74</v>
      </c>
      <c r="AZ674" t="s">
        <v>74</v>
      </c>
      <c r="BA674" t="s">
        <v>74</v>
      </c>
      <c r="BB674">
        <v>262</v>
      </c>
      <c r="BC674">
        <v>270</v>
      </c>
      <c r="BD674" t="s">
        <v>74</v>
      </c>
      <c r="BE674" t="s">
        <v>3812</v>
      </c>
      <c r="BF674" t="str">
        <f>HYPERLINK("http://dx.doi.org/10.1093/beheco/arv149","http://dx.doi.org/10.1093/beheco/arv149")</f>
        <v>http://dx.doi.org/10.1093/beheco/arv149</v>
      </c>
      <c r="BG674" t="s">
        <v>74</v>
      </c>
      <c r="BH674" t="s">
        <v>74</v>
      </c>
      <c r="BI674" t="s">
        <v>74</v>
      </c>
      <c r="BJ674" t="s">
        <v>74</v>
      </c>
      <c r="BK674" t="s">
        <v>74</v>
      </c>
      <c r="BL674" t="s">
        <v>74</v>
      </c>
      <c r="BM674" t="s">
        <v>74</v>
      </c>
      <c r="BN674" t="s">
        <v>74</v>
      </c>
      <c r="BO674" t="s">
        <v>74</v>
      </c>
      <c r="BP674" t="s">
        <v>74</v>
      </c>
      <c r="BQ674" t="s">
        <v>74</v>
      </c>
      <c r="BR674" t="s">
        <v>74</v>
      </c>
      <c r="BS674" t="s">
        <v>3813</v>
      </c>
      <c r="BT674" t="str">
        <f>HYPERLINK("https%3A%2F%2Fwww.webofscience.com%2Fwos%2Fwoscc%2Ffull-record%2FWOS:000374768300038","View Full Record in Web of Science")</f>
        <v>View Full Record in Web of Science</v>
      </c>
    </row>
    <row r="675" spans="1:72" x14ac:dyDescent="0.4">
      <c r="A675" t="s">
        <v>72</v>
      </c>
      <c r="B675" t="s">
        <v>1412</v>
      </c>
      <c r="C675" t="s">
        <v>74</v>
      </c>
      <c r="D675" t="s">
        <v>74</v>
      </c>
      <c r="E675" t="s">
        <v>74</v>
      </c>
      <c r="F675" t="s">
        <v>1413</v>
      </c>
      <c r="G675" t="s">
        <v>74</v>
      </c>
      <c r="H675" t="s">
        <v>74</v>
      </c>
      <c r="I675" t="s">
        <v>1414</v>
      </c>
      <c r="J675" t="s">
        <v>312</v>
      </c>
      <c r="K675" t="s">
        <v>74</v>
      </c>
      <c r="L675" t="s">
        <v>74</v>
      </c>
      <c r="M675" t="s">
        <v>74</v>
      </c>
      <c r="N675" t="s">
        <v>74</v>
      </c>
      <c r="O675" t="s">
        <v>74</v>
      </c>
      <c r="P675" t="s">
        <v>74</v>
      </c>
      <c r="Q675" t="s">
        <v>74</v>
      </c>
      <c r="R675" t="s">
        <v>74</v>
      </c>
      <c r="S675" t="s">
        <v>74</v>
      </c>
      <c r="T675" t="s">
        <v>74</v>
      </c>
      <c r="U675" t="s">
        <v>74</v>
      </c>
      <c r="V675" s="3" t="s">
        <v>1415</v>
      </c>
      <c r="W675" t="s">
        <v>74</v>
      </c>
      <c r="X675" t="s">
        <v>74</v>
      </c>
      <c r="Y675" t="s">
        <v>74</v>
      </c>
      <c r="Z675" t="s">
        <v>74</v>
      </c>
      <c r="AA675" t="s">
        <v>1416</v>
      </c>
      <c r="AB675" t="s">
        <v>74</v>
      </c>
      <c r="AC675" t="s">
        <v>74</v>
      </c>
      <c r="AD675" t="s">
        <v>74</v>
      </c>
      <c r="AE675" t="s">
        <v>74</v>
      </c>
      <c r="AF675" t="s">
        <v>74</v>
      </c>
      <c r="AG675" t="s">
        <v>74</v>
      </c>
      <c r="AH675" t="s">
        <v>74</v>
      </c>
      <c r="AI675" t="s">
        <v>74</v>
      </c>
      <c r="AJ675" t="s">
        <v>74</v>
      </c>
      <c r="AK675" t="s">
        <v>74</v>
      </c>
      <c r="AL675" t="s">
        <v>74</v>
      </c>
      <c r="AM675" t="s">
        <v>74</v>
      </c>
      <c r="AN675" t="s">
        <v>74</v>
      </c>
      <c r="AO675" t="s">
        <v>314</v>
      </c>
      <c r="AP675" t="s">
        <v>315</v>
      </c>
      <c r="AQ675" t="s">
        <v>74</v>
      </c>
      <c r="AR675" t="s">
        <v>74</v>
      </c>
      <c r="AS675" t="s">
        <v>74</v>
      </c>
      <c r="AT675" t="s">
        <v>633</v>
      </c>
      <c r="AU675">
        <v>2015</v>
      </c>
      <c r="AV675">
        <v>185</v>
      </c>
      <c r="AW675">
        <v>4</v>
      </c>
      <c r="AX675" t="s">
        <v>74</v>
      </c>
      <c r="AY675" t="s">
        <v>74</v>
      </c>
      <c r="AZ675" t="s">
        <v>74</v>
      </c>
      <c r="BA675" t="s">
        <v>74</v>
      </c>
      <c r="BB675">
        <v>443</v>
      </c>
      <c r="BC675">
        <v>451</v>
      </c>
      <c r="BD675" t="s">
        <v>74</v>
      </c>
      <c r="BE675" t="s">
        <v>1417</v>
      </c>
      <c r="BF675" t="str">
        <f>HYPERLINK("http://dx.doi.org/10.1086/680206","http://dx.doi.org/10.1086/680206")</f>
        <v>http://dx.doi.org/10.1086/680206</v>
      </c>
      <c r="BG675" t="s">
        <v>74</v>
      </c>
      <c r="BH675" t="s">
        <v>74</v>
      </c>
      <c r="BI675" t="s">
        <v>74</v>
      </c>
      <c r="BJ675" t="s">
        <v>74</v>
      </c>
      <c r="BK675" t="s">
        <v>74</v>
      </c>
      <c r="BL675" t="s">
        <v>74</v>
      </c>
      <c r="BM675" t="s">
        <v>74</v>
      </c>
      <c r="BN675">
        <v>25811081</v>
      </c>
      <c r="BO675" t="s">
        <v>74</v>
      </c>
      <c r="BP675" t="s">
        <v>74</v>
      </c>
      <c r="BQ675" t="s">
        <v>74</v>
      </c>
      <c r="BR675" t="s">
        <v>74</v>
      </c>
      <c r="BS675" t="s">
        <v>1418</v>
      </c>
      <c r="BT675" t="str">
        <f>HYPERLINK("https%3A%2F%2Fwww.webofscience.com%2Fwos%2Fwoscc%2Ffull-record%2FWOS:000351859700005","View Full Record in Web of Science")</f>
        <v>View Full Record in Web of Science</v>
      </c>
    </row>
    <row r="676" spans="1:72" x14ac:dyDescent="0.4">
      <c r="A676" t="s">
        <v>72</v>
      </c>
      <c r="B676" t="s">
        <v>689</v>
      </c>
      <c r="C676" t="s">
        <v>74</v>
      </c>
      <c r="D676" t="s">
        <v>74</v>
      </c>
      <c r="E676" t="s">
        <v>74</v>
      </c>
      <c r="F676" t="s">
        <v>689</v>
      </c>
      <c r="G676" t="s">
        <v>74</v>
      </c>
      <c r="H676" t="s">
        <v>74</v>
      </c>
      <c r="I676" t="s">
        <v>690</v>
      </c>
      <c r="J676" t="s">
        <v>691</v>
      </c>
      <c r="K676" t="s">
        <v>74</v>
      </c>
      <c r="L676" t="s">
        <v>74</v>
      </c>
      <c r="M676" t="s">
        <v>74</v>
      </c>
      <c r="N676" t="s">
        <v>74</v>
      </c>
      <c r="O676" t="s">
        <v>74</v>
      </c>
      <c r="P676" t="s">
        <v>74</v>
      </c>
      <c r="Q676" t="s">
        <v>74</v>
      </c>
      <c r="R676" t="s">
        <v>74</v>
      </c>
      <c r="S676" t="s">
        <v>74</v>
      </c>
      <c r="T676" t="s">
        <v>74</v>
      </c>
      <c r="U676" t="s">
        <v>74</v>
      </c>
      <c r="V676" s="3" t="s">
        <v>692</v>
      </c>
      <c r="W676" t="s">
        <v>74</v>
      </c>
      <c r="X676" t="s">
        <v>74</v>
      </c>
      <c r="Y676" t="s">
        <v>74</v>
      </c>
      <c r="Z676" t="s">
        <v>74</v>
      </c>
      <c r="AA676" t="s">
        <v>693</v>
      </c>
      <c r="AB676" t="s">
        <v>694</v>
      </c>
      <c r="AC676" t="s">
        <v>74</v>
      </c>
      <c r="AD676" t="s">
        <v>74</v>
      </c>
      <c r="AE676" t="s">
        <v>74</v>
      </c>
      <c r="AF676" t="s">
        <v>74</v>
      </c>
      <c r="AG676" t="s">
        <v>74</v>
      </c>
      <c r="AH676" t="s">
        <v>74</v>
      </c>
      <c r="AI676" t="s">
        <v>74</v>
      </c>
      <c r="AJ676" t="s">
        <v>74</v>
      </c>
      <c r="AK676" t="s">
        <v>74</v>
      </c>
      <c r="AL676" t="s">
        <v>74</v>
      </c>
      <c r="AM676" t="s">
        <v>74</v>
      </c>
      <c r="AN676" t="s">
        <v>74</v>
      </c>
      <c r="AO676" t="s">
        <v>695</v>
      </c>
      <c r="AP676" t="s">
        <v>74</v>
      </c>
      <c r="AQ676" t="s">
        <v>74</v>
      </c>
      <c r="AR676" t="s">
        <v>74</v>
      </c>
      <c r="AS676" t="s">
        <v>74</v>
      </c>
      <c r="AT676" t="s">
        <v>145</v>
      </c>
      <c r="AU676">
        <v>1995</v>
      </c>
      <c r="AV676">
        <v>58</v>
      </c>
      <c r="AW676">
        <v>2</v>
      </c>
      <c r="AX676" t="s">
        <v>74</v>
      </c>
      <c r="AY676" t="s">
        <v>74</v>
      </c>
      <c r="AZ676" t="s">
        <v>74</v>
      </c>
      <c r="BA676" t="s">
        <v>74</v>
      </c>
      <c r="BB676">
        <v>323</v>
      </c>
      <c r="BC676">
        <v>328</v>
      </c>
      <c r="BD676" t="s">
        <v>74</v>
      </c>
      <c r="BE676" t="s">
        <v>696</v>
      </c>
      <c r="BF676" t="str">
        <f>HYPERLINK("http://dx.doi.org/10.1016/0031-9384(95)00061-M","http://dx.doi.org/10.1016/0031-9384(95)00061-M")</f>
        <v>http://dx.doi.org/10.1016/0031-9384(95)00061-M</v>
      </c>
      <c r="BG676" t="s">
        <v>74</v>
      </c>
      <c r="BH676" t="s">
        <v>74</v>
      </c>
      <c r="BI676" t="s">
        <v>74</v>
      </c>
      <c r="BJ676" t="s">
        <v>74</v>
      </c>
      <c r="BK676" t="s">
        <v>74</v>
      </c>
      <c r="BL676" t="s">
        <v>74</v>
      </c>
      <c r="BM676" t="s">
        <v>74</v>
      </c>
      <c r="BN676">
        <v>7568436</v>
      </c>
      <c r="BO676" t="s">
        <v>74</v>
      </c>
      <c r="BP676" t="s">
        <v>74</v>
      </c>
      <c r="BQ676" t="s">
        <v>74</v>
      </c>
      <c r="BR676" t="s">
        <v>74</v>
      </c>
      <c r="BS676" t="s">
        <v>697</v>
      </c>
      <c r="BT676" t="str">
        <f>HYPERLINK("https%3A%2F%2Fwww.webofscience.com%2Fwos%2Fwoscc%2Ffull-record%2FWOS:A1995RH18300016","View Full Record in Web of Science")</f>
        <v>View Full Record in Web of Science</v>
      </c>
    </row>
    <row r="677" spans="1:72" x14ac:dyDescent="0.4">
      <c r="A677" t="s">
        <v>72</v>
      </c>
      <c r="B677" t="s">
        <v>7812</v>
      </c>
      <c r="C677" t="s">
        <v>74</v>
      </c>
      <c r="D677" t="s">
        <v>74</v>
      </c>
      <c r="E677" t="s">
        <v>74</v>
      </c>
      <c r="F677" t="s">
        <v>7813</v>
      </c>
      <c r="G677" t="s">
        <v>74</v>
      </c>
      <c r="H677" t="s">
        <v>74</v>
      </c>
      <c r="I677" t="s">
        <v>7814</v>
      </c>
      <c r="J677" t="s">
        <v>803</v>
      </c>
      <c r="K677" t="s">
        <v>74</v>
      </c>
      <c r="L677" t="s">
        <v>74</v>
      </c>
      <c r="M677" t="s">
        <v>74</v>
      </c>
      <c r="N677" t="s">
        <v>74</v>
      </c>
      <c r="O677" t="s">
        <v>74</v>
      </c>
      <c r="P677" t="s">
        <v>74</v>
      </c>
      <c r="Q677" t="s">
        <v>74</v>
      </c>
      <c r="R677" t="s">
        <v>74</v>
      </c>
      <c r="S677" t="s">
        <v>74</v>
      </c>
      <c r="T677" t="s">
        <v>74</v>
      </c>
      <c r="U677" t="s">
        <v>74</v>
      </c>
      <c r="V677" s="3" t="s">
        <v>7815</v>
      </c>
      <c r="W677" t="s">
        <v>74</v>
      </c>
      <c r="X677" t="s">
        <v>74</v>
      </c>
      <c r="Y677" t="s">
        <v>74</v>
      </c>
      <c r="Z677" t="s">
        <v>74</v>
      </c>
      <c r="AA677" t="s">
        <v>7816</v>
      </c>
      <c r="AB677" t="s">
        <v>7817</v>
      </c>
      <c r="AC677" t="s">
        <v>74</v>
      </c>
      <c r="AD677" t="s">
        <v>74</v>
      </c>
      <c r="AE677" t="s">
        <v>74</v>
      </c>
      <c r="AF677" t="s">
        <v>74</v>
      </c>
      <c r="AG677" t="s">
        <v>74</v>
      </c>
      <c r="AH677" t="s">
        <v>74</v>
      </c>
      <c r="AI677" t="s">
        <v>74</v>
      </c>
      <c r="AJ677" t="s">
        <v>74</v>
      </c>
      <c r="AK677" t="s">
        <v>74</v>
      </c>
      <c r="AL677" t="s">
        <v>74</v>
      </c>
      <c r="AM677" t="s">
        <v>74</v>
      </c>
      <c r="AN677" t="s">
        <v>74</v>
      </c>
      <c r="AO677" t="s">
        <v>806</v>
      </c>
      <c r="AP677" t="s">
        <v>807</v>
      </c>
      <c r="AQ677" t="s">
        <v>74</v>
      </c>
      <c r="AR677" t="s">
        <v>74</v>
      </c>
      <c r="AS677" t="s">
        <v>74</v>
      </c>
      <c r="AT677" t="s">
        <v>1475</v>
      </c>
      <c r="AU677">
        <v>2021</v>
      </c>
      <c r="AV677">
        <v>41</v>
      </c>
      <c r="AW677" t="s">
        <v>74</v>
      </c>
      <c r="AX677" t="s">
        <v>74</v>
      </c>
      <c r="AY677" t="s">
        <v>74</v>
      </c>
      <c r="AZ677" t="s">
        <v>74</v>
      </c>
      <c r="BA677" t="s">
        <v>74</v>
      </c>
      <c r="BB677">
        <v>12</v>
      </c>
      <c r="BC677">
        <v>21</v>
      </c>
      <c r="BD677" t="s">
        <v>74</v>
      </c>
      <c r="BE677" t="s">
        <v>7818</v>
      </c>
      <c r="BF677" t="str">
        <f>HYPERLINK("http://dx.doi.org/10.1016/j.jveb.2020.10.007","http://dx.doi.org/10.1016/j.jveb.2020.10.007")</f>
        <v>http://dx.doi.org/10.1016/j.jveb.2020.10.007</v>
      </c>
      <c r="BG677" t="s">
        <v>74</v>
      </c>
      <c r="BH677" t="s">
        <v>74</v>
      </c>
      <c r="BI677" t="s">
        <v>74</v>
      </c>
      <c r="BJ677" t="s">
        <v>74</v>
      </c>
      <c r="BK677" t="s">
        <v>74</v>
      </c>
      <c r="BL677" t="s">
        <v>74</v>
      </c>
      <c r="BM677" t="s">
        <v>74</v>
      </c>
      <c r="BN677" t="s">
        <v>74</v>
      </c>
      <c r="BO677" t="s">
        <v>74</v>
      </c>
      <c r="BP677" t="s">
        <v>74</v>
      </c>
      <c r="BQ677" t="s">
        <v>74</v>
      </c>
      <c r="BR677" t="s">
        <v>74</v>
      </c>
      <c r="BS677" t="s">
        <v>7819</v>
      </c>
      <c r="BT677" t="str">
        <f>HYPERLINK("https%3A%2F%2Fwww.webofscience.com%2Fwos%2Fwoscc%2Ffull-record%2FWOS:000632186500001","View Full Record in Web of Science")</f>
        <v>View Full Record in Web of Science</v>
      </c>
    </row>
    <row r="678" spans="1:72" x14ac:dyDescent="0.4">
      <c r="A678" t="s">
        <v>72</v>
      </c>
      <c r="B678" t="s">
        <v>5673</v>
      </c>
      <c r="C678" t="s">
        <v>74</v>
      </c>
      <c r="D678" t="s">
        <v>74</v>
      </c>
      <c r="E678" t="s">
        <v>74</v>
      </c>
      <c r="F678" t="s">
        <v>5674</v>
      </c>
      <c r="G678" t="s">
        <v>74</v>
      </c>
      <c r="H678" t="s">
        <v>74</v>
      </c>
      <c r="I678" t="s">
        <v>5675</v>
      </c>
      <c r="J678" t="s">
        <v>129</v>
      </c>
      <c r="K678" t="s">
        <v>74</v>
      </c>
      <c r="L678" t="s">
        <v>74</v>
      </c>
      <c r="M678" t="s">
        <v>74</v>
      </c>
      <c r="N678" t="s">
        <v>74</v>
      </c>
      <c r="O678" t="s">
        <v>74</v>
      </c>
      <c r="P678" t="s">
        <v>74</v>
      </c>
      <c r="Q678" t="s">
        <v>74</v>
      </c>
      <c r="R678" t="s">
        <v>74</v>
      </c>
      <c r="S678" t="s">
        <v>74</v>
      </c>
      <c r="T678" t="s">
        <v>74</v>
      </c>
      <c r="U678" t="s">
        <v>74</v>
      </c>
      <c r="V678" s="3" t="s">
        <v>5676</v>
      </c>
      <c r="W678" t="s">
        <v>74</v>
      </c>
      <c r="X678" t="s">
        <v>74</v>
      </c>
      <c r="Y678" t="s">
        <v>74</v>
      </c>
      <c r="Z678" t="s">
        <v>74</v>
      </c>
      <c r="AA678" t="s">
        <v>5677</v>
      </c>
      <c r="AB678" t="s">
        <v>5678</v>
      </c>
      <c r="AC678" t="s">
        <v>74</v>
      </c>
      <c r="AD678" t="s">
        <v>74</v>
      </c>
      <c r="AE678" t="s">
        <v>74</v>
      </c>
      <c r="AF678" t="s">
        <v>74</v>
      </c>
      <c r="AG678" t="s">
        <v>74</v>
      </c>
      <c r="AH678" t="s">
        <v>74</v>
      </c>
      <c r="AI678" t="s">
        <v>74</v>
      </c>
      <c r="AJ678" t="s">
        <v>74</v>
      </c>
      <c r="AK678" t="s">
        <v>74</v>
      </c>
      <c r="AL678" t="s">
        <v>74</v>
      </c>
      <c r="AM678" t="s">
        <v>74</v>
      </c>
      <c r="AN678" t="s">
        <v>74</v>
      </c>
      <c r="AO678" t="s">
        <v>132</v>
      </c>
      <c r="AP678" t="s">
        <v>133</v>
      </c>
      <c r="AQ678" t="s">
        <v>74</v>
      </c>
      <c r="AR678" t="s">
        <v>74</v>
      </c>
      <c r="AS678" t="s">
        <v>74</v>
      </c>
      <c r="AT678" t="s">
        <v>305</v>
      </c>
      <c r="AU678">
        <v>2018</v>
      </c>
      <c r="AV678">
        <v>72</v>
      </c>
      <c r="AW678">
        <v>12</v>
      </c>
      <c r="AX678" t="s">
        <v>74</v>
      </c>
      <c r="AY678" t="s">
        <v>74</v>
      </c>
      <c r="AZ678" t="s">
        <v>74</v>
      </c>
      <c r="BA678" t="s">
        <v>74</v>
      </c>
      <c r="BB678" t="s">
        <v>74</v>
      </c>
      <c r="BC678" t="s">
        <v>74</v>
      </c>
      <c r="BD678">
        <v>189</v>
      </c>
      <c r="BE678" t="s">
        <v>5679</v>
      </c>
      <c r="BF678" t="str">
        <f>HYPERLINK("http://dx.doi.org/10.1007/s00265-018-2617-0","http://dx.doi.org/10.1007/s00265-018-2617-0")</f>
        <v>http://dx.doi.org/10.1007/s00265-018-2617-0</v>
      </c>
      <c r="BG678" t="s">
        <v>74</v>
      </c>
      <c r="BH678" t="s">
        <v>74</v>
      </c>
      <c r="BI678" t="s">
        <v>74</v>
      </c>
      <c r="BJ678" t="s">
        <v>74</v>
      </c>
      <c r="BK678" t="s">
        <v>74</v>
      </c>
      <c r="BL678" t="s">
        <v>74</v>
      </c>
      <c r="BM678" t="s">
        <v>74</v>
      </c>
      <c r="BN678" t="s">
        <v>74</v>
      </c>
      <c r="BO678" t="s">
        <v>74</v>
      </c>
      <c r="BP678" t="s">
        <v>74</v>
      </c>
      <c r="BQ678" t="s">
        <v>74</v>
      </c>
      <c r="BR678" t="s">
        <v>74</v>
      </c>
      <c r="BS678" t="s">
        <v>5680</v>
      </c>
      <c r="BT678" t="str">
        <f>HYPERLINK("https%3A%2F%2Fwww.webofscience.com%2Fwos%2Fwoscc%2Ffull-record%2FWOS:000451753200001","View Full Record in Web of Science")</f>
        <v>View Full Record in Web of Science</v>
      </c>
    </row>
    <row r="679" spans="1:72" x14ac:dyDescent="0.4">
      <c r="A679" t="s">
        <v>72</v>
      </c>
      <c r="B679" t="s">
        <v>5395</v>
      </c>
      <c r="C679" t="s">
        <v>74</v>
      </c>
      <c r="D679" t="s">
        <v>74</v>
      </c>
      <c r="E679" t="s">
        <v>74</v>
      </c>
      <c r="F679" t="s">
        <v>5396</v>
      </c>
      <c r="G679" t="s">
        <v>74</v>
      </c>
      <c r="H679" t="s">
        <v>74</v>
      </c>
      <c r="I679" t="s">
        <v>5397</v>
      </c>
      <c r="J679" t="s">
        <v>1656</v>
      </c>
      <c r="K679" t="s">
        <v>74</v>
      </c>
      <c r="L679" t="s">
        <v>74</v>
      </c>
      <c r="M679" t="s">
        <v>74</v>
      </c>
      <c r="N679" t="s">
        <v>74</v>
      </c>
      <c r="O679" t="s">
        <v>74</v>
      </c>
      <c r="P679" t="s">
        <v>74</v>
      </c>
      <c r="Q679" t="s">
        <v>74</v>
      </c>
      <c r="R679" t="s">
        <v>74</v>
      </c>
      <c r="S679" t="s">
        <v>74</v>
      </c>
      <c r="T679" t="s">
        <v>74</v>
      </c>
      <c r="U679" t="s">
        <v>74</v>
      </c>
      <c r="V679" s="3" t="s">
        <v>5398</v>
      </c>
      <c r="W679" t="s">
        <v>74</v>
      </c>
      <c r="X679" t="s">
        <v>74</v>
      </c>
      <c r="Y679" t="s">
        <v>74</v>
      </c>
      <c r="Z679" t="s">
        <v>74</v>
      </c>
      <c r="AA679" t="s">
        <v>5399</v>
      </c>
      <c r="AB679" t="s">
        <v>5400</v>
      </c>
      <c r="AC679" t="s">
        <v>74</v>
      </c>
      <c r="AD679" t="s">
        <v>74</v>
      </c>
      <c r="AE679" t="s">
        <v>74</v>
      </c>
      <c r="AF679" t="s">
        <v>74</v>
      </c>
      <c r="AG679" t="s">
        <v>74</v>
      </c>
      <c r="AH679" t="s">
        <v>74</v>
      </c>
      <c r="AI679" t="s">
        <v>74</v>
      </c>
      <c r="AJ679" t="s">
        <v>74</v>
      </c>
      <c r="AK679" t="s">
        <v>74</v>
      </c>
      <c r="AL679" t="s">
        <v>74</v>
      </c>
      <c r="AM679" t="s">
        <v>74</v>
      </c>
      <c r="AN679" t="s">
        <v>74</v>
      </c>
      <c r="AO679" t="s">
        <v>1658</v>
      </c>
      <c r="AP679" t="s">
        <v>1659</v>
      </c>
      <c r="AQ679" t="s">
        <v>74</v>
      </c>
      <c r="AR679" t="s">
        <v>74</v>
      </c>
      <c r="AS679" t="s">
        <v>74</v>
      </c>
      <c r="AT679" t="s">
        <v>5401</v>
      </c>
      <c r="AU679">
        <v>2014</v>
      </c>
      <c r="AV679">
        <v>3893</v>
      </c>
      <c r="AW679">
        <v>2</v>
      </c>
      <c r="AX679" t="s">
        <v>74</v>
      </c>
      <c r="AY679" t="s">
        <v>74</v>
      </c>
      <c r="AZ679" t="s">
        <v>74</v>
      </c>
      <c r="BA679" t="s">
        <v>74</v>
      </c>
      <c r="BB679">
        <v>277</v>
      </c>
      <c r="BC679">
        <v>292</v>
      </c>
      <c r="BD679" t="s">
        <v>74</v>
      </c>
      <c r="BE679" t="s">
        <v>5402</v>
      </c>
      <c r="BF679" t="str">
        <f>HYPERLINK("http://dx.doi.org/10.11646/zootaxa.3893.2.7","http://dx.doi.org/10.11646/zootaxa.3893.2.7")</f>
        <v>http://dx.doi.org/10.11646/zootaxa.3893.2.7</v>
      </c>
      <c r="BG679" t="s">
        <v>74</v>
      </c>
      <c r="BH679" t="s">
        <v>74</v>
      </c>
      <c r="BI679" t="s">
        <v>74</v>
      </c>
      <c r="BJ679" t="s">
        <v>74</v>
      </c>
      <c r="BK679" t="s">
        <v>74</v>
      </c>
      <c r="BL679" t="s">
        <v>74</v>
      </c>
      <c r="BM679" t="s">
        <v>74</v>
      </c>
      <c r="BN679">
        <v>25544523</v>
      </c>
      <c r="BO679" t="s">
        <v>74</v>
      </c>
      <c r="BP679" t="s">
        <v>74</v>
      </c>
      <c r="BQ679" t="s">
        <v>74</v>
      </c>
      <c r="BR679" t="s">
        <v>74</v>
      </c>
      <c r="BS679" t="s">
        <v>5403</v>
      </c>
      <c r="BT679" t="str">
        <f>HYPERLINK("https%3A%2F%2Fwww.webofscience.com%2Fwos%2Fwoscc%2Ffull-record%2FWOS:000346874900007","View Full Record in Web of Science")</f>
        <v>View Full Record in Web of Science</v>
      </c>
    </row>
    <row r="680" spans="1:72" x14ac:dyDescent="0.4">
      <c r="A680" t="s">
        <v>72</v>
      </c>
      <c r="B680" t="s">
        <v>5188</v>
      </c>
      <c r="C680" t="s">
        <v>74</v>
      </c>
      <c r="D680" t="s">
        <v>74</v>
      </c>
      <c r="E680" t="s">
        <v>74</v>
      </c>
      <c r="F680" t="s">
        <v>5188</v>
      </c>
      <c r="G680" t="s">
        <v>74</v>
      </c>
      <c r="H680" t="s">
        <v>74</v>
      </c>
      <c r="I680" t="s">
        <v>5189</v>
      </c>
      <c r="J680" t="s">
        <v>431</v>
      </c>
      <c r="K680" t="s">
        <v>74</v>
      </c>
      <c r="L680" t="s">
        <v>74</v>
      </c>
      <c r="M680" t="s">
        <v>74</v>
      </c>
      <c r="N680" t="s">
        <v>74</v>
      </c>
      <c r="O680" t="s">
        <v>74</v>
      </c>
      <c r="P680" t="s">
        <v>74</v>
      </c>
      <c r="Q680" t="s">
        <v>74</v>
      </c>
      <c r="R680" t="s">
        <v>74</v>
      </c>
      <c r="S680" t="s">
        <v>74</v>
      </c>
      <c r="T680" t="s">
        <v>74</v>
      </c>
      <c r="U680" t="s">
        <v>74</v>
      </c>
      <c r="V680" s="3" t="s">
        <v>5190</v>
      </c>
      <c r="W680" t="s">
        <v>74</v>
      </c>
      <c r="X680" t="s">
        <v>74</v>
      </c>
      <c r="Y680" t="s">
        <v>74</v>
      </c>
      <c r="Z680" t="s">
        <v>74</v>
      </c>
      <c r="AA680" t="s">
        <v>74</v>
      </c>
      <c r="AB680" t="s">
        <v>74</v>
      </c>
      <c r="AC680" t="s">
        <v>74</v>
      </c>
      <c r="AD680" t="s">
        <v>74</v>
      </c>
      <c r="AE680" t="s">
        <v>74</v>
      </c>
      <c r="AF680" t="s">
        <v>74</v>
      </c>
      <c r="AG680" t="s">
        <v>74</v>
      </c>
      <c r="AH680" t="s">
        <v>74</v>
      </c>
      <c r="AI680" t="s">
        <v>74</v>
      </c>
      <c r="AJ680" t="s">
        <v>74</v>
      </c>
      <c r="AK680" t="s">
        <v>74</v>
      </c>
      <c r="AL680" t="s">
        <v>74</v>
      </c>
      <c r="AM680" t="s">
        <v>74</v>
      </c>
      <c r="AN680" t="s">
        <v>74</v>
      </c>
      <c r="AO680" t="s">
        <v>74</v>
      </c>
      <c r="AP680" t="s">
        <v>435</v>
      </c>
      <c r="AQ680" t="s">
        <v>74</v>
      </c>
      <c r="AR680" t="s">
        <v>74</v>
      </c>
      <c r="AS680" t="s">
        <v>74</v>
      </c>
      <c r="AT680" t="s">
        <v>74</v>
      </c>
      <c r="AU680">
        <v>1982</v>
      </c>
      <c r="AV680">
        <v>99</v>
      </c>
      <c r="AW680">
        <v>3</v>
      </c>
      <c r="AX680" t="s">
        <v>74</v>
      </c>
      <c r="AY680" t="s">
        <v>74</v>
      </c>
      <c r="AZ680" t="s">
        <v>74</v>
      </c>
      <c r="BA680" t="s">
        <v>74</v>
      </c>
      <c r="BB680">
        <v>548</v>
      </c>
      <c r="BC680">
        <v>554</v>
      </c>
      <c r="BD680" t="s">
        <v>74</v>
      </c>
      <c r="BE680" t="s">
        <v>74</v>
      </c>
      <c r="BF680" t="s">
        <v>74</v>
      </c>
      <c r="BG680" t="s">
        <v>74</v>
      </c>
      <c r="BH680" t="s">
        <v>74</v>
      </c>
      <c r="BI680" t="s">
        <v>74</v>
      </c>
      <c r="BJ680" t="s">
        <v>74</v>
      </c>
      <c r="BK680" t="s">
        <v>74</v>
      </c>
      <c r="BL680" t="s">
        <v>74</v>
      </c>
      <c r="BM680" t="s">
        <v>74</v>
      </c>
      <c r="BN680" t="s">
        <v>74</v>
      </c>
      <c r="BO680" t="s">
        <v>74</v>
      </c>
      <c r="BP680" t="s">
        <v>74</v>
      </c>
      <c r="BQ680" t="s">
        <v>74</v>
      </c>
      <c r="BR680" t="s">
        <v>74</v>
      </c>
      <c r="BS680" t="s">
        <v>5191</v>
      </c>
      <c r="BT680" t="str">
        <f>HYPERLINK("https%3A%2F%2Fwww.webofscience.com%2Fwos%2Fwoscc%2Ffull-record%2FWOS:A1982NY39800015","View Full Record in Web of Science")</f>
        <v>View Full Record in Web of Science</v>
      </c>
    </row>
    <row r="681" spans="1:72" x14ac:dyDescent="0.4">
      <c r="A681" t="s">
        <v>72</v>
      </c>
      <c r="B681" t="s">
        <v>2964</v>
      </c>
      <c r="C681" t="s">
        <v>74</v>
      </c>
      <c r="D681" t="s">
        <v>74</v>
      </c>
      <c r="E681" t="s">
        <v>74</v>
      </c>
      <c r="F681" t="s">
        <v>2964</v>
      </c>
      <c r="G681" t="s">
        <v>74</v>
      </c>
      <c r="H681" t="s">
        <v>74</v>
      </c>
      <c r="I681" t="s">
        <v>2965</v>
      </c>
      <c r="J681" t="s">
        <v>2966</v>
      </c>
      <c r="K681" t="s">
        <v>74</v>
      </c>
      <c r="L681" t="s">
        <v>74</v>
      </c>
      <c r="M681" t="s">
        <v>74</v>
      </c>
      <c r="N681" t="s">
        <v>74</v>
      </c>
      <c r="O681" t="s">
        <v>74</v>
      </c>
      <c r="P681" t="s">
        <v>74</v>
      </c>
      <c r="Q681" t="s">
        <v>74</v>
      </c>
      <c r="R681" t="s">
        <v>74</v>
      </c>
      <c r="S681" t="s">
        <v>74</v>
      </c>
      <c r="T681" t="s">
        <v>74</v>
      </c>
      <c r="U681" t="s">
        <v>74</v>
      </c>
      <c r="V681" s="3" t="s">
        <v>2967</v>
      </c>
      <c r="W681" t="s">
        <v>74</v>
      </c>
      <c r="X681" t="s">
        <v>74</v>
      </c>
      <c r="Y681" t="s">
        <v>74</v>
      </c>
      <c r="Z681" t="s">
        <v>74</v>
      </c>
      <c r="AA681" t="s">
        <v>74</v>
      </c>
      <c r="AB681" t="s">
        <v>74</v>
      </c>
      <c r="AC681" t="s">
        <v>74</v>
      </c>
      <c r="AD681" t="s">
        <v>74</v>
      </c>
      <c r="AE681" t="s">
        <v>74</v>
      </c>
      <c r="AF681" t="s">
        <v>74</v>
      </c>
      <c r="AG681" t="s">
        <v>74</v>
      </c>
      <c r="AH681" t="s">
        <v>74</v>
      </c>
      <c r="AI681" t="s">
        <v>74</v>
      </c>
      <c r="AJ681" t="s">
        <v>74</v>
      </c>
      <c r="AK681" t="s">
        <v>74</v>
      </c>
      <c r="AL681" t="s">
        <v>74</v>
      </c>
      <c r="AM681" t="s">
        <v>74</v>
      </c>
      <c r="AN681" t="s">
        <v>74</v>
      </c>
      <c r="AO681" t="s">
        <v>2968</v>
      </c>
      <c r="AP681" t="s">
        <v>2969</v>
      </c>
      <c r="AQ681" t="s">
        <v>74</v>
      </c>
      <c r="AR681" t="s">
        <v>74</v>
      </c>
      <c r="AS681" t="s">
        <v>74</v>
      </c>
      <c r="AT681" t="s">
        <v>957</v>
      </c>
      <c r="AU681">
        <v>1989</v>
      </c>
      <c r="AV681">
        <v>36</v>
      </c>
      <c r="AW681">
        <v>1</v>
      </c>
      <c r="AX681" t="s">
        <v>74</v>
      </c>
      <c r="AY681" t="s">
        <v>74</v>
      </c>
      <c r="AZ681" t="s">
        <v>74</v>
      </c>
      <c r="BA681" t="s">
        <v>74</v>
      </c>
      <c r="BB681">
        <v>30</v>
      </c>
      <c r="BC681">
        <v>41</v>
      </c>
      <c r="BD681" t="s">
        <v>74</v>
      </c>
      <c r="BE681" t="s">
        <v>2970</v>
      </c>
      <c r="BF681" t="str">
        <f>HYPERLINK("http://dx.doi.org/10.1007/BF02905670","http://dx.doi.org/10.1007/BF02905670")</f>
        <v>http://dx.doi.org/10.1007/BF02905670</v>
      </c>
      <c r="BG681" t="s">
        <v>74</v>
      </c>
      <c r="BH681" t="s">
        <v>74</v>
      </c>
      <c r="BI681" t="s">
        <v>74</v>
      </c>
      <c r="BJ681" t="s">
        <v>74</v>
      </c>
      <c r="BK681" t="s">
        <v>74</v>
      </c>
      <c r="BL681" t="s">
        <v>74</v>
      </c>
      <c r="BM681" t="s">
        <v>74</v>
      </c>
      <c r="BN681" t="s">
        <v>74</v>
      </c>
      <c r="BO681" t="s">
        <v>74</v>
      </c>
      <c r="BP681" t="s">
        <v>74</v>
      </c>
      <c r="BQ681" t="s">
        <v>74</v>
      </c>
      <c r="BR681" t="s">
        <v>74</v>
      </c>
      <c r="BS681" t="s">
        <v>2971</v>
      </c>
      <c r="BT681" t="str">
        <f>HYPERLINK("https%3A%2F%2Fwww.webofscience.com%2Fwos%2Fwoscc%2Ffull-record%2FWOS:A1989AD70900004","View Full Record in Web of Science")</f>
        <v>View Full Record in Web of Science</v>
      </c>
    </row>
    <row r="682" spans="1:72" x14ac:dyDescent="0.4">
      <c r="A682" t="s">
        <v>72</v>
      </c>
      <c r="B682" t="s">
        <v>6008</v>
      </c>
      <c r="C682" t="s">
        <v>74</v>
      </c>
      <c r="D682" t="s">
        <v>74</v>
      </c>
      <c r="E682" t="s">
        <v>74</v>
      </c>
      <c r="F682" t="s">
        <v>6008</v>
      </c>
      <c r="G682" t="s">
        <v>74</v>
      </c>
      <c r="H682" t="s">
        <v>74</v>
      </c>
      <c r="I682" t="s">
        <v>6009</v>
      </c>
      <c r="J682" t="s">
        <v>140</v>
      </c>
      <c r="K682" t="s">
        <v>74</v>
      </c>
      <c r="L682" t="s">
        <v>74</v>
      </c>
      <c r="M682" t="s">
        <v>74</v>
      </c>
      <c r="N682" t="s">
        <v>74</v>
      </c>
      <c r="O682" t="s">
        <v>74</v>
      </c>
      <c r="P682" t="s">
        <v>74</v>
      </c>
      <c r="Q682" t="s">
        <v>74</v>
      </c>
      <c r="R682" t="s">
        <v>74</v>
      </c>
      <c r="S682" t="s">
        <v>74</v>
      </c>
      <c r="T682" t="s">
        <v>74</v>
      </c>
      <c r="U682" t="s">
        <v>74</v>
      </c>
      <c r="V682" s="3" t="s">
        <v>6010</v>
      </c>
      <c r="W682" t="s">
        <v>74</v>
      </c>
      <c r="X682" t="s">
        <v>74</v>
      </c>
      <c r="Y682" t="s">
        <v>74</v>
      </c>
      <c r="Z682" t="s">
        <v>74</v>
      </c>
      <c r="AA682" t="s">
        <v>6011</v>
      </c>
      <c r="AB682" t="s">
        <v>6012</v>
      </c>
      <c r="AC682" t="s">
        <v>74</v>
      </c>
      <c r="AD682" t="s">
        <v>74</v>
      </c>
      <c r="AE682" t="s">
        <v>74</v>
      </c>
      <c r="AF682" t="s">
        <v>74</v>
      </c>
      <c r="AG682" t="s">
        <v>74</v>
      </c>
      <c r="AH682" t="s">
        <v>74</v>
      </c>
      <c r="AI682" t="s">
        <v>74</v>
      </c>
      <c r="AJ682" t="s">
        <v>74</v>
      </c>
      <c r="AK682" t="s">
        <v>74</v>
      </c>
      <c r="AL682" t="s">
        <v>74</v>
      </c>
      <c r="AM682" t="s">
        <v>74</v>
      </c>
      <c r="AN682" t="s">
        <v>74</v>
      </c>
      <c r="AO682" t="s">
        <v>143</v>
      </c>
      <c r="AP682" t="s">
        <v>144</v>
      </c>
      <c r="AQ682" t="s">
        <v>74</v>
      </c>
      <c r="AR682" t="s">
        <v>74</v>
      </c>
      <c r="AS682" t="s">
        <v>74</v>
      </c>
      <c r="AT682" t="s">
        <v>213</v>
      </c>
      <c r="AU682">
        <v>1997</v>
      </c>
      <c r="AV682">
        <v>54</v>
      </c>
      <c r="AW682" t="s">
        <v>74</v>
      </c>
      <c r="AX682">
        <v>5</v>
      </c>
      <c r="AY682" t="s">
        <v>74</v>
      </c>
      <c r="AZ682" t="s">
        <v>74</v>
      </c>
      <c r="BA682" t="s">
        <v>74</v>
      </c>
      <c r="BB682">
        <v>1205</v>
      </c>
      <c r="BC682">
        <v>1214</v>
      </c>
      <c r="BD682" t="s">
        <v>74</v>
      </c>
      <c r="BE682" t="s">
        <v>6013</v>
      </c>
      <c r="BF682" t="str">
        <f>HYPERLINK("http://dx.doi.org/10.1006/anbe.1997.0516","http://dx.doi.org/10.1006/anbe.1997.0516")</f>
        <v>http://dx.doi.org/10.1006/anbe.1997.0516</v>
      </c>
      <c r="BG682" t="s">
        <v>74</v>
      </c>
      <c r="BH682" t="s">
        <v>74</v>
      </c>
      <c r="BI682" t="s">
        <v>74</v>
      </c>
      <c r="BJ682" t="s">
        <v>74</v>
      </c>
      <c r="BK682" t="s">
        <v>74</v>
      </c>
      <c r="BL682" t="s">
        <v>74</v>
      </c>
      <c r="BM682" t="s">
        <v>74</v>
      </c>
      <c r="BN682">
        <v>9398373</v>
      </c>
      <c r="BO682" t="s">
        <v>74</v>
      </c>
      <c r="BP682" t="s">
        <v>74</v>
      </c>
      <c r="BQ682" t="s">
        <v>74</v>
      </c>
      <c r="BR682" t="s">
        <v>74</v>
      </c>
      <c r="BS682" t="s">
        <v>6014</v>
      </c>
      <c r="BT682" t="str">
        <f>HYPERLINK("https%3A%2F%2Fwww.webofscience.com%2Fwos%2Fwoscc%2Ffull-record%2FWOS:A1997YJ17400014","View Full Record in Web of Science")</f>
        <v>View Full Record in Web of Science</v>
      </c>
    </row>
    <row r="683" spans="1:72" x14ac:dyDescent="0.4">
      <c r="A683" t="s">
        <v>72</v>
      </c>
      <c r="B683" t="s">
        <v>5619</v>
      </c>
      <c r="C683" t="s">
        <v>74</v>
      </c>
      <c r="D683" t="s">
        <v>74</v>
      </c>
      <c r="E683" t="s">
        <v>74</v>
      </c>
      <c r="F683" t="s">
        <v>5619</v>
      </c>
      <c r="G683" t="s">
        <v>74</v>
      </c>
      <c r="H683" t="s">
        <v>74</v>
      </c>
      <c r="I683" t="s">
        <v>5620</v>
      </c>
      <c r="J683" t="s">
        <v>456</v>
      </c>
      <c r="K683" t="s">
        <v>74</v>
      </c>
      <c r="L683" t="s">
        <v>74</v>
      </c>
      <c r="M683" t="s">
        <v>74</v>
      </c>
      <c r="N683" t="s">
        <v>74</v>
      </c>
      <c r="O683" t="s">
        <v>74</v>
      </c>
      <c r="P683" t="s">
        <v>74</v>
      </c>
      <c r="Q683" t="s">
        <v>74</v>
      </c>
      <c r="R683" t="s">
        <v>74</v>
      </c>
      <c r="S683" t="s">
        <v>74</v>
      </c>
      <c r="T683" t="s">
        <v>74</v>
      </c>
      <c r="U683" t="s">
        <v>74</v>
      </c>
      <c r="V683" s="3" t="s">
        <v>5621</v>
      </c>
      <c r="W683" t="s">
        <v>74</v>
      </c>
      <c r="X683" t="s">
        <v>74</v>
      </c>
      <c r="Y683" t="s">
        <v>74</v>
      </c>
      <c r="Z683" t="s">
        <v>74</v>
      </c>
      <c r="AA683" t="s">
        <v>74</v>
      </c>
      <c r="AB683" t="s">
        <v>74</v>
      </c>
      <c r="AC683" t="s">
        <v>74</v>
      </c>
      <c r="AD683" t="s">
        <v>74</v>
      </c>
      <c r="AE683" t="s">
        <v>74</v>
      </c>
      <c r="AF683" t="s">
        <v>74</v>
      </c>
      <c r="AG683" t="s">
        <v>74</v>
      </c>
      <c r="AH683" t="s">
        <v>74</v>
      </c>
      <c r="AI683" t="s">
        <v>74</v>
      </c>
      <c r="AJ683" t="s">
        <v>74</v>
      </c>
      <c r="AK683" t="s">
        <v>74</v>
      </c>
      <c r="AL683" t="s">
        <v>74</v>
      </c>
      <c r="AM683" t="s">
        <v>74</v>
      </c>
      <c r="AN683" t="s">
        <v>74</v>
      </c>
      <c r="AO683" t="s">
        <v>460</v>
      </c>
      <c r="AP683" t="s">
        <v>461</v>
      </c>
      <c r="AQ683" t="s">
        <v>74</v>
      </c>
      <c r="AR683" t="s">
        <v>74</v>
      </c>
      <c r="AS683" t="s">
        <v>74</v>
      </c>
      <c r="AT683" t="s">
        <v>134</v>
      </c>
      <c r="AU683">
        <v>2004</v>
      </c>
      <c r="AV683">
        <v>263</v>
      </c>
      <c r="AW683" t="s">
        <v>74</v>
      </c>
      <c r="AX683">
        <v>1</v>
      </c>
      <c r="AY683" t="s">
        <v>74</v>
      </c>
      <c r="AZ683" t="s">
        <v>74</v>
      </c>
      <c r="BA683" t="s">
        <v>74</v>
      </c>
      <c r="BB683">
        <v>89</v>
      </c>
      <c r="BC683">
        <v>94</v>
      </c>
      <c r="BD683" t="s">
        <v>74</v>
      </c>
      <c r="BE683" t="s">
        <v>5622</v>
      </c>
      <c r="BF683" t="str">
        <f>HYPERLINK("http://dx.doi.org/10.1017/S0952836904004911","http://dx.doi.org/10.1017/S0952836904004911")</f>
        <v>http://dx.doi.org/10.1017/S0952836904004911</v>
      </c>
      <c r="BG683" t="s">
        <v>74</v>
      </c>
      <c r="BH683" t="s">
        <v>74</v>
      </c>
      <c r="BI683" t="s">
        <v>74</v>
      </c>
      <c r="BJ683" t="s">
        <v>74</v>
      </c>
      <c r="BK683" t="s">
        <v>74</v>
      </c>
      <c r="BL683" t="s">
        <v>74</v>
      </c>
      <c r="BM683" t="s">
        <v>74</v>
      </c>
      <c r="BN683" t="s">
        <v>74</v>
      </c>
      <c r="BO683" t="s">
        <v>74</v>
      </c>
      <c r="BP683" t="s">
        <v>74</v>
      </c>
      <c r="BQ683" t="s">
        <v>74</v>
      </c>
      <c r="BR683" t="s">
        <v>74</v>
      </c>
      <c r="BS683" t="s">
        <v>5623</v>
      </c>
      <c r="BT683" t="str">
        <f>HYPERLINK("https%3A%2F%2Fwww.webofscience.com%2Fwos%2Fwoscc%2Ffull-record%2FWOS:000221567900009","View Full Record in Web of Science")</f>
        <v>View Full Record in Web of Science</v>
      </c>
    </row>
    <row r="684" spans="1:72" x14ac:dyDescent="0.4">
      <c r="A684" t="s">
        <v>72</v>
      </c>
      <c r="B684" t="s">
        <v>4407</v>
      </c>
      <c r="C684" t="s">
        <v>74</v>
      </c>
      <c r="D684" t="s">
        <v>74</v>
      </c>
      <c r="E684" t="s">
        <v>74</v>
      </c>
      <c r="F684" t="s">
        <v>4408</v>
      </c>
      <c r="G684" t="s">
        <v>74</v>
      </c>
      <c r="H684" t="s">
        <v>74</v>
      </c>
      <c r="I684" t="s">
        <v>4409</v>
      </c>
      <c r="J684" t="s">
        <v>88</v>
      </c>
      <c r="K684" t="s">
        <v>74</v>
      </c>
      <c r="L684" t="s">
        <v>74</v>
      </c>
      <c r="M684" t="s">
        <v>74</v>
      </c>
      <c r="N684" t="s">
        <v>74</v>
      </c>
      <c r="O684" t="s">
        <v>74</v>
      </c>
      <c r="P684" t="s">
        <v>74</v>
      </c>
      <c r="Q684" t="s">
        <v>74</v>
      </c>
      <c r="R684" t="s">
        <v>74</v>
      </c>
      <c r="S684" t="s">
        <v>74</v>
      </c>
      <c r="T684" t="s">
        <v>74</v>
      </c>
      <c r="U684" t="s">
        <v>74</v>
      </c>
      <c r="V684" s="3" t="s">
        <v>4410</v>
      </c>
      <c r="W684" t="s">
        <v>74</v>
      </c>
      <c r="X684" t="s">
        <v>74</v>
      </c>
      <c r="Y684" t="s">
        <v>74</v>
      </c>
      <c r="Z684" t="s">
        <v>74</v>
      </c>
      <c r="AA684" t="s">
        <v>4411</v>
      </c>
      <c r="AB684" t="s">
        <v>74</v>
      </c>
      <c r="AC684" t="s">
        <v>74</v>
      </c>
      <c r="AD684" t="s">
        <v>74</v>
      </c>
      <c r="AE684" t="s">
        <v>74</v>
      </c>
      <c r="AF684" t="s">
        <v>74</v>
      </c>
      <c r="AG684" t="s">
        <v>74</v>
      </c>
      <c r="AH684" t="s">
        <v>74</v>
      </c>
      <c r="AI684" t="s">
        <v>74</v>
      </c>
      <c r="AJ684" t="s">
        <v>74</v>
      </c>
      <c r="AK684" t="s">
        <v>74</v>
      </c>
      <c r="AL684" t="s">
        <v>74</v>
      </c>
      <c r="AM684" t="s">
        <v>74</v>
      </c>
      <c r="AN684" t="s">
        <v>74</v>
      </c>
      <c r="AO684" t="s">
        <v>91</v>
      </c>
      <c r="AP684" t="s">
        <v>74</v>
      </c>
      <c r="AQ684" t="s">
        <v>74</v>
      </c>
      <c r="AR684" t="s">
        <v>74</v>
      </c>
      <c r="AS684" t="s">
        <v>74</v>
      </c>
      <c r="AT684" t="s">
        <v>1210</v>
      </c>
      <c r="AU684">
        <v>2006</v>
      </c>
      <c r="AV684">
        <v>2</v>
      </c>
      <c r="AW684">
        <v>4</v>
      </c>
      <c r="AX684" t="s">
        <v>74</v>
      </c>
      <c r="AY684" t="s">
        <v>74</v>
      </c>
      <c r="AZ684" t="s">
        <v>74</v>
      </c>
      <c r="BA684" t="s">
        <v>74</v>
      </c>
      <c r="BB684">
        <v>494</v>
      </c>
      <c r="BC684">
        <v>496</v>
      </c>
      <c r="BD684" t="s">
        <v>74</v>
      </c>
      <c r="BE684" t="s">
        <v>4412</v>
      </c>
      <c r="BF684" t="str">
        <f>HYPERLINK("http://dx.doi.org/10.1098/rsbl.2006.0542","http://dx.doi.org/10.1098/rsbl.2006.0542")</f>
        <v>http://dx.doi.org/10.1098/rsbl.2006.0542</v>
      </c>
      <c r="BG684" t="s">
        <v>74</v>
      </c>
      <c r="BH684" t="s">
        <v>74</v>
      </c>
      <c r="BI684" t="s">
        <v>74</v>
      </c>
      <c r="BJ684" t="s">
        <v>74</v>
      </c>
      <c r="BK684" t="s">
        <v>74</v>
      </c>
      <c r="BL684" t="s">
        <v>74</v>
      </c>
      <c r="BM684" t="s">
        <v>74</v>
      </c>
      <c r="BN684">
        <v>17148271</v>
      </c>
      <c r="BO684" t="s">
        <v>74</v>
      </c>
      <c r="BP684" t="s">
        <v>74</v>
      </c>
      <c r="BQ684" t="s">
        <v>74</v>
      </c>
      <c r="BR684" t="s">
        <v>74</v>
      </c>
      <c r="BS684" t="s">
        <v>4413</v>
      </c>
      <c r="BT684" t="str">
        <f>HYPERLINK("https%3A%2F%2Fwww.webofscience.com%2Fwos%2Fwoscc%2Ffull-record%2FWOS:000242686500005","View Full Record in Web of Science")</f>
        <v>View Full Record in Web of Science</v>
      </c>
    </row>
    <row r="685" spans="1:72" x14ac:dyDescent="0.4">
      <c r="A685" t="s">
        <v>72</v>
      </c>
      <c r="B685" t="s">
        <v>7014</v>
      </c>
      <c r="C685" t="s">
        <v>74</v>
      </c>
      <c r="D685" t="s">
        <v>74</v>
      </c>
      <c r="E685" t="s">
        <v>74</v>
      </c>
      <c r="F685" t="s">
        <v>7014</v>
      </c>
      <c r="G685" t="s">
        <v>74</v>
      </c>
      <c r="H685" t="s">
        <v>74</v>
      </c>
      <c r="I685" t="s">
        <v>7015</v>
      </c>
      <c r="J685" t="s">
        <v>1743</v>
      </c>
      <c r="K685" t="s">
        <v>74</v>
      </c>
      <c r="L685" t="s">
        <v>74</v>
      </c>
      <c r="M685" t="s">
        <v>74</v>
      </c>
      <c r="N685" t="s">
        <v>74</v>
      </c>
      <c r="O685" t="s">
        <v>74</v>
      </c>
      <c r="P685" t="s">
        <v>74</v>
      </c>
      <c r="Q685" t="s">
        <v>74</v>
      </c>
      <c r="R685" t="s">
        <v>74</v>
      </c>
      <c r="S685" t="s">
        <v>74</v>
      </c>
      <c r="T685" t="s">
        <v>74</v>
      </c>
      <c r="U685" t="s">
        <v>74</v>
      </c>
      <c r="V685" s="3" t="s">
        <v>7016</v>
      </c>
      <c r="W685" t="s">
        <v>74</v>
      </c>
      <c r="X685" t="s">
        <v>74</v>
      </c>
      <c r="Y685" t="s">
        <v>74</v>
      </c>
      <c r="Z685" t="s">
        <v>74</v>
      </c>
      <c r="AA685" t="s">
        <v>74</v>
      </c>
      <c r="AB685" t="s">
        <v>74</v>
      </c>
      <c r="AC685" t="s">
        <v>74</v>
      </c>
      <c r="AD685" t="s">
        <v>74</v>
      </c>
      <c r="AE685" t="s">
        <v>74</v>
      </c>
      <c r="AF685" t="s">
        <v>74</v>
      </c>
      <c r="AG685" t="s">
        <v>74</v>
      </c>
      <c r="AH685" t="s">
        <v>74</v>
      </c>
      <c r="AI685" t="s">
        <v>74</v>
      </c>
      <c r="AJ685" t="s">
        <v>74</v>
      </c>
      <c r="AK685" t="s">
        <v>74</v>
      </c>
      <c r="AL685" t="s">
        <v>74</v>
      </c>
      <c r="AM685" t="s">
        <v>74</v>
      </c>
      <c r="AN685" t="s">
        <v>74</v>
      </c>
      <c r="AO685" t="s">
        <v>1746</v>
      </c>
      <c r="AP685" t="s">
        <v>74</v>
      </c>
      <c r="AQ685" t="s">
        <v>74</v>
      </c>
      <c r="AR685" t="s">
        <v>74</v>
      </c>
      <c r="AS685" t="s">
        <v>74</v>
      </c>
      <c r="AT685" t="s">
        <v>964</v>
      </c>
      <c r="AU685">
        <v>1991</v>
      </c>
      <c r="AV685">
        <v>8</v>
      </c>
      <c r="AW685">
        <v>1</v>
      </c>
      <c r="AX685" t="s">
        <v>74</v>
      </c>
      <c r="AY685" t="s">
        <v>74</v>
      </c>
      <c r="AZ685" t="s">
        <v>74</v>
      </c>
      <c r="BA685" t="s">
        <v>74</v>
      </c>
      <c r="BB685">
        <v>121</v>
      </c>
      <c r="BC685">
        <v>133</v>
      </c>
      <c r="BD685" t="s">
        <v>74</v>
      </c>
      <c r="BE685" t="s">
        <v>74</v>
      </c>
      <c r="BF685" t="s">
        <v>74</v>
      </c>
      <c r="BG685" t="s">
        <v>74</v>
      </c>
      <c r="BH685" t="s">
        <v>74</v>
      </c>
      <c r="BI685" t="s">
        <v>74</v>
      </c>
      <c r="BJ685" t="s">
        <v>74</v>
      </c>
      <c r="BK685" t="s">
        <v>74</v>
      </c>
      <c r="BL685" t="s">
        <v>74</v>
      </c>
      <c r="BM685" t="s">
        <v>74</v>
      </c>
      <c r="BN685" t="s">
        <v>74</v>
      </c>
      <c r="BO685" t="s">
        <v>74</v>
      </c>
      <c r="BP685" t="s">
        <v>74</v>
      </c>
      <c r="BQ685" t="s">
        <v>74</v>
      </c>
      <c r="BR685" t="s">
        <v>74</v>
      </c>
      <c r="BS685" t="s">
        <v>7017</v>
      </c>
      <c r="BT685" t="str">
        <f>HYPERLINK("https%3A%2F%2Fwww.webofscience.com%2Fwos%2Fwoscc%2Ffull-record%2FWOS:A1991FG50700015","View Full Record in Web of Science")</f>
        <v>View Full Record in Web of Science</v>
      </c>
    </row>
    <row r="686" spans="1:72" x14ac:dyDescent="0.4">
      <c r="A686" t="s">
        <v>72</v>
      </c>
      <c r="B686" t="s">
        <v>7104</v>
      </c>
      <c r="C686" t="s">
        <v>74</v>
      </c>
      <c r="D686" t="s">
        <v>74</v>
      </c>
      <c r="E686" t="s">
        <v>74</v>
      </c>
      <c r="F686" t="s">
        <v>7104</v>
      </c>
      <c r="G686" t="s">
        <v>74</v>
      </c>
      <c r="H686" t="s">
        <v>74</v>
      </c>
      <c r="I686" t="s">
        <v>7105</v>
      </c>
      <c r="J686" t="s">
        <v>5129</v>
      </c>
      <c r="K686" t="s">
        <v>74</v>
      </c>
      <c r="L686" t="s">
        <v>74</v>
      </c>
      <c r="M686" t="s">
        <v>74</v>
      </c>
      <c r="N686" t="s">
        <v>74</v>
      </c>
      <c r="O686" t="s">
        <v>74</v>
      </c>
      <c r="P686" t="s">
        <v>74</v>
      </c>
      <c r="Q686" t="s">
        <v>74</v>
      </c>
      <c r="R686" t="s">
        <v>74</v>
      </c>
      <c r="S686" t="s">
        <v>74</v>
      </c>
      <c r="T686" t="s">
        <v>74</v>
      </c>
      <c r="U686" t="s">
        <v>74</v>
      </c>
      <c r="V686" s="3" t="s">
        <v>7106</v>
      </c>
      <c r="W686" t="s">
        <v>74</v>
      </c>
      <c r="X686" t="s">
        <v>74</v>
      </c>
      <c r="Y686" t="s">
        <v>74</v>
      </c>
      <c r="Z686" t="s">
        <v>74</v>
      </c>
      <c r="AA686" t="s">
        <v>74</v>
      </c>
      <c r="AB686" t="s">
        <v>74</v>
      </c>
      <c r="AC686" t="s">
        <v>74</v>
      </c>
      <c r="AD686" t="s">
        <v>74</v>
      </c>
      <c r="AE686" t="s">
        <v>74</v>
      </c>
      <c r="AF686" t="s">
        <v>74</v>
      </c>
      <c r="AG686" t="s">
        <v>74</v>
      </c>
      <c r="AH686" t="s">
        <v>74</v>
      </c>
      <c r="AI686" t="s">
        <v>74</v>
      </c>
      <c r="AJ686" t="s">
        <v>74</v>
      </c>
      <c r="AK686" t="s">
        <v>74</v>
      </c>
      <c r="AL686" t="s">
        <v>74</v>
      </c>
      <c r="AM686" t="s">
        <v>74</v>
      </c>
      <c r="AN686" t="s">
        <v>74</v>
      </c>
      <c r="AO686" t="s">
        <v>5131</v>
      </c>
      <c r="AP686" t="s">
        <v>5132</v>
      </c>
      <c r="AQ686" t="s">
        <v>74</v>
      </c>
      <c r="AR686" t="s">
        <v>74</v>
      </c>
      <c r="AS686" t="s">
        <v>74</v>
      </c>
      <c r="AT686" t="s">
        <v>74</v>
      </c>
      <c r="AU686">
        <v>1986</v>
      </c>
      <c r="AV686">
        <v>74</v>
      </c>
      <c r="AW686">
        <v>2</v>
      </c>
      <c r="AX686" t="s">
        <v>74</v>
      </c>
      <c r="AY686" t="s">
        <v>74</v>
      </c>
      <c r="AZ686" t="s">
        <v>74</v>
      </c>
      <c r="BA686" t="s">
        <v>74</v>
      </c>
      <c r="BB686">
        <v>177</v>
      </c>
      <c r="BC686">
        <v>183</v>
      </c>
      <c r="BD686" t="s">
        <v>74</v>
      </c>
      <c r="BE686" t="s">
        <v>74</v>
      </c>
      <c r="BF686" t="s">
        <v>74</v>
      </c>
      <c r="BG686" t="s">
        <v>74</v>
      </c>
      <c r="BH686" t="s">
        <v>74</v>
      </c>
      <c r="BI686" t="s">
        <v>74</v>
      </c>
      <c r="BJ686" t="s">
        <v>74</v>
      </c>
      <c r="BK686" t="s">
        <v>74</v>
      </c>
      <c r="BL686" t="s">
        <v>74</v>
      </c>
      <c r="BM686" t="s">
        <v>74</v>
      </c>
      <c r="BN686" t="s">
        <v>74</v>
      </c>
      <c r="BO686" t="s">
        <v>74</v>
      </c>
      <c r="BP686" t="s">
        <v>74</v>
      </c>
      <c r="BQ686" t="s">
        <v>74</v>
      </c>
      <c r="BR686" t="s">
        <v>74</v>
      </c>
      <c r="BS686" t="s">
        <v>7107</v>
      </c>
      <c r="BT686" t="str">
        <f>HYPERLINK("https%3A%2F%2Fwww.webofscience.com%2Fwos%2Fwoscc%2Ffull-record%2FWOS:A1986D993200007","View Full Record in Web of Science")</f>
        <v>View Full Record in Web of Science</v>
      </c>
    </row>
    <row r="687" spans="1:72" x14ac:dyDescent="0.4">
      <c r="A687" t="s">
        <v>72</v>
      </c>
      <c r="B687" t="s">
        <v>6827</v>
      </c>
      <c r="C687" t="s">
        <v>74</v>
      </c>
      <c r="D687" t="s">
        <v>74</v>
      </c>
      <c r="E687" t="s">
        <v>74</v>
      </c>
      <c r="F687" t="s">
        <v>6827</v>
      </c>
      <c r="G687" t="s">
        <v>74</v>
      </c>
      <c r="H687" t="s">
        <v>74</v>
      </c>
      <c r="I687" t="s">
        <v>6828</v>
      </c>
      <c r="J687" t="s">
        <v>6829</v>
      </c>
      <c r="K687" t="s">
        <v>74</v>
      </c>
      <c r="L687" t="s">
        <v>74</v>
      </c>
      <c r="M687" t="s">
        <v>74</v>
      </c>
      <c r="N687" t="s">
        <v>74</v>
      </c>
      <c r="O687" t="s">
        <v>74</v>
      </c>
      <c r="P687" t="s">
        <v>74</v>
      </c>
      <c r="Q687" t="s">
        <v>74</v>
      </c>
      <c r="R687" t="s">
        <v>74</v>
      </c>
      <c r="S687" t="s">
        <v>74</v>
      </c>
      <c r="T687" t="s">
        <v>74</v>
      </c>
      <c r="U687" t="s">
        <v>74</v>
      </c>
      <c r="V687" s="3" t="s">
        <v>6830</v>
      </c>
      <c r="W687" t="s">
        <v>74</v>
      </c>
      <c r="X687" t="s">
        <v>74</v>
      </c>
      <c r="Y687" t="s">
        <v>74</v>
      </c>
      <c r="Z687" t="s">
        <v>74</v>
      </c>
      <c r="AA687" t="s">
        <v>74</v>
      </c>
      <c r="AB687" t="s">
        <v>74</v>
      </c>
      <c r="AC687" t="s">
        <v>74</v>
      </c>
      <c r="AD687" t="s">
        <v>74</v>
      </c>
      <c r="AE687" t="s">
        <v>74</v>
      </c>
      <c r="AF687" t="s">
        <v>74</v>
      </c>
      <c r="AG687" t="s">
        <v>74</v>
      </c>
      <c r="AH687" t="s">
        <v>74</v>
      </c>
      <c r="AI687" t="s">
        <v>74</v>
      </c>
      <c r="AJ687" t="s">
        <v>74</v>
      </c>
      <c r="AK687" t="s">
        <v>74</v>
      </c>
      <c r="AL687" t="s">
        <v>74</v>
      </c>
      <c r="AM687" t="s">
        <v>74</v>
      </c>
      <c r="AN687" t="s">
        <v>74</v>
      </c>
      <c r="AO687" t="s">
        <v>6831</v>
      </c>
      <c r="AP687" t="s">
        <v>6832</v>
      </c>
      <c r="AQ687" t="s">
        <v>74</v>
      </c>
      <c r="AR687" t="s">
        <v>74</v>
      </c>
      <c r="AS687" t="s">
        <v>74</v>
      </c>
      <c r="AT687" t="s">
        <v>305</v>
      </c>
      <c r="AU687">
        <v>1997</v>
      </c>
      <c r="AV687">
        <v>87</v>
      </c>
      <c r="AW687">
        <v>6</v>
      </c>
      <c r="AX687" t="s">
        <v>74</v>
      </c>
      <c r="AY687" t="s">
        <v>74</v>
      </c>
      <c r="AZ687" t="s">
        <v>74</v>
      </c>
      <c r="BA687" t="s">
        <v>74</v>
      </c>
      <c r="BB687">
        <v>595</v>
      </c>
      <c r="BC687">
        <v>608</v>
      </c>
      <c r="BD687" t="s">
        <v>74</v>
      </c>
      <c r="BE687" t="s">
        <v>6833</v>
      </c>
      <c r="BF687" t="str">
        <f>HYPERLINK("http://dx.doi.org/10.1017/S0007485300038694","http://dx.doi.org/10.1017/S0007485300038694")</f>
        <v>http://dx.doi.org/10.1017/S0007485300038694</v>
      </c>
      <c r="BG687" t="s">
        <v>74</v>
      </c>
      <c r="BH687" t="s">
        <v>74</v>
      </c>
      <c r="BI687" t="s">
        <v>74</v>
      </c>
      <c r="BJ687" t="s">
        <v>74</v>
      </c>
      <c r="BK687" t="s">
        <v>74</v>
      </c>
      <c r="BL687" t="s">
        <v>74</v>
      </c>
      <c r="BM687" t="s">
        <v>74</v>
      </c>
      <c r="BN687" t="s">
        <v>74</v>
      </c>
      <c r="BO687" t="s">
        <v>74</v>
      </c>
      <c r="BP687" t="s">
        <v>74</v>
      </c>
      <c r="BQ687" t="s">
        <v>74</v>
      </c>
      <c r="BR687" t="s">
        <v>74</v>
      </c>
      <c r="BS687" t="s">
        <v>6834</v>
      </c>
      <c r="BT687" t="str">
        <f>HYPERLINK("https%3A%2F%2Fwww.webofscience.com%2Fwos%2Fwoscc%2Ffull-record%2FWOS:A1997YL39300006","View Full Record in Web of Science")</f>
        <v>View Full Record in Web of Science</v>
      </c>
    </row>
    <row r="688" spans="1:72" x14ac:dyDescent="0.4">
      <c r="A688" t="s">
        <v>72</v>
      </c>
      <c r="B688" t="s">
        <v>6122</v>
      </c>
      <c r="C688" t="s">
        <v>74</v>
      </c>
      <c r="D688" t="s">
        <v>74</v>
      </c>
      <c r="E688" t="s">
        <v>74</v>
      </c>
      <c r="F688" t="s">
        <v>6122</v>
      </c>
      <c r="G688" t="s">
        <v>74</v>
      </c>
      <c r="H688" t="s">
        <v>74</v>
      </c>
      <c r="I688" t="s">
        <v>6123</v>
      </c>
      <c r="J688" t="s">
        <v>6124</v>
      </c>
      <c r="K688" t="s">
        <v>74</v>
      </c>
      <c r="L688" t="s">
        <v>74</v>
      </c>
      <c r="M688" t="s">
        <v>74</v>
      </c>
      <c r="N688" t="s">
        <v>74</v>
      </c>
      <c r="O688" t="s">
        <v>74</v>
      </c>
      <c r="P688" t="s">
        <v>74</v>
      </c>
      <c r="Q688" t="s">
        <v>74</v>
      </c>
      <c r="R688" t="s">
        <v>74</v>
      </c>
      <c r="S688" t="s">
        <v>74</v>
      </c>
      <c r="T688" t="s">
        <v>74</v>
      </c>
      <c r="U688" t="s">
        <v>74</v>
      </c>
      <c r="V688" s="3" t="s">
        <v>6125</v>
      </c>
      <c r="W688" t="s">
        <v>74</v>
      </c>
      <c r="X688" t="s">
        <v>74</v>
      </c>
      <c r="Y688" t="s">
        <v>74</v>
      </c>
      <c r="Z688" t="s">
        <v>74</v>
      </c>
      <c r="AA688" t="s">
        <v>74</v>
      </c>
      <c r="AB688" t="s">
        <v>74</v>
      </c>
      <c r="AC688" t="s">
        <v>74</v>
      </c>
      <c r="AD688" t="s">
        <v>74</v>
      </c>
      <c r="AE688" t="s">
        <v>74</v>
      </c>
      <c r="AF688" t="s">
        <v>74</v>
      </c>
      <c r="AG688" t="s">
        <v>74</v>
      </c>
      <c r="AH688" t="s">
        <v>74</v>
      </c>
      <c r="AI688" t="s">
        <v>74</v>
      </c>
      <c r="AJ688" t="s">
        <v>74</v>
      </c>
      <c r="AK688" t="s">
        <v>74</v>
      </c>
      <c r="AL688" t="s">
        <v>74</v>
      </c>
      <c r="AM688" t="s">
        <v>74</v>
      </c>
      <c r="AN688" t="s">
        <v>74</v>
      </c>
      <c r="AO688" t="s">
        <v>6126</v>
      </c>
      <c r="AP688" t="s">
        <v>6127</v>
      </c>
      <c r="AQ688" t="s">
        <v>74</v>
      </c>
      <c r="AR688" t="s">
        <v>74</v>
      </c>
      <c r="AS688" t="s">
        <v>74</v>
      </c>
      <c r="AT688" t="s">
        <v>74</v>
      </c>
      <c r="AU688">
        <v>1984</v>
      </c>
      <c r="AV688">
        <v>70</v>
      </c>
      <c r="AW688">
        <v>4</v>
      </c>
      <c r="AX688" t="s">
        <v>74</v>
      </c>
      <c r="AY688" t="s">
        <v>74</v>
      </c>
      <c r="AZ688" t="s">
        <v>74</v>
      </c>
      <c r="BA688" t="s">
        <v>74</v>
      </c>
      <c r="BB688">
        <v>234</v>
      </c>
      <c r="BC688">
        <v>239</v>
      </c>
      <c r="BD688" t="s">
        <v>74</v>
      </c>
      <c r="BE688" t="s">
        <v>74</v>
      </c>
      <c r="BF688" t="s">
        <v>74</v>
      </c>
      <c r="BG688" t="s">
        <v>74</v>
      </c>
      <c r="BH688" t="s">
        <v>74</v>
      </c>
      <c r="BI688" t="s">
        <v>74</v>
      </c>
      <c r="BJ688" t="s">
        <v>74</v>
      </c>
      <c r="BK688" t="s">
        <v>74</v>
      </c>
      <c r="BL688" t="s">
        <v>74</v>
      </c>
      <c r="BM688" t="s">
        <v>74</v>
      </c>
      <c r="BN688" t="s">
        <v>74</v>
      </c>
      <c r="BO688" t="s">
        <v>74</v>
      </c>
      <c r="BP688" t="s">
        <v>74</v>
      </c>
      <c r="BQ688" t="s">
        <v>74</v>
      </c>
      <c r="BR688" t="s">
        <v>74</v>
      </c>
      <c r="BS688" t="s">
        <v>6128</v>
      </c>
      <c r="BT688" t="str">
        <f>HYPERLINK("https%3A%2F%2Fwww.webofscience.com%2Fwos%2Fwoscc%2Ffull-record%2FWOS:A1984TV59800004","View Full Record in Web of Science")</f>
        <v>View Full Record in Web of Science</v>
      </c>
    </row>
    <row r="689" spans="1:72" x14ac:dyDescent="0.4">
      <c r="A689" t="s">
        <v>72</v>
      </c>
      <c r="B689" t="s">
        <v>4634</v>
      </c>
      <c r="C689" t="s">
        <v>74</v>
      </c>
      <c r="D689" t="s">
        <v>74</v>
      </c>
      <c r="E689" t="s">
        <v>74</v>
      </c>
      <c r="F689" t="s">
        <v>4634</v>
      </c>
      <c r="G689" t="s">
        <v>74</v>
      </c>
      <c r="H689" t="s">
        <v>74</v>
      </c>
      <c r="I689" t="s">
        <v>4635</v>
      </c>
      <c r="J689" t="s">
        <v>171</v>
      </c>
      <c r="K689" t="s">
        <v>74</v>
      </c>
      <c r="L689" t="s">
        <v>74</v>
      </c>
      <c r="M689" t="s">
        <v>74</v>
      </c>
      <c r="N689" t="s">
        <v>74</v>
      </c>
      <c r="O689" t="s">
        <v>74</v>
      </c>
      <c r="P689" t="s">
        <v>74</v>
      </c>
      <c r="Q689" t="s">
        <v>74</v>
      </c>
      <c r="R689" t="s">
        <v>74</v>
      </c>
      <c r="S689" t="s">
        <v>74</v>
      </c>
      <c r="T689" t="s">
        <v>74</v>
      </c>
      <c r="U689" t="s">
        <v>74</v>
      </c>
      <c r="V689" s="3" t="s">
        <v>4636</v>
      </c>
      <c r="W689" t="s">
        <v>74</v>
      </c>
      <c r="X689" t="s">
        <v>74</v>
      </c>
      <c r="Y689" t="s">
        <v>74</v>
      </c>
      <c r="Z689" t="s">
        <v>74</v>
      </c>
      <c r="AA689" t="s">
        <v>4637</v>
      </c>
      <c r="AB689" t="s">
        <v>4638</v>
      </c>
      <c r="AC689" t="s">
        <v>74</v>
      </c>
      <c r="AD689" t="s">
        <v>74</v>
      </c>
      <c r="AE689" t="s">
        <v>74</v>
      </c>
      <c r="AF689" t="s">
        <v>74</v>
      </c>
      <c r="AG689" t="s">
        <v>74</v>
      </c>
      <c r="AH689" t="s">
        <v>74</v>
      </c>
      <c r="AI689" t="s">
        <v>74</v>
      </c>
      <c r="AJ689" t="s">
        <v>74</v>
      </c>
      <c r="AK689" t="s">
        <v>74</v>
      </c>
      <c r="AL689" t="s">
        <v>74</v>
      </c>
      <c r="AM689" t="s">
        <v>74</v>
      </c>
      <c r="AN689" t="s">
        <v>74</v>
      </c>
      <c r="AO689" t="s">
        <v>173</v>
      </c>
      <c r="AP689" t="s">
        <v>174</v>
      </c>
      <c r="AQ689" t="s">
        <v>74</v>
      </c>
      <c r="AR689" t="s">
        <v>74</v>
      </c>
      <c r="AS689" t="s">
        <v>74</v>
      </c>
      <c r="AT689" t="s">
        <v>204</v>
      </c>
      <c r="AU689">
        <v>2001</v>
      </c>
      <c r="AV689">
        <v>55</v>
      </c>
      <c r="AW689">
        <v>7</v>
      </c>
      <c r="AX689" t="s">
        <v>74</v>
      </c>
      <c r="AY689" t="s">
        <v>74</v>
      </c>
      <c r="AZ689" t="s">
        <v>74</v>
      </c>
      <c r="BA689" t="s">
        <v>74</v>
      </c>
      <c r="BB689">
        <v>1443</v>
      </c>
      <c r="BC689">
        <v>1451</v>
      </c>
      <c r="BD689" t="s">
        <v>74</v>
      </c>
      <c r="BE689" t="s">
        <v>74</v>
      </c>
      <c r="BF689" t="s">
        <v>74</v>
      </c>
      <c r="BG689" t="s">
        <v>74</v>
      </c>
      <c r="BH689" t="s">
        <v>74</v>
      </c>
      <c r="BI689" t="s">
        <v>74</v>
      </c>
      <c r="BJ689" t="s">
        <v>74</v>
      </c>
      <c r="BK689" t="s">
        <v>74</v>
      </c>
      <c r="BL689" t="s">
        <v>74</v>
      </c>
      <c r="BM689" t="s">
        <v>74</v>
      </c>
      <c r="BN689">
        <v>11525466</v>
      </c>
      <c r="BO689" t="s">
        <v>74</v>
      </c>
      <c r="BP689" t="s">
        <v>74</v>
      </c>
      <c r="BQ689" t="s">
        <v>74</v>
      </c>
      <c r="BR689" t="s">
        <v>74</v>
      </c>
      <c r="BS689" t="s">
        <v>4639</v>
      </c>
      <c r="BT689" t="str">
        <f>HYPERLINK("https%3A%2F%2Fwww.webofscience.com%2Fwos%2Fwoscc%2Ffull-record%2FWOS:000170699300015","View Full Record in Web of Science")</f>
        <v>View Full Record in Web of Science</v>
      </c>
    </row>
    <row r="690" spans="1:72" x14ac:dyDescent="0.4">
      <c r="A690" t="s">
        <v>72</v>
      </c>
      <c r="B690" t="s">
        <v>4172</v>
      </c>
      <c r="C690" t="s">
        <v>74</v>
      </c>
      <c r="D690" t="s">
        <v>74</v>
      </c>
      <c r="E690" t="s">
        <v>74</v>
      </c>
      <c r="F690" t="s">
        <v>4173</v>
      </c>
      <c r="G690" t="s">
        <v>74</v>
      </c>
      <c r="H690" t="s">
        <v>74</v>
      </c>
      <c r="I690" t="s">
        <v>4174</v>
      </c>
      <c r="J690" t="s">
        <v>610</v>
      </c>
      <c r="K690" t="s">
        <v>74</v>
      </c>
      <c r="L690" t="s">
        <v>74</v>
      </c>
      <c r="M690" t="s">
        <v>74</v>
      </c>
      <c r="N690" t="s">
        <v>74</v>
      </c>
      <c r="O690" t="s">
        <v>74</v>
      </c>
      <c r="P690" t="s">
        <v>74</v>
      </c>
      <c r="Q690" t="s">
        <v>74</v>
      </c>
      <c r="R690" t="s">
        <v>74</v>
      </c>
      <c r="S690" t="s">
        <v>74</v>
      </c>
      <c r="T690" t="s">
        <v>74</v>
      </c>
      <c r="U690" t="s">
        <v>74</v>
      </c>
      <c r="V690" s="3" t="s">
        <v>4175</v>
      </c>
      <c r="W690" t="s">
        <v>74</v>
      </c>
      <c r="X690" t="s">
        <v>74</v>
      </c>
      <c r="Y690" t="s">
        <v>74</v>
      </c>
      <c r="Z690" t="s">
        <v>74</v>
      </c>
      <c r="AA690" t="s">
        <v>74</v>
      </c>
      <c r="AB690" t="s">
        <v>74</v>
      </c>
      <c r="AC690" t="s">
        <v>74</v>
      </c>
      <c r="AD690" t="s">
        <v>74</v>
      </c>
      <c r="AE690" t="s">
        <v>74</v>
      </c>
      <c r="AF690" t="s">
        <v>74</v>
      </c>
      <c r="AG690" t="s">
        <v>74</v>
      </c>
      <c r="AH690" t="s">
        <v>74</v>
      </c>
      <c r="AI690" t="s">
        <v>74</v>
      </c>
      <c r="AJ690" t="s">
        <v>74</v>
      </c>
      <c r="AK690" t="s">
        <v>74</v>
      </c>
      <c r="AL690" t="s">
        <v>74</v>
      </c>
      <c r="AM690" t="s">
        <v>74</v>
      </c>
      <c r="AN690" t="s">
        <v>74</v>
      </c>
      <c r="AO690" t="s">
        <v>614</v>
      </c>
      <c r="AP690" t="s">
        <v>615</v>
      </c>
      <c r="AQ690" t="s">
        <v>74</v>
      </c>
      <c r="AR690" t="s">
        <v>74</v>
      </c>
      <c r="AS690" t="s">
        <v>74</v>
      </c>
      <c r="AT690" t="s">
        <v>213</v>
      </c>
      <c r="AU690">
        <v>2007</v>
      </c>
      <c r="AV690">
        <v>113</v>
      </c>
      <c r="AW690">
        <v>11</v>
      </c>
      <c r="AX690" t="s">
        <v>74</v>
      </c>
      <c r="AY690" t="s">
        <v>74</v>
      </c>
      <c r="AZ690" t="s">
        <v>74</v>
      </c>
      <c r="BA690" t="s">
        <v>74</v>
      </c>
      <c r="BB690">
        <v>1113</v>
      </c>
      <c r="BC690">
        <v>1122</v>
      </c>
      <c r="BD690" t="s">
        <v>74</v>
      </c>
      <c r="BE690" t="s">
        <v>4176</v>
      </c>
      <c r="BF690" t="str">
        <f>HYPERLINK("http://dx.doi.org/10.1111/j.1439-0310.2007.01420.x","http://dx.doi.org/10.1111/j.1439-0310.2007.01420.x")</f>
        <v>http://dx.doi.org/10.1111/j.1439-0310.2007.01420.x</v>
      </c>
      <c r="BG690" t="s">
        <v>74</v>
      </c>
      <c r="BH690" t="s">
        <v>74</v>
      </c>
      <c r="BI690" t="s">
        <v>74</v>
      </c>
      <c r="BJ690" t="s">
        <v>74</v>
      </c>
      <c r="BK690" t="s">
        <v>74</v>
      </c>
      <c r="BL690" t="s">
        <v>74</v>
      </c>
      <c r="BM690" t="s">
        <v>74</v>
      </c>
      <c r="BN690" t="s">
        <v>74</v>
      </c>
      <c r="BO690" t="s">
        <v>74</v>
      </c>
      <c r="BP690" t="s">
        <v>74</v>
      </c>
      <c r="BQ690" t="s">
        <v>74</v>
      </c>
      <c r="BR690" t="s">
        <v>74</v>
      </c>
      <c r="BS690" t="s">
        <v>4177</v>
      </c>
      <c r="BT690" t="str">
        <f>HYPERLINK("https%3A%2F%2Fwww.webofscience.com%2Fwos%2Fwoscc%2Ffull-record%2FWOS:000250262400011","View Full Record in Web of Science")</f>
        <v>View Full Record in Web of Science</v>
      </c>
    </row>
    <row r="691" spans="1:72" x14ac:dyDescent="0.4">
      <c r="A691" t="s">
        <v>72</v>
      </c>
      <c r="B691" t="s">
        <v>8247</v>
      </c>
      <c r="C691" t="s">
        <v>74</v>
      </c>
      <c r="D691" t="s">
        <v>74</v>
      </c>
      <c r="E691" t="s">
        <v>74</v>
      </c>
      <c r="F691" t="s">
        <v>8248</v>
      </c>
      <c r="G691" t="s">
        <v>74</v>
      </c>
      <c r="H691" t="s">
        <v>74</v>
      </c>
      <c r="I691" t="s">
        <v>8249</v>
      </c>
      <c r="J691" t="s">
        <v>408</v>
      </c>
      <c r="K691" t="s">
        <v>74</v>
      </c>
      <c r="L691" t="s">
        <v>74</v>
      </c>
      <c r="M691" t="s">
        <v>74</v>
      </c>
      <c r="N691" t="s">
        <v>74</v>
      </c>
      <c r="O691" t="s">
        <v>74</v>
      </c>
      <c r="P691" t="s">
        <v>74</v>
      </c>
      <c r="Q691" t="s">
        <v>74</v>
      </c>
      <c r="R691" t="s">
        <v>74</v>
      </c>
      <c r="S691" t="s">
        <v>74</v>
      </c>
      <c r="T691" t="s">
        <v>74</v>
      </c>
      <c r="U691" t="s">
        <v>74</v>
      </c>
      <c r="V691" s="3" t="s">
        <v>8250</v>
      </c>
      <c r="W691" t="s">
        <v>74</v>
      </c>
      <c r="X691" t="s">
        <v>74</v>
      </c>
      <c r="Y691" t="s">
        <v>74</v>
      </c>
      <c r="Z691" t="s">
        <v>74</v>
      </c>
      <c r="AA691" t="s">
        <v>74</v>
      </c>
      <c r="AB691" t="s">
        <v>8251</v>
      </c>
      <c r="AC691" t="s">
        <v>74</v>
      </c>
      <c r="AD691" t="s">
        <v>74</v>
      </c>
      <c r="AE691" t="s">
        <v>74</v>
      </c>
      <c r="AF691" t="s">
        <v>74</v>
      </c>
      <c r="AG691" t="s">
        <v>74</v>
      </c>
      <c r="AH691" t="s">
        <v>74</v>
      </c>
      <c r="AI691" t="s">
        <v>74</v>
      </c>
      <c r="AJ691" t="s">
        <v>74</v>
      </c>
      <c r="AK691" t="s">
        <v>74</v>
      </c>
      <c r="AL691" t="s">
        <v>74</v>
      </c>
      <c r="AM691" t="s">
        <v>74</v>
      </c>
      <c r="AN691" t="s">
        <v>74</v>
      </c>
      <c r="AO691" t="s">
        <v>412</v>
      </c>
      <c r="AP691" t="s">
        <v>413</v>
      </c>
      <c r="AQ691" t="s">
        <v>74</v>
      </c>
      <c r="AR691" t="s">
        <v>74</v>
      </c>
      <c r="AS691" t="s">
        <v>74</v>
      </c>
      <c r="AT691" t="s">
        <v>255</v>
      </c>
      <c r="AU691">
        <v>2020</v>
      </c>
      <c r="AV691">
        <v>129</v>
      </c>
      <c r="AW691">
        <v>1</v>
      </c>
      <c r="AX691" t="s">
        <v>74</v>
      </c>
      <c r="AY691" t="s">
        <v>74</v>
      </c>
      <c r="AZ691" t="s">
        <v>74</v>
      </c>
      <c r="BA691" t="s">
        <v>74</v>
      </c>
      <c r="BB691">
        <v>143</v>
      </c>
      <c r="BC691">
        <v>161</v>
      </c>
      <c r="BD691" t="s">
        <v>74</v>
      </c>
      <c r="BE691" t="s">
        <v>8252</v>
      </c>
      <c r="BF691" t="str">
        <f>HYPERLINK("http://dx.doi.org/10.1093/biolinnean/blz162","http://dx.doi.org/10.1093/biolinnean/blz162")</f>
        <v>http://dx.doi.org/10.1093/biolinnean/blz162</v>
      </c>
      <c r="BG691" t="s">
        <v>74</v>
      </c>
      <c r="BH691" t="s">
        <v>74</v>
      </c>
      <c r="BI691" t="s">
        <v>74</v>
      </c>
      <c r="BJ691" t="s">
        <v>74</v>
      </c>
      <c r="BK691" t="s">
        <v>74</v>
      </c>
      <c r="BL691" t="s">
        <v>74</v>
      </c>
      <c r="BM691" t="s">
        <v>74</v>
      </c>
      <c r="BN691" t="s">
        <v>74</v>
      </c>
      <c r="BO691" t="s">
        <v>74</v>
      </c>
      <c r="BP691" t="s">
        <v>74</v>
      </c>
      <c r="BQ691" t="s">
        <v>74</v>
      </c>
      <c r="BR691" t="s">
        <v>74</v>
      </c>
      <c r="BS691" t="s">
        <v>8253</v>
      </c>
      <c r="BT691" t="str">
        <f>HYPERLINK("https%3A%2F%2Fwww.webofscience.com%2Fwos%2Fwoscc%2Ffull-record%2FWOS:000506800100011","View Full Record in Web of Science")</f>
        <v>View Full Record in Web of Science</v>
      </c>
    </row>
    <row r="692" spans="1:72" x14ac:dyDescent="0.4">
      <c r="A692" t="s">
        <v>72</v>
      </c>
      <c r="B692" t="s">
        <v>1825</v>
      </c>
      <c r="C692" t="s">
        <v>74</v>
      </c>
      <c r="D692" t="s">
        <v>74</v>
      </c>
      <c r="E692" t="s">
        <v>74</v>
      </c>
      <c r="F692" t="s">
        <v>1826</v>
      </c>
      <c r="G692" t="s">
        <v>74</v>
      </c>
      <c r="H692" t="s">
        <v>74</v>
      </c>
      <c r="I692" t="s">
        <v>1827</v>
      </c>
      <c r="J692" t="s">
        <v>77</v>
      </c>
      <c r="K692" t="s">
        <v>74</v>
      </c>
      <c r="L692" t="s">
        <v>74</v>
      </c>
      <c r="M692" t="s">
        <v>74</v>
      </c>
      <c r="N692" t="s">
        <v>74</v>
      </c>
      <c r="O692" t="s">
        <v>74</v>
      </c>
      <c r="P692" t="s">
        <v>74</v>
      </c>
      <c r="Q692" t="s">
        <v>74</v>
      </c>
      <c r="R692" t="s">
        <v>74</v>
      </c>
      <c r="S692" t="s">
        <v>74</v>
      </c>
      <c r="T692" t="s">
        <v>74</v>
      </c>
      <c r="U692" t="s">
        <v>74</v>
      </c>
      <c r="V692" s="3" t="s">
        <v>1828</v>
      </c>
      <c r="W692" t="s">
        <v>74</v>
      </c>
      <c r="X692" t="s">
        <v>74</v>
      </c>
      <c r="Y692" t="s">
        <v>74</v>
      </c>
      <c r="Z692" t="s">
        <v>74</v>
      </c>
      <c r="AA692" t="s">
        <v>74</v>
      </c>
      <c r="AB692" t="s">
        <v>74</v>
      </c>
      <c r="AC692" t="s">
        <v>74</v>
      </c>
      <c r="AD692" t="s">
        <v>74</v>
      </c>
      <c r="AE692" t="s">
        <v>74</v>
      </c>
      <c r="AF692" t="s">
        <v>74</v>
      </c>
      <c r="AG692" t="s">
        <v>74</v>
      </c>
      <c r="AH692" t="s">
        <v>74</v>
      </c>
      <c r="AI692" t="s">
        <v>74</v>
      </c>
      <c r="AJ692" t="s">
        <v>74</v>
      </c>
      <c r="AK692" t="s">
        <v>74</v>
      </c>
      <c r="AL692" t="s">
        <v>74</v>
      </c>
      <c r="AM692" t="s">
        <v>74</v>
      </c>
      <c r="AN692" t="s">
        <v>74</v>
      </c>
      <c r="AO692" t="s">
        <v>81</v>
      </c>
      <c r="AP692" t="s">
        <v>74</v>
      </c>
      <c r="AQ692" t="s">
        <v>74</v>
      </c>
      <c r="AR692" t="s">
        <v>74</v>
      </c>
      <c r="AS692" t="s">
        <v>74</v>
      </c>
      <c r="AT692" t="s">
        <v>964</v>
      </c>
      <c r="AU692">
        <v>2007</v>
      </c>
      <c r="AV692">
        <v>144</v>
      </c>
      <c r="AW692" t="s">
        <v>74</v>
      </c>
      <c r="AX692">
        <v>2</v>
      </c>
      <c r="AY692" t="s">
        <v>74</v>
      </c>
      <c r="AZ692" t="s">
        <v>74</v>
      </c>
      <c r="BA692" t="s">
        <v>74</v>
      </c>
      <c r="BB692">
        <v>165</v>
      </c>
      <c r="BC692">
        <v>178</v>
      </c>
      <c r="BD692" t="s">
        <v>74</v>
      </c>
      <c r="BE692" t="s">
        <v>1829</v>
      </c>
      <c r="BF692" t="str">
        <f>HYPERLINK("http://dx.doi.org/10.1163/156853907779947328","http://dx.doi.org/10.1163/156853907779947328")</f>
        <v>http://dx.doi.org/10.1163/156853907779947328</v>
      </c>
      <c r="BG692" t="s">
        <v>74</v>
      </c>
      <c r="BH692" t="s">
        <v>74</v>
      </c>
      <c r="BI692" t="s">
        <v>74</v>
      </c>
      <c r="BJ692" t="s">
        <v>74</v>
      </c>
      <c r="BK692" t="s">
        <v>74</v>
      </c>
      <c r="BL692" t="s">
        <v>74</v>
      </c>
      <c r="BM692" t="s">
        <v>74</v>
      </c>
      <c r="BN692" t="s">
        <v>74</v>
      </c>
      <c r="BO692" t="s">
        <v>74</v>
      </c>
      <c r="BP692" t="s">
        <v>74</v>
      </c>
      <c r="BQ692" t="s">
        <v>74</v>
      </c>
      <c r="BR692" t="s">
        <v>74</v>
      </c>
      <c r="BS692" t="s">
        <v>1830</v>
      </c>
      <c r="BT692" t="str">
        <f>HYPERLINK("https%3A%2F%2Fwww.webofscience.com%2Fwos%2Fwoscc%2Ffull-record%2FWOS:000245544800002","View Full Record in Web of Science")</f>
        <v>View Full Record in Web of Science</v>
      </c>
    </row>
    <row r="693" spans="1:72" x14ac:dyDescent="0.4">
      <c r="A693" t="s">
        <v>72</v>
      </c>
      <c r="B693" t="s">
        <v>7440</v>
      </c>
      <c r="C693" t="s">
        <v>74</v>
      </c>
      <c r="D693" t="s">
        <v>74</v>
      </c>
      <c r="E693" t="s">
        <v>74</v>
      </c>
      <c r="F693" t="s">
        <v>7440</v>
      </c>
      <c r="G693" t="s">
        <v>74</v>
      </c>
      <c r="H693" t="s">
        <v>74</v>
      </c>
      <c r="I693" t="s">
        <v>7441</v>
      </c>
      <c r="J693" t="s">
        <v>610</v>
      </c>
      <c r="K693" t="s">
        <v>74</v>
      </c>
      <c r="L693" t="s">
        <v>74</v>
      </c>
      <c r="M693" t="s">
        <v>74</v>
      </c>
      <c r="N693" t="s">
        <v>74</v>
      </c>
      <c r="O693" t="s">
        <v>74</v>
      </c>
      <c r="P693" t="s">
        <v>74</v>
      </c>
      <c r="Q693" t="s">
        <v>74</v>
      </c>
      <c r="R693" t="s">
        <v>74</v>
      </c>
      <c r="S693" t="s">
        <v>74</v>
      </c>
      <c r="T693" t="s">
        <v>74</v>
      </c>
      <c r="U693" t="s">
        <v>74</v>
      </c>
      <c r="V693" s="3" t="s">
        <v>7442</v>
      </c>
      <c r="W693" t="s">
        <v>74</v>
      </c>
      <c r="X693" t="s">
        <v>74</v>
      </c>
      <c r="Y693" t="s">
        <v>74</v>
      </c>
      <c r="Z693" t="s">
        <v>74</v>
      </c>
      <c r="AA693" t="s">
        <v>74</v>
      </c>
      <c r="AB693" t="s">
        <v>74</v>
      </c>
      <c r="AC693" t="s">
        <v>74</v>
      </c>
      <c r="AD693" t="s">
        <v>74</v>
      </c>
      <c r="AE693" t="s">
        <v>74</v>
      </c>
      <c r="AF693" t="s">
        <v>74</v>
      </c>
      <c r="AG693" t="s">
        <v>74</v>
      </c>
      <c r="AH693" t="s">
        <v>74</v>
      </c>
      <c r="AI693" t="s">
        <v>74</v>
      </c>
      <c r="AJ693" t="s">
        <v>74</v>
      </c>
      <c r="AK693" t="s">
        <v>74</v>
      </c>
      <c r="AL693" t="s">
        <v>74</v>
      </c>
      <c r="AM693" t="s">
        <v>74</v>
      </c>
      <c r="AN693" t="s">
        <v>74</v>
      </c>
      <c r="AO693" t="s">
        <v>614</v>
      </c>
      <c r="AP693" t="s">
        <v>615</v>
      </c>
      <c r="AQ693" t="s">
        <v>74</v>
      </c>
      <c r="AR693" t="s">
        <v>74</v>
      </c>
      <c r="AS693" t="s">
        <v>74</v>
      </c>
      <c r="AT693" t="s">
        <v>352</v>
      </c>
      <c r="AU693">
        <v>2004</v>
      </c>
      <c r="AV693">
        <v>110</v>
      </c>
      <c r="AW693">
        <v>9</v>
      </c>
      <c r="AX693" t="s">
        <v>74</v>
      </c>
      <c r="AY693" t="s">
        <v>74</v>
      </c>
      <c r="AZ693" t="s">
        <v>74</v>
      </c>
      <c r="BA693" t="s">
        <v>74</v>
      </c>
      <c r="BB693">
        <v>707</v>
      </c>
      <c r="BC693">
        <v>715</v>
      </c>
      <c r="BD693" t="s">
        <v>74</v>
      </c>
      <c r="BE693" t="s">
        <v>7443</v>
      </c>
      <c r="BF693" t="str">
        <f>HYPERLINK("http://dx.doi.org/10.1111/j.1439-0310.2004.01011.x","http://dx.doi.org/10.1111/j.1439-0310.2004.01011.x")</f>
        <v>http://dx.doi.org/10.1111/j.1439-0310.2004.01011.x</v>
      </c>
      <c r="BG693" t="s">
        <v>74</v>
      </c>
      <c r="BH693" t="s">
        <v>74</v>
      </c>
      <c r="BI693" t="s">
        <v>74</v>
      </c>
      <c r="BJ693" t="s">
        <v>74</v>
      </c>
      <c r="BK693" t="s">
        <v>74</v>
      </c>
      <c r="BL693" t="s">
        <v>74</v>
      </c>
      <c r="BM693" t="s">
        <v>74</v>
      </c>
      <c r="BN693" t="s">
        <v>74</v>
      </c>
      <c r="BO693" t="s">
        <v>74</v>
      </c>
      <c r="BP693" t="s">
        <v>74</v>
      </c>
      <c r="BQ693" t="s">
        <v>74</v>
      </c>
      <c r="BR693" t="s">
        <v>74</v>
      </c>
      <c r="BS693" t="s">
        <v>7444</v>
      </c>
      <c r="BT693" t="str">
        <f>HYPERLINK("https%3A%2F%2Fwww.webofscience.com%2Fwos%2Fwoscc%2Ffull-record%2FWOS:000223642800004","View Full Record in Web of Science")</f>
        <v>View Full Record in Web of Science</v>
      </c>
    </row>
    <row r="694" spans="1:72" x14ac:dyDescent="0.4">
      <c r="A694" t="s">
        <v>72</v>
      </c>
      <c r="B694" t="s">
        <v>6764</v>
      </c>
      <c r="C694" t="s">
        <v>74</v>
      </c>
      <c r="D694" t="s">
        <v>74</v>
      </c>
      <c r="E694" t="s">
        <v>74</v>
      </c>
      <c r="F694" t="s">
        <v>6764</v>
      </c>
      <c r="G694" t="s">
        <v>74</v>
      </c>
      <c r="H694" t="s">
        <v>74</v>
      </c>
      <c r="I694" t="s">
        <v>6765</v>
      </c>
      <c r="J694" t="s">
        <v>129</v>
      </c>
      <c r="K694" t="s">
        <v>74</v>
      </c>
      <c r="L694" t="s">
        <v>74</v>
      </c>
      <c r="M694" t="s">
        <v>74</v>
      </c>
      <c r="N694" t="s">
        <v>74</v>
      </c>
      <c r="O694" t="s">
        <v>74</v>
      </c>
      <c r="P694" t="s">
        <v>74</v>
      </c>
      <c r="Q694" t="s">
        <v>74</v>
      </c>
      <c r="R694" t="s">
        <v>74</v>
      </c>
      <c r="S694" t="s">
        <v>74</v>
      </c>
      <c r="T694" t="s">
        <v>74</v>
      </c>
      <c r="U694" t="s">
        <v>74</v>
      </c>
      <c r="V694" s="3" t="s">
        <v>6766</v>
      </c>
      <c r="W694" t="s">
        <v>74</v>
      </c>
      <c r="X694" t="s">
        <v>74</v>
      </c>
      <c r="Y694" t="s">
        <v>74</v>
      </c>
      <c r="Z694" t="s">
        <v>74</v>
      </c>
      <c r="AA694" t="s">
        <v>6220</v>
      </c>
      <c r="AB694" t="s">
        <v>6221</v>
      </c>
      <c r="AC694" t="s">
        <v>74</v>
      </c>
      <c r="AD694" t="s">
        <v>74</v>
      </c>
      <c r="AE694" t="s">
        <v>74</v>
      </c>
      <c r="AF694" t="s">
        <v>74</v>
      </c>
      <c r="AG694" t="s">
        <v>74</v>
      </c>
      <c r="AH694" t="s">
        <v>74</v>
      </c>
      <c r="AI694" t="s">
        <v>74</v>
      </c>
      <c r="AJ694" t="s">
        <v>74</v>
      </c>
      <c r="AK694" t="s">
        <v>74</v>
      </c>
      <c r="AL694" t="s">
        <v>74</v>
      </c>
      <c r="AM694" t="s">
        <v>74</v>
      </c>
      <c r="AN694" t="s">
        <v>74</v>
      </c>
      <c r="AO694" t="s">
        <v>132</v>
      </c>
      <c r="AP694" t="s">
        <v>133</v>
      </c>
      <c r="AQ694" t="s">
        <v>74</v>
      </c>
      <c r="AR694" t="s">
        <v>74</v>
      </c>
      <c r="AS694" t="s">
        <v>74</v>
      </c>
      <c r="AT694" t="s">
        <v>255</v>
      </c>
      <c r="AU694">
        <v>2003</v>
      </c>
      <c r="AV694">
        <v>53</v>
      </c>
      <c r="AW694">
        <v>2</v>
      </c>
      <c r="AX694" t="s">
        <v>74</v>
      </c>
      <c r="AY694" t="s">
        <v>74</v>
      </c>
      <c r="AZ694" t="s">
        <v>74</v>
      </c>
      <c r="BA694" t="s">
        <v>74</v>
      </c>
      <c r="BB694">
        <v>116</v>
      </c>
      <c r="BC694">
        <v>122</v>
      </c>
      <c r="BD694" t="s">
        <v>74</v>
      </c>
      <c r="BE694" t="s">
        <v>6767</v>
      </c>
      <c r="BF694" t="str">
        <f>HYPERLINK("http://dx.doi.org/10.1007/s00265-002-0558-z","http://dx.doi.org/10.1007/s00265-002-0558-z")</f>
        <v>http://dx.doi.org/10.1007/s00265-002-0558-z</v>
      </c>
      <c r="BG694" t="s">
        <v>74</v>
      </c>
      <c r="BH694" t="s">
        <v>74</v>
      </c>
      <c r="BI694" t="s">
        <v>74</v>
      </c>
      <c r="BJ694" t="s">
        <v>74</v>
      </c>
      <c r="BK694" t="s">
        <v>74</v>
      </c>
      <c r="BL694" t="s">
        <v>74</v>
      </c>
      <c r="BM694" t="s">
        <v>74</v>
      </c>
      <c r="BN694" t="s">
        <v>74</v>
      </c>
      <c r="BO694" t="s">
        <v>74</v>
      </c>
      <c r="BP694" t="s">
        <v>74</v>
      </c>
      <c r="BQ694" t="s">
        <v>74</v>
      </c>
      <c r="BR694" t="s">
        <v>74</v>
      </c>
      <c r="BS694" t="s">
        <v>6768</v>
      </c>
      <c r="BT694" t="str">
        <f>HYPERLINK("https%3A%2F%2Fwww.webofscience.com%2Fwos%2Fwoscc%2Ffull-record%2FWOS:000180871900007","View Full Record in Web of Science")</f>
        <v>View Full Record in Web of Science</v>
      </c>
    </row>
    <row r="695" spans="1:72" x14ac:dyDescent="0.4">
      <c r="A695" t="s">
        <v>72</v>
      </c>
      <c r="B695" t="s">
        <v>6106</v>
      </c>
      <c r="C695" t="s">
        <v>74</v>
      </c>
      <c r="D695" t="s">
        <v>74</v>
      </c>
      <c r="E695" t="s">
        <v>74</v>
      </c>
      <c r="F695" t="s">
        <v>6106</v>
      </c>
      <c r="G695" t="s">
        <v>74</v>
      </c>
      <c r="H695" t="s">
        <v>74</v>
      </c>
      <c r="I695" t="s">
        <v>6107</v>
      </c>
      <c r="J695" t="s">
        <v>333</v>
      </c>
      <c r="K695" t="s">
        <v>74</v>
      </c>
      <c r="L695" t="s">
        <v>74</v>
      </c>
      <c r="M695" t="s">
        <v>74</v>
      </c>
      <c r="N695" t="s">
        <v>74</v>
      </c>
      <c r="O695" t="s">
        <v>74</v>
      </c>
      <c r="P695" t="s">
        <v>74</v>
      </c>
      <c r="Q695" t="s">
        <v>74</v>
      </c>
      <c r="R695" t="s">
        <v>74</v>
      </c>
      <c r="S695" t="s">
        <v>74</v>
      </c>
      <c r="T695" t="s">
        <v>74</v>
      </c>
      <c r="U695" t="s">
        <v>74</v>
      </c>
      <c r="V695" s="3" t="s">
        <v>6108</v>
      </c>
      <c r="W695" t="s">
        <v>74</v>
      </c>
      <c r="X695" t="s">
        <v>74</v>
      </c>
      <c r="Y695" t="s">
        <v>74</v>
      </c>
      <c r="Z695" t="s">
        <v>74</v>
      </c>
      <c r="AA695" t="s">
        <v>5351</v>
      </c>
      <c r="AB695" t="s">
        <v>6109</v>
      </c>
      <c r="AC695" t="s">
        <v>74</v>
      </c>
      <c r="AD695" t="s">
        <v>74</v>
      </c>
      <c r="AE695" t="s">
        <v>74</v>
      </c>
      <c r="AF695" t="s">
        <v>74</v>
      </c>
      <c r="AG695" t="s">
        <v>74</v>
      </c>
      <c r="AH695" t="s">
        <v>74</v>
      </c>
      <c r="AI695" t="s">
        <v>74</v>
      </c>
      <c r="AJ695" t="s">
        <v>74</v>
      </c>
      <c r="AK695" t="s">
        <v>74</v>
      </c>
      <c r="AL695" t="s">
        <v>74</v>
      </c>
      <c r="AM695" t="s">
        <v>74</v>
      </c>
      <c r="AN695" t="s">
        <v>74</v>
      </c>
      <c r="AO695" t="s">
        <v>337</v>
      </c>
      <c r="AP695" t="s">
        <v>338</v>
      </c>
      <c r="AQ695" t="s">
        <v>74</v>
      </c>
      <c r="AR695" t="s">
        <v>74</v>
      </c>
      <c r="AS695" t="s">
        <v>74</v>
      </c>
      <c r="AT695" t="s">
        <v>1013</v>
      </c>
      <c r="AU695">
        <v>2000</v>
      </c>
      <c r="AV695">
        <v>11</v>
      </c>
      <c r="AW695">
        <v>5</v>
      </c>
      <c r="AX695" t="s">
        <v>74</v>
      </c>
      <c r="AY695" t="s">
        <v>74</v>
      </c>
      <c r="AZ695" t="s">
        <v>74</v>
      </c>
      <c r="BA695" t="s">
        <v>74</v>
      </c>
      <c r="BB695">
        <v>520</v>
      </c>
      <c r="BC695">
        <v>527</v>
      </c>
      <c r="BD695" t="s">
        <v>74</v>
      </c>
      <c r="BE695" t="s">
        <v>6110</v>
      </c>
      <c r="BF695" t="str">
        <f>HYPERLINK("http://dx.doi.org/10.1093/beheco/11.5.520","http://dx.doi.org/10.1093/beheco/11.5.520")</f>
        <v>http://dx.doi.org/10.1093/beheco/11.5.520</v>
      </c>
      <c r="BG695" t="s">
        <v>74</v>
      </c>
      <c r="BH695" t="s">
        <v>74</v>
      </c>
      <c r="BI695" t="s">
        <v>74</v>
      </c>
      <c r="BJ695" t="s">
        <v>74</v>
      </c>
      <c r="BK695" t="s">
        <v>74</v>
      </c>
      <c r="BL695" t="s">
        <v>74</v>
      </c>
      <c r="BM695" t="s">
        <v>74</v>
      </c>
      <c r="BN695" t="s">
        <v>74</v>
      </c>
      <c r="BO695" t="s">
        <v>74</v>
      </c>
      <c r="BP695" t="s">
        <v>74</v>
      </c>
      <c r="BQ695" t="s">
        <v>74</v>
      </c>
      <c r="BR695" t="s">
        <v>74</v>
      </c>
      <c r="BS695" t="s">
        <v>6111</v>
      </c>
      <c r="BT695" t="str">
        <f>HYPERLINK("https%3A%2F%2Fwww.webofscience.com%2Fwos%2Fwoscc%2Ffull-record%2FWOS:000089580100008","View Full Record in Web of Science")</f>
        <v>View Full Record in Web of Science</v>
      </c>
    </row>
    <row r="696" spans="1:72" x14ac:dyDescent="0.4">
      <c r="A696" t="s">
        <v>72</v>
      </c>
      <c r="B696" t="s">
        <v>1235</v>
      </c>
      <c r="C696" t="s">
        <v>74</v>
      </c>
      <c r="D696" t="s">
        <v>74</v>
      </c>
      <c r="E696" t="s">
        <v>74</v>
      </c>
      <c r="F696" t="s">
        <v>1235</v>
      </c>
      <c r="G696" t="s">
        <v>74</v>
      </c>
      <c r="H696" t="s">
        <v>74</v>
      </c>
      <c r="I696" t="s">
        <v>1236</v>
      </c>
      <c r="J696" t="s">
        <v>1237</v>
      </c>
      <c r="K696" t="s">
        <v>74</v>
      </c>
      <c r="L696" t="s">
        <v>74</v>
      </c>
      <c r="M696" t="s">
        <v>74</v>
      </c>
      <c r="N696" t="s">
        <v>74</v>
      </c>
      <c r="O696" t="s">
        <v>74</v>
      </c>
      <c r="P696" t="s">
        <v>74</v>
      </c>
      <c r="Q696" t="s">
        <v>74</v>
      </c>
      <c r="R696" t="s">
        <v>74</v>
      </c>
      <c r="S696" t="s">
        <v>74</v>
      </c>
      <c r="T696" t="s">
        <v>74</v>
      </c>
      <c r="U696" t="s">
        <v>74</v>
      </c>
      <c r="V696" s="3" t="s">
        <v>1238</v>
      </c>
      <c r="W696" t="s">
        <v>74</v>
      </c>
      <c r="X696" t="s">
        <v>74</v>
      </c>
      <c r="Y696" t="s">
        <v>74</v>
      </c>
      <c r="Z696" t="s">
        <v>74</v>
      </c>
      <c r="AA696" t="s">
        <v>74</v>
      </c>
      <c r="AB696" t="s">
        <v>74</v>
      </c>
      <c r="AC696" t="s">
        <v>74</v>
      </c>
      <c r="AD696" t="s">
        <v>74</v>
      </c>
      <c r="AE696" t="s">
        <v>74</v>
      </c>
      <c r="AF696" t="s">
        <v>74</v>
      </c>
      <c r="AG696" t="s">
        <v>74</v>
      </c>
      <c r="AH696" t="s">
        <v>74</v>
      </c>
      <c r="AI696" t="s">
        <v>74</v>
      </c>
      <c r="AJ696" t="s">
        <v>74</v>
      </c>
      <c r="AK696" t="s">
        <v>74</v>
      </c>
      <c r="AL696" t="s">
        <v>74</v>
      </c>
      <c r="AM696" t="s">
        <v>74</v>
      </c>
      <c r="AN696" t="s">
        <v>74</v>
      </c>
      <c r="AO696" t="s">
        <v>1239</v>
      </c>
      <c r="AP696" t="s">
        <v>74</v>
      </c>
      <c r="AQ696" t="s">
        <v>74</v>
      </c>
      <c r="AR696" t="s">
        <v>74</v>
      </c>
      <c r="AS696" t="s">
        <v>74</v>
      </c>
      <c r="AT696" t="s">
        <v>352</v>
      </c>
      <c r="AU696">
        <v>1996</v>
      </c>
      <c r="AV696">
        <v>74</v>
      </c>
      <c r="AW696">
        <v>9</v>
      </c>
      <c r="AX696" t="s">
        <v>74</v>
      </c>
      <c r="AY696" t="s">
        <v>74</v>
      </c>
      <c r="AZ696" t="s">
        <v>74</v>
      </c>
      <c r="BA696" t="s">
        <v>74</v>
      </c>
      <c r="BB696">
        <v>1727</v>
      </c>
      <c r="BC696">
        <v>1733</v>
      </c>
      <c r="BD696" t="s">
        <v>74</v>
      </c>
      <c r="BE696" t="s">
        <v>1240</v>
      </c>
      <c r="BF696" t="str">
        <f>HYPERLINK("http://dx.doi.org/10.1139/z96-191","http://dx.doi.org/10.1139/z96-191")</f>
        <v>http://dx.doi.org/10.1139/z96-191</v>
      </c>
      <c r="BG696" t="s">
        <v>74</v>
      </c>
      <c r="BH696" t="s">
        <v>74</v>
      </c>
      <c r="BI696" t="s">
        <v>74</v>
      </c>
      <c r="BJ696" t="s">
        <v>74</v>
      </c>
      <c r="BK696" t="s">
        <v>74</v>
      </c>
      <c r="BL696" t="s">
        <v>74</v>
      </c>
      <c r="BM696" t="s">
        <v>74</v>
      </c>
      <c r="BN696" t="s">
        <v>74</v>
      </c>
      <c r="BO696" t="s">
        <v>74</v>
      </c>
      <c r="BP696" t="s">
        <v>74</v>
      </c>
      <c r="BQ696" t="s">
        <v>74</v>
      </c>
      <c r="BR696" t="s">
        <v>74</v>
      </c>
      <c r="BS696" t="s">
        <v>1241</v>
      </c>
      <c r="BT696" t="str">
        <f>HYPERLINK("https%3A%2F%2Fwww.webofscience.com%2Fwos%2Fwoscc%2Ffull-record%2FWOS:A1996VG77300016","View Full Record in Web of Science")</f>
        <v>View Full Record in Web of Science</v>
      </c>
    </row>
    <row r="697" spans="1:72" x14ac:dyDescent="0.4">
      <c r="A697" t="s">
        <v>72</v>
      </c>
      <c r="B697" t="s">
        <v>6245</v>
      </c>
      <c r="C697" t="s">
        <v>74</v>
      </c>
      <c r="D697" t="s">
        <v>74</v>
      </c>
      <c r="E697" t="s">
        <v>74</v>
      </c>
      <c r="F697" t="s">
        <v>6246</v>
      </c>
      <c r="G697" t="s">
        <v>74</v>
      </c>
      <c r="H697" t="s">
        <v>74</v>
      </c>
      <c r="I697" t="s">
        <v>6247</v>
      </c>
      <c r="J697" t="s">
        <v>88</v>
      </c>
      <c r="K697" t="s">
        <v>74</v>
      </c>
      <c r="L697" t="s">
        <v>74</v>
      </c>
      <c r="M697" t="s">
        <v>74</v>
      </c>
      <c r="N697" t="s">
        <v>74</v>
      </c>
      <c r="O697" t="s">
        <v>74</v>
      </c>
      <c r="P697" t="s">
        <v>74</v>
      </c>
      <c r="Q697" t="s">
        <v>74</v>
      </c>
      <c r="R697" t="s">
        <v>74</v>
      </c>
      <c r="S697" t="s">
        <v>74</v>
      </c>
      <c r="T697" t="s">
        <v>74</v>
      </c>
      <c r="U697" t="s">
        <v>74</v>
      </c>
      <c r="V697" s="3" t="s">
        <v>6248</v>
      </c>
      <c r="W697" t="s">
        <v>74</v>
      </c>
      <c r="X697" t="s">
        <v>74</v>
      </c>
      <c r="Y697" t="s">
        <v>74</v>
      </c>
      <c r="Z697" t="s">
        <v>74</v>
      </c>
      <c r="AA697" t="s">
        <v>6249</v>
      </c>
      <c r="AB697" t="s">
        <v>6250</v>
      </c>
      <c r="AC697" t="s">
        <v>74</v>
      </c>
      <c r="AD697" t="s">
        <v>74</v>
      </c>
      <c r="AE697" t="s">
        <v>74</v>
      </c>
      <c r="AF697" t="s">
        <v>74</v>
      </c>
      <c r="AG697" t="s">
        <v>74</v>
      </c>
      <c r="AH697" t="s">
        <v>74</v>
      </c>
      <c r="AI697" t="s">
        <v>74</v>
      </c>
      <c r="AJ697" t="s">
        <v>74</v>
      </c>
      <c r="AK697" t="s">
        <v>74</v>
      </c>
      <c r="AL697" t="s">
        <v>74</v>
      </c>
      <c r="AM697" t="s">
        <v>74</v>
      </c>
      <c r="AN697" t="s">
        <v>74</v>
      </c>
      <c r="AO697" t="s">
        <v>91</v>
      </c>
      <c r="AP697" t="s">
        <v>92</v>
      </c>
      <c r="AQ697" t="s">
        <v>74</v>
      </c>
      <c r="AR697" t="s">
        <v>74</v>
      </c>
      <c r="AS697" t="s">
        <v>74</v>
      </c>
      <c r="AT697" t="s">
        <v>6251</v>
      </c>
      <c r="AU697">
        <v>2020</v>
      </c>
      <c r="AV697">
        <v>16</v>
      </c>
      <c r="AW697">
        <v>5</v>
      </c>
      <c r="AX697" t="s">
        <v>74</v>
      </c>
      <c r="AY697" t="s">
        <v>74</v>
      </c>
      <c r="AZ697" t="s">
        <v>74</v>
      </c>
      <c r="BA697" t="s">
        <v>74</v>
      </c>
      <c r="BB697" t="s">
        <v>74</v>
      </c>
      <c r="BC697" t="s">
        <v>74</v>
      </c>
      <c r="BD697" t="s">
        <v>74</v>
      </c>
      <c r="BE697" t="s">
        <v>6252</v>
      </c>
      <c r="BF697" t="str">
        <f>HYPERLINK("http://dx.doi.org/10.1098/rsbl.2019.0870","http://dx.doi.org/10.1098/rsbl.2019.0870")</f>
        <v>http://dx.doi.org/10.1098/rsbl.2019.0870</v>
      </c>
      <c r="BG697" t="s">
        <v>74</v>
      </c>
      <c r="BH697" t="s">
        <v>74</v>
      </c>
      <c r="BI697" t="s">
        <v>74</v>
      </c>
      <c r="BJ697" t="s">
        <v>74</v>
      </c>
      <c r="BK697" t="s">
        <v>74</v>
      </c>
      <c r="BL697" t="s">
        <v>74</v>
      </c>
      <c r="BM697" t="s">
        <v>74</v>
      </c>
      <c r="BN697">
        <v>32396786</v>
      </c>
      <c r="BO697" t="s">
        <v>74</v>
      </c>
      <c r="BP697" t="s">
        <v>74</v>
      </c>
      <c r="BQ697" t="s">
        <v>74</v>
      </c>
      <c r="BR697" t="s">
        <v>74</v>
      </c>
      <c r="BS697" t="s">
        <v>6253</v>
      </c>
      <c r="BT697" t="str">
        <f>HYPERLINK("https%3A%2F%2Fwww.webofscience.com%2Fwos%2Fwoscc%2Ffull-record%2FWOS:000535684800001","View Full Record in Web of Science")</f>
        <v>View Full Record in Web of Science</v>
      </c>
    </row>
    <row r="698" spans="1:72" x14ac:dyDescent="0.4">
      <c r="A698" t="s">
        <v>72</v>
      </c>
      <c r="B698" t="s">
        <v>2685</v>
      </c>
      <c r="C698" t="s">
        <v>74</v>
      </c>
      <c r="D698" t="s">
        <v>74</v>
      </c>
      <c r="E698" t="s">
        <v>74</v>
      </c>
      <c r="F698" t="s">
        <v>2685</v>
      </c>
      <c r="G698" t="s">
        <v>74</v>
      </c>
      <c r="H698" t="s">
        <v>74</v>
      </c>
      <c r="I698" t="s">
        <v>2686</v>
      </c>
      <c r="J698" t="s">
        <v>1237</v>
      </c>
      <c r="K698" t="s">
        <v>74</v>
      </c>
      <c r="L698" t="s">
        <v>74</v>
      </c>
      <c r="M698" t="s">
        <v>74</v>
      </c>
      <c r="N698" t="s">
        <v>74</v>
      </c>
      <c r="O698" t="s">
        <v>74</v>
      </c>
      <c r="P698" t="s">
        <v>74</v>
      </c>
      <c r="Q698" t="s">
        <v>74</v>
      </c>
      <c r="R698" t="s">
        <v>74</v>
      </c>
      <c r="S698" t="s">
        <v>74</v>
      </c>
      <c r="T698" t="s">
        <v>74</v>
      </c>
      <c r="U698" t="s">
        <v>74</v>
      </c>
      <c r="V698" s="3" t="s">
        <v>2687</v>
      </c>
      <c r="W698" t="s">
        <v>74</v>
      </c>
      <c r="X698" t="s">
        <v>74</v>
      </c>
      <c r="Y698" t="s">
        <v>74</v>
      </c>
      <c r="Z698" t="s">
        <v>74</v>
      </c>
      <c r="AA698" t="s">
        <v>74</v>
      </c>
      <c r="AB698" t="s">
        <v>74</v>
      </c>
      <c r="AC698" t="s">
        <v>74</v>
      </c>
      <c r="AD698" t="s">
        <v>74</v>
      </c>
      <c r="AE698" t="s">
        <v>74</v>
      </c>
      <c r="AF698" t="s">
        <v>74</v>
      </c>
      <c r="AG698" t="s">
        <v>74</v>
      </c>
      <c r="AH698" t="s">
        <v>74</v>
      </c>
      <c r="AI698" t="s">
        <v>74</v>
      </c>
      <c r="AJ698" t="s">
        <v>74</v>
      </c>
      <c r="AK698" t="s">
        <v>74</v>
      </c>
      <c r="AL698" t="s">
        <v>74</v>
      </c>
      <c r="AM698" t="s">
        <v>74</v>
      </c>
      <c r="AN698" t="s">
        <v>74</v>
      </c>
      <c r="AO698" t="s">
        <v>1239</v>
      </c>
      <c r="AP698" t="s">
        <v>74</v>
      </c>
      <c r="AQ698" t="s">
        <v>74</v>
      </c>
      <c r="AR698" t="s">
        <v>74</v>
      </c>
      <c r="AS698" t="s">
        <v>74</v>
      </c>
      <c r="AT698" t="s">
        <v>102</v>
      </c>
      <c r="AU698">
        <v>1993</v>
      </c>
      <c r="AV698">
        <v>71</v>
      </c>
      <c r="AW698">
        <v>6</v>
      </c>
      <c r="AX698" t="s">
        <v>74</v>
      </c>
      <c r="AY698" t="s">
        <v>74</v>
      </c>
      <c r="AZ698" t="s">
        <v>74</v>
      </c>
      <c r="BA698" t="s">
        <v>74</v>
      </c>
      <c r="BB698">
        <v>1111</v>
      </c>
      <c r="BC698">
        <v>1119</v>
      </c>
      <c r="BD698" t="s">
        <v>74</v>
      </c>
      <c r="BE698" t="s">
        <v>2688</v>
      </c>
      <c r="BF698" t="str">
        <f>HYPERLINK("http://dx.doi.org/10.1139/z93-151","http://dx.doi.org/10.1139/z93-151")</f>
        <v>http://dx.doi.org/10.1139/z93-151</v>
      </c>
      <c r="BG698" t="s">
        <v>74</v>
      </c>
      <c r="BH698" t="s">
        <v>74</v>
      </c>
      <c r="BI698" t="s">
        <v>74</v>
      </c>
      <c r="BJ698" t="s">
        <v>74</v>
      </c>
      <c r="BK698" t="s">
        <v>74</v>
      </c>
      <c r="BL698" t="s">
        <v>74</v>
      </c>
      <c r="BM698" t="s">
        <v>74</v>
      </c>
      <c r="BN698" t="s">
        <v>74</v>
      </c>
      <c r="BO698" t="s">
        <v>74</v>
      </c>
      <c r="BP698" t="s">
        <v>74</v>
      </c>
      <c r="BQ698" t="s">
        <v>74</v>
      </c>
      <c r="BR698" t="s">
        <v>74</v>
      </c>
      <c r="BS698" t="s">
        <v>2689</v>
      </c>
      <c r="BT698" t="str">
        <f>HYPERLINK("https%3A%2F%2Fwww.webofscience.com%2Fwos%2Fwoscc%2Ffull-record%2FWOS:A1993LU73200007","View Full Record in Web of Science")</f>
        <v>View Full Record in Web of Science</v>
      </c>
    </row>
    <row r="699" spans="1:72" x14ac:dyDescent="0.4">
      <c r="A699" t="s">
        <v>72</v>
      </c>
      <c r="B699" t="s">
        <v>2685</v>
      </c>
      <c r="C699" t="s">
        <v>74</v>
      </c>
      <c r="D699" t="s">
        <v>74</v>
      </c>
      <c r="E699" t="s">
        <v>74</v>
      </c>
      <c r="F699" t="s">
        <v>2685</v>
      </c>
      <c r="G699" t="s">
        <v>74</v>
      </c>
      <c r="H699" t="s">
        <v>74</v>
      </c>
      <c r="I699" t="s">
        <v>3634</v>
      </c>
      <c r="J699" t="s">
        <v>1673</v>
      </c>
      <c r="K699" t="s">
        <v>74</v>
      </c>
      <c r="L699" t="s">
        <v>74</v>
      </c>
      <c r="M699" t="s">
        <v>74</v>
      </c>
      <c r="N699" t="s">
        <v>74</v>
      </c>
      <c r="O699" t="s">
        <v>74</v>
      </c>
      <c r="P699" t="s">
        <v>74</v>
      </c>
      <c r="Q699" t="s">
        <v>74</v>
      </c>
      <c r="R699" t="s">
        <v>74</v>
      </c>
      <c r="S699" t="s">
        <v>74</v>
      </c>
      <c r="T699" t="s">
        <v>74</v>
      </c>
      <c r="U699" t="s">
        <v>74</v>
      </c>
      <c r="V699" s="3" t="s">
        <v>3635</v>
      </c>
      <c r="W699" t="s">
        <v>74</v>
      </c>
      <c r="X699" t="s">
        <v>74</v>
      </c>
      <c r="Y699" t="s">
        <v>74</v>
      </c>
      <c r="Z699" t="s">
        <v>74</v>
      </c>
      <c r="AA699" t="s">
        <v>74</v>
      </c>
      <c r="AB699" t="s">
        <v>74</v>
      </c>
      <c r="AC699" t="s">
        <v>74</v>
      </c>
      <c r="AD699" t="s">
        <v>74</v>
      </c>
      <c r="AE699" t="s">
        <v>74</v>
      </c>
      <c r="AF699" t="s">
        <v>74</v>
      </c>
      <c r="AG699" t="s">
        <v>74</v>
      </c>
      <c r="AH699" t="s">
        <v>74</v>
      </c>
      <c r="AI699" t="s">
        <v>74</v>
      </c>
      <c r="AJ699" t="s">
        <v>74</v>
      </c>
      <c r="AK699" t="s">
        <v>74</v>
      </c>
      <c r="AL699" t="s">
        <v>74</v>
      </c>
      <c r="AM699" t="s">
        <v>74</v>
      </c>
      <c r="AN699" t="s">
        <v>74</v>
      </c>
      <c r="AO699" t="s">
        <v>1239</v>
      </c>
      <c r="AP699" t="s">
        <v>1675</v>
      </c>
      <c r="AQ699" t="s">
        <v>74</v>
      </c>
      <c r="AR699" t="s">
        <v>74</v>
      </c>
      <c r="AS699" t="s">
        <v>74</v>
      </c>
      <c r="AT699" t="s">
        <v>255</v>
      </c>
      <c r="AU699">
        <v>1994</v>
      </c>
      <c r="AV699">
        <v>72</v>
      </c>
      <c r="AW699">
        <v>1</v>
      </c>
      <c r="AX699" t="s">
        <v>74</v>
      </c>
      <c r="AY699" t="s">
        <v>74</v>
      </c>
      <c r="AZ699" t="s">
        <v>74</v>
      </c>
      <c r="BA699" t="s">
        <v>74</v>
      </c>
      <c r="BB699">
        <v>144</v>
      </c>
      <c r="BC699">
        <v>153</v>
      </c>
      <c r="BD699" t="s">
        <v>74</v>
      </c>
      <c r="BE699" t="s">
        <v>3636</v>
      </c>
      <c r="BF699" t="str">
        <f>HYPERLINK("http://dx.doi.org/10.1139/z94-018","http://dx.doi.org/10.1139/z94-018")</f>
        <v>http://dx.doi.org/10.1139/z94-018</v>
      </c>
      <c r="BG699" t="s">
        <v>74</v>
      </c>
      <c r="BH699" t="s">
        <v>74</v>
      </c>
      <c r="BI699" t="s">
        <v>74</v>
      </c>
      <c r="BJ699" t="s">
        <v>74</v>
      </c>
      <c r="BK699" t="s">
        <v>74</v>
      </c>
      <c r="BL699" t="s">
        <v>74</v>
      </c>
      <c r="BM699" t="s">
        <v>74</v>
      </c>
      <c r="BN699" t="s">
        <v>74</v>
      </c>
      <c r="BO699" t="s">
        <v>74</v>
      </c>
      <c r="BP699" t="s">
        <v>74</v>
      </c>
      <c r="BQ699" t="s">
        <v>74</v>
      </c>
      <c r="BR699" t="s">
        <v>74</v>
      </c>
      <c r="BS699" t="s">
        <v>3637</v>
      </c>
      <c r="BT699" t="str">
        <f>HYPERLINK("https%3A%2F%2Fwww.webofscience.com%2Fwos%2Fwoscc%2Ffull-record%2FWOS:A1994NK85100018","View Full Record in Web of Science")</f>
        <v>View Full Record in Web of Science</v>
      </c>
    </row>
    <row r="700" spans="1:72" x14ac:dyDescent="0.4">
      <c r="A700" t="s">
        <v>72</v>
      </c>
      <c r="B700" t="s">
        <v>2685</v>
      </c>
      <c r="C700" t="s">
        <v>74</v>
      </c>
      <c r="D700" t="s">
        <v>74</v>
      </c>
      <c r="E700" t="s">
        <v>74</v>
      </c>
      <c r="F700" t="s">
        <v>2685</v>
      </c>
      <c r="G700" t="s">
        <v>74</v>
      </c>
      <c r="H700" t="s">
        <v>74</v>
      </c>
      <c r="I700" t="s">
        <v>4476</v>
      </c>
      <c r="J700" t="s">
        <v>140</v>
      </c>
      <c r="K700" t="s">
        <v>74</v>
      </c>
      <c r="L700" t="s">
        <v>74</v>
      </c>
      <c r="M700" t="s">
        <v>74</v>
      </c>
      <c r="N700" t="s">
        <v>74</v>
      </c>
      <c r="O700" t="s">
        <v>74</v>
      </c>
      <c r="P700" t="s">
        <v>74</v>
      </c>
      <c r="Q700" t="s">
        <v>74</v>
      </c>
      <c r="R700" t="s">
        <v>74</v>
      </c>
      <c r="S700" t="s">
        <v>74</v>
      </c>
      <c r="T700" t="s">
        <v>74</v>
      </c>
      <c r="U700" t="s">
        <v>74</v>
      </c>
      <c r="V700" s="3" t="s">
        <v>4477</v>
      </c>
      <c r="W700" t="s">
        <v>74</v>
      </c>
      <c r="X700" t="s">
        <v>74</v>
      </c>
      <c r="Y700" t="s">
        <v>74</v>
      </c>
      <c r="Z700" t="s">
        <v>74</v>
      </c>
      <c r="AA700" t="s">
        <v>74</v>
      </c>
      <c r="AB700" t="s">
        <v>74</v>
      </c>
      <c r="AC700" t="s">
        <v>74</v>
      </c>
      <c r="AD700" t="s">
        <v>74</v>
      </c>
      <c r="AE700" t="s">
        <v>74</v>
      </c>
      <c r="AF700" t="s">
        <v>74</v>
      </c>
      <c r="AG700" t="s">
        <v>74</v>
      </c>
      <c r="AH700" t="s">
        <v>74</v>
      </c>
      <c r="AI700" t="s">
        <v>74</v>
      </c>
      <c r="AJ700" t="s">
        <v>74</v>
      </c>
      <c r="AK700" t="s">
        <v>74</v>
      </c>
      <c r="AL700" t="s">
        <v>74</v>
      </c>
      <c r="AM700" t="s">
        <v>74</v>
      </c>
      <c r="AN700" t="s">
        <v>74</v>
      </c>
      <c r="AO700" t="s">
        <v>143</v>
      </c>
      <c r="AP700" t="s">
        <v>74</v>
      </c>
      <c r="AQ700" t="s">
        <v>74</v>
      </c>
      <c r="AR700" t="s">
        <v>74</v>
      </c>
      <c r="AS700" t="s">
        <v>74</v>
      </c>
      <c r="AT700" t="s">
        <v>204</v>
      </c>
      <c r="AU700">
        <v>1995</v>
      </c>
      <c r="AV700">
        <v>50</v>
      </c>
      <c r="AW700" t="s">
        <v>74</v>
      </c>
      <c r="AX700">
        <v>1</v>
      </c>
      <c r="AY700" t="s">
        <v>74</v>
      </c>
      <c r="AZ700" t="s">
        <v>74</v>
      </c>
      <c r="BA700" t="s">
        <v>74</v>
      </c>
      <c r="BB700">
        <v>213</v>
      </c>
      <c r="BC700">
        <v>221</v>
      </c>
      <c r="BD700" t="s">
        <v>74</v>
      </c>
      <c r="BE700" t="s">
        <v>4478</v>
      </c>
      <c r="BF700" t="str">
        <f>HYPERLINK("http://dx.doi.org/10.1006/anbe.1995.0233","http://dx.doi.org/10.1006/anbe.1995.0233")</f>
        <v>http://dx.doi.org/10.1006/anbe.1995.0233</v>
      </c>
      <c r="BG700" t="s">
        <v>74</v>
      </c>
      <c r="BH700" t="s">
        <v>74</v>
      </c>
      <c r="BI700" t="s">
        <v>74</v>
      </c>
      <c r="BJ700" t="s">
        <v>74</v>
      </c>
      <c r="BK700" t="s">
        <v>74</v>
      </c>
      <c r="BL700" t="s">
        <v>74</v>
      </c>
      <c r="BM700" t="s">
        <v>74</v>
      </c>
      <c r="BN700" t="s">
        <v>74</v>
      </c>
      <c r="BO700" t="s">
        <v>74</v>
      </c>
      <c r="BP700" t="s">
        <v>74</v>
      </c>
      <c r="BQ700" t="s">
        <v>74</v>
      </c>
      <c r="BR700" t="s">
        <v>74</v>
      </c>
      <c r="BS700" t="s">
        <v>4479</v>
      </c>
      <c r="BT700" t="str">
        <f>HYPERLINK("https%3A%2F%2Fwww.webofscience.com%2Fwos%2Fwoscc%2Ffull-record%2FWOS:A1995RM19000020","View Full Record in Web of Science")</f>
        <v>View Full Record in Web of Science</v>
      </c>
    </row>
    <row r="701" spans="1:72" x14ac:dyDescent="0.4">
      <c r="A701" t="s">
        <v>72</v>
      </c>
      <c r="B701" t="s">
        <v>2307</v>
      </c>
      <c r="C701" t="s">
        <v>74</v>
      </c>
      <c r="D701" t="s">
        <v>74</v>
      </c>
      <c r="E701" t="s">
        <v>74</v>
      </c>
      <c r="F701" t="s">
        <v>2308</v>
      </c>
      <c r="G701" t="s">
        <v>74</v>
      </c>
      <c r="H701" t="s">
        <v>74</v>
      </c>
      <c r="I701" t="s">
        <v>2309</v>
      </c>
      <c r="J701" t="s">
        <v>2310</v>
      </c>
      <c r="K701" t="s">
        <v>74</v>
      </c>
      <c r="L701" t="s">
        <v>74</v>
      </c>
      <c r="M701" t="s">
        <v>74</v>
      </c>
      <c r="N701" t="s">
        <v>74</v>
      </c>
      <c r="O701" t="s">
        <v>74</v>
      </c>
      <c r="P701" t="s">
        <v>74</v>
      </c>
      <c r="Q701" t="s">
        <v>74</v>
      </c>
      <c r="R701" t="s">
        <v>74</v>
      </c>
      <c r="S701" t="s">
        <v>74</v>
      </c>
      <c r="T701" t="s">
        <v>74</v>
      </c>
      <c r="U701" t="s">
        <v>74</v>
      </c>
      <c r="V701" s="3" t="s">
        <v>2311</v>
      </c>
      <c r="W701" t="s">
        <v>74</v>
      </c>
      <c r="X701" t="s">
        <v>74</v>
      </c>
      <c r="Y701" t="s">
        <v>74</v>
      </c>
      <c r="Z701" t="s">
        <v>74</v>
      </c>
      <c r="AA701" t="s">
        <v>74</v>
      </c>
      <c r="AB701" t="s">
        <v>2312</v>
      </c>
      <c r="AC701" t="s">
        <v>74</v>
      </c>
      <c r="AD701" t="s">
        <v>74</v>
      </c>
      <c r="AE701" t="s">
        <v>74</v>
      </c>
      <c r="AF701" t="s">
        <v>74</v>
      </c>
      <c r="AG701" t="s">
        <v>74</v>
      </c>
      <c r="AH701" t="s">
        <v>74</v>
      </c>
      <c r="AI701" t="s">
        <v>74</v>
      </c>
      <c r="AJ701" t="s">
        <v>74</v>
      </c>
      <c r="AK701" t="s">
        <v>74</v>
      </c>
      <c r="AL701" t="s">
        <v>74</v>
      </c>
      <c r="AM701" t="s">
        <v>74</v>
      </c>
      <c r="AN701" t="s">
        <v>74</v>
      </c>
      <c r="AO701" t="s">
        <v>2313</v>
      </c>
      <c r="AP701" t="s">
        <v>74</v>
      </c>
      <c r="AQ701" t="s">
        <v>74</v>
      </c>
      <c r="AR701" t="s">
        <v>74</v>
      </c>
      <c r="AS701" t="s">
        <v>74</v>
      </c>
      <c r="AT701" t="s">
        <v>123</v>
      </c>
      <c r="AU701">
        <v>2012</v>
      </c>
      <c r="AV701">
        <v>46</v>
      </c>
      <c r="AW701">
        <v>1</v>
      </c>
      <c r="AX701" t="s">
        <v>74</v>
      </c>
      <c r="AY701" t="s">
        <v>74</v>
      </c>
      <c r="AZ701" t="s">
        <v>74</v>
      </c>
      <c r="BA701" t="s">
        <v>74</v>
      </c>
      <c r="BB701">
        <v>111</v>
      </c>
      <c r="BC701">
        <v>123</v>
      </c>
      <c r="BD701" t="s">
        <v>74</v>
      </c>
      <c r="BE701" t="s">
        <v>2314</v>
      </c>
      <c r="BF701" t="str">
        <f>HYPERLINK("http://dx.doi.org/10.1080/00288330.2011.608687","http://dx.doi.org/10.1080/00288330.2011.608687")</f>
        <v>http://dx.doi.org/10.1080/00288330.2011.608687</v>
      </c>
      <c r="BG701" t="s">
        <v>74</v>
      </c>
      <c r="BH701" t="s">
        <v>74</v>
      </c>
      <c r="BI701" t="s">
        <v>74</v>
      </c>
      <c r="BJ701" t="s">
        <v>74</v>
      </c>
      <c r="BK701" t="s">
        <v>74</v>
      </c>
      <c r="BL701" t="s">
        <v>74</v>
      </c>
      <c r="BM701" t="s">
        <v>74</v>
      </c>
      <c r="BN701" t="s">
        <v>74</v>
      </c>
      <c r="BO701" t="s">
        <v>74</v>
      </c>
      <c r="BP701" t="s">
        <v>74</v>
      </c>
      <c r="BQ701" t="s">
        <v>74</v>
      </c>
      <c r="BR701" t="s">
        <v>74</v>
      </c>
      <c r="BS701" t="s">
        <v>2315</v>
      </c>
      <c r="BT701" t="str">
        <f>HYPERLINK("https%3A%2F%2Fwww.webofscience.com%2Fwos%2Fwoscc%2Ffull-record%2FWOS:000304675700010","View Full Record in Web of Science")</f>
        <v>View Full Record in Web of Science</v>
      </c>
    </row>
    <row r="702" spans="1:72" x14ac:dyDescent="0.4">
      <c r="A702" t="s">
        <v>72</v>
      </c>
      <c r="B702" t="s">
        <v>4341</v>
      </c>
      <c r="C702" t="s">
        <v>74</v>
      </c>
      <c r="D702" t="s">
        <v>74</v>
      </c>
      <c r="E702" t="s">
        <v>74</v>
      </c>
      <c r="F702" t="s">
        <v>4342</v>
      </c>
      <c r="G702" t="s">
        <v>74</v>
      </c>
      <c r="H702" t="s">
        <v>74</v>
      </c>
      <c r="I702" t="s">
        <v>4343</v>
      </c>
      <c r="J702" t="s">
        <v>814</v>
      </c>
      <c r="K702" t="s">
        <v>74</v>
      </c>
      <c r="L702" t="s">
        <v>74</v>
      </c>
      <c r="M702" t="s">
        <v>74</v>
      </c>
      <c r="N702" t="s">
        <v>74</v>
      </c>
      <c r="O702" t="s">
        <v>74</v>
      </c>
      <c r="P702" t="s">
        <v>74</v>
      </c>
      <c r="Q702" t="s">
        <v>74</v>
      </c>
      <c r="R702" t="s">
        <v>74</v>
      </c>
      <c r="S702" t="s">
        <v>74</v>
      </c>
      <c r="T702" t="s">
        <v>74</v>
      </c>
      <c r="U702" t="s">
        <v>74</v>
      </c>
      <c r="V702" s="3" t="s">
        <v>4344</v>
      </c>
      <c r="W702" t="s">
        <v>74</v>
      </c>
      <c r="X702" t="s">
        <v>74</v>
      </c>
      <c r="Y702" t="s">
        <v>74</v>
      </c>
      <c r="Z702" t="s">
        <v>74</v>
      </c>
      <c r="AA702" t="s">
        <v>4345</v>
      </c>
      <c r="AB702" t="s">
        <v>4346</v>
      </c>
      <c r="AC702" t="s">
        <v>74</v>
      </c>
      <c r="AD702" t="s">
        <v>74</v>
      </c>
      <c r="AE702" t="s">
        <v>74</v>
      </c>
      <c r="AF702" t="s">
        <v>74</v>
      </c>
      <c r="AG702" t="s">
        <v>74</v>
      </c>
      <c r="AH702" t="s">
        <v>74</v>
      </c>
      <c r="AI702" t="s">
        <v>74</v>
      </c>
      <c r="AJ702" t="s">
        <v>74</v>
      </c>
      <c r="AK702" t="s">
        <v>74</v>
      </c>
      <c r="AL702" t="s">
        <v>74</v>
      </c>
      <c r="AM702" t="s">
        <v>74</v>
      </c>
      <c r="AN702" t="s">
        <v>74</v>
      </c>
      <c r="AO702" t="s">
        <v>818</v>
      </c>
      <c r="AP702" t="s">
        <v>1505</v>
      </c>
      <c r="AQ702" t="s">
        <v>74</v>
      </c>
      <c r="AR702" t="s">
        <v>74</v>
      </c>
      <c r="AS702" t="s">
        <v>74</v>
      </c>
      <c r="AT702" t="s">
        <v>74</v>
      </c>
      <c r="AU702">
        <v>2009</v>
      </c>
      <c r="AV702">
        <v>112</v>
      </c>
      <c r="AW702">
        <v>3</v>
      </c>
      <c r="AX702" t="s">
        <v>74</v>
      </c>
      <c r="AY702" t="s">
        <v>74</v>
      </c>
      <c r="AZ702" t="s">
        <v>74</v>
      </c>
      <c r="BA702" t="s">
        <v>74</v>
      </c>
      <c r="BB702">
        <v>217</v>
      </c>
      <c r="BC702">
        <v>226</v>
      </c>
      <c r="BD702" t="s">
        <v>74</v>
      </c>
      <c r="BE702" t="s">
        <v>4347</v>
      </c>
      <c r="BF702" t="str">
        <f>HYPERLINK("http://dx.doi.org/10.1016/j.zool.2008.09.005","http://dx.doi.org/10.1016/j.zool.2008.09.005")</f>
        <v>http://dx.doi.org/10.1016/j.zool.2008.09.005</v>
      </c>
      <c r="BG702" t="s">
        <v>74</v>
      </c>
      <c r="BH702" t="s">
        <v>74</v>
      </c>
      <c r="BI702" t="s">
        <v>74</v>
      </c>
      <c r="BJ702" t="s">
        <v>74</v>
      </c>
      <c r="BK702" t="s">
        <v>74</v>
      </c>
      <c r="BL702" t="s">
        <v>74</v>
      </c>
      <c r="BM702" t="s">
        <v>74</v>
      </c>
      <c r="BN702">
        <v>19230632</v>
      </c>
      <c r="BO702" t="s">
        <v>74</v>
      </c>
      <c r="BP702" t="s">
        <v>74</v>
      </c>
      <c r="BQ702" t="s">
        <v>74</v>
      </c>
      <c r="BR702" t="s">
        <v>74</v>
      </c>
      <c r="BS702" t="s">
        <v>4348</v>
      </c>
      <c r="BT702" t="str">
        <f>HYPERLINK("https%3A%2F%2Fwww.webofscience.com%2Fwos%2Fwoscc%2Ffull-record%2FWOS:000265663200006","View Full Record in Web of Science")</f>
        <v>View Full Record in Web of Science</v>
      </c>
    </row>
    <row r="703" spans="1:72" x14ac:dyDescent="0.4">
      <c r="A703" t="s">
        <v>72</v>
      </c>
      <c r="B703" t="s">
        <v>3361</v>
      </c>
      <c r="C703" t="s">
        <v>74</v>
      </c>
      <c r="D703" t="s">
        <v>74</v>
      </c>
      <c r="E703" t="s">
        <v>74</v>
      </c>
      <c r="F703" t="s">
        <v>3361</v>
      </c>
      <c r="G703" t="s">
        <v>74</v>
      </c>
      <c r="H703" t="s">
        <v>74</v>
      </c>
      <c r="I703" t="s">
        <v>3362</v>
      </c>
      <c r="J703" t="s">
        <v>3363</v>
      </c>
      <c r="K703" t="s">
        <v>74</v>
      </c>
      <c r="L703" t="s">
        <v>74</v>
      </c>
      <c r="M703" t="s">
        <v>74</v>
      </c>
      <c r="N703" t="s">
        <v>74</v>
      </c>
      <c r="O703" t="s">
        <v>74</v>
      </c>
      <c r="P703" t="s">
        <v>74</v>
      </c>
      <c r="Q703" t="s">
        <v>74</v>
      </c>
      <c r="R703" t="s">
        <v>74</v>
      </c>
      <c r="S703" t="s">
        <v>74</v>
      </c>
      <c r="T703" t="s">
        <v>74</v>
      </c>
      <c r="U703" t="s">
        <v>74</v>
      </c>
      <c r="V703" s="3" t="s">
        <v>3364</v>
      </c>
      <c r="W703" t="s">
        <v>74</v>
      </c>
      <c r="X703" t="s">
        <v>74</v>
      </c>
      <c r="Y703" t="s">
        <v>74</v>
      </c>
      <c r="Z703" t="s">
        <v>74</v>
      </c>
      <c r="AA703" t="s">
        <v>74</v>
      </c>
      <c r="AB703" t="s">
        <v>74</v>
      </c>
      <c r="AC703" t="s">
        <v>74</v>
      </c>
      <c r="AD703" t="s">
        <v>74</v>
      </c>
      <c r="AE703" t="s">
        <v>74</v>
      </c>
      <c r="AF703" t="s">
        <v>74</v>
      </c>
      <c r="AG703" t="s">
        <v>74</v>
      </c>
      <c r="AH703" t="s">
        <v>74</v>
      </c>
      <c r="AI703" t="s">
        <v>74</v>
      </c>
      <c r="AJ703" t="s">
        <v>74</v>
      </c>
      <c r="AK703" t="s">
        <v>74</v>
      </c>
      <c r="AL703" t="s">
        <v>74</v>
      </c>
      <c r="AM703" t="s">
        <v>74</v>
      </c>
      <c r="AN703" t="s">
        <v>74</v>
      </c>
      <c r="AO703" t="s">
        <v>3365</v>
      </c>
      <c r="AP703" t="s">
        <v>3366</v>
      </c>
      <c r="AQ703" t="s">
        <v>74</v>
      </c>
      <c r="AR703" t="s">
        <v>74</v>
      </c>
      <c r="AS703" t="s">
        <v>74</v>
      </c>
      <c r="AT703" t="s">
        <v>74</v>
      </c>
      <c r="AU703">
        <v>1979</v>
      </c>
      <c r="AV703">
        <v>50</v>
      </c>
      <c r="AW703">
        <v>2</v>
      </c>
      <c r="AX703" t="s">
        <v>74</v>
      </c>
      <c r="AY703" t="s">
        <v>74</v>
      </c>
      <c r="AZ703" t="s">
        <v>74</v>
      </c>
      <c r="BA703" t="s">
        <v>74</v>
      </c>
      <c r="BB703">
        <v>97</v>
      </c>
      <c r="BC703">
        <v>99</v>
      </c>
      <c r="BD703" t="s">
        <v>74</v>
      </c>
      <c r="BE703" t="s">
        <v>74</v>
      </c>
      <c r="BF703" t="s">
        <v>74</v>
      </c>
      <c r="BG703" t="s">
        <v>74</v>
      </c>
      <c r="BH703" t="s">
        <v>74</v>
      </c>
      <c r="BI703" t="s">
        <v>74</v>
      </c>
      <c r="BJ703" t="s">
        <v>74</v>
      </c>
      <c r="BK703" t="s">
        <v>74</v>
      </c>
      <c r="BL703" t="s">
        <v>74</v>
      </c>
      <c r="BM703" t="s">
        <v>74</v>
      </c>
      <c r="BN703">
        <v>575907</v>
      </c>
      <c r="BO703" t="s">
        <v>74</v>
      </c>
      <c r="BP703" t="s">
        <v>74</v>
      </c>
      <c r="BQ703" t="s">
        <v>74</v>
      </c>
      <c r="BR703" t="s">
        <v>74</v>
      </c>
      <c r="BS703" t="s">
        <v>3367</v>
      </c>
      <c r="BT703" t="str">
        <f>HYPERLINK("https%3A%2F%2Fwww.webofscience.com%2Fwos%2Fwoscc%2Ffull-record%2FWOS:A1979HS03900007","View Full Record in Web of Science")</f>
        <v>View Full Record in Web of Science</v>
      </c>
    </row>
    <row r="704" spans="1:72" x14ac:dyDescent="0.4">
      <c r="A704" t="s">
        <v>72</v>
      </c>
      <c r="B704" t="s">
        <v>2290</v>
      </c>
      <c r="C704" t="s">
        <v>74</v>
      </c>
      <c r="D704" t="s">
        <v>74</v>
      </c>
      <c r="E704" t="s">
        <v>74</v>
      </c>
      <c r="F704" t="s">
        <v>2291</v>
      </c>
      <c r="G704" t="s">
        <v>74</v>
      </c>
      <c r="H704" t="s">
        <v>74</v>
      </c>
      <c r="I704" t="s">
        <v>2292</v>
      </c>
      <c r="J704" t="s">
        <v>775</v>
      </c>
      <c r="K704" t="s">
        <v>74</v>
      </c>
      <c r="L704" t="s">
        <v>74</v>
      </c>
      <c r="M704" t="s">
        <v>74</v>
      </c>
      <c r="N704" t="s">
        <v>74</v>
      </c>
      <c r="O704" t="s">
        <v>74</v>
      </c>
      <c r="P704" t="s">
        <v>74</v>
      </c>
      <c r="Q704" t="s">
        <v>74</v>
      </c>
      <c r="R704" t="s">
        <v>74</v>
      </c>
      <c r="S704" t="s">
        <v>74</v>
      </c>
      <c r="T704" t="s">
        <v>74</v>
      </c>
      <c r="U704" t="s">
        <v>74</v>
      </c>
      <c r="V704" s="3" t="s">
        <v>2293</v>
      </c>
      <c r="W704" t="s">
        <v>74</v>
      </c>
      <c r="X704" t="s">
        <v>74</v>
      </c>
      <c r="Y704" t="s">
        <v>74</v>
      </c>
      <c r="Z704" t="s">
        <v>74</v>
      </c>
      <c r="AA704" t="s">
        <v>2294</v>
      </c>
      <c r="AB704" t="s">
        <v>2295</v>
      </c>
      <c r="AC704" t="s">
        <v>74</v>
      </c>
      <c r="AD704" t="s">
        <v>74</v>
      </c>
      <c r="AE704" t="s">
        <v>74</v>
      </c>
      <c r="AF704" t="s">
        <v>74</v>
      </c>
      <c r="AG704" t="s">
        <v>74</v>
      </c>
      <c r="AH704" t="s">
        <v>74</v>
      </c>
      <c r="AI704" t="s">
        <v>74</v>
      </c>
      <c r="AJ704" t="s">
        <v>74</v>
      </c>
      <c r="AK704" t="s">
        <v>74</v>
      </c>
      <c r="AL704" t="s">
        <v>74</v>
      </c>
      <c r="AM704" t="s">
        <v>74</v>
      </c>
      <c r="AN704" t="s">
        <v>74</v>
      </c>
      <c r="AO704" t="s">
        <v>778</v>
      </c>
      <c r="AP704" t="s">
        <v>779</v>
      </c>
      <c r="AQ704" t="s">
        <v>74</v>
      </c>
      <c r="AR704" t="s">
        <v>74</v>
      </c>
      <c r="AS704" t="s">
        <v>74</v>
      </c>
      <c r="AT704" t="s">
        <v>2296</v>
      </c>
      <c r="AU704">
        <v>2024</v>
      </c>
      <c r="AV704">
        <v>70</v>
      </c>
      <c r="AW704">
        <v>1</v>
      </c>
      <c r="AX704" t="s">
        <v>74</v>
      </c>
      <c r="AY704" t="s">
        <v>74</v>
      </c>
      <c r="AZ704" t="s">
        <v>74</v>
      </c>
      <c r="BA704" t="s">
        <v>74</v>
      </c>
      <c r="BB704">
        <v>59</v>
      </c>
      <c r="BC704">
        <v>69</v>
      </c>
      <c r="BD704" t="s">
        <v>74</v>
      </c>
      <c r="BE704" t="s">
        <v>2297</v>
      </c>
      <c r="BF704" t="str">
        <f>HYPERLINK("http://dx.doi.org/10.1093/cz/zoac095","http://dx.doi.org/10.1093/cz/zoac095")</f>
        <v>http://dx.doi.org/10.1093/cz/zoac095</v>
      </c>
      <c r="BG704" t="s">
        <v>74</v>
      </c>
      <c r="BH704" t="s">
        <v>2298</v>
      </c>
      <c r="BI704" t="s">
        <v>74</v>
      </c>
      <c r="BJ704" t="s">
        <v>74</v>
      </c>
      <c r="BK704" t="s">
        <v>74</v>
      </c>
      <c r="BL704" t="s">
        <v>74</v>
      </c>
      <c r="BM704" t="s">
        <v>74</v>
      </c>
      <c r="BN704">
        <v>38476133</v>
      </c>
      <c r="BO704" t="s">
        <v>74</v>
      </c>
      <c r="BP704" t="s">
        <v>74</v>
      </c>
      <c r="BQ704" t="s">
        <v>74</v>
      </c>
      <c r="BR704" t="s">
        <v>74</v>
      </c>
      <c r="BS704" t="s">
        <v>2299</v>
      </c>
      <c r="BT704" t="str">
        <f>HYPERLINK("https%3A%2F%2Fwww.webofscience.com%2Fwos%2Fwoscc%2Ffull-record%2FWOS:000908307000001","View Full Record in Web of Science")</f>
        <v>View Full Record in Web of Science</v>
      </c>
    </row>
    <row r="705" spans="1:72" x14ac:dyDescent="0.4">
      <c r="A705" t="s">
        <v>72</v>
      </c>
      <c r="B705" t="s">
        <v>1721</v>
      </c>
      <c r="C705" t="s">
        <v>74</v>
      </c>
      <c r="D705" t="s">
        <v>74</v>
      </c>
      <c r="E705" t="s">
        <v>74</v>
      </c>
      <c r="F705" t="s">
        <v>1721</v>
      </c>
      <c r="G705" t="s">
        <v>74</v>
      </c>
      <c r="H705" t="s">
        <v>74</v>
      </c>
      <c r="I705" t="s">
        <v>1722</v>
      </c>
      <c r="J705" t="s">
        <v>171</v>
      </c>
      <c r="K705" t="s">
        <v>74</v>
      </c>
      <c r="L705" t="s">
        <v>74</v>
      </c>
      <c r="M705" t="s">
        <v>74</v>
      </c>
      <c r="N705" t="s">
        <v>74</v>
      </c>
      <c r="O705" t="s">
        <v>74</v>
      </c>
      <c r="P705" t="s">
        <v>74</v>
      </c>
      <c r="Q705" t="s">
        <v>74</v>
      </c>
      <c r="R705" t="s">
        <v>74</v>
      </c>
      <c r="S705" t="s">
        <v>74</v>
      </c>
      <c r="T705" t="s">
        <v>74</v>
      </c>
      <c r="U705" t="s">
        <v>74</v>
      </c>
      <c r="V705" s="3" t="s">
        <v>1723</v>
      </c>
      <c r="W705" t="s">
        <v>74</v>
      </c>
      <c r="X705" t="s">
        <v>74</v>
      </c>
      <c r="Y705" t="s">
        <v>74</v>
      </c>
      <c r="Z705" t="s">
        <v>74</v>
      </c>
      <c r="AA705" t="s">
        <v>1724</v>
      </c>
      <c r="AB705" t="s">
        <v>1725</v>
      </c>
      <c r="AC705" t="s">
        <v>74</v>
      </c>
      <c r="AD705" t="s">
        <v>74</v>
      </c>
      <c r="AE705" t="s">
        <v>74</v>
      </c>
      <c r="AF705" t="s">
        <v>74</v>
      </c>
      <c r="AG705" t="s">
        <v>74</v>
      </c>
      <c r="AH705" t="s">
        <v>74</v>
      </c>
      <c r="AI705" t="s">
        <v>74</v>
      </c>
      <c r="AJ705" t="s">
        <v>74</v>
      </c>
      <c r="AK705" t="s">
        <v>74</v>
      </c>
      <c r="AL705" t="s">
        <v>74</v>
      </c>
      <c r="AM705" t="s">
        <v>74</v>
      </c>
      <c r="AN705" t="s">
        <v>74</v>
      </c>
      <c r="AO705" t="s">
        <v>173</v>
      </c>
      <c r="AP705" t="s">
        <v>174</v>
      </c>
      <c r="AQ705" t="s">
        <v>74</v>
      </c>
      <c r="AR705" t="s">
        <v>74</v>
      </c>
      <c r="AS705" t="s">
        <v>74</v>
      </c>
      <c r="AT705" t="s">
        <v>175</v>
      </c>
      <c r="AU705">
        <v>1998</v>
      </c>
      <c r="AV705">
        <v>52</v>
      </c>
      <c r="AW705">
        <v>5</v>
      </c>
      <c r="AX705" t="s">
        <v>74</v>
      </c>
      <c r="AY705" t="s">
        <v>74</v>
      </c>
      <c r="AZ705" t="s">
        <v>74</v>
      </c>
      <c r="BA705" t="s">
        <v>74</v>
      </c>
      <c r="BB705">
        <v>1293</v>
      </c>
      <c r="BC705">
        <v>1303</v>
      </c>
      <c r="BD705" t="s">
        <v>74</v>
      </c>
      <c r="BE705" t="s">
        <v>1726</v>
      </c>
      <c r="BF705" t="str">
        <f>HYPERLINK("http://dx.doi.org/10.2307/2411299","http://dx.doi.org/10.2307/2411299")</f>
        <v>http://dx.doi.org/10.2307/2411299</v>
      </c>
      <c r="BG705" t="s">
        <v>74</v>
      </c>
      <c r="BH705" t="s">
        <v>74</v>
      </c>
      <c r="BI705" t="s">
        <v>74</v>
      </c>
      <c r="BJ705" t="s">
        <v>74</v>
      </c>
      <c r="BK705" t="s">
        <v>74</v>
      </c>
      <c r="BL705" t="s">
        <v>74</v>
      </c>
      <c r="BM705" t="s">
        <v>74</v>
      </c>
      <c r="BN705">
        <v>28565388</v>
      </c>
      <c r="BO705" t="s">
        <v>74</v>
      </c>
      <c r="BP705" t="s">
        <v>74</v>
      </c>
      <c r="BQ705" t="s">
        <v>74</v>
      </c>
      <c r="BR705" t="s">
        <v>74</v>
      </c>
      <c r="BS705" t="s">
        <v>1727</v>
      </c>
      <c r="BT705" t="str">
        <f>HYPERLINK("https%3A%2F%2Fwww.webofscience.com%2Fwos%2Fwoscc%2Ffull-record%2FWOS:000076931100006","View Full Record in Web of Science")</f>
        <v>View Full Record in Web of Science</v>
      </c>
    </row>
    <row r="706" spans="1:72" x14ac:dyDescent="0.4">
      <c r="A706" t="s">
        <v>72</v>
      </c>
      <c r="B706" t="s">
        <v>4777</v>
      </c>
      <c r="C706" t="s">
        <v>74</v>
      </c>
      <c r="D706" t="s">
        <v>74</v>
      </c>
      <c r="E706" t="s">
        <v>74</v>
      </c>
      <c r="F706" t="s">
        <v>4778</v>
      </c>
      <c r="G706" t="s">
        <v>74</v>
      </c>
      <c r="H706" t="s">
        <v>74</v>
      </c>
      <c r="I706" t="s">
        <v>4779</v>
      </c>
      <c r="J706" t="s">
        <v>171</v>
      </c>
      <c r="K706" t="s">
        <v>74</v>
      </c>
      <c r="L706" t="s">
        <v>74</v>
      </c>
      <c r="M706" t="s">
        <v>74</v>
      </c>
      <c r="N706" t="s">
        <v>74</v>
      </c>
      <c r="O706" t="s">
        <v>74</v>
      </c>
      <c r="P706" t="s">
        <v>74</v>
      </c>
      <c r="Q706" t="s">
        <v>74</v>
      </c>
      <c r="R706" t="s">
        <v>74</v>
      </c>
      <c r="S706" t="s">
        <v>74</v>
      </c>
      <c r="T706" t="s">
        <v>74</v>
      </c>
      <c r="U706" t="s">
        <v>74</v>
      </c>
      <c r="V706" s="3" t="s">
        <v>4780</v>
      </c>
      <c r="W706" t="s">
        <v>74</v>
      </c>
      <c r="X706" t="s">
        <v>74</v>
      </c>
      <c r="Y706" t="s">
        <v>74</v>
      </c>
      <c r="Z706" t="s">
        <v>74</v>
      </c>
      <c r="AA706" t="s">
        <v>379</v>
      </c>
      <c r="AB706" t="s">
        <v>3957</v>
      </c>
      <c r="AC706" t="s">
        <v>74</v>
      </c>
      <c r="AD706" t="s">
        <v>74</v>
      </c>
      <c r="AE706" t="s">
        <v>74</v>
      </c>
      <c r="AF706" t="s">
        <v>74</v>
      </c>
      <c r="AG706" t="s">
        <v>74</v>
      </c>
      <c r="AH706" t="s">
        <v>74</v>
      </c>
      <c r="AI706" t="s">
        <v>74</v>
      </c>
      <c r="AJ706" t="s">
        <v>74</v>
      </c>
      <c r="AK706" t="s">
        <v>74</v>
      </c>
      <c r="AL706" t="s">
        <v>74</v>
      </c>
      <c r="AM706" t="s">
        <v>74</v>
      </c>
      <c r="AN706" t="s">
        <v>74</v>
      </c>
      <c r="AO706" t="s">
        <v>173</v>
      </c>
      <c r="AP706" t="s">
        <v>174</v>
      </c>
      <c r="AQ706" t="s">
        <v>74</v>
      </c>
      <c r="AR706" t="s">
        <v>74</v>
      </c>
      <c r="AS706" t="s">
        <v>74</v>
      </c>
      <c r="AT706" t="s">
        <v>964</v>
      </c>
      <c r="AU706">
        <v>2018</v>
      </c>
      <c r="AV706">
        <v>72</v>
      </c>
      <c r="AW706">
        <v>2</v>
      </c>
      <c r="AX706" t="s">
        <v>74</v>
      </c>
      <c r="AY706" t="s">
        <v>74</v>
      </c>
      <c r="AZ706" t="s">
        <v>74</v>
      </c>
      <c r="BA706" t="s">
        <v>74</v>
      </c>
      <c r="BB706">
        <v>337</v>
      </c>
      <c r="BC706">
        <v>347</v>
      </c>
      <c r="BD706" t="s">
        <v>74</v>
      </c>
      <c r="BE706" t="s">
        <v>4781</v>
      </c>
      <c r="BF706" t="str">
        <f>HYPERLINK("http://dx.doi.org/10.1111/evo.13406","http://dx.doi.org/10.1111/evo.13406")</f>
        <v>http://dx.doi.org/10.1111/evo.13406</v>
      </c>
      <c r="BG706" t="s">
        <v>74</v>
      </c>
      <c r="BH706" t="s">
        <v>74</v>
      </c>
      <c r="BI706" t="s">
        <v>74</v>
      </c>
      <c r="BJ706" t="s">
        <v>74</v>
      </c>
      <c r="BK706" t="s">
        <v>74</v>
      </c>
      <c r="BL706" t="s">
        <v>74</v>
      </c>
      <c r="BM706" t="s">
        <v>74</v>
      </c>
      <c r="BN706">
        <v>29265367</v>
      </c>
      <c r="BO706" t="s">
        <v>74</v>
      </c>
      <c r="BP706" t="s">
        <v>74</v>
      </c>
      <c r="BQ706" t="s">
        <v>74</v>
      </c>
      <c r="BR706" t="s">
        <v>74</v>
      </c>
      <c r="BS706" t="s">
        <v>4782</v>
      </c>
      <c r="BT706" t="str">
        <f>HYPERLINK("https%3A%2F%2Fwww.webofscience.com%2Fwos%2Fwoscc%2Ffull-record%2FWOS:000424131100009","View Full Record in Web of Science")</f>
        <v>View Full Record in Web of Science</v>
      </c>
    </row>
    <row r="707" spans="1:72" x14ac:dyDescent="0.4">
      <c r="A707" t="s">
        <v>72</v>
      </c>
      <c r="B707" t="s">
        <v>8682</v>
      </c>
      <c r="C707" t="s">
        <v>74</v>
      </c>
      <c r="D707" t="s">
        <v>74</v>
      </c>
      <c r="E707" t="s">
        <v>74</v>
      </c>
      <c r="F707" t="s">
        <v>8683</v>
      </c>
      <c r="G707" t="s">
        <v>74</v>
      </c>
      <c r="H707" t="s">
        <v>74</v>
      </c>
      <c r="I707" t="s">
        <v>8684</v>
      </c>
      <c r="J707" t="s">
        <v>8685</v>
      </c>
      <c r="K707" t="s">
        <v>74</v>
      </c>
      <c r="L707" t="s">
        <v>74</v>
      </c>
      <c r="M707" t="s">
        <v>74</v>
      </c>
      <c r="N707" t="s">
        <v>74</v>
      </c>
      <c r="O707" t="s">
        <v>74</v>
      </c>
      <c r="P707" t="s">
        <v>74</v>
      </c>
      <c r="Q707" t="s">
        <v>74</v>
      </c>
      <c r="R707" t="s">
        <v>74</v>
      </c>
      <c r="S707" t="s">
        <v>74</v>
      </c>
      <c r="T707" t="s">
        <v>74</v>
      </c>
      <c r="U707" t="s">
        <v>74</v>
      </c>
      <c r="V707" s="3" t="s">
        <v>8686</v>
      </c>
      <c r="W707" t="s">
        <v>74</v>
      </c>
      <c r="X707" t="s">
        <v>74</v>
      </c>
      <c r="Y707" t="s">
        <v>74</v>
      </c>
      <c r="Z707" t="s">
        <v>74</v>
      </c>
      <c r="AA707" t="s">
        <v>8687</v>
      </c>
      <c r="AB707" t="s">
        <v>8688</v>
      </c>
      <c r="AC707" t="s">
        <v>74</v>
      </c>
      <c r="AD707" t="s">
        <v>74</v>
      </c>
      <c r="AE707" t="s">
        <v>74</v>
      </c>
      <c r="AF707" t="s">
        <v>74</v>
      </c>
      <c r="AG707" t="s">
        <v>74</v>
      </c>
      <c r="AH707" t="s">
        <v>74</v>
      </c>
      <c r="AI707" t="s">
        <v>74</v>
      </c>
      <c r="AJ707" t="s">
        <v>74</v>
      </c>
      <c r="AK707" t="s">
        <v>74</v>
      </c>
      <c r="AL707" t="s">
        <v>74</v>
      </c>
      <c r="AM707" t="s">
        <v>74</v>
      </c>
      <c r="AN707" t="s">
        <v>74</v>
      </c>
      <c r="AO707" t="s">
        <v>8689</v>
      </c>
      <c r="AP707" t="s">
        <v>74</v>
      </c>
      <c r="AQ707" t="s">
        <v>74</v>
      </c>
      <c r="AR707" t="s">
        <v>74</v>
      </c>
      <c r="AS707" t="s">
        <v>74</v>
      </c>
      <c r="AT707" t="s">
        <v>352</v>
      </c>
      <c r="AU707">
        <v>2008</v>
      </c>
      <c r="AV707">
        <v>25</v>
      </c>
      <c r="AW707">
        <v>3</v>
      </c>
      <c r="AX707" t="s">
        <v>74</v>
      </c>
      <c r="AY707" t="s">
        <v>74</v>
      </c>
      <c r="AZ707" t="s">
        <v>74</v>
      </c>
      <c r="BA707" t="s">
        <v>74</v>
      </c>
      <c r="BB707">
        <v>413</v>
      </c>
      <c r="BC707">
        <v>418</v>
      </c>
      <c r="BD707" t="s">
        <v>74</v>
      </c>
      <c r="BE707" t="s">
        <v>8690</v>
      </c>
      <c r="BF707" t="str">
        <f>HYPERLINK("http://dx.doi.org/10.1590/S0101-81752008000300005","http://dx.doi.org/10.1590/S0101-81752008000300005")</f>
        <v>http://dx.doi.org/10.1590/S0101-81752008000300005</v>
      </c>
      <c r="BG707" t="s">
        <v>74</v>
      </c>
      <c r="BH707" t="s">
        <v>74</v>
      </c>
      <c r="BI707" t="s">
        <v>74</v>
      </c>
      <c r="BJ707" t="s">
        <v>74</v>
      </c>
      <c r="BK707" t="s">
        <v>74</v>
      </c>
      <c r="BL707" t="s">
        <v>74</v>
      </c>
      <c r="BM707" t="s">
        <v>74</v>
      </c>
      <c r="BN707" t="s">
        <v>74</v>
      </c>
      <c r="BO707" t="s">
        <v>74</v>
      </c>
      <c r="BP707" t="s">
        <v>74</v>
      </c>
      <c r="BQ707" t="s">
        <v>74</v>
      </c>
      <c r="BR707" t="s">
        <v>74</v>
      </c>
      <c r="BS707" t="s">
        <v>8691</v>
      </c>
      <c r="BT707" t="str">
        <f>HYPERLINK("https%3A%2F%2Fwww.webofscience.com%2Fwos%2Fwoscc%2Ffull-record%2FWOS:000260040800006","View Full Record in Web of Science")</f>
        <v>View Full Record in Web of Science</v>
      </c>
    </row>
    <row r="708" spans="1:72" x14ac:dyDescent="0.4">
      <c r="A708" t="s">
        <v>72</v>
      </c>
      <c r="B708" t="s">
        <v>7592</v>
      </c>
      <c r="C708" t="s">
        <v>74</v>
      </c>
      <c r="D708" t="s">
        <v>74</v>
      </c>
      <c r="E708" t="s">
        <v>74</v>
      </c>
      <c r="F708" t="s">
        <v>7592</v>
      </c>
      <c r="G708" t="s">
        <v>74</v>
      </c>
      <c r="H708" t="s">
        <v>74</v>
      </c>
      <c r="I708" t="s">
        <v>7593</v>
      </c>
      <c r="J708" t="s">
        <v>2207</v>
      </c>
      <c r="K708" t="s">
        <v>74</v>
      </c>
      <c r="L708" t="s">
        <v>74</v>
      </c>
      <c r="M708" t="s">
        <v>74</v>
      </c>
      <c r="N708" t="s">
        <v>74</v>
      </c>
      <c r="O708" t="s">
        <v>74</v>
      </c>
      <c r="P708" t="s">
        <v>74</v>
      </c>
      <c r="Q708" t="s">
        <v>74</v>
      </c>
      <c r="R708" t="s">
        <v>74</v>
      </c>
      <c r="S708" t="s">
        <v>74</v>
      </c>
      <c r="T708" t="s">
        <v>74</v>
      </c>
      <c r="U708" t="s">
        <v>74</v>
      </c>
      <c r="V708" s="3" t="s">
        <v>7594</v>
      </c>
      <c r="W708" t="s">
        <v>74</v>
      </c>
      <c r="X708" t="s">
        <v>74</v>
      </c>
      <c r="Y708" t="s">
        <v>74</v>
      </c>
      <c r="Z708" t="s">
        <v>74</v>
      </c>
      <c r="AA708" t="s">
        <v>74</v>
      </c>
      <c r="AB708" t="s">
        <v>3387</v>
      </c>
      <c r="AC708" t="s">
        <v>74</v>
      </c>
      <c r="AD708" t="s">
        <v>74</v>
      </c>
      <c r="AE708" t="s">
        <v>74</v>
      </c>
      <c r="AF708" t="s">
        <v>74</v>
      </c>
      <c r="AG708" t="s">
        <v>74</v>
      </c>
      <c r="AH708" t="s">
        <v>74</v>
      </c>
      <c r="AI708" t="s">
        <v>74</v>
      </c>
      <c r="AJ708" t="s">
        <v>74</v>
      </c>
      <c r="AK708" t="s">
        <v>74</v>
      </c>
      <c r="AL708" t="s">
        <v>74</v>
      </c>
      <c r="AM708" t="s">
        <v>74</v>
      </c>
      <c r="AN708" t="s">
        <v>74</v>
      </c>
      <c r="AO708" t="s">
        <v>2211</v>
      </c>
      <c r="AP708" t="s">
        <v>2461</v>
      </c>
      <c r="AQ708" t="s">
        <v>74</v>
      </c>
      <c r="AR708" t="s">
        <v>74</v>
      </c>
      <c r="AS708" t="s">
        <v>74</v>
      </c>
      <c r="AT708" t="s">
        <v>213</v>
      </c>
      <c r="AU708">
        <v>2004</v>
      </c>
      <c r="AV708">
        <v>35</v>
      </c>
      <c r="AW708">
        <v>6</v>
      </c>
      <c r="AX708" t="s">
        <v>74</v>
      </c>
      <c r="AY708" t="s">
        <v>74</v>
      </c>
      <c r="AZ708" t="s">
        <v>74</v>
      </c>
      <c r="BA708" t="s">
        <v>74</v>
      </c>
      <c r="BB708">
        <v>477</v>
      </c>
      <c r="BC708">
        <v>482</v>
      </c>
      <c r="BD708" t="s">
        <v>74</v>
      </c>
      <c r="BE708" t="s">
        <v>7595</v>
      </c>
      <c r="BF708" t="str">
        <f>HYPERLINK("http://dx.doi.org/10.1111/j.0908-8857.2004.03351.x","http://dx.doi.org/10.1111/j.0908-8857.2004.03351.x")</f>
        <v>http://dx.doi.org/10.1111/j.0908-8857.2004.03351.x</v>
      </c>
      <c r="BG708" t="s">
        <v>74</v>
      </c>
      <c r="BH708" t="s">
        <v>74</v>
      </c>
      <c r="BI708" t="s">
        <v>74</v>
      </c>
      <c r="BJ708" t="s">
        <v>74</v>
      </c>
      <c r="BK708" t="s">
        <v>74</v>
      </c>
      <c r="BL708" t="s">
        <v>74</v>
      </c>
      <c r="BM708" t="s">
        <v>74</v>
      </c>
      <c r="BN708" t="s">
        <v>74</v>
      </c>
      <c r="BO708" t="s">
        <v>74</v>
      </c>
      <c r="BP708" t="s">
        <v>74</v>
      </c>
      <c r="BQ708" t="s">
        <v>74</v>
      </c>
      <c r="BR708" t="s">
        <v>74</v>
      </c>
      <c r="BS708" t="s">
        <v>7596</v>
      </c>
      <c r="BT708" t="str">
        <f>HYPERLINK("https%3A%2F%2Fwww.webofscience.com%2Fwos%2Fwoscc%2Ffull-record%2FWOS:000225224600004","View Full Record in Web of Science")</f>
        <v>View Full Record in Web of Science</v>
      </c>
    </row>
    <row r="709" spans="1:72" x14ac:dyDescent="0.4">
      <c r="A709" t="s">
        <v>72</v>
      </c>
      <c r="B709" t="s">
        <v>3080</v>
      </c>
      <c r="C709" t="s">
        <v>74</v>
      </c>
      <c r="D709" t="s">
        <v>74</v>
      </c>
      <c r="E709" t="s">
        <v>74</v>
      </c>
      <c r="F709" t="s">
        <v>3081</v>
      </c>
      <c r="G709" t="s">
        <v>74</v>
      </c>
      <c r="H709" t="s">
        <v>74</v>
      </c>
      <c r="I709" t="s">
        <v>3082</v>
      </c>
      <c r="J709" t="s">
        <v>2017</v>
      </c>
      <c r="K709" t="s">
        <v>74</v>
      </c>
      <c r="L709" t="s">
        <v>74</v>
      </c>
      <c r="M709" t="s">
        <v>74</v>
      </c>
      <c r="N709" t="s">
        <v>74</v>
      </c>
      <c r="O709" t="s">
        <v>74</v>
      </c>
      <c r="P709" t="s">
        <v>74</v>
      </c>
      <c r="Q709" t="s">
        <v>74</v>
      </c>
      <c r="R709" t="s">
        <v>74</v>
      </c>
      <c r="S709" t="s">
        <v>74</v>
      </c>
      <c r="T709" t="s">
        <v>74</v>
      </c>
      <c r="U709" t="s">
        <v>74</v>
      </c>
      <c r="V709" s="3" t="s">
        <v>3083</v>
      </c>
      <c r="W709" t="s">
        <v>74</v>
      </c>
      <c r="X709" t="s">
        <v>74</v>
      </c>
      <c r="Y709" t="s">
        <v>74</v>
      </c>
      <c r="Z709" t="s">
        <v>74</v>
      </c>
      <c r="AA709" t="s">
        <v>74</v>
      </c>
      <c r="AB709" t="s">
        <v>74</v>
      </c>
      <c r="AC709" t="s">
        <v>74</v>
      </c>
      <c r="AD709" t="s">
        <v>74</v>
      </c>
      <c r="AE709" t="s">
        <v>74</v>
      </c>
      <c r="AF709" t="s">
        <v>74</v>
      </c>
      <c r="AG709" t="s">
        <v>74</v>
      </c>
      <c r="AH709" t="s">
        <v>74</v>
      </c>
      <c r="AI709" t="s">
        <v>74</v>
      </c>
      <c r="AJ709" t="s">
        <v>74</v>
      </c>
      <c r="AK709" t="s">
        <v>74</v>
      </c>
      <c r="AL709" t="s">
        <v>74</v>
      </c>
      <c r="AM709" t="s">
        <v>74</v>
      </c>
      <c r="AN709" t="s">
        <v>74</v>
      </c>
      <c r="AO709" t="s">
        <v>2021</v>
      </c>
      <c r="AP709" t="s">
        <v>74</v>
      </c>
      <c r="AQ709" t="s">
        <v>74</v>
      </c>
      <c r="AR709" t="s">
        <v>74</v>
      </c>
      <c r="AS709" t="s">
        <v>74</v>
      </c>
      <c r="AT709" t="s">
        <v>74</v>
      </c>
      <c r="AU709">
        <v>2014</v>
      </c>
      <c r="AV709">
        <v>2</v>
      </c>
      <c r="AW709" t="s">
        <v>74</v>
      </c>
      <c r="AX709" t="s">
        <v>74</v>
      </c>
      <c r="AY709" t="s">
        <v>74</v>
      </c>
      <c r="AZ709" t="s">
        <v>74</v>
      </c>
      <c r="BA709" t="s">
        <v>74</v>
      </c>
      <c r="BB709" t="s">
        <v>74</v>
      </c>
      <c r="BC709" t="s">
        <v>74</v>
      </c>
      <c r="BD709">
        <v>24</v>
      </c>
      <c r="BE709" t="s">
        <v>3084</v>
      </c>
      <c r="BF709" t="str">
        <f>HYPERLINK("http://dx.doi.org/10.3389/fevo.2014.00024","http://dx.doi.org/10.3389/fevo.2014.00024")</f>
        <v>http://dx.doi.org/10.3389/fevo.2014.00024</v>
      </c>
      <c r="BG709" t="s">
        <v>74</v>
      </c>
      <c r="BH709" t="s">
        <v>74</v>
      </c>
      <c r="BI709" t="s">
        <v>74</v>
      </c>
      <c r="BJ709" t="s">
        <v>74</v>
      </c>
      <c r="BK709" t="s">
        <v>74</v>
      </c>
      <c r="BL709" t="s">
        <v>74</v>
      </c>
      <c r="BM709" t="s">
        <v>74</v>
      </c>
      <c r="BN709" t="s">
        <v>74</v>
      </c>
      <c r="BO709" t="s">
        <v>74</v>
      </c>
      <c r="BP709" t="s">
        <v>74</v>
      </c>
      <c r="BQ709" t="s">
        <v>74</v>
      </c>
      <c r="BR709" t="s">
        <v>74</v>
      </c>
      <c r="BS709" t="s">
        <v>3085</v>
      </c>
      <c r="BT709" t="str">
        <f>HYPERLINK("https%3A%2F%2Fwww.webofscience.com%2Fwos%2Fwoscc%2Ffull-record%2FWOS:000517755700023","View Full Record in Web of Science")</f>
        <v>View Full Record in Web of Science</v>
      </c>
    </row>
    <row r="710" spans="1:72" x14ac:dyDescent="0.4">
      <c r="A710" t="s">
        <v>72</v>
      </c>
      <c r="B710" t="s">
        <v>7522</v>
      </c>
      <c r="C710" t="s">
        <v>74</v>
      </c>
      <c r="D710" t="s">
        <v>74</v>
      </c>
      <c r="E710" t="s">
        <v>74</v>
      </c>
      <c r="F710" t="s">
        <v>7523</v>
      </c>
      <c r="G710" t="s">
        <v>74</v>
      </c>
      <c r="H710" t="s">
        <v>74</v>
      </c>
      <c r="I710" t="s">
        <v>7524</v>
      </c>
      <c r="J710" t="s">
        <v>1526</v>
      </c>
      <c r="K710" t="s">
        <v>74</v>
      </c>
      <c r="L710" t="s">
        <v>74</v>
      </c>
      <c r="M710" t="s">
        <v>74</v>
      </c>
      <c r="N710" t="s">
        <v>74</v>
      </c>
      <c r="O710" t="s">
        <v>74</v>
      </c>
      <c r="P710" t="s">
        <v>74</v>
      </c>
      <c r="Q710" t="s">
        <v>74</v>
      </c>
      <c r="R710" t="s">
        <v>74</v>
      </c>
      <c r="S710" t="s">
        <v>74</v>
      </c>
      <c r="T710" t="s">
        <v>74</v>
      </c>
      <c r="U710" t="s">
        <v>74</v>
      </c>
      <c r="V710" s="3" t="s">
        <v>7525</v>
      </c>
      <c r="W710" t="s">
        <v>74</v>
      </c>
      <c r="X710" t="s">
        <v>74</v>
      </c>
      <c r="Y710" t="s">
        <v>74</v>
      </c>
      <c r="Z710" t="s">
        <v>74</v>
      </c>
      <c r="AA710" t="s">
        <v>7526</v>
      </c>
      <c r="AB710" t="s">
        <v>74</v>
      </c>
      <c r="AC710" t="s">
        <v>74</v>
      </c>
      <c r="AD710" t="s">
        <v>74</v>
      </c>
      <c r="AE710" t="s">
        <v>74</v>
      </c>
      <c r="AF710" t="s">
        <v>74</v>
      </c>
      <c r="AG710" t="s">
        <v>74</v>
      </c>
      <c r="AH710" t="s">
        <v>74</v>
      </c>
      <c r="AI710" t="s">
        <v>74</v>
      </c>
      <c r="AJ710" t="s">
        <v>74</v>
      </c>
      <c r="AK710" t="s">
        <v>74</v>
      </c>
      <c r="AL710" t="s">
        <v>74</v>
      </c>
      <c r="AM710" t="s">
        <v>74</v>
      </c>
      <c r="AN710" t="s">
        <v>74</v>
      </c>
      <c r="AO710" t="s">
        <v>1528</v>
      </c>
      <c r="AP710" t="s">
        <v>2131</v>
      </c>
      <c r="AQ710" t="s">
        <v>74</v>
      </c>
      <c r="AR710" t="s">
        <v>74</v>
      </c>
      <c r="AS710" t="s">
        <v>74</v>
      </c>
      <c r="AT710" t="s">
        <v>213</v>
      </c>
      <c r="AU710">
        <v>2013</v>
      </c>
      <c r="AV710">
        <v>115</v>
      </c>
      <c r="AW710">
        <v>4</v>
      </c>
      <c r="AX710" t="s">
        <v>74</v>
      </c>
      <c r="AY710" t="s">
        <v>74</v>
      </c>
      <c r="AZ710" t="s">
        <v>74</v>
      </c>
      <c r="BA710" t="s">
        <v>74</v>
      </c>
      <c r="BB710">
        <v>910</v>
      </c>
      <c r="BC710">
        <v>920</v>
      </c>
      <c r="BD710" t="s">
        <v>74</v>
      </c>
      <c r="BE710" t="s">
        <v>7527</v>
      </c>
      <c r="BF710" t="str">
        <f>HYPERLINK("http://dx.doi.org/10.1525/cond.2013.120146","http://dx.doi.org/10.1525/cond.2013.120146")</f>
        <v>http://dx.doi.org/10.1525/cond.2013.120146</v>
      </c>
      <c r="BG710" t="s">
        <v>74</v>
      </c>
      <c r="BH710" t="s">
        <v>74</v>
      </c>
      <c r="BI710" t="s">
        <v>74</v>
      </c>
      <c r="BJ710" t="s">
        <v>74</v>
      </c>
      <c r="BK710" t="s">
        <v>74</v>
      </c>
      <c r="BL710" t="s">
        <v>74</v>
      </c>
      <c r="BM710" t="s">
        <v>74</v>
      </c>
      <c r="BN710" t="s">
        <v>74</v>
      </c>
      <c r="BO710" t="s">
        <v>74</v>
      </c>
      <c r="BP710" t="s">
        <v>74</v>
      </c>
      <c r="BQ710" t="s">
        <v>74</v>
      </c>
      <c r="BR710" t="s">
        <v>74</v>
      </c>
      <c r="BS710" t="s">
        <v>7528</v>
      </c>
      <c r="BT710" t="str">
        <f>HYPERLINK("https%3A%2F%2Fwww.webofscience.com%2Fwos%2Fwoscc%2Ffull-record%2FWOS:000328295800023","View Full Record in Web of Science")</f>
        <v>View Full Record in Web of Science</v>
      </c>
    </row>
    <row r="711" spans="1:72" x14ac:dyDescent="0.4">
      <c r="A711" t="s">
        <v>72</v>
      </c>
      <c r="B711" t="s">
        <v>4609</v>
      </c>
      <c r="C711" t="s">
        <v>74</v>
      </c>
      <c r="D711" t="s">
        <v>74</v>
      </c>
      <c r="E711" t="s">
        <v>74</v>
      </c>
      <c r="F711" t="s">
        <v>4610</v>
      </c>
      <c r="G711" t="s">
        <v>74</v>
      </c>
      <c r="H711" t="s">
        <v>74</v>
      </c>
      <c r="I711" t="s">
        <v>4611</v>
      </c>
      <c r="J711" t="s">
        <v>654</v>
      </c>
      <c r="K711" t="s">
        <v>74</v>
      </c>
      <c r="L711" t="s">
        <v>74</v>
      </c>
      <c r="M711" t="s">
        <v>74</v>
      </c>
      <c r="N711" t="s">
        <v>74</v>
      </c>
      <c r="O711" t="s">
        <v>74</v>
      </c>
      <c r="P711" t="s">
        <v>74</v>
      </c>
      <c r="Q711" t="s">
        <v>74</v>
      </c>
      <c r="R711" t="s">
        <v>74</v>
      </c>
      <c r="S711" t="s">
        <v>74</v>
      </c>
      <c r="T711" t="s">
        <v>74</v>
      </c>
      <c r="U711" t="s">
        <v>74</v>
      </c>
      <c r="V711" s="3" t="s">
        <v>4612</v>
      </c>
      <c r="W711" t="s">
        <v>74</v>
      </c>
      <c r="X711" t="s">
        <v>74</v>
      </c>
      <c r="Y711" t="s">
        <v>74</v>
      </c>
      <c r="Z711" t="s">
        <v>74</v>
      </c>
      <c r="AA711" t="s">
        <v>4613</v>
      </c>
      <c r="AB711" t="s">
        <v>4614</v>
      </c>
      <c r="AC711" t="s">
        <v>74</v>
      </c>
      <c r="AD711" t="s">
        <v>74</v>
      </c>
      <c r="AE711" t="s">
        <v>74</v>
      </c>
      <c r="AF711" t="s">
        <v>74</v>
      </c>
      <c r="AG711" t="s">
        <v>74</v>
      </c>
      <c r="AH711" t="s">
        <v>74</v>
      </c>
      <c r="AI711" t="s">
        <v>74</v>
      </c>
      <c r="AJ711" t="s">
        <v>74</v>
      </c>
      <c r="AK711" t="s">
        <v>74</v>
      </c>
      <c r="AL711" t="s">
        <v>74</v>
      </c>
      <c r="AM711" t="s">
        <v>74</v>
      </c>
      <c r="AN711" t="s">
        <v>74</v>
      </c>
      <c r="AO711" t="s">
        <v>658</v>
      </c>
      <c r="AP711" t="s">
        <v>74</v>
      </c>
      <c r="AQ711" t="s">
        <v>74</v>
      </c>
      <c r="AR711" t="s">
        <v>74</v>
      </c>
      <c r="AS711" t="s">
        <v>74</v>
      </c>
      <c r="AT711" t="s">
        <v>633</v>
      </c>
      <c r="AU711">
        <v>2014</v>
      </c>
      <c r="AV711">
        <v>4</v>
      </c>
      <c r="AW711">
        <v>7</v>
      </c>
      <c r="AX711" t="s">
        <v>74</v>
      </c>
      <c r="AY711" t="s">
        <v>74</v>
      </c>
      <c r="AZ711" t="s">
        <v>74</v>
      </c>
      <c r="BA711" t="s">
        <v>74</v>
      </c>
      <c r="BB711">
        <v>911</v>
      </c>
      <c r="BC711">
        <v>917</v>
      </c>
      <c r="BD711" t="s">
        <v>74</v>
      </c>
      <c r="BE711" t="s">
        <v>4615</v>
      </c>
      <c r="BF711" t="str">
        <f>HYPERLINK("http://dx.doi.org/10.1002/ece3.996","http://dx.doi.org/10.1002/ece3.996")</f>
        <v>http://dx.doi.org/10.1002/ece3.996</v>
      </c>
      <c r="BG711" t="s">
        <v>74</v>
      </c>
      <c r="BH711" t="s">
        <v>74</v>
      </c>
      <c r="BI711" t="s">
        <v>74</v>
      </c>
      <c r="BJ711" t="s">
        <v>74</v>
      </c>
      <c r="BK711" t="s">
        <v>74</v>
      </c>
      <c r="BL711" t="s">
        <v>74</v>
      </c>
      <c r="BM711" t="s">
        <v>74</v>
      </c>
      <c r="BN711">
        <v>24772270</v>
      </c>
      <c r="BO711" t="s">
        <v>74</v>
      </c>
      <c r="BP711" t="s">
        <v>74</v>
      </c>
      <c r="BQ711" t="s">
        <v>74</v>
      </c>
      <c r="BR711" t="s">
        <v>74</v>
      </c>
      <c r="BS711" t="s">
        <v>4616</v>
      </c>
      <c r="BT711" t="str">
        <f>HYPERLINK("https%3A%2F%2Fwww.webofscience.com%2Fwos%2Fwoscc%2Ffull-record%2FWOS:000333809000004","View Full Record in Web of Science")</f>
        <v>View Full Record in Web of Science</v>
      </c>
    </row>
    <row r="712" spans="1:72" x14ac:dyDescent="0.4">
      <c r="A712" t="s">
        <v>72</v>
      </c>
      <c r="B712" t="s">
        <v>1713</v>
      </c>
      <c r="C712" t="s">
        <v>74</v>
      </c>
      <c r="D712" t="s">
        <v>74</v>
      </c>
      <c r="E712" t="s">
        <v>74</v>
      </c>
      <c r="F712" t="s">
        <v>1714</v>
      </c>
      <c r="G712" t="s">
        <v>74</v>
      </c>
      <c r="H712" t="s">
        <v>74</v>
      </c>
      <c r="I712" t="s">
        <v>1715</v>
      </c>
      <c r="J712" t="s">
        <v>1112</v>
      </c>
      <c r="K712" t="s">
        <v>74</v>
      </c>
      <c r="L712" t="s">
        <v>74</v>
      </c>
      <c r="M712" t="s">
        <v>74</v>
      </c>
      <c r="N712" t="s">
        <v>74</v>
      </c>
      <c r="O712" t="s">
        <v>74</v>
      </c>
      <c r="P712" t="s">
        <v>74</v>
      </c>
      <c r="Q712" t="s">
        <v>74</v>
      </c>
      <c r="R712" t="s">
        <v>74</v>
      </c>
      <c r="S712" t="s">
        <v>74</v>
      </c>
      <c r="T712" t="s">
        <v>74</v>
      </c>
      <c r="U712" t="s">
        <v>74</v>
      </c>
      <c r="V712" s="3" t="s">
        <v>1716</v>
      </c>
      <c r="W712" t="s">
        <v>74</v>
      </c>
      <c r="X712" t="s">
        <v>74</v>
      </c>
      <c r="Y712" t="s">
        <v>74</v>
      </c>
      <c r="Z712" t="s">
        <v>74</v>
      </c>
      <c r="AA712" t="s">
        <v>1717</v>
      </c>
      <c r="AB712" t="s">
        <v>1718</v>
      </c>
      <c r="AC712" t="s">
        <v>74</v>
      </c>
      <c r="AD712" t="s">
        <v>74</v>
      </c>
      <c r="AE712" t="s">
        <v>74</v>
      </c>
      <c r="AF712" t="s">
        <v>74</v>
      </c>
      <c r="AG712" t="s">
        <v>74</v>
      </c>
      <c r="AH712" t="s">
        <v>74</v>
      </c>
      <c r="AI712" t="s">
        <v>74</v>
      </c>
      <c r="AJ712" t="s">
        <v>74</v>
      </c>
      <c r="AK712" t="s">
        <v>74</v>
      </c>
      <c r="AL712" t="s">
        <v>74</v>
      </c>
      <c r="AM712" t="s">
        <v>74</v>
      </c>
      <c r="AN712" t="s">
        <v>74</v>
      </c>
      <c r="AO712" t="s">
        <v>1114</v>
      </c>
      <c r="AP712" t="s">
        <v>1115</v>
      </c>
      <c r="AQ712" t="s">
        <v>74</v>
      </c>
      <c r="AR712" t="s">
        <v>74</v>
      </c>
      <c r="AS712" t="s">
        <v>74</v>
      </c>
      <c r="AT712" t="s">
        <v>123</v>
      </c>
      <c r="AU712">
        <v>2020</v>
      </c>
      <c r="AV712">
        <v>224</v>
      </c>
      <c r="AW712" t="s">
        <v>74</v>
      </c>
      <c r="AX712" t="s">
        <v>74</v>
      </c>
      <c r="AY712" t="s">
        <v>74</v>
      </c>
      <c r="AZ712" t="s">
        <v>74</v>
      </c>
      <c r="BA712" t="s">
        <v>74</v>
      </c>
      <c r="BB712" t="s">
        <v>74</v>
      </c>
      <c r="BC712" t="s">
        <v>74</v>
      </c>
      <c r="BD712">
        <v>104939</v>
      </c>
      <c r="BE712" t="s">
        <v>1719</v>
      </c>
      <c r="BF712" t="str">
        <f>HYPERLINK("http://dx.doi.org/10.1016/j.applanim.2020.104939","http://dx.doi.org/10.1016/j.applanim.2020.104939")</f>
        <v>http://dx.doi.org/10.1016/j.applanim.2020.104939</v>
      </c>
      <c r="BG712" t="s">
        <v>74</v>
      </c>
      <c r="BH712" t="s">
        <v>74</v>
      </c>
      <c r="BI712" t="s">
        <v>74</v>
      </c>
      <c r="BJ712" t="s">
        <v>74</v>
      </c>
      <c r="BK712" t="s">
        <v>74</v>
      </c>
      <c r="BL712" t="s">
        <v>74</v>
      </c>
      <c r="BM712" t="s">
        <v>74</v>
      </c>
      <c r="BN712" t="s">
        <v>74</v>
      </c>
      <c r="BO712" t="s">
        <v>74</v>
      </c>
      <c r="BP712" t="s">
        <v>74</v>
      </c>
      <c r="BQ712" t="s">
        <v>74</v>
      </c>
      <c r="BR712" t="s">
        <v>74</v>
      </c>
      <c r="BS712" t="s">
        <v>1720</v>
      </c>
      <c r="BT712" t="str">
        <f>HYPERLINK("https%3A%2F%2Fwww.webofscience.com%2Fwos%2Fwoscc%2Ffull-record%2FWOS:000524493000008","View Full Record in Web of Science")</f>
        <v>View Full Record in Web of Science</v>
      </c>
    </row>
    <row r="713" spans="1:72" x14ac:dyDescent="0.4">
      <c r="A713" t="s">
        <v>72</v>
      </c>
      <c r="B713" t="s">
        <v>4811</v>
      </c>
      <c r="C713" t="s">
        <v>74</v>
      </c>
      <c r="D713" t="s">
        <v>74</v>
      </c>
      <c r="E713" t="s">
        <v>74</v>
      </c>
      <c r="F713" t="s">
        <v>4812</v>
      </c>
      <c r="G713" t="s">
        <v>74</v>
      </c>
      <c r="H713" t="s">
        <v>74</v>
      </c>
      <c r="I713" t="s">
        <v>4813</v>
      </c>
      <c r="J713" t="s">
        <v>2248</v>
      </c>
      <c r="K713" t="s">
        <v>74</v>
      </c>
      <c r="L713" t="s">
        <v>74</v>
      </c>
      <c r="M713" t="s">
        <v>74</v>
      </c>
      <c r="N713" t="s">
        <v>74</v>
      </c>
      <c r="O713" t="s">
        <v>74</v>
      </c>
      <c r="P713" t="s">
        <v>74</v>
      </c>
      <c r="Q713" t="s">
        <v>74</v>
      </c>
      <c r="R713" t="s">
        <v>74</v>
      </c>
      <c r="S713" t="s">
        <v>74</v>
      </c>
      <c r="T713" t="s">
        <v>74</v>
      </c>
      <c r="U713" t="s">
        <v>74</v>
      </c>
      <c r="V713" s="3" t="s">
        <v>4814</v>
      </c>
      <c r="W713" t="s">
        <v>74</v>
      </c>
      <c r="X713" t="s">
        <v>74</v>
      </c>
      <c r="Y713" t="s">
        <v>74</v>
      </c>
      <c r="Z713" t="s">
        <v>74</v>
      </c>
      <c r="AA713" t="s">
        <v>4815</v>
      </c>
      <c r="AB713" t="s">
        <v>4816</v>
      </c>
      <c r="AC713" t="s">
        <v>74</v>
      </c>
      <c r="AD713" t="s">
        <v>74</v>
      </c>
      <c r="AE713" t="s">
        <v>74</v>
      </c>
      <c r="AF713" t="s">
        <v>74</v>
      </c>
      <c r="AG713" t="s">
        <v>74</v>
      </c>
      <c r="AH713" t="s">
        <v>74</v>
      </c>
      <c r="AI713" t="s">
        <v>74</v>
      </c>
      <c r="AJ713" t="s">
        <v>74</v>
      </c>
      <c r="AK713" t="s">
        <v>74</v>
      </c>
      <c r="AL713" t="s">
        <v>74</v>
      </c>
      <c r="AM713" t="s">
        <v>74</v>
      </c>
      <c r="AN713" t="s">
        <v>74</v>
      </c>
      <c r="AO713" t="s">
        <v>2251</v>
      </c>
      <c r="AP713" t="s">
        <v>2252</v>
      </c>
      <c r="AQ713" t="s">
        <v>74</v>
      </c>
      <c r="AR713" t="s">
        <v>74</v>
      </c>
      <c r="AS713" t="s">
        <v>74</v>
      </c>
      <c r="AT713" t="s">
        <v>4817</v>
      </c>
      <c r="AU713">
        <v>2021</v>
      </c>
      <c r="AV713">
        <v>24</v>
      </c>
      <c r="AW713">
        <v>2</v>
      </c>
      <c r="AX713" t="s">
        <v>74</v>
      </c>
      <c r="AY713" t="s">
        <v>74</v>
      </c>
      <c r="AZ713" t="s">
        <v>74</v>
      </c>
      <c r="BA713" t="s">
        <v>74</v>
      </c>
      <c r="BB713">
        <v>107</v>
      </c>
      <c r="BC713">
        <v>116</v>
      </c>
      <c r="BD713" t="s">
        <v>74</v>
      </c>
      <c r="BE713" t="s">
        <v>4818</v>
      </c>
      <c r="BF713" t="str">
        <f>HYPERLINK("http://dx.doi.org/10.1080/10888705.2021.1872026","http://dx.doi.org/10.1080/10888705.2021.1872026")</f>
        <v>http://dx.doi.org/10.1080/10888705.2021.1872026</v>
      </c>
      <c r="BG713" t="s">
        <v>74</v>
      </c>
      <c r="BH713" t="s">
        <v>2962</v>
      </c>
      <c r="BI713" t="s">
        <v>74</v>
      </c>
      <c r="BJ713" t="s">
        <v>74</v>
      </c>
      <c r="BK713" t="s">
        <v>74</v>
      </c>
      <c r="BL713" t="s">
        <v>74</v>
      </c>
      <c r="BM713" t="s">
        <v>74</v>
      </c>
      <c r="BN713">
        <v>33508981</v>
      </c>
      <c r="BO713" t="s">
        <v>74</v>
      </c>
      <c r="BP713" t="s">
        <v>74</v>
      </c>
      <c r="BQ713" t="s">
        <v>74</v>
      </c>
      <c r="BR713" t="s">
        <v>74</v>
      </c>
      <c r="BS713" t="s">
        <v>4819</v>
      </c>
      <c r="BT713" t="str">
        <f>HYPERLINK("https%3A%2F%2Fwww.webofscience.com%2Fwos%2Fwoscc%2Ffull-record%2FWOS:000612753900001","View Full Record in Web of Science")</f>
        <v>View Full Record in Web of Science</v>
      </c>
    </row>
    <row r="714" spans="1:72" x14ac:dyDescent="0.4">
      <c r="A714" t="s">
        <v>72</v>
      </c>
      <c r="B714" t="s">
        <v>2668</v>
      </c>
      <c r="C714" t="s">
        <v>74</v>
      </c>
      <c r="D714" t="s">
        <v>74</v>
      </c>
      <c r="E714" t="s">
        <v>74</v>
      </c>
      <c r="F714" t="s">
        <v>2669</v>
      </c>
      <c r="G714" t="s">
        <v>74</v>
      </c>
      <c r="H714" t="s">
        <v>74</v>
      </c>
      <c r="I714" t="s">
        <v>2670</v>
      </c>
      <c r="J714" t="s">
        <v>610</v>
      </c>
      <c r="K714" t="s">
        <v>74</v>
      </c>
      <c r="L714" t="s">
        <v>74</v>
      </c>
      <c r="M714" t="s">
        <v>74</v>
      </c>
      <c r="N714" t="s">
        <v>74</v>
      </c>
      <c r="O714" t="s">
        <v>74</v>
      </c>
      <c r="P714" t="s">
        <v>74</v>
      </c>
      <c r="Q714" t="s">
        <v>74</v>
      </c>
      <c r="R714" t="s">
        <v>74</v>
      </c>
      <c r="S714" t="s">
        <v>74</v>
      </c>
      <c r="T714" t="s">
        <v>74</v>
      </c>
      <c r="U714" t="s">
        <v>74</v>
      </c>
      <c r="V714" s="3" t="s">
        <v>2671</v>
      </c>
      <c r="W714" t="s">
        <v>74</v>
      </c>
      <c r="X714" t="s">
        <v>74</v>
      </c>
      <c r="Y714" t="s">
        <v>74</v>
      </c>
      <c r="Z714" t="s">
        <v>74</v>
      </c>
      <c r="AA714" t="s">
        <v>74</v>
      </c>
      <c r="AB714" t="s">
        <v>74</v>
      </c>
      <c r="AC714" t="s">
        <v>74</v>
      </c>
      <c r="AD714" t="s">
        <v>74</v>
      </c>
      <c r="AE714" t="s">
        <v>74</v>
      </c>
      <c r="AF714" t="s">
        <v>74</v>
      </c>
      <c r="AG714" t="s">
        <v>74</v>
      </c>
      <c r="AH714" t="s">
        <v>74</v>
      </c>
      <c r="AI714" t="s">
        <v>74</v>
      </c>
      <c r="AJ714" t="s">
        <v>74</v>
      </c>
      <c r="AK714" t="s">
        <v>74</v>
      </c>
      <c r="AL714" t="s">
        <v>74</v>
      </c>
      <c r="AM714" t="s">
        <v>74</v>
      </c>
      <c r="AN714" t="s">
        <v>74</v>
      </c>
      <c r="AO714" t="s">
        <v>614</v>
      </c>
      <c r="AP714" t="s">
        <v>615</v>
      </c>
      <c r="AQ714" t="s">
        <v>74</v>
      </c>
      <c r="AR714" t="s">
        <v>74</v>
      </c>
      <c r="AS714" t="s">
        <v>74</v>
      </c>
      <c r="AT714" t="s">
        <v>352</v>
      </c>
      <c r="AU714">
        <v>2012</v>
      </c>
      <c r="AV714">
        <v>118</v>
      </c>
      <c r="AW714">
        <v>9</v>
      </c>
      <c r="AX714" t="s">
        <v>74</v>
      </c>
      <c r="AY714" t="s">
        <v>74</v>
      </c>
      <c r="AZ714" t="s">
        <v>74</v>
      </c>
      <c r="BA714" t="s">
        <v>74</v>
      </c>
      <c r="BB714">
        <v>906</v>
      </c>
      <c r="BC714">
        <v>916</v>
      </c>
      <c r="BD714" t="s">
        <v>74</v>
      </c>
      <c r="BE714" t="s">
        <v>2672</v>
      </c>
      <c r="BF714" t="str">
        <f>HYPERLINK("http://dx.doi.org/10.1111/j.1439-0310.2012.02079.x","http://dx.doi.org/10.1111/j.1439-0310.2012.02079.x")</f>
        <v>http://dx.doi.org/10.1111/j.1439-0310.2012.02079.x</v>
      </c>
      <c r="BG714" t="s">
        <v>74</v>
      </c>
      <c r="BH714" t="s">
        <v>74</v>
      </c>
      <c r="BI714" t="s">
        <v>74</v>
      </c>
      <c r="BJ714" t="s">
        <v>74</v>
      </c>
      <c r="BK714" t="s">
        <v>74</v>
      </c>
      <c r="BL714" t="s">
        <v>74</v>
      </c>
      <c r="BM714" t="s">
        <v>74</v>
      </c>
      <c r="BN714" t="s">
        <v>74</v>
      </c>
      <c r="BO714" t="s">
        <v>74</v>
      </c>
      <c r="BP714" t="s">
        <v>74</v>
      </c>
      <c r="BQ714" t="s">
        <v>74</v>
      </c>
      <c r="BR714" t="s">
        <v>74</v>
      </c>
      <c r="BS714" t="s">
        <v>2673</v>
      </c>
      <c r="BT714" t="str">
        <f>HYPERLINK("https%3A%2F%2Fwww.webofscience.com%2Fwos%2Fwoscc%2Ffull-record%2FWOS:000306734400012","View Full Record in Web of Science")</f>
        <v>View Full Record in Web of Science</v>
      </c>
    </row>
    <row r="715" spans="1:72" x14ac:dyDescent="0.4">
      <c r="A715" t="s">
        <v>72</v>
      </c>
      <c r="B715" t="s">
        <v>2668</v>
      </c>
      <c r="C715" t="s">
        <v>74</v>
      </c>
      <c r="D715" t="s">
        <v>74</v>
      </c>
      <c r="E715" t="s">
        <v>74</v>
      </c>
      <c r="F715" t="s">
        <v>2669</v>
      </c>
      <c r="G715" t="s">
        <v>74</v>
      </c>
      <c r="H715" t="s">
        <v>74</v>
      </c>
      <c r="I715" t="s">
        <v>4726</v>
      </c>
      <c r="J715" t="s">
        <v>4727</v>
      </c>
      <c r="K715" t="s">
        <v>74</v>
      </c>
      <c r="L715" t="s">
        <v>74</v>
      </c>
      <c r="M715" t="s">
        <v>74</v>
      </c>
      <c r="N715" t="s">
        <v>74</v>
      </c>
      <c r="O715" t="s">
        <v>74</v>
      </c>
      <c r="P715" t="s">
        <v>74</v>
      </c>
      <c r="Q715" t="s">
        <v>74</v>
      </c>
      <c r="R715" t="s">
        <v>74</v>
      </c>
      <c r="S715" t="s">
        <v>74</v>
      </c>
      <c r="T715" t="s">
        <v>74</v>
      </c>
      <c r="U715" t="s">
        <v>74</v>
      </c>
      <c r="V715" s="3" t="s">
        <v>4728</v>
      </c>
      <c r="W715" t="s">
        <v>74</v>
      </c>
      <c r="X715" t="s">
        <v>74</v>
      </c>
      <c r="Y715" t="s">
        <v>74</v>
      </c>
      <c r="Z715" t="s">
        <v>74</v>
      </c>
      <c r="AA715" t="s">
        <v>74</v>
      </c>
      <c r="AB715" t="s">
        <v>4729</v>
      </c>
      <c r="AC715" t="s">
        <v>74</v>
      </c>
      <c r="AD715" t="s">
        <v>74</v>
      </c>
      <c r="AE715" t="s">
        <v>74</v>
      </c>
      <c r="AF715" t="s">
        <v>74</v>
      </c>
      <c r="AG715" t="s">
        <v>74</v>
      </c>
      <c r="AH715" t="s">
        <v>74</v>
      </c>
      <c r="AI715" t="s">
        <v>74</v>
      </c>
      <c r="AJ715" t="s">
        <v>74</v>
      </c>
      <c r="AK715" t="s">
        <v>74</v>
      </c>
      <c r="AL715" t="s">
        <v>74</v>
      </c>
      <c r="AM715" t="s">
        <v>74</v>
      </c>
      <c r="AN715" t="s">
        <v>74</v>
      </c>
      <c r="AO715" t="s">
        <v>74</v>
      </c>
      <c r="AP715" t="s">
        <v>4730</v>
      </c>
      <c r="AQ715" t="s">
        <v>74</v>
      </c>
      <c r="AR715" t="s">
        <v>74</v>
      </c>
      <c r="AS715" t="s">
        <v>74</v>
      </c>
      <c r="AT715" t="s">
        <v>305</v>
      </c>
      <c r="AU715">
        <v>2021</v>
      </c>
      <c r="AV715">
        <v>2</v>
      </c>
      <c r="AW715">
        <v>4</v>
      </c>
      <c r="AX715" t="s">
        <v>74</v>
      </c>
      <c r="AY715" t="s">
        <v>74</v>
      </c>
      <c r="AZ715" t="s">
        <v>74</v>
      </c>
      <c r="BA715" t="s">
        <v>74</v>
      </c>
      <c r="BB715">
        <v>404</v>
      </c>
      <c r="BC715">
        <v>414</v>
      </c>
      <c r="BD715" t="s">
        <v>74</v>
      </c>
      <c r="BE715" t="s">
        <v>4731</v>
      </c>
      <c r="BF715" t="str">
        <f>HYPERLINK("http://dx.doi.org/10.3390/birds2040030","http://dx.doi.org/10.3390/birds2040030")</f>
        <v>http://dx.doi.org/10.3390/birds2040030</v>
      </c>
      <c r="BG715" t="s">
        <v>74</v>
      </c>
      <c r="BH715" t="s">
        <v>74</v>
      </c>
      <c r="BI715" t="s">
        <v>74</v>
      </c>
      <c r="BJ715" t="s">
        <v>74</v>
      </c>
      <c r="BK715" t="s">
        <v>74</v>
      </c>
      <c r="BL715" t="s">
        <v>74</v>
      </c>
      <c r="BM715" t="s">
        <v>74</v>
      </c>
      <c r="BN715" t="s">
        <v>74</v>
      </c>
      <c r="BO715" t="s">
        <v>74</v>
      </c>
      <c r="BP715" t="s">
        <v>74</v>
      </c>
      <c r="BQ715" t="s">
        <v>74</v>
      </c>
      <c r="BR715" t="s">
        <v>74</v>
      </c>
      <c r="BS715" t="s">
        <v>4732</v>
      </c>
      <c r="BT715" t="str">
        <f>HYPERLINK("https%3A%2F%2Fwww.webofscience.com%2Fwos%2Fwoscc%2Ffull-record%2FWOS:001123340900001","View Full Record in Web of Science")</f>
        <v>View Full Record in Web of Science</v>
      </c>
    </row>
    <row r="716" spans="1:72" x14ac:dyDescent="0.4">
      <c r="A716" t="s">
        <v>72</v>
      </c>
      <c r="B716" t="s">
        <v>2547</v>
      </c>
      <c r="C716" t="s">
        <v>74</v>
      </c>
      <c r="D716" t="s">
        <v>74</v>
      </c>
      <c r="E716" t="s">
        <v>74</v>
      </c>
      <c r="F716" t="s">
        <v>2548</v>
      </c>
      <c r="G716" t="s">
        <v>74</v>
      </c>
      <c r="H716" t="s">
        <v>74</v>
      </c>
      <c r="I716" t="s">
        <v>2549</v>
      </c>
      <c r="J716" t="s">
        <v>2550</v>
      </c>
      <c r="K716" t="s">
        <v>74</v>
      </c>
      <c r="L716" t="s">
        <v>74</v>
      </c>
      <c r="M716" t="s">
        <v>74</v>
      </c>
      <c r="N716" t="s">
        <v>74</v>
      </c>
      <c r="O716" t="s">
        <v>74</v>
      </c>
      <c r="P716" t="s">
        <v>74</v>
      </c>
      <c r="Q716" t="s">
        <v>74</v>
      </c>
      <c r="R716" t="s">
        <v>74</v>
      </c>
      <c r="S716" t="s">
        <v>74</v>
      </c>
      <c r="T716" t="s">
        <v>74</v>
      </c>
      <c r="U716" t="s">
        <v>74</v>
      </c>
      <c r="V716" s="3" t="s">
        <v>2551</v>
      </c>
      <c r="W716" t="s">
        <v>74</v>
      </c>
      <c r="X716" t="s">
        <v>74</v>
      </c>
      <c r="Y716" t="s">
        <v>74</v>
      </c>
      <c r="Z716" t="s">
        <v>74</v>
      </c>
      <c r="AA716" t="s">
        <v>2552</v>
      </c>
      <c r="AB716" t="s">
        <v>2553</v>
      </c>
      <c r="AC716" t="s">
        <v>74</v>
      </c>
      <c r="AD716" t="s">
        <v>74</v>
      </c>
      <c r="AE716" t="s">
        <v>74</v>
      </c>
      <c r="AF716" t="s">
        <v>74</v>
      </c>
      <c r="AG716" t="s">
        <v>74</v>
      </c>
      <c r="AH716" t="s">
        <v>74</v>
      </c>
      <c r="AI716" t="s">
        <v>74</v>
      </c>
      <c r="AJ716" t="s">
        <v>74</v>
      </c>
      <c r="AK716" t="s">
        <v>74</v>
      </c>
      <c r="AL716" t="s">
        <v>74</v>
      </c>
      <c r="AM716" t="s">
        <v>74</v>
      </c>
      <c r="AN716" t="s">
        <v>74</v>
      </c>
      <c r="AO716" t="s">
        <v>2554</v>
      </c>
      <c r="AP716" t="s">
        <v>74</v>
      </c>
      <c r="AQ716" t="s">
        <v>74</v>
      </c>
      <c r="AR716" t="s">
        <v>74</v>
      </c>
      <c r="AS716" t="s">
        <v>74</v>
      </c>
      <c r="AT716" t="s">
        <v>633</v>
      </c>
      <c r="AU716">
        <v>2008</v>
      </c>
      <c r="AV716">
        <v>31</v>
      </c>
      <c r="AW716">
        <v>5</v>
      </c>
      <c r="AX716" t="s">
        <v>74</v>
      </c>
      <c r="AY716" t="s">
        <v>74</v>
      </c>
      <c r="AZ716" t="s">
        <v>74</v>
      </c>
      <c r="BA716" t="s">
        <v>74</v>
      </c>
      <c r="BB716">
        <v>557</v>
      </c>
      <c r="BC716">
        <v>560</v>
      </c>
      <c r="BD716" t="s">
        <v>74</v>
      </c>
      <c r="BE716" t="s">
        <v>2555</v>
      </c>
      <c r="BF716" t="str">
        <f>HYPERLINK("http://dx.doi.org/10.1007/s00300-007-0387-7","http://dx.doi.org/10.1007/s00300-007-0387-7")</f>
        <v>http://dx.doi.org/10.1007/s00300-007-0387-7</v>
      </c>
      <c r="BG716" t="s">
        <v>74</v>
      </c>
      <c r="BH716" t="s">
        <v>74</v>
      </c>
      <c r="BI716" t="s">
        <v>74</v>
      </c>
      <c r="BJ716" t="s">
        <v>74</v>
      </c>
      <c r="BK716" t="s">
        <v>74</v>
      </c>
      <c r="BL716" t="s">
        <v>74</v>
      </c>
      <c r="BM716" t="s">
        <v>74</v>
      </c>
      <c r="BN716" t="s">
        <v>74</v>
      </c>
      <c r="BO716" t="s">
        <v>74</v>
      </c>
      <c r="BP716" t="s">
        <v>74</v>
      </c>
      <c r="BQ716" t="s">
        <v>74</v>
      </c>
      <c r="BR716" t="s">
        <v>74</v>
      </c>
      <c r="BS716" t="s">
        <v>2556</v>
      </c>
      <c r="BT716" t="str">
        <f>HYPERLINK("https%3A%2F%2Fwww.webofscience.com%2Fwos%2Fwoscc%2Ffull-record%2FWOS:000254486900004","View Full Record in Web of Science")</f>
        <v>View Full Record in Web of Science</v>
      </c>
    </row>
    <row r="717" spans="1:72" x14ac:dyDescent="0.4">
      <c r="A717" t="s">
        <v>72</v>
      </c>
      <c r="B717" t="s">
        <v>2812</v>
      </c>
      <c r="C717" t="s">
        <v>74</v>
      </c>
      <c r="D717" t="s">
        <v>74</v>
      </c>
      <c r="E717" t="s">
        <v>74</v>
      </c>
      <c r="F717" t="s">
        <v>2813</v>
      </c>
      <c r="G717" t="s">
        <v>74</v>
      </c>
      <c r="H717" t="s">
        <v>74</v>
      </c>
      <c r="I717" t="s">
        <v>2814</v>
      </c>
      <c r="J717" t="s">
        <v>1755</v>
      </c>
      <c r="K717" t="s">
        <v>74</v>
      </c>
      <c r="L717" t="s">
        <v>74</v>
      </c>
      <c r="M717" t="s">
        <v>74</v>
      </c>
      <c r="N717" t="s">
        <v>74</v>
      </c>
      <c r="O717" t="s">
        <v>74</v>
      </c>
      <c r="P717" t="s">
        <v>74</v>
      </c>
      <c r="Q717" t="s">
        <v>74</v>
      </c>
      <c r="R717" t="s">
        <v>74</v>
      </c>
      <c r="S717" t="s">
        <v>74</v>
      </c>
      <c r="T717" t="s">
        <v>74</v>
      </c>
      <c r="U717" t="s">
        <v>74</v>
      </c>
      <c r="V717" s="3" t="s">
        <v>2815</v>
      </c>
      <c r="W717" t="s">
        <v>74</v>
      </c>
      <c r="X717" t="s">
        <v>74</v>
      </c>
      <c r="Y717" t="s">
        <v>74</v>
      </c>
      <c r="Z717" t="s">
        <v>74</v>
      </c>
      <c r="AA717" t="s">
        <v>2816</v>
      </c>
      <c r="AB717" t="s">
        <v>2817</v>
      </c>
      <c r="AC717" t="s">
        <v>74</v>
      </c>
      <c r="AD717" t="s">
        <v>74</v>
      </c>
      <c r="AE717" t="s">
        <v>74</v>
      </c>
      <c r="AF717" t="s">
        <v>74</v>
      </c>
      <c r="AG717" t="s">
        <v>74</v>
      </c>
      <c r="AH717" t="s">
        <v>74</v>
      </c>
      <c r="AI717" t="s">
        <v>74</v>
      </c>
      <c r="AJ717" t="s">
        <v>74</v>
      </c>
      <c r="AK717" t="s">
        <v>74</v>
      </c>
      <c r="AL717" t="s">
        <v>74</v>
      </c>
      <c r="AM717" t="s">
        <v>74</v>
      </c>
      <c r="AN717" t="s">
        <v>74</v>
      </c>
      <c r="AO717" t="s">
        <v>1759</v>
      </c>
      <c r="AP717" t="s">
        <v>1760</v>
      </c>
      <c r="AQ717" t="s">
        <v>74</v>
      </c>
      <c r="AR717" t="s">
        <v>74</v>
      </c>
      <c r="AS717" t="s">
        <v>74</v>
      </c>
      <c r="AT717" t="s">
        <v>123</v>
      </c>
      <c r="AU717">
        <v>2015</v>
      </c>
      <c r="AV717">
        <v>28</v>
      </c>
      <c r="AW717">
        <v>2</v>
      </c>
      <c r="AX717" t="s">
        <v>74</v>
      </c>
      <c r="AY717" t="s">
        <v>74</v>
      </c>
      <c r="AZ717" t="s">
        <v>74</v>
      </c>
      <c r="BA717" t="s">
        <v>74</v>
      </c>
      <c r="BB717">
        <v>175</v>
      </c>
      <c r="BC717">
        <v>182</v>
      </c>
      <c r="BD717" t="s">
        <v>74</v>
      </c>
      <c r="BE717" t="s">
        <v>2818</v>
      </c>
      <c r="BF717" t="str">
        <f>HYPERLINK("http://dx.doi.org/10.1007/s10905-015-9487-3","http://dx.doi.org/10.1007/s10905-015-9487-3")</f>
        <v>http://dx.doi.org/10.1007/s10905-015-9487-3</v>
      </c>
      <c r="BG717" t="s">
        <v>74</v>
      </c>
      <c r="BH717" t="s">
        <v>74</v>
      </c>
      <c r="BI717" t="s">
        <v>74</v>
      </c>
      <c r="BJ717" t="s">
        <v>74</v>
      </c>
      <c r="BK717" t="s">
        <v>74</v>
      </c>
      <c r="BL717" t="s">
        <v>74</v>
      </c>
      <c r="BM717" t="s">
        <v>74</v>
      </c>
      <c r="BN717" t="s">
        <v>74</v>
      </c>
      <c r="BO717" t="s">
        <v>74</v>
      </c>
      <c r="BP717" t="s">
        <v>74</v>
      </c>
      <c r="BQ717" t="s">
        <v>74</v>
      </c>
      <c r="BR717" t="s">
        <v>74</v>
      </c>
      <c r="BS717" t="s">
        <v>2819</v>
      </c>
      <c r="BT717" t="str">
        <f>HYPERLINK("https%3A%2F%2Fwww.webofscience.com%2Fwos%2Fwoscc%2Ffull-record%2FWOS:000351525100009","View Full Record in Web of Science")</f>
        <v>View Full Record in Web of Science</v>
      </c>
    </row>
    <row r="718" spans="1:72" x14ac:dyDescent="0.4">
      <c r="A718" t="s">
        <v>72</v>
      </c>
      <c r="B718" t="s">
        <v>5587</v>
      </c>
      <c r="C718" t="s">
        <v>74</v>
      </c>
      <c r="D718" t="s">
        <v>74</v>
      </c>
      <c r="E718" t="s">
        <v>74</v>
      </c>
      <c r="F718" t="s">
        <v>5588</v>
      </c>
      <c r="G718" t="s">
        <v>74</v>
      </c>
      <c r="H718" t="s">
        <v>74</v>
      </c>
      <c r="I718" t="s">
        <v>5589</v>
      </c>
      <c r="J718" t="s">
        <v>431</v>
      </c>
      <c r="K718" t="s">
        <v>74</v>
      </c>
      <c r="L718" t="s">
        <v>74</v>
      </c>
      <c r="M718" t="s">
        <v>74</v>
      </c>
      <c r="N718" t="s">
        <v>74</v>
      </c>
      <c r="O718" t="s">
        <v>74</v>
      </c>
      <c r="P718" t="s">
        <v>74</v>
      </c>
      <c r="Q718" t="s">
        <v>74</v>
      </c>
      <c r="R718" t="s">
        <v>74</v>
      </c>
      <c r="S718" t="s">
        <v>74</v>
      </c>
      <c r="T718" t="s">
        <v>74</v>
      </c>
      <c r="U718" t="s">
        <v>74</v>
      </c>
      <c r="V718" s="3" t="s">
        <v>5590</v>
      </c>
      <c r="W718" t="s">
        <v>74</v>
      </c>
      <c r="X718" t="s">
        <v>74</v>
      </c>
      <c r="Y718" t="s">
        <v>74</v>
      </c>
      <c r="Z718" t="s">
        <v>74</v>
      </c>
      <c r="AA718" t="s">
        <v>5591</v>
      </c>
      <c r="AB718" t="s">
        <v>5592</v>
      </c>
      <c r="AC718" t="s">
        <v>74</v>
      </c>
      <c r="AD718" t="s">
        <v>74</v>
      </c>
      <c r="AE718" t="s">
        <v>74</v>
      </c>
      <c r="AF718" t="s">
        <v>74</v>
      </c>
      <c r="AG718" t="s">
        <v>74</v>
      </c>
      <c r="AH718" t="s">
        <v>74</v>
      </c>
      <c r="AI718" t="s">
        <v>74</v>
      </c>
      <c r="AJ718" t="s">
        <v>74</v>
      </c>
      <c r="AK718" t="s">
        <v>74</v>
      </c>
      <c r="AL718" t="s">
        <v>74</v>
      </c>
      <c r="AM718" t="s">
        <v>74</v>
      </c>
      <c r="AN718" t="s">
        <v>74</v>
      </c>
      <c r="AO718" t="s">
        <v>1458</v>
      </c>
      <c r="AP718" t="s">
        <v>435</v>
      </c>
      <c r="AQ718" t="s">
        <v>74</v>
      </c>
      <c r="AR718" t="s">
        <v>74</v>
      </c>
      <c r="AS718" t="s">
        <v>74</v>
      </c>
      <c r="AT718" t="s">
        <v>175</v>
      </c>
      <c r="AU718">
        <v>2007</v>
      </c>
      <c r="AV718">
        <v>124</v>
      </c>
      <c r="AW718">
        <v>4</v>
      </c>
      <c r="AX718" t="s">
        <v>74</v>
      </c>
      <c r="AY718" t="s">
        <v>74</v>
      </c>
      <c r="AZ718" t="s">
        <v>74</v>
      </c>
      <c r="BA718" t="s">
        <v>74</v>
      </c>
      <c r="BB718">
        <v>1330</v>
      </c>
      <c r="BC718">
        <v>1335</v>
      </c>
      <c r="BD718" t="s">
        <v>74</v>
      </c>
      <c r="BE718" t="s">
        <v>5593</v>
      </c>
      <c r="BF718" t="str">
        <f>HYPERLINK("http://dx.doi.org/10.1642/0004-8038(2007)124[1330:AGATDP]2.0.CO;2","http://dx.doi.org/10.1642/0004-8038(2007)124[1330:AGATDP]2.0.CO;2")</f>
        <v>http://dx.doi.org/10.1642/0004-8038(2007)124[1330:AGATDP]2.0.CO;2</v>
      </c>
      <c r="BG718" t="s">
        <v>74</v>
      </c>
      <c r="BH718" t="s">
        <v>74</v>
      </c>
      <c r="BI718" t="s">
        <v>74</v>
      </c>
      <c r="BJ718" t="s">
        <v>74</v>
      </c>
      <c r="BK718" t="s">
        <v>74</v>
      </c>
      <c r="BL718" t="s">
        <v>74</v>
      </c>
      <c r="BM718" t="s">
        <v>74</v>
      </c>
      <c r="BN718" t="s">
        <v>74</v>
      </c>
      <c r="BO718" t="s">
        <v>74</v>
      </c>
      <c r="BP718" t="s">
        <v>74</v>
      </c>
      <c r="BQ718" t="s">
        <v>74</v>
      </c>
      <c r="BR718" t="s">
        <v>74</v>
      </c>
      <c r="BS718" t="s">
        <v>5594</v>
      </c>
      <c r="BT718" t="str">
        <f>HYPERLINK("https%3A%2F%2Fwww.webofscience.com%2Fwos%2Fwoscc%2Ffull-record%2FWOS:000251446100017","View Full Record in Web of Science")</f>
        <v>View Full Record in Web of Science</v>
      </c>
    </row>
    <row r="719" spans="1:72" x14ac:dyDescent="0.4">
      <c r="A719" t="s">
        <v>72</v>
      </c>
      <c r="B719" t="s">
        <v>3368</v>
      </c>
      <c r="C719" t="s">
        <v>74</v>
      </c>
      <c r="D719" t="s">
        <v>74</v>
      </c>
      <c r="E719" t="s">
        <v>74</v>
      </c>
      <c r="F719" t="s">
        <v>3368</v>
      </c>
      <c r="G719" t="s">
        <v>74</v>
      </c>
      <c r="H719" t="s">
        <v>74</v>
      </c>
      <c r="I719" t="s">
        <v>3369</v>
      </c>
      <c r="J719" t="s">
        <v>201</v>
      </c>
      <c r="K719" t="s">
        <v>74</v>
      </c>
      <c r="L719" t="s">
        <v>74</v>
      </c>
      <c r="M719" t="s">
        <v>74</v>
      </c>
      <c r="N719" t="s">
        <v>74</v>
      </c>
      <c r="O719" t="s">
        <v>74</v>
      </c>
      <c r="P719" t="s">
        <v>74</v>
      </c>
      <c r="Q719" t="s">
        <v>74</v>
      </c>
      <c r="R719" t="s">
        <v>74</v>
      </c>
      <c r="S719" t="s">
        <v>74</v>
      </c>
      <c r="T719" t="s">
        <v>74</v>
      </c>
      <c r="U719" t="s">
        <v>74</v>
      </c>
      <c r="V719" s="3" t="s">
        <v>3370</v>
      </c>
      <c r="W719" t="s">
        <v>74</v>
      </c>
      <c r="X719" t="s">
        <v>74</v>
      </c>
      <c r="Y719" t="s">
        <v>74</v>
      </c>
      <c r="Z719" t="s">
        <v>74</v>
      </c>
      <c r="AA719" t="s">
        <v>74</v>
      </c>
      <c r="AB719" t="s">
        <v>74</v>
      </c>
      <c r="AC719" t="s">
        <v>74</v>
      </c>
      <c r="AD719" t="s">
        <v>74</v>
      </c>
      <c r="AE719" t="s">
        <v>74</v>
      </c>
      <c r="AF719" t="s">
        <v>74</v>
      </c>
      <c r="AG719" t="s">
        <v>74</v>
      </c>
      <c r="AH719" t="s">
        <v>74</v>
      </c>
      <c r="AI719" t="s">
        <v>74</v>
      </c>
      <c r="AJ719" t="s">
        <v>74</v>
      </c>
      <c r="AK719" t="s">
        <v>74</v>
      </c>
      <c r="AL719" t="s">
        <v>74</v>
      </c>
      <c r="AM719" t="s">
        <v>74</v>
      </c>
      <c r="AN719" t="s">
        <v>74</v>
      </c>
      <c r="AO719" t="s">
        <v>203</v>
      </c>
      <c r="AP719" t="s">
        <v>74</v>
      </c>
      <c r="AQ719" t="s">
        <v>74</v>
      </c>
      <c r="AR719" t="s">
        <v>74</v>
      </c>
      <c r="AS719" t="s">
        <v>74</v>
      </c>
      <c r="AT719" t="s">
        <v>352</v>
      </c>
      <c r="AU719">
        <v>1996</v>
      </c>
      <c r="AV719">
        <v>49</v>
      </c>
      <c r="AW719">
        <v>3</v>
      </c>
      <c r="AX719" t="s">
        <v>74</v>
      </c>
      <c r="AY719" t="s">
        <v>74</v>
      </c>
      <c r="AZ719" t="s">
        <v>74</v>
      </c>
      <c r="BA719" t="s">
        <v>74</v>
      </c>
      <c r="BB719">
        <v>494</v>
      </c>
      <c r="BC719">
        <v>500</v>
      </c>
      <c r="BD719" t="s">
        <v>74</v>
      </c>
      <c r="BE719" t="s">
        <v>74</v>
      </c>
      <c r="BF719" t="s">
        <v>74</v>
      </c>
      <c r="BG719" t="s">
        <v>74</v>
      </c>
      <c r="BH719" t="s">
        <v>74</v>
      </c>
      <c r="BI719" t="s">
        <v>74</v>
      </c>
      <c r="BJ719" t="s">
        <v>74</v>
      </c>
      <c r="BK719" t="s">
        <v>74</v>
      </c>
      <c r="BL719" t="s">
        <v>74</v>
      </c>
      <c r="BM719" t="s">
        <v>74</v>
      </c>
      <c r="BN719" t="s">
        <v>74</v>
      </c>
      <c r="BO719" t="s">
        <v>74</v>
      </c>
      <c r="BP719" t="s">
        <v>74</v>
      </c>
      <c r="BQ719" t="s">
        <v>74</v>
      </c>
      <c r="BR719" t="s">
        <v>74</v>
      </c>
      <c r="BS719" t="s">
        <v>3371</v>
      </c>
      <c r="BT719" t="str">
        <f>HYPERLINK("https%3A%2F%2Fwww.webofscience.com%2Fwos%2Fwoscc%2Ffull-record%2FWOS:A1996VQ32100010","View Full Record in Web of Science")</f>
        <v>View Full Record in Web of Science</v>
      </c>
    </row>
    <row r="720" spans="1:72" x14ac:dyDescent="0.4">
      <c r="A720" t="s">
        <v>72</v>
      </c>
      <c r="B720" t="s">
        <v>3586</v>
      </c>
      <c r="C720" t="s">
        <v>74</v>
      </c>
      <c r="D720" t="s">
        <v>74</v>
      </c>
      <c r="E720" t="s">
        <v>74</v>
      </c>
      <c r="F720" t="s">
        <v>3587</v>
      </c>
      <c r="G720" t="s">
        <v>74</v>
      </c>
      <c r="H720" t="s">
        <v>74</v>
      </c>
      <c r="I720" t="s">
        <v>3588</v>
      </c>
      <c r="J720" t="s">
        <v>814</v>
      </c>
      <c r="K720" t="s">
        <v>74</v>
      </c>
      <c r="L720" t="s">
        <v>74</v>
      </c>
      <c r="M720" t="s">
        <v>74</v>
      </c>
      <c r="N720" t="s">
        <v>74</v>
      </c>
      <c r="O720" t="s">
        <v>74</v>
      </c>
      <c r="P720" t="s">
        <v>74</v>
      </c>
      <c r="Q720" t="s">
        <v>74</v>
      </c>
      <c r="R720" t="s">
        <v>74</v>
      </c>
      <c r="S720" t="s">
        <v>74</v>
      </c>
      <c r="T720" t="s">
        <v>74</v>
      </c>
      <c r="U720" t="s">
        <v>74</v>
      </c>
      <c r="V720" s="3" t="s">
        <v>3589</v>
      </c>
      <c r="W720" t="s">
        <v>74</v>
      </c>
      <c r="X720" t="s">
        <v>74</v>
      </c>
      <c r="Y720" t="s">
        <v>74</v>
      </c>
      <c r="Z720" t="s">
        <v>74</v>
      </c>
      <c r="AA720" t="s">
        <v>74</v>
      </c>
      <c r="AB720" t="s">
        <v>74</v>
      </c>
      <c r="AC720" t="s">
        <v>74</v>
      </c>
      <c r="AD720" t="s">
        <v>74</v>
      </c>
      <c r="AE720" t="s">
        <v>74</v>
      </c>
      <c r="AF720" t="s">
        <v>74</v>
      </c>
      <c r="AG720" t="s">
        <v>74</v>
      </c>
      <c r="AH720" t="s">
        <v>74</v>
      </c>
      <c r="AI720" t="s">
        <v>74</v>
      </c>
      <c r="AJ720" t="s">
        <v>74</v>
      </c>
      <c r="AK720" t="s">
        <v>74</v>
      </c>
      <c r="AL720" t="s">
        <v>74</v>
      </c>
      <c r="AM720" t="s">
        <v>74</v>
      </c>
      <c r="AN720" t="s">
        <v>74</v>
      </c>
      <c r="AO720" t="s">
        <v>818</v>
      </c>
      <c r="AP720" t="s">
        <v>1505</v>
      </c>
      <c r="AQ720" t="s">
        <v>74</v>
      </c>
      <c r="AR720" t="s">
        <v>74</v>
      </c>
      <c r="AS720" t="s">
        <v>74</v>
      </c>
      <c r="AT720" t="s">
        <v>305</v>
      </c>
      <c r="AU720">
        <v>2023</v>
      </c>
      <c r="AV720">
        <v>161</v>
      </c>
      <c r="AW720" t="s">
        <v>74</v>
      </c>
      <c r="AX720" t="s">
        <v>74</v>
      </c>
      <c r="AY720" t="s">
        <v>74</v>
      </c>
      <c r="AZ720" t="s">
        <v>74</v>
      </c>
      <c r="BA720" t="s">
        <v>74</v>
      </c>
      <c r="BB720" t="s">
        <v>74</v>
      </c>
      <c r="BC720" t="s">
        <v>74</v>
      </c>
      <c r="BD720">
        <v>126128</v>
      </c>
      <c r="BE720" t="s">
        <v>3590</v>
      </c>
      <c r="BF720" t="str">
        <f>HYPERLINK("http://dx.doi.org/10.1016/j.zool.2023.126128","http://dx.doi.org/10.1016/j.zool.2023.126128")</f>
        <v>http://dx.doi.org/10.1016/j.zool.2023.126128</v>
      </c>
      <c r="BG720" t="s">
        <v>74</v>
      </c>
      <c r="BH720" t="s">
        <v>902</v>
      </c>
      <c r="BI720" t="s">
        <v>74</v>
      </c>
      <c r="BJ720" t="s">
        <v>74</v>
      </c>
      <c r="BK720" t="s">
        <v>74</v>
      </c>
      <c r="BL720" t="s">
        <v>74</v>
      </c>
      <c r="BM720" t="s">
        <v>74</v>
      </c>
      <c r="BN720">
        <v>37839289</v>
      </c>
      <c r="BO720" t="s">
        <v>74</v>
      </c>
      <c r="BP720" t="s">
        <v>74</v>
      </c>
      <c r="BQ720" t="s">
        <v>74</v>
      </c>
      <c r="BR720" t="s">
        <v>74</v>
      </c>
      <c r="BS720" t="s">
        <v>3591</v>
      </c>
      <c r="BT720" t="str">
        <f>HYPERLINK("https%3A%2F%2Fwww.webofscience.com%2Fwos%2Fwoscc%2Ffull-record%2FWOS:001098666600001","View Full Record in Web of Science")</f>
        <v>View Full Record in Web of Science</v>
      </c>
    </row>
    <row r="721" spans="1:72" x14ac:dyDescent="0.4">
      <c r="A721" t="s">
        <v>72</v>
      </c>
      <c r="B721" t="s">
        <v>4673</v>
      </c>
      <c r="C721" t="s">
        <v>74</v>
      </c>
      <c r="D721" t="s">
        <v>74</v>
      </c>
      <c r="E721" t="s">
        <v>74</v>
      </c>
      <c r="F721" t="s">
        <v>4673</v>
      </c>
      <c r="G721" t="s">
        <v>74</v>
      </c>
      <c r="H721" t="s">
        <v>74</v>
      </c>
      <c r="I721" t="s">
        <v>4674</v>
      </c>
      <c r="J721" t="s">
        <v>1755</v>
      </c>
      <c r="K721" t="s">
        <v>74</v>
      </c>
      <c r="L721" t="s">
        <v>74</v>
      </c>
      <c r="M721" t="s">
        <v>74</v>
      </c>
      <c r="N721" t="s">
        <v>74</v>
      </c>
      <c r="O721" t="s">
        <v>74</v>
      </c>
      <c r="P721" t="s">
        <v>74</v>
      </c>
      <c r="Q721" t="s">
        <v>74</v>
      </c>
      <c r="R721" t="s">
        <v>74</v>
      </c>
      <c r="S721" t="s">
        <v>74</v>
      </c>
      <c r="T721" t="s">
        <v>74</v>
      </c>
      <c r="U721" t="s">
        <v>74</v>
      </c>
      <c r="V721" s="3" t="s">
        <v>4675</v>
      </c>
      <c r="W721" t="s">
        <v>74</v>
      </c>
      <c r="X721" t="s">
        <v>74</v>
      </c>
      <c r="Y721" t="s">
        <v>74</v>
      </c>
      <c r="Z721" t="s">
        <v>74</v>
      </c>
      <c r="AA721" t="s">
        <v>2989</v>
      </c>
      <c r="AB721" t="s">
        <v>4093</v>
      </c>
      <c r="AC721" t="s">
        <v>74</v>
      </c>
      <c r="AD721" t="s">
        <v>74</v>
      </c>
      <c r="AE721" t="s">
        <v>74</v>
      </c>
      <c r="AF721" t="s">
        <v>74</v>
      </c>
      <c r="AG721" t="s">
        <v>74</v>
      </c>
      <c r="AH721" t="s">
        <v>74</v>
      </c>
      <c r="AI721" t="s">
        <v>74</v>
      </c>
      <c r="AJ721" t="s">
        <v>74</v>
      </c>
      <c r="AK721" t="s">
        <v>74</v>
      </c>
      <c r="AL721" t="s">
        <v>74</v>
      </c>
      <c r="AM721" t="s">
        <v>74</v>
      </c>
      <c r="AN721" t="s">
        <v>74</v>
      </c>
      <c r="AO721" t="s">
        <v>1759</v>
      </c>
      <c r="AP721" t="s">
        <v>1760</v>
      </c>
      <c r="AQ721" t="s">
        <v>74</v>
      </c>
      <c r="AR721" t="s">
        <v>74</v>
      </c>
      <c r="AS721" t="s">
        <v>74</v>
      </c>
      <c r="AT721" t="s">
        <v>213</v>
      </c>
      <c r="AU721">
        <v>1999</v>
      </c>
      <c r="AV721">
        <v>12</v>
      </c>
      <c r="AW721">
        <v>6</v>
      </c>
      <c r="AX721" t="s">
        <v>74</v>
      </c>
      <c r="AY721" t="s">
        <v>74</v>
      </c>
      <c r="AZ721" t="s">
        <v>74</v>
      </c>
      <c r="BA721" t="s">
        <v>74</v>
      </c>
      <c r="BB721">
        <v>801</v>
      </c>
      <c r="BC721">
        <v>814</v>
      </c>
      <c r="BD721" t="s">
        <v>74</v>
      </c>
      <c r="BE721" t="s">
        <v>4676</v>
      </c>
      <c r="BF721" t="str">
        <f>HYPERLINK("http://dx.doi.org/10.1023/A:1020957110842","http://dx.doi.org/10.1023/A:1020957110842")</f>
        <v>http://dx.doi.org/10.1023/A:1020957110842</v>
      </c>
      <c r="BG721" t="s">
        <v>74</v>
      </c>
      <c r="BH721" t="s">
        <v>74</v>
      </c>
      <c r="BI721" t="s">
        <v>74</v>
      </c>
      <c r="BJ721" t="s">
        <v>74</v>
      </c>
      <c r="BK721" t="s">
        <v>74</v>
      </c>
      <c r="BL721" t="s">
        <v>74</v>
      </c>
      <c r="BM721" t="s">
        <v>74</v>
      </c>
      <c r="BN721" t="s">
        <v>74</v>
      </c>
      <c r="BO721" t="s">
        <v>74</v>
      </c>
      <c r="BP721" t="s">
        <v>74</v>
      </c>
      <c r="BQ721" t="s">
        <v>74</v>
      </c>
      <c r="BR721" t="s">
        <v>74</v>
      </c>
      <c r="BS721" t="s">
        <v>4677</v>
      </c>
      <c r="BT721" t="str">
        <f>HYPERLINK("https%3A%2F%2Fwww.webofscience.com%2Fwos%2Fwoscc%2Ffull-record%2FWOS:000087352400006","View Full Record in Web of Science")</f>
        <v>View Full Record in Web of Science</v>
      </c>
    </row>
    <row r="722" spans="1:72" x14ac:dyDescent="0.4">
      <c r="A722" t="s">
        <v>72</v>
      </c>
      <c r="B722" t="s">
        <v>4957</v>
      </c>
      <c r="C722" t="s">
        <v>74</v>
      </c>
      <c r="D722" t="s">
        <v>74</v>
      </c>
      <c r="E722" t="s">
        <v>74</v>
      </c>
      <c r="F722" t="s">
        <v>4958</v>
      </c>
      <c r="G722" t="s">
        <v>74</v>
      </c>
      <c r="H722" t="s">
        <v>74</v>
      </c>
      <c r="I722" t="s">
        <v>4959</v>
      </c>
      <c r="J722" t="s">
        <v>367</v>
      </c>
      <c r="K722" t="s">
        <v>74</v>
      </c>
      <c r="L722" t="s">
        <v>74</v>
      </c>
      <c r="M722" t="s">
        <v>74</v>
      </c>
      <c r="N722" t="s">
        <v>74</v>
      </c>
      <c r="O722" t="s">
        <v>74</v>
      </c>
      <c r="P722" t="s">
        <v>74</v>
      </c>
      <c r="Q722" t="s">
        <v>74</v>
      </c>
      <c r="R722" t="s">
        <v>74</v>
      </c>
      <c r="S722" t="s">
        <v>74</v>
      </c>
      <c r="T722" t="s">
        <v>74</v>
      </c>
      <c r="U722" t="s">
        <v>74</v>
      </c>
      <c r="V722" s="3" t="s">
        <v>4960</v>
      </c>
      <c r="W722" t="s">
        <v>74</v>
      </c>
      <c r="X722" t="s">
        <v>74</v>
      </c>
      <c r="Y722" t="s">
        <v>74</v>
      </c>
      <c r="Z722" t="s">
        <v>74</v>
      </c>
      <c r="AA722" t="s">
        <v>74</v>
      </c>
      <c r="AB722" t="s">
        <v>4961</v>
      </c>
      <c r="AC722" t="s">
        <v>74</v>
      </c>
      <c r="AD722" t="s">
        <v>74</v>
      </c>
      <c r="AE722" t="s">
        <v>74</v>
      </c>
      <c r="AF722" t="s">
        <v>74</v>
      </c>
      <c r="AG722" t="s">
        <v>74</v>
      </c>
      <c r="AH722" t="s">
        <v>74</v>
      </c>
      <c r="AI722" t="s">
        <v>74</v>
      </c>
      <c r="AJ722" t="s">
        <v>74</v>
      </c>
      <c r="AK722" t="s">
        <v>74</v>
      </c>
      <c r="AL722" t="s">
        <v>74</v>
      </c>
      <c r="AM722" t="s">
        <v>74</v>
      </c>
      <c r="AN722" t="s">
        <v>74</v>
      </c>
      <c r="AO722" t="s">
        <v>371</v>
      </c>
      <c r="AP722" t="s">
        <v>372</v>
      </c>
      <c r="AQ722" t="s">
        <v>74</v>
      </c>
      <c r="AR722" t="s">
        <v>74</v>
      </c>
      <c r="AS722" t="s">
        <v>74</v>
      </c>
      <c r="AT722" t="s">
        <v>213</v>
      </c>
      <c r="AU722">
        <v>2016</v>
      </c>
      <c r="AV722">
        <v>130</v>
      </c>
      <c r="AW722">
        <v>4</v>
      </c>
      <c r="AX722" t="s">
        <v>74</v>
      </c>
      <c r="AY722" t="s">
        <v>74</v>
      </c>
      <c r="AZ722" t="s">
        <v>74</v>
      </c>
      <c r="BA722" t="s">
        <v>74</v>
      </c>
      <c r="BB722">
        <v>328</v>
      </c>
      <c r="BC722">
        <v>340</v>
      </c>
      <c r="BD722" t="s">
        <v>74</v>
      </c>
      <c r="BE722" t="s">
        <v>4962</v>
      </c>
      <c r="BF722" t="str">
        <f>HYPERLINK("http://dx.doi.org/10.1037/com0000039","http://dx.doi.org/10.1037/com0000039")</f>
        <v>http://dx.doi.org/10.1037/com0000039</v>
      </c>
      <c r="BG722" t="s">
        <v>74</v>
      </c>
      <c r="BH722" t="s">
        <v>74</v>
      </c>
      <c r="BI722" t="s">
        <v>74</v>
      </c>
      <c r="BJ722" t="s">
        <v>74</v>
      </c>
      <c r="BK722" t="s">
        <v>74</v>
      </c>
      <c r="BL722" t="s">
        <v>74</v>
      </c>
      <c r="BM722" t="s">
        <v>74</v>
      </c>
      <c r="BN722">
        <v>27359074</v>
      </c>
      <c r="BO722" t="s">
        <v>74</v>
      </c>
      <c r="BP722" t="s">
        <v>74</v>
      </c>
      <c r="BQ722" t="s">
        <v>74</v>
      </c>
      <c r="BR722" t="s">
        <v>74</v>
      </c>
      <c r="BS722" t="s">
        <v>4963</v>
      </c>
      <c r="BT722" t="str">
        <f>HYPERLINK("https%3A%2F%2Fwww.webofscience.com%2Fwos%2Fwoscc%2Ffull-record%2FWOS:000388497000004","View Full Record in Web of Science")</f>
        <v>View Full Record in Web of Science</v>
      </c>
    </row>
    <row r="723" spans="1:72" x14ac:dyDescent="0.4">
      <c r="A723" t="s">
        <v>72</v>
      </c>
      <c r="B723" t="s">
        <v>8568</v>
      </c>
      <c r="C723" t="s">
        <v>74</v>
      </c>
      <c r="D723" t="s">
        <v>74</v>
      </c>
      <c r="E723" t="s">
        <v>74</v>
      </c>
      <c r="F723" t="s">
        <v>8569</v>
      </c>
      <c r="G723" t="s">
        <v>74</v>
      </c>
      <c r="H723" t="s">
        <v>74</v>
      </c>
      <c r="I723" t="s">
        <v>8570</v>
      </c>
      <c r="J723" t="s">
        <v>2662</v>
      </c>
      <c r="K723" t="s">
        <v>74</v>
      </c>
      <c r="L723" t="s">
        <v>74</v>
      </c>
      <c r="M723" t="s">
        <v>74</v>
      </c>
      <c r="N723" t="s">
        <v>74</v>
      </c>
      <c r="O723" t="s">
        <v>74</v>
      </c>
      <c r="P723" t="s">
        <v>74</v>
      </c>
      <c r="Q723" t="s">
        <v>74</v>
      </c>
      <c r="R723" t="s">
        <v>74</v>
      </c>
      <c r="S723" t="s">
        <v>74</v>
      </c>
      <c r="T723" t="s">
        <v>74</v>
      </c>
      <c r="U723" t="s">
        <v>74</v>
      </c>
      <c r="V723" s="3" t="s">
        <v>8571</v>
      </c>
      <c r="W723" t="s">
        <v>74</v>
      </c>
      <c r="X723" t="s">
        <v>74</v>
      </c>
      <c r="Y723" t="s">
        <v>74</v>
      </c>
      <c r="Z723" t="s">
        <v>74</v>
      </c>
      <c r="AA723" t="s">
        <v>8572</v>
      </c>
      <c r="AB723" t="s">
        <v>8573</v>
      </c>
      <c r="AC723" t="s">
        <v>74</v>
      </c>
      <c r="AD723" t="s">
        <v>74</v>
      </c>
      <c r="AE723" t="s">
        <v>74</v>
      </c>
      <c r="AF723" t="s">
        <v>74</v>
      </c>
      <c r="AG723" t="s">
        <v>74</v>
      </c>
      <c r="AH723" t="s">
        <v>74</v>
      </c>
      <c r="AI723" t="s">
        <v>74</v>
      </c>
      <c r="AJ723" t="s">
        <v>74</v>
      </c>
      <c r="AK723" t="s">
        <v>74</v>
      </c>
      <c r="AL723" t="s">
        <v>74</v>
      </c>
      <c r="AM723" t="s">
        <v>74</v>
      </c>
      <c r="AN723" t="s">
        <v>74</v>
      </c>
      <c r="AO723" t="s">
        <v>2664</v>
      </c>
      <c r="AP723" t="s">
        <v>2665</v>
      </c>
      <c r="AQ723" t="s">
        <v>74</v>
      </c>
      <c r="AR723" t="s">
        <v>74</v>
      </c>
      <c r="AS723" t="s">
        <v>74</v>
      </c>
      <c r="AT723" t="s">
        <v>305</v>
      </c>
      <c r="AU723">
        <v>2020</v>
      </c>
      <c r="AV723">
        <v>54</v>
      </c>
      <c r="AW723">
        <v>4</v>
      </c>
      <c r="AX723" t="s">
        <v>74</v>
      </c>
      <c r="AY723" t="s">
        <v>74</v>
      </c>
      <c r="AZ723" t="s">
        <v>74</v>
      </c>
      <c r="BA723" t="s">
        <v>74</v>
      </c>
      <c r="BB723">
        <v>364</v>
      </c>
      <c r="BC723">
        <v>375</v>
      </c>
      <c r="BD723" t="s">
        <v>74</v>
      </c>
      <c r="BE723" t="s">
        <v>8574</v>
      </c>
      <c r="BF723" t="str">
        <f>HYPERLINK("http://dx.doi.org/10.3356/0892-1016-54.4.364","http://dx.doi.org/10.3356/0892-1016-54.4.364")</f>
        <v>http://dx.doi.org/10.3356/0892-1016-54.4.364</v>
      </c>
      <c r="BG723" t="s">
        <v>74</v>
      </c>
      <c r="BH723" t="s">
        <v>74</v>
      </c>
      <c r="BI723" t="s">
        <v>74</v>
      </c>
      <c r="BJ723" t="s">
        <v>74</v>
      </c>
      <c r="BK723" t="s">
        <v>74</v>
      </c>
      <c r="BL723" t="s">
        <v>74</v>
      </c>
      <c r="BM723" t="s">
        <v>74</v>
      </c>
      <c r="BN723" t="s">
        <v>74</v>
      </c>
      <c r="BO723" t="s">
        <v>74</v>
      </c>
      <c r="BP723" t="s">
        <v>74</v>
      </c>
      <c r="BQ723" t="s">
        <v>74</v>
      </c>
      <c r="BR723" t="s">
        <v>74</v>
      </c>
      <c r="BS723" t="s">
        <v>8575</v>
      </c>
      <c r="BT723" t="str">
        <f>HYPERLINK("https%3A%2F%2Fwww.webofscience.com%2Fwos%2Fwoscc%2Ffull-record%2FWOS:000604780200003","View Full Record in Web of Science")</f>
        <v>View Full Record in Web of Science</v>
      </c>
    </row>
    <row r="724" spans="1:72" x14ac:dyDescent="0.4">
      <c r="A724" t="s">
        <v>72</v>
      </c>
      <c r="B724" t="s">
        <v>4426</v>
      </c>
      <c r="C724" t="s">
        <v>74</v>
      </c>
      <c r="D724" t="s">
        <v>74</v>
      </c>
      <c r="E724" t="s">
        <v>74</v>
      </c>
      <c r="F724" t="s">
        <v>4427</v>
      </c>
      <c r="G724" t="s">
        <v>74</v>
      </c>
      <c r="H724" t="s">
        <v>74</v>
      </c>
      <c r="I724" t="s">
        <v>4428</v>
      </c>
      <c r="J724" t="s">
        <v>1995</v>
      </c>
      <c r="K724" t="s">
        <v>74</v>
      </c>
      <c r="L724" t="s">
        <v>74</v>
      </c>
      <c r="M724" t="s">
        <v>74</v>
      </c>
      <c r="N724" t="s">
        <v>74</v>
      </c>
      <c r="O724" t="s">
        <v>74</v>
      </c>
      <c r="P724" t="s">
        <v>74</v>
      </c>
      <c r="Q724" t="s">
        <v>74</v>
      </c>
      <c r="R724" t="s">
        <v>74</v>
      </c>
      <c r="S724" t="s">
        <v>74</v>
      </c>
      <c r="T724" t="s">
        <v>74</v>
      </c>
      <c r="U724" t="s">
        <v>74</v>
      </c>
      <c r="V724" s="3" t="s">
        <v>4429</v>
      </c>
      <c r="W724" t="s">
        <v>74</v>
      </c>
      <c r="X724" t="s">
        <v>74</v>
      </c>
      <c r="Y724" t="s">
        <v>74</v>
      </c>
      <c r="Z724" t="s">
        <v>74</v>
      </c>
      <c r="AA724" t="s">
        <v>74</v>
      </c>
      <c r="AB724" t="s">
        <v>74</v>
      </c>
      <c r="AC724" t="s">
        <v>74</v>
      </c>
      <c r="AD724" t="s">
        <v>74</v>
      </c>
      <c r="AE724" t="s">
        <v>74</v>
      </c>
      <c r="AF724" t="s">
        <v>74</v>
      </c>
      <c r="AG724" t="s">
        <v>74</v>
      </c>
      <c r="AH724" t="s">
        <v>74</v>
      </c>
      <c r="AI724" t="s">
        <v>74</v>
      </c>
      <c r="AJ724" t="s">
        <v>74</v>
      </c>
      <c r="AK724" t="s">
        <v>74</v>
      </c>
      <c r="AL724" t="s">
        <v>74</v>
      </c>
      <c r="AM724" t="s">
        <v>74</v>
      </c>
      <c r="AN724" t="s">
        <v>74</v>
      </c>
      <c r="AO724" t="s">
        <v>1997</v>
      </c>
      <c r="AP724" t="s">
        <v>3917</v>
      </c>
      <c r="AQ724" t="s">
        <v>74</v>
      </c>
      <c r="AR724" t="s">
        <v>74</v>
      </c>
      <c r="AS724" t="s">
        <v>74</v>
      </c>
      <c r="AT724" t="s">
        <v>145</v>
      </c>
      <c r="AU724">
        <v>2023</v>
      </c>
      <c r="AV724">
        <v>94</v>
      </c>
      <c r="AW724">
        <v>3</v>
      </c>
      <c r="AX724" t="s">
        <v>74</v>
      </c>
      <c r="AY724" t="s">
        <v>74</v>
      </c>
      <c r="AZ724" t="s">
        <v>74</v>
      </c>
      <c r="BA724" t="s">
        <v>74</v>
      </c>
      <c r="BB724" t="s">
        <v>74</v>
      </c>
      <c r="BC724" t="s">
        <v>74</v>
      </c>
      <c r="BD724">
        <v>7</v>
      </c>
      <c r="BE724" t="s">
        <v>4430</v>
      </c>
      <c r="BF724" t="str">
        <f>HYPERLINK("http://dx.doi.org/10.5751/JFO-00288-940307","http://dx.doi.org/10.5751/JFO-00288-940307")</f>
        <v>http://dx.doi.org/10.5751/JFO-00288-940307</v>
      </c>
      <c r="BG724" t="s">
        <v>74</v>
      </c>
      <c r="BH724" t="s">
        <v>74</v>
      </c>
      <c r="BI724" t="s">
        <v>74</v>
      </c>
      <c r="BJ724" t="s">
        <v>74</v>
      </c>
      <c r="BK724" t="s">
        <v>74</v>
      </c>
      <c r="BL724" t="s">
        <v>74</v>
      </c>
      <c r="BM724" t="s">
        <v>74</v>
      </c>
      <c r="BN724" t="s">
        <v>74</v>
      </c>
      <c r="BO724" t="s">
        <v>74</v>
      </c>
      <c r="BP724" t="s">
        <v>74</v>
      </c>
      <c r="BQ724" t="s">
        <v>74</v>
      </c>
      <c r="BR724" t="s">
        <v>74</v>
      </c>
      <c r="BS724" t="s">
        <v>4431</v>
      </c>
      <c r="BT724" t="str">
        <f>HYPERLINK("https%3A%2F%2Fwww.webofscience.com%2Fwos%2Fwoscc%2Ffull-record%2FWOS:001041634300001","View Full Record in Web of Science")</f>
        <v>View Full Record in Web of Science</v>
      </c>
    </row>
    <row r="725" spans="1:72" x14ac:dyDescent="0.4">
      <c r="A725" t="s">
        <v>72</v>
      </c>
      <c r="B725" t="s">
        <v>1291</v>
      </c>
      <c r="C725" t="s">
        <v>74</v>
      </c>
      <c r="D725" t="s">
        <v>74</v>
      </c>
      <c r="E725" t="s">
        <v>74</v>
      </c>
      <c r="F725" t="s">
        <v>1292</v>
      </c>
      <c r="G725" t="s">
        <v>74</v>
      </c>
      <c r="H725" t="s">
        <v>74</v>
      </c>
      <c r="I725" t="s">
        <v>1293</v>
      </c>
      <c r="J725" t="s">
        <v>108</v>
      </c>
      <c r="K725" t="s">
        <v>74</v>
      </c>
      <c r="L725" t="s">
        <v>74</v>
      </c>
      <c r="M725" t="s">
        <v>74</v>
      </c>
      <c r="N725" t="s">
        <v>74</v>
      </c>
      <c r="O725" t="s">
        <v>74</v>
      </c>
      <c r="P725" t="s">
        <v>74</v>
      </c>
      <c r="Q725" t="s">
        <v>74</v>
      </c>
      <c r="R725" t="s">
        <v>74</v>
      </c>
      <c r="S725" t="s">
        <v>74</v>
      </c>
      <c r="T725" t="s">
        <v>74</v>
      </c>
      <c r="U725" t="s">
        <v>74</v>
      </c>
      <c r="V725" s="3" t="s">
        <v>1294</v>
      </c>
      <c r="W725" t="s">
        <v>74</v>
      </c>
      <c r="X725" t="s">
        <v>74</v>
      </c>
      <c r="Y725" t="s">
        <v>74</v>
      </c>
      <c r="Z725" t="s">
        <v>74</v>
      </c>
      <c r="AA725" t="s">
        <v>1295</v>
      </c>
      <c r="AB725" t="s">
        <v>1296</v>
      </c>
      <c r="AC725" t="s">
        <v>74</v>
      </c>
      <c r="AD725" t="s">
        <v>74</v>
      </c>
      <c r="AE725" t="s">
        <v>74</v>
      </c>
      <c r="AF725" t="s">
        <v>74</v>
      </c>
      <c r="AG725" t="s">
        <v>74</v>
      </c>
      <c r="AH725" t="s">
        <v>74</v>
      </c>
      <c r="AI725" t="s">
        <v>74</v>
      </c>
      <c r="AJ725" t="s">
        <v>74</v>
      </c>
      <c r="AK725" t="s">
        <v>74</v>
      </c>
      <c r="AL725" t="s">
        <v>74</v>
      </c>
      <c r="AM725" t="s">
        <v>74</v>
      </c>
      <c r="AN725" t="s">
        <v>74</v>
      </c>
      <c r="AO725" t="s">
        <v>111</v>
      </c>
      <c r="AP725" t="s">
        <v>74</v>
      </c>
      <c r="AQ725" t="s">
        <v>74</v>
      </c>
      <c r="AR725" t="s">
        <v>74</v>
      </c>
      <c r="AS725" t="s">
        <v>74</v>
      </c>
      <c r="AT725" t="s">
        <v>924</v>
      </c>
      <c r="AU725">
        <v>2009</v>
      </c>
      <c r="AV725">
        <v>276</v>
      </c>
      <c r="AW725">
        <v>1675</v>
      </c>
      <c r="AX725" t="s">
        <v>74</v>
      </c>
      <c r="AY725" t="s">
        <v>74</v>
      </c>
      <c r="AZ725" t="s">
        <v>74</v>
      </c>
      <c r="BA725" t="s">
        <v>74</v>
      </c>
      <c r="BB725">
        <v>3989</v>
      </c>
      <c r="BC725">
        <v>3993</v>
      </c>
      <c r="BD725" t="s">
        <v>74</v>
      </c>
      <c r="BE725" t="s">
        <v>1297</v>
      </c>
      <c r="BF725" t="str">
        <f>HYPERLINK("http://dx.doi.org/10.1098/rspb.2009.1219","http://dx.doi.org/10.1098/rspb.2009.1219")</f>
        <v>http://dx.doi.org/10.1098/rspb.2009.1219</v>
      </c>
      <c r="BG725" t="s">
        <v>74</v>
      </c>
      <c r="BH725" t="s">
        <v>74</v>
      </c>
      <c r="BI725" t="s">
        <v>74</v>
      </c>
      <c r="BJ725" t="s">
        <v>74</v>
      </c>
      <c r="BK725" t="s">
        <v>74</v>
      </c>
      <c r="BL725" t="s">
        <v>74</v>
      </c>
      <c r="BM725" t="s">
        <v>74</v>
      </c>
      <c r="BN725">
        <v>19710067</v>
      </c>
      <c r="BO725" t="s">
        <v>74</v>
      </c>
      <c r="BP725" t="s">
        <v>74</v>
      </c>
      <c r="BQ725" t="s">
        <v>74</v>
      </c>
      <c r="BR725" t="s">
        <v>74</v>
      </c>
      <c r="BS725" t="s">
        <v>1298</v>
      </c>
      <c r="BT725" t="str">
        <f>HYPERLINK("https%3A%2F%2Fwww.webofscience.com%2Fwos%2Fwoscc%2Ffull-record%2FWOS:000270665100010","View Full Record in Web of Science")</f>
        <v>View Full Record in Web of Science</v>
      </c>
    </row>
    <row r="726" spans="1:72" x14ac:dyDescent="0.4">
      <c r="A726" t="s">
        <v>72</v>
      </c>
      <c r="B726" t="s">
        <v>2627</v>
      </c>
      <c r="C726" t="s">
        <v>74</v>
      </c>
      <c r="D726" t="s">
        <v>74</v>
      </c>
      <c r="E726" t="s">
        <v>74</v>
      </c>
      <c r="F726" t="s">
        <v>2627</v>
      </c>
      <c r="G726" t="s">
        <v>74</v>
      </c>
      <c r="H726" t="s">
        <v>74</v>
      </c>
      <c r="I726" t="s">
        <v>2628</v>
      </c>
      <c r="J726" t="s">
        <v>2629</v>
      </c>
      <c r="K726" t="s">
        <v>74</v>
      </c>
      <c r="L726" t="s">
        <v>74</v>
      </c>
      <c r="M726" t="s">
        <v>74</v>
      </c>
      <c r="N726" t="s">
        <v>74</v>
      </c>
      <c r="O726" t="s">
        <v>74</v>
      </c>
      <c r="P726" t="s">
        <v>74</v>
      </c>
      <c r="Q726" t="s">
        <v>74</v>
      </c>
      <c r="R726" t="s">
        <v>74</v>
      </c>
      <c r="S726" t="s">
        <v>74</v>
      </c>
      <c r="T726" t="s">
        <v>74</v>
      </c>
      <c r="U726" t="s">
        <v>74</v>
      </c>
      <c r="V726" s="3" t="s">
        <v>2630</v>
      </c>
      <c r="W726" t="s">
        <v>74</v>
      </c>
      <c r="X726" t="s">
        <v>74</v>
      </c>
      <c r="Y726" t="s">
        <v>74</v>
      </c>
      <c r="Z726" t="s">
        <v>74</v>
      </c>
      <c r="AA726" t="s">
        <v>2631</v>
      </c>
      <c r="AB726" t="s">
        <v>74</v>
      </c>
      <c r="AC726" t="s">
        <v>74</v>
      </c>
      <c r="AD726" t="s">
        <v>74</v>
      </c>
      <c r="AE726" t="s">
        <v>74</v>
      </c>
      <c r="AF726" t="s">
        <v>74</v>
      </c>
      <c r="AG726" t="s">
        <v>74</v>
      </c>
      <c r="AH726" t="s">
        <v>74</v>
      </c>
      <c r="AI726" t="s">
        <v>74</v>
      </c>
      <c r="AJ726" t="s">
        <v>74</v>
      </c>
      <c r="AK726" t="s">
        <v>74</v>
      </c>
      <c r="AL726" t="s">
        <v>74</v>
      </c>
      <c r="AM726" t="s">
        <v>74</v>
      </c>
      <c r="AN726" t="s">
        <v>74</v>
      </c>
      <c r="AO726" t="s">
        <v>2632</v>
      </c>
      <c r="AP726" t="s">
        <v>2633</v>
      </c>
      <c r="AQ726" t="s">
        <v>74</v>
      </c>
      <c r="AR726" t="s">
        <v>74</v>
      </c>
      <c r="AS726" t="s">
        <v>74</v>
      </c>
      <c r="AT726" t="s">
        <v>74</v>
      </c>
      <c r="AU726">
        <v>1990</v>
      </c>
      <c r="AV726">
        <v>38</v>
      </c>
      <c r="AW726">
        <v>2</v>
      </c>
      <c r="AX726" t="s">
        <v>74</v>
      </c>
      <c r="AY726" t="s">
        <v>74</v>
      </c>
      <c r="AZ726" t="s">
        <v>74</v>
      </c>
      <c r="BA726" t="s">
        <v>74</v>
      </c>
      <c r="BB726">
        <v>117</v>
      </c>
      <c r="BC726">
        <v>130</v>
      </c>
      <c r="BD726" t="s">
        <v>74</v>
      </c>
      <c r="BE726" t="s">
        <v>2634</v>
      </c>
      <c r="BF726" t="str">
        <f>HYPERLINK("http://dx.doi.org/10.1071/ZO9900117","http://dx.doi.org/10.1071/ZO9900117")</f>
        <v>http://dx.doi.org/10.1071/ZO9900117</v>
      </c>
      <c r="BG726" t="s">
        <v>74</v>
      </c>
      <c r="BH726" t="s">
        <v>74</v>
      </c>
      <c r="BI726" t="s">
        <v>74</v>
      </c>
      <c r="BJ726" t="s">
        <v>74</v>
      </c>
      <c r="BK726" t="s">
        <v>74</v>
      </c>
      <c r="BL726" t="s">
        <v>74</v>
      </c>
      <c r="BM726" t="s">
        <v>74</v>
      </c>
      <c r="BN726" t="s">
        <v>74</v>
      </c>
      <c r="BO726" t="s">
        <v>74</v>
      </c>
      <c r="BP726" t="s">
        <v>74</v>
      </c>
      <c r="BQ726" t="s">
        <v>74</v>
      </c>
      <c r="BR726" t="s">
        <v>74</v>
      </c>
      <c r="BS726" t="s">
        <v>2635</v>
      </c>
      <c r="BT726" t="str">
        <f>HYPERLINK("https%3A%2F%2Fwww.webofscience.com%2Fwos%2Fwoscc%2Ffull-record%2FWOS:A1990ED59400002","View Full Record in Web of Science")</f>
        <v>View Full Record in Web of Science</v>
      </c>
    </row>
    <row r="727" spans="1:72" x14ac:dyDescent="0.4">
      <c r="A727" t="s">
        <v>72</v>
      </c>
      <c r="B727" t="s">
        <v>5355</v>
      </c>
      <c r="C727" t="s">
        <v>74</v>
      </c>
      <c r="D727" t="s">
        <v>74</v>
      </c>
      <c r="E727" t="s">
        <v>74</v>
      </c>
      <c r="F727" t="s">
        <v>5355</v>
      </c>
      <c r="G727" t="s">
        <v>74</v>
      </c>
      <c r="H727" t="s">
        <v>74</v>
      </c>
      <c r="I727" t="s">
        <v>5356</v>
      </c>
      <c r="J727" t="s">
        <v>5357</v>
      </c>
      <c r="K727" t="s">
        <v>74</v>
      </c>
      <c r="L727" t="s">
        <v>74</v>
      </c>
      <c r="M727" t="s">
        <v>74</v>
      </c>
      <c r="N727" t="s">
        <v>74</v>
      </c>
      <c r="O727" t="s">
        <v>74</v>
      </c>
      <c r="P727" t="s">
        <v>74</v>
      </c>
      <c r="Q727" t="s">
        <v>74</v>
      </c>
      <c r="R727" t="s">
        <v>74</v>
      </c>
      <c r="S727" t="s">
        <v>74</v>
      </c>
      <c r="T727" t="s">
        <v>74</v>
      </c>
      <c r="U727" t="s">
        <v>74</v>
      </c>
      <c r="V727" s="3" t="s">
        <v>5358</v>
      </c>
      <c r="W727" t="s">
        <v>74</v>
      </c>
      <c r="X727" t="s">
        <v>74</v>
      </c>
      <c r="Y727" t="s">
        <v>74</v>
      </c>
      <c r="Z727" t="s">
        <v>74</v>
      </c>
      <c r="AA727" t="s">
        <v>74</v>
      </c>
      <c r="AB727" t="s">
        <v>74</v>
      </c>
      <c r="AC727" t="s">
        <v>74</v>
      </c>
      <c r="AD727" t="s">
        <v>74</v>
      </c>
      <c r="AE727" t="s">
        <v>74</v>
      </c>
      <c r="AF727" t="s">
        <v>74</v>
      </c>
      <c r="AG727" t="s">
        <v>74</v>
      </c>
      <c r="AH727" t="s">
        <v>74</v>
      </c>
      <c r="AI727" t="s">
        <v>74</v>
      </c>
      <c r="AJ727" t="s">
        <v>74</v>
      </c>
      <c r="AK727" t="s">
        <v>74</v>
      </c>
      <c r="AL727" t="s">
        <v>74</v>
      </c>
      <c r="AM727" t="s">
        <v>74</v>
      </c>
      <c r="AN727" t="s">
        <v>74</v>
      </c>
      <c r="AO727" t="s">
        <v>5359</v>
      </c>
      <c r="AP727" t="s">
        <v>5360</v>
      </c>
      <c r="AQ727" t="s">
        <v>74</v>
      </c>
      <c r="AR727" t="s">
        <v>74</v>
      </c>
      <c r="AS727" t="s">
        <v>74</v>
      </c>
      <c r="AT727" t="s">
        <v>74</v>
      </c>
      <c r="AU727">
        <v>2001</v>
      </c>
      <c r="AV727">
        <v>16</v>
      </c>
      <c r="AW727" t="s">
        <v>548</v>
      </c>
      <c r="AX727" t="s">
        <v>74</v>
      </c>
      <c r="AY727" t="s">
        <v>74</v>
      </c>
      <c r="AZ727" t="s">
        <v>74</v>
      </c>
      <c r="BA727" t="s">
        <v>74</v>
      </c>
      <c r="BB727">
        <v>13</v>
      </c>
      <c r="BC727">
        <v>20</v>
      </c>
      <c r="BD727" t="s">
        <v>74</v>
      </c>
      <c r="BE727" t="s">
        <v>74</v>
      </c>
      <c r="BF727" t="s">
        <v>74</v>
      </c>
      <c r="BG727" t="s">
        <v>74</v>
      </c>
      <c r="BH727" t="s">
        <v>74</v>
      </c>
      <c r="BI727" t="s">
        <v>74</v>
      </c>
      <c r="BJ727" t="s">
        <v>74</v>
      </c>
      <c r="BK727" t="s">
        <v>74</v>
      </c>
      <c r="BL727" t="s">
        <v>74</v>
      </c>
      <c r="BM727" t="s">
        <v>74</v>
      </c>
      <c r="BN727" t="s">
        <v>74</v>
      </c>
      <c r="BO727" t="s">
        <v>74</v>
      </c>
      <c r="BP727" t="s">
        <v>74</v>
      </c>
      <c r="BQ727" t="s">
        <v>74</v>
      </c>
      <c r="BR727" t="s">
        <v>74</v>
      </c>
      <c r="BS727" t="s">
        <v>5361</v>
      </c>
      <c r="BT727" t="str">
        <f>HYPERLINK("https%3A%2F%2Fwww.webofscience.com%2Fwos%2Fwoscc%2Ffull-record%2FWOS:000180542900002","View Full Record in Web of Science")</f>
        <v>View Full Record in Web of Science</v>
      </c>
    </row>
    <row r="728" spans="1:72" x14ac:dyDescent="0.4">
      <c r="A728" t="s">
        <v>72</v>
      </c>
      <c r="B728" t="s">
        <v>5969</v>
      </c>
      <c r="C728" t="s">
        <v>74</v>
      </c>
      <c r="D728" t="s">
        <v>74</v>
      </c>
      <c r="E728" t="s">
        <v>74</v>
      </c>
      <c r="F728" t="s">
        <v>5970</v>
      </c>
      <c r="G728" t="s">
        <v>74</v>
      </c>
      <c r="H728" t="s">
        <v>74</v>
      </c>
      <c r="I728" t="s">
        <v>5971</v>
      </c>
      <c r="J728" t="s">
        <v>5972</v>
      </c>
      <c r="K728" t="s">
        <v>74</v>
      </c>
      <c r="L728" t="s">
        <v>74</v>
      </c>
      <c r="M728" t="s">
        <v>74</v>
      </c>
      <c r="N728" t="s">
        <v>74</v>
      </c>
      <c r="O728" t="s">
        <v>74</v>
      </c>
      <c r="P728" t="s">
        <v>74</v>
      </c>
      <c r="Q728" t="s">
        <v>74</v>
      </c>
      <c r="R728" t="s">
        <v>74</v>
      </c>
      <c r="S728" t="s">
        <v>74</v>
      </c>
      <c r="T728" t="s">
        <v>74</v>
      </c>
      <c r="U728" t="s">
        <v>74</v>
      </c>
      <c r="V728" s="3" t="s">
        <v>5973</v>
      </c>
      <c r="W728" t="s">
        <v>74</v>
      </c>
      <c r="X728" t="s">
        <v>74</v>
      </c>
      <c r="Y728" t="s">
        <v>74</v>
      </c>
      <c r="Z728" t="s">
        <v>74</v>
      </c>
      <c r="AA728" t="s">
        <v>74</v>
      </c>
      <c r="AB728" t="s">
        <v>5974</v>
      </c>
      <c r="AC728" t="s">
        <v>74</v>
      </c>
      <c r="AD728" t="s">
        <v>74</v>
      </c>
      <c r="AE728" t="s">
        <v>74</v>
      </c>
      <c r="AF728" t="s">
        <v>74</v>
      </c>
      <c r="AG728" t="s">
        <v>74</v>
      </c>
      <c r="AH728" t="s">
        <v>74</v>
      </c>
      <c r="AI728" t="s">
        <v>74</v>
      </c>
      <c r="AJ728" t="s">
        <v>74</v>
      </c>
      <c r="AK728" t="s">
        <v>74</v>
      </c>
      <c r="AL728" t="s">
        <v>74</v>
      </c>
      <c r="AM728" t="s">
        <v>74</v>
      </c>
      <c r="AN728" t="s">
        <v>74</v>
      </c>
      <c r="AO728" t="s">
        <v>5975</v>
      </c>
      <c r="AP728" t="s">
        <v>74</v>
      </c>
      <c r="AQ728" t="s">
        <v>74</v>
      </c>
      <c r="AR728" t="s">
        <v>74</v>
      </c>
      <c r="AS728" t="s">
        <v>74</v>
      </c>
      <c r="AT728" t="s">
        <v>74</v>
      </c>
      <c r="AU728">
        <v>2017</v>
      </c>
      <c r="AV728">
        <v>93</v>
      </c>
      <c r="AW728">
        <v>1</v>
      </c>
      <c r="AX728" t="s">
        <v>74</v>
      </c>
      <c r="AY728" t="s">
        <v>74</v>
      </c>
      <c r="AZ728" t="s">
        <v>74</v>
      </c>
      <c r="BA728" t="s">
        <v>74</v>
      </c>
      <c r="BB728">
        <v>95</v>
      </c>
      <c r="BC728">
        <v>104</v>
      </c>
      <c r="BD728" t="s">
        <v>74</v>
      </c>
      <c r="BE728" t="s">
        <v>5976</v>
      </c>
      <c r="BF728" t="str">
        <f>HYPERLINK("http://dx.doi.org/10.3897/zse.93.10794","http://dx.doi.org/10.3897/zse.93.10794")</f>
        <v>http://dx.doi.org/10.3897/zse.93.10794</v>
      </c>
      <c r="BG728" t="s">
        <v>74</v>
      </c>
      <c r="BH728" t="s">
        <v>74</v>
      </c>
      <c r="BI728" t="s">
        <v>74</v>
      </c>
      <c r="BJ728" t="s">
        <v>74</v>
      </c>
      <c r="BK728" t="s">
        <v>74</v>
      </c>
      <c r="BL728" t="s">
        <v>74</v>
      </c>
      <c r="BM728" t="s">
        <v>74</v>
      </c>
      <c r="BN728" t="s">
        <v>74</v>
      </c>
      <c r="BO728" t="s">
        <v>74</v>
      </c>
      <c r="BP728" t="s">
        <v>74</v>
      </c>
      <c r="BQ728" t="s">
        <v>74</v>
      </c>
      <c r="BR728" t="s">
        <v>74</v>
      </c>
      <c r="BS728" t="s">
        <v>5977</v>
      </c>
      <c r="BT728" t="str">
        <f>HYPERLINK("https%3A%2F%2Fwww.webofscience.com%2Fwos%2Fwoscc%2Ffull-record%2FWOS:000393302300005","View Full Record in Web of Science")</f>
        <v>View Full Record in Web of Science</v>
      </c>
    </row>
    <row r="729" spans="1:72" x14ac:dyDescent="0.4">
      <c r="A729" t="s">
        <v>72</v>
      </c>
      <c r="B729" t="s">
        <v>3483</v>
      </c>
      <c r="C729" t="s">
        <v>74</v>
      </c>
      <c r="D729" t="s">
        <v>74</v>
      </c>
      <c r="E729" t="s">
        <v>74</v>
      </c>
      <c r="F729" t="s">
        <v>3484</v>
      </c>
      <c r="G729" t="s">
        <v>74</v>
      </c>
      <c r="H729" t="s">
        <v>74</v>
      </c>
      <c r="I729" t="s">
        <v>3485</v>
      </c>
      <c r="J729" t="s">
        <v>333</v>
      </c>
      <c r="K729" t="s">
        <v>74</v>
      </c>
      <c r="L729" t="s">
        <v>74</v>
      </c>
      <c r="M729" t="s">
        <v>74</v>
      </c>
      <c r="N729" t="s">
        <v>74</v>
      </c>
      <c r="O729" t="s">
        <v>74</v>
      </c>
      <c r="P729" t="s">
        <v>74</v>
      </c>
      <c r="Q729" t="s">
        <v>74</v>
      </c>
      <c r="R729" t="s">
        <v>74</v>
      </c>
      <c r="S729" t="s">
        <v>74</v>
      </c>
      <c r="T729" t="s">
        <v>74</v>
      </c>
      <c r="U729" t="s">
        <v>74</v>
      </c>
      <c r="V729" s="3" t="s">
        <v>3486</v>
      </c>
      <c r="W729" t="s">
        <v>74</v>
      </c>
      <c r="X729" t="s">
        <v>74</v>
      </c>
      <c r="Y729" t="s">
        <v>74</v>
      </c>
      <c r="Z729" t="s">
        <v>74</v>
      </c>
      <c r="AA729" t="s">
        <v>3487</v>
      </c>
      <c r="AB729" t="s">
        <v>3488</v>
      </c>
      <c r="AC729" t="s">
        <v>74</v>
      </c>
      <c r="AD729" t="s">
        <v>74</v>
      </c>
      <c r="AE729" t="s">
        <v>74</v>
      </c>
      <c r="AF729" t="s">
        <v>74</v>
      </c>
      <c r="AG729" t="s">
        <v>74</v>
      </c>
      <c r="AH729" t="s">
        <v>74</v>
      </c>
      <c r="AI729" t="s">
        <v>74</v>
      </c>
      <c r="AJ729" t="s">
        <v>74</v>
      </c>
      <c r="AK729" t="s">
        <v>74</v>
      </c>
      <c r="AL729" t="s">
        <v>74</v>
      </c>
      <c r="AM729" t="s">
        <v>74</v>
      </c>
      <c r="AN729" t="s">
        <v>74</v>
      </c>
      <c r="AO729" t="s">
        <v>337</v>
      </c>
      <c r="AP729" t="s">
        <v>338</v>
      </c>
      <c r="AQ729" t="s">
        <v>74</v>
      </c>
      <c r="AR729" t="s">
        <v>74</v>
      </c>
      <c r="AS729" t="s">
        <v>74</v>
      </c>
      <c r="AT729" t="s">
        <v>1130</v>
      </c>
      <c r="AU729">
        <v>2023</v>
      </c>
      <c r="AV729">
        <v>34</v>
      </c>
      <c r="AW729">
        <v>1</v>
      </c>
      <c r="AX729" t="s">
        <v>74</v>
      </c>
      <c r="AY729" t="s">
        <v>74</v>
      </c>
      <c r="AZ729" t="s">
        <v>74</v>
      </c>
      <c r="BA729" t="s">
        <v>74</v>
      </c>
      <c r="BB729">
        <v>19</v>
      </c>
      <c r="BC729">
        <v>32</v>
      </c>
      <c r="BD729" t="s">
        <v>74</v>
      </c>
      <c r="BE729" t="s">
        <v>3489</v>
      </c>
      <c r="BF729" t="str">
        <f>HYPERLINK("http://dx.doi.org/10.1093/beheco/arac089","http://dx.doi.org/10.1093/beheco/arac089")</f>
        <v>http://dx.doi.org/10.1093/beheco/arac089</v>
      </c>
      <c r="BG729" t="s">
        <v>74</v>
      </c>
      <c r="BH729" t="s">
        <v>2298</v>
      </c>
      <c r="BI729" t="s">
        <v>74</v>
      </c>
      <c r="BJ729" t="s">
        <v>74</v>
      </c>
      <c r="BK729" t="s">
        <v>74</v>
      </c>
      <c r="BL729" t="s">
        <v>74</v>
      </c>
      <c r="BM729" t="s">
        <v>74</v>
      </c>
      <c r="BN729">
        <v>36789393</v>
      </c>
      <c r="BO729" t="s">
        <v>74</v>
      </c>
      <c r="BP729" t="s">
        <v>74</v>
      </c>
      <c r="BQ729" t="s">
        <v>74</v>
      </c>
      <c r="BR729" t="s">
        <v>74</v>
      </c>
      <c r="BS729" t="s">
        <v>3490</v>
      </c>
      <c r="BT729" t="str">
        <f>HYPERLINK("https%3A%2F%2Fwww.webofscience.com%2Fwos%2Fwoscc%2Ffull-record%2FWOS:000876657000001","View Full Record in Web of Science")</f>
        <v>View Full Record in Web of Science</v>
      </c>
    </row>
    <row r="730" spans="1:72" x14ac:dyDescent="0.4">
      <c r="A730" t="s">
        <v>72</v>
      </c>
      <c r="B730" t="s">
        <v>4909</v>
      </c>
      <c r="C730" t="s">
        <v>74</v>
      </c>
      <c r="D730" t="s">
        <v>74</v>
      </c>
      <c r="E730" t="s">
        <v>74</v>
      </c>
      <c r="F730" t="s">
        <v>4910</v>
      </c>
      <c r="G730" t="s">
        <v>74</v>
      </c>
      <c r="H730" t="s">
        <v>74</v>
      </c>
      <c r="I730" t="s">
        <v>4911</v>
      </c>
      <c r="J730" t="s">
        <v>1656</v>
      </c>
      <c r="K730" t="s">
        <v>74</v>
      </c>
      <c r="L730" t="s">
        <v>74</v>
      </c>
      <c r="M730" t="s">
        <v>74</v>
      </c>
      <c r="N730" t="s">
        <v>74</v>
      </c>
      <c r="O730" t="s">
        <v>74</v>
      </c>
      <c r="P730" t="s">
        <v>74</v>
      </c>
      <c r="Q730" t="s">
        <v>74</v>
      </c>
      <c r="R730" t="s">
        <v>74</v>
      </c>
      <c r="S730" t="s">
        <v>74</v>
      </c>
      <c r="T730" t="s">
        <v>74</v>
      </c>
      <c r="U730" t="s">
        <v>74</v>
      </c>
      <c r="V730" s="3" t="s">
        <v>4912</v>
      </c>
      <c r="W730" t="s">
        <v>74</v>
      </c>
      <c r="X730" t="s">
        <v>74</v>
      </c>
      <c r="Y730" t="s">
        <v>74</v>
      </c>
      <c r="Z730" t="s">
        <v>74</v>
      </c>
      <c r="AA730" t="s">
        <v>74</v>
      </c>
      <c r="AB730" t="s">
        <v>74</v>
      </c>
      <c r="AC730" t="s">
        <v>74</v>
      </c>
      <c r="AD730" t="s">
        <v>74</v>
      </c>
      <c r="AE730" t="s">
        <v>74</v>
      </c>
      <c r="AF730" t="s">
        <v>74</v>
      </c>
      <c r="AG730" t="s">
        <v>74</v>
      </c>
      <c r="AH730" t="s">
        <v>74</v>
      </c>
      <c r="AI730" t="s">
        <v>74</v>
      </c>
      <c r="AJ730" t="s">
        <v>74</v>
      </c>
      <c r="AK730" t="s">
        <v>74</v>
      </c>
      <c r="AL730" t="s">
        <v>74</v>
      </c>
      <c r="AM730" t="s">
        <v>74</v>
      </c>
      <c r="AN730" t="s">
        <v>74</v>
      </c>
      <c r="AO730" t="s">
        <v>1658</v>
      </c>
      <c r="AP730" t="s">
        <v>1659</v>
      </c>
      <c r="AQ730" t="s">
        <v>74</v>
      </c>
      <c r="AR730" t="s">
        <v>74</v>
      </c>
      <c r="AS730" t="s">
        <v>74</v>
      </c>
      <c r="AT730" t="s">
        <v>4913</v>
      </c>
      <c r="AU730">
        <v>2008</v>
      </c>
      <c r="AV730" t="s">
        <v>74</v>
      </c>
      <c r="AW730">
        <v>1703</v>
      </c>
      <c r="AX730" t="s">
        <v>74</v>
      </c>
      <c r="AY730" t="s">
        <v>74</v>
      </c>
      <c r="AZ730" t="s">
        <v>74</v>
      </c>
      <c r="BA730" t="s">
        <v>74</v>
      </c>
      <c r="BB730">
        <v>1</v>
      </c>
      <c r="BC730">
        <v>24</v>
      </c>
      <c r="BD730" t="s">
        <v>74</v>
      </c>
      <c r="BE730" t="s">
        <v>74</v>
      </c>
      <c r="BF730" t="s">
        <v>74</v>
      </c>
      <c r="BG730" t="s">
        <v>74</v>
      </c>
      <c r="BH730" t="s">
        <v>74</v>
      </c>
      <c r="BI730" t="s">
        <v>74</v>
      </c>
      <c r="BJ730" t="s">
        <v>74</v>
      </c>
      <c r="BK730" t="s">
        <v>74</v>
      </c>
      <c r="BL730" t="s">
        <v>74</v>
      </c>
      <c r="BM730" t="s">
        <v>74</v>
      </c>
      <c r="BN730" t="s">
        <v>74</v>
      </c>
      <c r="BO730" t="s">
        <v>74</v>
      </c>
      <c r="BP730" t="s">
        <v>74</v>
      </c>
      <c r="BQ730" t="s">
        <v>74</v>
      </c>
      <c r="BR730" t="s">
        <v>74</v>
      </c>
      <c r="BS730" t="s">
        <v>4914</v>
      </c>
      <c r="BT730" t="str">
        <f>HYPERLINK("https%3A%2F%2Fwww.webofscience.com%2Fwos%2Fwoscc%2Ffull-record%2FWOS:000253163600001","View Full Record in Web of Science")</f>
        <v>View Full Record in Web of Science</v>
      </c>
    </row>
    <row r="731" spans="1:72" x14ac:dyDescent="0.4">
      <c r="A731" t="s">
        <v>72</v>
      </c>
      <c r="B731" t="s">
        <v>811</v>
      </c>
      <c r="C731" t="s">
        <v>74</v>
      </c>
      <c r="D731" t="s">
        <v>74</v>
      </c>
      <c r="E731" t="s">
        <v>74</v>
      </c>
      <c r="F731" t="s">
        <v>812</v>
      </c>
      <c r="G731" t="s">
        <v>74</v>
      </c>
      <c r="H731" t="s">
        <v>74</v>
      </c>
      <c r="I731" t="s">
        <v>813</v>
      </c>
      <c r="J731" t="s">
        <v>814</v>
      </c>
      <c r="K731" t="s">
        <v>74</v>
      </c>
      <c r="L731" t="s">
        <v>74</v>
      </c>
      <c r="M731" t="s">
        <v>74</v>
      </c>
      <c r="N731" t="s">
        <v>74</v>
      </c>
      <c r="O731" t="s">
        <v>74</v>
      </c>
      <c r="P731" t="s">
        <v>74</v>
      </c>
      <c r="Q731" t="s">
        <v>74</v>
      </c>
      <c r="R731" t="s">
        <v>74</v>
      </c>
      <c r="S731" t="s">
        <v>74</v>
      </c>
      <c r="T731" t="s">
        <v>74</v>
      </c>
      <c r="U731" t="s">
        <v>74</v>
      </c>
      <c r="V731" s="3" t="s">
        <v>815</v>
      </c>
      <c r="W731" t="s">
        <v>74</v>
      </c>
      <c r="X731" t="s">
        <v>74</v>
      </c>
      <c r="Y731" t="s">
        <v>74</v>
      </c>
      <c r="Z731" t="s">
        <v>74</v>
      </c>
      <c r="AA731" t="s">
        <v>816</v>
      </c>
      <c r="AB731" t="s">
        <v>817</v>
      </c>
      <c r="AC731" t="s">
        <v>74</v>
      </c>
      <c r="AD731" t="s">
        <v>74</v>
      </c>
      <c r="AE731" t="s">
        <v>74</v>
      </c>
      <c r="AF731" t="s">
        <v>74</v>
      </c>
      <c r="AG731" t="s">
        <v>74</v>
      </c>
      <c r="AH731" t="s">
        <v>74</v>
      </c>
      <c r="AI731" t="s">
        <v>74</v>
      </c>
      <c r="AJ731" t="s">
        <v>74</v>
      </c>
      <c r="AK731" t="s">
        <v>74</v>
      </c>
      <c r="AL731" t="s">
        <v>74</v>
      </c>
      <c r="AM731" t="s">
        <v>74</v>
      </c>
      <c r="AN731" t="s">
        <v>74</v>
      </c>
      <c r="AO731" t="s">
        <v>818</v>
      </c>
      <c r="AP731" t="s">
        <v>74</v>
      </c>
      <c r="AQ731" t="s">
        <v>74</v>
      </c>
      <c r="AR731" t="s">
        <v>74</v>
      </c>
      <c r="AS731" t="s">
        <v>74</v>
      </c>
      <c r="AT731" t="s">
        <v>305</v>
      </c>
      <c r="AU731">
        <v>2011</v>
      </c>
      <c r="AV731">
        <v>114</v>
      </c>
      <c r="AW731">
        <v>6</v>
      </c>
      <c r="AX731" t="s">
        <v>74</v>
      </c>
      <c r="AY731" t="s">
        <v>74</v>
      </c>
      <c r="AZ731" t="s">
        <v>74</v>
      </c>
      <c r="BA731" t="s">
        <v>74</v>
      </c>
      <c r="BB731">
        <v>335</v>
      </c>
      <c r="BC731">
        <v>339</v>
      </c>
      <c r="BD731" t="s">
        <v>74</v>
      </c>
      <c r="BE731" t="s">
        <v>819</v>
      </c>
      <c r="BF731" t="str">
        <f>HYPERLINK("http://dx.doi.org/10.1016/j.zool.2011.07.001","http://dx.doi.org/10.1016/j.zool.2011.07.001")</f>
        <v>http://dx.doi.org/10.1016/j.zool.2011.07.001</v>
      </c>
      <c r="BG731" t="s">
        <v>74</v>
      </c>
      <c r="BH731" t="s">
        <v>74</v>
      </c>
      <c r="BI731" t="s">
        <v>74</v>
      </c>
      <c r="BJ731" t="s">
        <v>74</v>
      </c>
      <c r="BK731" t="s">
        <v>74</v>
      </c>
      <c r="BL731" t="s">
        <v>74</v>
      </c>
      <c r="BM731" t="s">
        <v>74</v>
      </c>
      <c r="BN731">
        <v>21975142</v>
      </c>
      <c r="BO731" t="s">
        <v>74</v>
      </c>
      <c r="BP731" t="s">
        <v>74</v>
      </c>
      <c r="BQ731" t="s">
        <v>74</v>
      </c>
      <c r="BR731" t="s">
        <v>74</v>
      </c>
      <c r="BS731" t="s">
        <v>820</v>
      </c>
      <c r="BT731" t="str">
        <f>HYPERLINK("https%3A%2F%2Fwww.webofscience.com%2Fwos%2Fwoscc%2Ffull-record%2FWOS:000297909600003","View Full Record in Web of Science")</f>
        <v>View Full Record in Web of Science</v>
      </c>
    </row>
    <row r="732" spans="1:72" x14ac:dyDescent="0.4">
      <c r="A732" t="s">
        <v>72</v>
      </c>
      <c r="B732" t="s">
        <v>5878</v>
      </c>
      <c r="C732" t="s">
        <v>74</v>
      </c>
      <c r="D732" t="s">
        <v>74</v>
      </c>
      <c r="E732" t="s">
        <v>74</v>
      </c>
      <c r="F732" t="s">
        <v>5879</v>
      </c>
      <c r="G732" t="s">
        <v>74</v>
      </c>
      <c r="H732" t="s">
        <v>74</v>
      </c>
      <c r="I732" t="s">
        <v>5880</v>
      </c>
      <c r="J732" t="s">
        <v>5881</v>
      </c>
      <c r="K732" t="s">
        <v>74</v>
      </c>
      <c r="L732" t="s">
        <v>74</v>
      </c>
      <c r="M732" t="s">
        <v>74</v>
      </c>
      <c r="N732" t="s">
        <v>74</v>
      </c>
      <c r="O732" t="s">
        <v>74</v>
      </c>
      <c r="P732" t="s">
        <v>74</v>
      </c>
      <c r="Q732" t="s">
        <v>74</v>
      </c>
      <c r="R732" t="s">
        <v>74</v>
      </c>
      <c r="S732" t="s">
        <v>74</v>
      </c>
      <c r="T732" t="s">
        <v>74</v>
      </c>
      <c r="U732" t="s">
        <v>74</v>
      </c>
      <c r="V732" s="3" t="s">
        <v>5882</v>
      </c>
      <c r="W732" t="s">
        <v>74</v>
      </c>
      <c r="X732" t="s">
        <v>74</v>
      </c>
      <c r="Y732" t="s">
        <v>74</v>
      </c>
      <c r="Z732" t="s">
        <v>74</v>
      </c>
      <c r="AA732" t="s">
        <v>5883</v>
      </c>
      <c r="AB732" t="s">
        <v>5884</v>
      </c>
      <c r="AC732" t="s">
        <v>74</v>
      </c>
      <c r="AD732" t="s">
        <v>74</v>
      </c>
      <c r="AE732" t="s">
        <v>74</v>
      </c>
      <c r="AF732" t="s">
        <v>74</v>
      </c>
      <c r="AG732" t="s">
        <v>74</v>
      </c>
      <c r="AH732" t="s">
        <v>74</v>
      </c>
      <c r="AI732" t="s">
        <v>74</v>
      </c>
      <c r="AJ732" t="s">
        <v>74</v>
      </c>
      <c r="AK732" t="s">
        <v>74</v>
      </c>
      <c r="AL732" t="s">
        <v>74</v>
      </c>
      <c r="AM732" t="s">
        <v>74</v>
      </c>
      <c r="AN732" t="s">
        <v>74</v>
      </c>
      <c r="AO732" t="s">
        <v>5885</v>
      </c>
      <c r="AP732" t="s">
        <v>5886</v>
      </c>
      <c r="AQ732" t="s">
        <v>74</v>
      </c>
      <c r="AR732" t="s">
        <v>74</v>
      </c>
      <c r="AS732" t="s">
        <v>74</v>
      </c>
      <c r="AT732" t="s">
        <v>5887</v>
      </c>
      <c r="AU732">
        <v>2015</v>
      </c>
      <c r="AV732">
        <v>82</v>
      </c>
      <c r="AW732">
        <v>3</v>
      </c>
      <c r="AX732" t="s">
        <v>74</v>
      </c>
      <c r="AY732" t="s">
        <v>74</v>
      </c>
      <c r="AZ732" t="s">
        <v>74</v>
      </c>
      <c r="BA732" t="s">
        <v>74</v>
      </c>
      <c r="BB732">
        <v>398</v>
      </c>
      <c r="BC732">
        <v>403</v>
      </c>
      <c r="BD732" t="s">
        <v>74</v>
      </c>
      <c r="BE732" t="s">
        <v>5888</v>
      </c>
      <c r="BF732" t="str">
        <f>HYPERLINK("http://dx.doi.org/10.1080/11250003.2015.1021391","http://dx.doi.org/10.1080/11250003.2015.1021391")</f>
        <v>http://dx.doi.org/10.1080/11250003.2015.1021391</v>
      </c>
      <c r="BG732" t="s">
        <v>74</v>
      </c>
      <c r="BH732" t="s">
        <v>74</v>
      </c>
      <c r="BI732" t="s">
        <v>74</v>
      </c>
      <c r="BJ732" t="s">
        <v>74</v>
      </c>
      <c r="BK732" t="s">
        <v>74</v>
      </c>
      <c r="BL732" t="s">
        <v>74</v>
      </c>
      <c r="BM732" t="s">
        <v>74</v>
      </c>
      <c r="BN732" t="s">
        <v>74</v>
      </c>
      <c r="BO732" t="s">
        <v>74</v>
      </c>
      <c r="BP732" t="s">
        <v>74</v>
      </c>
      <c r="BQ732" t="s">
        <v>74</v>
      </c>
      <c r="BR732" t="s">
        <v>74</v>
      </c>
      <c r="BS732" t="s">
        <v>5889</v>
      </c>
      <c r="BT732" t="str">
        <f>HYPERLINK("https%3A%2F%2Fwww.webofscience.com%2Fwos%2Fwoscc%2Ffull-record%2FWOS:000359742100011","View Full Record in Web of Science")</f>
        <v>View Full Record in Web of Science</v>
      </c>
    </row>
    <row r="733" spans="1:72" x14ac:dyDescent="0.4">
      <c r="A733" t="s">
        <v>72</v>
      </c>
      <c r="B733" t="s">
        <v>296</v>
      </c>
      <c r="C733" t="s">
        <v>74</v>
      </c>
      <c r="D733" t="s">
        <v>74</v>
      </c>
      <c r="E733" t="s">
        <v>74</v>
      </c>
      <c r="F733" t="s">
        <v>297</v>
      </c>
      <c r="G733" t="s">
        <v>74</v>
      </c>
      <c r="H733" t="s">
        <v>74</v>
      </c>
      <c r="I733" t="s">
        <v>298</v>
      </c>
      <c r="J733" t="s">
        <v>299</v>
      </c>
      <c r="K733" t="s">
        <v>74</v>
      </c>
      <c r="L733" t="s">
        <v>74</v>
      </c>
      <c r="M733" t="s">
        <v>74</v>
      </c>
      <c r="N733" t="s">
        <v>74</v>
      </c>
      <c r="O733" t="s">
        <v>74</v>
      </c>
      <c r="P733" t="s">
        <v>74</v>
      </c>
      <c r="Q733" t="s">
        <v>74</v>
      </c>
      <c r="R733" t="s">
        <v>74</v>
      </c>
      <c r="S733" t="s">
        <v>74</v>
      </c>
      <c r="T733" t="s">
        <v>74</v>
      </c>
      <c r="U733" t="s">
        <v>74</v>
      </c>
      <c r="V733" s="3" t="s">
        <v>300</v>
      </c>
      <c r="W733" t="s">
        <v>74</v>
      </c>
      <c r="X733" t="s">
        <v>74</v>
      </c>
      <c r="Y733" t="s">
        <v>74</v>
      </c>
      <c r="Z733" t="s">
        <v>74</v>
      </c>
      <c r="AA733" t="s">
        <v>301</v>
      </c>
      <c r="AB733" t="s">
        <v>302</v>
      </c>
      <c r="AC733" t="s">
        <v>74</v>
      </c>
      <c r="AD733" t="s">
        <v>74</v>
      </c>
      <c r="AE733" t="s">
        <v>74</v>
      </c>
      <c r="AF733" t="s">
        <v>74</v>
      </c>
      <c r="AG733" t="s">
        <v>74</v>
      </c>
      <c r="AH733" t="s">
        <v>74</v>
      </c>
      <c r="AI733" t="s">
        <v>74</v>
      </c>
      <c r="AJ733" t="s">
        <v>74</v>
      </c>
      <c r="AK733" t="s">
        <v>74</v>
      </c>
      <c r="AL733" t="s">
        <v>74</v>
      </c>
      <c r="AM733" t="s">
        <v>74</v>
      </c>
      <c r="AN733" t="s">
        <v>74</v>
      </c>
      <c r="AO733" t="s">
        <v>303</v>
      </c>
      <c r="AP733" t="s">
        <v>304</v>
      </c>
      <c r="AQ733" t="s">
        <v>74</v>
      </c>
      <c r="AR733" t="s">
        <v>74</v>
      </c>
      <c r="AS733" t="s">
        <v>74</v>
      </c>
      <c r="AT733" t="s">
        <v>305</v>
      </c>
      <c r="AU733">
        <v>2022</v>
      </c>
      <c r="AV733">
        <v>53</v>
      </c>
      <c r="AW733">
        <v>17</v>
      </c>
      <c r="AX733" t="s">
        <v>74</v>
      </c>
      <c r="AY733" t="s">
        <v>74</v>
      </c>
      <c r="AZ733" t="s">
        <v>74</v>
      </c>
      <c r="BA733" t="s">
        <v>74</v>
      </c>
      <c r="BB733">
        <v>6407</v>
      </c>
      <c r="BC733">
        <v>6413</v>
      </c>
      <c r="BD733" t="s">
        <v>74</v>
      </c>
      <c r="BE733" t="s">
        <v>306</v>
      </c>
      <c r="BF733" t="str">
        <f>HYPERLINK("http://dx.doi.org/10.1111/are.16083","http://dx.doi.org/10.1111/are.16083")</f>
        <v>http://dx.doi.org/10.1111/are.16083</v>
      </c>
      <c r="BG733" t="s">
        <v>74</v>
      </c>
      <c r="BH733" t="s">
        <v>307</v>
      </c>
      <c r="BI733" t="s">
        <v>74</v>
      </c>
      <c r="BJ733" t="s">
        <v>74</v>
      </c>
      <c r="BK733" t="s">
        <v>74</v>
      </c>
      <c r="BL733" t="s">
        <v>74</v>
      </c>
      <c r="BM733" t="s">
        <v>74</v>
      </c>
      <c r="BN733" t="s">
        <v>74</v>
      </c>
      <c r="BO733" t="s">
        <v>74</v>
      </c>
      <c r="BP733" t="s">
        <v>74</v>
      </c>
      <c r="BQ733" t="s">
        <v>74</v>
      </c>
      <c r="BR733" t="s">
        <v>74</v>
      </c>
      <c r="BS733" t="s">
        <v>308</v>
      </c>
      <c r="BT733" t="str">
        <f>HYPERLINK("https%3A%2F%2Fwww.webofscience.com%2Fwos%2Fwoscc%2Ffull-record%2FWOS:000847232100001","View Full Record in Web of Science")</f>
        <v>View Full Record in Web of Science</v>
      </c>
    </row>
    <row r="734" spans="1:72" x14ac:dyDescent="0.4">
      <c r="A734" t="s">
        <v>72</v>
      </c>
      <c r="B734" t="s">
        <v>1606</v>
      </c>
      <c r="C734" t="s">
        <v>74</v>
      </c>
      <c r="D734" t="s">
        <v>74</v>
      </c>
      <c r="E734" t="s">
        <v>74</v>
      </c>
      <c r="F734" t="s">
        <v>1606</v>
      </c>
      <c r="G734" t="s">
        <v>74</v>
      </c>
      <c r="H734" t="s">
        <v>74</v>
      </c>
      <c r="I734" t="s">
        <v>1607</v>
      </c>
      <c r="J734" t="s">
        <v>1135</v>
      </c>
      <c r="K734" t="s">
        <v>74</v>
      </c>
      <c r="L734" t="s">
        <v>74</v>
      </c>
      <c r="M734" t="s">
        <v>74</v>
      </c>
      <c r="N734" t="s">
        <v>74</v>
      </c>
      <c r="O734" t="s">
        <v>74</v>
      </c>
      <c r="P734" t="s">
        <v>74</v>
      </c>
      <c r="Q734" t="s">
        <v>74</v>
      </c>
      <c r="R734" t="s">
        <v>74</v>
      </c>
      <c r="S734" t="s">
        <v>74</v>
      </c>
      <c r="T734" t="s">
        <v>74</v>
      </c>
      <c r="U734" t="s">
        <v>74</v>
      </c>
      <c r="V734" s="3" t="s">
        <v>1608</v>
      </c>
      <c r="W734" t="s">
        <v>74</v>
      </c>
      <c r="X734" t="s">
        <v>74</v>
      </c>
      <c r="Y734" t="s">
        <v>74</v>
      </c>
      <c r="Z734" t="s">
        <v>74</v>
      </c>
      <c r="AA734" t="s">
        <v>1609</v>
      </c>
      <c r="AB734" t="s">
        <v>1610</v>
      </c>
      <c r="AC734" t="s">
        <v>74</v>
      </c>
      <c r="AD734" t="s">
        <v>74</v>
      </c>
      <c r="AE734" t="s">
        <v>74</v>
      </c>
      <c r="AF734" t="s">
        <v>74</v>
      </c>
      <c r="AG734" t="s">
        <v>74</v>
      </c>
      <c r="AH734" t="s">
        <v>74</v>
      </c>
      <c r="AI734" t="s">
        <v>74</v>
      </c>
      <c r="AJ734" t="s">
        <v>74</v>
      </c>
      <c r="AK734" t="s">
        <v>74</v>
      </c>
      <c r="AL734" t="s">
        <v>74</v>
      </c>
      <c r="AM734" t="s">
        <v>74</v>
      </c>
      <c r="AN734" t="s">
        <v>74</v>
      </c>
      <c r="AO734" t="s">
        <v>1137</v>
      </c>
      <c r="AP734" t="s">
        <v>74</v>
      </c>
      <c r="AQ734" t="s">
        <v>74</v>
      </c>
      <c r="AR734" t="s">
        <v>74</v>
      </c>
      <c r="AS734" t="s">
        <v>74</v>
      </c>
      <c r="AT734" t="s">
        <v>1611</v>
      </c>
      <c r="AU734">
        <v>1992</v>
      </c>
      <c r="AV734">
        <v>23</v>
      </c>
      <c r="AW734">
        <v>1</v>
      </c>
      <c r="AX734" t="s">
        <v>74</v>
      </c>
      <c r="AY734" t="s">
        <v>74</v>
      </c>
      <c r="AZ734" t="s">
        <v>74</v>
      </c>
      <c r="BA734" t="s">
        <v>74</v>
      </c>
      <c r="BB734">
        <v>17</v>
      </c>
      <c r="BC734">
        <v>23</v>
      </c>
      <c r="BD734" t="s">
        <v>74</v>
      </c>
      <c r="BE734" t="s">
        <v>1612</v>
      </c>
      <c r="BF734" t="str">
        <f>HYPERLINK("http://dx.doi.org/10.2307/3676422","http://dx.doi.org/10.2307/3676422")</f>
        <v>http://dx.doi.org/10.2307/3676422</v>
      </c>
      <c r="BG734" t="s">
        <v>74</v>
      </c>
      <c r="BH734" t="s">
        <v>74</v>
      </c>
      <c r="BI734" t="s">
        <v>74</v>
      </c>
      <c r="BJ734" t="s">
        <v>74</v>
      </c>
      <c r="BK734" t="s">
        <v>74</v>
      </c>
      <c r="BL734" t="s">
        <v>74</v>
      </c>
      <c r="BM734" t="s">
        <v>74</v>
      </c>
      <c r="BN734" t="s">
        <v>74</v>
      </c>
      <c r="BO734" t="s">
        <v>74</v>
      </c>
      <c r="BP734" t="s">
        <v>74</v>
      </c>
      <c r="BQ734" t="s">
        <v>74</v>
      </c>
      <c r="BR734" t="s">
        <v>74</v>
      </c>
      <c r="BS734" t="s">
        <v>1613</v>
      </c>
      <c r="BT734" t="str">
        <f>HYPERLINK("https%3A%2F%2Fwww.webofscience.com%2Fwos%2Fwoscc%2Ffull-record%2FWOS:A1992HN98800004","View Full Record in Web of Science")</f>
        <v>View Full Record in Web of Science</v>
      </c>
    </row>
    <row r="735" spans="1:72" x14ac:dyDescent="0.4">
      <c r="A735" t="s">
        <v>72</v>
      </c>
      <c r="B735" t="s">
        <v>8412</v>
      </c>
      <c r="C735" t="s">
        <v>74</v>
      </c>
      <c r="D735" t="s">
        <v>74</v>
      </c>
      <c r="E735" t="s">
        <v>74</v>
      </c>
      <c r="F735" t="s">
        <v>8413</v>
      </c>
      <c r="G735" t="s">
        <v>74</v>
      </c>
      <c r="H735" t="s">
        <v>74</v>
      </c>
      <c r="I735" t="s">
        <v>8414</v>
      </c>
      <c r="J735" t="s">
        <v>1656</v>
      </c>
      <c r="K735" t="s">
        <v>74</v>
      </c>
      <c r="L735" t="s">
        <v>74</v>
      </c>
      <c r="M735" t="s">
        <v>74</v>
      </c>
      <c r="N735" t="s">
        <v>74</v>
      </c>
      <c r="O735" t="s">
        <v>74</v>
      </c>
      <c r="P735" t="s">
        <v>74</v>
      </c>
      <c r="Q735" t="s">
        <v>74</v>
      </c>
      <c r="R735" t="s">
        <v>74</v>
      </c>
      <c r="S735" t="s">
        <v>74</v>
      </c>
      <c r="T735" t="s">
        <v>74</v>
      </c>
      <c r="U735" t="s">
        <v>74</v>
      </c>
      <c r="V735" s="3" t="s">
        <v>8415</v>
      </c>
      <c r="W735" t="s">
        <v>74</v>
      </c>
      <c r="X735" t="s">
        <v>74</v>
      </c>
      <c r="Y735" t="s">
        <v>74</v>
      </c>
      <c r="Z735" t="s">
        <v>74</v>
      </c>
      <c r="AA735" t="s">
        <v>8416</v>
      </c>
      <c r="AB735" t="s">
        <v>8417</v>
      </c>
      <c r="AC735" t="s">
        <v>74</v>
      </c>
      <c r="AD735" t="s">
        <v>74</v>
      </c>
      <c r="AE735" t="s">
        <v>74</v>
      </c>
      <c r="AF735" t="s">
        <v>74</v>
      </c>
      <c r="AG735" t="s">
        <v>74</v>
      </c>
      <c r="AH735" t="s">
        <v>74</v>
      </c>
      <c r="AI735" t="s">
        <v>74</v>
      </c>
      <c r="AJ735" t="s">
        <v>74</v>
      </c>
      <c r="AK735" t="s">
        <v>74</v>
      </c>
      <c r="AL735" t="s">
        <v>74</v>
      </c>
      <c r="AM735" t="s">
        <v>74</v>
      </c>
      <c r="AN735" t="s">
        <v>74</v>
      </c>
      <c r="AO735" t="s">
        <v>1658</v>
      </c>
      <c r="AP735" t="s">
        <v>1659</v>
      </c>
      <c r="AQ735" t="s">
        <v>74</v>
      </c>
      <c r="AR735" t="s">
        <v>74</v>
      </c>
      <c r="AS735" t="s">
        <v>74</v>
      </c>
      <c r="AT735" t="s">
        <v>8418</v>
      </c>
      <c r="AU735">
        <v>2023</v>
      </c>
      <c r="AV735">
        <v>5285</v>
      </c>
      <c r="AW735">
        <v>2</v>
      </c>
      <c r="AX735" t="s">
        <v>74</v>
      </c>
      <c r="AY735" t="s">
        <v>74</v>
      </c>
      <c r="AZ735" t="s">
        <v>74</v>
      </c>
      <c r="BA735" t="s">
        <v>74</v>
      </c>
      <c r="BB735">
        <v>201</v>
      </c>
      <c r="BC735">
        <v>251</v>
      </c>
      <c r="BD735" t="s">
        <v>74</v>
      </c>
      <c r="BE735" t="s">
        <v>8419</v>
      </c>
      <c r="BF735" t="str">
        <f>HYPERLINK("http://dx.doi.org/10.11646/zootaxa.5285.2.1","http://dx.doi.org/10.11646/zootaxa.5285.2.1")</f>
        <v>http://dx.doi.org/10.11646/zootaxa.5285.2.1</v>
      </c>
      <c r="BG735" t="s">
        <v>74</v>
      </c>
      <c r="BH735" t="s">
        <v>74</v>
      </c>
      <c r="BI735" t="s">
        <v>74</v>
      </c>
      <c r="BJ735" t="s">
        <v>74</v>
      </c>
      <c r="BK735" t="s">
        <v>74</v>
      </c>
      <c r="BL735" t="s">
        <v>74</v>
      </c>
      <c r="BM735" t="s">
        <v>74</v>
      </c>
      <c r="BN735">
        <v>37518708</v>
      </c>
      <c r="BO735" t="s">
        <v>74</v>
      </c>
      <c r="BP735" t="s">
        <v>74</v>
      </c>
      <c r="BQ735" t="s">
        <v>74</v>
      </c>
      <c r="BR735" t="s">
        <v>74</v>
      </c>
      <c r="BS735" t="s">
        <v>8420</v>
      </c>
      <c r="BT735" t="str">
        <f>HYPERLINK("https%3A%2F%2Fwww.webofscience.com%2Fwos%2Fwoscc%2Ffull-record%2FWOS:000996486900001","View Full Record in Web of Science")</f>
        <v>View Full Record in Web of Science</v>
      </c>
    </row>
    <row r="736" spans="1:72" x14ac:dyDescent="0.4">
      <c r="A736" t="s">
        <v>72</v>
      </c>
      <c r="B736" t="s">
        <v>8716</v>
      </c>
      <c r="C736" t="s">
        <v>74</v>
      </c>
      <c r="D736" t="s">
        <v>74</v>
      </c>
      <c r="E736" t="s">
        <v>74</v>
      </c>
      <c r="F736" t="s">
        <v>8717</v>
      </c>
      <c r="G736" t="s">
        <v>74</v>
      </c>
      <c r="H736" t="s">
        <v>74</v>
      </c>
      <c r="I736" t="s">
        <v>8718</v>
      </c>
      <c r="J736" t="s">
        <v>1112</v>
      </c>
      <c r="K736" t="s">
        <v>74</v>
      </c>
      <c r="L736" t="s">
        <v>74</v>
      </c>
      <c r="M736" t="s">
        <v>74</v>
      </c>
      <c r="N736" t="s">
        <v>74</v>
      </c>
      <c r="O736" t="s">
        <v>74</v>
      </c>
      <c r="P736" t="s">
        <v>74</v>
      </c>
      <c r="Q736" t="s">
        <v>74</v>
      </c>
      <c r="R736" t="s">
        <v>74</v>
      </c>
      <c r="S736" t="s">
        <v>74</v>
      </c>
      <c r="T736" t="s">
        <v>74</v>
      </c>
      <c r="U736" t="s">
        <v>74</v>
      </c>
      <c r="V736" s="3" t="s">
        <v>8719</v>
      </c>
      <c r="W736" t="s">
        <v>74</v>
      </c>
      <c r="X736" t="s">
        <v>74</v>
      </c>
      <c r="Y736" t="s">
        <v>74</v>
      </c>
      <c r="Z736" t="s">
        <v>74</v>
      </c>
      <c r="AA736" t="s">
        <v>74</v>
      </c>
      <c r="AB736" t="s">
        <v>8720</v>
      </c>
      <c r="AC736" t="s">
        <v>74</v>
      </c>
      <c r="AD736" t="s">
        <v>74</v>
      </c>
      <c r="AE736" t="s">
        <v>74</v>
      </c>
      <c r="AF736" t="s">
        <v>74</v>
      </c>
      <c r="AG736" t="s">
        <v>74</v>
      </c>
      <c r="AH736" t="s">
        <v>74</v>
      </c>
      <c r="AI736" t="s">
        <v>74</v>
      </c>
      <c r="AJ736" t="s">
        <v>74</v>
      </c>
      <c r="AK736" t="s">
        <v>74</v>
      </c>
      <c r="AL736" t="s">
        <v>74</v>
      </c>
      <c r="AM736" t="s">
        <v>74</v>
      </c>
      <c r="AN736" t="s">
        <v>74</v>
      </c>
      <c r="AO736" t="s">
        <v>1114</v>
      </c>
      <c r="AP736" t="s">
        <v>1115</v>
      </c>
      <c r="AQ736" t="s">
        <v>74</v>
      </c>
      <c r="AR736" t="s">
        <v>74</v>
      </c>
      <c r="AS736" t="s">
        <v>74</v>
      </c>
      <c r="AT736" t="s">
        <v>255</v>
      </c>
      <c r="AU736">
        <v>2019</v>
      </c>
      <c r="AV736">
        <v>210</v>
      </c>
      <c r="AW736" t="s">
        <v>74</v>
      </c>
      <c r="AX736" t="s">
        <v>74</v>
      </c>
      <c r="AY736" t="s">
        <v>74</v>
      </c>
      <c r="AZ736" t="s">
        <v>74</v>
      </c>
      <c r="BA736" t="s">
        <v>74</v>
      </c>
      <c r="BB736">
        <v>73</v>
      </c>
      <c r="BC736">
        <v>80</v>
      </c>
      <c r="BD736" t="s">
        <v>74</v>
      </c>
      <c r="BE736" t="s">
        <v>8721</v>
      </c>
      <c r="BF736" t="str">
        <f>HYPERLINK("http://dx.doi.org/10.1016/j.applanim.2018.10.011","http://dx.doi.org/10.1016/j.applanim.2018.10.011")</f>
        <v>http://dx.doi.org/10.1016/j.applanim.2018.10.011</v>
      </c>
      <c r="BG736" t="s">
        <v>74</v>
      </c>
      <c r="BH736" t="s">
        <v>74</v>
      </c>
      <c r="BI736" t="s">
        <v>74</v>
      </c>
      <c r="BJ736" t="s">
        <v>74</v>
      </c>
      <c r="BK736" t="s">
        <v>74</v>
      </c>
      <c r="BL736" t="s">
        <v>74</v>
      </c>
      <c r="BM736" t="s">
        <v>74</v>
      </c>
      <c r="BN736" t="s">
        <v>74</v>
      </c>
      <c r="BO736" t="s">
        <v>74</v>
      </c>
      <c r="BP736" t="s">
        <v>74</v>
      </c>
      <c r="BQ736" t="s">
        <v>74</v>
      </c>
      <c r="BR736" t="s">
        <v>74</v>
      </c>
      <c r="BS736" t="s">
        <v>8722</v>
      </c>
      <c r="BT736" t="str">
        <f>HYPERLINK("https%3A%2F%2Fwww.webofscience.com%2Fwos%2Fwoscc%2Ffull-record%2FWOS:000457661700010","View Full Record in Web of Science")</f>
        <v>View Full Record in Web of Science</v>
      </c>
    </row>
    <row r="737" spans="1:72" x14ac:dyDescent="0.4">
      <c r="A737" t="s">
        <v>72</v>
      </c>
      <c r="B737" t="s">
        <v>2447</v>
      </c>
      <c r="C737" t="s">
        <v>74</v>
      </c>
      <c r="D737" t="s">
        <v>74</v>
      </c>
      <c r="E737" t="s">
        <v>74</v>
      </c>
      <c r="F737" t="s">
        <v>2448</v>
      </c>
      <c r="G737" t="s">
        <v>74</v>
      </c>
      <c r="H737" t="s">
        <v>74</v>
      </c>
      <c r="I737" t="s">
        <v>2449</v>
      </c>
      <c r="J737" t="s">
        <v>218</v>
      </c>
      <c r="K737" t="s">
        <v>74</v>
      </c>
      <c r="L737" t="s">
        <v>74</v>
      </c>
      <c r="M737" t="s">
        <v>74</v>
      </c>
      <c r="N737" t="s">
        <v>74</v>
      </c>
      <c r="O737" t="s">
        <v>74</v>
      </c>
      <c r="P737" t="s">
        <v>74</v>
      </c>
      <c r="Q737" t="s">
        <v>74</v>
      </c>
      <c r="R737" t="s">
        <v>74</v>
      </c>
      <c r="S737" t="s">
        <v>74</v>
      </c>
      <c r="T737" t="s">
        <v>74</v>
      </c>
      <c r="U737" t="s">
        <v>74</v>
      </c>
      <c r="V737" s="3" t="s">
        <v>2450</v>
      </c>
      <c r="W737" t="s">
        <v>74</v>
      </c>
      <c r="X737" t="s">
        <v>74</v>
      </c>
      <c r="Y737" t="s">
        <v>74</v>
      </c>
      <c r="Z737" t="s">
        <v>74</v>
      </c>
      <c r="AA737" t="s">
        <v>2451</v>
      </c>
      <c r="AB737" t="s">
        <v>2452</v>
      </c>
      <c r="AC737" t="s">
        <v>74</v>
      </c>
      <c r="AD737" t="s">
        <v>74</v>
      </c>
      <c r="AE737" t="s">
        <v>74</v>
      </c>
      <c r="AF737" t="s">
        <v>74</v>
      </c>
      <c r="AG737" t="s">
        <v>74</v>
      </c>
      <c r="AH737" t="s">
        <v>74</v>
      </c>
      <c r="AI737" t="s">
        <v>74</v>
      </c>
      <c r="AJ737" t="s">
        <v>74</v>
      </c>
      <c r="AK737" t="s">
        <v>74</v>
      </c>
      <c r="AL737" t="s">
        <v>74</v>
      </c>
      <c r="AM737" t="s">
        <v>74</v>
      </c>
      <c r="AN737" t="s">
        <v>74</v>
      </c>
      <c r="AO737" t="s">
        <v>221</v>
      </c>
      <c r="AP737" t="s">
        <v>222</v>
      </c>
      <c r="AQ737" t="s">
        <v>74</v>
      </c>
      <c r="AR737" t="s">
        <v>74</v>
      </c>
      <c r="AS737" t="s">
        <v>74</v>
      </c>
      <c r="AT737" t="s">
        <v>213</v>
      </c>
      <c r="AU737">
        <v>2016</v>
      </c>
      <c r="AV737">
        <v>29</v>
      </c>
      <c r="AW737">
        <v>11</v>
      </c>
      <c r="AX737" t="s">
        <v>74</v>
      </c>
      <c r="AY737" t="s">
        <v>74</v>
      </c>
      <c r="AZ737" t="s">
        <v>74</v>
      </c>
      <c r="BA737" t="s">
        <v>74</v>
      </c>
      <c r="BB737">
        <v>2256</v>
      </c>
      <c r="BC737">
        <v>2265</v>
      </c>
      <c r="BD737" t="s">
        <v>74</v>
      </c>
      <c r="BE737" t="s">
        <v>2453</v>
      </c>
      <c r="BF737" t="str">
        <f>HYPERLINK("http://dx.doi.org/10.1111/jeb.12953","http://dx.doi.org/10.1111/jeb.12953")</f>
        <v>http://dx.doi.org/10.1111/jeb.12953</v>
      </c>
      <c r="BG737" t="s">
        <v>74</v>
      </c>
      <c r="BH737" t="s">
        <v>74</v>
      </c>
      <c r="BI737" t="s">
        <v>74</v>
      </c>
      <c r="BJ737" t="s">
        <v>74</v>
      </c>
      <c r="BK737" t="s">
        <v>74</v>
      </c>
      <c r="BL737" t="s">
        <v>74</v>
      </c>
      <c r="BM737" t="s">
        <v>74</v>
      </c>
      <c r="BN737">
        <v>27467980</v>
      </c>
      <c r="BO737" t="s">
        <v>74</v>
      </c>
      <c r="BP737" t="s">
        <v>74</v>
      </c>
      <c r="BQ737" t="s">
        <v>74</v>
      </c>
      <c r="BR737" t="s">
        <v>74</v>
      </c>
      <c r="BS737" t="s">
        <v>2454</v>
      </c>
      <c r="BT737" t="str">
        <f>HYPERLINK("https%3A%2F%2Fwww.webofscience.com%2Fwos%2Fwoscc%2Ffull-record%2FWOS:000388312300013","View Full Record in Web of Science")</f>
        <v>View Full Record in Web of Science</v>
      </c>
    </row>
    <row r="738" spans="1:72" x14ac:dyDescent="0.4">
      <c r="A738" t="s">
        <v>72</v>
      </c>
      <c r="B738" t="s">
        <v>105</v>
      </c>
      <c r="C738" t="s">
        <v>74</v>
      </c>
      <c r="D738" t="s">
        <v>74</v>
      </c>
      <c r="E738" t="s">
        <v>74</v>
      </c>
      <c r="F738" t="s">
        <v>106</v>
      </c>
      <c r="G738" t="s">
        <v>74</v>
      </c>
      <c r="H738" t="s">
        <v>74</v>
      </c>
      <c r="I738" t="s">
        <v>107</v>
      </c>
      <c r="J738" t="s">
        <v>108</v>
      </c>
      <c r="K738" t="s">
        <v>74</v>
      </c>
      <c r="L738" t="s">
        <v>74</v>
      </c>
      <c r="M738" t="s">
        <v>74</v>
      </c>
      <c r="N738" t="s">
        <v>74</v>
      </c>
      <c r="O738" t="s">
        <v>74</v>
      </c>
      <c r="P738" t="s">
        <v>74</v>
      </c>
      <c r="Q738" t="s">
        <v>74</v>
      </c>
      <c r="R738" t="s">
        <v>74</v>
      </c>
      <c r="S738" t="s">
        <v>74</v>
      </c>
      <c r="T738" t="s">
        <v>74</v>
      </c>
      <c r="U738" t="s">
        <v>74</v>
      </c>
      <c r="V738" s="3" t="s">
        <v>109</v>
      </c>
      <c r="W738" t="s">
        <v>74</v>
      </c>
      <c r="X738" t="s">
        <v>74</v>
      </c>
      <c r="Y738" t="s">
        <v>74</v>
      </c>
      <c r="Z738" t="s">
        <v>74</v>
      </c>
      <c r="AA738" t="s">
        <v>74</v>
      </c>
      <c r="AB738" t="s">
        <v>110</v>
      </c>
      <c r="AC738" t="s">
        <v>74</v>
      </c>
      <c r="AD738" t="s">
        <v>74</v>
      </c>
      <c r="AE738" t="s">
        <v>74</v>
      </c>
      <c r="AF738" t="s">
        <v>74</v>
      </c>
      <c r="AG738" t="s">
        <v>74</v>
      </c>
      <c r="AH738" t="s">
        <v>74</v>
      </c>
      <c r="AI738" t="s">
        <v>74</v>
      </c>
      <c r="AJ738" t="s">
        <v>74</v>
      </c>
      <c r="AK738" t="s">
        <v>74</v>
      </c>
      <c r="AL738" t="s">
        <v>74</v>
      </c>
      <c r="AM738" t="s">
        <v>74</v>
      </c>
      <c r="AN738" t="s">
        <v>74</v>
      </c>
      <c r="AO738" t="s">
        <v>111</v>
      </c>
      <c r="AP738" t="s">
        <v>112</v>
      </c>
      <c r="AQ738" t="s">
        <v>74</v>
      </c>
      <c r="AR738" t="s">
        <v>74</v>
      </c>
      <c r="AS738" t="s">
        <v>74</v>
      </c>
      <c r="AT738" t="s">
        <v>113</v>
      </c>
      <c r="AU738">
        <v>2018</v>
      </c>
      <c r="AV738">
        <v>285</v>
      </c>
      <c r="AW738">
        <v>1884</v>
      </c>
      <c r="AX738" t="s">
        <v>74</v>
      </c>
      <c r="AY738" t="s">
        <v>74</v>
      </c>
      <c r="AZ738" t="s">
        <v>74</v>
      </c>
      <c r="BA738" t="s">
        <v>74</v>
      </c>
      <c r="BB738" t="s">
        <v>74</v>
      </c>
      <c r="BC738" t="s">
        <v>74</v>
      </c>
      <c r="BD738">
        <v>20181248</v>
      </c>
      <c r="BE738" t="s">
        <v>114</v>
      </c>
      <c r="BF738" t="str">
        <f>HYPERLINK("http://dx.doi.org/10.1098/rspb.2018.1248","http://dx.doi.org/10.1098/rspb.2018.1248")</f>
        <v>http://dx.doi.org/10.1098/rspb.2018.1248</v>
      </c>
      <c r="BG738" t="s">
        <v>74</v>
      </c>
      <c r="BH738" t="s">
        <v>74</v>
      </c>
      <c r="BI738" t="s">
        <v>74</v>
      </c>
      <c r="BJ738" t="s">
        <v>74</v>
      </c>
      <c r="BK738" t="s">
        <v>74</v>
      </c>
      <c r="BL738" t="s">
        <v>74</v>
      </c>
      <c r="BM738" t="s">
        <v>74</v>
      </c>
      <c r="BN738">
        <v>30068684</v>
      </c>
      <c r="BO738" t="s">
        <v>74</v>
      </c>
      <c r="BP738" t="s">
        <v>74</v>
      </c>
      <c r="BQ738" t="s">
        <v>74</v>
      </c>
      <c r="BR738" t="s">
        <v>74</v>
      </c>
      <c r="BS738" t="s">
        <v>115</v>
      </c>
      <c r="BT738" t="str">
        <f>HYPERLINK("https%3A%2F%2Fwww.webofscience.com%2Fwos%2Fwoscc%2Ffull-record%2FWOS:000441725900027","View Full Record in Web of Science")</f>
        <v>View Full Record in Web of Science</v>
      </c>
    </row>
    <row r="739" spans="1:72" x14ac:dyDescent="0.4">
      <c r="A739" t="s">
        <v>72</v>
      </c>
      <c r="B739" t="s">
        <v>168</v>
      </c>
      <c r="C739" t="s">
        <v>74</v>
      </c>
      <c r="D739" t="s">
        <v>74</v>
      </c>
      <c r="E739" t="s">
        <v>74</v>
      </c>
      <c r="F739" t="s">
        <v>169</v>
      </c>
      <c r="G739" t="s">
        <v>74</v>
      </c>
      <c r="H739" t="s">
        <v>74</v>
      </c>
      <c r="I739" t="s">
        <v>170</v>
      </c>
      <c r="J739" t="s">
        <v>171</v>
      </c>
      <c r="K739" t="s">
        <v>74</v>
      </c>
      <c r="L739" t="s">
        <v>74</v>
      </c>
      <c r="M739" t="s">
        <v>74</v>
      </c>
      <c r="N739" t="s">
        <v>74</v>
      </c>
      <c r="O739" t="s">
        <v>74</v>
      </c>
      <c r="P739" t="s">
        <v>74</v>
      </c>
      <c r="Q739" t="s">
        <v>74</v>
      </c>
      <c r="R739" t="s">
        <v>74</v>
      </c>
      <c r="S739" t="s">
        <v>74</v>
      </c>
      <c r="T739" t="s">
        <v>74</v>
      </c>
      <c r="U739" t="s">
        <v>74</v>
      </c>
      <c r="V739" s="3" t="s">
        <v>172</v>
      </c>
      <c r="W739" t="s">
        <v>74</v>
      </c>
      <c r="X739" t="s">
        <v>74</v>
      </c>
      <c r="Y739" t="s">
        <v>74</v>
      </c>
      <c r="Z739" t="s">
        <v>74</v>
      </c>
      <c r="AA739" t="s">
        <v>74</v>
      </c>
      <c r="AB739" t="s">
        <v>110</v>
      </c>
      <c r="AC739" t="s">
        <v>74</v>
      </c>
      <c r="AD739" t="s">
        <v>74</v>
      </c>
      <c r="AE739" t="s">
        <v>74</v>
      </c>
      <c r="AF739" t="s">
        <v>74</v>
      </c>
      <c r="AG739" t="s">
        <v>74</v>
      </c>
      <c r="AH739" t="s">
        <v>74</v>
      </c>
      <c r="AI739" t="s">
        <v>74</v>
      </c>
      <c r="AJ739" t="s">
        <v>74</v>
      </c>
      <c r="AK739" t="s">
        <v>74</v>
      </c>
      <c r="AL739" t="s">
        <v>74</v>
      </c>
      <c r="AM739" t="s">
        <v>74</v>
      </c>
      <c r="AN739" t="s">
        <v>74</v>
      </c>
      <c r="AO739" t="s">
        <v>173</v>
      </c>
      <c r="AP739" t="s">
        <v>174</v>
      </c>
      <c r="AQ739" t="s">
        <v>74</v>
      </c>
      <c r="AR739" t="s">
        <v>74</v>
      </c>
      <c r="AS739" t="s">
        <v>74</v>
      </c>
      <c r="AT739" t="s">
        <v>175</v>
      </c>
      <c r="AU739">
        <v>2017</v>
      </c>
      <c r="AV739">
        <v>71</v>
      </c>
      <c r="AW739">
        <v>10</v>
      </c>
      <c r="AX739" t="s">
        <v>74</v>
      </c>
      <c r="AY739" t="s">
        <v>74</v>
      </c>
      <c r="AZ739" t="s">
        <v>74</v>
      </c>
      <c r="BA739" t="s">
        <v>74</v>
      </c>
      <c r="BB739">
        <v>2428</v>
      </c>
      <c r="BC739">
        <v>2444</v>
      </c>
      <c r="BD739" t="s">
        <v>74</v>
      </c>
      <c r="BE739" t="s">
        <v>176</v>
      </c>
      <c r="BF739" t="str">
        <f>HYPERLINK("http://dx.doi.org/10.1111/evo.13321","http://dx.doi.org/10.1111/evo.13321")</f>
        <v>http://dx.doi.org/10.1111/evo.13321</v>
      </c>
      <c r="BG739" t="s">
        <v>74</v>
      </c>
      <c r="BH739" t="s">
        <v>74</v>
      </c>
      <c r="BI739" t="s">
        <v>74</v>
      </c>
      <c r="BJ739" t="s">
        <v>74</v>
      </c>
      <c r="BK739" t="s">
        <v>74</v>
      </c>
      <c r="BL739" t="s">
        <v>74</v>
      </c>
      <c r="BM739" t="s">
        <v>74</v>
      </c>
      <c r="BN739">
        <v>28776645</v>
      </c>
      <c r="BO739" t="s">
        <v>74</v>
      </c>
      <c r="BP739" t="s">
        <v>74</v>
      </c>
      <c r="BQ739" t="s">
        <v>74</v>
      </c>
      <c r="BR739" t="s">
        <v>74</v>
      </c>
      <c r="BS739" t="s">
        <v>177</v>
      </c>
      <c r="BT739" t="str">
        <f>HYPERLINK("https%3A%2F%2Fwww.webofscience.com%2Fwos%2Fwoscc%2Ffull-record%2FWOS:000412834700011","View Full Record in Web of Science")</f>
        <v>View Full Record in Web of Science</v>
      </c>
    </row>
    <row r="740" spans="1:72" x14ac:dyDescent="0.4">
      <c r="A740" t="s">
        <v>72</v>
      </c>
      <c r="B740" t="s">
        <v>6835</v>
      </c>
      <c r="C740" t="s">
        <v>74</v>
      </c>
      <c r="D740" t="s">
        <v>74</v>
      </c>
      <c r="E740" t="s">
        <v>74</v>
      </c>
      <c r="F740" t="s">
        <v>6836</v>
      </c>
      <c r="G740" t="s">
        <v>74</v>
      </c>
      <c r="H740" t="s">
        <v>74</v>
      </c>
      <c r="I740" t="s">
        <v>6837</v>
      </c>
      <c r="J740" t="s">
        <v>1656</v>
      </c>
      <c r="K740" t="s">
        <v>74</v>
      </c>
      <c r="L740" t="s">
        <v>74</v>
      </c>
      <c r="M740" t="s">
        <v>74</v>
      </c>
      <c r="N740" t="s">
        <v>74</v>
      </c>
      <c r="O740" t="s">
        <v>74</v>
      </c>
      <c r="P740" t="s">
        <v>74</v>
      </c>
      <c r="Q740" t="s">
        <v>74</v>
      </c>
      <c r="R740" t="s">
        <v>74</v>
      </c>
      <c r="S740" t="s">
        <v>74</v>
      </c>
      <c r="T740" t="s">
        <v>74</v>
      </c>
      <c r="U740" t="s">
        <v>74</v>
      </c>
      <c r="V740" s="3" t="s">
        <v>6838</v>
      </c>
      <c r="W740" t="s">
        <v>74</v>
      </c>
      <c r="X740" t="s">
        <v>74</v>
      </c>
      <c r="Y740" t="s">
        <v>74</v>
      </c>
      <c r="Z740" t="s">
        <v>74</v>
      </c>
      <c r="AA740" t="s">
        <v>74</v>
      </c>
      <c r="AB740" t="s">
        <v>6839</v>
      </c>
      <c r="AC740" t="s">
        <v>74</v>
      </c>
      <c r="AD740" t="s">
        <v>74</v>
      </c>
      <c r="AE740" t="s">
        <v>74</v>
      </c>
      <c r="AF740" t="s">
        <v>74</v>
      </c>
      <c r="AG740" t="s">
        <v>74</v>
      </c>
      <c r="AH740" t="s">
        <v>74</v>
      </c>
      <c r="AI740" t="s">
        <v>74</v>
      </c>
      <c r="AJ740" t="s">
        <v>74</v>
      </c>
      <c r="AK740" t="s">
        <v>74</v>
      </c>
      <c r="AL740" t="s">
        <v>74</v>
      </c>
      <c r="AM740" t="s">
        <v>74</v>
      </c>
      <c r="AN740" t="s">
        <v>74</v>
      </c>
      <c r="AO740" t="s">
        <v>1658</v>
      </c>
      <c r="AP740" t="s">
        <v>1659</v>
      </c>
      <c r="AQ740" t="s">
        <v>74</v>
      </c>
      <c r="AR740" t="s">
        <v>74</v>
      </c>
      <c r="AS740" t="s">
        <v>74</v>
      </c>
      <c r="AT740" t="s">
        <v>6840</v>
      </c>
      <c r="AU740">
        <v>2019</v>
      </c>
      <c r="AV740">
        <v>4700</v>
      </c>
      <c r="AW740">
        <v>4</v>
      </c>
      <c r="AX740" t="s">
        <v>74</v>
      </c>
      <c r="AY740" t="s">
        <v>74</v>
      </c>
      <c r="AZ740" t="s">
        <v>74</v>
      </c>
      <c r="BA740" t="s">
        <v>74</v>
      </c>
      <c r="BB740">
        <v>501</v>
      </c>
      <c r="BC740">
        <v>534</v>
      </c>
      <c r="BD740" t="s">
        <v>74</v>
      </c>
      <c r="BE740" t="s">
        <v>6841</v>
      </c>
      <c r="BF740" t="str">
        <f>HYPERLINK("http://dx.doi.org/10.11646/zootaxa.4700.4.9","http://dx.doi.org/10.11646/zootaxa.4700.4.9")</f>
        <v>http://dx.doi.org/10.11646/zootaxa.4700.4.9</v>
      </c>
      <c r="BG740" t="s">
        <v>74</v>
      </c>
      <c r="BH740" t="s">
        <v>74</v>
      </c>
      <c r="BI740" t="s">
        <v>74</v>
      </c>
      <c r="BJ740" t="s">
        <v>74</v>
      </c>
      <c r="BK740" t="s">
        <v>74</v>
      </c>
      <c r="BL740" t="s">
        <v>74</v>
      </c>
      <c r="BM740" t="s">
        <v>74</v>
      </c>
      <c r="BN740">
        <v>32229960</v>
      </c>
      <c r="BO740" t="s">
        <v>74</v>
      </c>
      <c r="BP740" t="s">
        <v>74</v>
      </c>
      <c r="BQ740" t="s">
        <v>74</v>
      </c>
      <c r="BR740" t="s">
        <v>74</v>
      </c>
      <c r="BS740" t="s">
        <v>6842</v>
      </c>
      <c r="BT740" t="str">
        <f>HYPERLINK("https%3A%2F%2Fwww.webofscience.com%2Fwos%2Fwoscc%2Ffull-record%2FWOS:000498944700009","View Full Record in Web of Science")</f>
        <v>View Full Record in Web of Science</v>
      </c>
    </row>
    <row r="741" spans="1:72" x14ac:dyDescent="0.4">
      <c r="A741" t="s">
        <v>72</v>
      </c>
      <c r="B741" t="s">
        <v>559</v>
      </c>
      <c r="C741" t="s">
        <v>74</v>
      </c>
      <c r="D741" t="s">
        <v>74</v>
      </c>
      <c r="E741" t="s">
        <v>74</v>
      </c>
      <c r="F741" t="s">
        <v>559</v>
      </c>
      <c r="G741" t="s">
        <v>74</v>
      </c>
      <c r="H741" t="s">
        <v>74</v>
      </c>
      <c r="I741" t="s">
        <v>560</v>
      </c>
      <c r="J741" t="s">
        <v>129</v>
      </c>
      <c r="K741" t="s">
        <v>74</v>
      </c>
      <c r="L741" t="s">
        <v>74</v>
      </c>
      <c r="M741" t="s">
        <v>74</v>
      </c>
      <c r="N741" t="s">
        <v>74</v>
      </c>
      <c r="O741" t="s">
        <v>74</v>
      </c>
      <c r="P741" t="s">
        <v>74</v>
      </c>
      <c r="Q741" t="s">
        <v>74</v>
      </c>
      <c r="R741" t="s">
        <v>74</v>
      </c>
      <c r="S741" t="s">
        <v>74</v>
      </c>
      <c r="T741" t="s">
        <v>74</v>
      </c>
      <c r="U741" t="s">
        <v>74</v>
      </c>
      <c r="V741" s="3" t="s">
        <v>561</v>
      </c>
      <c r="W741" t="s">
        <v>74</v>
      </c>
      <c r="X741" t="s">
        <v>74</v>
      </c>
      <c r="Y741" t="s">
        <v>74</v>
      </c>
      <c r="Z741" t="s">
        <v>74</v>
      </c>
      <c r="AA741" t="s">
        <v>74</v>
      </c>
      <c r="AB741" t="s">
        <v>74</v>
      </c>
      <c r="AC741" t="s">
        <v>74</v>
      </c>
      <c r="AD741" t="s">
        <v>74</v>
      </c>
      <c r="AE741" t="s">
        <v>74</v>
      </c>
      <c r="AF741" t="s">
        <v>74</v>
      </c>
      <c r="AG741" t="s">
        <v>74</v>
      </c>
      <c r="AH741" t="s">
        <v>74</v>
      </c>
      <c r="AI741" t="s">
        <v>74</v>
      </c>
      <c r="AJ741" t="s">
        <v>74</v>
      </c>
      <c r="AK741" t="s">
        <v>74</v>
      </c>
      <c r="AL741" t="s">
        <v>74</v>
      </c>
      <c r="AM741" t="s">
        <v>74</v>
      </c>
      <c r="AN741" t="s">
        <v>74</v>
      </c>
      <c r="AO741" t="s">
        <v>132</v>
      </c>
      <c r="AP741" t="s">
        <v>133</v>
      </c>
      <c r="AQ741" t="s">
        <v>74</v>
      </c>
      <c r="AR741" t="s">
        <v>74</v>
      </c>
      <c r="AS741" t="s">
        <v>74</v>
      </c>
      <c r="AT741" t="s">
        <v>213</v>
      </c>
      <c r="AU741">
        <v>2005</v>
      </c>
      <c r="AV741">
        <v>59</v>
      </c>
      <c r="AW741">
        <v>1</v>
      </c>
      <c r="AX741" t="s">
        <v>74</v>
      </c>
      <c r="AY741" t="s">
        <v>74</v>
      </c>
      <c r="AZ741" t="s">
        <v>74</v>
      </c>
      <c r="BA741" t="s">
        <v>74</v>
      </c>
      <c r="BB741">
        <v>51</v>
      </c>
      <c r="BC741">
        <v>57</v>
      </c>
      <c r="BD741" t="s">
        <v>74</v>
      </c>
      <c r="BE741" t="s">
        <v>562</v>
      </c>
      <c r="BF741" t="str">
        <f>HYPERLINK("http://dx.doi.org/10.1007/s00265-005-0008-9","http://dx.doi.org/10.1007/s00265-005-0008-9")</f>
        <v>http://dx.doi.org/10.1007/s00265-005-0008-9</v>
      </c>
      <c r="BG741" t="s">
        <v>74</v>
      </c>
      <c r="BH741" t="s">
        <v>74</v>
      </c>
      <c r="BI741" t="s">
        <v>74</v>
      </c>
      <c r="BJ741" t="s">
        <v>74</v>
      </c>
      <c r="BK741" t="s">
        <v>74</v>
      </c>
      <c r="BL741" t="s">
        <v>74</v>
      </c>
      <c r="BM741" t="s">
        <v>74</v>
      </c>
      <c r="BN741" t="s">
        <v>74</v>
      </c>
      <c r="BO741" t="s">
        <v>74</v>
      </c>
      <c r="BP741" t="s">
        <v>74</v>
      </c>
      <c r="BQ741" t="s">
        <v>74</v>
      </c>
      <c r="BR741" t="s">
        <v>74</v>
      </c>
      <c r="BS741" t="s">
        <v>563</v>
      </c>
      <c r="BT741" t="str">
        <f>HYPERLINK("https%3A%2F%2Fwww.webofscience.com%2Fwos%2Fwoscc%2Ffull-record%2FWOS:000233242600008","View Full Record in Web of Science")</f>
        <v>View Full Record in Web of Science</v>
      </c>
    </row>
    <row r="742" spans="1:72" x14ac:dyDescent="0.4">
      <c r="A742" t="s">
        <v>72</v>
      </c>
      <c r="B742" t="s">
        <v>3976</v>
      </c>
      <c r="C742" t="s">
        <v>74</v>
      </c>
      <c r="D742" t="s">
        <v>74</v>
      </c>
      <c r="E742" t="s">
        <v>74</v>
      </c>
      <c r="F742" t="s">
        <v>3976</v>
      </c>
      <c r="G742" t="s">
        <v>74</v>
      </c>
      <c r="H742" t="s">
        <v>74</v>
      </c>
      <c r="I742" t="s">
        <v>3977</v>
      </c>
      <c r="J742" t="s">
        <v>108</v>
      </c>
      <c r="K742" t="s">
        <v>74</v>
      </c>
      <c r="L742" t="s">
        <v>74</v>
      </c>
      <c r="M742" t="s">
        <v>74</v>
      </c>
      <c r="N742" t="s">
        <v>74</v>
      </c>
      <c r="O742" t="s">
        <v>74</v>
      </c>
      <c r="P742" t="s">
        <v>74</v>
      </c>
      <c r="Q742" t="s">
        <v>74</v>
      </c>
      <c r="R742" t="s">
        <v>74</v>
      </c>
      <c r="S742" t="s">
        <v>74</v>
      </c>
      <c r="T742" t="s">
        <v>74</v>
      </c>
      <c r="U742" t="s">
        <v>74</v>
      </c>
      <c r="V742" s="3" t="s">
        <v>3978</v>
      </c>
      <c r="W742" t="s">
        <v>74</v>
      </c>
      <c r="X742" t="s">
        <v>74</v>
      </c>
      <c r="Y742" t="s">
        <v>74</v>
      </c>
      <c r="Z742" t="s">
        <v>74</v>
      </c>
      <c r="AA742" t="s">
        <v>74</v>
      </c>
      <c r="AB742" t="s">
        <v>3979</v>
      </c>
      <c r="AC742" t="s">
        <v>74</v>
      </c>
      <c r="AD742" t="s">
        <v>74</v>
      </c>
      <c r="AE742" t="s">
        <v>74</v>
      </c>
      <c r="AF742" t="s">
        <v>74</v>
      </c>
      <c r="AG742" t="s">
        <v>74</v>
      </c>
      <c r="AH742" t="s">
        <v>74</v>
      </c>
      <c r="AI742" t="s">
        <v>74</v>
      </c>
      <c r="AJ742" t="s">
        <v>74</v>
      </c>
      <c r="AK742" t="s">
        <v>74</v>
      </c>
      <c r="AL742" t="s">
        <v>74</v>
      </c>
      <c r="AM742" t="s">
        <v>74</v>
      </c>
      <c r="AN742" t="s">
        <v>74</v>
      </c>
      <c r="AO742" t="s">
        <v>111</v>
      </c>
      <c r="AP742" t="s">
        <v>112</v>
      </c>
      <c r="AQ742" t="s">
        <v>74</v>
      </c>
      <c r="AR742" t="s">
        <v>74</v>
      </c>
      <c r="AS742" t="s">
        <v>74</v>
      </c>
      <c r="AT742" t="s">
        <v>3980</v>
      </c>
      <c r="AU742">
        <v>2003</v>
      </c>
      <c r="AV742">
        <v>270</v>
      </c>
      <c r="AW742">
        <v>1530</v>
      </c>
      <c r="AX742" t="s">
        <v>74</v>
      </c>
      <c r="AY742" t="s">
        <v>74</v>
      </c>
      <c r="AZ742" t="s">
        <v>74</v>
      </c>
      <c r="BA742" t="s">
        <v>74</v>
      </c>
      <c r="BB742">
        <v>2271</v>
      </c>
      <c r="BC742">
        <v>2277</v>
      </c>
      <c r="BD742" t="s">
        <v>74</v>
      </c>
      <c r="BE742" t="s">
        <v>3981</v>
      </c>
      <c r="BF742" t="str">
        <f>HYPERLINK("http://dx.doi.org/10.1098/rspb.2003.2510","http://dx.doi.org/10.1098/rspb.2003.2510")</f>
        <v>http://dx.doi.org/10.1098/rspb.2003.2510</v>
      </c>
      <c r="BG742" t="s">
        <v>74</v>
      </c>
      <c r="BH742" t="s">
        <v>74</v>
      </c>
      <c r="BI742" t="s">
        <v>74</v>
      </c>
      <c r="BJ742" t="s">
        <v>74</v>
      </c>
      <c r="BK742" t="s">
        <v>74</v>
      </c>
      <c r="BL742" t="s">
        <v>74</v>
      </c>
      <c r="BM742" t="s">
        <v>74</v>
      </c>
      <c r="BN742">
        <v>14613614</v>
      </c>
      <c r="BO742" t="s">
        <v>74</v>
      </c>
      <c r="BP742" t="s">
        <v>74</v>
      </c>
      <c r="BQ742" t="s">
        <v>74</v>
      </c>
      <c r="BR742" t="s">
        <v>74</v>
      </c>
      <c r="BS742" t="s">
        <v>3982</v>
      </c>
      <c r="BT742" t="str">
        <f>HYPERLINK("https%3A%2F%2Fwww.webofscience.com%2Fwos%2Fwoscc%2Ffull-record%2FWOS:000186630800010","View Full Record in Web of Science")</f>
        <v>View Full Record in Web of Science</v>
      </c>
    </row>
    <row r="743" spans="1:72" x14ac:dyDescent="0.4">
      <c r="A743" t="s">
        <v>72</v>
      </c>
      <c r="B743" t="s">
        <v>3746</v>
      </c>
      <c r="C743" t="s">
        <v>74</v>
      </c>
      <c r="D743" t="s">
        <v>74</v>
      </c>
      <c r="E743" t="s">
        <v>74</v>
      </c>
      <c r="F743" t="s">
        <v>3747</v>
      </c>
      <c r="G743" t="s">
        <v>74</v>
      </c>
      <c r="H743" t="s">
        <v>74</v>
      </c>
      <c r="I743" t="s">
        <v>3748</v>
      </c>
      <c r="J743" t="s">
        <v>3089</v>
      </c>
      <c r="K743" t="s">
        <v>74</v>
      </c>
      <c r="L743" t="s">
        <v>74</v>
      </c>
      <c r="M743" t="s">
        <v>74</v>
      </c>
      <c r="N743" t="s">
        <v>74</v>
      </c>
      <c r="O743" t="s">
        <v>74</v>
      </c>
      <c r="P743" t="s">
        <v>74</v>
      </c>
      <c r="Q743" t="s">
        <v>74</v>
      </c>
      <c r="R743" t="s">
        <v>74</v>
      </c>
      <c r="S743" t="s">
        <v>74</v>
      </c>
      <c r="T743" t="s">
        <v>74</v>
      </c>
      <c r="U743" t="s">
        <v>74</v>
      </c>
      <c r="V743" s="3" t="s">
        <v>3749</v>
      </c>
      <c r="W743" t="s">
        <v>74</v>
      </c>
      <c r="X743" t="s">
        <v>74</v>
      </c>
      <c r="Y743" t="s">
        <v>74</v>
      </c>
      <c r="Z743" t="s">
        <v>74</v>
      </c>
      <c r="AA743" t="s">
        <v>3750</v>
      </c>
      <c r="AB743" t="s">
        <v>74</v>
      </c>
      <c r="AC743" t="s">
        <v>74</v>
      </c>
      <c r="AD743" t="s">
        <v>74</v>
      </c>
      <c r="AE743" t="s">
        <v>74</v>
      </c>
      <c r="AF743" t="s">
        <v>74</v>
      </c>
      <c r="AG743" t="s">
        <v>74</v>
      </c>
      <c r="AH743" t="s">
        <v>74</v>
      </c>
      <c r="AI743" t="s">
        <v>74</v>
      </c>
      <c r="AJ743" t="s">
        <v>74</v>
      </c>
      <c r="AK743" t="s">
        <v>74</v>
      </c>
      <c r="AL743" t="s">
        <v>74</v>
      </c>
      <c r="AM743" t="s">
        <v>74</v>
      </c>
      <c r="AN743" t="s">
        <v>74</v>
      </c>
      <c r="AO743" t="s">
        <v>3093</v>
      </c>
      <c r="AP743" t="s">
        <v>3094</v>
      </c>
      <c r="AQ743" t="s">
        <v>74</v>
      </c>
      <c r="AR743" t="s">
        <v>74</v>
      </c>
      <c r="AS743" t="s">
        <v>74</v>
      </c>
      <c r="AT743" t="s">
        <v>74</v>
      </c>
      <c r="AU743">
        <v>2006</v>
      </c>
      <c r="AV743">
        <v>24</v>
      </c>
      <c r="AW743">
        <v>3</v>
      </c>
      <c r="AX743" t="s">
        <v>74</v>
      </c>
      <c r="AY743" t="s">
        <v>74</v>
      </c>
      <c r="AZ743" t="s">
        <v>74</v>
      </c>
      <c r="BA743" t="s">
        <v>74</v>
      </c>
      <c r="BB743">
        <v>261</v>
      </c>
      <c r="BC743">
        <v>266</v>
      </c>
      <c r="BD743" t="s">
        <v>74</v>
      </c>
      <c r="BE743" t="s">
        <v>3751</v>
      </c>
      <c r="BF743" t="str">
        <f>HYPERLINK("http://dx.doi.org/10.1007/s10164-005-0187-x","http://dx.doi.org/10.1007/s10164-005-0187-x")</f>
        <v>http://dx.doi.org/10.1007/s10164-005-0187-x</v>
      </c>
      <c r="BG743" t="s">
        <v>74</v>
      </c>
      <c r="BH743" t="s">
        <v>74</v>
      </c>
      <c r="BI743" t="s">
        <v>74</v>
      </c>
      <c r="BJ743" t="s">
        <v>74</v>
      </c>
      <c r="BK743" t="s">
        <v>74</v>
      </c>
      <c r="BL743" t="s">
        <v>74</v>
      </c>
      <c r="BM743" t="s">
        <v>74</v>
      </c>
      <c r="BN743" t="s">
        <v>74</v>
      </c>
      <c r="BO743" t="s">
        <v>74</v>
      </c>
      <c r="BP743" t="s">
        <v>74</v>
      </c>
      <c r="BQ743" t="s">
        <v>74</v>
      </c>
      <c r="BR743" t="s">
        <v>74</v>
      </c>
      <c r="BS743" t="s">
        <v>3752</v>
      </c>
      <c r="BT743" t="str">
        <f>HYPERLINK("https%3A%2F%2Fwww.webofscience.com%2Fwos%2Fwoscc%2Ffull-record%2FWOS:000239427700009","View Full Record in Web of Science")</f>
        <v>View Full Record in Web of Science</v>
      </c>
    </row>
    <row r="744" spans="1:72" x14ac:dyDescent="0.4">
      <c r="A744" t="s">
        <v>72</v>
      </c>
      <c r="B744" t="s">
        <v>7154</v>
      </c>
      <c r="C744" t="s">
        <v>74</v>
      </c>
      <c r="D744" t="s">
        <v>74</v>
      </c>
      <c r="E744" t="s">
        <v>74</v>
      </c>
      <c r="F744" t="s">
        <v>7155</v>
      </c>
      <c r="G744" t="s">
        <v>74</v>
      </c>
      <c r="H744" t="s">
        <v>74</v>
      </c>
      <c r="I744" t="s">
        <v>7156</v>
      </c>
      <c r="J744" t="s">
        <v>610</v>
      </c>
      <c r="K744" t="s">
        <v>74</v>
      </c>
      <c r="L744" t="s">
        <v>74</v>
      </c>
      <c r="M744" t="s">
        <v>74</v>
      </c>
      <c r="N744" t="s">
        <v>74</v>
      </c>
      <c r="O744" t="s">
        <v>74</v>
      </c>
      <c r="P744" t="s">
        <v>74</v>
      </c>
      <c r="Q744" t="s">
        <v>74</v>
      </c>
      <c r="R744" t="s">
        <v>74</v>
      </c>
      <c r="S744" t="s">
        <v>74</v>
      </c>
      <c r="T744" t="s">
        <v>74</v>
      </c>
      <c r="U744" t="s">
        <v>74</v>
      </c>
      <c r="V744" s="3" t="s">
        <v>7157</v>
      </c>
      <c r="W744" t="s">
        <v>74</v>
      </c>
      <c r="X744" t="s">
        <v>74</v>
      </c>
      <c r="Y744" t="s">
        <v>74</v>
      </c>
      <c r="Z744" t="s">
        <v>74</v>
      </c>
      <c r="AA744" t="s">
        <v>7158</v>
      </c>
      <c r="AB744" t="s">
        <v>7159</v>
      </c>
      <c r="AC744" t="s">
        <v>74</v>
      </c>
      <c r="AD744" t="s">
        <v>74</v>
      </c>
      <c r="AE744" t="s">
        <v>74</v>
      </c>
      <c r="AF744" t="s">
        <v>74</v>
      </c>
      <c r="AG744" t="s">
        <v>74</v>
      </c>
      <c r="AH744" t="s">
        <v>74</v>
      </c>
      <c r="AI744" t="s">
        <v>74</v>
      </c>
      <c r="AJ744" t="s">
        <v>74</v>
      </c>
      <c r="AK744" t="s">
        <v>74</v>
      </c>
      <c r="AL744" t="s">
        <v>74</v>
      </c>
      <c r="AM744" t="s">
        <v>74</v>
      </c>
      <c r="AN744" t="s">
        <v>74</v>
      </c>
      <c r="AO744" t="s">
        <v>614</v>
      </c>
      <c r="AP744" t="s">
        <v>615</v>
      </c>
      <c r="AQ744" t="s">
        <v>74</v>
      </c>
      <c r="AR744" t="s">
        <v>74</v>
      </c>
      <c r="AS744" t="s">
        <v>74</v>
      </c>
      <c r="AT744" t="s">
        <v>102</v>
      </c>
      <c r="AU744">
        <v>2014</v>
      </c>
      <c r="AV744">
        <v>120</v>
      </c>
      <c r="AW744">
        <v>6</v>
      </c>
      <c r="AX744" t="s">
        <v>74</v>
      </c>
      <c r="AY744" t="s">
        <v>74</v>
      </c>
      <c r="AZ744" t="s">
        <v>74</v>
      </c>
      <c r="BA744" t="s">
        <v>74</v>
      </c>
      <c r="BB744">
        <v>616</v>
      </c>
      <c r="BC744">
        <v>626</v>
      </c>
      <c r="BD744" t="s">
        <v>74</v>
      </c>
      <c r="BE744" t="s">
        <v>7160</v>
      </c>
      <c r="BF744" t="str">
        <f>HYPERLINK("http://dx.doi.org/10.1111/eth.12234","http://dx.doi.org/10.1111/eth.12234")</f>
        <v>http://dx.doi.org/10.1111/eth.12234</v>
      </c>
      <c r="BG744" t="s">
        <v>74</v>
      </c>
      <c r="BH744" t="s">
        <v>74</v>
      </c>
      <c r="BI744" t="s">
        <v>74</v>
      </c>
      <c r="BJ744" t="s">
        <v>74</v>
      </c>
      <c r="BK744" t="s">
        <v>74</v>
      </c>
      <c r="BL744" t="s">
        <v>74</v>
      </c>
      <c r="BM744" t="s">
        <v>74</v>
      </c>
      <c r="BN744" t="s">
        <v>74</v>
      </c>
      <c r="BO744" t="s">
        <v>74</v>
      </c>
      <c r="BP744" t="s">
        <v>74</v>
      </c>
      <c r="BQ744" t="s">
        <v>74</v>
      </c>
      <c r="BR744" t="s">
        <v>74</v>
      </c>
      <c r="BS744" t="s">
        <v>7161</v>
      </c>
      <c r="BT744" t="str">
        <f>HYPERLINK("https%3A%2F%2Fwww.webofscience.com%2Fwos%2Fwoscc%2Ffull-record%2FWOS:000334692600010","View Full Record in Web of Science")</f>
        <v>View Full Record in Web of Science</v>
      </c>
    </row>
    <row r="745" spans="1:72" x14ac:dyDescent="0.4">
      <c r="A745" t="s">
        <v>72</v>
      </c>
      <c r="B745" t="s">
        <v>8357</v>
      </c>
      <c r="C745" t="s">
        <v>74</v>
      </c>
      <c r="D745" t="s">
        <v>74</v>
      </c>
      <c r="E745" t="s">
        <v>74</v>
      </c>
      <c r="F745" t="s">
        <v>8358</v>
      </c>
      <c r="G745" t="s">
        <v>74</v>
      </c>
      <c r="H745" t="s">
        <v>74</v>
      </c>
      <c r="I745" t="s">
        <v>8359</v>
      </c>
      <c r="J745" t="s">
        <v>1803</v>
      </c>
      <c r="K745" t="s">
        <v>74</v>
      </c>
      <c r="L745" t="s">
        <v>74</v>
      </c>
      <c r="M745" t="s">
        <v>74</v>
      </c>
      <c r="N745" t="s">
        <v>74</v>
      </c>
      <c r="O745" t="s">
        <v>74</v>
      </c>
      <c r="P745" t="s">
        <v>74</v>
      </c>
      <c r="Q745" t="s">
        <v>74</v>
      </c>
      <c r="R745" t="s">
        <v>74</v>
      </c>
      <c r="S745" t="s">
        <v>74</v>
      </c>
      <c r="T745" t="s">
        <v>74</v>
      </c>
      <c r="U745" t="s">
        <v>74</v>
      </c>
      <c r="V745" s="3" t="s">
        <v>8360</v>
      </c>
      <c r="W745" t="s">
        <v>74</v>
      </c>
      <c r="X745" t="s">
        <v>74</v>
      </c>
      <c r="Y745" t="s">
        <v>74</v>
      </c>
      <c r="Z745" t="s">
        <v>74</v>
      </c>
      <c r="AA745" t="s">
        <v>8361</v>
      </c>
      <c r="AB745" t="s">
        <v>8362</v>
      </c>
      <c r="AC745" t="s">
        <v>74</v>
      </c>
      <c r="AD745" t="s">
        <v>74</v>
      </c>
      <c r="AE745" t="s">
        <v>74</v>
      </c>
      <c r="AF745" t="s">
        <v>74</v>
      </c>
      <c r="AG745" t="s">
        <v>74</v>
      </c>
      <c r="AH745" t="s">
        <v>74</v>
      </c>
      <c r="AI745" t="s">
        <v>74</v>
      </c>
      <c r="AJ745" t="s">
        <v>74</v>
      </c>
      <c r="AK745" t="s">
        <v>74</v>
      </c>
      <c r="AL745" t="s">
        <v>74</v>
      </c>
      <c r="AM745" t="s">
        <v>74</v>
      </c>
      <c r="AN745" t="s">
        <v>74</v>
      </c>
      <c r="AO745" t="s">
        <v>1807</v>
      </c>
      <c r="AP745" t="s">
        <v>1808</v>
      </c>
      <c r="AQ745" t="s">
        <v>74</v>
      </c>
      <c r="AR745" t="s">
        <v>74</v>
      </c>
      <c r="AS745" t="s">
        <v>74</v>
      </c>
      <c r="AT745" t="s">
        <v>175</v>
      </c>
      <c r="AU745">
        <v>2007</v>
      </c>
      <c r="AV745">
        <v>21</v>
      </c>
      <c r="AW745">
        <v>5</v>
      </c>
      <c r="AX745" t="s">
        <v>74</v>
      </c>
      <c r="AY745" t="s">
        <v>74</v>
      </c>
      <c r="AZ745" t="s">
        <v>74</v>
      </c>
      <c r="BA745" t="s">
        <v>74</v>
      </c>
      <c r="BB745">
        <v>886</v>
      </c>
      <c r="BC745">
        <v>898</v>
      </c>
      <c r="BD745" t="s">
        <v>74</v>
      </c>
      <c r="BE745" t="s">
        <v>8363</v>
      </c>
      <c r="BF745" t="str">
        <f>HYPERLINK("http://dx.doi.org/10.1111/j.1365-2435.2007.01302.x","http://dx.doi.org/10.1111/j.1365-2435.2007.01302.x")</f>
        <v>http://dx.doi.org/10.1111/j.1365-2435.2007.01302.x</v>
      </c>
      <c r="BG745" t="s">
        <v>74</v>
      </c>
      <c r="BH745" t="s">
        <v>74</v>
      </c>
      <c r="BI745" t="s">
        <v>74</v>
      </c>
      <c r="BJ745" t="s">
        <v>74</v>
      </c>
      <c r="BK745" t="s">
        <v>74</v>
      </c>
      <c r="BL745" t="s">
        <v>74</v>
      </c>
      <c r="BM745" t="s">
        <v>74</v>
      </c>
      <c r="BN745" t="s">
        <v>74</v>
      </c>
      <c r="BO745" t="s">
        <v>74</v>
      </c>
      <c r="BP745" t="s">
        <v>74</v>
      </c>
      <c r="BQ745" t="s">
        <v>74</v>
      </c>
      <c r="BR745" t="s">
        <v>74</v>
      </c>
      <c r="BS745" t="s">
        <v>8364</v>
      </c>
      <c r="BT745" t="str">
        <f>HYPERLINK("https%3A%2F%2Fwww.webofscience.com%2Fwos%2Fwoscc%2Ffull-record%2FWOS:000249165000008","View Full Record in Web of Science")</f>
        <v>View Full Record in Web of Science</v>
      </c>
    </row>
    <row r="746" spans="1:72" x14ac:dyDescent="0.4">
      <c r="A746" t="s">
        <v>72</v>
      </c>
      <c r="B746" t="s">
        <v>5362</v>
      </c>
      <c r="C746" t="s">
        <v>74</v>
      </c>
      <c r="D746" t="s">
        <v>74</v>
      </c>
      <c r="E746" t="s">
        <v>74</v>
      </c>
      <c r="F746" t="s">
        <v>5362</v>
      </c>
      <c r="G746" t="s">
        <v>74</v>
      </c>
      <c r="H746" t="s">
        <v>74</v>
      </c>
      <c r="I746" t="s">
        <v>5363</v>
      </c>
      <c r="J746" t="s">
        <v>140</v>
      </c>
      <c r="K746" t="s">
        <v>74</v>
      </c>
      <c r="L746" t="s">
        <v>74</v>
      </c>
      <c r="M746" t="s">
        <v>74</v>
      </c>
      <c r="N746" t="s">
        <v>74</v>
      </c>
      <c r="O746" t="s">
        <v>74</v>
      </c>
      <c r="P746" t="s">
        <v>74</v>
      </c>
      <c r="Q746" t="s">
        <v>74</v>
      </c>
      <c r="R746" t="s">
        <v>74</v>
      </c>
      <c r="S746" t="s">
        <v>74</v>
      </c>
      <c r="T746" t="s">
        <v>74</v>
      </c>
      <c r="U746" t="s">
        <v>74</v>
      </c>
      <c r="V746" s="3" t="s">
        <v>5364</v>
      </c>
      <c r="W746" t="s">
        <v>74</v>
      </c>
      <c r="X746" t="s">
        <v>74</v>
      </c>
      <c r="Y746" t="s">
        <v>74</v>
      </c>
      <c r="Z746" t="s">
        <v>74</v>
      </c>
      <c r="AA746" t="s">
        <v>5365</v>
      </c>
      <c r="AB746" t="s">
        <v>5366</v>
      </c>
      <c r="AC746" t="s">
        <v>74</v>
      </c>
      <c r="AD746" t="s">
        <v>74</v>
      </c>
      <c r="AE746" t="s">
        <v>74</v>
      </c>
      <c r="AF746" t="s">
        <v>74</v>
      </c>
      <c r="AG746" t="s">
        <v>74</v>
      </c>
      <c r="AH746" t="s">
        <v>74</v>
      </c>
      <c r="AI746" t="s">
        <v>74</v>
      </c>
      <c r="AJ746" t="s">
        <v>74</v>
      </c>
      <c r="AK746" t="s">
        <v>74</v>
      </c>
      <c r="AL746" t="s">
        <v>74</v>
      </c>
      <c r="AM746" t="s">
        <v>74</v>
      </c>
      <c r="AN746" t="s">
        <v>74</v>
      </c>
      <c r="AO746" t="s">
        <v>143</v>
      </c>
      <c r="AP746" t="s">
        <v>144</v>
      </c>
      <c r="AQ746" t="s">
        <v>74</v>
      </c>
      <c r="AR746" t="s">
        <v>74</v>
      </c>
      <c r="AS746" t="s">
        <v>74</v>
      </c>
      <c r="AT746" t="s">
        <v>255</v>
      </c>
      <c r="AU746">
        <v>2006</v>
      </c>
      <c r="AV746">
        <v>71</v>
      </c>
      <c r="AW746" t="s">
        <v>74</v>
      </c>
      <c r="AX746">
        <v>1</v>
      </c>
      <c r="AY746" t="s">
        <v>74</v>
      </c>
      <c r="AZ746" t="s">
        <v>74</v>
      </c>
      <c r="BA746" t="s">
        <v>74</v>
      </c>
      <c r="BB746">
        <v>101</v>
      </c>
      <c r="BC746">
        <v>108</v>
      </c>
      <c r="BD746" t="s">
        <v>74</v>
      </c>
      <c r="BE746" t="s">
        <v>5367</v>
      </c>
      <c r="BF746" t="str">
        <f>HYPERLINK("http://dx.doi.org/10.1016/j.anbehav.2005.03.036","http://dx.doi.org/10.1016/j.anbehav.2005.03.036")</f>
        <v>http://dx.doi.org/10.1016/j.anbehav.2005.03.036</v>
      </c>
      <c r="BG746" t="s">
        <v>74</v>
      </c>
      <c r="BH746" t="s">
        <v>74</v>
      </c>
      <c r="BI746" t="s">
        <v>74</v>
      </c>
      <c r="BJ746" t="s">
        <v>74</v>
      </c>
      <c r="BK746" t="s">
        <v>74</v>
      </c>
      <c r="BL746" t="s">
        <v>74</v>
      </c>
      <c r="BM746" t="s">
        <v>74</v>
      </c>
      <c r="BN746" t="s">
        <v>74</v>
      </c>
      <c r="BO746" t="s">
        <v>74</v>
      </c>
      <c r="BP746" t="s">
        <v>74</v>
      </c>
      <c r="BQ746" t="s">
        <v>74</v>
      </c>
      <c r="BR746" t="s">
        <v>74</v>
      </c>
      <c r="BS746" t="s">
        <v>5368</v>
      </c>
      <c r="BT746" t="str">
        <f>HYPERLINK("https%3A%2F%2Fwww.webofscience.com%2Fwos%2Fwoscc%2Ffull-record%2FWOS:000234764500010","View Full Record in Web of Science")</f>
        <v>View Full Record in Web of Science</v>
      </c>
    </row>
    <row r="747" spans="1:72" x14ac:dyDescent="0.4">
      <c r="A747" t="s">
        <v>72</v>
      </c>
      <c r="B747" t="s">
        <v>5666</v>
      </c>
      <c r="C747" t="s">
        <v>74</v>
      </c>
      <c r="D747" t="s">
        <v>74</v>
      </c>
      <c r="E747" t="s">
        <v>74</v>
      </c>
      <c r="F747" t="s">
        <v>5667</v>
      </c>
      <c r="G747" t="s">
        <v>74</v>
      </c>
      <c r="H747" t="s">
        <v>74</v>
      </c>
      <c r="I747" t="s">
        <v>5668</v>
      </c>
      <c r="J747" t="s">
        <v>88</v>
      </c>
      <c r="K747" t="s">
        <v>74</v>
      </c>
      <c r="L747" t="s">
        <v>74</v>
      </c>
      <c r="M747" t="s">
        <v>74</v>
      </c>
      <c r="N747" t="s">
        <v>74</v>
      </c>
      <c r="O747" t="s">
        <v>74</v>
      </c>
      <c r="P747" t="s">
        <v>74</v>
      </c>
      <c r="Q747" t="s">
        <v>74</v>
      </c>
      <c r="R747" t="s">
        <v>74</v>
      </c>
      <c r="S747" t="s">
        <v>74</v>
      </c>
      <c r="T747" t="s">
        <v>74</v>
      </c>
      <c r="U747" t="s">
        <v>74</v>
      </c>
      <c r="V747" s="3" t="s">
        <v>5669</v>
      </c>
      <c r="W747" t="s">
        <v>74</v>
      </c>
      <c r="X747" t="s">
        <v>74</v>
      </c>
      <c r="Y747" t="s">
        <v>74</v>
      </c>
      <c r="Z747" t="s">
        <v>74</v>
      </c>
      <c r="AA747" t="s">
        <v>74</v>
      </c>
      <c r="AB747" t="s">
        <v>5670</v>
      </c>
      <c r="AC747" t="s">
        <v>74</v>
      </c>
      <c r="AD747" t="s">
        <v>74</v>
      </c>
      <c r="AE747" t="s">
        <v>74</v>
      </c>
      <c r="AF747" t="s">
        <v>74</v>
      </c>
      <c r="AG747" t="s">
        <v>74</v>
      </c>
      <c r="AH747" t="s">
        <v>74</v>
      </c>
      <c r="AI747" t="s">
        <v>74</v>
      </c>
      <c r="AJ747" t="s">
        <v>74</v>
      </c>
      <c r="AK747" t="s">
        <v>74</v>
      </c>
      <c r="AL747" t="s">
        <v>74</v>
      </c>
      <c r="AM747" t="s">
        <v>74</v>
      </c>
      <c r="AN747" t="s">
        <v>74</v>
      </c>
      <c r="AO747" t="s">
        <v>91</v>
      </c>
      <c r="AP747" t="s">
        <v>92</v>
      </c>
      <c r="AQ747" t="s">
        <v>74</v>
      </c>
      <c r="AR747" t="s">
        <v>74</v>
      </c>
      <c r="AS747" t="s">
        <v>74</v>
      </c>
      <c r="AT747" t="s">
        <v>5044</v>
      </c>
      <c r="AU747">
        <v>2023</v>
      </c>
      <c r="AV747">
        <v>19</v>
      </c>
      <c r="AW747">
        <v>5</v>
      </c>
      <c r="AX747" t="s">
        <v>74</v>
      </c>
      <c r="AY747" t="s">
        <v>74</v>
      </c>
      <c r="AZ747" t="s">
        <v>74</v>
      </c>
      <c r="BA747" t="s">
        <v>74</v>
      </c>
      <c r="BB747" t="s">
        <v>74</v>
      </c>
      <c r="BC747" t="s">
        <v>74</v>
      </c>
      <c r="BD747">
        <v>20220490</v>
      </c>
      <c r="BE747" t="s">
        <v>5671</v>
      </c>
      <c r="BF747" t="str">
        <f>HYPERLINK("http://dx.doi.org/10.1098/rsbl.2022.0490","http://dx.doi.org/10.1098/rsbl.2022.0490")</f>
        <v>http://dx.doi.org/10.1098/rsbl.2022.0490</v>
      </c>
      <c r="BG747" t="s">
        <v>74</v>
      </c>
      <c r="BH747" t="s">
        <v>74</v>
      </c>
      <c r="BI747" t="s">
        <v>74</v>
      </c>
      <c r="BJ747" t="s">
        <v>74</v>
      </c>
      <c r="BK747" t="s">
        <v>74</v>
      </c>
      <c r="BL747" t="s">
        <v>74</v>
      </c>
      <c r="BM747" t="s">
        <v>74</v>
      </c>
      <c r="BN747">
        <v>37194257</v>
      </c>
      <c r="BO747" t="s">
        <v>74</v>
      </c>
      <c r="BP747" t="s">
        <v>74</v>
      </c>
      <c r="BQ747" t="s">
        <v>74</v>
      </c>
      <c r="BR747" t="s">
        <v>74</v>
      </c>
      <c r="BS747" t="s">
        <v>5672</v>
      </c>
      <c r="BT747" t="str">
        <f>HYPERLINK("https%3A%2F%2Fwww.webofscience.com%2Fwos%2Fwoscc%2Ffull-record%2FWOS:000988392000001","View Full Record in Web of Science")</f>
        <v>View Full Record in Web of Science</v>
      </c>
    </row>
    <row r="748" spans="1:72" x14ac:dyDescent="0.4">
      <c r="A748" t="s">
        <v>72</v>
      </c>
      <c r="B748" t="s">
        <v>2972</v>
      </c>
      <c r="C748" t="s">
        <v>74</v>
      </c>
      <c r="D748" t="s">
        <v>74</v>
      </c>
      <c r="E748" t="s">
        <v>74</v>
      </c>
      <c r="F748" t="s">
        <v>2973</v>
      </c>
      <c r="G748" t="s">
        <v>74</v>
      </c>
      <c r="H748" t="s">
        <v>74</v>
      </c>
      <c r="I748" t="s">
        <v>2974</v>
      </c>
      <c r="J748" t="s">
        <v>201</v>
      </c>
      <c r="K748" t="s">
        <v>74</v>
      </c>
      <c r="L748" t="s">
        <v>74</v>
      </c>
      <c r="M748" t="s">
        <v>74</v>
      </c>
      <c r="N748" t="s">
        <v>74</v>
      </c>
      <c r="O748" t="s">
        <v>74</v>
      </c>
      <c r="P748" t="s">
        <v>74</v>
      </c>
      <c r="Q748" t="s">
        <v>74</v>
      </c>
      <c r="R748" t="s">
        <v>74</v>
      </c>
      <c r="S748" t="s">
        <v>74</v>
      </c>
      <c r="T748" t="s">
        <v>74</v>
      </c>
      <c r="U748" t="s">
        <v>74</v>
      </c>
      <c r="V748" s="3" t="s">
        <v>2975</v>
      </c>
      <c r="W748" t="s">
        <v>74</v>
      </c>
      <c r="X748" t="s">
        <v>74</v>
      </c>
      <c r="Y748" t="s">
        <v>74</v>
      </c>
      <c r="Z748" t="s">
        <v>74</v>
      </c>
      <c r="AA748" t="s">
        <v>74</v>
      </c>
      <c r="AB748" t="s">
        <v>2976</v>
      </c>
      <c r="AC748" t="s">
        <v>74</v>
      </c>
      <c r="AD748" t="s">
        <v>74</v>
      </c>
      <c r="AE748" t="s">
        <v>74</v>
      </c>
      <c r="AF748" t="s">
        <v>74</v>
      </c>
      <c r="AG748" t="s">
        <v>74</v>
      </c>
      <c r="AH748" t="s">
        <v>74</v>
      </c>
      <c r="AI748" t="s">
        <v>74</v>
      </c>
      <c r="AJ748" t="s">
        <v>74</v>
      </c>
      <c r="AK748" t="s">
        <v>74</v>
      </c>
      <c r="AL748" t="s">
        <v>74</v>
      </c>
      <c r="AM748" t="s">
        <v>74</v>
      </c>
      <c r="AN748" t="s">
        <v>74</v>
      </c>
      <c r="AO748" t="s">
        <v>203</v>
      </c>
      <c r="AP748" t="s">
        <v>1192</v>
      </c>
      <c r="AQ748" t="s">
        <v>74</v>
      </c>
      <c r="AR748" t="s">
        <v>74</v>
      </c>
      <c r="AS748" t="s">
        <v>74</v>
      </c>
      <c r="AT748" t="s">
        <v>633</v>
      </c>
      <c r="AU748">
        <v>2023</v>
      </c>
      <c r="AV748">
        <v>102</v>
      </c>
      <c r="AW748">
        <v>4</v>
      </c>
      <c r="AX748" t="s">
        <v>74</v>
      </c>
      <c r="AY748" t="s">
        <v>74</v>
      </c>
      <c r="AZ748" t="s">
        <v>74</v>
      </c>
      <c r="BA748" t="s">
        <v>74</v>
      </c>
      <c r="BB748">
        <v>794</v>
      </c>
      <c r="BC748">
        <v>802</v>
      </c>
      <c r="BD748" t="s">
        <v>74</v>
      </c>
      <c r="BE748" t="s">
        <v>2977</v>
      </c>
      <c r="BF748" t="str">
        <f>HYPERLINK("http://dx.doi.org/10.1111/jfb.15316","http://dx.doi.org/10.1111/jfb.15316")</f>
        <v>http://dx.doi.org/10.1111/jfb.15316</v>
      </c>
      <c r="BG748" t="s">
        <v>74</v>
      </c>
      <c r="BH748" t="s">
        <v>2392</v>
      </c>
      <c r="BI748" t="s">
        <v>74</v>
      </c>
      <c r="BJ748" t="s">
        <v>74</v>
      </c>
      <c r="BK748" t="s">
        <v>74</v>
      </c>
      <c r="BL748" t="s">
        <v>74</v>
      </c>
      <c r="BM748" t="s">
        <v>74</v>
      </c>
      <c r="BN748">
        <v>36648014</v>
      </c>
      <c r="BO748" t="s">
        <v>74</v>
      </c>
      <c r="BP748" t="s">
        <v>74</v>
      </c>
      <c r="BQ748" t="s">
        <v>74</v>
      </c>
      <c r="BR748" t="s">
        <v>74</v>
      </c>
      <c r="BS748" t="s">
        <v>2978</v>
      </c>
      <c r="BT748" t="str">
        <f>HYPERLINK("https%3A%2F%2Fwww.webofscience.com%2Fwos%2Fwoscc%2Ffull-record%2FWOS:000924339000001","View Full Record in Web of Science")</f>
        <v>View Full Record in Web of Science</v>
      </c>
    </row>
    <row r="749" spans="1:72" x14ac:dyDescent="0.4">
      <c r="A749" t="s">
        <v>72</v>
      </c>
      <c r="B749" t="s">
        <v>5614</v>
      </c>
      <c r="C749" t="s">
        <v>74</v>
      </c>
      <c r="D749" t="s">
        <v>74</v>
      </c>
      <c r="E749" t="s">
        <v>74</v>
      </c>
      <c r="F749" t="s">
        <v>5614</v>
      </c>
      <c r="G749" t="s">
        <v>74</v>
      </c>
      <c r="H749" t="s">
        <v>74</v>
      </c>
      <c r="I749" t="s">
        <v>5615</v>
      </c>
      <c r="J749" t="s">
        <v>344</v>
      </c>
      <c r="K749" t="s">
        <v>74</v>
      </c>
      <c r="L749" t="s">
        <v>74</v>
      </c>
      <c r="M749" t="s">
        <v>74</v>
      </c>
      <c r="N749" t="s">
        <v>74</v>
      </c>
      <c r="O749" t="s">
        <v>74</v>
      </c>
      <c r="P749" t="s">
        <v>74</v>
      </c>
      <c r="Q749" t="s">
        <v>74</v>
      </c>
      <c r="R749" t="s">
        <v>74</v>
      </c>
      <c r="S749" t="s">
        <v>74</v>
      </c>
      <c r="T749" t="s">
        <v>74</v>
      </c>
      <c r="U749" t="s">
        <v>74</v>
      </c>
      <c r="V749" s="3" t="s">
        <v>5616</v>
      </c>
      <c r="W749" t="s">
        <v>74</v>
      </c>
      <c r="X749" t="s">
        <v>74</v>
      </c>
      <c r="Y749" t="s">
        <v>74</v>
      </c>
      <c r="Z749" t="s">
        <v>74</v>
      </c>
      <c r="AA749" t="s">
        <v>74</v>
      </c>
      <c r="AB749" t="s">
        <v>74</v>
      </c>
      <c r="AC749" t="s">
        <v>74</v>
      </c>
      <c r="AD749" t="s">
        <v>74</v>
      </c>
      <c r="AE749" t="s">
        <v>74</v>
      </c>
      <c r="AF749" t="s">
        <v>74</v>
      </c>
      <c r="AG749" t="s">
        <v>74</v>
      </c>
      <c r="AH749" t="s">
        <v>74</v>
      </c>
      <c r="AI749" t="s">
        <v>74</v>
      </c>
      <c r="AJ749" t="s">
        <v>74</v>
      </c>
      <c r="AK749" t="s">
        <v>74</v>
      </c>
      <c r="AL749" t="s">
        <v>74</v>
      </c>
      <c r="AM749" t="s">
        <v>74</v>
      </c>
      <c r="AN749" t="s">
        <v>74</v>
      </c>
      <c r="AO749" t="s">
        <v>346</v>
      </c>
      <c r="AP749" t="s">
        <v>74</v>
      </c>
      <c r="AQ749" t="s">
        <v>74</v>
      </c>
      <c r="AR749" t="s">
        <v>74</v>
      </c>
      <c r="AS749" t="s">
        <v>74</v>
      </c>
      <c r="AT749" t="s">
        <v>102</v>
      </c>
      <c r="AU749">
        <v>1994</v>
      </c>
      <c r="AV749">
        <v>40</v>
      </c>
      <c r="AW749">
        <v>2</v>
      </c>
      <c r="AX749" t="s">
        <v>74</v>
      </c>
      <c r="AY749" t="s">
        <v>74</v>
      </c>
      <c r="AZ749" t="s">
        <v>74</v>
      </c>
      <c r="BA749" t="s">
        <v>74</v>
      </c>
      <c r="BB749">
        <v>175</v>
      </c>
      <c r="BC749">
        <v>188</v>
      </c>
      <c r="BD749" t="s">
        <v>74</v>
      </c>
      <c r="BE749" t="s">
        <v>5617</v>
      </c>
      <c r="BF749" t="str">
        <f>HYPERLINK("http://dx.doi.org/10.1007/BF00002544","http://dx.doi.org/10.1007/BF00002544")</f>
        <v>http://dx.doi.org/10.1007/BF00002544</v>
      </c>
      <c r="BG749" t="s">
        <v>74</v>
      </c>
      <c r="BH749" t="s">
        <v>74</v>
      </c>
      <c r="BI749" t="s">
        <v>74</v>
      </c>
      <c r="BJ749" t="s">
        <v>74</v>
      </c>
      <c r="BK749" t="s">
        <v>74</v>
      </c>
      <c r="BL749" t="s">
        <v>74</v>
      </c>
      <c r="BM749" t="s">
        <v>74</v>
      </c>
      <c r="BN749" t="s">
        <v>74</v>
      </c>
      <c r="BO749" t="s">
        <v>74</v>
      </c>
      <c r="BP749" t="s">
        <v>74</v>
      </c>
      <c r="BQ749" t="s">
        <v>74</v>
      </c>
      <c r="BR749" t="s">
        <v>74</v>
      </c>
      <c r="BS749" t="s">
        <v>5618</v>
      </c>
      <c r="BT749" t="str">
        <f>HYPERLINK("https%3A%2F%2Fwww.webofscience.com%2Fwos%2Fwoscc%2Ffull-record%2FWOS:A1994NN69200007","View Full Record in Web of Science")</f>
        <v>View Full Record in Web of Science</v>
      </c>
    </row>
    <row r="750" spans="1:72" x14ac:dyDescent="0.4">
      <c r="A750" t="s">
        <v>72</v>
      </c>
      <c r="B750" t="s">
        <v>6231</v>
      </c>
      <c r="C750" t="s">
        <v>74</v>
      </c>
      <c r="D750" t="s">
        <v>74</v>
      </c>
      <c r="E750" t="s">
        <v>74</v>
      </c>
      <c r="F750" t="s">
        <v>6232</v>
      </c>
      <c r="G750" t="s">
        <v>74</v>
      </c>
      <c r="H750" t="s">
        <v>74</v>
      </c>
      <c r="I750" t="s">
        <v>6233</v>
      </c>
      <c r="J750" t="s">
        <v>218</v>
      </c>
      <c r="K750" t="s">
        <v>74</v>
      </c>
      <c r="L750" t="s">
        <v>74</v>
      </c>
      <c r="M750" t="s">
        <v>74</v>
      </c>
      <c r="N750" t="s">
        <v>74</v>
      </c>
      <c r="O750" t="s">
        <v>74</v>
      </c>
      <c r="P750" t="s">
        <v>74</v>
      </c>
      <c r="Q750" t="s">
        <v>74</v>
      </c>
      <c r="R750" t="s">
        <v>74</v>
      </c>
      <c r="S750" t="s">
        <v>74</v>
      </c>
      <c r="T750" t="s">
        <v>74</v>
      </c>
      <c r="U750" t="s">
        <v>74</v>
      </c>
      <c r="V750" s="3" t="s">
        <v>6234</v>
      </c>
      <c r="W750" t="s">
        <v>74</v>
      </c>
      <c r="X750" t="s">
        <v>74</v>
      </c>
      <c r="Y750" t="s">
        <v>74</v>
      </c>
      <c r="Z750" t="s">
        <v>74</v>
      </c>
      <c r="AA750" t="s">
        <v>6235</v>
      </c>
      <c r="AB750" t="s">
        <v>74</v>
      </c>
      <c r="AC750" t="s">
        <v>74</v>
      </c>
      <c r="AD750" t="s">
        <v>74</v>
      </c>
      <c r="AE750" t="s">
        <v>74</v>
      </c>
      <c r="AF750" t="s">
        <v>74</v>
      </c>
      <c r="AG750" t="s">
        <v>74</v>
      </c>
      <c r="AH750" t="s">
        <v>74</v>
      </c>
      <c r="AI750" t="s">
        <v>74</v>
      </c>
      <c r="AJ750" t="s">
        <v>74</v>
      </c>
      <c r="AK750" t="s">
        <v>74</v>
      </c>
      <c r="AL750" t="s">
        <v>74</v>
      </c>
      <c r="AM750" t="s">
        <v>74</v>
      </c>
      <c r="AN750" t="s">
        <v>74</v>
      </c>
      <c r="AO750" t="s">
        <v>221</v>
      </c>
      <c r="AP750" t="s">
        <v>222</v>
      </c>
      <c r="AQ750" t="s">
        <v>74</v>
      </c>
      <c r="AR750" t="s">
        <v>74</v>
      </c>
      <c r="AS750" t="s">
        <v>74</v>
      </c>
      <c r="AT750" t="s">
        <v>204</v>
      </c>
      <c r="AU750">
        <v>2007</v>
      </c>
      <c r="AV750">
        <v>20</v>
      </c>
      <c r="AW750">
        <v>4</v>
      </c>
      <c r="AX750" t="s">
        <v>74</v>
      </c>
      <c r="AY750" t="s">
        <v>74</v>
      </c>
      <c r="AZ750" t="s">
        <v>74</v>
      </c>
      <c r="BA750" t="s">
        <v>74</v>
      </c>
      <c r="BB750">
        <v>1637</v>
      </c>
      <c r="BC750">
        <v>1648</v>
      </c>
      <c r="BD750" t="s">
        <v>74</v>
      </c>
      <c r="BE750" t="s">
        <v>6236</v>
      </c>
      <c r="BF750" t="str">
        <f>HYPERLINK("http://dx.doi.org/10.1111/j.1420-9101.2007.01297.x","http://dx.doi.org/10.1111/j.1420-9101.2007.01297.x")</f>
        <v>http://dx.doi.org/10.1111/j.1420-9101.2007.01297.x</v>
      </c>
      <c r="BG750" t="s">
        <v>74</v>
      </c>
      <c r="BH750" t="s">
        <v>74</v>
      </c>
      <c r="BI750" t="s">
        <v>74</v>
      </c>
      <c r="BJ750" t="s">
        <v>74</v>
      </c>
      <c r="BK750" t="s">
        <v>74</v>
      </c>
      <c r="BL750" t="s">
        <v>74</v>
      </c>
      <c r="BM750" t="s">
        <v>74</v>
      </c>
      <c r="BN750">
        <v>17584256</v>
      </c>
      <c r="BO750" t="s">
        <v>74</v>
      </c>
      <c r="BP750" t="s">
        <v>74</v>
      </c>
      <c r="BQ750" t="s">
        <v>74</v>
      </c>
      <c r="BR750" t="s">
        <v>74</v>
      </c>
      <c r="BS750" t="s">
        <v>6237</v>
      </c>
      <c r="BT750" t="str">
        <f>HYPERLINK("https%3A%2F%2Fwww.webofscience.com%2Fwos%2Fwoscc%2Ffull-record%2FWOS:000248177600037","View Full Record in Web of Science")</f>
        <v>View Full Record in Web of Science</v>
      </c>
    </row>
    <row r="751" spans="1:72" x14ac:dyDescent="0.4">
      <c r="A751" t="s">
        <v>72</v>
      </c>
      <c r="B751" t="s">
        <v>3783</v>
      </c>
      <c r="C751" t="s">
        <v>74</v>
      </c>
      <c r="D751" t="s">
        <v>74</v>
      </c>
      <c r="E751" t="s">
        <v>74</v>
      </c>
      <c r="F751" t="s">
        <v>3783</v>
      </c>
      <c r="G751" t="s">
        <v>74</v>
      </c>
      <c r="H751" t="s">
        <v>74</v>
      </c>
      <c r="I751" t="s">
        <v>3784</v>
      </c>
      <c r="J751" t="s">
        <v>3785</v>
      </c>
      <c r="K751" t="s">
        <v>74</v>
      </c>
      <c r="L751" t="s">
        <v>74</v>
      </c>
      <c r="M751" t="s">
        <v>74</v>
      </c>
      <c r="N751" t="s">
        <v>74</v>
      </c>
      <c r="O751" t="s">
        <v>74</v>
      </c>
      <c r="P751" t="s">
        <v>74</v>
      </c>
      <c r="Q751" t="s">
        <v>74</v>
      </c>
      <c r="R751" t="s">
        <v>74</v>
      </c>
      <c r="S751" t="s">
        <v>74</v>
      </c>
      <c r="T751" t="s">
        <v>74</v>
      </c>
      <c r="U751" t="s">
        <v>74</v>
      </c>
      <c r="V751" s="3" t="s">
        <v>3786</v>
      </c>
      <c r="W751" t="s">
        <v>74</v>
      </c>
      <c r="X751" t="s">
        <v>74</v>
      </c>
      <c r="Y751" t="s">
        <v>74</v>
      </c>
      <c r="Z751" t="s">
        <v>74</v>
      </c>
      <c r="AA751" t="s">
        <v>74</v>
      </c>
      <c r="AB751" t="s">
        <v>74</v>
      </c>
      <c r="AC751" t="s">
        <v>74</v>
      </c>
      <c r="AD751" t="s">
        <v>74</v>
      </c>
      <c r="AE751" t="s">
        <v>74</v>
      </c>
      <c r="AF751" t="s">
        <v>74</v>
      </c>
      <c r="AG751" t="s">
        <v>74</v>
      </c>
      <c r="AH751" t="s">
        <v>74</v>
      </c>
      <c r="AI751" t="s">
        <v>74</v>
      </c>
      <c r="AJ751" t="s">
        <v>74</v>
      </c>
      <c r="AK751" t="s">
        <v>74</v>
      </c>
      <c r="AL751" t="s">
        <v>74</v>
      </c>
      <c r="AM751" t="s">
        <v>74</v>
      </c>
      <c r="AN751" t="s">
        <v>74</v>
      </c>
      <c r="AO751" t="s">
        <v>3787</v>
      </c>
      <c r="AP751" t="s">
        <v>3788</v>
      </c>
      <c r="AQ751" t="s">
        <v>74</v>
      </c>
      <c r="AR751" t="s">
        <v>74</v>
      </c>
      <c r="AS751" t="s">
        <v>74</v>
      </c>
      <c r="AT751" t="s">
        <v>213</v>
      </c>
      <c r="AU751">
        <v>2002</v>
      </c>
      <c r="AV751">
        <v>47</v>
      </c>
      <c r="AW751">
        <v>11</v>
      </c>
      <c r="AX751" t="s">
        <v>74</v>
      </c>
      <c r="AY751" t="s">
        <v>74</v>
      </c>
      <c r="AZ751" t="s">
        <v>74</v>
      </c>
      <c r="BA751" t="s">
        <v>74</v>
      </c>
      <c r="BB751">
        <v>2039</v>
      </c>
      <c r="BC751">
        <v>2048</v>
      </c>
      <c r="BD751" t="s">
        <v>74</v>
      </c>
      <c r="BE751" t="s">
        <v>3789</v>
      </c>
      <c r="BF751" t="str">
        <f>HYPERLINK("http://dx.doi.org/10.1046/j.1365-2427.2002.00944.x","http://dx.doi.org/10.1046/j.1365-2427.2002.00944.x")</f>
        <v>http://dx.doi.org/10.1046/j.1365-2427.2002.00944.x</v>
      </c>
      <c r="BG751" t="s">
        <v>74</v>
      </c>
      <c r="BH751" t="s">
        <v>74</v>
      </c>
      <c r="BI751" t="s">
        <v>74</v>
      </c>
      <c r="BJ751" t="s">
        <v>74</v>
      </c>
      <c r="BK751" t="s">
        <v>74</v>
      </c>
      <c r="BL751" t="s">
        <v>74</v>
      </c>
      <c r="BM751" t="s">
        <v>74</v>
      </c>
      <c r="BN751" t="s">
        <v>74</v>
      </c>
      <c r="BO751" t="s">
        <v>74</v>
      </c>
      <c r="BP751" t="s">
        <v>74</v>
      </c>
      <c r="BQ751" t="s">
        <v>74</v>
      </c>
      <c r="BR751" t="s">
        <v>74</v>
      </c>
      <c r="BS751" t="s">
        <v>3790</v>
      </c>
      <c r="BT751" t="str">
        <f>HYPERLINK("https%3A%2F%2Fwww.webofscience.com%2Fwos%2Fwoscc%2Ffull-record%2FWOS:000178848300001","View Full Record in Web of Science")</f>
        <v>View Full Record in Web of Science</v>
      </c>
    </row>
    <row r="752" spans="1:72" x14ac:dyDescent="0.4">
      <c r="A752" t="s">
        <v>72</v>
      </c>
      <c r="B752" t="s">
        <v>8452</v>
      </c>
      <c r="C752" t="s">
        <v>74</v>
      </c>
      <c r="D752" t="s">
        <v>74</v>
      </c>
      <c r="E752" t="s">
        <v>74</v>
      </c>
      <c r="F752" t="s">
        <v>8452</v>
      </c>
      <c r="G752" t="s">
        <v>74</v>
      </c>
      <c r="H752" t="s">
        <v>74</v>
      </c>
      <c r="I752" t="s">
        <v>8453</v>
      </c>
      <c r="J752" t="s">
        <v>4655</v>
      </c>
      <c r="K752" t="s">
        <v>74</v>
      </c>
      <c r="L752" t="s">
        <v>74</v>
      </c>
      <c r="M752" t="s">
        <v>74</v>
      </c>
      <c r="N752" t="s">
        <v>74</v>
      </c>
      <c r="O752" t="s">
        <v>74</v>
      </c>
      <c r="P752" t="s">
        <v>74</v>
      </c>
      <c r="Q752" t="s">
        <v>74</v>
      </c>
      <c r="R752" t="s">
        <v>74</v>
      </c>
      <c r="S752" t="s">
        <v>74</v>
      </c>
      <c r="T752" t="s">
        <v>74</v>
      </c>
      <c r="U752" t="s">
        <v>74</v>
      </c>
      <c r="V752" s="3" t="s">
        <v>8454</v>
      </c>
      <c r="W752" t="s">
        <v>74</v>
      </c>
      <c r="X752" t="s">
        <v>74</v>
      </c>
      <c r="Y752" t="s">
        <v>74</v>
      </c>
      <c r="Z752" t="s">
        <v>74</v>
      </c>
      <c r="AA752" t="s">
        <v>8455</v>
      </c>
      <c r="AB752" t="s">
        <v>8456</v>
      </c>
      <c r="AC752" t="s">
        <v>74</v>
      </c>
      <c r="AD752" t="s">
        <v>74</v>
      </c>
      <c r="AE752" t="s">
        <v>74</v>
      </c>
      <c r="AF752" t="s">
        <v>74</v>
      </c>
      <c r="AG752" t="s">
        <v>74</v>
      </c>
      <c r="AH752" t="s">
        <v>74</v>
      </c>
      <c r="AI752" t="s">
        <v>74</v>
      </c>
      <c r="AJ752" t="s">
        <v>74</v>
      </c>
      <c r="AK752" t="s">
        <v>74</v>
      </c>
      <c r="AL752" t="s">
        <v>74</v>
      </c>
      <c r="AM752" t="s">
        <v>74</v>
      </c>
      <c r="AN752" t="s">
        <v>74</v>
      </c>
      <c r="AO752" t="s">
        <v>4657</v>
      </c>
      <c r="AP752" t="s">
        <v>74</v>
      </c>
      <c r="AQ752" t="s">
        <v>74</v>
      </c>
      <c r="AR752" t="s">
        <v>74</v>
      </c>
      <c r="AS752" t="s">
        <v>74</v>
      </c>
      <c r="AT752" t="s">
        <v>123</v>
      </c>
      <c r="AU752">
        <v>2002</v>
      </c>
      <c r="AV752">
        <v>114</v>
      </c>
      <c r="AW752">
        <v>1</v>
      </c>
      <c r="AX752" t="s">
        <v>74</v>
      </c>
      <c r="AY752" t="s">
        <v>74</v>
      </c>
      <c r="AZ752" t="s">
        <v>74</v>
      </c>
      <c r="BA752" t="s">
        <v>74</v>
      </c>
      <c r="BB752">
        <v>106</v>
      </c>
      <c r="BC752">
        <v>113</v>
      </c>
      <c r="BD752" t="s">
        <v>74</v>
      </c>
      <c r="BE752" t="s">
        <v>8457</v>
      </c>
      <c r="BF752" t="str">
        <f>HYPERLINK("http://dx.doi.org/10.1676/0043-5643(2002)114[0106:OPITLW]2.0.CO;2","http://dx.doi.org/10.1676/0043-5643(2002)114[0106:OPITLW]2.0.CO;2")</f>
        <v>http://dx.doi.org/10.1676/0043-5643(2002)114[0106:OPITLW]2.0.CO;2</v>
      </c>
      <c r="BG752" t="s">
        <v>74</v>
      </c>
      <c r="BH752" t="s">
        <v>74</v>
      </c>
      <c r="BI752" t="s">
        <v>74</v>
      </c>
      <c r="BJ752" t="s">
        <v>74</v>
      </c>
      <c r="BK752" t="s">
        <v>74</v>
      </c>
      <c r="BL752" t="s">
        <v>74</v>
      </c>
      <c r="BM752" t="s">
        <v>74</v>
      </c>
      <c r="BN752" t="s">
        <v>74</v>
      </c>
      <c r="BO752" t="s">
        <v>74</v>
      </c>
      <c r="BP752" t="s">
        <v>74</v>
      </c>
      <c r="BQ752" t="s">
        <v>74</v>
      </c>
      <c r="BR752" t="s">
        <v>74</v>
      </c>
      <c r="BS752" t="s">
        <v>8458</v>
      </c>
      <c r="BT752" t="str">
        <f>HYPERLINK("https%3A%2F%2Fwww.webofscience.com%2Fwos%2Fwoscc%2Ffull-record%2FWOS:000178580800010","View Full Record in Web of Science")</f>
        <v>View Full Record in Web of Science</v>
      </c>
    </row>
    <row r="753" spans="1:72" x14ac:dyDescent="0.4">
      <c r="A753" t="s">
        <v>72</v>
      </c>
      <c r="B753" t="s">
        <v>6940</v>
      </c>
      <c r="C753" t="s">
        <v>74</v>
      </c>
      <c r="D753" t="s">
        <v>74</v>
      </c>
      <c r="E753" t="s">
        <v>74</v>
      </c>
      <c r="F753" t="s">
        <v>6940</v>
      </c>
      <c r="G753" t="s">
        <v>74</v>
      </c>
      <c r="H753" t="s">
        <v>74</v>
      </c>
      <c r="I753" t="s">
        <v>6941</v>
      </c>
      <c r="J753" t="s">
        <v>129</v>
      </c>
      <c r="K753" t="s">
        <v>74</v>
      </c>
      <c r="L753" t="s">
        <v>74</v>
      </c>
      <c r="M753" t="s">
        <v>74</v>
      </c>
      <c r="N753" t="s">
        <v>74</v>
      </c>
      <c r="O753" t="s">
        <v>74</v>
      </c>
      <c r="P753" t="s">
        <v>74</v>
      </c>
      <c r="Q753" t="s">
        <v>74</v>
      </c>
      <c r="R753" t="s">
        <v>74</v>
      </c>
      <c r="S753" t="s">
        <v>74</v>
      </c>
      <c r="T753" t="s">
        <v>74</v>
      </c>
      <c r="U753" t="s">
        <v>74</v>
      </c>
      <c r="V753" s="3" t="s">
        <v>6942</v>
      </c>
      <c r="W753" t="s">
        <v>74</v>
      </c>
      <c r="X753" t="s">
        <v>74</v>
      </c>
      <c r="Y753" t="s">
        <v>74</v>
      </c>
      <c r="Z753" t="s">
        <v>74</v>
      </c>
      <c r="AA753" t="s">
        <v>74</v>
      </c>
      <c r="AB753" t="s">
        <v>74</v>
      </c>
      <c r="AC753" t="s">
        <v>74</v>
      </c>
      <c r="AD753" t="s">
        <v>74</v>
      </c>
      <c r="AE753" t="s">
        <v>74</v>
      </c>
      <c r="AF753" t="s">
        <v>74</v>
      </c>
      <c r="AG753" t="s">
        <v>74</v>
      </c>
      <c r="AH753" t="s">
        <v>74</v>
      </c>
      <c r="AI753" t="s">
        <v>74</v>
      </c>
      <c r="AJ753" t="s">
        <v>74</v>
      </c>
      <c r="AK753" t="s">
        <v>74</v>
      </c>
      <c r="AL753" t="s">
        <v>74</v>
      </c>
      <c r="AM753" t="s">
        <v>74</v>
      </c>
      <c r="AN753" t="s">
        <v>74</v>
      </c>
      <c r="AO753" t="s">
        <v>132</v>
      </c>
      <c r="AP753" t="s">
        <v>133</v>
      </c>
      <c r="AQ753" t="s">
        <v>74</v>
      </c>
      <c r="AR753" t="s">
        <v>74</v>
      </c>
      <c r="AS753" t="s">
        <v>74</v>
      </c>
      <c r="AT753" t="s">
        <v>74</v>
      </c>
      <c r="AU753">
        <v>1989</v>
      </c>
      <c r="AV753">
        <v>25</v>
      </c>
      <c r="AW753">
        <v>1</v>
      </c>
      <c r="AX753" t="s">
        <v>74</v>
      </c>
      <c r="AY753" t="s">
        <v>74</v>
      </c>
      <c r="AZ753" t="s">
        <v>74</v>
      </c>
      <c r="BA753" t="s">
        <v>74</v>
      </c>
      <c r="BB753">
        <v>23</v>
      </c>
      <c r="BC753">
        <v>31</v>
      </c>
      <c r="BD753" t="s">
        <v>74</v>
      </c>
      <c r="BE753" t="s">
        <v>6943</v>
      </c>
      <c r="BF753" t="str">
        <f>HYPERLINK("http://dx.doi.org/10.1007/BF00299707","http://dx.doi.org/10.1007/BF00299707")</f>
        <v>http://dx.doi.org/10.1007/BF00299707</v>
      </c>
      <c r="BG753" t="s">
        <v>74</v>
      </c>
      <c r="BH753" t="s">
        <v>74</v>
      </c>
      <c r="BI753" t="s">
        <v>74</v>
      </c>
      <c r="BJ753" t="s">
        <v>74</v>
      </c>
      <c r="BK753" t="s">
        <v>74</v>
      </c>
      <c r="BL753" t="s">
        <v>74</v>
      </c>
      <c r="BM753" t="s">
        <v>74</v>
      </c>
      <c r="BN753" t="s">
        <v>74</v>
      </c>
      <c r="BO753" t="s">
        <v>74</v>
      </c>
      <c r="BP753" t="s">
        <v>74</v>
      </c>
      <c r="BQ753" t="s">
        <v>74</v>
      </c>
      <c r="BR753" t="s">
        <v>74</v>
      </c>
      <c r="BS753" t="s">
        <v>6944</v>
      </c>
      <c r="BT753" t="str">
        <f>HYPERLINK("https%3A%2F%2Fwww.webofscience.com%2Fwos%2Fwoscc%2Ffull-record%2FWOS:A1989AJ00400003","View Full Record in Web of Science")</f>
        <v>View Full Record in Web of Science</v>
      </c>
    </row>
    <row r="754" spans="1:72" x14ac:dyDescent="0.4">
      <c r="A754" t="s">
        <v>72</v>
      </c>
      <c r="B754" t="s">
        <v>8050</v>
      </c>
      <c r="C754" t="s">
        <v>74</v>
      </c>
      <c r="D754" t="s">
        <v>74</v>
      </c>
      <c r="E754" t="s">
        <v>74</v>
      </c>
      <c r="F754" t="s">
        <v>8051</v>
      </c>
      <c r="G754" t="s">
        <v>74</v>
      </c>
      <c r="H754" t="s">
        <v>74</v>
      </c>
      <c r="I754" t="s">
        <v>8052</v>
      </c>
      <c r="J754" t="s">
        <v>431</v>
      </c>
      <c r="K754" t="s">
        <v>74</v>
      </c>
      <c r="L754" t="s">
        <v>74</v>
      </c>
      <c r="M754" t="s">
        <v>74</v>
      </c>
      <c r="N754" t="s">
        <v>74</v>
      </c>
      <c r="O754" t="s">
        <v>74</v>
      </c>
      <c r="P754" t="s">
        <v>74</v>
      </c>
      <c r="Q754" t="s">
        <v>74</v>
      </c>
      <c r="R754" t="s">
        <v>74</v>
      </c>
      <c r="S754" t="s">
        <v>74</v>
      </c>
      <c r="T754" t="s">
        <v>74</v>
      </c>
      <c r="U754" t="s">
        <v>74</v>
      </c>
      <c r="V754" s="3" t="s">
        <v>8053</v>
      </c>
      <c r="W754" t="s">
        <v>74</v>
      </c>
      <c r="X754" t="s">
        <v>74</v>
      </c>
      <c r="Y754" t="s">
        <v>74</v>
      </c>
      <c r="Z754" t="s">
        <v>74</v>
      </c>
      <c r="AA754" t="s">
        <v>8054</v>
      </c>
      <c r="AB754" t="s">
        <v>8055</v>
      </c>
      <c r="AC754" t="s">
        <v>74</v>
      </c>
      <c r="AD754" t="s">
        <v>74</v>
      </c>
      <c r="AE754" t="s">
        <v>74</v>
      </c>
      <c r="AF754" t="s">
        <v>74</v>
      </c>
      <c r="AG754" t="s">
        <v>74</v>
      </c>
      <c r="AH754" t="s">
        <v>74</v>
      </c>
      <c r="AI754" t="s">
        <v>74</v>
      </c>
      <c r="AJ754" t="s">
        <v>74</v>
      </c>
      <c r="AK754" t="s">
        <v>74</v>
      </c>
      <c r="AL754" t="s">
        <v>74</v>
      </c>
      <c r="AM754" t="s">
        <v>74</v>
      </c>
      <c r="AN754" t="s">
        <v>74</v>
      </c>
      <c r="AO754" t="s">
        <v>1458</v>
      </c>
      <c r="AP754" t="s">
        <v>435</v>
      </c>
      <c r="AQ754" t="s">
        <v>74</v>
      </c>
      <c r="AR754" t="s">
        <v>74</v>
      </c>
      <c r="AS754" t="s">
        <v>74</v>
      </c>
      <c r="AT754" t="s">
        <v>633</v>
      </c>
      <c r="AU754">
        <v>2007</v>
      </c>
      <c r="AV754">
        <v>124</v>
      </c>
      <c r="AW754">
        <v>2</v>
      </c>
      <c r="AX754" t="s">
        <v>74</v>
      </c>
      <c r="AY754" t="s">
        <v>74</v>
      </c>
      <c r="AZ754" t="s">
        <v>74</v>
      </c>
      <c r="BA754" t="s">
        <v>74</v>
      </c>
      <c r="BB754">
        <v>619</v>
      </c>
      <c r="BC754">
        <v>627</v>
      </c>
      <c r="BD754" t="s">
        <v>74</v>
      </c>
      <c r="BE754" t="s">
        <v>8056</v>
      </c>
      <c r="BF754" t="str">
        <f>HYPERLINK("http://dx.doi.org/10.1093/auk/124.2.619","http://dx.doi.org/10.1093/auk/124.2.619")</f>
        <v>http://dx.doi.org/10.1093/auk/124.2.619</v>
      </c>
      <c r="BG754" t="s">
        <v>74</v>
      </c>
      <c r="BH754" t="s">
        <v>74</v>
      </c>
      <c r="BI754" t="s">
        <v>74</v>
      </c>
      <c r="BJ754" t="s">
        <v>74</v>
      </c>
      <c r="BK754" t="s">
        <v>74</v>
      </c>
      <c r="BL754" t="s">
        <v>74</v>
      </c>
      <c r="BM754" t="s">
        <v>74</v>
      </c>
      <c r="BN754" t="s">
        <v>74</v>
      </c>
      <c r="BO754" t="s">
        <v>74</v>
      </c>
      <c r="BP754" t="s">
        <v>74</v>
      </c>
      <c r="BQ754" t="s">
        <v>74</v>
      </c>
      <c r="BR754" t="s">
        <v>74</v>
      </c>
      <c r="BS754" t="s">
        <v>8057</v>
      </c>
      <c r="BT754" t="str">
        <f>HYPERLINK("https%3A%2F%2Fwww.webofscience.com%2Fwos%2Fwoscc%2Ffull-record%2FWOS:000246596400020","View Full Record in Web of Science")</f>
        <v>View Full Record in Web of Science</v>
      </c>
    </row>
    <row r="755" spans="1:72" x14ac:dyDescent="0.4">
      <c r="A755" t="s">
        <v>72</v>
      </c>
      <c r="B755" t="s">
        <v>7175</v>
      </c>
      <c r="C755" t="s">
        <v>74</v>
      </c>
      <c r="D755" t="s">
        <v>74</v>
      </c>
      <c r="E755" t="s">
        <v>74</v>
      </c>
      <c r="F755" t="s">
        <v>7176</v>
      </c>
      <c r="G755" t="s">
        <v>74</v>
      </c>
      <c r="H755" t="s">
        <v>74</v>
      </c>
      <c r="I755" t="s">
        <v>7177</v>
      </c>
      <c r="J755" t="s">
        <v>763</v>
      </c>
      <c r="K755" t="s">
        <v>74</v>
      </c>
      <c r="L755" t="s">
        <v>74</v>
      </c>
      <c r="M755" t="s">
        <v>74</v>
      </c>
      <c r="N755" t="s">
        <v>74</v>
      </c>
      <c r="O755" t="s">
        <v>74</v>
      </c>
      <c r="P755" t="s">
        <v>74</v>
      </c>
      <c r="Q755" t="s">
        <v>74</v>
      </c>
      <c r="R755" t="s">
        <v>74</v>
      </c>
      <c r="S755" t="s">
        <v>74</v>
      </c>
      <c r="T755" t="s">
        <v>74</v>
      </c>
      <c r="U755" t="s">
        <v>74</v>
      </c>
      <c r="V755" s="3" t="s">
        <v>7178</v>
      </c>
      <c r="W755" t="s">
        <v>74</v>
      </c>
      <c r="X755" t="s">
        <v>74</v>
      </c>
      <c r="Y755" t="s">
        <v>74</v>
      </c>
      <c r="Z755" t="s">
        <v>74</v>
      </c>
      <c r="AA755" t="s">
        <v>7179</v>
      </c>
      <c r="AB755" t="s">
        <v>7180</v>
      </c>
      <c r="AC755" t="s">
        <v>74</v>
      </c>
      <c r="AD755" t="s">
        <v>74</v>
      </c>
      <c r="AE755" t="s">
        <v>74</v>
      </c>
      <c r="AF755" t="s">
        <v>74</v>
      </c>
      <c r="AG755" t="s">
        <v>74</v>
      </c>
      <c r="AH755" t="s">
        <v>74</v>
      </c>
      <c r="AI755" t="s">
        <v>74</v>
      </c>
      <c r="AJ755" t="s">
        <v>74</v>
      </c>
      <c r="AK755" t="s">
        <v>74</v>
      </c>
      <c r="AL755" t="s">
        <v>74</v>
      </c>
      <c r="AM755" t="s">
        <v>74</v>
      </c>
      <c r="AN755" t="s">
        <v>74</v>
      </c>
      <c r="AO755" t="s">
        <v>767</v>
      </c>
      <c r="AP755" t="s">
        <v>768</v>
      </c>
      <c r="AQ755" t="s">
        <v>74</v>
      </c>
      <c r="AR755" t="s">
        <v>74</v>
      </c>
      <c r="AS755" t="s">
        <v>74</v>
      </c>
      <c r="AT755" t="s">
        <v>102</v>
      </c>
      <c r="AU755">
        <v>2022</v>
      </c>
      <c r="AV755">
        <v>225</v>
      </c>
      <c r="AW755">
        <v>11</v>
      </c>
      <c r="AX755" t="s">
        <v>74</v>
      </c>
      <c r="AY755" t="s">
        <v>74</v>
      </c>
      <c r="AZ755" t="s">
        <v>74</v>
      </c>
      <c r="BA755" t="s">
        <v>74</v>
      </c>
      <c r="BB755" t="s">
        <v>74</v>
      </c>
      <c r="BC755" t="s">
        <v>74</v>
      </c>
      <c r="BD755" t="s">
        <v>7181</v>
      </c>
      <c r="BE755" t="s">
        <v>7182</v>
      </c>
      <c r="BF755" t="str">
        <f>HYPERLINK("http://dx.doi.org/10.1242/jeb.244317","http://dx.doi.org/10.1242/jeb.244317")</f>
        <v>http://dx.doi.org/10.1242/jeb.244317</v>
      </c>
      <c r="BG755" t="s">
        <v>74</v>
      </c>
      <c r="BH755" t="s">
        <v>74</v>
      </c>
      <c r="BI755" t="s">
        <v>74</v>
      </c>
      <c r="BJ755" t="s">
        <v>74</v>
      </c>
      <c r="BK755" t="s">
        <v>74</v>
      </c>
      <c r="BL755" t="s">
        <v>74</v>
      </c>
      <c r="BM755" t="s">
        <v>74</v>
      </c>
      <c r="BN755">
        <v>35582824</v>
      </c>
      <c r="BO755" t="s">
        <v>74</v>
      </c>
      <c r="BP755" t="s">
        <v>74</v>
      </c>
      <c r="BQ755" t="s">
        <v>74</v>
      </c>
      <c r="BR755" t="s">
        <v>74</v>
      </c>
      <c r="BS755" t="s">
        <v>7183</v>
      </c>
      <c r="BT755" t="str">
        <f>HYPERLINK("https%3A%2F%2Fwww.webofscience.com%2Fwos%2Fwoscc%2Ffull-record%2FWOS:000811278900021","View Full Record in Web of Science")</f>
        <v>View Full Record in Web of Science</v>
      </c>
    </row>
    <row r="756" spans="1:72" x14ac:dyDescent="0.4">
      <c r="A756" t="s">
        <v>72</v>
      </c>
      <c r="B756" t="s">
        <v>7039</v>
      </c>
      <c r="C756" t="s">
        <v>74</v>
      </c>
      <c r="D756" t="s">
        <v>74</v>
      </c>
      <c r="E756" t="s">
        <v>74</v>
      </c>
      <c r="F756" t="s">
        <v>7040</v>
      </c>
      <c r="G756" t="s">
        <v>74</v>
      </c>
      <c r="H756" t="s">
        <v>74</v>
      </c>
      <c r="I756" t="s">
        <v>7041</v>
      </c>
      <c r="J756" t="s">
        <v>129</v>
      </c>
      <c r="K756" t="s">
        <v>74</v>
      </c>
      <c r="L756" t="s">
        <v>74</v>
      </c>
      <c r="M756" t="s">
        <v>74</v>
      </c>
      <c r="N756" t="s">
        <v>74</v>
      </c>
      <c r="O756" t="s">
        <v>74</v>
      </c>
      <c r="P756" t="s">
        <v>74</v>
      </c>
      <c r="Q756" t="s">
        <v>74</v>
      </c>
      <c r="R756" t="s">
        <v>74</v>
      </c>
      <c r="S756" t="s">
        <v>74</v>
      </c>
      <c r="T756" t="s">
        <v>74</v>
      </c>
      <c r="U756" t="s">
        <v>74</v>
      </c>
      <c r="V756" s="3" t="s">
        <v>7042</v>
      </c>
      <c r="W756" t="s">
        <v>74</v>
      </c>
      <c r="X756" t="s">
        <v>74</v>
      </c>
      <c r="Y756" t="s">
        <v>74</v>
      </c>
      <c r="Z756" t="s">
        <v>74</v>
      </c>
      <c r="AA756" t="s">
        <v>7043</v>
      </c>
      <c r="AB756" t="s">
        <v>7044</v>
      </c>
      <c r="AC756" t="s">
        <v>74</v>
      </c>
      <c r="AD756" t="s">
        <v>74</v>
      </c>
      <c r="AE756" t="s">
        <v>74</v>
      </c>
      <c r="AF756" t="s">
        <v>74</v>
      </c>
      <c r="AG756" t="s">
        <v>74</v>
      </c>
      <c r="AH756" t="s">
        <v>74</v>
      </c>
      <c r="AI756" t="s">
        <v>74</v>
      </c>
      <c r="AJ756" t="s">
        <v>74</v>
      </c>
      <c r="AK756" t="s">
        <v>74</v>
      </c>
      <c r="AL756" t="s">
        <v>74</v>
      </c>
      <c r="AM756" t="s">
        <v>74</v>
      </c>
      <c r="AN756" t="s">
        <v>74</v>
      </c>
      <c r="AO756" t="s">
        <v>132</v>
      </c>
      <c r="AP756" t="s">
        <v>133</v>
      </c>
      <c r="AQ756" t="s">
        <v>74</v>
      </c>
      <c r="AR756" t="s">
        <v>74</v>
      </c>
      <c r="AS756" t="s">
        <v>74</v>
      </c>
      <c r="AT756" t="s">
        <v>204</v>
      </c>
      <c r="AU756">
        <v>2019</v>
      </c>
      <c r="AV756">
        <v>73</v>
      </c>
      <c r="AW756">
        <v>7</v>
      </c>
      <c r="AX756" t="s">
        <v>74</v>
      </c>
      <c r="AY756" t="s">
        <v>74</v>
      </c>
      <c r="AZ756" t="s">
        <v>74</v>
      </c>
      <c r="BA756" t="s">
        <v>74</v>
      </c>
      <c r="BB756" t="s">
        <v>74</v>
      </c>
      <c r="BC756" t="s">
        <v>74</v>
      </c>
      <c r="BD756">
        <v>98</v>
      </c>
      <c r="BE756" t="s">
        <v>7045</v>
      </c>
      <c r="BF756" t="str">
        <f>HYPERLINK("http://dx.doi.org/10.1007/s00265-019-2710-z","http://dx.doi.org/10.1007/s00265-019-2710-z")</f>
        <v>http://dx.doi.org/10.1007/s00265-019-2710-z</v>
      </c>
      <c r="BG756" t="s">
        <v>74</v>
      </c>
      <c r="BH756" t="s">
        <v>74</v>
      </c>
      <c r="BI756" t="s">
        <v>74</v>
      </c>
      <c r="BJ756" t="s">
        <v>74</v>
      </c>
      <c r="BK756" t="s">
        <v>74</v>
      </c>
      <c r="BL756" t="s">
        <v>74</v>
      </c>
      <c r="BM756" t="s">
        <v>74</v>
      </c>
      <c r="BN756" t="s">
        <v>74</v>
      </c>
      <c r="BO756" t="s">
        <v>74</v>
      </c>
      <c r="BP756" t="s">
        <v>74</v>
      </c>
      <c r="BQ756" t="s">
        <v>74</v>
      </c>
      <c r="BR756" t="s">
        <v>74</v>
      </c>
      <c r="BS756" t="s">
        <v>7046</v>
      </c>
      <c r="BT756" t="str">
        <f>HYPERLINK("https%3A%2F%2Fwww.webofscience.com%2Fwos%2Fwoscc%2Ffull-record%2FWOS:000473131000001","View Full Record in Web of Science")</f>
        <v>View Full Record in Web of Science</v>
      </c>
    </row>
    <row r="757" spans="1:72" x14ac:dyDescent="0.4">
      <c r="A757" t="s">
        <v>72</v>
      </c>
      <c r="B757" t="s">
        <v>4833</v>
      </c>
      <c r="C757" t="s">
        <v>74</v>
      </c>
      <c r="D757" t="s">
        <v>74</v>
      </c>
      <c r="E757" t="s">
        <v>74</v>
      </c>
      <c r="F757" t="s">
        <v>4834</v>
      </c>
      <c r="G757" t="s">
        <v>74</v>
      </c>
      <c r="H757" t="s">
        <v>74</v>
      </c>
      <c r="I757" t="s">
        <v>4835</v>
      </c>
      <c r="J757" t="s">
        <v>4836</v>
      </c>
      <c r="K757" t="s">
        <v>74</v>
      </c>
      <c r="L757" t="s">
        <v>74</v>
      </c>
      <c r="M757" t="s">
        <v>74</v>
      </c>
      <c r="N757" t="s">
        <v>74</v>
      </c>
      <c r="O757" t="s">
        <v>74</v>
      </c>
      <c r="P757" t="s">
        <v>74</v>
      </c>
      <c r="Q757" t="s">
        <v>74</v>
      </c>
      <c r="R757" t="s">
        <v>74</v>
      </c>
      <c r="S757" t="s">
        <v>74</v>
      </c>
      <c r="T757" t="s">
        <v>74</v>
      </c>
      <c r="U757" t="s">
        <v>74</v>
      </c>
      <c r="V757" s="3" t="s">
        <v>4837</v>
      </c>
      <c r="W757" t="s">
        <v>74</v>
      </c>
      <c r="X757" t="s">
        <v>74</v>
      </c>
      <c r="Y757" t="s">
        <v>74</v>
      </c>
      <c r="Z757" t="s">
        <v>74</v>
      </c>
      <c r="AA757" t="s">
        <v>4838</v>
      </c>
      <c r="AB757" t="s">
        <v>4839</v>
      </c>
      <c r="AC757" t="s">
        <v>74</v>
      </c>
      <c r="AD757" t="s">
        <v>74</v>
      </c>
      <c r="AE757" t="s">
        <v>74</v>
      </c>
      <c r="AF757" t="s">
        <v>74</v>
      </c>
      <c r="AG757" t="s">
        <v>74</v>
      </c>
      <c r="AH757" t="s">
        <v>74</v>
      </c>
      <c r="AI757" t="s">
        <v>74</v>
      </c>
      <c r="AJ757" t="s">
        <v>74</v>
      </c>
      <c r="AK757" t="s">
        <v>74</v>
      </c>
      <c r="AL757" t="s">
        <v>74</v>
      </c>
      <c r="AM757" t="s">
        <v>74</v>
      </c>
      <c r="AN757" t="s">
        <v>74</v>
      </c>
      <c r="AO757" t="s">
        <v>4840</v>
      </c>
      <c r="AP757" t="s">
        <v>74</v>
      </c>
      <c r="AQ757" t="s">
        <v>74</v>
      </c>
      <c r="AR757" t="s">
        <v>74</v>
      </c>
      <c r="AS757" t="s">
        <v>74</v>
      </c>
      <c r="AT757" t="s">
        <v>4841</v>
      </c>
      <c r="AU757">
        <v>2023</v>
      </c>
      <c r="AV757">
        <v>73</v>
      </c>
      <c r="AW757" t="s">
        <v>74</v>
      </c>
      <c r="AX757" t="s">
        <v>74</v>
      </c>
      <c r="AY757" t="s">
        <v>74</v>
      </c>
      <c r="AZ757" t="s">
        <v>74</v>
      </c>
      <c r="BA757" t="s">
        <v>74</v>
      </c>
      <c r="BB757">
        <v>1</v>
      </c>
      <c r="BC757">
        <v>21</v>
      </c>
      <c r="BD757" t="s">
        <v>74</v>
      </c>
      <c r="BE757" t="s">
        <v>4842</v>
      </c>
      <c r="BF757" t="str">
        <f>HYPERLINK("http://dx.doi.org/10.3897/vz.73.e97002","http://dx.doi.org/10.3897/vz.73.e97002")</f>
        <v>http://dx.doi.org/10.3897/vz.73.e97002</v>
      </c>
      <c r="BG757" t="s">
        <v>74</v>
      </c>
      <c r="BH757" t="s">
        <v>74</v>
      </c>
      <c r="BI757" t="s">
        <v>74</v>
      </c>
      <c r="BJ757" t="s">
        <v>74</v>
      </c>
      <c r="BK757" t="s">
        <v>74</v>
      </c>
      <c r="BL757" t="s">
        <v>74</v>
      </c>
      <c r="BM757" t="s">
        <v>74</v>
      </c>
      <c r="BN757" t="s">
        <v>74</v>
      </c>
      <c r="BO757" t="s">
        <v>74</v>
      </c>
      <c r="BP757" t="s">
        <v>74</v>
      </c>
      <c r="BQ757" t="s">
        <v>74</v>
      </c>
      <c r="BR757" t="s">
        <v>74</v>
      </c>
      <c r="BS757" t="s">
        <v>4843</v>
      </c>
      <c r="BT757" t="str">
        <f>HYPERLINK("https%3A%2F%2Fwww.webofscience.com%2Fwos%2Fwoscc%2Ffull-record%2FWOS:000960500300001","View Full Record in Web of Science")</f>
        <v>View Full Record in Web of Science</v>
      </c>
    </row>
    <row r="758" spans="1:72" x14ac:dyDescent="0.4">
      <c r="A758" t="s">
        <v>72</v>
      </c>
      <c r="B758" t="s">
        <v>2620</v>
      </c>
      <c r="C758" t="s">
        <v>74</v>
      </c>
      <c r="D758" t="s">
        <v>74</v>
      </c>
      <c r="E758" t="s">
        <v>74</v>
      </c>
      <c r="F758" t="s">
        <v>2621</v>
      </c>
      <c r="G758" t="s">
        <v>74</v>
      </c>
      <c r="H758" t="s">
        <v>74</v>
      </c>
      <c r="I758" t="s">
        <v>2622</v>
      </c>
      <c r="J758" t="s">
        <v>129</v>
      </c>
      <c r="K758" t="s">
        <v>74</v>
      </c>
      <c r="L758" t="s">
        <v>74</v>
      </c>
      <c r="M758" t="s">
        <v>74</v>
      </c>
      <c r="N758" t="s">
        <v>74</v>
      </c>
      <c r="O758" t="s">
        <v>74</v>
      </c>
      <c r="P758" t="s">
        <v>74</v>
      </c>
      <c r="Q758" t="s">
        <v>74</v>
      </c>
      <c r="R758" t="s">
        <v>74</v>
      </c>
      <c r="S758" t="s">
        <v>74</v>
      </c>
      <c r="T758" t="s">
        <v>74</v>
      </c>
      <c r="U758" t="s">
        <v>74</v>
      </c>
      <c r="V758" s="3" t="s">
        <v>2623</v>
      </c>
      <c r="W758" t="s">
        <v>74</v>
      </c>
      <c r="X758" t="s">
        <v>74</v>
      </c>
      <c r="Y758" t="s">
        <v>74</v>
      </c>
      <c r="Z758" t="s">
        <v>74</v>
      </c>
      <c r="AA758" t="s">
        <v>74</v>
      </c>
      <c r="AB758" t="s">
        <v>2624</v>
      </c>
      <c r="AC758" t="s">
        <v>74</v>
      </c>
      <c r="AD758" t="s">
        <v>74</v>
      </c>
      <c r="AE758" t="s">
        <v>74</v>
      </c>
      <c r="AF758" t="s">
        <v>74</v>
      </c>
      <c r="AG758" t="s">
        <v>74</v>
      </c>
      <c r="AH758" t="s">
        <v>74</v>
      </c>
      <c r="AI758" t="s">
        <v>74</v>
      </c>
      <c r="AJ758" t="s">
        <v>74</v>
      </c>
      <c r="AK758" t="s">
        <v>74</v>
      </c>
      <c r="AL758" t="s">
        <v>74</v>
      </c>
      <c r="AM758" t="s">
        <v>74</v>
      </c>
      <c r="AN758" t="s">
        <v>74</v>
      </c>
      <c r="AO758" t="s">
        <v>132</v>
      </c>
      <c r="AP758" t="s">
        <v>133</v>
      </c>
      <c r="AQ758" t="s">
        <v>74</v>
      </c>
      <c r="AR758" t="s">
        <v>74</v>
      </c>
      <c r="AS758" t="s">
        <v>74</v>
      </c>
      <c r="AT758" t="s">
        <v>175</v>
      </c>
      <c r="AU758">
        <v>2023</v>
      </c>
      <c r="AV758">
        <v>77</v>
      </c>
      <c r="AW758">
        <v>10</v>
      </c>
      <c r="AX758" t="s">
        <v>74</v>
      </c>
      <c r="AY758" t="s">
        <v>74</v>
      </c>
      <c r="AZ758" t="s">
        <v>74</v>
      </c>
      <c r="BA758" t="s">
        <v>74</v>
      </c>
      <c r="BB758" t="s">
        <v>74</v>
      </c>
      <c r="BC758" t="s">
        <v>74</v>
      </c>
      <c r="BD758">
        <v>116</v>
      </c>
      <c r="BE758" t="s">
        <v>2625</v>
      </c>
      <c r="BF758" t="str">
        <f>HYPERLINK("http://dx.doi.org/10.1007/s00265-023-03389-5","http://dx.doi.org/10.1007/s00265-023-03389-5")</f>
        <v>http://dx.doi.org/10.1007/s00265-023-03389-5</v>
      </c>
      <c r="BG758" t="s">
        <v>74</v>
      </c>
      <c r="BH758" t="s">
        <v>74</v>
      </c>
      <c r="BI758" t="s">
        <v>74</v>
      </c>
      <c r="BJ758" t="s">
        <v>74</v>
      </c>
      <c r="BK758" t="s">
        <v>74</v>
      </c>
      <c r="BL758" t="s">
        <v>74</v>
      </c>
      <c r="BM758" t="s">
        <v>74</v>
      </c>
      <c r="BN758" t="s">
        <v>74</v>
      </c>
      <c r="BO758" t="s">
        <v>74</v>
      </c>
      <c r="BP758" t="s">
        <v>74</v>
      </c>
      <c r="BQ758" t="s">
        <v>74</v>
      </c>
      <c r="BR758" t="s">
        <v>74</v>
      </c>
      <c r="BS758" t="s">
        <v>2626</v>
      </c>
      <c r="BT758" t="str">
        <f>HYPERLINK("https%3A%2F%2Fwww.webofscience.com%2Fwos%2Fwoscc%2Ffull-record%2FWOS:001100527400001","View Full Record in Web of Science")</f>
        <v>View Full Record in Web of Science</v>
      </c>
    </row>
    <row r="759" spans="1:72" x14ac:dyDescent="0.4">
      <c r="A759" t="s">
        <v>72</v>
      </c>
      <c r="B759" t="s">
        <v>4480</v>
      </c>
      <c r="C759" t="s">
        <v>74</v>
      </c>
      <c r="D759" t="s">
        <v>74</v>
      </c>
      <c r="E759" t="s">
        <v>74</v>
      </c>
      <c r="F759" t="s">
        <v>4481</v>
      </c>
      <c r="G759" t="s">
        <v>74</v>
      </c>
      <c r="H759" t="s">
        <v>74</v>
      </c>
      <c r="I759" t="s">
        <v>4482</v>
      </c>
      <c r="J759" t="s">
        <v>2901</v>
      </c>
      <c r="K759" t="s">
        <v>74</v>
      </c>
      <c r="L759" t="s">
        <v>74</v>
      </c>
      <c r="M759" t="s">
        <v>74</v>
      </c>
      <c r="N759" t="s">
        <v>74</v>
      </c>
      <c r="O759" t="s">
        <v>74</v>
      </c>
      <c r="P759" t="s">
        <v>74</v>
      </c>
      <c r="Q759" t="s">
        <v>74</v>
      </c>
      <c r="R759" t="s">
        <v>74</v>
      </c>
      <c r="S759" t="s">
        <v>74</v>
      </c>
      <c r="T759" t="s">
        <v>74</v>
      </c>
      <c r="U759" t="s">
        <v>74</v>
      </c>
      <c r="V759" s="3" t="s">
        <v>4483</v>
      </c>
      <c r="W759" t="s">
        <v>74</v>
      </c>
      <c r="X759" t="s">
        <v>74</v>
      </c>
      <c r="Y759" t="s">
        <v>74</v>
      </c>
      <c r="Z759" t="s">
        <v>74</v>
      </c>
      <c r="AA759" t="s">
        <v>4484</v>
      </c>
      <c r="AB759" t="s">
        <v>4485</v>
      </c>
      <c r="AC759" t="s">
        <v>74</v>
      </c>
      <c r="AD759" t="s">
        <v>74</v>
      </c>
      <c r="AE759" t="s">
        <v>74</v>
      </c>
      <c r="AF759" t="s">
        <v>74</v>
      </c>
      <c r="AG759" t="s">
        <v>74</v>
      </c>
      <c r="AH759" t="s">
        <v>74</v>
      </c>
      <c r="AI759" t="s">
        <v>74</v>
      </c>
      <c r="AJ759" t="s">
        <v>74</v>
      </c>
      <c r="AK759" t="s">
        <v>74</v>
      </c>
      <c r="AL759" t="s">
        <v>74</v>
      </c>
      <c r="AM759" t="s">
        <v>74</v>
      </c>
      <c r="AN759" t="s">
        <v>74</v>
      </c>
      <c r="AO759" t="s">
        <v>2903</v>
      </c>
      <c r="AP759" t="s">
        <v>2904</v>
      </c>
      <c r="AQ759" t="s">
        <v>74</v>
      </c>
      <c r="AR759" t="s">
        <v>74</v>
      </c>
      <c r="AS759" t="s">
        <v>74</v>
      </c>
      <c r="AT759" t="s">
        <v>74</v>
      </c>
      <c r="AU759">
        <v>2018</v>
      </c>
      <c r="AV759">
        <v>30</v>
      </c>
      <c r="AW759">
        <v>4</v>
      </c>
      <c r="AX759" t="s">
        <v>74</v>
      </c>
      <c r="AY759" t="s">
        <v>74</v>
      </c>
      <c r="AZ759" t="s">
        <v>74</v>
      </c>
      <c r="BA759" t="s">
        <v>74</v>
      </c>
      <c r="BB759">
        <v>319</v>
      </c>
      <c r="BC759">
        <v>330</v>
      </c>
      <c r="BD759" t="s">
        <v>74</v>
      </c>
      <c r="BE759" t="s">
        <v>4486</v>
      </c>
      <c r="BF759" t="str">
        <f>HYPERLINK("http://dx.doi.org/10.1080/03949370.2017.1402091","http://dx.doi.org/10.1080/03949370.2017.1402091")</f>
        <v>http://dx.doi.org/10.1080/03949370.2017.1402091</v>
      </c>
      <c r="BG759" t="s">
        <v>74</v>
      </c>
      <c r="BH759" t="s">
        <v>74</v>
      </c>
      <c r="BI759" t="s">
        <v>74</v>
      </c>
      <c r="BJ759" t="s">
        <v>74</v>
      </c>
      <c r="BK759" t="s">
        <v>74</v>
      </c>
      <c r="BL759" t="s">
        <v>74</v>
      </c>
      <c r="BM759" t="s">
        <v>74</v>
      </c>
      <c r="BN759" t="s">
        <v>74</v>
      </c>
      <c r="BO759" t="s">
        <v>74</v>
      </c>
      <c r="BP759" t="s">
        <v>74</v>
      </c>
      <c r="BQ759" t="s">
        <v>74</v>
      </c>
      <c r="BR759" t="s">
        <v>74</v>
      </c>
      <c r="BS759" t="s">
        <v>4487</v>
      </c>
      <c r="BT759" t="str">
        <f>HYPERLINK("https%3A%2F%2Fwww.webofscience.com%2Fwos%2Fwoscc%2Ffull-record%2FWOS:000435677500003","View Full Record in Web of Science")</f>
        <v>View Full Record in Web of Science</v>
      </c>
    </row>
    <row r="760" spans="1:72" x14ac:dyDescent="0.4">
      <c r="A760" t="s">
        <v>72</v>
      </c>
      <c r="B760" t="s">
        <v>4349</v>
      </c>
      <c r="C760" t="s">
        <v>74</v>
      </c>
      <c r="D760" t="s">
        <v>74</v>
      </c>
      <c r="E760" t="s">
        <v>74</v>
      </c>
      <c r="F760" t="s">
        <v>4349</v>
      </c>
      <c r="G760" t="s">
        <v>74</v>
      </c>
      <c r="H760" t="s">
        <v>74</v>
      </c>
      <c r="I760" t="s">
        <v>4350</v>
      </c>
      <c r="J760" t="s">
        <v>4351</v>
      </c>
      <c r="K760" t="s">
        <v>74</v>
      </c>
      <c r="L760" t="s">
        <v>74</v>
      </c>
      <c r="M760" t="s">
        <v>74</v>
      </c>
      <c r="N760" t="s">
        <v>74</v>
      </c>
      <c r="O760" t="s">
        <v>74</v>
      </c>
      <c r="P760" t="s">
        <v>74</v>
      </c>
      <c r="Q760" t="s">
        <v>74</v>
      </c>
      <c r="R760" t="s">
        <v>74</v>
      </c>
      <c r="S760" t="s">
        <v>74</v>
      </c>
      <c r="T760" t="s">
        <v>74</v>
      </c>
      <c r="U760" t="s">
        <v>74</v>
      </c>
      <c r="V760" s="3" t="s">
        <v>4352</v>
      </c>
      <c r="W760" t="s">
        <v>74</v>
      </c>
      <c r="X760" t="s">
        <v>74</v>
      </c>
      <c r="Y760" t="s">
        <v>74</v>
      </c>
      <c r="Z760" t="s">
        <v>74</v>
      </c>
      <c r="AA760" t="s">
        <v>4353</v>
      </c>
      <c r="AB760" t="s">
        <v>74</v>
      </c>
      <c r="AC760" t="s">
        <v>74</v>
      </c>
      <c r="AD760" t="s">
        <v>74</v>
      </c>
      <c r="AE760" t="s">
        <v>74</v>
      </c>
      <c r="AF760" t="s">
        <v>74</v>
      </c>
      <c r="AG760" t="s">
        <v>74</v>
      </c>
      <c r="AH760" t="s">
        <v>74</v>
      </c>
      <c r="AI760" t="s">
        <v>74</v>
      </c>
      <c r="AJ760" t="s">
        <v>74</v>
      </c>
      <c r="AK760" t="s">
        <v>74</v>
      </c>
      <c r="AL760" t="s">
        <v>74</v>
      </c>
      <c r="AM760" t="s">
        <v>74</v>
      </c>
      <c r="AN760" t="s">
        <v>74</v>
      </c>
      <c r="AO760" t="s">
        <v>4354</v>
      </c>
      <c r="AP760" t="s">
        <v>74</v>
      </c>
      <c r="AQ760" t="s">
        <v>74</v>
      </c>
      <c r="AR760" t="s">
        <v>74</v>
      </c>
      <c r="AS760" t="s">
        <v>74</v>
      </c>
      <c r="AT760" t="s">
        <v>255</v>
      </c>
      <c r="AU760">
        <v>1992</v>
      </c>
      <c r="AV760">
        <v>100</v>
      </c>
      <c r="AW760">
        <v>1</v>
      </c>
      <c r="AX760" t="s">
        <v>74</v>
      </c>
      <c r="AY760" t="s">
        <v>74</v>
      </c>
      <c r="AZ760" t="s">
        <v>74</v>
      </c>
      <c r="BA760" t="s">
        <v>74</v>
      </c>
      <c r="BB760">
        <v>137</v>
      </c>
      <c r="BC760">
        <v>141</v>
      </c>
      <c r="BD760" t="s">
        <v>74</v>
      </c>
      <c r="BE760" t="s">
        <v>74</v>
      </c>
      <c r="BF760" t="s">
        <v>74</v>
      </c>
      <c r="BG760" t="s">
        <v>74</v>
      </c>
      <c r="BH760" t="s">
        <v>74</v>
      </c>
      <c r="BI760" t="s">
        <v>74</v>
      </c>
      <c r="BJ760" t="s">
        <v>74</v>
      </c>
      <c r="BK760" t="s">
        <v>74</v>
      </c>
      <c r="BL760" t="s">
        <v>74</v>
      </c>
      <c r="BM760" t="s">
        <v>74</v>
      </c>
      <c r="BN760" t="s">
        <v>74</v>
      </c>
      <c r="BO760" t="s">
        <v>74</v>
      </c>
      <c r="BP760" t="s">
        <v>74</v>
      </c>
      <c r="BQ760" t="s">
        <v>74</v>
      </c>
      <c r="BR760" t="s">
        <v>74</v>
      </c>
      <c r="BS760" t="s">
        <v>4355</v>
      </c>
      <c r="BT760" t="str">
        <f>HYPERLINK("https%3A%2F%2Fwww.webofscience.com%2Fwos%2Fwoscc%2Ffull-record%2FWOS:A1992HD98800004","View Full Record in Web of Science")</f>
        <v>View Full Record in Web of Science</v>
      </c>
    </row>
    <row r="761" spans="1:72" x14ac:dyDescent="0.4">
      <c r="A761" t="s">
        <v>72</v>
      </c>
      <c r="B761" t="s">
        <v>3000</v>
      </c>
      <c r="C761" t="s">
        <v>74</v>
      </c>
      <c r="D761" t="s">
        <v>74</v>
      </c>
      <c r="E761" t="s">
        <v>74</v>
      </c>
      <c r="F761" t="s">
        <v>3001</v>
      </c>
      <c r="G761" t="s">
        <v>74</v>
      </c>
      <c r="H761" t="s">
        <v>74</v>
      </c>
      <c r="I761" t="s">
        <v>3002</v>
      </c>
      <c r="J761" t="s">
        <v>3003</v>
      </c>
      <c r="K761" t="s">
        <v>74</v>
      </c>
      <c r="L761" t="s">
        <v>74</v>
      </c>
      <c r="M761" t="s">
        <v>74</v>
      </c>
      <c r="N761" t="s">
        <v>74</v>
      </c>
      <c r="O761" t="s">
        <v>74</v>
      </c>
      <c r="P761" t="s">
        <v>74</v>
      </c>
      <c r="Q761" t="s">
        <v>74</v>
      </c>
      <c r="R761" t="s">
        <v>74</v>
      </c>
      <c r="S761" t="s">
        <v>74</v>
      </c>
      <c r="T761" t="s">
        <v>74</v>
      </c>
      <c r="U761" t="s">
        <v>74</v>
      </c>
      <c r="V761" s="3" t="s">
        <v>3004</v>
      </c>
      <c r="W761" t="s">
        <v>74</v>
      </c>
      <c r="X761" t="s">
        <v>74</v>
      </c>
      <c r="Y761" t="s">
        <v>74</v>
      </c>
      <c r="Z761" t="s">
        <v>74</v>
      </c>
      <c r="AA761" t="s">
        <v>74</v>
      </c>
      <c r="AB761" t="s">
        <v>74</v>
      </c>
      <c r="AC761" t="s">
        <v>74</v>
      </c>
      <c r="AD761" t="s">
        <v>74</v>
      </c>
      <c r="AE761" t="s">
        <v>74</v>
      </c>
      <c r="AF761" t="s">
        <v>74</v>
      </c>
      <c r="AG761" t="s">
        <v>74</v>
      </c>
      <c r="AH761" t="s">
        <v>74</v>
      </c>
      <c r="AI761" t="s">
        <v>74</v>
      </c>
      <c r="AJ761" t="s">
        <v>74</v>
      </c>
      <c r="AK761" t="s">
        <v>74</v>
      </c>
      <c r="AL761" t="s">
        <v>74</v>
      </c>
      <c r="AM761" t="s">
        <v>74</v>
      </c>
      <c r="AN761" t="s">
        <v>74</v>
      </c>
      <c r="AO761" t="s">
        <v>3005</v>
      </c>
      <c r="AP761" t="s">
        <v>74</v>
      </c>
      <c r="AQ761" t="s">
        <v>74</v>
      </c>
      <c r="AR761" t="s">
        <v>74</v>
      </c>
      <c r="AS761" t="s">
        <v>74</v>
      </c>
      <c r="AT761" t="s">
        <v>3006</v>
      </c>
      <c r="AU761">
        <v>2010</v>
      </c>
      <c r="AV761">
        <v>64</v>
      </c>
      <c r="AW761">
        <v>2</v>
      </c>
      <c r="AX761" t="s">
        <v>74</v>
      </c>
      <c r="AY761" t="s">
        <v>74</v>
      </c>
      <c r="AZ761" t="s">
        <v>74</v>
      </c>
      <c r="BA761" t="s">
        <v>74</v>
      </c>
      <c r="BB761">
        <v>57</v>
      </c>
      <c r="BC761">
        <v>68</v>
      </c>
      <c r="BD761" t="s">
        <v>74</v>
      </c>
      <c r="BE761" t="s">
        <v>74</v>
      </c>
      <c r="BF761" t="s">
        <v>74</v>
      </c>
      <c r="BG761" t="s">
        <v>74</v>
      </c>
      <c r="BH761" t="s">
        <v>74</v>
      </c>
      <c r="BI761" t="s">
        <v>74</v>
      </c>
      <c r="BJ761" t="s">
        <v>74</v>
      </c>
      <c r="BK761" t="s">
        <v>74</v>
      </c>
      <c r="BL761" t="s">
        <v>74</v>
      </c>
      <c r="BM761" t="s">
        <v>74</v>
      </c>
      <c r="BN761" t="s">
        <v>74</v>
      </c>
      <c r="BO761" t="s">
        <v>74</v>
      </c>
      <c r="BP761" t="s">
        <v>74</v>
      </c>
      <c r="BQ761" t="s">
        <v>74</v>
      </c>
      <c r="BR761" t="s">
        <v>74</v>
      </c>
      <c r="BS761" t="s">
        <v>3007</v>
      </c>
      <c r="BT761" t="str">
        <f>HYPERLINK("https%3A%2F%2Fwww.webofscience.com%2Fwos%2Fwoscc%2Ffull-record%2FWOS:000280497600001","View Full Record in Web of Science")</f>
        <v>View Full Record in Web of Science</v>
      </c>
    </row>
    <row r="762" spans="1:72" x14ac:dyDescent="0.4">
      <c r="A762" t="s">
        <v>72</v>
      </c>
      <c r="B762" t="s">
        <v>8088</v>
      </c>
      <c r="C762" t="s">
        <v>74</v>
      </c>
      <c r="D762" t="s">
        <v>74</v>
      </c>
      <c r="E762" t="s">
        <v>74</v>
      </c>
      <c r="F762" t="s">
        <v>8088</v>
      </c>
      <c r="G762" t="s">
        <v>74</v>
      </c>
      <c r="H762" t="s">
        <v>74</v>
      </c>
      <c r="I762" t="s">
        <v>8089</v>
      </c>
      <c r="J762" t="s">
        <v>344</v>
      </c>
      <c r="K762" t="s">
        <v>74</v>
      </c>
      <c r="L762" t="s">
        <v>74</v>
      </c>
      <c r="M762" t="s">
        <v>74</v>
      </c>
      <c r="N762" t="s">
        <v>74</v>
      </c>
      <c r="O762" t="s">
        <v>74</v>
      </c>
      <c r="P762" t="s">
        <v>74</v>
      </c>
      <c r="Q762" t="s">
        <v>74</v>
      </c>
      <c r="R762" t="s">
        <v>74</v>
      </c>
      <c r="S762" t="s">
        <v>74</v>
      </c>
      <c r="T762" t="s">
        <v>74</v>
      </c>
      <c r="U762" t="s">
        <v>74</v>
      </c>
      <c r="V762" s="3" t="s">
        <v>8090</v>
      </c>
      <c r="W762" t="s">
        <v>74</v>
      </c>
      <c r="X762" t="s">
        <v>74</v>
      </c>
      <c r="Y762" t="s">
        <v>74</v>
      </c>
      <c r="Z762" t="s">
        <v>74</v>
      </c>
      <c r="AA762" t="s">
        <v>74</v>
      </c>
      <c r="AB762" t="s">
        <v>74</v>
      </c>
      <c r="AC762" t="s">
        <v>74</v>
      </c>
      <c r="AD762" t="s">
        <v>74</v>
      </c>
      <c r="AE762" t="s">
        <v>74</v>
      </c>
      <c r="AF762" t="s">
        <v>74</v>
      </c>
      <c r="AG762" t="s">
        <v>74</v>
      </c>
      <c r="AH762" t="s">
        <v>74</v>
      </c>
      <c r="AI762" t="s">
        <v>74</v>
      </c>
      <c r="AJ762" t="s">
        <v>74</v>
      </c>
      <c r="AK762" t="s">
        <v>74</v>
      </c>
      <c r="AL762" t="s">
        <v>74</v>
      </c>
      <c r="AM762" t="s">
        <v>74</v>
      </c>
      <c r="AN762" t="s">
        <v>74</v>
      </c>
      <c r="AO762" t="s">
        <v>346</v>
      </c>
      <c r="AP762" t="s">
        <v>74</v>
      </c>
      <c r="AQ762" t="s">
        <v>74</v>
      </c>
      <c r="AR762" t="s">
        <v>74</v>
      </c>
      <c r="AS762" t="s">
        <v>74</v>
      </c>
      <c r="AT762" t="s">
        <v>213</v>
      </c>
      <c r="AU762">
        <v>1994</v>
      </c>
      <c r="AV762">
        <v>41</v>
      </c>
      <c r="AW762" t="s">
        <v>3743</v>
      </c>
      <c r="AX762" t="s">
        <v>74</v>
      </c>
      <c r="AY762" t="s">
        <v>74</v>
      </c>
      <c r="AZ762" t="s">
        <v>74</v>
      </c>
      <c r="BA762" t="s">
        <v>74</v>
      </c>
      <c r="BB762">
        <v>403</v>
      </c>
      <c r="BC762">
        <v>414</v>
      </c>
      <c r="BD762" t="s">
        <v>74</v>
      </c>
      <c r="BE762" t="s">
        <v>74</v>
      </c>
      <c r="BF762" t="s">
        <v>74</v>
      </c>
      <c r="BG762" t="s">
        <v>74</v>
      </c>
      <c r="BH762" t="s">
        <v>74</v>
      </c>
      <c r="BI762" t="s">
        <v>74</v>
      </c>
      <c r="BJ762" t="s">
        <v>74</v>
      </c>
      <c r="BK762" t="s">
        <v>74</v>
      </c>
      <c r="BL762" t="s">
        <v>74</v>
      </c>
      <c r="BM762" t="s">
        <v>74</v>
      </c>
      <c r="BN762" t="s">
        <v>74</v>
      </c>
      <c r="BO762" t="s">
        <v>74</v>
      </c>
      <c r="BP762" t="s">
        <v>74</v>
      </c>
      <c r="BQ762" t="s">
        <v>74</v>
      </c>
      <c r="BR762" t="s">
        <v>74</v>
      </c>
      <c r="BS762" t="s">
        <v>8091</v>
      </c>
      <c r="BT762" t="str">
        <f>HYPERLINK("https%3A%2F%2Fwww.webofscience.com%2Fwos%2Fwoscc%2Ffull-record%2FWOS:A1994QE85200028","View Full Record in Web of Science")</f>
        <v>View Full Record in Web of Science</v>
      </c>
    </row>
    <row r="763" spans="1:72" x14ac:dyDescent="0.4">
      <c r="A763" t="s">
        <v>72</v>
      </c>
      <c r="B763" t="s">
        <v>8518</v>
      </c>
      <c r="C763" t="s">
        <v>74</v>
      </c>
      <c r="D763" t="s">
        <v>74</v>
      </c>
      <c r="E763" t="s">
        <v>74</v>
      </c>
      <c r="F763" t="s">
        <v>8519</v>
      </c>
      <c r="G763" t="s">
        <v>74</v>
      </c>
      <c r="H763" t="s">
        <v>74</v>
      </c>
      <c r="I763" t="s">
        <v>8520</v>
      </c>
      <c r="J763" t="s">
        <v>281</v>
      </c>
      <c r="K763" t="s">
        <v>74</v>
      </c>
      <c r="L763" t="s">
        <v>74</v>
      </c>
      <c r="M763" t="s">
        <v>74</v>
      </c>
      <c r="N763" t="s">
        <v>74</v>
      </c>
      <c r="O763" t="s">
        <v>74</v>
      </c>
      <c r="P763" t="s">
        <v>74</v>
      </c>
      <c r="Q763" t="s">
        <v>74</v>
      </c>
      <c r="R763" t="s">
        <v>74</v>
      </c>
      <c r="S763" t="s">
        <v>74</v>
      </c>
      <c r="T763" t="s">
        <v>74</v>
      </c>
      <c r="U763" t="s">
        <v>74</v>
      </c>
      <c r="V763" s="3" t="s">
        <v>8521</v>
      </c>
      <c r="W763" t="s">
        <v>74</v>
      </c>
      <c r="X763" t="s">
        <v>74</v>
      </c>
      <c r="Y763" t="s">
        <v>74</v>
      </c>
      <c r="Z763" t="s">
        <v>74</v>
      </c>
      <c r="AA763" t="s">
        <v>8522</v>
      </c>
      <c r="AB763" t="s">
        <v>8523</v>
      </c>
      <c r="AC763" t="s">
        <v>74</v>
      </c>
      <c r="AD763" t="s">
        <v>74</v>
      </c>
      <c r="AE763" t="s">
        <v>74</v>
      </c>
      <c r="AF763" t="s">
        <v>74</v>
      </c>
      <c r="AG763" t="s">
        <v>74</v>
      </c>
      <c r="AH763" t="s">
        <v>74</v>
      </c>
      <c r="AI763" t="s">
        <v>74</v>
      </c>
      <c r="AJ763" t="s">
        <v>74</v>
      </c>
      <c r="AK763" t="s">
        <v>74</v>
      </c>
      <c r="AL763" t="s">
        <v>74</v>
      </c>
      <c r="AM763" t="s">
        <v>74</v>
      </c>
      <c r="AN763" t="s">
        <v>74</v>
      </c>
      <c r="AO763" t="s">
        <v>285</v>
      </c>
      <c r="AP763" t="s">
        <v>286</v>
      </c>
      <c r="AQ763" t="s">
        <v>74</v>
      </c>
      <c r="AR763" t="s">
        <v>74</v>
      </c>
      <c r="AS763" t="s">
        <v>74</v>
      </c>
      <c r="AT763" t="s">
        <v>255</v>
      </c>
      <c r="AU763">
        <v>2020</v>
      </c>
      <c r="AV763">
        <v>23</v>
      </c>
      <c r="AW763">
        <v>1</v>
      </c>
      <c r="AX763" t="s">
        <v>74</v>
      </c>
      <c r="AY763" t="s">
        <v>74</v>
      </c>
      <c r="AZ763" t="s">
        <v>74</v>
      </c>
      <c r="BA763" t="s">
        <v>74</v>
      </c>
      <c r="BB763">
        <v>41</v>
      </c>
      <c r="BC763">
        <v>53</v>
      </c>
      <c r="BD763" t="s">
        <v>74</v>
      </c>
      <c r="BE763" t="s">
        <v>8524</v>
      </c>
      <c r="BF763" t="str">
        <f>HYPERLINK("http://dx.doi.org/10.1007/s10071-019-01313-x","http://dx.doi.org/10.1007/s10071-019-01313-x")</f>
        <v>http://dx.doi.org/10.1007/s10071-019-01313-x</v>
      </c>
      <c r="BG763" t="s">
        <v>74</v>
      </c>
      <c r="BH763" t="s">
        <v>6757</v>
      </c>
      <c r="BI763" t="s">
        <v>74</v>
      </c>
      <c r="BJ763" t="s">
        <v>74</v>
      </c>
      <c r="BK763" t="s">
        <v>74</v>
      </c>
      <c r="BL763" t="s">
        <v>74</v>
      </c>
      <c r="BM763" t="s">
        <v>74</v>
      </c>
      <c r="BN763">
        <v>31586279</v>
      </c>
      <c r="BO763" t="s">
        <v>74</v>
      </c>
      <c r="BP763" t="s">
        <v>74</v>
      </c>
      <c r="BQ763" t="s">
        <v>74</v>
      </c>
      <c r="BR763" t="s">
        <v>74</v>
      </c>
      <c r="BS763" t="s">
        <v>8525</v>
      </c>
      <c r="BT763" t="str">
        <f>HYPERLINK("https%3A%2F%2Fwww.webofscience.com%2Fwos%2Fwoscc%2Ffull-record%2FWOS:000488937600001","View Full Record in Web of Science")</f>
        <v>View Full Record in Web of Science</v>
      </c>
    </row>
    <row r="764" spans="1:72" x14ac:dyDescent="0.4">
      <c r="A764" t="s">
        <v>72</v>
      </c>
      <c r="B764" t="s">
        <v>752</v>
      </c>
      <c r="C764" t="s">
        <v>74</v>
      </c>
      <c r="D764" t="s">
        <v>74</v>
      </c>
      <c r="E764" t="s">
        <v>74</v>
      </c>
      <c r="F764" t="s">
        <v>753</v>
      </c>
      <c r="G764" t="s">
        <v>74</v>
      </c>
      <c r="H764" t="s">
        <v>74</v>
      </c>
      <c r="I764" t="s">
        <v>754</v>
      </c>
      <c r="J764" t="s">
        <v>140</v>
      </c>
      <c r="K764" t="s">
        <v>74</v>
      </c>
      <c r="L764" t="s">
        <v>74</v>
      </c>
      <c r="M764" t="s">
        <v>74</v>
      </c>
      <c r="N764" t="s">
        <v>74</v>
      </c>
      <c r="O764" t="s">
        <v>74</v>
      </c>
      <c r="P764" t="s">
        <v>74</v>
      </c>
      <c r="Q764" t="s">
        <v>74</v>
      </c>
      <c r="R764" t="s">
        <v>74</v>
      </c>
      <c r="S764" t="s">
        <v>74</v>
      </c>
      <c r="T764" t="s">
        <v>74</v>
      </c>
      <c r="U764" t="s">
        <v>74</v>
      </c>
      <c r="V764" s="3" t="s">
        <v>755</v>
      </c>
      <c r="W764" t="s">
        <v>74</v>
      </c>
      <c r="X764" t="s">
        <v>74</v>
      </c>
      <c r="Y764" t="s">
        <v>74</v>
      </c>
      <c r="Z764" t="s">
        <v>74</v>
      </c>
      <c r="AA764" t="s">
        <v>756</v>
      </c>
      <c r="AB764" t="s">
        <v>757</v>
      </c>
      <c r="AC764" t="s">
        <v>74</v>
      </c>
      <c r="AD764" t="s">
        <v>74</v>
      </c>
      <c r="AE764" t="s">
        <v>74</v>
      </c>
      <c r="AF764" t="s">
        <v>74</v>
      </c>
      <c r="AG764" t="s">
        <v>74</v>
      </c>
      <c r="AH764" t="s">
        <v>74</v>
      </c>
      <c r="AI764" t="s">
        <v>74</v>
      </c>
      <c r="AJ764" t="s">
        <v>74</v>
      </c>
      <c r="AK764" t="s">
        <v>74</v>
      </c>
      <c r="AL764" t="s">
        <v>74</v>
      </c>
      <c r="AM764" t="s">
        <v>74</v>
      </c>
      <c r="AN764" t="s">
        <v>74</v>
      </c>
      <c r="AO764" t="s">
        <v>143</v>
      </c>
      <c r="AP764" t="s">
        <v>144</v>
      </c>
      <c r="AQ764" t="s">
        <v>74</v>
      </c>
      <c r="AR764" t="s">
        <v>74</v>
      </c>
      <c r="AS764" t="s">
        <v>74</v>
      </c>
      <c r="AT764" t="s">
        <v>352</v>
      </c>
      <c r="AU764">
        <v>2013</v>
      </c>
      <c r="AV764">
        <v>86</v>
      </c>
      <c r="AW764">
        <v>3</v>
      </c>
      <c r="AX764" t="s">
        <v>74</v>
      </c>
      <c r="AY764" t="s">
        <v>74</v>
      </c>
      <c r="AZ764" t="s">
        <v>74</v>
      </c>
      <c r="BA764" t="s">
        <v>74</v>
      </c>
      <c r="BB764">
        <v>595</v>
      </c>
      <c r="BC764">
        <v>602</v>
      </c>
      <c r="BD764" t="s">
        <v>74</v>
      </c>
      <c r="BE764" t="s">
        <v>758</v>
      </c>
      <c r="BF764" t="str">
        <f>HYPERLINK("http://dx.doi.org/10.1016/j.anbehav.2013.06.015","http://dx.doi.org/10.1016/j.anbehav.2013.06.015")</f>
        <v>http://dx.doi.org/10.1016/j.anbehav.2013.06.015</v>
      </c>
      <c r="BG764" t="s">
        <v>74</v>
      </c>
      <c r="BH764" t="s">
        <v>74</v>
      </c>
      <c r="BI764" t="s">
        <v>74</v>
      </c>
      <c r="BJ764" t="s">
        <v>74</v>
      </c>
      <c r="BK764" t="s">
        <v>74</v>
      </c>
      <c r="BL764" t="s">
        <v>74</v>
      </c>
      <c r="BM764" t="s">
        <v>74</v>
      </c>
      <c r="BN764">
        <v>24027343</v>
      </c>
      <c r="BO764" t="s">
        <v>74</v>
      </c>
      <c r="BP764" t="s">
        <v>74</v>
      </c>
      <c r="BQ764" t="s">
        <v>74</v>
      </c>
      <c r="BR764" t="s">
        <v>74</v>
      </c>
      <c r="BS764" t="s">
        <v>759</v>
      </c>
      <c r="BT764" t="str">
        <f>HYPERLINK("https%3A%2F%2Fwww.webofscience.com%2Fwos%2Fwoscc%2Ffull-record%2FWOS:000323944200016","View Full Record in Web of Science")</f>
        <v>View Full Record in Web of Science</v>
      </c>
    </row>
    <row r="765" spans="1:72" x14ac:dyDescent="0.4">
      <c r="A765" t="s">
        <v>72</v>
      </c>
      <c r="B765" t="s">
        <v>4761</v>
      </c>
      <c r="C765" t="s">
        <v>74</v>
      </c>
      <c r="D765" t="s">
        <v>74</v>
      </c>
      <c r="E765" t="s">
        <v>74</v>
      </c>
      <c r="F765" t="s">
        <v>4762</v>
      </c>
      <c r="G765" t="s">
        <v>74</v>
      </c>
      <c r="H765" t="s">
        <v>74</v>
      </c>
      <c r="I765" t="s">
        <v>4763</v>
      </c>
      <c r="J765" t="s">
        <v>1656</v>
      </c>
      <c r="K765" t="s">
        <v>74</v>
      </c>
      <c r="L765" t="s">
        <v>74</v>
      </c>
      <c r="M765" t="s">
        <v>74</v>
      </c>
      <c r="N765" t="s">
        <v>74</v>
      </c>
      <c r="O765" t="s">
        <v>74</v>
      </c>
      <c r="P765" t="s">
        <v>74</v>
      </c>
      <c r="Q765" t="s">
        <v>74</v>
      </c>
      <c r="R765" t="s">
        <v>74</v>
      </c>
      <c r="S765" t="s">
        <v>74</v>
      </c>
      <c r="T765" t="s">
        <v>74</v>
      </c>
      <c r="U765" t="s">
        <v>74</v>
      </c>
      <c r="V765" s="3" t="s">
        <v>4764</v>
      </c>
      <c r="W765" t="s">
        <v>74</v>
      </c>
      <c r="X765" t="s">
        <v>74</v>
      </c>
      <c r="Y765" t="s">
        <v>74</v>
      </c>
      <c r="Z765" t="s">
        <v>74</v>
      </c>
      <c r="AA765" t="s">
        <v>4765</v>
      </c>
      <c r="AB765" t="s">
        <v>4766</v>
      </c>
      <c r="AC765" t="s">
        <v>74</v>
      </c>
      <c r="AD765" t="s">
        <v>74</v>
      </c>
      <c r="AE765" t="s">
        <v>74</v>
      </c>
      <c r="AF765" t="s">
        <v>74</v>
      </c>
      <c r="AG765" t="s">
        <v>74</v>
      </c>
      <c r="AH765" t="s">
        <v>74</v>
      </c>
      <c r="AI765" t="s">
        <v>74</v>
      </c>
      <c r="AJ765" t="s">
        <v>74</v>
      </c>
      <c r="AK765" t="s">
        <v>74</v>
      </c>
      <c r="AL765" t="s">
        <v>74</v>
      </c>
      <c r="AM765" t="s">
        <v>74</v>
      </c>
      <c r="AN765" t="s">
        <v>74</v>
      </c>
      <c r="AO765" t="s">
        <v>1658</v>
      </c>
      <c r="AP765" t="s">
        <v>1659</v>
      </c>
      <c r="AQ765" t="s">
        <v>74</v>
      </c>
      <c r="AR765" t="s">
        <v>74</v>
      </c>
      <c r="AS765" t="s">
        <v>74</v>
      </c>
      <c r="AT765" t="s">
        <v>3105</v>
      </c>
      <c r="AU765">
        <v>2009</v>
      </c>
      <c r="AV765" t="s">
        <v>74</v>
      </c>
      <c r="AW765">
        <v>2283</v>
      </c>
      <c r="AX765" t="s">
        <v>74</v>
      </c>
      <c r="AY765" t="s">
        <v>74</v>
      </c>
      <c r="AZ765" t="s">
        <v>74</v>
      </c>
      <c r="BA765" t="s">
        <v>74</v>
      </c>
      <c r="BB765">
        <v>16</v>
      </c>
      <c r="BC765">
        <v>28</v>
      </c>
      <c r="BD765" t="s">
        <v>74</v>
      </c>
      <c r="BE765" t="s">
        <v>4767</v>
      </c>
      <c r="BF765" t="str">
        <f>HYPERLINK("http://dx.doi.org/10.11646/zootaxa.2283.1.2","http://dx.doi.org/10.11646/zootaxa.2283.1.2")</f>
        <v>http://dx.doi.org/10.11646/zootaxa.2283.1.2</v>
      </c>
      <c r="BG765" t="s">
        <v>74</v>
      </c>
      <c r="BH765" t="s">
        <v>74</v>
      </c>
      <c r="BI765" t="s">
        <v>74</v>
      </c>
      <c r="BJ765" t="s">
        <v>74</v>
      </c>
      <c r="BK765" t="s">
        <v>74</v>
      </c>
      <c r="BL765" t="s">
        <v>74</v>
      </c>
      <c r="BM765" t="s">
        <v>74</v>
      </c>
      <c r="BN765" t="s">
        <v>74</v>
      </c>
      <c r="BO765" t="s">
        <v>74</v>
      </c>
      <c r="BP765" t="s">
        <v>74</v>
      </c>
      <c r="BQ765" t="s">
        <v>74</v>
      </c>
      <c r="BR765" t="s">
        <v>74</v>
      </c>
      <c r="BS765" t="s">
        <v>4768</v>
      </c>
      <c r="BT765" t="str">
        <f>HYPERLINK("https%3A%2F%2Fwww.webofscience.com%2Fwos%2Fwoscc%2Ffull-record%2FWOS:000271469200002","View Full Record in Web of Science")</f>
        <v>View Full Record in Web of Science</v>
      </c>
    </row>
    <row r="766" spans="1:72" x14ac:dyDescent="0.4">
      <c r="A766" t="s">
        <v>72</v>
      </c>
      <c r="B766" t="s">
        <v>5246</v>
      </c>
      <c r="C766" t="s">
        <v>74</v>
      </c>
      <c r="D766" t="s">
        <v>74</v>
      </c>
      <c r="E766" t="s">
        <v>74</v>
      </c>
      <c r="F766" t="s">
        <v>5246</v>
      </c>
      <c r="G766" t="s">
        <v>74</v>
      </c>
      <c r="H766" t="s">
        <v>74</v>
      </c>
      <c r="I766" t="s">
        <v>5247</v>
      </c>
      <c r="J766" t="s">
        <v>218</v>
      </c>
      <c r="K766" t="s">
        <v>74</v>
      </c>
      <c r="L766" t="s">
        <v>74</v>
      </c>
      <c r="M766" t="s">
        <v>74</v>
      </c>
      <c r="N766" t="s">
        <v>74</v>
      </c>
      <c r="O766" t="s">
        <v>74</v>
      </c>
      <c r="P766" t="s">
        <v>74</v>
      </c>
      <c r="Q766" t="s">
        <v>74</v>
      </c>
      <c r="R766" t="s">
        <v>74</v>
      </c>
      <c r="S766" t="s">
        <v>74</v>
      </c>
      <c r="T766" t="s">
        <v>74</v>
      </c>
      <c r="U766" t="s">
        <v>74</v>
      </c>
      <c r="V766" s="3" t="s">
        <v>5248</v>
      </c>
      <c r="W766" t="s">
        <v>74</v>
      </c>
      <c r="X766" t="s">
        <v>74</v>
      </c>
      <c r="Y766" t="s">
        <v>74</v>
      </c>
      <c r="Z766" t="s">
        <v>74</v>
      </c>
      <c r="AA766" t="s">
        <v>74</v>
      </c>
      <c r="AB766" t="s">
        <v>74</v>
      </c>
      <c r="AC766" t="s">
        <v>74</v>
      </c>
      <c r="AD766" t="s">
        <v>74</v>
      </c>
      <c r="AE766" t="s">
        <v>74</v>
      </c>
      <c r="AF766" t="s">
        <v>74</v>
      </c>
      <c r="AG766" t="s">
        <v>74</v>
      </c>
      <c r="AH766" t="s">
        <v>74</v>
      </c>
      <c r="AI766" t="s">
        <v>74</v>
      </c>
      <c r="AJ766" t="s">
        <v>74</v>
      </c>
      <c r="AK766" t="s">
        <v>74</v>
      </c>
      <c r="AL766" t="s">
        <v>74</v>
      </c>
      <c r="AM766" t="s">
        <v>74</v>
      </c>
      <c r="AN766" t="s">
        <v>74</v>
      </c>
      <c r="AO766" t="s">
        <v>221</v>
      </c>
      <c r="AP766" t="s">
        <v>74</v>
      </c>
      <c r="AQ766" t="s">
        <v>74</v>
      </c>
      <c r="AR766" t="s">
        <v>74</v>
      </c>
      <c r="AS766" t="s">
        <v>74</v>
      </c>
      <c r="AT766" t="s">
        <v>352</v>
      </c>
      <c r="AU766">
        <v>1999</v>
      </c>
      <c r="AV766">
        <v>12</v>
      </c>
      <c r="AW766">
        <v>5</v>
      </c>
      <c r="AX766" t="s">
        <v>74</v>
      </c>
      <c r="AY766" t="s">
        <v>74</v>
      </c>
      <c r="AZ766" t="s">
        <v>74</v>
      </c>
      <c r="BA766" t="s">
        <v>74</v>
      </c>
      <c r="BB766">
        <v>936</v>
      </c>
      <c r="BC766">
        <v>950</v>
      </c>
      <c r="BD766" t="s">
        <v>74</v>
      </c>
      <c r="BE766" t="s">
        <v>5249</v>
      </c>
      <c r="BF766" t="str">
        <f>HYPERLINK("http://dx.doi.org/10.1046/j.1420-9101.1999.00111.x","http://dx.doi.org/10.1046/j.1420-9101.1999.00111.x")</f>
        <v>http://dx.doi.org/10.1046/j.1420-9101.1999.00111.x</v>
      </c>
      <c r="BG766" t="s">
        <v>74</v>
      </c>
      <c r="BH766" t="s">
        <v>74</v>
      </c>
      <c r="BI766" t="s">
        <v>74</v>
      </c>
      <c r="BJ766" t="s">
        <v>74</v>
      </c>
      <c r="BK766" t="s">
        <v>74</v>
      </c>
      <c r="BL766" t="s">
        <v>74</v>
      </c>
      <c r="BM766" t="s">
        <v>74</v>
      </c>
      <c r="BN766" t="s">
        <v>74</v>
      </c>
      <c r="BO766" t="s">
        <v>74</v>
      </c>
      <c r="BP766" t="s">
        <v>74</v>
      </c>
      <c r="BQ766" t="s">
        <v>74</v>
      </c>
      <c r="BR766" t="s">
        <v>74</v>
      </c>
      <c r="BS766" t="s">
        <v>5250</v>
      </c>
      <c r="BT766" t="str">
        <f>HYPERLINK("https%3A%2F%2Fwww.webofscience.com%2Fwos%2Fwoscc%2Ffull-record%2FWOS:000082609500011","View Full Record in Web of Science")</f>
        <v>View Full Record in Web of Science</v>
      </c>
    </row>
    <row r="767" spans="1:72" x14ac:dyDescent="0.4">
      <c r="A767" t="s">
        <v>72</v>
      </c>
      <c r="B767" t="s">
        <v>1041</v>
      </c>
      <c r="C767" t="s">
        <v>74</v>
      </c>
      <c r="D767" t="s">
        <v>74</v>
      </c>
      <c r="E767" t="s">
        <v>74</v>
      </c>
      <c r="F767" t="s">
        <v>1042</v>
      </c>
      <c r="G767" t="s">
        <v>74</v>
      </c>
      <c r="H767" t="s">
        <v>74</v>
      </c>
      <c r="I767" t="s">
        <v>1043</v>
      </c>
      <c r="J767" t="s">
        <v>1044</v>
      </c>
      <c r="K767" t="s">
        <v>74</v>
      </c>
      <c r="L767" t="s">
        <v>74</v>
      </c>
      <c r="M767" t="s">
        <v>74</v>
      </c>
      <c r="N767" t="s">
        <v>74</v>
      </c>
      <c r="O767" t="s">
        <v>74</v>
      </c>
      <c r="P767" t="s">
        <v>74</v>
      </c>
      <c r="Q767" t="s">
        <v>74</v>
      </c>
      <c r="R767" t="s">
        <v>74</v>
      </c>
      <c r="S767" t="s">
        <v>74</v>
      </c>
      <c r="T767" t="s">
        <v>74</v>
      </c>
      <c r="U767" t="s">
        <v>74</v>
      </c>
      <c r="V767" s="3" t="s">
        <v>1045</v>
      </c>
      <c r="W767" t="s">
        <v>74</v>
      </c>
      <c r="X767" t="s">
        <v>74</v>
      </c>
      <c r="Y767" t="s">
        <v>74</v>
      </c>
      <c r="Z767" t="s">
        <v>74</v>
      </c>
      <c r="AA767" t="s">
        <v>1046</v>
      </c>
      <c r="AB767" t="s">
        <v>1047</v>
      </c>
      <c r="AC767" t="s">
        <v>74</v>
      </c>
      <c r="AD767" t="s">
        <v>74</v>
      </c>
      <c r="AE767" t="s">
        <v>74</v>
      </c>
      <c r="AF767" t="s">
        <v>74</v>
      </c>
      <c r="AG767" t="s">
        <v>74</v>
      </c>
      <c r="AH767" t="s">
        <v>74</v>
      </c>
      <c r="AI767" t="s">
        <v>74</v>
      </c>
      <c r="AJ767" t="s">
        <v>74</v>
      </c>
      <c r="AK767" t="s">
        <v>74</v>
      </c>
      <c r="AL767" t="s">
        <v>74</v>
      </c>
      <c r="AM767" t="s">
        <v>74</v>
      </c>
      <c r="AN767" t="s">
        <v>74</v>
      </c>
      <c r="AO767" t="s">
        <v>1048</v>
      </c>
      <c r="AP767" t="s">
        <v>1049</v>
      </c>
      <c r="AQ767" t="s">
        <v>74</v>
      </c>
      <c r="AR767" t="s">
        <v>74</v>
      </c>
      <c r="AS767" t="s">
        <v>74</v>
      </c>
      <c r="AT767" t="s">
        <v>134</v>
      </c>
      <c r="AU767">
        <v>2021</v>
      </c>
      <c r="AV767">
        <v>30</v>
      </c>
      <c r="AW767">
        <v>10</v>
      </c>
      <c r="AX767" t="s">
        <v>74</v>
      </c>
      <c r="AY767" t="s">
        <v>74</v>
      </c>
      <c r="AZ767" t="s">
        <v>74</v>
      </c>
      <c r="BA767" t="s">
        <v>74</v>
      </c>
      <c r="BB767">
        <v>2262</v>
      </c>
      <c r="BC767">
        <v>2284</v>
      </c>
      <c r="BD767" t="s">
        <v>74</v>
      </c>
      <c r="BE767" t="s">
        <v>1050</v>
      </c>
      <c r="BF767" t="str">
        <f>HYPERLINK("http://dx.doi.org/10.1111/mec.15901","http://dx.doi.org/10.1111/mec.15901")</f>
        <v>http://dx.doi.org/10.1111/mec.15901</v>
      </c>
      <c r="BG767" t="s">
        <v>74</v>
      </c>
      <c r="BH767" t="s">
        <v>1051</v>
      </c>
      <c r="BI767" t="s">
        <v>74</v>
      </c>
      <c r="BJ767" t="s">
        <v>74</v>
      </c>
      <c r="BK767" t="s">
        <v>74</v>
      </c>
      <c r="BL767" t="s">
        <v>74</v>
      </c>
      <c r="BM767" t="s">
        <v>74</v>
      </c>
      <c r="BN767">
        <v>33772941</v>
      </c>
      <c r="BO767" t="s">
        <v>74</v>
      </c>
      <c r="BP767" t="s">
        <v>74</v>
      </c>
      <c r="BQ767" t="s">
        <v>74</v>
      </c>
      <c r="BR767" t="s">
        <v>74</v>
      </c>
      <c r="BS767" t="s">
        <v>1052</v>
      </c>
      <c r="BT767" t="str">
        <f>HYPERLINK("https%3A%2F%2Fwww.webofscience.com%2Fwos%2Fwoscc%2Ffull-record%2FWOS:000639399300001","View Full Record in Web of Science")</f>
        <v>View Full Record in Web of Science</v>
      </c>
    </row>
    <row r="768" spans="1:72" x14ac:dyDescent="0.4">
      <c r="A768" t="s">
        <v>72</v>
      </c>
      <c r="B768" t="s">
        <v>3717</v>
      </c>
      <c r="C768" t="s">
        <v>74</v>
      </c>
      <c r="D768" t="s">
        <v>74</v>
      </c>
      <c r="E768" t="s">
        <v>74</v>
      </c>
      <c r="F768" t="s">
        <v>3718</v>
      </c>
      <c r="G768" t="s">
        <v>74</v>
      </c>
      <c r="H768" t="s">
        <v>74</v>
      </c>
      <c r="I768" t="s">
        <v>3719</v>
      </c>
      <c r="J768" t="s">
        <v>333</v>
      </c>
      <c r="K768" t="s">
        <v>74</v>
      </c>
      <c r="L768" t="s">
        <v>74</v>
      </c>
      <c r="M768" t="s">
        <v>74</v>
      </c>
      <c r="N768" t="s">
        <v>74</v>
      </c>
      <c r="O768" t="s">
        <v>74</v>
      </c>
      <c r="P768" t="s">
        <v>74</v>
      </c>
      <c r="Q768" t="s">
        <v>74</v>
      </c>
      <c r="R768" t="s">
        <v>74</v>
      </c>
      <c r="S768" t="s">
        <v>74</v>
      </c>
      <c r="T768" t="s">
        <v>74</v>
      </c>
      <c r="U768" t="s">
        <v>74</v>
      </c>
      <c r="V768" s="3" t="s">
        <v>3720</v>
      </c>
      <c r="W768" t="s">
        <v>74</v>
      </c>
      <c r="X768" t="s">
        <v>74</v>
      </c>
      <c r="Y768" t="s">
        <v>74</v>
      </c>
      <c r="Z768" t="s">
        <v>74</v>
      </c>
      <c r="AA768" t="s">
        <v>3721</v>
      </c>
      <c r="AB768" t="s">
        <v>3722</v>
      </c>
      <c r="AC768" t="s">
        <v>74</v>
      </c>
      <c r="AD768" t="s">
        <v>74</v>
      </c>
      <c r="AE768" t="s">
        <v>74</v>
      </c>
      <c r="AF768" t="s">
        <v>74</v>
      </c>
      <c r="AG768" t="s">
        <v>74</v>
      </c>
      <c r="AH768" t="s">
        <v>74</v>
      </c>
      <c r="AI768" t="s">
        <v>74</v>
      </c>
      <c r="AJ768" t="s">
        <v>74</v>
      </c>
      <c r="AK768" t="s">
        <v>74</v>
      </c>
      <c r="AL768" t="s">
        <v>74</v>
      </c>
      <c r="AM768" t="s">
        <v>74</v>
      </c>
      <c r="AN768" t="s">
        <v>74</v>
      </c>
      <c r="AO768" t="s">
        <v>337</v>
      </c>
      <c r="AP768" t="s">
        <v>338</v>
      </c>
      <c r="AQ768" t="s">
        <v>74</v>
      </c>
      <c r="AR768" t="s">
        <v>74</v>
      </c>
      <c r="AS768" t="s">
        <v>74</v>
      </c>
      <c r="AT768" t="s">
        <v>339</v>
      </c>
      <c r="AU768">
        <v>2015</v>
      </c>
      <c r="AV768">
        <v>26</v>
      </c>
      <c r="AW768">
        <v>4</v>
      </c>
      <c r="AX768" t="s">
        <v>74</v>
      </c>
      <c r="AY768" t="s">
        <v>74</v>
      </c>
      <c r="AZ768" t="s">
        <v>74</v>
      </c>
      <c r="BA768" t="s">
        <v>74</v>
      </c>
      <c r="BB768">
        <v>1212</v>
      </c>
      <c r="BC768">
        <v>1218</v>
      </c>
      <c r="BD768" t="s">
        <v>74</v>
      </c>
      <c r="BE768" t="s">
        <v>3723</v>
      </c>
      <c r="BF768" t="str">
        <f>HYPERLINK("http://dx.doi.org/10.1093/beheco/arv068","http://dx.doi.org/10.1093/beheco/arv068")</f>
        <v>http://dx.doi.org/10.1093/beheco/arv068</v>
      </c>
      <c r="BG768" t="s">
        <v>74</v>
      </c>
      <c r="BH768" t="s">
        <v>74</v>
      </c>
      <c r="BI768" t="s">
        <v>74</v>
      </c>
      <c r="BJ768" t="s">
        <v>74</v>
      </c>
      <c r="BK768" t="s">
        <v>74</v>
      </c>
      <c r="BL768" t="s">
        <v>74</v>
      </c>
      <c r="BM768" t="s">
        <v>74</v>
      </c>
      <c r="BN768" t="s">
        <v>74</v>
      </c>
      <c r="BO768" t="s">
        <v>74</v>
      </c>
      <c r="BP768" t="s">
        <v>74</v>
      </c>
      <c r="BQ768" t="s">
        <v>74</v>
      </c>
      <c r="BR768" t="s">
        <v>74</v>
      </c>
      <c r="BS768" t="s">
        <v>3724</v>
      </c>
      <c r="BT768" t="str">
        <f>HYPERLINK("https%3A%2F%2Fwww.webofscience.com%2Fwos%2Fwoscc%2Ffull-record%2FWOS:000358171600034","View Full Record in Web of Science")</f>
        <v>View Full Record in Web of Science</v>
      </c>
    </row>
    <row r="769" spans="1:72" x14ac:dyDescent="0.4">
      <c r="A769" t="s">
        <v>72</v>
      </c>
      <c r="B769" t="s">
        <v>2826</v>
      </c>
      <c r="C769" t="s">
        <v>74</v>
      </c>
      <c r="D769" t="s">
        <v>74</v>
      </c>
      <c r="E769" t="s">
        <v>74</v>
      </c>
      <c r="F769" t="s">
        <v>2827</v>
      </c>
      <c r="G769" t="s">
        <v>74</v>
      </c>
      <c r="H769" t="s">
        <v>74</v>
      </c>
      <c r="I769" t="s">
        <v>2828</v>
      </c>
      <c r="J769" t="s">
        <v>140</v>
      </c>
      <c r="K769" t="s">
        <v>74</v>
      </c>
      <c r="L769" t="s">
        <v>74</v>
      </c>
      <c r="M769" t="s">
        <v>74</v>
      </c>
      <c r="N769" t="s">
        <v>74</v>
      </c>
      <c r="O769" t="s">
        <v>74</v>
      </c>
      <c r="P769" t="s">
        <v>74</v>
      </c>
      <c r="Q769" t="s">
        <v>74</v>
      </c>
      <c r="R769" t="s">
        <v>74</v>
      </c>
      <c r="S769" t="s">
        <v>74</v>
      </c>
      <c r="T769" t="s">
        <v>74</v>
      </c>
      <c r="U769" t="s">
        <v>74</v>
      </c>
      <c r="V769" s="3" t="s">
        <v>2829</v>
      </c>
      <c r="W769" t="s">
        <v>74</v>
      </c>
      <c r="X769" t="s">
        <v>74</v>
      </c>
      <c r="Y769" t="s">
        <v>74</v>
      </c>
      <c r="Z769" t="s">
        <v>74</v>
      </c>
      <c r="AA769" t="s">
        <v>74</v>
      </c>
      <c r="AB769" t="s">
        <v>2830</v>
      </c>
      <c r="AC769" t="s">
        <v>74</v>
      </c>
      <c r="AD769" t="s">
        <v>74</v>
      </c>
      <c r="AE769" t="s">
        <v>74</v>
      </c>
      <c r="AF769" t="s">
        <v>74</v>
      </c>
      <c r="AG769" t="s">
        <v>74</v>
      </c>
      <c r="AH769" t="s">
        <v>74</v>
      </c>
      <c r="AI769" t="s">
        <v>74</v>
      </c>
      <c r="AJ769" t="s">
        <v>74</v>
      </c>
      <c r="AK769" t="s">
        <v>74</v>
      </c>
      <c r="AL769" t="s">
        <v>74</v>
      </c>
      <c r="AM769" t="s">
        <v>74</v>
      </c>
      <c r="AN769" t="s">
        <v>74</v>
      </c>
      <c r="AO769" t="s">
        <v>143</v>
      </c>
      <c r="AP769" t="s">
        <v>144</v>
      </c>
      <c r="AQ769" t="s">
        <v>74</v>
      </c>
      <c r="AR769" t="s">
        <v>74</v>
      </c>
      <c r="AS769" t="s">
        <v>74</v>
      </c>
      <c r="AT769" t="s">
        <v>145</v>
      </c>
      <c r="AU769">
        <v>2022</v>
      </c>
      <c r="AV769">
        <v>190</v>
      </c>
      <c r="AW769" t="s">
        <v>74</v>
      </c>
      <c r="AX769" t="s">
        <v>74</v>
      </c>
      <c r="AY769" t="s">
        <v>74</v>
      </c>
      <c r="AZ769" t="s">
        <v>74</v>
      </c>
      <c r="BA769" t="s">
        <v>74</v>
      </c>
      <c r="BB769">
        <v>233</v>
      </c>
      <c r="BC769">
        <v>240</v>
      </c>
      <c r="BD769" t="s">
        <v>74</v>
      </c>
      <c r="BE769" t="s">
        <v>2831</v>
      </c>
      <c r="BF769" t="str">
        <f>HYPERLINK("http://dx.doi.org/10.1016/j.anbehav.2022.05.018","http://dx.doi.org/10.1016/j.anbehav.2022.05.018")</f>
        <v>http://dx.doi.org/10.1016/j.anbehav.2022.05.018</v>
      </c>
      <c r="BG769" t="s">
        <v>74</v>
      </c>
      <c r="BH769" t="s">
        <v>2832</v>
      </c>
      <c r="BI769" t="s">
        <v>74</v>
      </c>
      <c r="BJ769" t="s">
        <v>74</v>
      </c>
      <c r="BK769" t="s">
        <v>74</v>
      </c>
      <c r="BL769" t="s">
        <v>74</v>
      </c>
      <c r="BM769" t="s">
        <v>74</v>
      </c>
      <c r="BN769" t="s">
        <v>74</v>
      </c>
      <c r="BO769" t="s">
        <v>74</v>
      </c>
      <c r="BP769" t="s">
        <v>74</v>
      </c>
      <c r="BQ769" t="s">
        <v>74</v>
      </c>
      <c r="BR769" t="s">
        <v>74</v>
      </c>
      <c r="BS769" t="s">
        <v>2833</v>
      </c>
      <c r="BT769" t="str">
        <f>HYPERLINK("https%3A%2F%2Fwww.webofscience.com%2Fwos%2Fwoscc%2Ffull-record%2FWOS:000863984000003","View Full Record in Web of Science")</f>
        <v>View Full Record in Web of Science</v>
      </c>
    </row>
    <row r="770" spans="1:72" x14ac:dyDescent="0.4">
      <c r="A770" t="s">
        <v>72</v>
      </c>
      <c r="B770" t="s">
        <v>2381</v>
      </c>
      <c r="C770" t="s">
        <v>74</v>
      </c>
      <c r="D770" t="s">
        <v>74</v>
      </c>
      <c r="E770" t="s">
        <v>74</v>
      </c>
      <c r="F770" t="s">
        <v>2381</v>
      </c>
      <c r="G770" t="s">
        <v>74</v>
      </c>
      <c r="H770" t="s">
        <v>74</v>
      </c>
      <c r="I770" t="s">
        <v>2382</v>
      </c>
      <c r="J770" t="s">
        <v>77</v>
      </c>
      <c r="K770" t="s">
        <v>74</v>
      </c>
      <c r="L770" t="s">
        <v>74</v>
      </c>
      <c r="M770" t="s">
        <v>74</v>
      </c>
      <c r="N770" t="s">
        <v>74</v>
      </c>
      <c r="O770" t="s">
        <v>74</v>
      </c>
      <c r="P770" t="s">
        <v>74</v>
      </c>
      <c r="Q770" t="s">
        <v>74</v>
      </c>
      <c r="R770" t="s">
        <v>74</v>
      </c>
      <c r="S770" t="s">
        <v>74</v>
      </c>
      <c r="T770" t="s">
        <v>74</v>
      </c>
      <c r="U770" t="s">
        <v>74</v>
      </c>
      <c r="V770" s="3" t="s">
        <v>2383</v>
      </c>
      <c r="W770" t="s">
        <v>74</v>
      </c>
      <c r="X770" t="s">
        <v>74</v>
      </c>
      <c r="Y770" t="s">
        <v>74</v>
      </c>
      <c r="Z770" t="s">
        <v>74</v>
      </c>
      <c r="AA770" t="s">
        <v>74</v>
      </c>
      <c r="AB770" t="s">
        <v>74</v>
      </c>
      <c r="AC770" t="s">
        <v>74</v>
      </c>
      <c r="AD770" t="s">
        <v>74</v>
      </c>
      <c r="AE770" t="s">
        <v>74</v>
      </c>
      <c r="AF770" t="s">
        <v>74</v>
      </c>
      <c r="AG770" t="s">
        <v>74</v>
      </c>
      <c r="AH770" t="s">
        <v>74</v>
      </c>
      <c r="AI770" t="s">
        <v>74</v>
      </c>
      <c r="AJ770" t="s">
        <v>74</v>
      </c>
      <c r="AK770" t="s">
        <v>74</v>
      </c>
      <c r="AL770" t="s">
        <v>74</v>
      </c>
      <c r="AM770" t="s">
        <v>74</v>
      </c>
      <c r="AN770" t="s">
        <v>74</v>
      </c>
      <c r="AO770" t="s">
        <v>81</v>
      </c>
      <c r="AP770" t="s">
        <v>82</v>
      </c>
      <c r="AQ770" t="s">
        <v>74</v>
      </c>
      <c r="AR770" t="s">
        <v>74</v>
      </c>
      <c r="AS770" t="s">
        <v>74</v>
      </c>
      <c r="AT770" t="s">
        <v>74</v>
      </c>
      <c r="AU770">
        <v>1977</v>
      </c>
      <c r="AV770">
        <v>62</v>
      </c>
      <c r="AW770" t="s">
        <v>74</v>
      </c>
      <c r="AX770" t="s">
        <v>1276</v>
      </c>
      <c r="AY770" t="s">
        <v>74</v>
      </c>
      <c r="AZ770" t="s">
        <v>74</v>
      </c>
      <c r="BA770" t="s">
        <v>74</v>
      </c>
      <c r="BB770">
        <v>314</v>
      </c>
      <c r="BC770">
        <v>321</v>
      </c>
      <c r="BD770" t="s">
        <v>74</v>
      </c>
      <c r="BE770" t="s">
        <v>2384</v>
      </c>
      <c r="BF770" t="str">
        <f>HYPERLINK("http://dx.doi.org/10.1163/156853977X00162","http://dx.doi.org/10.1163/156853977X00162")</f>
        <v>http://dx.doi.org/10.1163/156853977X00162</v>
      </c>
      <c r="BG770" t="s">
        <v>74</v>
      </c>
      <c r="BH770" t="s">
        <v>74</v>
      </c>
      <c r="BI770" t="s">
        <v>74</v>
      </c>
      <c r="BJ770" t="s">
        <v>74</v>
      </c>
      <c r="BK770" t="s">
        <v>74</v>
      </c>
      <c r="BL770" t="s">
        <v>74</v>
      </c>
      <c r="BM770" t="s">
        <v>74</v>
      </c>
      <c r="BN770" t="s">
        <v>74</v>
      </c>
      <c r="BO770" t="s">
        <v>74</v>
      </c>
      <c r="BP770" t="s">
        <v>74</v>
      </c>
      <c r="BQ770" t="s">
        <v>74</v>
      </c>
      <c r="BR770" t="s">
        <v>74</v>
      </c>
      <c r="BS770" t="s">
        <v>2385</v>
      </c>
      <c r="BT770" t="str">
        <f>HYPERLINK("https%3A%2F%2Fwww.webofscience.com%2Fwos%2Fwoscc%2Ffull-record%2FWOS:A1977EA46300006","View Full Record in Web of Science")</f>
        <v>View Full Record in Web of Science</v>
      </c>
    </row>
    <row r="771" spans="1:72" x14ac:dyDescent="0.4">
      <c r="A771" t="s">
        <v>72</v>
      </c>
      <c r="B771" t="s">
        <v>7635</v>
      </c>
      <c r="C771" t="s">
        <v>74</v>
      </c>
      <c r="D771" t="s">
        <v>74</v>
      </c>
      <c r="E771" t="s">
        <v>74</v>
      </c>
      <c r="F771" t="s">
        <v>7636</v>
      </c>
      <c r="G771" t="s">
        <v>74</v>
      </c>
      <c r="H771" t="s">
        <v>74</v>
      </c>
      <c r="I771" t="s">
        <v>7637</v>
      </c>
      <c r="J771" t="s">
        <v>3100</v>
      </c>
      <c r="K771" t="s">
        <v>74</v>
      </c>
      <c r="L771" t="s">
        <v>74</v>
      </c>
      <c r="M771" t="s">
        <v>74</v>
      </c>
      <c r="N771" t="s">
        <v>74</v>
      </c>
      <c r="O771" t="s">
        <v>74</v>
      </c>
      <c r="P771" t="s">
        <v>74</v>
      </c>
      <c r="Q771" t="s">
        <v>74</v>
      </c>
      <c r="R771" t="s">
        <v>74</v>
      </c>
      <c r="S771" t="s">
        <v>74</v>
      </c>
      <c r="T771" t="s">
        <v>74</v>
      </c>
      <c r="U771" t="s">
        <v>74</v>
      </c>
      <c r="V771" s="3" t="s">
        <v>7638</v>
      </c>
      <c r="W771" t="s">
        <v>74</v>
      </c>
      <c r="X771" t="s">
        <v>74</v>
      </c>
      <c r="Y771" t="s">
        <v>74</v>
      </c>
      <c r="Z771" t="s">
        <v>74</v>
      </c>
      <c r="AA771" t="s">
        <v>74</v>
      </c>
      <c r="AB771" t="s">
        <v>7639</v>
      </c>
      <c r="AC771" t="s">
        <v>74</v>
      </c>
      <c r="AD771" t="s">
        <v>74</v>
      </c>
      <c r="AE771" t="s">
        <v>74</v>
      </c>
      <c r="AF771" t="s">
        <v>74</v>
      </c>
      <c r="AG771" t="s">
        <v>74</v>
      </c>
      <c r="AH771" t="s">
        <v>74</v>
      </c>
      <c r="AI771" t="s">
        <v>74</v>
      </c>
      <c r="AJ771" t="s">
        <v>74</v>
      </c>
      <c r="AK771" t="s">
        <v>74</v>
      </c>
      <c r="AL771" t="s">
        <v>74</v>
      </c>
      <c r="AM771" t="s">
        <v>74</v>
      </c>
      <c r="AN771" t="s">
        <v>74</v>
      </c>
      <c r="AO771" t="s">
        <v>74</v>
      </c>
      <c r="AP771" t="s">
        <v>3104</v>
      </c>
      <c r="AQ771" t="s">
        <v>74</v>
      </c>
      <c r="AR771" t="s">
        <v>74</v>
      </c>
      <c r="AS771" t="s">
        <v>74</v>
      </c>
      <c r="AT771" t="s">
        <v>7640</v>
      </c>
      <c r="AU771">
        <v>2023</v>
      </c>
      <c r="AV771">
        <v>9</v>
      </c>
      <c r="AW771" t="s">
        <v>74</v>
      </c>
      <c r="AX771" t="s">
        <v>74</v>
      </c>
      <c r="AY771" t="s">
        <v>74</v>
      </c>
      <c r="AZ771" t="s">
        <v>74</v>
      </c>
      <c r="BA771" t="s">
        <v>74</v>
      </c>
      <c r="BB771" t="s">
        <v>74</v>
      </c>
      <c r="BC771" t="s">
        <v>74</v>
      </c>
      <c r="BD771">
        <v>1070206</v>
      </c>
      <c r="BE771" t="s">
        <v>7641</v>
      </c>
      <c r="BF771" t="str">
        <f>HYPERLINK("http://dx.doi.org/10.3389/fvets.2022.1070206","http://dx.doi.org/10.3389/fvets.2022.1070206")</f>
        <v>http://dx.doi.org/10.3389/fvets.2022.1070206</v>
      </c>
      <c r="BG771" t="s">
        <v>74</v>
      </c>
      <c r="BH771" t="s">
        <v>74</v>
      </c>
      <c r="BI771" t="s">
        <v>74</v>
      </c>
      <c r="BJ771" t="s">
        <v>74</v>
      </c>
      <c r="BK771" t="s">
        <v>74</v>
      </c>
      <c r="BL771" t="s">
        <v>74</v>
      </c>
      <c r="BM771" t="s">
        <v>74</v>
      </c>
      <c r="BN771">
        <v>36713853</v>
      </c>
      <c r="BO771" t="s">
        <v>74</v>
      </c>
      <c r="BP771" t="s">
        <v>74</v>
      </c>
      <c r="BQ771" t="s">
        <v>74</v>
      </c>
      <c r="BR771" t="s">
        <v>74</v>
      </c>
      <c r="BS771" t="s">
        <v>7642</v>
      </c>
      <c r="BT771" t="str">
        <f>HYPERLINK("https%3A%2F%2Fwww.webofscience.com%2Fwos%2Fwoscc%2Ffull-record%2FWOS:000920676700001","View Full Record in Web of Science")</f>
        <v>View Full Record in Web of Science</v>
      </c>
    </row>
    <row r="772" spans="1:72" x14ac:dyDescent="0.4">
      <c r="A772" t="s">
        <v>72</v>
      </c>
      <c r="B772" t="s">
        <v>3578</v>
      </c>
      <c r="C772" t="s">
        <v>74</v>
      </c>
      <c r="D772" t="s">
        <v>74</v>
      </c>
      <c r="E772" t="s">
        <v>74</v>
      </c>
      <c r="F772" t="s">
        <v>3579</v>
      </c>
      <c r="G772" t="s">
        <v>74</v>
      </c>
      <c r="H772" t="s">
        <v>74</v>
      </c>
      <c r="I772" t="s">
        <v>3580</v>
      </c>
      <c r="J772" t="s">
        <v>201</v>
      </c>
      <c r="K772" t="s">
        <v>74</v>
      </c>
      <c r="L772" t="s">
        <v>74</v>
      </c>
      <c r="M772" t="s">
        <v>74</v>
      </c>
      <c r="N772" t="s">
        <v>74</v>
      </c>
      <c r="O772" t="s">
        <v>74</v>
      </c>
      <c r="P772" t="s">
        <v>74</v>
      </c>
      <c r="Q772" t="s">
        <v>74</v>
      </c>
      <c r="R772" t="s">
        <v>74</v>
      </c>
      <c r="S772" t="s">
        <v>74</v>
      </c>
      <c r="T772" t="s">
        <v>74</v>
      </c>
      <c r="U772" t="s">
        <v>74</v>
      </c>
      <c r="V772" s="3" t="s">
        <v>3581</v>
      </c>
      <c r="W772" t="s">
        <v>74</v>
      </c>
      <c r="X772" t="s">
        <v>74</v>
      </c>
      <c r="Y772" t="s">
        <v>74</v>
      </c>
      <c r="Z772" t="s">
        <v>74</v>
      </c>
      <c r="AA772" t="s">
        <v>74</v>
      </c>
      <c r="AB772" t="s">
        <v>3582</v>
      </c>
      <c r="AC772" t="s">
        <v>74</v>
      </c>
      <c r="AD772" t="s">
        <v>74</v>
      </c>
      <c r="AE772" t="s">
        <v>74</v>
      </c>
      <c r="AF772" t="s">
        <v>74</v>
      </c>
      <c r="AG772" t="s">
        <v>74</v>
      </c>
      <c r="AH772" t="s">
        <v>74</v>
      </c>
      <c r="AI772" t="s">
        <v>74</v>
      </c>
      <c r="AJ772" t="s">
        <v>74</v>
      </c>
      <c r="AK772" t="s">
        <v>74</v>
      </c>
      <c r="AL772" t="s">
        <v>74</v>
      </c>
      <c r="AM772" t="s">
        <v>74</v>
      </c>
      <c r="AN772" t="s">
        <v>74</v>
      </c>
      <c r="AO772" t="s">
        <v>203</v>
      </c>
      <c r="AP772" t="s">
        <v>1192</v>
      </c>
      <c r="AQ772" t="s">
        <v>74</v>
      </c>
      <c r="AR772" t="s">
        <v>74</v>
      </c>
      <c r="AS772" t="s">
        <v>74</v>
      </c>
      <c r="AT772" t="s">
        <v>204</v>
      </c>
      <c r="AU772">
        <v>2020</v>
      </c>
      <c r="AV772">
        <v>97</v>
      </c>
      <c r="AW772">
        <v>1</v>
      </c>
      <c r="AX772" t="s">
        <v>74</v>
      </c>
      <c r="AY772" t="s">
        <v>74</v>
      </c>
      <c r="AZ772" t="s">
        <v>74</v>
      </c>
      <c r="BA772" t="s">
        <v>74</v>
      </c>
      <c r="BB772">
        <v>75</v>
      </c>
      <c r="BC772">
        <v>82</v>
      </c>
      <c r="BD772" t="s">
        <v>74</v>
      </c>
      <c r="BE772" t="s">
        <v>3583</v>
      </c>
      <c r="BF772" t="str">
        <f>HYPERLINK("http://dx.doi.org/10.1111/jfb.14327","http://dx.doi.org/10.1111/jfb.14327")</f>
        <v>http://dx.doi.org/10.1111/jfb.14327</v>
      </c>
      <c r="BG772" t="s">
        <v>74</v>
      </c>
      <c r="BH772" t="s">
        <v>3584</v>
      </c>
      <c r="BI772" t="s">
        <v>74</v>
      </c>
      <c r="BJ772" t="s">
        <v>74</v>
      </c>
      <c r="BK772" t="s">
        <v>74</v>
      </c>
      <c r="BL772" t="s">
        <v>74</v>
      </c>
      <c r="BM772" t="s">
        <v>74</v>
      </c>
      <c r="BN772">
        <v>32291745</v>
      </c>
      <c r="BO772" t="s">
        <v>74</v>
      </c>
      <c r="BP772" t="s">
        <v>74</v>
      </c>
      <c r="BQ772" t="s">
        <v>74</v>
      </c>
      <c r="BR772" t="s">
        <v>74</v>
      </c>
      <c r="BS772" t="s">
        <v>3585</v>
      </c>
      <c r="BT772" t="str">
        <f>HYPERLINK("https%3A%2F%2Fwww.webofscience.com%2Fwos%2Fwoscc%2Ffull-record%2FWOS:000550050100001","View Full Record in Web of Science")</f>
        <v>View Full Record in Web of Science</v>
      </c>
    </row>
    <row r="773" spans="1:72" x14ac:dyDescent="0.4">
      <c r="A773" t="s">
        <v>72</v>
      </c>
      <c r="B773" t="s">
        <v>6559</v>
      </c>
      <c r="C773" t="s">
        <v>74</v>
      </c>
      <c r="D773" t="s">
        <v>74</v>
      </c>
      <c r="E773" t="s">
        <v>74</v>
      </c>
      <c r="F773" t="s">
        <v>6559</v>
      </c>
      <c r="G773" t="s">
        <v>74</v>
      </c>
      <c r="H773" t="s">
        <v>74</v>
      </c>
      <c r="I773" t="s">
        <v>6560</v>
      </c>
      <c r="J773" t="s">
        <v>1673</v>
      </c>
      <c r="K773" t="s">
        <v>74</v>
      </c>
      <c r="L773" t="s">
        <v>74</v>
      </c>
      <c r="M773" t="s">
        <v>74</v>
      </c>
      <c r="N773" t="s">
        <v>74</v>
      </c>
      <c r="O773" t="s">
        <v>74</v>
      </c>
      <c r="P773" t="s">
        <v>74</v>
      </c>
      <c r="Q773" t="s">
        <v>74</v>
      </c>
      <c r="R773" t="s">
        <v>74</v>
      </c>
      <c r="S773" t="s">
        <v>74</v>
      </c>
      <c r="T773" t="s">
        <v>74</v>
      </c>
      <c r="U773" t="s">
        <v>74</v>
      </c>
      <c r="V773" s="3" t="s">
        <v>6561</v>
      </c>
      <c r="W773" t="s">
        <v>74</v>
      </c>
      <c r="X773" t="s">
        <v>74</v>
      </c>
      <c r="Y773" t="s">
        <v>74</v>
      </c>
      <c r="Z773" t="s">
        <v>74</v>
      </c>
      <c r="AA773" t="s">
        <v>74</v>
      </c>
      <c r="AB773" t="s">
        <v>74</v>
      </c>
      <c r="AC773" t="s">
        <v>74</v>
      </c>
      <c r="AD773" t="s">
        <v>74</v>
      </c>
      <c r="AE773" t="s">
        <v>74</v>
      </c>
      <c r="AF773" t="s">
        <v>74</v>
      </c>
      <c r="AG773" t="s">
        <v>74</v>
      </c>
      <c r="AH773" t="s">
        <v>74</v>
      </c>
      <c r="AI773" t="s">
        <v>74</v>
      </c>
      <c r="AJ773" t="s">
        <v>74</v>
      </c>
      <c r="AK773" t="s">
        <v>74</v>
      </c>
      <c r="AL773" t="s">
        <v>74</v>
      </c>
      <c r="AM773" t="s">
        <v>74</v>
      </c>
      <c r="AN773" t="s">
        <v>74</v>
      </c>
      <c r="AO773" t="s">
        <v>1239</v>
      </c>
      <c r="AP773" t="s">
        <v>1675</v>
      </c>
      <c r="AQ773" t="s">
        <v>74</v>
      </c>
      <c r="AR773" t="s">
        <v>74</v>
      </c>
      <c r="AS773" t="s">
        <v>74</v>
      </c>
      <c r="AT773" t="s">
        <v>633</v>
      </c>
      <c r="AU773">
        <v>1986</v>
      </c>
      <c r="AV773">
        <v>64</v>
      </c>
      <c r="AW773">
        <v>4</v>
      </c>
      <c r="AX773" t="s">
        <v>74</v>
      </c>
      <c r="AY773" t="s">
        <v>74</v>
      </c>
      <c r="AZ773" t="s">
        <v>74</v>
      </c>
      <c r="BA773" t="s">
        <v>74</v>
      </c>
      <c r="BB773">
        <v>867</v>
      </c>
      <c r="BC773">
        <v>874</v>
      </c>
      <c r="BD773" t="s">
        <v>74</v>
      </c>
      <c r="BE773" t="s">
        <v>6562</v>
      </c>
      <c r="BF773" t="str">
        <f>HYPERLINK("http://dx.doi.org/10.1139/z86-130","http://dx.doi.org/10.1139/z86-130")</f>
        <v>http://dx.doi.org/10.1139/z86-130</v>
      </c>
      <c r="BG773" t="s">
        <v>74</v>
      </c>
      <c r="BH773" t="s">
        <v>74</v>
      </c>
      <c r="BI773" t="s">
        <v>74</v>
      </c>
      <c r="BJ773" t="s">
        <v>74</v>
      </c>
      <c r="BK773" t="s">
        <v>74</v>
      </c>
      <c r="BL773" t="s">
        <v>74</v>
      </c>
      <c r="BM773" t="s">
        <v>74</v>
      </c>
      <c r="BN773" t="s">
        <v>74</v>
      </c>
      <c r="BO773" t="s">
        <v>74</v>
      </c>
      <c r="BP773" t="s">
        <v>74</v>
      </c>
      <c r="BQ773" t="s">
        <v>74</v>
      </c>
      <c r="BR773" t="s">
        <v>74</v>
      </c>
      <c r="BS773" t="s">
        <v>6563</v>
      </c>
      <c r="BT773" t="str">
        <f>HYPERLINK("https%3A%2F%2Fwww.webofscience.com%2Fwos%2Fwoscc%2Ffull-record%2FWOS:A1986C507200011","View Full Record in Web of Science")</f>
        <v>View Full Record in Web of Science</v>
      </c>
    </row>
    <row r="774" spans="1:72" x14ac:dyDescent="0.4">
      <c r="A774" t="s">
        <v>72</v>
      </c>
      <c r="B774" t="s">
        <v>1740</v>
      </c>
      <c r="C774" t="s">
        <v>74</v>
      </c>
      <c r="D774" t="s">
        <v>74</v>
      </c>
      <c r="E774" t="s">
        <v>74</v>
      </c>
      <c r="F774" t="s">
        <v>1741</v>
      </c>
      <c r="G774" t="s">
        <v>74</v>
      </c>
      <c r="H774" t="s">
        <v>74</v>
      </c>
      <c r="I774" t="s">
        <v>1742</v>
      </c>
      <c r="J774" t="s">
        <v>1743</v>
      </c>
      <c r="K774" t="s">
        <v>74</v>
      </c>
      <c r="L774" t="s">
        <v>74</v>
      </c>
      <c r="M774" t="s">
        <v>74</v>
      </c>
      <c r="N774" t="s">
        <v>74</v>
      </c>
      <c r="O774" t="s">
        <v>74</v>
      </c>
      <c r="P774" t="s">
        <v>74</v>
      </c>
      <c r="Q774" t="s">
        <v>74</v>
      </c>
      <c r="R774" t="s">
        <v>74</v>
      </c>
      <c r="S774" t="s">
        <v>74</v>
      </c>
      <c r="T774" t="s">
        <v>74</v>
      </c>
      <c r="U774" t="s">
        <v>74</v>
      </c>
      <c r="V774" s="3" t="s">
        <v>1744</v>
      </c>
      <c r="W774" t="s">
        <v>74</v>
      </c>
      <c r="X774" t="s">
        <v>74</v>
      </c>
      <c r="Y774" t="s">
        <v>74</v>
      </c>
      <c r="Z774" t="s">
        <v>74</v>
      </c>
      <c r="AA774" t="s">
        <v>1745</v>
      </c>
      <c r="AB774" t="s">
        <v>74</v>
      </c>
      <c r="AC774" t="s">
        <v>74</v>
      </c>
      <c r="AD774" t="s">
        <v>74</v>
      </c>
      <c r="AE774" t="s">
        <v>74</v>
      </c>
      <c r="AF774" t="s">
        <v>74</v>
      </c>
      <c r="AG774" t="s">
        <v>74</v>
      </c>
      <c r="AH774" t="s">
        <v>74</v>
      </c>
      <c r="AI774" t="s">
        <v>74</v>
      </c>
      <c r="AJ774" t="s">
        <v>74</v>
      </c>
      <c r="AK774" t="s">
        <v>74</v>
      </c>
      <c r="AL774" t="s">
        <v>74</v>
      </c>
      <c r="AM774" t="s">
        <v>74</v>
      </c>
      <c r="AN774" t="s">
        <v>74</v>
      </c>
      <c r="AO774" t="s">
        <v>1746</v>
      </c>
      <c r="AP774" t="s">
        <v>74</v>
      </c>
      <c r="AQ774" t="s">
        <v>74</v>
      </c>
      <c r="AR774" t="s">
        <v>74</v>
      </c>
      <c r="AS774" t="s">
        <v>74</v>
      </c>
      <c r="AT774" t="s">
        <v>255</v>
      </c>
      <c r="AU774">
        <v>2008</v>
      </c>
      <c r="AV774">
        <v>25</v>
      </c>
      <c r="AW774">
        <v>1</v>
      </c>
      <c r="AX774" t="s">
        <v>74</v>
      </c>
      <c r="AY774" t="s">
        <v>74</v>
      </c>
      <c r="AZ774" t="s">
        <v>74</v>
      </c>
      <c r="BA774" t="s">
        <v>74</v>
      </c>
      <c r="BB774">
        <v>1</v>
      </c>
      <c r="BC774">
        <v>5</v>
      </c>
      <c r="BD774" t="s">
        <v>74</v>
      </c>
      <c r="BE774" t="s">
        <v>1747</v>
      </c>
      <c r="BF774" t="str">
        <f>HYPERLINK("http://dx.doi.org/10.2108/zsj.25.1","http://dx.doi.org/10.2108/zsj.25.1")</f>
        <v>http://dx.doi.org/10.2108/zsj.25.1</v>
      </c>
      <c r="BG774" t="s">
        <v>74</v>
      </c>
      <c r="BH774" t="s">
        <v>74</v>
      </c>
      <c r="BI774" t="s">
        <v>74</v>
      </c>
      <c r="BJ774" t="s">
        <v>74</v>
      </c>
      <c r="BK774" t="s">
        <v>74</v>
      </c>
      <c r="BL774" t="s">
        <v>74</v>
      </c>
      <c r="BM774" t="s">
        <v>74</v>
      </c>
      <c r="BN774">
        <v>18275238</v>
      </c>
      <c r="BO774" t="s">
        <v>74</v>
      </c>
      <c r="BP774" t="s">
        <v>74</v>
      </c>
      <c r="BQ774" t="s">
        <v>74</v>
      </c>
      <c r="BR774" t="s">
        <v>74</v>
      </c>
      <c r="BS774" t="s">
        <v>1748</v>
      </c>
      <c r="BT774" t="str">
        <f>HYPERLINK("https%3A%2F%2Fwww.webofscience.com%2Fwos%2Fwoscc%2Ffull-record%2FWOS:000256943500001","View Full Record in Web of Science")</f>
        <v>View Full Record in Web of Science</v>
      </c>
    </row>
    <row r="775" spans="1:72" x14ac:dyDescent="0.4">
      <c r="A775" t="s">
        <v>72</v>
      </c>
      <c r="B775" t="s">
        <v>6175</v>
      </c>
      <c r="C775" t="s">
        <v>74</v>
      </c>
      <c r="D775" t="s">
        <v>74</v>
      </c>
      <c r="E775" t="s">
        <v>74</v>
      </c>
      <c r="F775" t="s">
        <v>6176</v>
      </c>
      <c r="G775" t="s">
        <v>74</v>
      </c>
      <c r="H775" t="s">
        <v>74</v>
      </c>
      <c r="I775" t="s">
        <v>6177</v>
      </c>
      <c r="J775" t="s">
        <v>5577</v>
      </c>
      <c r="K775" t="s">
        <v>74</v>
      </c>
      <c r="L775" t="s">
        <v>74</v>
      </c>
      <c r="M775" t="s">
        <v>74</v>
      </c>
      <c r="N775" t="s">
        <v>74</v>
      </c>
      <c r="O775" t="s">
        <v>74</v>
      </c>
      <c r="P775" t="s">
        <v>74</v>
      </c>
      <c r="Q775" t="s">
        <v>74</v>
      </c>
      <c r="R775" t="s">
        <v>74</v>
      </c>
      <c r="S775" t="s">
        <v>74</v>
      </c>
      <c r="T775" t="s">
        <v>74</v>
      </c>
      <c r="U775" t="s">
        <v>74</v>
      </c>
      <c r="V775" s="3" t="s">
        <v>6178</v>
      </c>
      <c r="W775" t="s">
        <v>74</v>
      </c>
      <c r="X775" t="s">
        <v>74</v>
      </c>
      <c r="Y775" t="s">
        <v>74</v>
      </c>
      <c r="Z775" t="s">
        <v>74</v>
      </c>
      <c r="AA775" t="s">
        <v>6179</v>
      </c>
      <c r="AB775" t="s">
        <v>6180</v>
      </c>
      <c r="AC775" t="s">
        <v>74</v>
      </c>
      <c r="AD775" t="s">
        <v>74</v>
      </c>
      <c r="AE775" t="s">
        <v>74</v>
      </c>
      <c r="AF775" t="s">
        <v>74</v>
      </c>
      <c r="AG775" t="s">
        <v>74</v>
      </c>
      <c r="AH775" t="s">
        <v>74</v>
      </c>
      <c r="AI775" t="s">
        <v>74</v>
      </c>
      <c r="AJ775" t="s">
        <v>74</v>
      </c>
      <c r="AK775" t="s">
        <v>74</v>
      </c>
      <c r="AL775" t="s">
        <v>74</v>
      </c>
      <c r="AM775" t="s">
        <v>74</v>
      </c>
      <c r="AN775" t="s">
        <v>74</v>
      </c>
      <c r="AO775" t="s">
        <v>5579</v>
      </c>
      <c r="AP775" t="s">
        <v>74</v>
      </c>
      <c r="AQ775" t="s">
        <v>74</v>
      </c>
      <c r="AR775" t="s">
        <v>74</v>
      </c>
      <c r="AS775" t="s">
        <v>74</v>
      </c>
      <c r="AT775" t="s">
        <v>255</v>
      </c>
      <c r="AU775">
        <v>2018</v>
      </c>
      <c r="AV775">
        <v>97</v>
      </c>
      <c r="AW775">
        <v>1</v>
      </c>
      <c r="AX775" t="s">
        <v>74</v>
      </c>
      <c r="AY775" t="s">
        <v>74</v>
      </c>
      <c r="AZ775" t="s">
        <v>74</v>
      </c>
      <c r="BA775" t="s">
        <v>74</v>
      </c>
      <c r="BB775">
        <v>56</v>
      </c>
      <c r="BC775">
        <v>66</v>
      </c>
      <c r="BD775" t="s">
        <v>74</v>
      </c>
      <c r="BE775" t="s">
        <v>6181</v>
      </c>
      <c r="BF775" t="str">
        <f>HYPERLINK("http://dx.doi.org/10.7868/S0044513418010051","http://dx.doi.org/10.7868/S0044513418010051")</f>
        <v>http://dx.doi.org/10.7868/S0044513418010051</v>
      </c>
      <c r="BG775" t="s">
        <v>74</v>
      </c>
      <c r="BH775" t="s">
        <v>74</v>
      </c>
      <c r="BI775" t="s">
        <v>74</v>
      </c>
      <c r="BJ775" t="s">
        <v>74</v>
      </c>
      <c r="BK775" t="s">
        <v>74</v>
      </c>
      <c r="BL775" t="s">
        <v>74</v>
      </c>
      <c r="BM775" t="s">
        <v>74</v>
      </c>
      <c r="BN775" t="s">
        <v>74</v>
      </c>
      <c r="BO775" t="s">
        <v>74</v>
      </c>
      <c r="BP775" t="s">
        <v>74</v>
      </c>
      <c r="BQ775" t="s">
        <v>74</v>
      </c>
      <c r="BR775" t="s">
        <v>74</v>
      </c>
      <c r="BS775" t="s">
        <v>6182</v>
      </c>
      <c r="BT775" t="str">
        <f>HYPERLINK("https%3A%2F%2Fwww.webofscience.com%2Fwos%2Fwoscc%2Ffull-record%2FWOS:000429884500005","View Full Record in Web of Science")</f>
        <v>View Full Record in Web of Science</v>
      </c>
    </row>
    <row r="776" spans="1:72" x14ac:dyDescent="0.4">
      <c r="A776" t="s">
        <v>72</v>
      </c>
      <c r="B776" t="s">
        <v>3039</v>
      </c>
      <c r="C776" t="s">
        <v>74</v>
      </c>
      <c r="D776" t="s">
        <v>74</v>
      </c>
      <c r="E776" t="s">
        <v>74</v>
      </c>
      <c r="F776" t="s">
        <v>3040</v>
      </c>
      <c r="G776" t="s">
        <v>74</v>
      </c>
      <c r="H776" t="s">
        <v>74</v>
      </c>
      <c r="I776" t="s">
        <v>3041</v>
      </c>
      <c r="J776" t="s">
        <v>3042</v>
      </c>
      <c r="K776" t="s">
        <v>74</v>
      </c>
      <c r="L776" t="s">
        <v>74</v>
      </c>
      <c r="M776" t="s">
        <v>74</v>
      </c>
      <c r="N776" t="s">
        <v>74</v>
      </c>
      <c r="O776" t="s">
        <v>74</v>
      </c>
      <c r="P776" t="s">
        <v>74</v>
      </c>
      <c r="Q776" t="s">
        <v>74</v>
      </c>
      <c r="R776" t="s">
        <v>74</v>
      </c>
      <c r="S776" t="s">
        <v>74</v>
      </c>
      <c r="T776" t="s">
        <v>74</v>
      </c>
      <c r="U776" t="s">
        <v>74</v>
      </c>
      <c r="V776" s="3" t="s">
        <v>3043</v>
      </c>
      <c r="W776" t="s">
        <v>74</v>
      </c>
      <c r="X776" t="s">
        <v>74</v>
      </c>
      <c r="Y776" t="s">
        <v>74</v>
      </c>
      <c r="Z776" t="s">
        <v>74</v>
      </c>
      <c r="AA776" t="s">
        <v>74</v>
      </c>
      <c r="AB776" t="s">
        <v>3044</v>
      </c>
      <c r="AC776" t="s">
        <v>74</v>
      </c>
      <c r="AD776" t="s">
        <v>74</v>
      </c>
      <c r="AE776" t="s">
        <v>74</v>
      </c>
      <c r="AF776" t="s">
        <v>74</v>
      </c>
      <c r="AG776" t="s">
        <v>74</v>
      </c>
      <c r="AH776" t="s">
        <v>74</v>
      </c>
      <c r="AI776" t="s">
        <v>74</v>
      </c>
      <c r="AJ776" t="s">
        <v>74</v>
      </c>
      <c r="AK776" t="s">
        <v>74</v>
      </c>
      <c r="AL776" t="s">
        <v>74</v>
      </c>
      <c r="AM776" t="s">
        <v>74</v>
      </c>
      <c r="AN776" t="s">
        <v>74</v>
      </c>
      <c r="AO776" t="s">
        <v>1458</v>
      </c>
      <c r="AP776" t="s">
        <v>3045</v>
      </c>
      <c r="AQ776" t="s">
        <v>74</v>
      </c>
      <c r="AR776" t="s">
        <v>74</v>
      </c>
      <c r="AS776" t="s">
        <v>74</v>
      </c>
      <c r="AT776" t="s">
        <v>3046</v>
      </c>
      <c r="AU776">
        <v>2023</v>
      </c>
      <c r="AV776">
        <v>140</v>
      </c>
      <c r="AW776">
        <v>2</v>
      </c>
      <c r="AX776" t="s">
        <v>74</v>
      </c>
      <c r="AY776" t="s">
        <v>74</v>
      </c>
      <c r="AZ776" t="s">
        <v>74</v>
      </c>
      <c r="BA776" t="s">
        <v>74</v>
      </c>
      <c r="BB776" t="s">
        <v>74</v>
      </c>
      <c r="BC776" t="s">
        <v>74</v>
      </c>
      <c r="BD776" t="s">
        <v>74</v>
      </c>
      <c r="BE776" t="s">
        <v>3047</v>
      </c>
      <c r="BF776" t="str">
        <f>HYPERLINK("http://dx.doi.org/10.1093/ornithology/ukad002","http://dx.doi.org/10.1093/ornithology/ukad002")</f>
        <v>http://dx.doi.org/10.1093/ornithology/ukad002</v>
      </c>
      <c r="BG776" t="s">
        <v>74</v>
      </c>
      <c r="BH776" t="s">
        <v>3048</v>
      </c>
      <c r="BI776" t="s">
        <v>74</v>
      </c>
      <c r="BJ776" t="s">
        <v>74</v>
      </c>
      <c r="BK776" t="s">
        <v>74</v>
      </c>
      <c r="BL776" t="s">
        <v>74</v>
      </c>
      <c r="BM776" t="s">
        <v>74</v>
      </c>
      <c r="BN776" t="s">
        <v>74</v>
      </c>
      <c r="BO776" t="s">
        <v>74</v>
      </c>
      <c r="BP776" t="s">
        <v>74</v>
      </c>
      <c r="BQ776" t="s">
        <v>74</v>
      </c>
      <c r="BR776" t="s">
        <v>74</v>
      </c>
      <c r="BS776" t="s">
        <v>3049</v>
      </c>
      <c r="BT776" t="str">
        <f>HYPERLINK("https%3A%2F%2Fwww.webofscience.com%2Fwos%2Fwoscc%2Ffull-record%2FWOS:000959502700001","View Full Record in Web of Science")</f>
        <v>View Full Record in Web of Science</v>
      </c>
    </row>
    <row r="777" spans="1:72" x14ac:dyDescent="0.4">
      <c r="A777" t="s">
        <v>72</v>
      </c>
      <c r="B777" t="s">
        <v>73</v>
      </c>
      <c r="C777" t="s">
        <v>74</v>
      </c>
      <c r="D777" t="s">
        <v>74</v>
      </c>
      <c r="E777" t="s">
        <v>74</v>
      </c>
      <c r="F777" t="s">
        <v>75</v>
      </c>
      <c r="G777" t="s">
        <v>74</v>
      </c>
      <c r="H777" t="s">
        <v>74</v>
      </c>
      <c r="I777" t="s">
        <v>76</v>
      </c>
      <c r="J777" t="s">
        <v>77</v>
      </c>
      <c r="K777" t="s">
        <v>74</v>
      </c>
      <c r="L777" t="s">
        <v>74</v>
      </c>
      <c r="M777" t="s">
        <v>74</v>
      </c>
      <c r="N777" t="s">
        <v>74</v>
      </c>
      <c r="O777" t="s">
        <v>74</v>
      </c>
      <c r="P777" t="s">
        <v>74</v>
      </c>
      <c r="Q777" t="s">
        <v>74</v>
      </c>
      <c r="R777" t="s">
        <v>74</v>
      </c>
      <c r="S777" t="s">
        <v>74</v>
      </c>
      <c r="T777" t="s">
        <v>74</v>
      </c>
      <c r="U777" t="s">
        <v>74</v>
      </c>
      <c r="V777" s="3" t="s">
        <v>78</v>
      </c>
      <c r="W777" t="s">
        <v>74</v>
      </c>
      <c r="X777" t="s">
        <v>74</v>
      </c>
      <c r="Y777" t="s">
        <v>74</v>
      </c>
      <c r="Z777" t="s">
        <v>74</v>
      </c>
      <c r="AA777" t="s">
        <v>79</v>
      </c>
      <c r="AB777" t="s">
        <v>80</v>
      </c>
      <c r="AC777" t="s">
        <v>74</v>
      </c>
      <c r="AD777" t="s">
        <v>74</v>
      </c>
      <c r="AE777" t="s">
        <v>74</v>
      </c>
      <c r="AF777" t="s">
        <v>74</v>
      </c>
      <c r="AG777" t="s">
        <v>74</v>
      </c>
      <c r="AH777" t="s">
        <v>74</v>
      </c>
      <c r="AI777" t="s">
        <v>74</v>
      </c>
      <c r="AJ777" t="s">
        <v>74</v>
      </c>
      <c r="AK777" t="s">
        <v>74</v>
      </c>
      <c r="AL777" t="s">
        <v>74</v>
      </c>
      <c r="AM777" t="s">
        <v>74</v>
      </c>
      <c r="AN777" t="s">
        <v>74</v>
      </c>
      <c r="AO777" t="s">
        <v>81</v>
      </c>
      <c r="AP777" t="s">
        <v>82</v>
      </c>
      <c r="AQ777" t="s">
        <v>74</v>
      </c>
      <c r="AR777" t="s">
        <v>74</v>
      </c>
      <c r="AS777" t="s">
        <v>74</v>
      </c>
      <c r="AT777" t="s">
        <v>74</v>
      </c>
      <c r="AU777">
        <v>2009</v>
      </c>
      <c r="AV777">
        <v>146</v>
      </c>
      <c r="AW777" t="s">
        <v>74</v>
      </c>
      <c r="AX777">
        <v>6</v>
      </c>
      <c r="AY777" t="s">
        <v>74</v>
      </c>
      <c r="AZ777" t="s">
        <v>74</v>
      </c>
      <c r="BA777" t="s">
        <v>74</v>
      </c>
      <c r="BB777">
        <v>741</v>
      </c>
      <c r="BC777">
        <v>756</v>
      </c>
      <c r="BD777" t="s">
        <v>74</v>
      </c>
      <c r="BE777" t="s">
        <v>83</v>
      </c>
      <c r="BF777" t="str">
        <f>HYPERLINK("http://dx.doi.org/10.1163/156853909X446181","http://dx.doi.org/10.1163/156853909X446181")</f>
        <v>http://dx.doi.org/10.1163/156853909X446181</v>
      </c>
      <c r="BG777" t="s">
        <v>74</v>
      </c>
      <c r="BH777" t="s">
        <v>74</v>
      </c>
      <c r="BI777" t="s">
        <v>74</v>
      </c>
      <c r="BJ777" t="s">
        <v>74</v>
      </c>
      <c r="BK777" t="s">
        <v>74</v>
      </c>
      <c r="BL777" t="s">
        <v>74</v>
      </c>
      <c r="BM777" t="s">
        <v>74</v>
      </c>
      <c r="BN777" t="s">
        <v>74</v>
      </c>
      <c r="BO777" t="s">
        <v>74</v>
      </c>
      <c r="BP777" t="s">
        <v>74</v>
      </c>
      <c r="BQ777" t="s">
        <v>74</v>
      </c>
      <c r="BR777" t="s">
        <v>74</v>
      </c>
      <c r="BS777" t="s">
        <v>84</v>
      </c>
      <c r="BT777" t="str">
        <f>HYPERLINK("https%3A%2F%2Fwww.webofscience.com%2Fwos%2Fwoscc%2Ffull-record%2FWOS:000267018400002","View Full Record in Web of Science")</f>
        <v>View Full Record in Web of Science</v>
      </c>
    </row>
    <row r="778" spans="1:72" x14ac:dyDescent="0.4">
      <c r="A778" t="s">
        <v>72</v>
      </c>
      <c r="B778" t="s">
        <v>4710</v>
      </c>
      <c r="C778" t="s">
        <v>74</v>
      </c>
      <c r="D778" t="s">
        <v>74</v>
      </c>
      <c r="E778" t="s">
        <v>74</v>
      </c>
      <c r="F778" t="s">
        <v>4711</v>
      </c>
      <c r="G778" t="s">
        <v>74</v>
      </c>
      <c r="H778" t="s">
        <v>74</v>
      </c>
      <c r="I778" t="s">
        <v>4712</v>
      </c>
      <c r="J778" t="s">
        <v>1112</v>
      </c>
      <c r="K778" t="s">
        <v>74</v>
      </c>
      <c r="L778" t="s">
        <v>74</v>
      </c>
      <c r="M778" t="s">
        <v>74</v>
      </c>
      <c r="N778" t="s">
        <v>74</v>
      </c>
      <c r="O778" t="s">
        <v>74</v>
      </c>
      <c r="P778" t="s">
        <v>74</v>
      </c>
      <c r="Q778" t="s">
        <v>74</v>
      </c>
      <c r="R778" t="s">
        <v>74</v>
      </c>
      <c r="S778" t="s">
        <v>74</v>
      </c>
      <c r="T778" t="s">
        <v>74</v>
      </c>
      <c r="U778" t="s">
        <v>74</v>
      </c>
      <c r="V778" s="3" t="s">
        <v>4713</v>
      </c>
      <c r="W778" t="s">
        <v>74</v>
      </c>
      <c r="X778" t="s">
        <v>74</v>
      </c>
      <c r="Y778" t="s">
        <v>74</v>
      </c>
      <c r="Z778" t="s">
        <v>74</v>
      </c>
      <c r="AA778" t="s">
        <v>4714</v>
      </c>
      <c r="AB778" t="s">
        <v>4715</v>
      </c>
      <c r="AC778" t="s">
        <v>74</v>
      </c>
      <c r="AD778" t="s">
        <v>74</v>
      </c>
      <c r="AE778" t="s">
        <v>74</v>
      </c>
      <c r="AF778" t="s">
        <v>74</v>
      </c>
      <c r="AG778" t="s">
        <v>74</v>
      </c>
      <c r="AH778" t="s">
        <v>74</v>
      </c>
      <c r="AI778" t="s">
        <v>74</v>
      </c>
      <c r="AJ778" t="s">
        <v>74</v>
      </c>
      <c r="AK778" t="s">
        <v>74</v>
      </c>
      <c r="AL778" t="s">
        <v>74</v>
      </c>
      <c r="AM778" t="s">
        <v>74</v>
      </c>
      <c r="AN778" t="s">
        <v>74</v>
      </c>
      <c r="AO778" t="s">
        <v>1114</v>
      </c>
      <c r="AP778" t="s">
        <v>74</v>
      </c>
      <c r="AQ778" t="s">
        <v>74</v>
      </c>
      <c r="AR778" t="s">
        <v>74</v>
      </c>
      <c r="AS778" t="s">
        <v>74</v>
      </c>
      <c r="AT778" t="s">
        <v>4716</v>
      </c>
      <c r="AU778">
        <v>2011</v>
      </c>
      <c r="AV778">
        <v>135</v>
      </c>
      <c r="AW778">
        <v>4</v>
      </c>
      <c r="AX778" t="s">
        <v>74</v>
      </c>
      <c r="AY778" t="s">
        <v>74</v>
      </c>
      <c r="AZ778" t="s">
        <v>74</v>
      </c>
      <c r="BA778" t="s">
        <v>74</v>
      </c>
      <c r="BB778">
        <v>293</v>
      </c>
      <c r="BC778">
        <v>299</v>
      </c>
      <c r="BD778" t="s">
        <v>74</v>
      </c>
      <c r="BE778" t="s">
        <v>4717</v>
      </c>
      <c r="BF778" t="str">
        <f>HYPERLINK("http://dx.doi.org/10.1016/j.applanim.2011.09.011","http://dx.doi.org/10.1016/j.applanim.2011.09.011")</f>
        <v>http://dx.doi.org/10.1016/j.applanim.2011.09.011</v>
      </c>
      <c r="BG778" t="s">
        <v>74</v>
      </c>
      <c r="BH778" t="s">
        <v>74</v>
      </c>
      <c r="BI778" t="s">
        <v>74</v>
      </c>
      <c r="BJ778" t="s">
        <v>74</v>
      </c>
      <c r="BK778" t="s">
        <v>74</v>
      </c>
      <c r="BL778" t="s">
        <v>74</v>
      </c>
      <c r="BM778" t="s">
        <v>74</v>
      </c>
      <c r="BN778" t="s">
        <v>74</v>
      </c>
      <c r="BO778" t="s">
        <v>74</v>
      </c>
      <c r="BP778" t="s">
        <v>74</v>
      </c>
      <c r="BQ778" t="s">
        <v>74</v>
      </c>
      <c r="BR778" t="s">
        <v>74</v>
      </c>
      <c r="BS778" t="s">
        <v>4718</v>
      </c>
      <c r="BT778" t="str">
        <f>HYPERLINK("https%3A%2F%2Fwww.webofscience.com%2Fwos%2Fwoscc%2Ffull-record%2FWOS:000298775100005","View Full Record in Web of Science")</f>
        <v>View Full Record in Web of Science</v>
      </c>
    </row>
    <row r="779" spans="1:72" x14ac:dyDescent="0.4">
      <c r="A779" t="s">
        <v>72</v>
      </c>
      <c r="B779" t="s">
        <v>6919</v>
      </c>
      <c r="C779" t="s">
        <v>74</v>
      </c>
      <c r="D779" t="s">
        <v>74</v>
      </c>
      <c r="E779" t="s">
        <v>74</v>
      </c>
      <c r="F779" t="s">
        <v>6919</v>
      </c>
      <c r="G779" t="s">
        <v>74</v>
      </c>
      <c r="H779" t="s">
        <v>74</v>
      </c>
      <c r="I779" t="s">
        <v>6920</v>
      </c>
      <c r="J779" t="s">
        <v>140</v>
      </c>
      <c r="K779" t="s">
        <v>74</v>
      </c>
      <c r="L779" t="s">
        <v>74</v>
      </c>
      <c r="M779" t="s">
        <v>74</v>
      </c>
      <c r="N779" t="s">
        <v>74</v>
      </c>
      <c r="O779" t="s">
        <v>74</v>
      </c>
      <c r="P779" t="s">
        <v>74</v>
      </c>
      <c r="Q779" t="s">
        <v>74</v>
      </c>
      <c r="R779" t="s">
        <v>74</v>
      </c>
      <c r="S779" t="s">
        <v>74</v>
      </c>
      <c r="T779" t="s">
        <v>74</v>
      </c>
      <c r="U779" t="s">
        <v>74</v>
      </c>
      <c r="V779" s="3" t="s">
        <v>6921</v>
      </c>
      <c r="W779" t="s">
        <v>74</v>
      </c>
      <c r="X779" t="s">
        <v>74</v>
      </c>
      <c r="Y779" t="s">
        <v>74</v>
      </c>
      <c r="Z779" t="s">
        <v>74</v>
      </c>
      <c r="AA779" t="s">
        <v>1295</v>
      </c>
      <c r="AB779" t="s">
        <v>6922</v>
      </c>
      <c r="AC779" t="s">
        <v>74</v>
      </c>
      <c r="AD779" t="s">
        <v>74</v>
      </c>
      <c r="AE779" t="s">
        <v>74</v>
      </c>
      <c r="AF779" t="s">
        <v>74</v>
      </c>
      <c r="AG779" t="s">
        <v>74</v>
      </c>
      <c r="AH779" t="s">
        <v>74</v>
      </c>
      <c r="AI779" t="s">
        <v>74</v>
      </c>
      <c r="AJ779" t="s">
        <v>74</v>
      </c>
      <c r="AK779" t="s">
        <v>74</v>
      </c>
      <c r="AL779" t="s">
        <v>74</v>
      </c>
      <c r="AM779" t="s">
        <v>74</v>
      </c>
      <c r="AN779" t="s">
        <v>74</v>
      </c>
      <c r="AO779" t="s">
        <v>143</v>
      </c>
      <c r="AP779" t="s">
        <v>144</v>
      </c>
      <c r="AQ779" t="s">
        <v>74</v>
      </c>
      <c r="AR779" t="s">
        <v>74</v>
      </c>
      <c r="AS779" t="s">
        <v>74</v>
      </c>
      <c r="AT779" t="s">
        <v>305</v>
      </c>
      <c r="AU779">
        <v>1999</v>
      </c>
      <c r="AV779">
        <v>58</v>
      </c>
      <c r="AW779" t="s">
        <v>74</v>
      </c>
      <c r="AX779">
        <v>6</v>
      </c>
      <c r="AY779" t="s">
        <v>74</v>
      </c>
      <c r="AZ779" t="s">
        <v>74</v>
      </c>
      <c r="BA779" t="s">
        <v>74</v>
      </c>
      <c r="BB779">
        <v>1269</v>
      </c>
      <c r="BC779">
        <v>1276</v>
      </c>
      <c r="BD779" t="s">
        <v>74</v>
      </c>
      <c r="BE779" t="s">
        <v>6923</v>
      </c>
      <c r="BF779" t="str">
        <f>HYPERLINK("http://dx.doi.org/10.1006/anbe.1999.1260","http://dx.doi.org/10.1006/anbe.1999.1260")</f>
        <v>http://dx.doi.org/10.1006/anbe.1999.1260</v>
      </c>
      <c r="BG779" t="s">
        <v>74</v>
      </c>
      <c r="BH779" t="s">
        <v>74</v>
      </c>
      <c r="BI779" t="s">
        <v>74</v>
      </c>
      <c r="BJ779" t="s">
        <v>74</v>
      </c>
      <c r="BK779" t="s">
        <v>74</v>
      </c>
      <c r="BL779" t="s">
        <v>74</v>
      </c>
      <c r="BM779" t="s">
        <v>74</v>
      </c>
      <c r="BN779">
        <v>10600149</v>
      </c>
      <c r="BO779" t="s">
        <v>74</v>
      </c>
      <c r="BP779" t="s">
        <v>74</v>
      </c>
      <c r="BQ779" t="s">
        <v>74</v>
      </c>
      <c r="BR779" t="s">
        <v>74</v>
      </c>
      <c r="BS779" t="s">
        <v>6924</v>
      </c>
      <c r="BT779" t="str">
        <f>HYPERLINK("https%3A%2F%2Fwww.webofscience.com%2Fwos%2Fwoscc%2Ffull-record%2FWOS:000085094300014","View Full Record in Web of Science")</f>
        <v>View Full Record in Web of Science</v>
      </c>
    </row>
    <row r="780" spans="1:72" x14ac:dyDescent="0.4">
      <c r="A780" t="s">
        <v>72</v>
      </c>
      <c r="B780" t="s">
        <v>6919</v>
      </c>
      <c r="C780" t="s">
        <v>74</v>
      </c>
      <c r="D780" t="s">
        <v>74</v>
      </c>
      <c r="E780" t="s">
        <v>74</v>
      </c>
      <c r="F780" t="s">
        <v>6919</v>
      </c>
      <c r="G780" t="s">
        <v>74</v>
      </c>
      <c r="H780" t="s">
        <v>74</v>
      </c>
      <c r="I780" t="s">
        <v>7268</v>
      </c>
      <c r="J780" t="s">
        <v>140</v>
      </c>
      <c r="K780" t="s">
        <v>74</v>
      </c>
      <c r="L780" t="s">
        <v>74</v>
      </c>
      <c r="M780" t="s">
        <v>74</v>
      </c>
      <c r="N780" t="s">
        <v>74</v>
      </c>
      <c r="O780" t="s">
        <v>74</v>
      </c>
      <c r="P780" t="s">
        <v>74</v>
      </c>
      <c r="Q780" t="s">
        <v>74</v>
      </c>
      <c r="R780" t="s">
        <v>74</v>
      </c>
      <c r="S780" t="s">
        <v>74</v>
      </c>
      <c r="T780" t="s">
        <v>74</v>
      </c>
      <c r="U780" t="s">
        <v>74</v>
      </c>
      <c r="V780" s="3" t="s">
        <v>7269</v>
      </c>
      <c r="W780" t="s">
        <v>74</v>
      </c>
      <c r="X780" t="s">
        <v>74</v>
      </c>
      <c r="Y780" t="s">
        <v>74</v>
      </c>
      <c r="Z780" t="s">
        <v>74</v>
      </c>
      <c r="AA780" t="s">
        <v>1295</v>
      </c>
      <c r="AB780" t="s">
        <v>6922</v>
      </c>
      <c r="AC780" t="s">
        <v>74</v>
      </c>
      <c r="AD780" t="s">
        <v>74</v>
      </c>
      <c r="AE780" t="s">
        <v>74</v>
      </c>
      <c r="AF780" t="s">
        <v>74</v>
      </c>
      <c r="AG780" t="s">
        <v>74</v>
      </c>
      <c r="AH780" t="s">
        <v>74</v>
      </c>
      <c r="AI780" t="s">
        <v>74</v>
      </c>
      <c r="AJ780" t="s">
        <v>74</v>
      </c>
      <c r="AK780" t="s">
        <v>74</v>
      </c>
      <c r="AL780" t="s">
        <v>74</v>
      </c>
      <c r="AM780" t="s">
        <v>74</v>
      </c>
      <c r="AN780" t="s">
        <v>74</v>
      </c>
      <c r="AO780" t="s">
        <v>143</v>
      </c>
      <c r="AP780" t="s">
        <v>74</v>
      </c>
      <c r="AQ780" t="s">
        <v>74</v>
      </c>
      <c r="AR780" t="s">
        <v>74</v>
      </c>
      <c r="AS780" t="s">
        <v>74</v>
      </c>
      <c r="AT780" t="s">
        <v>102</v>
      </c>
      <c r="AU780">
        <v>2000</v>
      </c>
      <c r="AV780">
        <v>59</v>
      </c>
      <c r="AW780" t="s">
        <v>74</v>
      </c>
      <c r="AX780">
        <v>6</v>
      </c>
      <c r="AY780" t="s">
        <v>74</v>
      </c>
      <c r="AZ780" t="s">
        <v>74</v>
      </c>
      <c r="BA780" t="s">
        <v>74</v>
      </c>
      <c r="BB780">
        <v>1095</v>
      </c>
      <c r="BC780">
        <v>1101</v>
      </c>
      <c r="BD780" t="s">
        <v>74</v>
      </c>
      <c r="BE780" t="s">
        <v>7270</v>
      </c>
      <c r="BF780" t="str">
        <f>HYPERLINK("http://dx.doi.org/10.1006/anbe.2000.1401","http://dx.doi.org/10.1006/anbe.2000.1401")</f>
        <v>http://dx.doi.org/10.1006/anbe.2000.1401</v>
      </c>
      <c r="BG780" t="s">
        <v>74</v>
      </c>
      <c r="BH780" t="s">
        <v>74</v>
      </c>
      <c r="BI780" t="s">
        <v>74</v>
      </c>
      <c r="BJ780" t="s">
        <v>74</v>
      </c>
      <c r="BK780" t="s">
        <v>74</v>
      </c>
      <c r="BL780" t="s">
        <v>74</v>
      </c>
      <c r="BM780" t="s">
        <v>74</v>
      </c>
      <c r="BN780">
        <v>10877887</v>
      </c>
      <c r="BO780" t="s">
        <v>74</v>
      </c>
      <c r="BP780" t="s">
        <v>74</v>
      </c>
      <c r="BQ780" t="s">
        <v>74</v>
      </c>
      <c r="BR780" t="s">
        <v>74</v>
      </c>
      <c r="BS780" t="s">
        <v>7271</v>
      </c>
      <c r="BT780" t="str">
        <f>HYPERLINK("https%3A%2F%2Fwww.webofscience.com%2Fwos%2Fwoscc%2Ffull-record%2FWOS:000088220000003","View Full Record in Web of Science")</f>
        <v>View Full Record in Web of Science</v>
      </c>
    </row>
    <row r="781" spans="1:72" x14ac:dyDescent="0.4">
      <c r="A781" t="s">
        <v>72</v>
      </c>
      <c r="B781" t="s">
        <v>8584</v>
      </c>
      <c r="C781" t="s">
        <v>74</v>
      </c>
      <c r="D781" t="s">
        <v>74</v>
      </c>
      <c r="E781" t="s">
        <v>74</v>
      </c>
      <c r="F781" t="s">
        <v>8584</v>
      </c>
      <c r="G781" t="s">
        <v>74</v>
      </c>
      <c r="H781" t="s">
        <v>74</v>
      </c>
      <c r="I781" t="s">
        <v>8585</v>
      </c>
      <c r="J781" t="s">
        <v>1112</v>
      </c>
      <c r="K781" t="s">
        <v>74</v>
      </c>
      <c r="L781" t="s">
        <v>74</v>
      </c>
      <c r="M781" t="s">
        <v>74</v>
      </c>
      <c r="N781" t="s">
        <v>74</v>
      </c>
      <c r="O781" t="s">
        <v>74</v>
      </c>
      <c r="P781" t="s">
        <v>74</v>
      </c>
      <c r="Q781" t="s">
        <v>74</v>
      </c>
      <c r="R781" t="s">
        <v>74</v>
      </c>
      <c r="S781" t="s">
        <v>74</v>
      </c>
      <c r="T781" t="s">
        <v>74</v>
      </c>
      <c r="U781" t="s">
        <v>74</v>
      </c>
      <c r="V781" s="3" t="s">
        <v>8586</v>
      </c>
      <c r="W781" t="s">
        <v>74</v>
      </c>
      <c r="X781" t="s">
        <v>74</v>
      </c>
      <c r="Y781" t="s">
        <v>74</v>
      </c>
      <c r="Z781" t="s">
        <v>74</v>
      </c>
      <c r="AA781" t="s">
        <v>74</v>
      </c>
      <c r="AB781" t="s">
        <v>8587</v>
      </c>
      <c r="AC781" t="s">
        <v>74</v>
      </c>
      <c r="AD781" t="s">
        <v>74</v>
      </c>
      <c r="AE781" t="s">
        <v>74</v>
      </c>
      <c r="AF781" t="s">
        <v>74</v>
      </c>
      <c r="AG781" t="s">
        <v>74</v>
      </c>
      <c r="AH781" t="s">
        <v>74</v>
      </c>
      <c r="AI781" t="s">
        <v>74</v>
      </c>
      <c r="AJ781" t="s">
        <v>74</v>
      </c>
      <c r="AK781" t="s">
        <v>74</v>
      </c>
      <c r="AL781" t="s">
        <v>74</v>
      </c>
      <c r="AM781" t="s">
        <v>74</v>
      </c>
      <c r="AN781" t="s">
        <v>74</v>
      </c>
      <c r="AO781" t="s">
        <v>1114</v>
      </c>
      <c r="AP781" t="s">
        <v>74</v>
      </c>
      <c r="AQ781" t="s">
        <v>74</v>
      </c>
      <c r="AR781" t="s">
        <v>74</v>
      </c>
      <c r="AS781" t="s">
        <v>74</v>
      </c>
      <c r="AT781" t="s">
        <v>8588</v>
      </c>
      <c r="AU781">
        <v>2000</v>
      </c>
      <c r="AV781">
        <v>67</v>
      </c>
      <c r="AW781">
        <v>4</v>
      </c>
      <c r="AX781" t="s">
        <v>74</v>
      </c>
      <c r="AY781" t="s">
        <v>74</v>
      </c>
      <c r="AZ781" t="s">
        <v>74</v>
      </c>
      <c r="BA781" t="s">
        <v>74</v>
      </c>
      <c r="BB781">
        <v>307</v>
      </c>
      <c r="BC781">
        <v>320</v>
      </c>
      <c r="BD781" t="s">
        <v>74</v>
      </c>
      <c r="BE781" t="s">
        <v>8589</v>
      </c>
      <c r="BF781" t="str">
        <f>HYPERLINK("http://dx.doi.org/10.1016/S0168-1591(99)00123-9","http://dx.doi.org/10.1016/S0168-1591(99)00123-9")</f>
        <v>http://dx.doi.org/10.1016/S0168-1591(99)00123-9</v>
      </c>
      <c r="BG781" t="s">
        <v>74</v>
      </c>
      <c r="BH781" t="s">
        <v>74</v>
      </c>
      <c r="BI781" t="s">
        <v>74</v>
      </c>
      <c r="BJ781" t="s">
        <v>74</v>
      </c>
      <c r="BK781" t="s">
        <v>74</v>
      </c>
      <c r="BL781" t="s">
        <v>74</v>
      </c>
      <c r="BM781" t="s">
        <v>74</v>
      </c>
      <c r="BN781">
        <v>10760610</v>
      </c>
      <c r="BO781" t="s">
        <v>74</v>
      </c>
      <c r="BP781" t="s">
        <v>74</v>
      </c>
      <c r="BQ781" t="s">
        <v>74</v>
      </c>
      <c r="BR781" t="s">
        <v>74</v>
      </c>
      <c r="BS781" t="s">
        <v>8590</v>
      </c>
      <c r="BT781" t="str">
        <f>HYPERLINK("https%3A%2F%2Fwww.webofscience.com%2Fwos%2Fwoscc%2Ffull-record%2FWOS:000086528100004","View Full Record in Web of Science")</f>
        <v>View Full Record in Web of Science</v>
      </c>
    </row>
    <row r="782" spans="1:72" x14ac:dyDescent="0.4">
      <c r="A782" t="s">
        <v>72</v>
      </c>
      <c r="B782" t="s">
        <v>7784</v>
      </c>
      <c r="C782" t="s">
        <v>74</v>
      </c>
      <c r="D782" t="s">
        <v>74</v>
      </c>
      <c r="E782" t="s">
        <v>74</v>
      </c>
      <c r="F782" t="s">
        <v>7785</v>
      </c>
      <c r="G782" t="s">
        <v>74</v>
      </c>
      <c r="H782" t="s">
        <v>74</v>
      </c>
      <c r="I782" t="s">
        <v>7786</v>
      </c>
      <c r="J782" t="s">
        <v>5937</v>
      </c>
      <c r="K782" t="s">
        <v>74</v>
      </c>
      <c r="L782" t="s">
        <v>74</v>
      </c>
      <c r="M782" t="s">
        <v>74</v>
      </c>
      <c r="N782" t="s">
        <v>74</v>
      </c>
      <c r="O782" t="s">
        <v>74</v>
      </c>
      <c r="P782" t="s">
        <v>74</v>
      </c>
      <c r="Q782" t="s">
        <v>74</v>
      </c>
      <c r="R782" t="s">
        <v>74</v>
      </c>
      <c r="S782" t="s">
        <v>74</v>
      </c>
      <c r="T782" t="s">
        <v>74</v>
      </c>
      <c r="U782" t="s">
        <v>74</v>
      </c>
      <c r="V782" s="3" t="s">
        <v>7787</v>
      </c>
      <c r="W782" t="s">
        <v>74</v>
      </c>
      <c r="X782" t="s">
        <v>74</v>
      </c>
      <c r="Y782" t="s">
        <v>74</v>
      </c>
      <c r="Z782" t="s">
        <v>74</v>
      </c>
      <c r="AA782" t="s">
        <v>7788</v>
      </c>
      <c r="AB782" t="s">
        <v>7789</v>
      </c>
      <c r="AC782" t="s">
        <v>74</v>
      </c>
      <c r="AD782" t="s">
        <v>74</v>
      </c>
      <c r="AE782" t="s">
        <v>74</v>
      </c>
      <c r="AF782" t="s">
        <v>74</v>
      </c>
      <c r="AG782" t="s">
        <v>74</v>
      </c>
      <c r="AH782" t="s">
        <v>74</v>
      </c>
      <c r="AI782" t="s">
        <v>74</v>
      </c>
      <c r="AJ782" t="s">
        <v>74</v>
      </c>
      <c r="AK782" t="s">
        <v>74</v>
      </c>
      <c r="AL782" t="s">
        <v>74</v>
      </c>
      <c r="AM782" t="s">
        <v>74</v>
      </c>
      <c r="AN782" t="s">
        <v>74</v>
      </c>
      <c r="AO782" t="s">
        <v>5941</v>
      </c>
      <c r="AP782" t="s">
        <v>74</v>
      </c>
      <c r="AQ782" t="s">
        <v>74</v>
      </c>
      <c r="AR782" t="s">
        <v>74</v>
      </c>
      <c r="AS782" t="s">
        <v>74</v>
      </c>
      <c r="AT782" t="s">
        <v>134</v>
      </c>
      <c r="AU782">
        <v>2020</v>
      </c>
      <c r="AV782">
        <v>10</v>
      </c>
      <c r="AW782">
        <v>5</v>
      </c>
      <c r="AX782" t="s">
        <v>74</v>
      </c>
      <c r="AY782" t="s">
        <v>74</v>
      </c>
      <c r="AZ782" t="s">
        <v>74</v>
      </c>
      <c r="BA782" t="s">
        <v>74</v>
      </c>
      <c r="BB782" t="s">
        <v>74</v>
      </c>
      <c r="BC782" t="s">
        <v>74</v>
      </c>
      <c r="BD782">
        <v>755</v>
      </c>
      <c r="BE782" t="s">
        <v>7790</v>
      </c>
      <c r="BF782" t="str">
        <f>HYPERLINK("http://dx.doi.org/10.3390/ani10050755","http://dx.doi.org/10.3390/ani10050755")</f>
        <v>http://dx.doi.org/10.3390/ani10050755</v>
      </c>
      <c r="BG782" t="s">
        <v>74</v>
      </c>
      <c r="BH782" t="s">
        <v>74</v>
      </c>
      <c r="BI782" t="s">
        <v>74</v>
      </c>
      <c r="BJ782" t="s">
        <v>74</v>
      </c>
      <c r="BK782" t="s">
        <v>74</v>
      </c>
      <c r="BL782" t="s">
        <v>74</v>
      </c>
      <c r="BM782" t="s">
        <v>74</v>
      </c>
      <c r="BN782">
        <v>32357412</v>
      </c>
      <c r="BO782" t="s">
        <v>74</v>
      </c>
      <c r="BP782" t="s">
        <v>74</v>
      </c>
      <c r="BQ782" t="s">
        <v>74</v>
      </c>
      <c r="BR782" t="s">
        <v>74</v>
      </c>
      <c r="BS782" t="s">
        <v>7791</v>
      </c>
      <c r="BT782" t="str">
        <f>HYPERLINK("https%3A%2F%2Fwww.webofscience.com%2Fwos%2Fwoscc%2Ffull-record%2FWOS:000540228300006","View Full Record in Web of Science")</f>
        <v>View Full Record in Web of Science</v>
      </c>
    </row>
    <row r="783" spans="1:72" x14ac:dyDescent="0.4">
      <c r="A783" t="s">
        <v>72</v>
      </c>
      <c r="B783" t="s">
        <v>5177</v>
      </c>
      <c r="C783" t="s">
        <v>74</v>
      </c>
      <c r="D783" t="s">
        <v>74</v>
      </c>
      <c r="E783" t="s">
        <v>74</v>
      </c>
      <c r="F783" t="s">
        <v>5178</v>
      </c>
      <c r="G783" t="s">
        <v>74</v>
      </c>
      <c r="H783" t="s">
        <v>74</v>
      </c>
      <c r="I783" t="s">
        <v>5179</v>
      </c>
      <c r="J783" t="s">
        <v>5180</v>
      </c>
      <c r="K783" t="s">
        <v>74</v>
      </c>
      <c r="L783" t="s">
        <v>74</v>
      </c>
      <c r="M783" t="s">
        <v>74</v>
      </c>
      <c r="N783" t="s">
        <v>74</v>
      </c>
      <c r="O783" t="s">
        <v>74</v>
      </c>
      <c r="P783" t="s">
        <v>74</v>
      </c>
      <c r="Q783" t="s">
        <v>74</v>
      </c>
      <c r="R783" t="s">
        <v>74</v>
      </c>
      <c r="S783" t="s">
        <v>74</v>
      </c>
      <c r="T783" t="s">
        <v>74</v>
      </c>
      <c r="U783" t="s">
        <v>74</v>
      </c>
      <c r="V783" s="3" t="s">
        <v>5181</v>
      </c>
      <c r="W783" t="s">
        <v>74</v>
      </c>
      <c r="X783" t="s">
        <v>74</v>
      </c>
      <c r="Y783" t="s">
        <v>74</v>
      </c>
      <c r="Z783" t="s">
        <v>74</v>
      </c>
      <c r="AA783" t="s">
        <v>5182</v>
      </c>
      <c r="AB783" t="s">
        <v>5183</v>
      </c>
      <c r="AC783" t="s">
        <v>74</v>
      </c>
      <c r="AD783" t="s">
        <v>74</v>
      </c>
      <c r="AE783" t="s">
        <v>74</v>
      </c>
      <c r="AF783" t="s">
        <v>74</v>
      </c>
      <c r="AG783" t="s">
        <v>74</v>
      </c>
      <c r="AH783" t="s">
        <v>74</v>
      </c>
      <c r="AI783" t="s">
        <v>74</v>
      </c>
      <c r="AJ783" t="s">
        <v>74</v>
      </c>
      <c r="AK783" t="s">
        <v>74</v>
      </c>
      <c r="AL783" t="s">
        <v>74</v>
      </c>
      <c r="AM783" t="s">
        <v>74</v>
      </c>
      <c r="AN783" t="s">
        <v>74</v>
      </c>
      <c r="AO783" t="s">
        <v>5184</v>
      </c>
      <c r="AP783" t="s">
        <v>5185</v>
      </c>
      <c r="AQ783" t="s">
        <v>74</v>
      </c>
      <c r="AR783" t="s">
        <v>74</v>
      </c>
      <c r="AS783" t="s">
        <v>74</v>
      </c>
      <c r="AT783" t="s">
        <v>145</v>
      </c>
      <c r="AU783">
        <v>2021</v>
      </c>
      <c r="AV783">
        <v>40</v>
      </c>
      <c r="AW783">
        <v>2</v>
      </c>
      <c r="AX783" t="s">
        <v>74</v>
      </c>
      <c r="AY783" t="s">
        <v>74</v>
      </c>
      <c r="AZ783" t="s">
        <v>74</v>
      </c>
      <c r="BA783" t="s">
        <v>74</v>
      </c>
      <c r="BB783">
        <v>182</v>
      </c>
      <c r="BC783">
        <v>189</v>
      </c>
      <c r="BD783" t="s">
        <v>74</v>
      </c>
      <c r="BE783" t="s">
        <v>5186</v>
      </c>
      <c r="BF783" t="str">
        <f>HYPERLINK("http://dx.doi.org/10.5358/hsj.40.182","http://dx.doi.org/10.5358/hsj.40.182")</f>
        <v>http://dx.doi.org/10.5358/hsj.40.182</v>
      </c>
      <c r="BG783" t="s">
        <v>74</v>
      </c>
      <c r="BH783" t="s">
        <v>74</v>
      </c>
      <c r="BI783" t="s">
        <v>74</v>
      </c>
      <c r="BJ783" t="s">
        <v>74</v>
      </c>
      <c r="BK783" t="s">
        <v>74</v>
      </c>
      <c r="BL783" t="s">
        <v>74</v>
      </c>
      <c r="BM783" t="s">
        <v>74</v>
      </c>
      <c r="BN783" t="s">
        <v>74</v>
      </c>
      <c r="BO783" t="s">
        <v>74</v>
      </c>
      <c r="BP783" t="s">
        <v>74</v>
      </c>
      <c r="BQ783" t="s">
        <v>74</v>
      </c>
      <c r="BR783" t="s">
        <v>74</v>
      </c>
      <c r="BS783" t="s">
        <v>5187</v>
      </c>
      <c r="BT783" t="str">
        <f>HYPERLINK("https%3A%2F%2Fwww.webofscience.com%2Fwos%2Fwoscc%2Ffull-record%2FWOS:000697316900008","View Full Record in Web of Science")</f>
        <v>View Full Record in Web of Science</v>
      </c>
    </row>
    <row r="784" spans="1:72" x14ac:dyDescent="0.4">
      <c r="A784" t="s">
        <v>72</v>
      </c>
      <c r="B784" t="s">
        <v>2245</v>
      </c>
      <c r="C784" t="s">
        <v>74</v>
      </c>
      <c r="D784" t="s">
        <v>74</v>
      </c>
      <c r="E784" t="s">
        <v>74</v>
      </c>
      <c r="F784" t="s">
        <v>2246</v>
      </c>
      <c r="G784" t="s">
        <v>74</v>
      </c>
      <c r="H784" t="s">
        <v>74</v>
      </c>
      <c r="I784" t="s">
        <v>2247</v>
      </c>
      <c r="J784" t="s">
        <v>2248</v>
      </c>
      <c r="K784" t="s">
        <v>74</v>
      </c>
      <c r="L784" t="s">
        <v>74</v>
      </c>
      <c r="M784" t="s">
        <v>74</v>
      </c>
      <c r="N784" t="s">
        <v>74</v>
      </c>
      <c r="O784" t="s">
        <v>74</v>
      </c>
      <c r="P784" t="s">
        <v>74</v>
      </c>
      <c r="Q784" t="s">
        <v>74</v>
      </c>
      <c r="R784" t="s">
        <v>74</v>
      </c>
      <c r="S784" t="s">
        <v>74</v>
      </c>
      <c r="T784" t="s">
        <v>74</v>
      </c>
      <c r="U784" t="s">
        <v>74</v>
      </c>
      <c r="V784" s="3" t="s">
        <v>2249</v>
      </c>
      <c r="W784" t="s">
        <v>74</v>
      </c>
      <c r="X784" t="s">
        <v>74</v>
      </c>
      <c r="Y784" t="s">
        <v>74</v>
      </c>
      <c r="Z784" t="s">
        <v>74</v>
      </c>
      <c r="AA784" t="s">
        <v>74</v>
      </c>
      <c r="AB784" t="s">
        <v>2250</v>
      </c>
      <c r="AC784" t="s">
        <v>74</v>
      </c>
      <c r="AD784" t="s">
        <v>74</v>
      </c>
      <c r="AE784" t="s">
        <v>74</v>
      </c>
      <c r="AF784" t="s">
        <v>74</v>
      </c>
      <c r="AG784" t="s">
        <v>74</v>
      </c>
      <c r="AH784" t="s">
        <v>74</v>
      </c>
      <c r="AI784" t="s">
        <v>74</v>
      </c>
      <c r="AJ784" t="s">
        <v>74</v>
      </c>
      <c r="AK784" t="s">
        <v>74</v>
      </c>
      <c r="AL784" t="s">
        <v>74</v>
      </c>
      <c r="AM784" t="s">
        <v>74</v>
      </c>
      <c r="AN784" t="s">
        <v>74</v>
      </c>
      <c r="AO784" t="s">
        <v>2251</v>
      </c>
      <c r="AP784" t="s">
        <v>2252</v>
      </c>
      <c r="AQ784" t="s">
        <v>74</v>
      </c>
      <c r="AR784" t="s">
        <v>74</v>
      </c>
      <c r="AS784" t="s">
        <v>74</v>
      </c>
      <c r="AT784" t="s">
        <v>74</v>
      </c>
      <c r="AU784">
        <v>2011</v>
      </c>
      <c r="AV784">
        <v>14</v>
      </c>
      <c r="AW784">
        <v>4</v>
      </c>
      <c r="AX784" t="s">
        <v>74</v>
      </c>
      <c r="AY784" t="s">
        <v>74</v>
      </c>
      <c r="AZ784" t="s">
        <v>74</v>
      </c>
      <c r="BA784" t="s">
        <v>74</v>
      </c>
      <c r="BB784">
        <v>340</v>
      </c>
      <c r="BC784">
        <v>360</v>
      </c>
      <c r="BD784" t="s">
        <v>74</v>
      </c>
      <c r="BE784" t="s">
        <v>2253</v>
      </c>
      <c r="BF784" t="str">
        <f>HYPERLINK("http://dx.doi.org/10.1080/10888705.2011.600664","http://dx.doi.org/10.1080/10888705.2011.600664")</f>
        <v>http://dx.doi.org/10.1080/10888705.2011.600664</v>
      </c>
      <c r="BG784" t="s">
        <v>74</v>
      </c>
      <c r="BH784" t="s">
        <v>74</v>
      </c>
      <c r="BI784" t="s">
        <v>74</v>
      </c>
      <c r="BJ784" t="s">
        <v>74</v>
      </c>
      <c r="BK784" t="s">
        <v>74</v>
      </c>
      <c r="BL784" t="s">
        <v>74</v>
      </c>
      <c r="BM784" t="s">
        <v>74</v>
      </c>
      <c r="BN784">
        <v>21932947</v>
      </c>
      <c r="BO784" t="s">
        <v>74</v>
      </c>
      <c r="BP784" t="s">
        <v>74</v>
      </c>
      <c r="BQ784" t="s">
        <v>74</v>
      </c>
      <c r="BR784" t="s">
        <v>74</v>
      </c>
      <c r="BS784" t="s">
        <v>2254</v>
      </c>
      <c r="BT784" t="str">
        <f>HYPERLINK("https%3A%2F%2Fwww.webofscience.com%2Fwos%2Fwoscc%2Ffull-record%2FWOS:000296232000005","View Full Record in Web of Science")</f>
        <v>View Full Record in Web of Science</v>
      </c>
    </row>
    <row r="785" spans="1:72" x14ac:dyDescent="0.4">
      <c r="A785" t="s">
        <v>72</v>
      </c>
      <c r="B785" t="s">
        <v>5752</v>
      </c>
      <c r="C785" t="s">
        <v>74</v>
      </c>
      <c r="D785" t="s">
        <v>74</v>
      </c>
      <c r="E785" t="s">
        <v>74</v>
      </c>
      <c r="F785" t="s">
        <v>5753</v>
      </c>
      <c r="G785" t="s">
        <v>74</v>
      </c>
      <c r="H785" t="s">
        <v>74</v>
      </c>
      <c r="I785" t="s">
        <v>5754</v>
      </c>
      <c r="J785" t="s">
        <v>192</v>
      </c>
      <c r="K785" t="s">
        <v>74</v>
      </c>
      <c r="L785" t="s">
        <v>74</v>
      </c>
      <c r="M785" t="s">
        <v>74</v>
      </c>
      <c r="N785" t="s">
        <v>74</v>
      </c>
      <c r="O785" t="s">
        <v>74</v>
      </c>
      <c r="P785" t="s">
        <v>74</v>
      </c>
      <c r="Q785" t="s">
        <v>74</v>
      </c>
      <c r="R785" t="s">
        <v>74</v>
      </c>
      <c r="S785" t="s">
        <v>74</v>
      </c>
      <c r="T785" t="s">
        <v>74</v>
      </c>
      <c r="U785" t="s">
        <v>74</v>
      </c>
      <c r="V785" s="3" t="s">
        <v>5755</v>
      </c>
      <c r="W785" t="s">
        <v>74</v>
      </c>
      <c r="X785" t="s">
        <v>74</v>
      </c>
      <c r="Y785" t="s">
        <v>74</v>
      </c>
      <c r="Z785" t="s">
        <v>74</v>
      </c>
      <c r="AA785" t="s">
        <v>5756</v>
      </c>
      <c r="AB785" t="s">
        <v>5757</v>
      </c>
      <c r="AC785" t="s">
        <v>74</v>
      </c>
      <c r="AD785" t="s">
        <v>74</v>
      </c>
      <c r="AE785" t="s">
        <v>74</v>
      </c>
      <c r="AF785" t="s">
        <v>74</v>
      </c>
      <c r="AG785" t="s">
        <v>74</v>
      </c>
      <c r="AH785" t="s">
        <v>74</v>
      </c>
      <c r="AI785" t="s">
        <v>74</v>
      </c>
      <c r="AJ785" t="s">
        <v>74</v>
      </c>
      <c r="AK785" t="s">
        <v>74</v>
      </c>
      <c r="AL785" t="s">
        <v>74</v>
      </c>
      <c r="AM785" t="s">
        <v>74</v>
      </c>
      <c r="AN785" t="s">
        <v>74</v>
      </c>
      <c r="AO785" t="s">
        <v>195</v>
      </c>
      <c r="AP785" t="s">
        <v>196</v>
      </c>
      <c r="AQ785" t="s">
        <v>74</v>
      </c>
      <c r="AR785" t="s">
        <v>74</v>
      </c>
      <c r="AS785" t="s">
        <v>74</v>
      </c>
      <c r="AT785" t="s">
        <v>633</v>
      </c>
      <c r="AU785">
        <v>2015</v>
      </c>
      <c r="AV785">
        <v>748</v>
      </c>
      <c r="AW785">
        <v>1</v>
      </c>
      <c r="AX785" t="s">
        <v>74</v>
      </c>
      <c r="AY785" t="s">
        <v>74</v>
      </c>
      <c r="AZ785" t="s">
        <v>74</v>
      </c>
      <c r="BA785" t="s">
        <v>74</v>
      </c>
      <c r="BB785">
        <v>233</v>
      </c>
      <c r="BC785">
        <v>257</v>
      </c>
      <c r="BD785" t="s">
        <v>74</v>
      </c>
      <c r="BE785" t="s">
        <v>5758</v>
      </c>
      <c r="BF785" t="str">
        <f>HYPERLINK("http://dx.doi.org/10.1007/s10750-014-2081-4","http://dx.doi.org/10.1007/s10750-014-2081-4")</f>
        <v>http://dx.doi.org/10.1007/s10750-014-2081-4</v>
      </c>
      <c r="BG785" t="s">
        <v>74</v>
      </c>
      <c r="BH785" t="s">
        <v>74</v>
      </c>
      <c r="BI785" t="s">
        <v>74</v>
      </c>
      <c r="BJ785" t="s">
        <v>74</v>
      </c>
      <c r="BK785" t="s">
        <v>74</v>
      </c>
      <c r="BL785" t="s">
        <v>74</v>
      </c>
      <c r="BM785" t="s">
        <v>74</v>
      </c>
      <c r="BN785" t="s">
        <v>74</v>
      </c>
      <c r="BO785" t="s">
        <v>74</v>
      </c>
      <c r="BP785" t="s">
        <v>74</v>
      </c>
      <c r="BQ785" t="s">
        <v>74</v>
      </c>
      <c r="BR785" t="s">
        <v>74</v>
      </c>
      <c r="BS785" t="s">
        <v>5759</v>
      </c>
      <c r="BT785" t="str">
        <f>HYPERLINK("https%3A%2F%2Fwww.webofscience.com%2Fwos%2Fwoscc%2Ffull-record%2FWOS:000349968000016","View Full Record in Web of Science")</f>
        <v>View Full Record in Web of Science</v>
      </c>
    </row>
    <row r="786" spans="1:72" x14ac:dyDescent="0.4">
      <c r="A786" t="s">
        <v>72</v>
      </c>
      <c r="B786" t="s">
        <v>4686</v>
      </c>
      <c r="C786" t="s">
        <v>74</v>
      </c>
      <c r="D786" t="s">
        <v>74</v>
      </c>
      <c r="E786" t="s">
        <v>74</v>
      </c>
      <c r="F786" t="s">
        <v>4687</v>
      </c>
      <c r="G786" t="s">
        <v>74</v>
      </c>
      <c r="H786" t="s">
        <v>74</v>
      </c>
      <c r="I786" t="s">
        <v>4688</v>
      </c>
      <c r="J786" t="s">
        <v>576</v>
      </c>
      <c r="K786" t="s">
        <v>74</v>
      </c>
      <c r="L786" t="s">
        <v>74</v>
      </c>
      <c r="M786" t="s">
        <v>74</v>
      </c>
      <c r="N786" t="s">
        <v>74</v>
      </c>
      <c r="O786" t="s">
        <v>74</v>
      </c>
      <c r="P786" t="s">
        <v>74</v>
      </c>
      <c r="Q786" t="s">
        <v>74</v>
      </c>
      <c r="R786" t="s">
        <v>74</v>
      </c>
      <c r="S786" t="s">
        <v>74</v>
      </c>
      <c r="T786" t="s">
        <v>74</v>
      </c>
      <c r="U786" t="s">
        <v>74</v>
      </c>
      <c r="V786" s="3" t="s">
        <v>4689</v>
      </c>
      <c r="W786" t="s">
        <v>74</v>
      </c>
      <c r="X786" t="s">
        <v>74</v>
      </c>
      <c r="Y786" t="s">
        <v>74</v>
      </c>
      <c r="Z786" t="s">
        <v>74</v>
      </c>
      <c r="AA786" t="s">
        <v>74</v>
      </c>
      <c r="AB786" t="s">
        <v>4690</v>
      </c>
      <c r="AC786" t="s">
        <v>74</v>
      </c>
      <c r="AD786" t="s">
        <v>74</v>
      </c>
      <c r="AE786" t="s">
        <v>74</v>
      </c>
      <c r="AF786" t="s">
        <v>74</v>
      </c>
      <c r="AG786" t="s">
        <v>74</v>
      </c>
      <c r="AH786" t="s">
        <v>74</v>
      </c>
      <c r="AI786" t="s">
        <v>74</v>
      </c>
      <c r="AJ786" t="s">
        <v>74</v>
      </c>
      <c r="AK786" t="s">
        <v>74</v>
      </c>
      <c r="AL786" t="s">
        <v>74</v>
      </c>
      <c r="AM786" t="s">
        <v>74</v>
      </c>
      <c r="AN786" t="s">
        <v>74</v>
      </c>
      <c r="AO786" t="s">
        <v>579</v>
      </c>
      <c r="AP786" t="s">
        <v>580</v>
      </c>
      <c r="AQ786" t="s">
        <v>74</v>
      </c>
      <c r="AR786" t="s">
        <v>74</v>
      </c>
      <c r="AS786" t="s">
        <v>74</v>
      </c>
      <c r="AT786" t="s">
        <v>204</v>
      </c>
      <c r="AU786">
        <v>2010</v>
      </c>
      <c r="AV786">
        <v>24</v>
      </c>
      <c r="AW786">
        <v>4</v>
      </c>
      <c r="AX786" t="s">
        <v>74</v>
      </c>
      <c r="AY786" t="s">
        <v>74</v>
      </c>
      <c r="AZ786" t="s">
        <v>74</v>
      </c>
      <c r="BA786" t="s">
        <v>74</v>
      </c>
      <c r="BB786">
        <v>731</v>
      </c>
      <c r="BC786">
        <v>748</v>
      </c>
      <c r="BD786" t="s">
        <v>74</v>
      </c>
      <c r="BE786" t="s">
        <v>4691</v>
      </c>
      <c r="BF786" t="str">
        <f>HYPERLINK("http://dx.doi.org/10.1007/s10682-009-9330-4","http://dx.doi.org/10.1007/s10682-009-9330-4")</f>
        <v>http://dx.doi.org/10.1007/s10682-009-9330-4</v>
      </c>
      <c r="BG786" t="s">
        <v>74</v>
      </c>
      <c r="BH786" t="s">
        <v>74</v>
      </c>
      <c r="BI786" t="s">
        <v>74</v>
      </c>
      <c r="BJ786" t="s">
        <v>74</v>
      </c>
      <c r="BK786" t="s">
        <v>74</v>
      </c>
      <c r="BL786" t="s">
        <v>74</v>
      </c>
      <c r="BM786" t="s">
        <v>74</v>
      </c>
      <c r="BN786" t="s">
        <v>74</v>
      </c>
      <c r="BO786" t="s">
        <v>74</v>
      </c>
      <c r="BP786" t="s">
        <v>74</v>
      </c>
      <c r="BQ786" t="s">
        <v>74</v>
      </c>
      <c r="BR786" t="s">
        <v>74</v>
      </c>
      <c r="BS786" t="s">
        <v>4692</v>
      </c>
      <c r="BT786" t="str">
        <f>HYPERLINK("https%3A%2F%2Fwww.webofscience.com%2Fwos%2Fwoscc%2Ffull-record%2FWOS:000278833400007","View Full Record in Web of Science")</f>
        <v>View Full Record in Web of Science</v>
      </c>
    </row>
    <row r="787" spans="1:72" x14ac:dyDescent="0.4">
      <c r="A787" t="s">
        <v>72</v>
      </c>
      <c r="B787" t="s">
        <v>5490</v>
      </c>
      <c r="C787" t="s">
        <v>74</v>
      </c>
      <c r="D787" t="s">
        <v>74</v>
      </c>
      <c r="E787" t="s">
        <v>74</v>
      </c>
      <c r="F787" t="s">
        <v>5491</v>
      </c>
      <c r="G787" t="s">
        <v>74</v>
      </c>
      <c r="H787" t="s">
        <v>74</v>
      </c>
      <c r="I787" t="s">
        <v>5492</v>
      </c>
      <c r="J787" t="s">
        <v>408</v>
      </c>
      <c r="K787" t="s">
        <v>74</v>
      </c>
      <c r="L787" t="s">
        <v>74</v>
      </c>
      <c r="M787" t="s">
        <v>74</v>
      </c>
      <c r="N787" t="s">
        <v>74</v>
      </c>
      <c r="O787" t="s">
        <v>74</v>
      </c>
      <c r="P787" t="s">
        <v>74</v>
      </c>
      <c r="Q787" t="s">
        <v>74</v>
      </c>
      <c r="R787" t="s">
        <v>74</v>
      </c>
      <c r="S787" t="s">
        <v>74</v>
      </c>
      <c r="T787" t="s">
        <v>74</v>
      </c>
      <c r="U787" t="s">
        <v>74</v>
      </c>
      <c r="V787" s="3" t="s">
        <v>5493</v>
      </c>
      <c r="W787" t="s">
        <v>74</v>
      </c>
      <c r="X787" t="s">
        <v>74</v>
      </c>
      <c r="Y787" t="s">
        <v>74</v>
      </c>
      <c r="Z787" t="s">
        <v>74</v>
      </c>
      <c r="AA787" t="s">
        <v>74</v>
      </c>
      <c r="AB787" t="s">
        <v>5494</v>
      </c>
      <c r="AC787" t="s">
        <v>74</v>
      </c>
      <c r="AD787" t="s">
        <v>74</v>
      </c>
      <c r="AE787" t="s">
        <v>74</v>
      </c>
      <c r="AF787" t="s">
        <v>74</v>
      </c>
      <c r="AG787" t="s">
        <v>74</v>
      </c>
      <c r="AH787" t="s">
        <v>74</v>
      </c>
      <c r="AI787" t="s">
        <v>74</v>
      </c>
      <c r="AJ787" t="s">
        <v>74</v>
      </c>
      <c r="AK787" t="s">
        <v>74</v>
      </c>
      <c r="AL787" t="s">
        <v>74</v>
      </c>
      <c r="AM787" t="s">
        <v>74</v>
      </c>
      <c r="AN787" t="s">
        <v>74</v>
      </c>
      <c r="AO787" t="s">
        <v>412</v>
      </c>
      <c r="AP787" t="s">
        <v>413</v>
      </c>
      <c r="AQ787" t="s">
        <v>74</v>
      </c>
      <c r="AR787" t="s">
        <v>74</v>
      </c>
      <c r="AS787" t="s">
        <v>74</v>
      </c>
      <c r="AT787" t="s">
        <v>5495</v>
      </c>
      <c r="AU787">
        <v>2022</v>
      </c>
      <c r="AV787">
        <v>135</v>
      </c>
      <c r="AW787">
        <v>3</v>
      </c>
      <c r="AX787" t="s">
        <v>74</v>
      </c>
      <c r="AY787" t="s">
        <v>74</v>
      </c>
      <c r="AZ787" t="s">
        <v>74</v>
      </c>
      <c r="BA787" t="s">
        <v>74</v>
      </c>
      <c r="BB787">
        <v>447</v>
      </c>
      <c r="BC787">
        <v>461</v>
      </c>
      <c r="BD787" t="s">
        <v>74</v>
      </c>
      <c r="BE787" t="s">
        <v>5496</v>
      </c>
      <c r="BF787" t="str">
        <f>HYPERLINK("http://dx.doi.org/10.1093/biolinnean/blab166","http://dx.doi.org/10.1093/biolinnean/blab166")</f>
        <v>http://dx.doi.org/10.1093/biolinnean/blab166</v>
      </c>
      <c r="BG787" t="s">
        <v>74</v>
      </c>
      <c r="BH787" t="s">
        <v>5497</v>
      </c>
      <c r="BI787" t="s">
        <v>74</v>
      </c>
      <c r="BJ787" t="s">
        <v>74</v>
      </c>
      <c r="BK787" t="s">
        <v>74</v>
      </c>
      <c r="BL787" t="s">
        <v>74</v>
      </c>
      <c r="BM787" t="s">
        <v>74</v>
      </c>
      <c r="BN787" t="s">
        <v>74</v>
      </c>
      <c r="BO787" t="s">
        <v>74</v>
      </c>
      <c r="BP787" t="s">
        <v>74</v>
      </c>
      <c r="BQ787" t="s">
        <v>74</v>
      </c>
      <c r="BR787" t="s">
        <v>74</v>
      </c>
      <c r="BS787" t="s">
        <v>5498</v>
      </c>
      <c r="BT787" t="str">
        <f>HYPERLINK("https%3A%2F%2Fwww.webofscience.com%2Fwos%2Fwoscc%2Ffull-record%2FWOS:000754842400003","View Full Record in Web of Science")</f>
        <v>View Full Record in Web of Science</v>
      </c>
    </row>
    <row r="788" spans="1:72" x14ac:dyDescent="0.4">
      <c r="A788" t="s">
        <v>72</v>
      </c>
      <c r="B788" t="s">
        <v>8082</v>
      </c>
      <c r="C788" t="s">
        <v>74</v>
      </c>
      <c r="D788" t="s">
        <v>74</v>
      </c>
      <c r="E788" t="s">
        <v>74</v>
      </c>
      <c r="F788" t="s">
        <v>8083</v>
      </c>
      <c r="G788" t="s">
        <v>74</v>
      </c>
      <c r="H788" t="s">
        <v>74</v>
      </c>
      <c r="I788" t="s">
        <v>8084</v>
      </c>
      <c r="J788" t="s">
        <v>691</v>
      </c>
      <c r="K788" t="s">
        <v>74</v>
      </c>
      <c r="L788" t="s">
        <v>74</v>
      </c>
      <c r="M788" t="s">
        <v>74</v>
      </c>
      <c r="N788" t="s">
        <v>74</v>
      </c>
      <c r="O788" t="s">
        <v>74</v>
      </c>
      <c r="P788" t="s">
        <v>74</v>
      </c>
      <c r="Q788" t="s">
        <v>74</v>
      </c>
      <c r="R788" t="s">
        <v>74</v>
      </c>
      <c r="S788" t="s">
        <v>74</v>
      </c>
      <c r="T788" t="s">
        <v>74</v>
      </c>
      <c r="U788" t="s">
        <v>74</v>
      </c>
      <c r="V788" s="3" t="s">
        <v>8085</v>
      </c>
      <c r="W788" t="s">
        <v>74</v>
      </c>
      <c r="X788" t="s">
        <v>74</v>
      </c>
      <c r="Y788" t="s">
        <v>74</v>
      </c>
      <c r="Z788" t="s">
        <v>74</v>
      </c>
      <c r="AA788" t="s">
        <v>3355</v>
      </c>
      <c r="AB788" t="s">
        <v>3356</v>
      </c>
      <c r="AC788" t="s">
        <v>74</v>
      </c>
      <c r="AD788" t="s">
        <v>74</v>
      </c>
      <c r="AE788" t="s">
        <v>74</v>
      </c>
      <c r="AF788" t="s">
        <v>74</v>
      </c>
      <c r="AG788" t="s">
        <v>74</v>
      </c>
      <c r="AH788" t="s">
        <v>74</v>
      </c>
      <c r="AI788" t="s">
        <v>74</v>
      </c>
      <c r="AJ788" t="s">
        <v>74</v>
      </c>
      <c r="AK788" t="s">
        <v>74</v>
      </c>
      <c r="AL788" t="s">
        <v>74</v>
      </c>
      <c r="AM788" t="s">
        <v>74</v>
      </c>
      <c r="AN788" t="s">
        <v>74</v>
      </c>
      <c r="AO788" t="s">
        <v>695</v>
      </c>
      <c r="AP788" t="s">
        <v>74</v>
      </c>
      <c r="AQ788" t="s">
        <v>74</v>
      </c>
      <c r="AR788" t="s">
        <v>74</v>
      </c>
      <c r="AS788" t="s">
        <v>74</v>
      </c>
      <c r="AT788" t="s">
        <v>113</v>
      </c>
      <c r="AU788">
        <v>2007</v>
      </c>
      <c r="AV788">
        <v>91</v>
      </c>
      <c r="AW788">
        <v>5</v>
      </c>
      <c r="AX788" t="s">
        <v>74</v>
      </c>
      <c r="AY788" t="s">
        <v>74</v>
      </c>
      <c r="AZ788" t="s">
        <v>74</v>
      </c>
      <c r="BA788" t="s">
        <v>74</v>
      </c>
      <c r="BB788">
        <v>531</v>
      </c>
      <c r="BC788">
        <v>534</v>
      </c>
      <c r="BD788" t="s">
        <v>74</v>
      </c>
      <c r="BE788" t="s">
        <v>8086</v>
      </c>
      <c r="BF788" t="str">
        <f>HYPERLINK("http://dx.doi.org/10.1016/j.physbeh.2007.04.025","http://dx.doi.org/10.1016/j.physbeh.2007.04.025")</f>
        <v>http://dx.doi.org/10.1016/j.physbeh.2007.04.025</v>
      </c>
      <c r="BG788" t="s">
        <v>74</v>
      </c>
      <c r="BH788" t="s">
        <v>74</v>
      </c>
      <c r="BI788" t="s">
        <v>74</v>
      </c>
      <c r="BJ788" t="s">
        <v>74</v>
      </c>
      <c r="BK788" t="s">
        <v>74</v>
      </c>
      <c r="BL788" t="s">
        <v>74</v>
      </c>
      <c r="BM788" t="s">
        <v>74</v>
      </c>
      <c r="BN788">
        <v>17521685</v>
      </c>
      <c r="BO788" t="s">
        <v>74</v>
      </c>
      <c r="BP788" t="s">
        <v>74</v>
      </c>
      <c r="BQ788" t="s">
        <v>74</v>
      </c>
      <c r="BR788" t="s">
        <v>74</v>
      </c>
      <c r="BS788" t="s">
        <v>8087</v>
      </c>
      <c r="BT788" t="str">
        <f>HYPERLINK("https%3A%2F%2Fwww.webofscience.com%2Fwos%2Fwoscc%2Ffull-record%2FWOS:000249944700009","View Full Record in Web of Science")</f>
        <v>View Full Record in Web of Science</v>
      </c>
    </row>
    <row r="789" spans="1:72" x14ac:dyDescent="0.4">
      <c r="A789" t="s">
        <v>72</v>
      </c>
      <c r="B789" t="s">
        <v>1516</v>
      </c>
      <c r="C789" t="s">
        <v>74</v>
      </c>
      <c r="D789" t="s">
        <v>74</v>
      </c>
      <c r="E789" t="s">
        <v>74</v>
      </c>
      <c r="F789" t="s">
        <v>1517</v>
      </c>
      <c r="G789" t="s">
        <v>74</v>
      </c>
      <c r="H789" t="s">
        <v>74</v>
      </c>
      <c r="I789" t="s">
        <v>1518</v>
      </c>
      <c r="J789" t="s">
        <v>763</v>
      </c>
      <c r="K789" t="s">
        <v>74</v>
      </c>
      <c r="L789" t="s">
        <v>74</v>
      </c>
      <c r="M789" t="s">
        <v>74</v>
      </c>
      <c r="N789" t="s">
        <v>74</v>
      </c>
      <c r="O789" t="s">
        <v>74</v>
      </c>
      <c r="P789" t="s">
        <v>74</v>
      </c>
      <c r="Q789" t="s">
        <v>74</v>
      </c>
      <c r="R789" t="s">
        <v>74</v>
      </c>
      <c r="S789" t="s">
        <v>74</v>
      </c>
      <c r="T789" t="s">
        <v>74</v>
      </c>
      <c r="U789" t="s">
        <v>74</v>
      </c>
      <c r="V789" s="3" t="s">
        <v>1519</v>
      </c>
      <c r="W789" t="s">
        <v>74</v>
      </c>
      <c r="X789" t="s">
        <v>74</v>
      </c>
      <c r="Y789" t="s">
        <v>74</v>
      </c>
      <c r="Z789" t="s">
        <v>74</v>
      </c>
      <c r="AA789" t="s">
        <v>1520</v>
      </c>
      <c r="AB789" t="s">
        <v>1521</v>
      </c>
      <c r="AC789" t="s">
        <v>74</v>
      </c>
      <c r="AD789" t="s">
        <v>74</v>
      </c>
      <c r="AE789" t="s">
        <v>74</v>
      </c>
      <c r="AF789" t="s">
        <v>74</v>
      </c>
      <c r="AG789" t="s">
        <v>74</v>
      </c>
      <c r="AH789" t="s">
        <v>74</v>
      </c>
      <c r="AI789" t="s">
        <v>74</v>
      </c>
      <c r="AJ789" t="s">
        <v>74</v>
      </c>
      <c r="AK789" t="s">
        <v>74</v>
      </c>
      <c r="AL789" t="s">
        <v>74</v>
      </c>
      <c r="AM789" t="s">
        <v>74</v>
      </c>
      <c r="AN789" t="s">
        <v>74</v>
      </c>
      <c r="AO789" t="s">
        <v>767</v>
      </c>
      <c r="AP789" t="s">
        <v>74</v>
      </c>
      <c r="AQ789" t="s">
        <v>74</v>
      </c>
      <c r="AR789" t="s">
        <v>74</v>
      </c>
      <c r="AS789" t="s">
        <v>74</v>
      </c>
      <c r="AT789" t="s">
        <v>964</v>
      </c>
      <c r="AU789">
        <v>2012</v>
      </c>
      <c r="AV789">
        <v>215</v>
      </c>
      <c r="AW789">
        <v>4</v>
      </c>
      <c r="AX789" t="s">
        <v>74</v>
      </c>
      <c r="AY789" t="s">
        <v>74</v>
      </c>
      <c r="AZ789" t="s">
        <v>74</v>
      </c>
      <c r="BA789" t="s">
        <v>74</v>
      </c>
      <c r="BB789">
        <v>575</v>
      </c>
      <c r="BC789">
        <v>577</v>
      </c>
      <c r="BD789" t="s">
        <v>74</v>
      </c>
      <c r="BE789" t="s">
        <v>1522</v>
      </c>
      <c r="BF789" t="str">
        <f>HYPERLINK("http://dx.doi.org/10.1242/jeb.059352","http://dx.doi.org/10.1242/jeb.059352")</f>
        <v>http://dx.doi.org/10.1242/jeb.059352</v>
      </c>
      <c r="BG789" t="s">
        <v>74</v>
      </c>
      <c r="BH789" t="s">
        <v>74</v>
      </c>
      <c r="BI789" t="s">
        <v>74</v>
      </c>
      <c r="BJ789" t="s">
        <v>74</v>
      </c>
      <c r="BK789" t="s">
        <v>74</v>
      </c>
      <c r="BL789" t="s">
        <v>74</v>
      </c>
      <c r="BM789" t="s">
        <v>74</v>
      </c>
      <c r="BN789">
        <v>22279063</v>
      </c>
      <c r="BO789" t="s">
        <v>74</v>
      </c>
      <c r="BP789" t="s">
        <v>74</v>
      </c>
      <c r="BQ789" t="s">
        <v>74</v>
      </c>
      <c r="BR789" t="s">
        <v>74</v>
      </c>
      <c r="BS789" t="s">
        <v>1523</v>
      </c>
      <c r="BT789" t="str">
        <f>HYPERLINK("https%3A%2F%2Fwww.webofscience.com%2Fwos%2Fwoscc%2Ffull-record%2FWOS:000300185900006","View Full Record in Web of Science")</f>
        <v>View Full Record in Web of Science</v>
      </c>
    </row>
    <row r="790" spans="1:72" x14ac:dyDescent="0.4">
      <c r="A790" t="s">
        <v>72</v>
      </c>
      <c r="B790" t="s">
        <v>4121</v>
      </c>
      <c r="C790" t="s">
        <v>74</v>
      </c>
      <c r="D790" t="s">
        <v>74</v>
      </c>
      <c r="E790" t="s">
        <v>74</v>
      </c>
      <c r="F790" t="s">
        <v>4122</v>
      </c>
      <c r="G790" t="s">
        <v>74</v>
      </c>
      <c r="H790" t="s">
        <v>74</v>
      </c>
      <c r="I790" t="s">
        <v>4123</v>
      </c>
      <c r="J790" t="s">
        <v>140</v>
      </c>
      <c r="K790" t="s">
        <v>74</v>
      </c>
      <c r="L790" t="s">
        <v>74</v>
      </c>
      <c r="M790" t="s">
        <v>74</v>
      </c>
      <c r="N790" t="s">
        <v>74</v>
      </c>
      <c r="O790" t="s">
        <v>74</v>
      </c>
      <c r="P790" t="s">
        <v>74</v>
      </c>
      <c r="Q790" t="s">
        <v>74</v>
      </c>
      <c r="R790" t="s">
        <v>74</v>
      </c>
      <c r="S790" t="s">
        <v>74</v>
      </c>
      <c r="T790" t="s">
        <v>74</v>
      </c>
      <c r="U790" t="s">
        <v>74</v>
      </c>
      <c r="V790" s="3" t="s">
        <v>4124</v>
      </c>
      <c r="W790" t="s">
        <v>74</v>
      </c>
      <c r="X790" t="s">
        <v>74</v>
      </c>
      <c r="Y790" t="s">
        <v>74</v>
      </c>
      <c r="Z790" t="s">
        <v>74</v>
      </c>
      <c r="AA790" t="s">
        <v>4125</v>
      </c>
      <c r="AB790" t="s">
        <v>4126</v>
      </c>
      <c r="AC790" t="s">
        <v>74</v>
      </c>
      <c r="AD790" t="s">
        <v>74</v>
      </c>
      <c r="AE790" t="s">
        <v>74</v>
      </c>
      <c r="AF790" t="s">
        <v>74</v>
      </c>
      <c r="AG790" t="s">
        <v>74</v>
      </c>
      <c r="AH790" t="s">
        <v>74</v>
      </c>
      <c r="AI790" t="s">
        <v>74</v>
      </c>
      <c r="AJ790" t="s">
        <v>74</v>
      </c>
      <c r="AK790" t="s">
        <v>74</v>
      </c>
      <c r="AL790" t="s">
        <v>74</v>
      </c>
      <c r="AM790" t="s">
        <v>74</v>
      </c>
      <c r="AN790" t="s">
        <v>74</v>
      </c>
      <c r="AO790" t="s">
        <v>143</v>
      </c>
      <c r="AP790" t="s">
        <v>144</v>
      </c>
      <c r="AQ790" t="s">
        <v>74</v>
      </c>
      <c r="AR790" t="s">
        <v>74</v>
      </c>
      <c r="AS790" t="s">
        <v>74</v>
      </c>
      <c r="AT790" t="s">
        <v>964</v>
      </c>
      <c r="AU790">
        <v>2009</v>
      </c>
      <c r="AV790">
        <v>77</v>
      </c>
      <c r="AW790">
        <v>2</v>
      </c>
      <c r="AX790" t="s">
        <v>74</v>
      </c>
      <c r="AY790" t="s">
        <v>74</v>
      </c>
      <c r="AZ790" t="s">
        <v>74</v>
      </c>
      <c r="BA790" t="s">
        <v>74</v>
      </c>
      <c r="BB790">
        <v>419</v>
      </c>
      <c r="BC790">
        <v>424</v>
      </c>
      <c r="BD790" t="s">
        <v>74</v>
      </c>
      <c r="BE790" t="s">
        <v>4127</v>
      </c>
      <c r="BF790" t="str">
        <f>HYPERLINK("http://dx.doi.org/10.1016/j.anbehav.2008.10.017","http://dx.doi.org/10.1016/j.anbehav.2008.10.017")</f>
        <v>http://dx.doi.org/10.1016/j.anbehav.2008.10.017</v>
      </c>
      <c r="BG790" t="s">
        <v>74</v>
      </c>
      <c r="BH790" t="s">
        <v>74</v>
      </c>
      <c r="BI790" t="s">
        <v>74</v>
      </c>
      <c r="BJ790" t="s">
        <v>74</v>
      </c>
      <c r="BK790" t="s">
        <v>74</v>
      </c>
      <c r="BL790" t="s">
        <v>74</v>
      </c>
      <c r="BM790" t="s">
        <v>74</v>
      </c>
      <c r="BN790" t="s">
        <v>74</v>
      </c>
      <c r="BO790" t="s">
        <v>74</v>
      </c>
      <c r="BP790" t="s">
        <v>74</v>
      </c>
      <c r="BQ790" t="s">
        <v>74</v>
      </c>
      <c r="BR790" t="s">
        <v>74</v>
      </c>
      <c r="BS790" t="s">
        <v>4128</v>
      </c>
      <c r="BT790" t="str">
        <f>HYPERLINK("https%3A%2F%2Fwww.webofscience.com%2Fwos%2Fwoscc%2Ffull-record%2FWOS:000262709400018","View Full Record in Web of Science")</f>
        <v>View Full Record in Web of Science</v>
      </c>
    </row>
    <row r="791" spans="1:72" x14ac:dyDescent="0.4">
      <c r="A791" t="s">
        <v>72</v>
      </c>
      <c r="B791" t="s">
        <v>859</v>
      </c>
      <c r="C791" t="s">
        <v>74</v>
      </c>
      <c r="D791" t="s">
        <v>74</v>
      </c>
      <c r="E791" t="s">
        <v>74</v>
      </c>
      <c r="F791" t="s">
        <v>860</v>
      </c>
      <c r="G791" t="s">
        <v>74</v>
      </c>
      <c r="H791" t="s">
        <v>74</v>
      </c>
      <c r="I791" t="s">
        <v>861</v>
      </c>
      <c r="J791" t="s">
        <v>862</v>
      </c>
      <c r="K791" t="s">
        <v>74</v>
      </c>
      <c r="L791" t="s">
        <v>74</v>
      </c>
      <c r="M791" t="s">
        <v>74</v>
      </c>
      <c r="N791" t="s">
        <v>74</v>
      </c>
      <c r="O791" t="s">
        <v>74</v>
      </c>
      <c r="P791" t="s">
        <v>74</v>
      </c>
      <c r="Q791" t="s">
        <v>74</v>
      </c>
      <c r="R791" t="s">
        <v>74</v>
      </c>
      <c r="S791" t="s">
        <v>74</v>
      </c>
      <c r="T791" t="s">
        <v>74</v>
      </c>
      <c r="U791" t="s">
        <v>74</v>
      </c>
      <c r="V791" s="3" t="s">
        <v>863</v>
      </c>
      <c r="W791" t="s">
        <v>74</v>
      </c>
      <c r="X791" t="s">
        <v>74</v>
      </c>
      <c r="Y791" t="s">
        <v>74</v>
      </c>
      <c r="Z791" t="s">
        <v>74</v>
      </c>
      <c r="AA791" t="s">
        <v>74</v>
      </c>
      <c r="AB791" t="s">
        <v>864</v>
      </c>
      <c r="AC791" t="s">
        <v>74</v>
      </c>
      <c r="AD791" t="s">
        <v>74</v>
      </c>
      <c r="AE791" t="s">
        <v>74</v>
      </c>
      <c r="AF791" t="s">
        <v>74</v>
      </c>
      <c r="AG791" t="s">
        <v>74</v>
      </c>
      <c r="AH791" t="s">
        <v>74</v>
      </c>
      <c r="AI791" t="s">
        <v>74</v>
      </c>
      <c r="AJ791" t="s">
        <v>74</v>
      </c>
      <c r="AK791" t="s">
        <v>74</v>
      </c>
      <c r="AL791" t="s">
        <v>74</v>
      </c>
      <c r="AM791" t="s">
        <v>74</v>
      </c>
      <c r="AN791" t="s">
        <v>74</v>
      </c>
      <c r="AO791" t="s">
        <v>865</v>
      </c>
      <c r="AP791" t="s">
        <v>866</v>
      </c>
      <c r="AQ791" t="s">
        <v>74</v>
      </c>
      <c r="AR791" t="s">
        <v>74</v>
      </c>
      <c r="AS791" t="s">
        <v>74</v>
      </c>
      <c r="AT791" t="s">
        <v>867</v>
      </c>
      <c r="AU791">
        <v>2024</v>
      </c>
      <c r="AV791" t="s">
        <v>74</v>
      </c>
      <c r="AW791" t="s">
        <v>74</v>
      </c>
      <c r="AX791" t="s">
        <v>74</v>
      </c>
      <c r="AY791" t="s">
        <v>74</v>
      </c>
      <c r="AZ791" t="s">
        <v>74</v>
      </c>
      <c r="BA791" t="s">
        <v>74</v>
      </c>
      <c r="BB791" t="s">
        <v>74</v>
      </c>
      <c r="BC791" t="s">
        <v>74</v>
      </c>
      <c r="BD791" t="s">
        <v>74</v>
      </c>
      <c r="BE791" t="s">
        <v>868</v>
      </c>
      <c r="BF791" t="str">
        <f>HYPERLINK("http://dx.doi.org/10.1007/s10211-024-00444-w","http://dx.doi.org/10.1007/s10211-024-00444-w")</f>
        <v>http://dx.doi.org/10.1007/s10211-024-00444-w</v>
      </c>
      <c r="BG791" t="s">
        <v>74</v>
      </c>
      <c r="BH791" t="s">
        <v>869</v>
      </c>
      <c r="BI791" t="s">
        <v>74</v>
      </c>
      <c r="BJ791" t="s">
        <v>74</v>
      </c>
      <c r="BK791" t="s">
        <v>74</v>
      </c>
      <c r="BL791" t="s">
        <v>74</v>
      </c>
      <c r="BM791" t="s">
        <v>74</v>
      </c>
      <c r="BN791" t="s">
        <v>74</v>
      </c>
      <c r="BO791" t="s">
        <v>74</v>
      </c>
      <c r="BP791" t="s">
        <v>74</v>
      </c>
      <c r="BQ791" t="s">
        <v>74</v>
      </c>
      <c r="BR791" t="s">
        <v>74</v>
      </c>
      <c r="BS791" t="s">
        <v>870</v>
      </c>
      <c r="BT791" t="str">
        <f>HYPERLINK("https%3A%2F%2Fwww.webofscience.com%2Fwos%2Fwoscc%2Ffull-record%2FWOS:001274807200001","View Full Record in Web of Science")</f>
        <v>View Full Record in Web of Science</v>
      </c>
    </row>
    <row r="792" spans="1:72" x14ac:dyDescent="0.4">
      <c r="A792" t="s">
        <v>72</v>
      </c>
      <c r="B792" t="s">
        <v>7412</v>
      </c>
      <c r="C792" t="s">
        <v>74</v>
      </c>
      <c r="D792" t="s">
        <v>74</v>
      </c>
      <c r="E792" t="s">
        <v>74</v>
      </c>
      <c r="F792" t="s">
        <v>7413</v>
      </c>
      <c r="G792" t="s">
        <v>74</v>
      </c>
      <c r="H792" t="s">
        <v>74</v>
      </c>
      <c r="I792" t="s">
        <v>7414</v>
      </c>
      <c r="J792" t="s">
        <v>5454</v>
      </c>
      <c r="K792" t="s">
        <v>74</v>
      </c>
      <c r="L792" t="s">
        <v>74</v>
      </c>
      <c r="M792" t="s">
        <v>74</v>
      </c>
      <c r="N792" t="s">
        <v>74</v>
      </c>
      <c r="O792" t="s">
        <v>74</v>
      </c>
      <c r="P792" t="s">
        <v>74</v>
      </c>
      <c r="Q792" t="s">
        <v>74</v>
      </c>
      <c r="R792" t="s">
        <v>74</v>
      </c>
      <c r="S792" t="s">
        <v>74</v>
      </c>
      <c r="T792" t="s">
        <v>74</v>
      </c>
      <c r="U792" t="s">
        <v>74</v>
      </c>
      <c r="V792" s="3" t="s">
        <v>7415</v>
      </c>
      <c r="W792" t="s">
        <v>74</v>
      </c>
      <c r="X792" t="s">
        <v>74</v>
      </c>
      <c r="Y792" t="s">
        <v>74</v>
      </c>
      <c r="Z792" t="s">
        <v>74</v>
      </c>
      <c r="AA792" t="s">
        <v>74</v>
      </c>
      <c r="AB792" t="s">
        <v>74</v>
      </c>
      <c r="AC792" t="s">
        <v>74</v>
      </c>
      <c r="AD792" t="s">
        <v>74</v>
      </c>
      <c r="AE792" t="s">
        <v>74</v>
      </c>
      <c r="AF792" t="s">
        <v>74</v>
      </c>
      <c r="AG792" t="s">
        <v>74</v>
      </c>
      <c r="AH792" t="s">
        <v>74</v>
      </c>
      <c r="AI792" t="s">
        <v>74</v>
      </c>
      <c r="AJ792" t="s">
        <v>74</v>
      </c>
      <c r="AK792" t="s">
        <v>74</v>
      </c>
      <c r="AL792" t="s">
        <v>74</v>
      </c>
      <c r="AM792" t="s">
        <v>74</v>
      </c>
      <c r="AN792" t="s">
        <v>74</v>
      </c>
      <c r="AO792" t="s">
        <v>5458</v>
      </c>
      <c r="AP792" t="s">
        <v>7416</v>
      </c>
      <c r="AQ792" t="s">
        <v>74</v>
      </c>
      <c r="AR792" t="s">
        <v>74</v>
      </c>
      <c r="AS792" t="s">
        <v>74</v>
      </c>
      <c r="AT792" t="s">
        <v>102</v>
      </c>
      <c r="AU792">
        <v>2021</v>
      </c>
      <c r="AV792">
        <v>96</v>
      </c>
      <c r="AW792" t="s">
        <v>74</v>
      </c>
      <c r="AX792" t="s">
        <v>74</v>
      </c>
      <c r="AY792" t="s">
        <v>74</v>
      </c>
      <c r="AZ792" t="s">
        <v>74</v>
      </c>
      <c r="BA792" t="s">
        <v>74</v>
      </c>
      <c r="BB792" t="s">
        <v>74</v>
      </c>
      <c r="BC792" t="s">
        <v>74</v>
      </c>
      <c r="BD792">
        <v>104265</v>
      </c>
      <c r="BE792" t="s">
        <v>7417</v>
      </c>
      <c r="BF792" t="str">
        <f>HYPERLINK("http://dx.doi.org/10.1016/j.bse.2021.104265","http://dx.doi.org/10.1016/j.bse.2021.104265")</f>
        <v>http://dx.doi.org/10.1016/j.bse.2021.104265</v>
      </c>
      <c r="BG792" t="s">
        <v>74</v>
      </c>
      <c r="BH792" t="s">
        <v>236</v>
      </c>
      <c r="BI792" t="s">
        <v>74</v>
      </c>
      <c r="BJ792" t="s">
        <v>74</v>
      </c>
      <c r="BK792" t="s">
        <v>74</v>
      </c>
      <c r="BL792" t="s">
        <v>74</v>
      </c>
      <c r="BM792" t="s">
        <v>74</v>
      </c>
      <c r="BN792" t="s">
        <v>74</v>
      </c>
      <c r="BO792" t="s">
        <v>74</v>
      </c>
      <c r="BP792" t="s">
        <v>74</v>
      </c>
      <c r="BQ792" t="s">
        <v>74</v>
      </c>
      <c r="BR792" t="s">
        <v>74</v>
      </c>
      <c r="BS792" t="s">
        <v>7418</v>
      </c>
      <c r="BT792" t="str">
        <f>HYPERLINK("https%3A%2F%2Fwww.webofscience.com%2Fwos%2Fwoscc%2Ffull-record%2FWOS:000653443100011","View Full Record in Web of Science")</f>
        <v>View Full Record in Web of Science</v>
      </c>
    </row>
    <row r="793" spans="1:72" x14ac:dyDescent="0.4">
      <c r="A793" t="s">
        <v>72</v>
      </c>
      <c r="B793" t="s">
        <v>4014</v>
      </c>
      <c r="C793" t="s">
        <v>74</v>
      </c>
      <c r="D793" t="s">
        <v>74</v>
      </c>
      <c r="E793" t="s">
        <v>74</v>
      </c>
      <c r="F793" t="s">
        <v>4015</v>
      </c>
      <c r="G793" t="s">
        <v>74</v>
      </c>
      <c r="H793" t="s">
        <v>74</v>
      </c>
      <c r="I793" t="s">
        <v>4016</v>
      </c>
      <c r="J793" t="s">
        <v>610</v>
      </c>
      <c r="K793" t="s">
        <v>74</v>
      </c>
      <c r="L793" t="s">
        <v>74</v>
      </c>
      <c r="M793" t="s">
        <v>74</v>
      </c>
      <c r="N793" t="s">
        <v>74</v>
      </c>
      <c r="O793" t="s">
        <v>74</v>
      </c>
      <c r="P793" t="s">
        <v>74</v>
      </c>
      <c r="Q793" t="s">
        <v>74</v>
      </c>
      <c r="R793" t="s">
        <v>74</v>
      </c>
      <c r="S793" t="s">
        <v>74</v>
      </c>
      <c r="T793" t="s">
        <v>74</v>
      </c>
      <c r="U793" t="s">
        <v>74</v>
      </c>
      <c r="V793" s="3" t="s">
        <v>4017</v>
      </c>
      <c r="W793" t="s">
        <v>74</v>
      </c>
      <c r="X793" t="s">
        <v>74</v>
      </c>
      <c r="Y793" t="s">
        <v>74</v>
      </c>
      <c r="Z793" t="s">
        <v>74</v>
      </c>
      <c r="AA793" t="s">
        <v>74</v>
      </c>
      <c r="AB793" t="s">
        <v>4018</v>
      </c>
      <c r="AC793" t="s">
        <v>74</v>
      </c>
      <c r="AD793" t="s">
        <v>74</v>
      </c>
      <c r="AE793" t="s">
        <v>74</v>
      </c>
      <c r="AF793" t="s">
        <v>74</v>
      </c>
      <c r="AG793" t="s">
        <v>74</v>
      </c>
      <c r="AH793" t="s">
        <v>74</v>
      </c>
      <c r="AI793" t="s">
        <v>74</v>
      </c>
      <c r="AJ793" t="s">
        <v>74</v>
      </c>
      <c r="AK793" t="s">
        <v>74</v>
      </c>
      <c r="AL793" t="s">
        <v>74</v>
      </c>
      <c r="AM793" t="s">
        <v>74</v>
      </c>
      <c r="AN793" t="s">
        <v>74</v>
      </c>
      <c r="AO793" t="s">
        <v>614</v>
      </c>
      <c r="AP793" t="s">
        <v>615</v>
      </c>
      <c r="AQ793" t="s">
        <v>74</v>
      </c>
      <c r="AR793" t="s">
        <v>74</v>
      </c>
      <c r="AS793" t="s">
        <v>74</v>
      </c>
      <c r="AT793" t="s">
        <v>352</v>
      </c>
      <c r="AU793">
        <v>2018</v>
      </c>
      <c r="AV793">
        <v>124</v>
      </c>
      <c r="AW793">
        <v>9</v>
      </c>
      <c r="AX793" t="s">
        <v>74</v>
      </c>
      <c r="AY793" t="s">
        <v>74</v>
      </c>
      <c r="AZ793" t="s">
        <v>74</v>
      </c>
      <c r="BA793" t="s">
        <v>74</v>
      </c>
      <c r="BB793">
        <v>684</v>
      </c>
      <c r="BC793">
        <v>690</v>
      </c>
      <c r="BD793" t="s">
        <v>74</v>
      </c>
      <c r="BE793" t="s">
        <v>4019</v>
      </c>
      <c r="BF793" t="str">
        <f>HYPERLINK("http://dx.doi.org/10.1111/eth.12801","http://dx.doi.org/10.1111/eth.12801")</f>
        <v>http://dx.doi.org/10.1111/eth.12801</v>
      </c>
      <c r="BG793" t="s">
        <v>74</v>
      </c>
      <c r="BH793" t="s">
        <v>74</v>
      </c>
      <c r="BI793" t="s">
        <v>74</v>
      </c>
      <c r="BJ793" t="s">
        <v>74</v>
      </c>
      <c r="BK793" t="s">
        <v>74</v>
      </c>
      <c r="BL793" t="s">
        <v>74</v>
      </c>
      <c r="BM793" t="s">
        <v>74</v>
      </c>
      <c r="BN793" t="s">
        <v>74</v>
      </c>
      <c r="BO793" t="s">
        <v>74</v>
      </c>
      <c r="BP793" t="s">
        <v>74</v>
      </c>
      <c r="BQ793" t="s">
        <v>74</v>
      </c>
      <c r="BR793" t="s">
        <v>74</v>
      </c>
      <c r="BS793" t="s">
        <v>4020</v>
      </c>
      <c r="BT793" t="str">
        <f>HYPERLINK("https%3A%2F%2Fwww.webofscience.com%2Fwos%2Fwoscc%2Ffull-record%2FWOS:000440649700008","View Full Record in Web of Science")</f>
        <v>View Full Record in Web of Science</v>
      </c>
    </row>
    <row r="794" spans="1:72" x14ac:dyDescent="0.4">
      <c r="A794" t="s">
        <v>72</v>
      </c>
      <c r="B794" t="s">
        <v>4445</v>
      </c>
      <c r="C794" t="s">
        <v>74</v>
      </c>
      <c r="D794" t="s">
        <v>74</v>
      </c>
      <c r="E794" t="s">
        <v>74</v>
      </c>
      <c r="F794" t="s">
        <v>4446</v>
      </c>
      <c r="G794" t="s">
        <v>74</v>
      </c>
      <c r="H794" t="s">
        <v>74</v>
      </c>
      <c r="I794" t="s">
        <v>4447</v>
      </c>
      <c r="J794" t="s">
        <v>129</v>
      </c>
      <c r="K794" t="s">
        <v>74</v>
      </c>
      <c r="L794" t="s">
        <v>74</v>
      </c>
      <c r="M794" t="s">
        <v>74</v>
      </c>
      <c r="N794" t="s">
        <v>74</v>
      </c>
      <c r="O794" t="s">
        <v>74</v>
      </c>
      <c r="P794" t="s">
        <v>74</v>
      </c>
      <c r="Q794" t="s">
        <v>74</v>
      </c>
      <c r="R794" t="s">
        <v>74</v>
      </c>
      <c r="S794" t="s">
        <v>74</v>
      </c>
      <c r="T794" t="s">
        <v>74</v>
      </c>
      <c r="U794" t="s">
        <v>74</v>
      </c>
      <c r="V794" s="3" t="s">
        <v>4448</v>
      </c>
      <c r="W794" t="s">
        <v>74</v>
      </c>
      <c r="X794" t="s">
        <v>74</v>
      </c>
      <c r="Y794" t="s">
        <v>74</v>
      </c>
      <c r="Z794" t="s">
        <v>74</v>
      </c>
      <c r="AA794" t="s">
        <v>4449</v>
      </c>
      <c r="AB794" t="s">
        <v>4450</v>
      </c>
      <c r="AC794" t="s">
        <v>74</v>
      </c>
      <c r="AD794" t="s">
        <v>74</v>
      </c>
      <c r="AE794" t="s">
        <v>74</v>
      </c>
      <c r="AF794" t="s">
        <v>74</v>
      </c>
      <c r="AG794" t="s">
        <v>74</v>
      </c>
      <c r="AH794" t="s">
        <v>74</v>
      </c>
      <c r="AI794" t="s">
        <v>74</v>
      </c>
      <c r="AJ794" t="s">
        <v>74</v>
      </c>
      <c r="AK794" t="s">
        <v>74</v>
      </c>
      <c r="AL794" t="s">
        <v>74</v>
      </c>
      <c r="AM794" t="s">
        <v>74</v>
      </c>
      <c r="AN794" t="s">
        <v>74</v>
      </c>
      <c r="AO794" t="s">
        <v>132</v>
      </c>
      <c r="AP794" t="s">
        <v>133</v>
      </c>
      <c r="AQ794" t="s">
        <v>74</v>
      </c>
      <c r="AR794" t="s">
        <v>74</v>
      </c>
      <c r="AS794" t="s">
        <v>74</v>
      </c>
      <c r="AT794" t="s">
        <v>352</v>
      </c>
      <c r="AU794">
        <v>2013</v>
      </c>
      <c r="AV794">
        <v>67</v>
      </c>
      <c r="AW794">
        <v>9</v>
      </c>
      <c r="AX794" t="s">
        <v>74</v>
      </c>
      <c r="AY794" t="s">
        <v>74</v>
      </c>
      <c r="AZ794" t="s">
        <v>848</v>
      </c>
      <c r="BA794" t="s">
        <v>74</v>
      </c>
      <c r="BB794">
        <v>1513</v>
      </c>
      <c r="BC794">
        <v>1522</v>
      </c>
      <c r="BD794" t="s">
        <v>74</v>
      </c>
      <c r="BE794" t="s">
        <v>4451</v>
      </c>
      <c r="BF794" t="str">
        <f>HYPERLINK("http://dx.doi.org/10.1007/s00265-013-1535-4","http://dx.doi.org/10.1007/s00265-013-1535-4")</f>
        <v>http://dx.doi.org/10.1007/s00265-013-1535-4</v>
      </c>
      <c r="BG794" t="s">
        <v>74</v>
      </c>
      <c r="BH794" t="s">
        <v>74</v>
      </c>
      <c r="BI794" t="s">
        <v>74</v>
      </c>
      <c r="BJ794" t="s">
        <v>74</v>
      </c>
      <c r="BK794" t="s">
        <v>74</v>
      </c>
      <c r="BL794" t="s">
        <v>74</v>
      </c>
      <c r="BM794" t="s">
        <v>74</v>
      </c>
      <c r="BN794" t="s">
        <v>74</v>
      </c>
      <c r="BO794" t="s">
        <v>74</v>
      </c>
      <c r="BP794" t="s">
        <v>74</v>
      </c>
      <c r="BQ794" t="s">
        <v>74</v>
      </c>
      <c r="BR794" t="s">
        <v>74</v>
      </c>
      <c r="BS794" t="s">
        <v>4452</v>
      </c>
      <c r="BT794" t="str">
        <f>HYPERLINK("https%3A%2F%2Fwww.webofscience.com%2Fwos%2Fwoscc%2Ffull-record%2FWOS:000323103400013","View Full Record in Web of Science")</f>
        <v>View Full Record in Web of Science</v>
      </c>
    </row>
    <row r="795" spans="1:72" x14ac:dyDescent="0.4">
      <c r="A795" t="s">
        <v>72</v>
      </c>
      <c r="B795" t="s">
        <v>8459</v>
      </c>
      <c r="C795" t="s">
        <v>74</v>
      </c>
      <c r="D795" t="s">
        <v>74</v>
      </c>
      <c r="E795" t="s">
        <v>74</v>
      </c>
      <c r="F795" t="s">
        <v>8459</v>
      </c>
      <c r="G795" t="s">
        <v>74</v>
      </c>
      <c r="H795" t="s">
        <v>74</v>
      </c>
      <c r="I795" t="s">
        <v>8460</v>
      </c>
      <c r="J795" t="s">
        <v>8461</v>
      </c>
      <c r="K795" t="s">
        <v>74</v>
      </c>
      <c r="L795" t="s">
        <v>74</v>
      </c>
      <c r="M795" t="s">
        <v>74</v>
      </c>
      <c r="N795" t="s">
        <v>74</v>
      </c>
      <c r="O795" t="s">
        <v>74</v>
      </c>
      <c r="P795" t="s">
        <v>74</v>
      </c>
      <c r="Q795" t="s">
        <v>74</v>
      </c>
      <c r="R795" t="s">
        <v>74</v>
      </c>
      <c r="S795" t="s">
        <v>74</v>
      </c>
      <c r="T795" t="s">
        <v>74</v>
      </c>
      <c r="U795" t="s">
        <v>74</v>
      </c>
      <c r="V795" s="3" t="s">
        <v>8462</v>
      </c>
      <c r="W795" t="s">
        <v>74</v>
      </c>
      <c r="X795" t="s">
        <v>74</v>
      </c>
      <c r="Y795" t="s">
        <v>74</v>
      </c>
      <c r="Z795" t="s">
        <v>74</v>
      </c>
      <c r="AA795" t="s">
        <v>74</v>
      </c>
      <c r="AB795" t="s">
        <v>74</v>
      </c>
      <c r="AC795" t="s">
        <v>74</v>
      </c>
      <c r="AD795" t="s">
        <v>74</v>
      </c>
      <c r="AE795" t="s">
        <v>74</v>
      </c>
      <c r="AF795" t="s">
        <v>74</v>
      </c>
      <c r="AG795" t="s">
        <v>74</v>
      </c>
      <c r="AH795" t="s">
        <v>74</v>
      </c>
      <c r="AI795" t="s">
        <v>74</v>
      </c>
      <c r="AJ795" t="s">
        <v>74</v>
      </c>
      <c r="AK795" t="s">
        <v>74</v>
      </c>
      <c r="AL795" t="s">
        <v>74</v>
      </c>
      <c r="AM795" t="s">
        <v>74</v>
      </c>
      <c r="AN795" t="s">
        <v>74</v>
      </c>
      <c r="AO795" t="s">
        <v>8463</v>
      </c>
      <c r="AP795" t="s">
        <v>74</v>
      </c>
      <c r="AQ795" t="s">
        <v>74</v>
      </c>
      <c r="AR795" t="s">
        <v>74</v>
      </c>
      <c r="AS795" t="s">
        <v>74</v>
      </c>
      <c r="AT795" t="s">
        <v>74</v>
      </c>
      <c r="AU795">
        <v>1988</v>
      </c>
      <c r="AV795">
        <v>15</v>
      </c>
      <c r="AW795">
        <v>5</v>
      </c>
      <c r="AX795" t="s">
        <v>74</v>
      </c>
      <c r="AY795" t="s">
        <v>74</v>
      </c>
      <c r="AZ795" t="s">
        <v>74</v>
      </c>
      <c r="BA795" t="s">
        <v>74</v>
      </c>
      <c r="BB795">
        <v>541</v>
      </c>
      <c r="BC795">
        <v>560</v>
      </c>
      <c r="BD795" t="s">
        <v>74</v>
      </c>
      <c r="BE795" t="s">
        <v>74</v>
      </c>
      <c r="BF795" t="s">
        <v>74</v>
      </c>
      <c r="BG795" t="s">
        <v>74</v>
      </c>
      <c r="BH795" t="s">
        <v>74</v>
      </c>
      <c r="BI795" t="s">
        <v>74</v>
      </c>
      <c r="BJ795" t="s">
        <v>74</v>
      </c>
      <c r="BK795" t="s">
        <v>74</v>
      </c>
      <c r="BL795" t="s">
        <v>74</v>
      </c>
      <c r="BM795" t="s">
        <v>74</v>
      </c>
      <c r="BN795" t="s">
        <v>74</v>
      </c>
      <c r="BO795" t="s">
        <v>74</v>
      </c>
      <c r="BP795" t="s">
        <v>74</v>
      </c>
      <c r="BQ795" t="s">
        <v>74</v>
      </c>
      <c r="BR795" t="s">
        <v>74</v>
      </c>
      <c r="BS795" t="s">
        <v>8464</v>
      </c>
      <c r="BT795" t="str">
        <f>HYPERLINK("https%3A%2F%2Fwww.webofscience.com%2Fwos%2Fwoscc%2Ffull-record%2FWOS:A1988U589900008","View Full Record in Web of Science")</f>
        <v>View Full Record in Web of Science</v>
      </c>
    </row>
    <row r="796" spans="1:72" x14ac:dyDescent="0.4">
      <c r="A796" t="s">
        <v>72</v>
      </c>
      <c r="B796" t="s">
        <v>3050</v>
      </c>
      <c r="C796" t="s">
        <v>74</v>
      </c>
      <c r="D796" t="s">
        <v>74</v>
      </c>
      <c r="E796" t="s">
        <v>74</v>
      </c>
      <c r="F796" t="s">
        <v>3051</v>
      </c>
      <c r="G796" t="s">
        <v>74</v>
      </c>
      <c r="H796" t="s">
        <v>74</v>
      </c>
      <c r="I796" t="s">
        <v>3052</v>
      </c>
      <c r="J796" t="s">
        <v>775</v>
      </c>
      <c r="K796" t="s">
        <v>74</v>
      </c>
      <c r="L796" t="s">
        <v>74</v>
      </c>
      <c r="M796" t="s">
        <v>74</v>
      </c>
      <c r="N796" t="s">
        <v>74</v>
      </c>
      <c r="O796" t="s">
        <v>74</v>
      </c>
      <c r="P796" t="s">
        <v>74</v>
      </c>
      <c r="Q796" t="s">
        <v>74</v>
      </c>
      <c r="R796" t="s">
        <v>74</v>
      </c>
      <c r="S796" t="s">
        <v>74</v>
      </c>
      <c r="T796" t="s">
        <v>74</v>
      </c>
      <c r="U796" t="s">
        <v>74</v>
      </c>
      <c r="V796" s="3" t="s">
        <v>3053</v>
      </c>
      <c r="W796" t="s">
        <v>74</v>
      </c>
      <c r="X796" t="s">
        <v>74</v>
      </c>
      <c r="Y796" t="s">
        <v>74</v>
      </c>
      <c r="Z796" t="s">
        <v>74</v>
      </c>
      <c r="AA796" t="s">
        <v>74</v>
      </c>
      <c r="AB796" t="s">
        <v>3054</v>
      </c>
      <c r="AC796" t="s">
        <v>74</v>
      </c>
      <c r="AD796" t="s">
        <v>74</v>
      </c>
      <c r="AE796" t="s">
        <v>74</v>
      </c>
      <c r="AF796" t="s">
        <v>74</v>
      </c>
      <c r="AG796" t="s">
        <v>74</v>
      </c>
      <c r="AH796" t="s">
        <v>74</v>
      </c>
      <c r="AI796" t="s">
        <v>74</v>
      </c>
      <c r="AJ796" t="s">
        <v>74</v>
      </c>
      <c r="AK796" t="s">
        <v>74</v>
      </c>
      <c r="AL796" t="s">
        <v>74</v>
      </c>
      <c r="AM796" t="s">
        <v>74</v>
      </c>
      <c r="AN796" t="s">
        <v>74</v>
      </c>
      <c r="AO796" t="s">
        <v>778</v>
      </c>
      <c r="AP796" t="s">
        <v>779</v>
      </c>
      <c r="AQ796" t="s">
        <v>74</v>
      </c>
      <c r="AR796" t="s">
        <v>74</v>
      </c>
      <c r="AS796" t="s">
        <v>74</v>
      </c>
      <c r="AT796" t="s">
        <v>2296</v>
      </c>
      <c r="AU796">
        <v>2024</v>
      </c>
      <c r="AV796">
        <v>70</v>
      </c>
      <c r="AW796">
        <v>1</v>
      </c>
      <c r="AX796" t="s">
        <v>74</v>
      </c>
      <c r="AY796" t="s">
        <v>74</v>
      </c>
      <c r="AZ796" t="s">
        <v>74</v>
      </c>
      <c r="BA796" t="s">
        <v>74</v>
      </c>
      <c r="BB796">
        <v>79</v>
      </c>
      <c r="BC796">
        <v>86</v>
      </c>
      <c r="BD796" t="s">
        <v>74</v>
      </c>
      <c r="BE796" t="s">
        <v>3055</v>
      </c>
      <c r="BF796" t="str">
        <f>HYPERLINK("http://dx.doi.org/10.1093/cz/zoac099","http://dx.doi.org/10.1093/cz/zoac099")</f>
        <v>http://dx.doi.org/10.1093/cz/zoac099</v>
      </c>
      <c r="BG796" t="s">
        <v>74</v>
      </c>
      <c r="BH796" t="s">
        <v>3048</v>
      </c>
      <c r="BI796" t="s">
        <v>74</v>
      </c>
      <c r="BJ796" t="s">
        <v>74</v>
      </c>
      <c r="BK796" t="s">
        <v>74</v>
      </c>
      <c r="BL796" t="s">
        <v>74</v>
      </c>
      <c r="BM796" t="s">
        <v>74</v>
      </c>
      <c r="BN796">
        <v>38476140</v>
      </c>
      <c r="BO796" t="s">
        <v>74</v>
      </c>
      <c r="BP796" t="s">
        <v>74</v>
      </c>
      <c r="BQ796" t="s">
        <v>74</v>
      </c>
      <c r="BR796" t="s">
        <v>74</v>
      </c>
      <c r="BS796" t="s">
        <v>3056</v>
      </c>
      <c r="BT796" t="str">
        <f>HYPERLINK("https%3A%2F%2Fwww.webofscience.com%2Fwos%2Fwoscc%2Ffull-record%2FWOS:000941847900001","View Full Record in Web of Science")</f>
        <v>View Full Record in Web of Science</v>
      </c>
    </row>
    <row r="797" spans="1:72" x14ac:dyDescent="0.4">
      <c r="A797" t="s">
        <v>72</v>
      </c>
      <c r="B797" t="s">
        <v>1653</v>
      </c>
      <c r="C797" t="s">
        <v>74</v>
      </c>
      <c r="D797" t="s">
        <v>74</v>
      </c>
      <c r="E797" t="s">
        <v>74</v>
      </c>
      <c r="F797" t="s">
        <v>1654</v>
      </c>
      <c r="G797" t="s">
        <v>74</v>
      </c>
      <c r="H797" t="s">
        <v>74</v>
      </c>
      <c r="I797" t="s">
        <v>1655</v>
      </c>
      <c r="J797" t="s">
        <v>1656</v>
      </c>
      <c r="K797" t="s">
        <v>74</v>
      </c>
      <c r="L797" t="s">
        <v>74</v>
      </c>
      <c r="M797" t="s">
        <v>74</v>
      </c>
      <c r="N797" t="s">
        <v>74</v>
      </c>
      <c r="O797" t="s">
        <v>74</v>
      </c>
      <c r="P797" t="s">
        <v>74</v>
      </c>
      <c r="Q797" t="s">
        <v>74</v>
      </c>
      <c r="R797" t="s">
        <v>74</v>
      </c>
      <c r="S797" t="s">
        <v>74</v>
      </c>
      <c r="T797" t="s">
        <v>74</v>
      </c>
      <c r="U797" t="s">
        <v>74</v>
      </c>
      <c r="V797" s="3" t="s">
        <v>1657</v>
      </c>
      <c r="W797" t="s">
        <v>74</v>
      </c>
      <c r="X797" t="s">
        <v>74</v>
      </c>
      <c r="Y797" t="s">
        <v>74</v>
      </c>
      <c r="Z797" t="s">
        <v>74</v>
      </c>
      <c r="AA797" t="s">
        <v>74</v>
      </c>
      <c r="AB797" t="s">
        <v>74</v>
      </c>
      <c r="AC797" t="s">
        <v>74</v>
      </c>
      <c r="AD797" t="s">
        <v>74</v>
      </c>
      <c r="AE797" t="s">
        <v>74</v>
      </c>
      <c r="AF797" t="s">
        <v>74</v>
      </c>
      <c r="AG797" t="s">
        <v>74</v>
      </c>
      <c r="AH797" t="s">
        <v>74</v>
      </c>
      <c r="AI797" t="s">
        <v>74</v>
      </c>
      <c r="AJ797" t="s">
        <v>74</v>
      </c>
      <c r="AK797" t="s">
        <v>74</v>
      </c>
      <c r="AL797" t="s">
        <v>74</v>
      </c>
      <c r="AM797" t="s">
        <v>74</v>
      </c>
      <c r="AN797" t="s">
        <v>74</v>
      </c>
      <c r="AO797" t="s">
        <v>1658</v>
      </c>
      <c r="AP797" t="s">
        <v>1659</v>
      </c>
      <c r="AQ797" t="s">
        <v>74</v>
      </c>
      <c r="AR797" t="s">
        <v>74</v>
      </c>
      <c r="AS797" t="s">
        <v>74</v>
      </c>
      <c r="AT797" t="s">
        <v>1660</v>
      </c>
      <c r="AU797">
        <v>2013</v>
      </c>
      <c r="AV797">
        <v>3608</v>
      </c>
      <c r="AW797">
        <v>5</v>
      </c>
      <c r="AX797" t="s">
        <v>74</v>
      </c>
      <c r="AY797" t="s">
        <v>74</v>
      </c>
      <c r="AZ797" t="s">
        <v>74</v>
      </c>
      <c r="BA797" t="s">
        <v>74</v>
      </c>
      <c r="BB797">
        <v>328</v>
      </c>
      <c r="BC797">
        <v>344</v>
      </c>
      <c r="BD797" t="s">
        <v>74</v>
      </c>
      <c r="BE797" t="s">
        <v>1661</v>
      </c>
      <c r="BF797" t="str">
        <f>HYPERLINK("http://dx.doi.org/10.11646/zootaxa.3608.5.2","http://dx.doi.org/10.11646/zootaxa.3608.5.2")</f>
        <v>http://dx.doi.org/10.11646/zootaxa.3608.5.2</v>
      </c>
      <c r="BG797" t="s">
        <v>74</v>
      </c>
      <c r="BH797" t="s">
        <v>74</v>
      </c>
      <c r="BI797" t="s">
        <v>74</v>
      </c>
      <c r="BJ797" t="s">
        <v>74</v>
      </c>
      <c r="BK797" t="s">
        <v>74</v>
      </c>
      <c r="BL797" t="s">
        <v>74</v>
      </c>
      <c r="BM797" t="s">
        <v>74</v>
      </c>
      <c r="BN797">
        <v>24614474</v>
      </c>
      <c r="BO797" t="s">
        <v>74</v>
      </c>
      <c r="BP797" t="s">
        <v>74</v>
      </c>
      <c r="BQ797" t="s">
        <v>74</v>
      </c>
      <c r="BR797" t="s">
        <v>74</v>
      </c>
      <c r="BS797" t="s">
        <v>1662</v>
      </c>
      <c r="BT797" t="str">
        <f>HYPERLINK("https%3A%2F%2Fwww.webofscience.com%2Fwos%2Fwoscc%2Ffull-record%2FWOS:000313804500002","View Full Record in Web of Science")</f>
        <v>View Full Record in Web of Science</v>
      </c>
    </row>
    <row r="798" spans="1:72" x14ac:dyDescent="0.4">
      <c r="A798" t="s">
        <v>72</v>
      </c>
      <c r="B798" t="s">
        <v>782</v>
      </c>
      <c r="C798" t="s">
        <v>74</v>
      </c>
      <c r="D798" t="s">
        <v>74</v>
      </c>
      <c r="E798" t="s">
        <v>74</v>
      </c>
      <c r="F798" t="s">
        <v>783</v>
      </c>
      <c r="G798" t="s">
        <v>74</v>
      </c>
      <c r="H798" t="s">
        <v>74</v>
      </c>
      <c r="I798" t="s">
        <v>784</v>
      </c>
      <c r="J798" t="s">
        <v>785</v>
      </c>
      <c r="K798" t="s">
        <v>74</v>
      </c>
      <c r="L798" t="s">
        <v>74</v>
      </c>
      <c r="M798" t="s">
        <v>74</v>
      </c>
      <c r="N798" t="s">
        <v>74</v>
      </c>
      <c r="O798" t="s">
        <v>74</v>
      </c>
      <c r="P798" t="s">
        <v>74</v>
      </c>
      <c r="Q798" t="s">
        <v>74</v>
      </c>
      <c r="R798" t="s">
        <v>74</v>
      </c>
      <c r="S798" t="s">
        <v>74</v>
      </c>
      <c r="T798" t="s">
        <v>74</v>
      </c>
      <c r="U798" t="s">
        <v>74</v>
      </c>
      <c r="V798" s="3" t="s">
        <v>786</v>
      </c>
      <c r="W798" t="s">
        <v>74</v>
      </c>
      <c r="X798" t="s">
        <v>74</v>
      </c>
      <c r="Y798" t="s">
        <v>74</v>
      </c>
      <c r="Z798" t="s">
        <v>74</v>
      </c>
      <c r="AA798" t="s">
        <v>74</v>
      </c>
      <c r="AB798" t="s">
        <v>74</v>
      </c>
      <c r="AC798" t="s">
        <v>74</v>
      </c>
      <c r="AD798" t="s">
        <v>74</v>
      </c>
      <c r="AE798" t="s">
        <v>74</v>
      </c>
      <c r="AF798" t="s">
        <v>74</v>
      </c>
      <c r="AG798" t="s">
        <v>74</v>
      </c>
      <c r="AH798" t="s">
        <v>74</v>
      </c>
      <c r="AI798" t="s">
        <v>74</v>
      </c>
      <c r="AJ798" t="s">
        <v>74</v>
      </c>
      <c r="AK798" t="s">
        <v>74</v>
      </c>
      <c r="AL798" t="s">
        <v>74</v>
      </c>
      <c r="AM798" t="s">
        <v>74</v>
      </c>
      <c r="AN798" t="s">
        <v>74</v>
      </c>
      <c r="AO798" t="s">
        <v>74</v>
      </c>
      <c r="AP798" t="s">
        <v>787</v>
      </c>
      <c r="AQ798" t="s">
        <v>74</v>
      </c>
      <c r="AR798" t="s">
        <v>74</v>
      </c>
      <c r="AS798" t="s">
        <v>74</v>
      </c>
      <c r="AT798" t="s">
        <v>788</v>
      </c>
      <c r="AU798">
        <v>2010</v>
      </c>
      <c r="AV798">
        <v>10</v>
      </c>
      <c r="AW798" t="s">
        <v>74</v>
      </c>
      <c r="AX798" t="s">
        <v>74</v>
      </c>
      <c r="AY798" t="s">
        <v>74</v>
      </c>
      <c r="AZ798" t="s">
        <v>74</v>
      </c>
      <c r="BA798" t="s">
        <v>74</v>
      </c>
      <c r="BB798" t="s">
        <v>74</v>
      </c>
      <c r="BC798" t="s">
        <v>74</v>
      </c>
      <c r="BD798">
        <v>109</v>
      </c>
      <c r="BE798" t="s">
        <v>789</v>
      </c>
      <c r="BF798" t="str">
        <f>HYPERLINK("http://dx.doi.org/10.1673/031.010.10901","http://dx.doi.org/10.1673/031.010.10901")</f>
        <v>http://dx.doi.org/10.1673/031.010.10901</v>
      </c>
      <c r="BG798" t="s">
        <v>74</v>
      </c>
      <c r="BH798" t="s">
        <v>74</v>
      </c>
      <c r="BI798" t="s">
        <v>74</v>
      </c>
      <c r="BJ798" t="s">
        <v>74</v>
      </c>
      <c r="BK798" t="s">
        <v>74</v>
      </c>
      <c r="BL798" t="s">
        <v>74</v>
      </c>
      <c r="BM798" t="s">
        <v>74</v>
      </c>
      <c r="BN798">
        <v>20874396</v>
      </c>
      <c r="BO798" t="s">
        <v>74</v>
      </c>
      <c r="BP798" t="s">
        <v>74</v>
      </c>
      <c r="BQ798" t="s">
        <v>74</v>
      </c>
      <c r="BR798" t="s">
        <v>74</v>
      </c>
      <c r="BS798" t="s">
        <v>790</v>
      </c>
      <c r="BT798" t="str">
        <f>HYPERLINK("https%3A%2F%2Fwww.webofscience.com%2Fwos%2Fwoscc%2Ffull-record%2FWOS:000280095500007","View Full Record in Web of Science")</f>
        <v>View Full Record in Web of Science</v>
      </c>
    </row>
    <row r="799" spans="1:72" x14ac:dyDescent="0.4">
      <c r="A799" t="s">
        <v>72</v>
      </c>
      <c r="B799" t="s">
        <v>6032</v>
      </c>
      <c r="C799" t="s">
        <v>74</v>
      </c>
      <c r="D799" t="s">
        <v>74</v>
      </c>
      <c r="E799" t="s">
        <v>74</v>
      </c>
      <c r="F799" t="s">
        <v>6032</v>
      </c>
      <c r="G799" t="s">
        <v>74</v>
      </c>
      <c r="H799" t="s">
        <v>74</v>
      </c>
      <c r="I799" t="s">
        <v>6033</v>
      </c>
      <c r="J799" t="s">
        <v>3238</v>
      </c>
      <c r="K799" t="s">
        <v>74</v>
      </c>
      <c r="L799" t="s">
        <v>74</v>
      </c>
      <c r="M799" t="s">
        <v>74</v>
      </c>
      <c r="N799" t="s">
        <v>74</v>
      </c>
      <c r="O799" t="s">
        <v>74</v>
      </c>
      <c r="P799" t="s">
        <v>74</v>
      </c>
      <c r="Q799" t="s">
        <v>74</v>
      </c>
      <c r="R799" t="s">
        <v>74</v>
      </c>
      <c r="S799" t="s">
        <v>74</v>
      </c>
      <c r="T799" t="s">
        <v>74</v>
      </c>
      <c r="U799" t="s">
        <v>74</v>
      </c>
      <c r="V799" s="3" t="s">
        <v>6034</v>
      </c>
      <c r="W799" t="s">
        <v>74</v>
      </c>
      <c r="X799" t="s">
        <v>74</v>
      </c>
      <c r="Y799" t="s">
        <v>74</v>
      </c>
      <c r="Z799" t="s">
        <v>74</v>
      </c>
      <c r="AA799" t="s">
        <v>6035</v>
      </c>
      <c r="AB799" t="s">
        <v>6036</v>
      </c>
      <c r="AC799" t="s">
        <v>74</v>
      </c>
      <c r="AD799" t="s">
        <v>74</v>
      </c>
      <c r="AE799" t="s">
        <v>74</v>
      </c>
      <c r="AF799" t="s">
        <v>74</v>
      </c>
      <c r="AG799" t="s">
        <v>74</v>
      </c>
      <c r="AH799" t="s">
        <v>74</v>
      </c>
      <c r="AI799" t="s">
        <v>74</v>
      </c>
      <c r="AJ799" t="s">
        <v>74</v>
      </c>
      <c r="AK799" t="s">
        <v>74</v>
      </c>
      <c r="AL799" t="s">
        <v>74</v>
      </c>
      <c r="AM799" t="s">
        <v>74</v>
      </c>
      <c r="AN799" t="s">
        <v>74</v>
      </c>
      <c r="AO799" t="s">
        <v>3240</v>
      </c>
      <c r="AP799" t="s">
        <v>3241</v>
      </c>
      <c r="AQ799" t="s">
        <v>74</v>
      </c>
      <c r="AR799" t="s">
        <v>74</v>
      </c>
      <c r="AS799" t="s">
        <v>74</v>
      </c>
      <c r="AT799" t="s">
        <v>123</v>
      </c>
      <c r="AU799">
        <v>1990</v>
      </c>
      <c r="AV799">
        <v>83</v>
      </c>
      <c r="AW799">
        <v>2</v>
      </c>
      <c r="AX799" t="s">
        <v>74</v>
      </c>
      <c r="AY799" t="s">
        <v>74</v>
      </c>
      <c r="AZ799" t="s">
        <v>74</v>
      </c>
      <c r="BA799" t="s">
        <v>74</v>
      </c>
      <c r="BB799">
        <v>171</v>
      </c>
      <c r="BC799">
        <v>188</v>
      </c>
      <c r="BD799" t="s">
        <v>74</v>
      </c>
      <c r="BE799" t="s">
        <v>6037</v>
      </c>
      <c r="BF799" t="str">
        <f>HYPERLINK("http://dx.doi.org/10.1093/aesa/83.2.171","http://dx.doi.org/10.1093/aesa/83.2.171")</f>
        <v>http://dx.doi.org/10.1093/aesa/83.2.171</v>
      </c>
      <c r="BG799" t="s">
        <v>74</v>
      </c>
      <c r="BH799" t="s">
        <v>74</v>
      </c>
      <c r="BI799" t="s">
        <v>74</v>
      </c>
      <c r="BJ799" t="s">
        <v>74</v>
      </c>
      <c r="BK799" t="s">
        <v>74</v>
      </c>
      <c r="BL799" t="s">
        <v>74</v>
      </c>
      <c r="BM799" t="s">
        <v>74</v>
      </c>
      <c r="BN799" t="s">
        <v>74</v>
      </c>
      <c r="BO799" t="s">
        <v>74</v>
      </c>
      <c r="BP799" t="s">
        <v>74</v>
      </c>
      <c r="BQ799" t="s">
        <v>74</v>
      </c>
      <c r="BR799" t="s">
        <v>74</v>
      </c>
      <c r="BS799" t="s">
        <v>6038</v>
      </c>
      <c r="BT799" t="str">
        <f>HYPERLINK("https%3A%2F%2Fwww.webofscience.com%2Fwos%2Fwoscc%2Ffull-record%2FWOS:A1990CQ89800007","View Full Record in Web of Science")</f>
        <v>View Full Record in Web of Science</v>
      </c>
    </row>
    <row r="800" spans="1:72" x14ac:dyDescent="0.4">
      <c r="A800" t="s">
        <v>72</v>
      </c>
      <c r="B800" t="s">
        <v>4854</v>
      </c>
      <c r="C800" t="s">
        <v>74</v>
      </c>
      <c r="D800" t="s">
        <v>74</v>
      </c>
      <c r="E800" t="s">
        <v>74</v>
      </c>
      <c r="F800" t="s">
        <v>4855</v>
      </c>
      <c r="G800" t="s">
        <v>74</v>
      </c>
      <c r="H800" t="s">
        <v>74</v>
      </c>
      <c r="I800" t="s">
        <v>4856</v>
      </c>
      <c r="J800" t="s">
        <v>299</v>
      </c>
      <c r="K800" t="s">
        <v>74</v>
      </c>
      <c r="L800" t="s">
        <v>74</v>
      </c>
      <c r="M800" t="s">
        <v>74</v>
      </c>
      <c r="N800" t="s">
        <v>74</v>
      </c>
      <c r="O800" t="s">
        <v>74</v>
      </c>
      <c r="P800" t="s">
        <v>74</v>
      </c>
      <c r="Q800" t="s">
        <v>74</v>
      </c>
      <c r="R800" t="s">
        <v>74</v>
      </c>
      <c r="S800" t="s">
        <v>74</v>
      </c>
      <c r="T800" t="s">
        <v>74</v>
      </c>
      <c r="U800" t="s">
        <v>74</v>
      </c>
      <c r="V800" s="3" t="s">
        <v>4857</v>
      </c>
      <c r="W800" t="s">
        <v>74</v>
      </c>
      <c r="X800" t="s">
        <v>74</v>
      </c>
      <c r="Y800" t="s">
        <v>74</v>
      </c>
      <c r="Z800" t="s">
        <v>74</v>
      </c>
      <c r="AA800" t="s">
        <v>4858</v>
      </c>
      <c r="AB800" t="s">
        <v>4859</v>
      </c>
      <c r="AC800" t="s">
        <v>74</v>
      </c>
      <c r="AD800" t="s">
        <v>74</v>
      </c>
      <c r="AE800" t="s">
        <v>74</v>
      </c>
      <c r="AF800" t="s">
        <v>74</v>
      </c>
      <c r="AG800" t="s">
        <v>74</v>
      </c>
      <c r="AH800" t="s">
        <v>74</v>
      </c>
      <c r="AI800" t="s">
        <v>74</v>
      </c>
      <c r="AJ800" t="s">
        <v>74</v>
      </c>
      <c r="AK800" t="s">
        <v>74</v>
      </c>
      <c r="AL800" t="s">
        <v>74</v>
      </c>
      <c r="AM800" t="s">
        <v>74</v>
      </c>
      <c r="AN800" t="s">
        <v>74</v>
      </c>
      <c r="AO800" t="s">
        <v>303</v>
      </c>
      <c r="AP800" t="s">
        <v>304</v>
      </c>
      <c r="AQ800" t="s">
        <v>74</v>
      </c>
      <c r="AR800" t="s">
        <v>74</v>
      </c>
      <c r="AS800" t="s">
        <v>74</v>
      </c>
      <c r="AT800" t="s">
        <v>305</v>
      </c>
      <c r="AU800">
        <v>2016</v>
      </c>
      <c r="AV800">
        <v>47</v>
      </c>
      <c r="AW800">
        <v>12</v>
      </c>
      <c r="AX800" t="s">
        <v>74</v>
      </c>
      <c r="AY800" t="s">
        <v>74</v>
      </c>
      <c r="AZ800" t="s">
        <v>74</v>
      </c>
      <c r="BA800" t="s">
        <v>74</v>
      </c>
      <c r="BB800">
        <v>4015</v>
      </c>
      <c r="BC800">
        <v>4023</v>
      </c>
      <c r="BD800" t="s">
        <v>74</v>
      </c>
      <c r="BE800" t="s">
        <v>4860</v>
      </c>
      <c r="BF800" t="str">
        <f>HYPERLINK("http://dx.doi.org/10.1111/are.12854","http://dx.doi.org/10.1111/are.12854")</f>
        <v>http://dx.doi.org/10.1111/are.12854</v>
      </c>
      <c r="BG800" t="s">
        <v>74</v>
      </c>
      <c r="BH800" t="s">
        <v>74</v>
      </c>
      <c r="BI800" t="s">
        <v>74</v>
      </c>
      <c r="BJ800" t="s">
        <v>74</v>
      </c>
      <c r="BK800" t="s">
        <v>74</v>
      </c>
      <c r="BL800" t="s">
        <v>74</v>
      </c>
      <c r="BM800" t="s">
        <v>74</v>
      </c>
      <c r="BN800" t="s">
        <v>74</v>
      </c>
      <c r="BO800" t="s">
        <v>74</v>
      </c>
      <c r="BP800" t="s">
        <v>74</v>
      </c>
      <c r="BQ800" t="s">
        <v>74</v>
      </c>
      <c r="BR800" t="s">
        <v>74</v>
      </c>
      <c r="BS800" t="s">
        <v>4861</v>
      </c>
      <c r="BT800" t="str">
        <f>HYPERLINK("https%3A%2F%2Fwww.webofscience.com%2Fwos%2Fwoscc%2Ffull-record%2FWOS:000387663000031","View Full Record in Web of Science")</f>
        <v>View Full Record in Web of Science</v>
      </c>
    </row>
    <row r="801" spans="1:72" x14ac:dyDescent="0.4">
      <c r="A801" t="s">
        <v>72</v>
      </c>
      <c r="B801" t="s">
        <v>3900</v>
      </c>
      <c r="C801" t="s">
        <v>74</v>
      </c>
      <c r="D801" t="s">
        <v>74</v>
      </c>
      <c r="E801" t="s">
        <v>74</v>
      </c>
      <c r="F801" t="s">
        <v>3900</v>
      </c>
      <c r="G801" t="s">
        <v>74</v>
      </c>
      <c r="H801" t="s">
        <v>74</v>
      </c>
      <c r="I801" t="s">
        <v>3901</v>
      </c>
      <c r="J801" t="s">
        <v>108</v>
      </c>
      <c r="K801" t="s">
        <v>74</v>
      </c>
      <c r="L801" t="s">
        <v>74</v>
      </c>
      <c r="M801" t="s">
        <v>74</v>
      </c>
      <c r="N801" t="s">
        <v>74</v>
      </c>
      <c r="O801" t="s">
        <v>74</v>
      </c>
      <c r="P801" t="s">
        <v>74</v>
      </c>
      <c r="Q801" t="s">
        <v>74</v>
      </c>
      <c r="R801" t="s">
        <v>74</v>
      </c>
      <c r="S801" t="s">
        <v>74</v>
      </c>
      <c r="T801" t="s">
        <v>74</v>
      </c>
      <c r="U801" t="s">
        <v>74</v>
      </c>
      <c r="V801" s="3" t="s">
        <v>3902</v>
      </c>
      <c r="W801" t="s">
        <v>74</v>
      </c>
      <c r="X801" t="s">
        <v>74</v>
      </c>
      <c r="Y801" t="s">
        <v>74</v>
      </c>
      <c r="Z801" t="s">
        <v>74</v>
      </c>
      <c r="AA801" t="s">
        <v>74</v>
      </c>
      <c r="AB801" t="s">
        <v>74</v>
      </c>
      <c r="AC801" t="s">
        <v>74</v>
      </c>
      <c r="AD801" t="s">
        <v>74</v>
      </c>
      <c r="AE801" t="s">
        <v>74</v>
      </c>
      <c r="AF801" t="s">
        <v>74</v>
      </c>
      <c r="AG801" t="s">
        <v>74</v>
      </c>
      <c r="AH801" t="s">
        <v>74</v>
      </c>
      <c r="AI801" t="s">
        <v>74</v>
      </c>
      <c r="AJ801" t="s">
        <v>74</v>
      </c>
      <c r="AK801" t="s">
        <v>74</v>
      </c>
      <c r="AL801" t="s">
        <v>74</v>
      </c>
      <c r="AM801" t="s">
        <v>74</v>
      </c>
      <c r="AN801" t="s">
        <v>74</v>
      </c>
      <c r="AO801" t="s">
        <v>111</v>
      </c>
      <c r="AP801" t="s">
        <v>74</v>
      </c>
      <c r="AQ801" t="s">
        <v>74</v>
      </c>
      <c r="AR801" t="s">
        <v>74</v>
      </c>
      <c r="AS801" t="s">
        <v>74</v>
      </c>
      <c r="AT801" t="s">
        <v>939</v>
      </c>
      <c r="AU801">
        <v>2005</v>
      </c>
      <c r="AV801">
        <v>272</v>
      </c>
      <c r="AW801">
        <v>1580</v>
      </c>
      <c r="AX801" t="s">
        <v>74</v>
      </c>
      <c r="AY801" t="s">
        <v>74</v>
      </c>
      <c r="AZ801" t="s">
        <v>74</v>
      </c>
      <c r="BA801" t="s">
        <v>74</v>
      </c>
      <c r="BB801">
        <v>2519</v>
      </c>
      <c r="BC801">
        <v>2523</v>
      </c>
      <c r="BD801" t="s">
        <v>74</v>
      </c>
      <c r="BE801" t="s">
        <v>3903</v>
      </c>
      <c r="BF801" t="str">
        <f>HYPERLINK("http://dx.doi.org/10.1098/rspb.2005.3186","http://dx.doi.org/10.1098/rspb.2005.3186")</f>
        <v>http://dx.doi.org/10.1098/rspb.2005.3186</v>
      </c>
      <c r="BG801" t="s">
        <v>74</v>
      </c>
      <c r="BH801" t="s">
        <v>74</v>
      </c>
      <c r="BI801" t="s">
        <v>74</v>
      </c>
      <c r="BJ801" t="s">
        <v>74</v>
      </c>
      <c r="BK801" t="s">
        <v>74</v>
      </c>
      <c r="BL801" t="s">
        <v>74</v>
      </c>
      <c r="BM801" t="s">
        <v>74</v>
      </c>
      <c r="BN801">
        <v>16271978</v>
      </c>
      <c r="BO801" t="s">
        <v>74</v>
      </c>
      <c r="BP801" t="s">
        <v>74</v>
      </c>
      <c r="BQ801" t="s">
        <v>74</v>
      </c>
      <c r="BR801" t="s">
        <v>74</v>
      </c>
      <c r="BS801" t="s">
        <v>3904</v>
      </c>
      <c r="BT801" t="str">
        <f>HYPERLINK("https%3A%2F%2Fwww.webofscience.com%2Fwos%2Fwoscc%2Ffull-record%2FWOS:000233751700011","View Full Record in Web of Science")</f>
        <v>View Full Record in Web of Science</v>
      </c>
    </row>
    <row r="802" spans="1:72" x14ac:dyDescent="0.4">
      <c r="A802" t="s">
        <v>72</v>
      </c>
      <c r="B802" t="s">
        <v>2935</v>
      </c>
      <c r="C802" t="s">
        <v>74</v>
      </c>
      <c r="D802" t="s">
        <v>74</v>
      </c>
      <c r="E802" t="s">
        <v>74</v>
      </c>
      <c r="F802" t="s">
        <v>2935</v>
      </c>
      <c r="G802" t="s">
        <v>74</v>
      </c>
      <c r="H802" t="s">
        <v>74</v>
      </c>
      <c r="I802" t="s">
        <v>2936</v>
      </c>
      <c r="J802" t="s">
        <v>2191</v>
      </c>
      <c r="K802" t="s">
        <v>74</v>
      </c>
      <c r="L802" t="s">
        <v>74</v>
      </c>
      <c r="M802" t="s">
        <v>74</v>
      </c>
      <c r="N802" t="s">
        <v>74</v>
      </c>
      <c r="O802" t="s">
        <v>74</v>
      </c>
      <c r="P802" t="s">
        <v>74</v>
      </c>
      <c r="Q802" t="s">
        <v>74</v>
      </c>
      <c r="R802" t="s">
        <v>74</v>
      </c>
      <c r="S802" t="s">
        <v>74</v>
      </c>
      <c r="T802" t="s">
        <v>74</v>
      </c>
      <c r="U802" t="s">
        <v>74</v>
      </c>
      <c r="V802" s="3" t="s">
        <v>2937</v>
      </c>
      <c r="W802" t="s">
        <v>74</v>
      </c>
      <c r="X802" t="s">
        <v>74</v>
      </c>
      <c r="Y802" t="s">
        <v>74</v>
      </c>
      <c r="Z802" t="s">
        <v>74</v>
      </c>
      <c r="AA802" t="s">
        <v>74</v>
      </c>
      <c r="AB802" t="s">
        <v>74</v>
      </c>
      <c r="AC802" t="s">
        <v>74</v>
      </c>
      <c r="AD802" t="s">
        <v>74</v>
      </c>
      <c r="AE802" t="s">
        <v>74</v>
      </c>
      <c r="AF802" t="s">
        <v>74</v>
      </c>
      <c r="AG802" t="s">
        <v>74</v>
      </c>
      <c r="AH802" t="s">
        <v>74</v>
      </c>
      <c r="AI802" t="s">
        <v>74</v>
      </c>
      <c r="AJ802" t="s">
        <v>74</v>
      </c>
      <c r="AK802" t="s">
        <v>74</v>
      </c>
      <c r="AL802" t="s">
        <v>74</v>
      </c>
      <c r="AM802" t="s">
        <v>74</v>
      </c>
      <c r="AN802" t="s">
        <v>74</v>
      </c>
      <c r="AO802" t="s">
        <v>2193</v>
      </c>
      <c r="AP802" t="s">
        <v>2194</v>
      </c>
      <c r="AQ802" t="s">
        <v>74</v>
      </c>
      <c r="AR802" t="s">
        <v>74</v>
      </c>
      <c r="AS802" t="s">
        <v>74</v>
      </c>
      <c r="AT802" t="s">
        <v>255</v>
      </c>
      <c r="AU802">
        <v>2005</v>
      </c>
      <c r="AV802">
        <v>32</v>
      </c>
      <c r="AW802">
        <v>2</v>
      </c>
      <c r="AX802" t="s">
        <v>74</v>
      </c>
      <c r="AY802" t="s">
        <v>74</v>
      </c>
      <c r="AZ802" t="s">
        <v>74</v>
      </c>
      <c r="BA802" t="s">
        <v>74</v>
      </c>
      <c r="BB802">
        <v>277</v>
      </c>
      <c r="BC802">
        <v>284</v>
      </c>
      <c r="BD802" t="s">
        <v>74</v>
      </c>
      <c r="BE802" t="s">
        <v>2938</v>
      </c>
      <c r="BF802" t="str">
        <f>HYPERLINK("http://dx.doi.org/10.1016/j.aquaeng.2004.04.004","http://dx.doi.org/10.1016/j.aquaeng.2004.04.004")</f>
        <v>http://dx.doi.org/10.1016/j.aquaeng.2004.04.004</v>
      </c>
      <c r="BG802" t="s">
        <v>74</v>
      </c>
      <c r="BH802" t="s">
        <v>74</v>
      </c>
      <c r="BI802" t="s">
        <v>74</v>
      </c>
      <c r="BJ802" t="s">
        <v>74</v>
      </c>
      <c r="BK802" t="s">
        <v>74</v>
      </c>
      <c r="BL802" t="s">
        <v>74</v>
      </c>
      <c r="BM802" t="s">
        <v>74</v>
      </c>
      <c r="BN802" t="s">
        <v>74</v>
      </c>
      <c r="BO802" t="s">
        <v>74</v>
      </c>
      <c r="BP802" t="s">
        <v>74</v>
      </c>
      <c r="BQ802" t="s">
        <v>74</v>
      </c>
      <c r="BR802" t="s">
        <v>74</v>
      </c>
      <c r="BS802" t="s">
        <v>2939</v>
      </c>
      <c r="BT802" t="str">
        <f>HYPERLINK("https%3A%2F%2Fwww.webofscience.com%2Fwos%2Fwoscc%2Ffull-record%2FWOS:000226462600001","View Full Record in Web of Science")</f>
        <v>View Full Record in Web of Science</v>
      </c>
    </row>
    <row r="803" spans="1:72" x14ac:dyDescent="0.4">
      <c r="A803" t="s">
        <v>72</v>
      </c>
      <c r="B803" t="s">
        <v>7701</v>
      </c>
      <c r="C803" t="s">
        <v>74</v>
      </c>
      <c r="D803" t="s">
        <v>74</v>
      </c>
      <c r="E803" t="s">
        <v>74</v>
      </c>
      <c r="F803" t="s">
        <v>7701</v>
      </c>
      <c r="G803" t="s">
        <v>74</v>
      </c>
      <c r="H803" t="s">
        <v>74</v>
      </c>
      <c r="I803" t="s">
        <v>7702</v>
      </c>
      <c r="J803" t="s">
        <v>108</v>
      </c>
      <c r="K803" t="s">
        <v>74</v>
      </c>
      <c r="L803" t="s">
        <v>74</v>
      </c>
      <c r="M803" t="s">
        <v>74</v>
      </c>
      <c r="N803" t="s">
        <v>74</v>
      </c>
      <c r="O803" t="s">
        <v>74</v>
      </c>
      <c r="P803" t="s">
        <v>74</v>
      </c>
      <c r="Q803" t="s">
        <v>74</v>
      </c>
      <c r="R803" t="s">
        <v>74</v>
      </c>
      <c r="S803" t="s">
        <v>74</v>
      </c>
      <c r="T803" t="s">
        <v>74</v>
      </c>
      <c r="U803" t="s">
        <v>74</v>
      </c>
      <c r="V803" s="3" t="s">
        <v>7703</v>
      </c>
      <c r="W803" t="s">
        <v>74</v>
      </c>
      <c r="X803" t="s">
        <v>74</v>
      </c>
      <c r="Y803" t="s">
        <v>74</v>
      </c>
      <c r="Z803" t="s">
        <v>74</v>
      </c>
      <c r="AA803" t="s">
        <v>74</v>
      </c>
      <c r="AB803" t="s">
        <v>74</v>
      </c>
      <c r="AC803" t="s">
        <v>74</v>
      </c>
      <c r="AD803" t="s">
        <v>74</v>
      </c>
      <c r="AE803" t="s">
        <v>74</v>
      </c>
      <c r="AF803" t="s">
        <v>74</v>
      </c>
      <c r="AG803" t="s">
        <v>74</v>
      </c>
      <c r="AH803" t="s">
        <v>74</v>
      </c>
      <c r="AI803" t="s">
        <v>74</v>
      </c>
      <c r="AJ803" t="s">
        <v>74</v>
      </c>
      <c r="AK803" t="s">
        <v>74</v>
      </c>
      <c r="AL803" t="s">
        <v>74</v>
      </c>
      <c r="AM803" t="s">
        <v>74</v>
      </c>
      <c r="AN803" t="s">
        <v>74</v>
      </c>
      <c r="AO803" t="s">
        <v>111</v>
      </c>
      <c r="AP803" t="s">
        <v>74</v>
      </c>
      <c r="AQ803" t="s">
        <v>74</v>
      </c>
      <c r="AR803" t="s">
        <v>74</v>
      </c>
      <c r="AS803" t="s">
        <v>74</v>
      </c>
      <c r="AT803" t="s">
        <v>2345</v>
      </c>
      <c r="AU803">
        <v>1998</v>
      </c>
      <c r="AV803">
        <v>265</v>
      </c>
      <c r="AW803">
        <v>1399</v>
      </c>
      <c r="AX803" t="s">
        <v>74</v>
      </c>
      <c r="AY803" t="s">
        <v>74</v>
      </c>
      <c r="AZ803" t="s">
        <v>74</v>
      </c>
      <c r="BA803" t="s">
        <v>74</v>
      </c>
      <c r="BB803">
        <v>861</v>
      </c>
      <c r="BC803">
        <v>867</v>
      </c>
      <c r="BD803" t="s">
        <v>74</v>
      </c>
      <c r="BE803" t="s">
        <v>7704</v>
      </c>
      <c r="BF803" t="str">
        <f>HYPERLINK("http://dx.doi.org/10.1098/rspb.1998.0371","http://dx.doi.org/10.1098/rspb.1998.0371")</f>
        <v>http://dx.doi.org/10.1098/rspb.1998.0371</v>
      </c>
      <c r="BG803" t="s">
        <v>74</v>
      </c>
      <c r="BH803" t="s">
        <v>74</v>
      </c>
      <c r="BI803" t="s">
        <v>74</v>
      </c>
      <c r="BJ803" t="s">
        <v>74</v>
      </c>
      <c r="BK803" t="s">
        <v>74</v>
      </c>
      <c r="BL803" t="s">
        <v>74</v>
      </c>
      <c r="BM803" t="s">
        <v>74</v>
      </c>
      <c r="BN803" t="s">
        <v>74</v>
      </c>
      <c r="BO803" t="s">
        <v>74</v>
      </c>
      <c r="BP803" t="s">
        <v>74</v>
      </c>
      <c r="BQ803" t="s">
        <v>74</v>
      </c>
      <c r="BR803" t="s">
        <v>74</v>
      </c>
      <c r="BS803" t="s">
        <v>7705</v>
      </c>
      <c r="BT803" t="str">
        <f>HYPERLINK("https%3A%2F%2Fwww.webofscience.com%2Fwos%2Fwoscc%2Ffull-record%2FWOS:000073948500004","View Full Record in Web of Science")</f>
        <v>View Full Record in Web of Science</v>
      </c>
    </row>
    <row r="804" spans="1:72" x14ac:dyDescent="0.4">
      <c r="A804" t="s">
        <v>72</v>
      </c>
      <c r="B804" t="s">
        <v>960</v>
      </c>
      <c r="C804" t="s">
        <v>74</v>
      </c>
      <c r="D804" t="s">
        <v>74</v>
      </c>
      <c r="E804" t="s">
        <v>74</v>
      </c>
      <c r="F804" t="s">
        <v>961</v>
      </c>
      <c r="G804" t="s">
        <v>74</v>
      </c>
      <c r="H804" t="s">
        <v>74</v>
      </c>
      <c r="I804" t="s">
        <v>962</v>
      </c>
      <c r="J804" t="s">
        <v>171</v>
      </c>
      <c r="K804" t="s">
        <v>74</v>
      </c>
      <c r="L804" t="s">
        <v>74</v>
      </c>
      <c r="M804" t="s">
        <v>74</v>
      </c>
      <c r="N804" t="s">
        <v>74</v>
      </c>
      <c r="O804" t="s">
        <v>74</v>
      </c>
      <c r="P804" t="s">
        <v>74</v>
      </c>
      <c r="Q804" t="s">
        <v>74</v>
      </c>
      <c r="R804" t="s">
        <v>74</v>
      </c>
      <c r="S804" t="s">
        <v>74</v>
      </c>
      <c r="T804" t="s">
        <v>74</v>
      </c>
      <c r="U804" t="s">
        <v>74</v>
      </c>
      <c r="V804" s="3" t="s">
        <v>963</v>
      </c>
      <c r="W804" t="s">
        <v>74</v>
      </c>
      <c r="X804" t="s">
        <v>74</v>
      </c>
      <c r="Y804" t="s">
        <v>74</v>
      </c>
      <c r="Z804" t="s">
        <v>74</v>
      </c>
      <c r="AA804" t="s">
        <v>74</v>
      </c>
      <c r="AB804" t="s">
        <v>74</v>
      </c>
      <c r="AC804" t="s">
        <v>74</v>
      </c>
      <c r="AD804" t="s">
        <v>74</v>
      </c>
      <c r="AE804" t="s">
        <v>74</v>
      </c>
      <c r="AF804" t="s">
        <v>74</v>
      </c>
      <c r="AG804" t="s">
        <v>74</v>
      </c>
      <c r="AH804" t="s">
        <v>74</v>
      </c>
      <c r="AI804" t="s">
        <v>74</v>
      </c>
      <c r="AJ804" t="s">
        <v>74</v>
      </c>
      <c r="AK804" t="s">
        <v>74</v>
      </c>
      <c r="AL804" t="s">
        <v>74</v>
      </c>
      <c r="AM804" t="s">
        <v>74</v>
      </c>
      <c r="AN804" t="s">
        <v>74</v>
      </c>
      <c r="AO804" t="s">
        <v>173</v>
      </c>
      <c r="AP804" t="s">
        <v>174</v>
      </c>
      <c r="AQ804" t="s">
        <v>74</v>
      </c>
      <c r="AR804" t="s">
        <v>74</v>
      </c>
      <c r="AS804" t="s">
        <v>74</v>
      </c>
      <c r="AT804" t="s">
        <v>964</v>
      </c>
      <c r="AU804">
        <v>2010</v>
      </c>
      <c r="AV804">
        <v>64</v>
      </c>
      <c r="AW804">
        <v>2</v>
      </c>
      <c r="AX804" t="s">
        <v>74</v>
      </c>
      <c r="AY804" t="s">
        <v>74</v>
      </c>
      <c r="AZ804" t="s">
        <v>74</v>
      </c>
      <c r="BA804" t="s">
        <v>74</v>
      </c>
      <c r="BB804">
        <v>324</v>
      </c>
      <c r="BC804">
        <v>335</v>
      </c>
      <c r="BD804" t="s">
        <v>74</v>
      </c>
      <c r="BE804" t="s">
        <v>965</v>
      </c>
      <c r="BF804" t="str">
        <f>HYPERLINK("http://dx.doi.org/10.1111/j.1558-5646.2009.00827.x","http://dx.doi.org/10.1111/j.1558-5646.2009.00827.x")</f>
        <v>http://dx.doi.org/10.1111/j.1558-5646.2009.00827.x</v>
      </c>
      <c r="BG804" t="s">
        <v>74</v>
      </c>
      <c r="BH804" t="s">
        <v>74</v>
      </c>
      <c r="BI804" t="s">
        <v>74</v>
      </c>
      <c r="BJ804" t="s">
        <v>74</v>
      </c>
      <c r="BK804" t="s">
        <v>74</v>
      </c>
      <c r="BL804" t="s">
        <v>74</v>
      </c>
      <c r="BM804" t="s">
        <v>74</v>
      </c>
      <c r="BN804">
        <v>19703221</v>
      </c>
      <c r="BO804" t="s">
        <v>74</v>
      </c>
      <c r="BP804" t="s">
        <v>74</v>
      </c>
      <c r="BQ804" t="s">
        <v>74</v>
      </c>
      <c r="BR804" t="s">
        <v>74</v>
      </c>
      <c r="BS804" t="s">
        <v>966</v>
      </c>
      <c r="BT804" t="str">
        <f>HYPERLINK("https%3A%2F%2Fwww.webofscience.com%2Fwos%2Fwoscc%2Ffull-record%2FWOS:000273821700003","View Full Record in Web of Science")</f>
        <v>View Full Record in Web of Science</v>
      </c>
    </row>
    <row r="805" spans="1:72" x14ac:dyDescent="0.4">
      <c r="A805" t="s">
        <v>72</v>
      </c>
      <c r="B805" t="s">
        <v>8297</v>
      </c>
      <c r="C805" t="s">
        <v>74</v>
      </c>
      <c r="D805" t="s">
        <v>74</v>
      </c>
      <c r="E805" t="s">
        <v>74</v>
      </c>
      <c r="F805" t="s">
        <v>8298</v>
      </c>
      <c r="G805" t="s">
        <v>74</v>
      </c>
      <c r="H805" t="s">
        <v>74</v>
      </c>
      <c r="I805" t="s">
        <v>8299</v>
      </c>
      <c r="J805" t="s">
        <v>7393</v>
      </c>
      <c r="K805" t="s">
        <v>74</v>
      </c>
      <c r="L805" t="s">
        <v>74</v>
      </c>
      <c r="M805" t="s">
        <v>74</v>
      </c>
      <c r="N805" t="s">
        <v>74</v>
      </c>
      <c r="O805" t="s">
        <v>74</v>
      </c>
      <c r="P805" t="s">
        <v>74</v>
      </c>
      <c r="Q805" t="s">
        <v>74</v>
      </c>
      <c r="R805" t="s">
        <v>74</v>
      </c>
      <c r="S805" t="s">
        <v>74</v>
      </c>
      <c r="T805" t="s">
        <v>74</v>
      </c>
      <c r="U805" t="s">
        <v>74</v>
      </c>
      <c r="V805" s="3" t="s">
        <v>8300</v>
      </c>
      <c r="W805" t="s">
        <v>74</v>
      </c>
      <c r="X805" t="s">
        <v>74</v>
      </c>
      <c r="Y805" t="s">
        <v>74</v>
      </c>
      <c r="Z805" t="s">
        <v>74</v>
      </c>
      <c r="AA805" t="s">
        <v>8301</v>
      </c>
      <c r="AB805" t="s">
        <v>8302</v>
      </c>
      <c r="AC805" t="s">
        <v>74</v>
      </c>
      <c r="AD805" t="s">
        <v>74</v>
      </c>
      <c r="AE805" t="s">
        <v>74</v>
      </c>
      <c r="AF805" t="s">
        <v>74</v>
      </c>
      <c r="AG805" t="s">
        <v>74</v>
      </c>
      <c r="AH805" t="s">
        <v>74</v>
      </c>
      <c r="AI805" t="s">
        <v>74</v>
      </c>
      <c r="AJ805" t="s">
        <v>74</v>
      </c>
      <c r="AK805" t="s">
        <v>74</v>
      </c>
      <c r="AL805" t="s">
        <v>74</v>
      </c>
      <c r="AM805" t="s">
        <v>74</v>
      </c>
      <c r="AN805" t="s">
        <v>74</v>
      </c>
      <c r="AO805" t="s">
        <v>7397</v>
      </c>
      <c r="AP805" t="s">
        <v>7398</v>
      </c>
      <c r="AQ805" t="s">
        <v>74</v>
      </c>
      <c r="AR805" t="s">
        <v>74</v>
      </c>
      <c r="AS805" t="s">
        <v>74</v>
      </c>
      <c r="AT805" t="s">
        <v>964</v>
      </c>
      <c r="AU805">
        <v>2021</v>
      </c>
      <c r="AV805">
        <v>109</v>
      </c>
      <c r="AW805">
        <v>2</v>
      </c>
      <c r="AX805" t="s">
        <v>74</v>
      </c>
      <c r="AY805" t="s">
        <v>74</v>
      </c>
      <c r="AZ805" t="s">
        <v>74</v>
      </c>
      <c r="BA805" t="s">
        <v>74</v>
      </c>
      <c r="BB805">
        <v>939</v>
      </c>
      <c r="BC805">
        <v>951</v>
      </c>
      <c r="BD805" t="s">
        <v>74</v>
      </c>
      <c r="BE805" t="s">
        <v>8303</v>
      </c>
      <c r="BF805" t="str">
        <f>HYPERLINK("http://dx.doi.org/10.1111/1365-2745.13520","http://dx.doi.org/10.1111/1365-2745.13520")</f>
        <v>http://dx.doi.org/10.1111/1365-2745.13520</v>
      </c>
      <c r="BG805" t="s">
        <v>74</v>
      </c>
      <c r="BH805" t="s">
        <v>8304</v>
      </c>
      <c r="BI805" t="s">
        <v>74</v>
      </c>
      <c r="BJ805" t="s">
        <v>74</v>
      </c>
      <c r="BK805" t="s">
        <v>74</v>
      </c>
      <c r="BL805" t="s">
        <v>74</v>
      </c>
      <c r="BM805" t="s">
        <v>74</v>
      </c>
      <c r="BN805" t="s">
        <v>74</v>
      </c>
      <c r="BO805" t="s">
        <v>74</v>
      </c>
      <c r="BP805" t="s">
        <v>74</v>
      </c>
      <c r="BQ805" t="s">
        <v>74</v>
      </c>
      <c r="BR805" t="s">
        <v>74</v>
      </c>
      <c r="BS805" t="s">
        <v>8305</v>
      </c>
      <c r="BT805" t="str">
        <f>HYPERLINK("https%3A%2F%2Fwww.webofscience.com%2Fwos%2Fwoscc%2Ffull-record%2FWOS:000583496000001","View Full Record in Web of Science")</f>
        <v>View Full Record in Web of Science</v>
      </c>
    </row>
    <row r="806" spans="1:72" x14ac:dyDescent="0.4">
      <c r="A806" t="s">
        <v>72</v>
      </c>
      <c r="B806" t="s">
        <v>8512</v>
      </c>
      <c r="C806" t="s">
        <v>74</v>
      </c>
      <c r="D806" t="s">
        <v>74</v>
      </c>
      <c r="E806" t="s">
        <v>74</v>
      </c>
      <c r="F806" t="s">
        <v>8512</v>
      </c>
      <c r="G806" t="s">
        <v>74</v>
      </c>
      <c r="H806" t="s">
        <v>74</v>
      </c>
      <c r="I806" t="s">
        <v>8513</v>
      </c>
      <c r="J806" t="s">
        <v>140</v>
      </c>
      <c r="K806" t="s">
        <v>74</v>
      </c>
      <c r="L806" t="s">
        <v>74</v>
      </c>
      <c r="M806" t="s">
        <v>74</v>
      </c>
      <c r="N806" t="s">
        <v>74</v>
      </c>
      <c r="O806" t="s">
        <v>74</v>
      </c>
      <c r="P806" t="s">
        <v>74</v>
      </c>
      <c r="Q806" t="s">
        <v>74</v>
      </c>
      <c r="R806" t="s">
        <v>74</v>
      </c>
      <c r="S806" t="s">
        <v>74</v>
      </c>
      <c r="T806" t="s">
        <v>74</v>
      </c>
      <c r="U806" t="s">
        <v>74</v>
      </c>
      <c r="V806" s="3" t="s">
        <v>8514</v>
      </c>
      <c r="W806" t="s">
        <v>74</v>
      </c>
      <c r="X806" t="s">
        <v>74</v>
      </c>
      <c r="Y806" t="s">
        <v>74</v>
      </c>
      <c r="Z806" t="s">
        <v>74</v>
      </c>
      <c r="AA806" t="s">
        <v>74</v>
      </c>
      <c r="AB806" t="s">
        <v>8515</v>
      </c>
      <c r="AC806" t="s">
        <v>74</v>
      </c>
      <c r="AD806" t="s">
        <v>74</v>
      </c>
      <c r="AE806" t="s">
        <v>74</v>
      </c>
      <c r="AF806" t="s">
        <v>74</v>
      </c>
      <c r="AG806" t="s">
        <v>74</v>
      </c>
      <c r="AH806" t="s">
        <v>74</v>
      </c>
      <c r="AI806" t="s">
        <v>74</v>
      </c>
      <c r="AJ806" t="s">
        <v>74</v>
      </c>
      <c r="AK806" t="s">
        <v>74</v>
      </c>
      <c r="AL806" t="s">
        <v>74</v>
      </c>
      <c r="AM806" t="s">
        <v>74</v>
      </c>
      <c r="AN806" t="s">
        <v>74</v>
      </c>
      <c r="AO806" t="s">
        <v>143</v>
      </c>
      <c r="AP806" t="s">
        <v>144</v>
      </c>
      <c r="AQ806" t="s">
        <v>74</v>
      </c>
      <c r="AR806" t="s">
        <v>74</v>
      </c>
      <c r="AS806" t="s">
        <v>74</v>
      </c>
      <c r="AT806" t="s">
        <v>175</v>
      </c>
      <c r="AU806">
        <v>1997</v>
      </c>
      <c r="AV806">
        <v>54</v>
      </c>
      <c r="AW806" t="s">
        <v>74</v>
      </c>
      <c r="AX806">
        <v>4</v>
      </c>
      <c r="AY806" t="s">
        <v>74</v>
      </c>
      <c r="AZ806" t="s">
        <v>74</v>
      </c>
      <c r="BA806" t="s">
        <v>74</v>
      </c>
      <c r="BB806">
        <v>893</v>
      </c>
      <c r="BC806">
        <v>899</v>
      </c>
      <c r="BD806" t="s">
        <v>74</v>
      </c>
      <c r="BE806" t="s">
        <v>8516</v>
      </c>
      <c r="BF806" t="str">
        <f>HYPERLINK("http://dx.doi.org/10.1006/anbe.1997.0514","http://dx.doi.org/10.1006/anbe.1997.0514")</f>
        <v>http://dx.doi.org/10.1006/anbe.1997.0514</v>
      </c>
      <c r="BG806" t="s">
        <v>74</v>
      </c>
      <c r="BH806" t="s">
        <v>74</v>
      </c>
      <c r="BI806" t="s">
        <v>74</v>
      </c>
      <c r="BJ806" t="s">
        <v>74</v>
      </c>
      <c r="BK806" t="s">
        <v>74</v>
      </c>
      <c r="BL806" t="s">
        <v>74</v>
      </c>
      <c r="BM806" t="s">
        <v>74</v>
      </c>
      <c r="BN806">
        <v>9344442</v>
      </c>
      <c r="BO806" t="s">
        <v>74</v>
      </c>
      <c r="BP806" t="s">
        <v>74</v>
      </c>
      <c r="BQ806" t="s">
        <v>74</v>
      </c>
      <c r="BR806" t="s">
        <v>74</v>
      </c>
      <c r="BS806" t="s">
        <v>8517</v>
      </c>
      <c r="BT806" t="str">
        <f>HYPERLINK("https%3A%2F%2Fwww.webofscience.com%2Fwos%2Fwoscc%2Ffull-record%2FWOS:A1997YE30600013","View Full Record in Web of Science")</f>
        <v>View Full Record in Web of Science</v>
      </c>
    </row>
    <row r="807" spans="1:72" x14ac:dyDescent="0.4">
      <c r="A807" t="s">
        <v>72</v>
      </c>
      <c r="B807" t="s">
        <v>4053</v>
      </c>
      <c r="C807" t="s">
        <v>74</v>
      </c>
      <c r="D807" t="s">
        <v>74</v>
      </c>
      <c r="E807" t="s">
        <v>74</v>
      </c>
      <c r="F807" t="s">
        <v>4054</v>
      </c>
      <c r="G807" t="s">
        <v>74</v>
      </c>
      <c r="H807" t="s">
        <v>74</v>
      </c>
      <c r="I807" t="s">
        <v>4055</v>
      </c>
      <c r="J807" t="s">
        <v>3190</v>
      </c>
      <c r="K807" t="s">
        <v>74</v>
      </c>
      <c r="L807" t="s">
        <v>74</v>
      </c>
      <c r="M807" t="s">
        <v>74</v>
      </c>
      <c r="N807" t="s">
        <v>74</v>
      </c>
      <c r="O807" t="s">
        <v>74</v>
      </c>
      <c r="P807" t="s">
        <v>74</v>
      </c>
      <c r="Q807" t="s">
        <v>74</v>
      </c>
      <c r="R807" t="s">
        <v>74</v>
      </c>
      <c r="S807" t="s">
        <v>74</v>
      </c>
      <c r="T807" t="s">
        <v>74</v>
      </c>
      <c r="U807" t="s">
        <v>74</v>
      </c>
      <c r="V807" s="3" t="s">
        <v>4056</v>
      </c>
      <c r="W807" t="s">
        <v>74</v>
      </c>
      <c r="X807" t="s">
        <v>74</v>
      </c>
      <c r="Y807" t="s">
        <v>74</v>
      </c>
      <c r="Z807" t="s">
        <v>74</v>
      </c>
      <c r="AA807" t="s">
        <v>4057</v>
      </c>
      <c r="AB807" t="s">
        <v>4058</v>
      </c>
      <c r="AC807" t="s">
        <v>74</v>
      </c>
      <c r="AD807" t="s">
        <v>74</v>
      </c>
      <c r="AE807" t="s">
        <v>74</v>
      </c>
      <c r="AF807" t="s">
        <v>74</v>
      </c>
      <c r="AG807" t="s">
        <v>74</v>
      </c>
      <c r="AH807" t="s">
        <v>74</v>
      </c>
      <c r="AI807" t="s">
        <v>74</v>
      </c>
      <c r="AJ807" t="s">
        <v>74</v>
      </c>
      <c r="AK807" t="s">
        <v>74</v>
      </c>
      <c r="AL807" t="s">
        <v>74</v>
      </c>
      <c r="AM807" t="s">
        <v>74</v>
      </c>
      <c r="AN807" t="s">
        <v>74</v>
      </c>
      <c r="AO807" t="s">
        <v>3193</v>
      </c>
      <c r="AP807" t="s">
        <v>3194</v>
      </c>
      <c r="AQ807" t="s">
        <v>74</v>
      </c>
      <c r="AR807" t="s">
        <v>74</v>
      </c>
      <c r="AS807" t="s">
        <v>74</v>
      </c>
      <c r="AT807" t="s">
        <v>213</v>
      </c>
      <c r="AU807">
        <v>2016</v>
      </c>
      <c r="AV807">
        <v>45</v>
      </c>
      <c r="AW807">
        <v>6</v>
      </c>
      <c r="AX807" t="s">
        <v>74</v>
      </c>
      <c r="AY807" t="s">
        <v>74</v>
      </c>
      <c r="AZ807" t="s">
        <v>74</v>
      </c>
      <c r="BA807" t="s">
        <v>74</v>
      </c>
      <c r="BB807">
        <v>509</v>
      </c>
      <c r="BC807">
        <v>518</v>
      </c>
      <c r="BD807" t="s">
        <v>74</v>
      </c>
      <c r="BE807" t="s">
        <v>4059</v>
      </c>
      <c r="BF807" t="str">
        <f>HYPERLINK("http://dx.doi.org/10.1016/j.asd.2016.10.008","http://dx.doi.org/10.1016/j.asd.2016.10.008")</f>
        <v>http://dx.doi.org/10.1016/j.asd.2016.10.008</v>
      </c>
      <c r="BG807" t="s">
        <v>74</v>
      </c>
      <c r="BH807" t="s">
        <v>74</v>
      </c>
      <c r="BI807" t="s">
        <v>74</v>
      </c>
      <c r="BJ807" t="s">
        <v>74</v>
      </c>
      <c r="BK807" t="s">
        <v>74</v>
      </c>
      <c r="BL807" t="s">
        <v>74</v>
      </c>
      <c r="BM807" t="s">
        <v>74</v>
      </c>
      <c r="BN807">
        <v>27725254</v>
      </c>
      <c r="BO807" t="s">
        <v>74</v>
      </c>
      <c r="BP807" t="s">
        <v>74</v>
      </c>
      <c r="BQ807" t="s">
        <v>74</v>
      </c>
      <c r="BR807" t="s">
        <v>74</v>
      </c>
      <c r="BS807" t="s">
        <v>4060</v>
      </c>
      <c r="BT807" t="str">
        <f>HYPERLINK("https%3A%2F%2Fwww.webofscience.com%2Fwos%2Fwoscc%2Ffull-record%2FWOS:000389092000001","View Full Record in Web of Science")</f>
        <v>View Full Record in Web of Science</v>
      </c>
    </row>
    <row r="808" spans="1:72" x14ac:dyDescent="0.4">
      <c r="A808" t="s">
        <v>72</v>
      </c>
      <c r="B808" t="s">
        <v>2001</v>
      </c>
      <c r="C808" t="s">
        <v>74</v>
      </c>
      <c r="D808" t="s">
        <v>74</v>
      </c>
      <c r="E808" t="s">
        <v>74</v>
      </c>
      <c r="F808" t="s">
        <v>2002</v>
      </c>
      <c r="G808" t="s">
        <v>74</v>
      </c>
      <c r="H808" t="s">
        <v>74</v>
      </c>
      <c r="I808" t="s">
        <v>2003</v>
      </c>
      <c r="J808" t="s">
        <v>610</v>
      </c>
      <c r="K808" t="s">
        <v>74</v>
      </c>
      <c r="L808" t="s">
        <v>74</v>
      </c>
      <c r="M808" t="s">
        <v>74</v>
      </c>
      <c r="N808" t="s">
        <v>74</v>
      </c>
      <c r="O808" t="s">
        <v>74</v>
      </c>
      <c r="P808" t="s">
        <v>74</v>
      </c>
      <c r="Q808" t="s">
        <v>74</v>
      </c>
      <c r="R808" t="s">
        <v>74</v>
      </c>
      <c r="S808" t="s">
        <v>74</v>
      </c>
      <c r="T808" t="s">
        <v>74</v>
      </c>
      <c r="U808" t="s">
        <v>74</v>
      </c>
      <c r="V808" s="3" t="s">
        <v>2004</v>
      </c>
      <c r="W808" t="s">
        <v>74</v>
      </c>
      <c r="X808" t="s">
        <v>74</v>
      </c>
      <c r="Y808" t="s">
        <v>74</v>
      </c>
      <c r="Z808" t="s">
        <v>74</v>
      </c>
      <c r="AA808" t="s">
        <v>74</v>
      </c>
      <c r="AB808" t="s">
        <v>90</v>
      </c>
      <c r="AC808" t="s">
        <v>74</v>
      </c>
      <c r="AD808" t="s">
        <v>74</v>
      </c>
      <c r="AE808" t="s">
        <v>74</v>
      </c>
      <c r="AF808" t="s">
        <v>74</v>
      </c>
      <c r="AG808" t="s">
        <v>74</v>
      </c>
      <c r="AH808" t="s">
        <v>74</v>
      </c>
      <c r="AI808" t="s">
        <v>74</v>
      </c>
      <c r="AJ808" t="s">
        <v>74</v>
      </c>
      <c r="AK808" t="s">
        <v>74</v>
      </c>
      <c r="AL808" t="s">
        <v>74</v>
      </c>
      <c r="AM808" t="s">
        <v>74</v>
      </c>
      <c r="AN808" t="s">
        <v>74</v>
      </c>
      <c r="AO808" t="s">
        <v>614</v>
      </c>
      <c r="AP808" t="s">
        <v>615</v>
      </c>
      <c r="AQ808" t="s">
        <v>74</v>
      </c>
      <c r="AR808" t="s">
        <v>74</v>
      </c>
      <c r="AS808" t="s">
        <v>74</v>
      </c>
      <c r="AT808" t="s">
        <v>102</v>
      </c>
      <c r="AU808">
        <v>2022</v>
      </c>
      <c r="AV808">
        <v>128</v>
      </c>
      <c r="AW808">
        <v>6</v>
      </c>
      <c r="AX808" t="s">
        <v>74</v>
      </c>
      <c r="AY808" t="s">
        <v>74</v>
      </c>
      <c r="AZ808" t="s">
        <v>74</v>
      </c>
      <c r="BA808" t="s">
        <v>74</v>
      </c>
      <c r="BB808">
        <v>482</v>
      </c>
      <c r="BC808">
        <v>488</v>
      </c>
      <c r="BD808" t="s">
        <v>74</v>
      </c>
      <c r="BE808" t="s">
        <v>2005</v>
      </c>
      <c r="BF808" t="str">
        <f>HYPERLINK("http://dx.doi.org/10.1111/eth.13282","http://dx.doi.org/10.1111/eth.13282")</f>
        <v>http://dx.doi.org/10.1111/eth.13282</v>
      </c>
      <c r="BG808" t="s">
        <v>74</v>
      </c>
      <c r="BH808" t="s">
        <v>2006</v>
      </c>
      <c r="BI808" t="s">
        <v>74</v>
      </c>
      <c r="BJ808" t="s">
        <v>74</v>
      </c>
      <c r="BK808" t="s">
        <v>74</v>
      </c>
      <c r="BL808" t="s">
        <v>74</v>
      </c>
      <c r="BM808" t="s">
        <v>74</v>
      </c>
      <c r="BN808" t="s">
        <v>74</v>
      </c>
      <c r="BO808" t="s">
        <v>74</v>
      </c>
      <c r="BP808" t="s">
        <v>74</v>
      </c>
      <c r="BQ808" t="s">
        <v>74</v>
      </c>
      <c r="BR808" t="s">
        <v>74</v>
      </c>
      <c r="BS808" t="s">
        <v>2007</v>
      </c>
      <c r="BT808" t="str">
        <f>HYPERLINK("https%3A%2F%2Fwww.webofscience.com%2Fwos%2Fwoscc%2Ffull-record%2FWOS:000781080500001","View Full Record in Web of Science")</f>
        <v>View Full Record in Web of Science</v>
      </c>
    </row>
    <row r="809" spans="1:72" x14ac:dyDescent="0.4">
      <c r="A809" t="s">
        <v>72</v>
      </c>
      <c r="B809" t="s">
        <v>1093</v>
      </c>
      <c r="C809" t="s">
        <v>74</v>
      </c>
      <c r="D809" t="s">
        <v>74</v>
      </c>
      <c r="E809" t="s">
        <v>74</v>
      </c>
      <c r="F809" t="s">
        <v>1094</v>
      </c>
      <c r="G809" t="s">
        <v>74</v>
      </c>
      <c r="H809" t="s">
        <v>74</v>
      </c>
      <c r="I809" t="s">
        <v>1095</v>
      </c>
      <c r="J809" t="s">
        <v>1096</v>
      </c>
      <c r="K809" t="s">
        <v>74</v>
      </c>
      <c r="L809" t="s">
        <v>74</v>
      </c>
      <c r="M809" t="s">
        <v>74</v>
      </c>
      <c r="N809" t="s">
        <v>74</v>
      </c>
      <c r="O809" t="s">
        <v>74</v>
      </c>
      <c r="P809" t="s">
        <v>74</v>
      </c>
      <c r="Q809" t="s">
        <v>74</v>
      </c>
      <c r="R809" t="s">
        <v>74</v>
      </c>
      <c r="S809" t="s">
        <v>74</v>
      </c>
      <c r="T809" t="s">
        <v>74</v>
      </c>
      <c r="U809" t="s">
        <v>74</v>
      </c>
      <c r="V809" s="3" t="s">
        <v>1097</v>
      </c>
      <c r="W809" t="s">
        <v>74</v>
      </c>
      <c r="X809" t="s">
        <v>74</v>
      </c>
      <c r="Y809" t="s">
        <v>74</v>
      </c>
      <c r="Z809" t="s">
        <v>74</v>
      </c>
      <c r="AA809" t="s">
        <v>74</v>
      </c>
      <c r="AB809" t="s">
        <v>90</v>
      </c>
      <c r="AC809" t="s">
        <v>74</v>
      </c>
      <c r="AD809" t="s">
        <v>74</v>
      </c>
      <c r="AE809" t="s">
        <v>74</v>
      </c>
      <c r="AF809" t="s">
        <v>74</v>
      </c>
      <c r="AG809" t="s">
        <v>74</v>
      </c>
      <c r="AH809" t="s">
        <v>74</v>
      </c>
      <c r="AI809" t="s">
        <v>74</v>
      </c>
      <c r="AJ809" t="s">
        <v>74</v>
      </c>
      <c r="AK809" t="s">
        <v>74</v>
      </c>
      <c r="AL809" t="s">
        <v>74</v>
      </c>
      <c r="AM809" t="s">
        <v>74</v>
      </c>
      <c r="AN809" t="s">
        <v>74</v>
      </c>
      <c r="AO809" t="s">
        <v>1098</v>
      </c>
      <c r="AP809" t="s">
        <v>1099</v>
      </c>
      <c r="AQ809" t="s">
        <v>74</v>
      </c>
      <c r="AR809" t="s">
        <v>74</v>
      </c>
      <c r="AS809" t="s">
        <v>74</v>
      </c>
      <c r="AT809" t="s">
        <v>255</v>
      </c>
      <c r="AU809">
        <v>2012</v>
      </c>
      <c r="AV809">
        <v>21</v>
      </c>
      <c r="AW809">
        <v>1</v>
      </c>
      <c r="AX809" t="s">
        <v>74</v>
      </c>
      <c r="AY809" t="s">
        <v>74</v>
      </c>
      <c r="AZ809" t="s">
        <v>74</v>
      </c>
      <c r="BA809" t="s">
        <v>74</v>
      </c>
      <c r="BB809">
        <v>34</v>
      </c>
      <c r="BC809">
        <v>41</v>
      </c>
      <c r="BD809" t="s">
        <v>74</v>
      </c>
      <c r="BE809" t="s">
        <v>1100</v>
      </c>
      <c r="BF809" t="str">
        <f>HYPERLINK("http://dx.doi.org/10.1111/j.1600-0633.2011.00520.x","http://dx.doi.org/10.1111/j.1600-0633.2011.00520.x")</f>
        <v>http://dx.doi.org/10.1111/j.1600-0633.2011.00520.x</v>
      </c>
      <c r="BG809" t="s">
        <v>74</v>
      </c>
      <c r="BH809" t="s">
        <v>74</v>
      </c>
      <c r="BI809" t="s">
        <v>74</v>
      </c>
      <c r="BJ809" t="s">
        <v>74</v>
      </c>
      <c r="BK809" t="s">
        <v>74</v>
      </c>
      <c r="BL809" t="s">
        <v>74</v>
      </c>
      <c r="BM809" t="s">
        <v>74</v>
      </c>
      <c r="BN809" t="s">
        <v>74</v>
      </c>
      <c r="BO809" t="s">
        <v>74</v>
      </c>
      <c r="BP809" t="s">
        <v>74</v>
      </c>
      <c r="BQ809" t="s">
        <v>74</v>
      </c>
      <c r="BR809" t="s">
        <v>74</v>
      </c>
      <c r="BS809" t="s">
        <v>1101</v>
      </c>
      <c r="BT809" t="str">
        <f>HYPERLINK("https%3A%2F%2Fwww.webofscience.com%2Fwos%2Fwoscc%2Ffull-record%2FWOS:000297634700004","View Full Record in Web of Science")</f>
        <v>View Full Record in Web of Science</v>
      </c>
    </row>
    <row r="810" spans="1:72" x14ac:dyDescent="0.4">
      <c r="A810" t="s">
        <v>72</v>
      </c>
      <c r="B810" t="s">
        <v>85</v>
      </c>
      <c r="C810" t="s">
        <v>74</v>
      </c>
      <c r="D810" t="s">
        <v>74</v>
      </c>
      <c r="E810" t="s">
        <v>74</v>
      </c>
      <c r="F810" t="s">
        <v>86</v>
      </c>
      <c r="G810" t="s">
        <v>74</v>
      </c>
      <c r="H810" t="s">
        <v>74</v>
      </c>
      <c r="I810" t="s">
        <v>87</v>
      </c>
      <c r="J810" t="s">
        <v>88</v>
      </c>
      <c r="K810" t="s">
        <v>74</v>
      </c>
      <c r="L810" t="s">
        <v>74</v>
      </c>
      <c r="M810" t="s">
        <v>74</v>
      </c>
      <c r="N810" t="s">
        <v>74</v>
      </c>
      <c r="O810" t="s">
        <v>74</v>
      </c>
      <c r="P810" t="s">
        <v>74</v>
      </c>
      <c r="Q810" t="s">
        <v>74</v>
      </c>
      <c r="R810" t="s">
        <v>74</v>
      </c>
      <c r="S810" t="s">
        <v>74</v>
      </c>
      <c r="T810" t="s">
        <v>74</v>
      </c>
      <c r="U810" t="s">
        <v>74</v>
      </c>
      <c r="V810" s="3" t="s">
        <v>89</v>
      </c>
      <c r="W810" t="s">
        <v>74</v>
      </c>
      <c r="X810" t="s">
        <v>74</v>
      </c>
      <c r="Y810" t="s">
        <v>74</v>
      </c>
      <c r="Z810" t="s">
        <v>74</v>
      </c>
      <c r="AA810" t="s">
        <v>74</v>
      </c>
      <c r="AB810" t="s">
        <v>90</v>
      </c>
      <c r="AC810" t="s">
        <v>74</v>
      </c>
      <c r="AD810" t="s">
        <v>74</v>
      </c>
      <c r="AE810" t="s">
        <v>74</v>
      </c>
      <c r="AF810" t="s">
        <v>74</v>
      </c>
      <c r="AG810" t="s">
        <v>74</v>
      </c>
      <c r="AH810" t="s">
        <v>74</v>
      </c>
      <c r="AI810" t="s">
        <v>74</v>
      </c>
      <c r="AJ810" t="s">
        <v>74</v>
      </c>
      <c r="AK810" t="s">
        <v>74</v>
      </c>
      <c r="AL810" t="s">
        <v>74</v>
      </c>
      <c r="AM810" t="s">
        <v>74</v>
      </c>
      <c r="AN810" t="s">
        <v>74</v>
      </c>
      <c r="AO810" t="s">
        <v>91</v>
      </c>
      <c r="AP810" t="s">
        <v>92</v>
      </c>
      <c r="AQ810" t="s">
        <v>74</v>
      </c>
      <c r="AR810" t="s">
        <v>74</v>
      </c>
      <c r="AS810" t="s">
        <v>74</v>
      </c>
      <c r="AT810" t="s">
        <v>93</v>
      </c>
      <c r="AU810">
        <v>2008</v>
      </c>
      <c r="AV810">
        <v>4</v>
      </c>
      <c r="AW810">
        <v>2</v>
      </c>
      <c r="AX810" t="s">
        <v>74</v>
      </c>
      <c r="AY810" t="s">
        <v>74</v>
      </c>
      <c r="AZ810" t="s">
        <v>74</v>
      </c>
      <c r="BA810" t="s">
        <v>74</v>
      </c>
      <c r="BB810">
        <v>156</v>
      </c>
      <c r="BC810">
        <v>159</v>
      </c>
      <c r="BD810" t="s">
        <v>74</v>
      </c>
      <c r="BE810" t="s">
        <v>94</v>
      </c>
      <c r="BF810" t="str">
        <f>HYPERLINK("http://dx.doi.org/10.1098/rsbl.2007.0581","http://dx.doi.org/10.1098/rsbl.2007.0581")</f>
        <v>http://dx.doi.org/10.1098/rsbl.2007.0581</v>
      </c>
      <c r="BG810" t="s">
        <v>74</v>
      </c>
      <c r="BH810" t="s">
        <v>74</v>
      </c>
      <c r="BI810" t="s">
        <v>74</v>
      </c>
      <c r="BJ810" t="s">
        <v>74</v>
      </c>
      <c r="BK810" t="s">
        <v>74</v>
      </c>
      <c r="BL810" t="s">
        <v>74</v>
      </c>
      <c r="BM810" t="s">
        <v>74</v>
      </c>
      <c r="BN810">
        <v>18230585</v>
      </c>
      <c r="BO810" t="s">
        <v>74</v>
      </c>
      <c r="BP810" t="s">
        <v>74</v>
      </c>
      <c r="BQ810" t="s">
        <v>74</v>
      </c>
      <c r="BR810" t="s">
        <v>74</v>
      </c>
      <c r="BS810" t="s">
        <v>95</v>
      </c>
      <c r="BT810" t="str">
        <f>HYPERLINK("https%3A%2F%2Fwww.webofscience.com%2Fwos%2Fwoscc%2Ffull-record%2FWOS:000254353200005","View Full Record in Web of Science")</f>
        <v>View Full Record in Web of Science</v>
      </c>
    </row>
    <row r="811" spans="1:72" x14ac:dyDescent="0.4">
      <c r="A811" t="s">
        <v>72</v>
      </c>
      <c r="B811" t="s">
        <v>428</v>
      </c>
      <c r="C811" t="s">
        <v>74</v>
      </c>
      <c r="D811" t="s">
        <v>74</v>
      </c>
      <c r="E811" t="s">
        <v>74</v>
      </c>
      <c r="F811" t="s">
        <v>429</v>
      </c>
      <c r="G811" t="s">
        <v>74</v>
      </c>
      <c r="H811" t="s">
        <v>74</v>
      </c>
      <c r="I811" t="s">
        <v>430</v>
      </c>
      <c r="J811" t="s">
        <v>431</v>
      </c>
      <c r="K811" t="s">
        <v>74</v>
      </c>
      <c r="L811" t="s">
        <v>74</v>
      </c>
      <c r="M811" t="s">
        <v>74</v>
      </c>
      <c r="N811" t="s">
        <v>74</v>
      </c>
      <c r="O811" t="s">
        <v>74</v>
      </c>
      <c r="P811" t="s">
        <v>74</v>
      </c>
      <c r="Q811" t="s">
        <v>74</v>
      </c>
      <c r="R811" t="s">
        <v>74</v>
      </c>
      <c r="S811" t="s">
        <v>74</v>
      </c>
      <c r="T811" t="s">
        <v>74</v>
      </c>
      <c r="U811" t="s">
        <v>74</v>
      </c>
      <c r="V811" s="3" t="s">
        <v>432</v>
      </c>
      <c r="W811" t="s">
        <v>74</v>
      </c>
      <c r="X811" t="s">
        <v>74</v>
      </c>
      <c r="Y811" t="s">
        <v>74</v>
      </c>
      <c r="Z811" t="s">
        <v>74</v>
      </c>
      <c r="AA811" t="s">
        <v>433</v>
      </c>
      <c r="AB811" t="s">
        <v>434</v>
      </c>
      <c r="AC811" t="s">
        <v>74</v>
      </c>
      <c r="AD811" t="s">
        <v>74</v>
      </c>
      <c r="AE811" t="s">
        <v>74</v>
      </c>
      <c r="AF811" t="s">
        <v>74</v>
      </c>
      <c r="AG811" t="s">
        <v>74</v>
      </c>
      <c r="AH811" t="s">
        <v>74</v>
      </c>
      <c r="AI811" t="s">
        <v>74</v>
      </c>
      <c r="AJ811" t="s">
        <v>74</v>
      </c>
      <c r="AK811" t="s">
        <v>74</v>
      </c>
      <c r="AL811" t="s">
        <v>74</v>
      </c>
      <c r="AM811" t="s">
        <v>74</v>
      </c>
      <c r="AN811" t="s">
        <v>74</v>
      </c>
      <c r="AO811" t="s">
        <v>74</v>
      </c>
      <c r="AP811" t="s">
        <v>435</v>
      </c>
      <c r="AQ811" t="s">
        <v>74</v>
      </c>
      <c r="AR811" t="s">
        <v>74</v>
      </c>
      <c r="AS811" t="s">
        <v>74</v>
      </c>
      <c r="AT811" t="s">
        <v>204</v>
      </c>
      <c r="AU811">
        <v>2011</v>
      </c>
      <c r="AV811">
        <v>128</v>
      </c>
      <c r="AW811">
        <v>3</v>
      </c>
      <c r="AX811" t="s">
        <v>74</v>
      </c>
      <c r="AY811" t="s">
        <v>74</v>
      </c>
      <c r="AZ811" t="s">
        <v>74</v>
      </c>
      <c r="BA811" t="s">
        <v>74</v>
      </c>
      <c r="BB811">
        <v>497</v>
      </c>
      <c r="BC811">
        <v>505</v>
      </c>
      <c r="BD811" t="s">
        <v>74</v>
      </c>
      <c r="BE811" t="s">
        <v>436</v>
      </c>
      <c r="BF811" t="str">
        <f>HYPERLINK("http://dx.doi.org/10.1525/auk.2011.11085","http://dx.doi.org/10.1525/auk.2011.11085")</f>
        <v>http://dx.doi.org/10.1525/auk.2011.11085</v>
      </c>
      <c r="BG811" t="s">
        <v>74</v>
      </c>
      <c r="BH811" t="s">
        <v>74</v>
      </c>
      <c r="BI811" t="s">
        <v>74</v>
      </c>
      <c r="BJ811" t="s">
        <v>74</v>
      </c>
      <c r="BK811" t="s">
        <v>74</v>
      </c>
      <c r="BL811" t="s">
        <v>74</v>
      </c>
      <c r="BM811" t="s">
        <v>74</v>
      </c>
      <c r="BN811" t="s">
        <v>74</v>
      </c>
      <c r="BO811" t="s">
        <v>74</v>
      </c>
      <c r="BP811" t="s">
        <v>74</v>
      </c>
      <c r="BQ811" t="s">
        <v>74</v>
      </c>
      <c r="BR811" t="s">
        <v>74</v>
      </c>
      <c r="BS811" t="s">
        <v>437</v>
      </c>
      <c r="BT811" t="str">
        <f>HYPERLINK("https%3A%2F%2Fwww.webofscience.com%2Fwos%2Fwoscc%2Ffull-record%2FWOS:000293307300007","View Full Record in Web of Science")</f>
        <v>View Full Record in Web of Science</v>
      </c>
    </row>
    <row r="812" spans="1:72" x14ac:dyDescent="0.4">
      <c r="A812" t="s">
        <v>72</v>
      </c>
      <c r="B812" t="s">
        <v>7093</v>
      </c>
      <c r="C812" t="s">
        <v>74</v>
      </c>
      <c r="D812" t="s">
        <v>74</v>
      </c>
      <c r="E812" t="s">
        <v>74</v>
      </c>
      <c r="F812" t="s">
        <v>7093</v>
      </c>
      <c r="G812" t="s">
        <v>74</v>
      </c>
      <c r="H812" t="s">
        <v>74</v>
      </c>
      <c r="I812" t="s">
        <v>7094</v>
      </c>
      <c r="J812" t="s">
        <v>1526</v>
      </c>
      <c r="K812" t="s">
        <v>74</v>
      </c>
      <c r="L812" t="s">
        <v>74</v>
      </c>
      <c r="M812" t="s">
        <v>74</v>
      </c>
      <c r="N812" t="s">
        <v>74</v>
      </c>
      <c r="O812" t="s">
        <v>74</v>
      </c>
      <c r="P812" t="s">
        <v>74</v>
      </c>
      <c r="Q812" t="s">
        <v>74</v>
      </c>
      <c r="R812" t="s">
        <v>74</v>
      </c>
      <c r="S812" t="s">
        <v>74</v>
      </c>
      <c r="T812" t="s">
        <v>74</v>
      </c>
      <c r="U812" t="s">
        <v>74</v>
      </c>
      <c r="V812" s="3" t="s">
        <v>7095</v>
      </c>
      <c r="W812" t="s">
        <v>74</v>
      </c>
      <c r="X812" t="s">
        <v>74</v>
      </c>
      <c r="Y812" t="s">
        <v>74</v>
      </c>
      <c r="Z812" t="s">
        <v>74</v>
      </c>
      <c r="AA812" t="s">
        <v>74</v>
      </c>
      <c r="AB812" t="s">
        <v>74</v>
      </c>
      <c r="AC812" t="s">
        <v>74</v>
      </c>
      <c r="AD812" t="s">
        <v>74</v>
      </c>
      <c r="AE812" t="s">
        <v>74</v>
      </c>
      <c r="AF812" t="s">
        <v>74</v>
      </c>
      <c r="AG812" t="s">
        <v>74</v>
      </c>
      <c r="AH812" t="s">
        <v>74</v>
      </c>
      <c r="AI812" t="s">
        <v>74</v>
      </c>
      <c r="AJ812" t="s">
        <v>74</v>
      </c>
      <c r="AK812" t="s">
        <v>74</v>
      </c>
      <c r="AL812" t="s">
        <v>74</v>
      </c>
      <c r="AM812" t="s">
        <v>74</v>
      </c>
      <c r="AN812" t="s">
        <v>74</v>
      </c>
      <c r="AO812" t="s">
        <v>74</v>
      </c>
      <c r="AP812" t="s">
        <v>2131</v>
      </c>
      <c r="AQ812" t="s">
        <v>74</v>
      </c>
      <c r="AR812" t="s">
        <v>74</v>
      </c>
      <c r="AS812" t="s">
        <v>74</v>
      </c>
      <c r="AT812" t="s">
        <v>74</v>
      </c>
      <c r="AU812">
        <v>1979</v>
      </c>
      <c r="AV812">
        <v>81</v>
      </c>
      <c r="AW812">
        <v>3</v>
      </c>
      <c r="AX812" t="s">
        <v>74</v>
      </c>
      <c r="AY812" t="s">
        <v>74</v>
      </c>
      <c r="AZ812" t="s">
        <v>74</v>
      </c>
      <c r="BA812" t="s">
        <v>74</v>
      </c>
      <c r="BB812">
        <v>278</v>
      </c>
      <c r="BC812">
        <v>285</v>
      </c>
      <c r="BD812" t="s">
        <v>74</v>
      </c>
      <c r="BE812" t="s">
        <v>7096</v>
      </c>
      <c r="BF812" t="str">
        <f>HYPERLINK("http://dx.doi.org/10.2307/1367633","http://dx.doi.org/10.2307/1367633")</f>
        <v>http://dx.doi.org/10.2307/1367633</v>
      </c>
      <c r="BG812" t="s">
        <v>74</v>
      </c>
      <c r="BH812" t="s">
        <v>74</v>
      </c>
      <c r="BI812" t="s">
        <v>74</v>
      </c>
      <c r="BJ812" t="s">
        <v>74</v>
      </c>
      <c r="BK812" t="s">
        <v>74</v>
      </c>
      <c r="BL812" t="s">
        <v>74</v>
      </c>
      <c r="BM812" t="s">
        <v>74</v>
      </c>
      <c r="BN812" t="s">
        <v>74</v>
      </c>
      <c r="BO812" t="s">
        <v>74</v>
      </c>
      <c r="BP812" t="s">
        <v>74</v>
      </c>
      <c r="BQ812" t="s">
        <v>74</v>
      </c>
      <c r="BR812" t="s">
        <v>74</v>
      </c>
      <c r="BS812" t="s">
        <v>7097</v>
      </c>
      <c r="BT812" t="str">
        <f>HYPERLINK("https%3A%2F%2Fwww.webofscience.com%2Fwos%2Fwoscc%2Ffull-record%2FWOS:A1979HS58400009","View Full Record in Web of Science")</f>
        <v>View Full Record in Web of Science</v>
      </c>
    </row>
    <row r="813" spans="1:72" x14ac:dyDescent="0.4">
      <c r="A813" t="s">
        <v>72</v>
      </c>
      <c r="B813" t="s">
        <v>7353</v>
      </c>
      <c r="C813" t="s">
        <v>74</v>
      </c>
      <c r="D813" t="s">
        <v>74</v>
      </c>
      <c r="E813" t="s">
        <v>74</v>
      </c>
      <c r="F813" t="s">
        <v>7354</v>
      </c>
      <c r="G813" t="s">
        <v>74</v>
      </c>
      <c r="H813" t="s">
        <v>74</v>
      </c>
      <c r="I813" t="s">
        <v>7355</v>
      </c>
      <c r="J813" t="s">
        <v>140</v>
      </c>
      <c r="K813" t="s">
        <v>74</v>
      </c>
      <c r="L813" t="s">
        <v>74</v>
      </c>
      <c r="M813" t="s">
        <v>74</v>
      </c>
      <c r="N813" t="s">
        <v>74</v>
      </c>
      <c r="O813" t="s">
        <v>74</v>
      </c>
      <c r="P813" t="s">
        <v>74</v>
      </c>
      <c r="Q813" t="s">
        <v>74</v>
      </c>
      <c r="R813" t="s">
        <v>74</v>
      </c>
      <c r="S813" t="s">
        <v>74</v>
      </c>
      <c r="T813" t="s">
        <v>74</v>
      </c>
      <c r="U813" t="s">
        <v>74</v>
      </c>
      <c r="V813" s="3" t="s">
        <v>7356</v>
      </c>
      <c r="W813" t="s">
        <v>74</v>
      </c>
      <c r="X813" t="s">
        <v>74</v>
      </c>
      <c r="Y813" t="s">
        <v>74</v>
      </c>
      <c r="Z813" t="s">
        <v>74</v>
      </c>
      <c r="AA813" t="s">
        <v>74</v>
      </c>
      <c r="AB813" t="s">
        <v>74</v>
      </c>
      <c r="AC813" t="s">
        <v>74</v>
      </c>
      <c r="AD813" t="s">
        <v>74</v>
      </c>
      <c r="AE813" t="s">
        <v>74</v>
      </c>
      <c r="AF813" t="s">
        <v>74</v>
      </c>
      <c r="AG813" t="s">
        <v>74</v>
      </c>
      <c r="AH813" t="s">
        <v>74</v>
      </c>
      <c r="AI813" t="s">
        <v>74</v>
      </c>
      <c r="AJ813" t="s">
        <v>74</v>
      </c>
      <c r="AK813" t="s">
        <v>74</v>
      </c>
      <c r="AL813" t="s">
        <v>74</v>
      </c>
      <c r="AM813" t="s">
        <v>74</v>
      </c>
      <c r="AN813" t="s">
        <v>74</v>
      </c>
      <c r="AO813" t="s">
        <v>143</v>
      </c>
      <c r="AP813" t="s">
        <v>144</v>
      </c>
      <c r="AQ813" t="s">
        <v>74</v>
      </c>
      <c r="AR813" t="s">
        <v>74</v>
      </c>
      <c r="AS813" t="s">
        <v>74</v>
      </c>
      <c r="AT813" t="s">
        <v>255</v>
      </c>
      <c r="AU813">
        <v>2007</v>
      </c>
      <c r="AV813">
        <v>73</v>
      </c>
      <c r="AW813" t="s">
        <v>74</v>
      </c>
      <c r="AX813">
        <v>1</v>
      </c>
      <c r="AY813" t="s">
        <v>74</v>
      </c>
      <c r="AZ813" t="s">
        <v>74</v>
      </c>
      <c r="BA813" t="s">
        <v>74</v>
      </c>
      <c r="BB813">
        <v>55</v>
      </c>
      <c r="BC813">
        <v>63</v>
      </c>
      <c r="BD813" t="s">
        <v>74</v>
      </c>
      <c r="BE813" t="s">
        <v>7357</v>
      </c>
      <c r="BF813" t="str">
        <f>HYPERLINK("http://dx.doi.org/10.1016/j.anbehav.2006.06.005","http://dx.doi.org/10.1016/j.anbehav.2006.06.005")</f>
        <v>http://dx.doi.org/10.1016/j.anbehav.2006.06.005</v>
      </c>
      <c r="BG813" t="s">
        <v>74</v>
      </c>
      <c r="BH813" t="s">
        <v>74</v>
      </c>
      <c r="BI813" t="s">
        <v>74</v>
      </c>
      <c r="BJ813" t="s">
        <v>74</v>
      </c>
      <c r="BK813" t="s">
        <v>74</v>
      </c>
      <c r="BL813" t="s">
        <v>74</v>
      </c>
      <c r="BM813" t="s">
        <v>74</v>
      </c>
      <c r="BN813" t="s">
        <v>74</v>
      </c>
      <c r="BO813" t="s">
        <v>74</v>
      </c>
      <c r="BP813" t="s">
        <v>74</v>
      </c>
      <c r="BQ813" t="s">
        <v>74</v>
      </c>
      <c r="BR813" t="s">
        <v>74</v>
      </c>
      <c r="BS813" t="s">
        <v>7358</v>
      </c>
      <c r="BT813" t="str">
        <f>HYPERLINK("https%3A%2F%2Fwww.webofscience.com%2Fwos%2Fwoscc%2Ffull-record%2FWOS:000243735000006","View Full Record in Web of Science")</f>
        <v>View Full Record in Web of Science</v>
      </c>
    </row>
    <row r="814" spans="1:72" x14ac:dyDescent="0.4">
      <c r="A814" t="s">
        <v>72</v>
      </c>
      <c r="B814" t="s">
        <v>7367</v>
      </c>
      <c r="C814" t="s">
        <v>74</v>
      </c>
      <c r="D814" t="s">
        <v>74</v>
      </c>
      <c r="E814" t="s">
        <v>74</v>
      </c>
      <c r="F814" t="s">
        <v>7368</v>
      </c>
      <c r="G814" t="s">
        <v>74</v>
      </c>
      <c r="H814" t="s">
        <v>74</v>
      </c>
      <c r="I814" t="s">
        <v>7369</v>
      </c>
      <c r="J814" t="s">
        <v>344</v>
      </c>
      <c r="K814" t="s">
        <v>74</v>
      </c>
      <c r="L814" t="s">
        <v>74</v>
      </c>
      <c r="M814" t="s">
        <v>74</v>
      </c>
      <c r="N814" t="s">
        <v>74</v>
      </c>
      <c r="O814" t="s">
        <v>74</v>
      </c>
      <c r="P814" t="s">
        <v>74</v>
      </c>
      <c r="Q814" t="s">
        <v>74</v>
      </c>
      <c r="R814" t="s">
        <v>74</v>
      </c>
      <c r="S814" t="s">
        <v>74</v>
      </c>
      <c r="T814" t="s">
        <v>74</v>
      </c>
      <c r="U814" t="s">
        <v>74</v>
      </c>
      <c r="V814" s="3" t="s">
        <v>7370</v>
      </c>
      <c r="W814" t="s">
        <v>74</v>
      </c>
      <c r="X814" t="s">
        <v>74</v>
      </c>
      <c r="Y814" t="s">
        <v>74</v>
      </c>
      <c r="Z814" t="s">
        <v>74</v>
      </c>
      <c r="AA814" t="s">
        <v>74</v>
      </c>
      <c r="AB814" t="s">
        <v>74</v>
      </c>
      <c r="AC814" t="s">
        <v>74</v>
      </c>
      <c r="AD814" t="s">
        <v>74</v>
      </c>
      <c r="AE814" t="s">
        <v>74</v>
      </c>
      <c r="AF814" t="s">
        <v>74</v>
      </c>
      <c r="AG814" t="s">
        <v>74</v>
      </c>
      <c r="AH814" t="s">
        <v>74</v>
      </c>
      <c r="AI814" t="s">
        <v>74</v>
      </c>
      <c r="AJ814" t="s">
        <v>74</v>
      </c>
      <c r="AK814" t="s">
        <v>74</v>
      </c>
      <c r="AL814" t="s">
        <v>74</v>
      </c>
      <c r="AM814" t="s">
        <v>74</v>
      </c>
      <c r="AN814" t="s">
        <v>74</v>
      </c>
      <c r="AO814" t="s">
        <v>346</v>
      </c>
      <c r="AP814" t="s">
        <v>6569</v>
      </c>
      <c r="AQ814" t="s">
        <v>74</v>
      </c>
      <c r="AR814" t="s">
        <v>74</v>
      </c>
      <c r="AS814" t="s">
        <v>74</v>
      </c>
      <c r="AT814" t="s">
        <v>145</v>
      </c>
      <c r="AU814">
        <v>2022</v>
      </c>
      <c r="AV814">
        <v>105</v>
      </c>
      <c r="AW814">
        <v>8</v>
      </c>
      <c r="AX814" t="s">
        <v>74</v>
      </c>
      <c r="AY814" t="s">
        <v>74</v>
      </c>
      <c r="AZ814" t="s">
        <v>74</v>
      </c>
      <c r="BA814" t="s">
        <v>74</v>
      </c>
      <c r="BB814">
        <v>1129</v>
      </c>
      <c r="BC814">
        <v>1137</v>
      </c>
      <c r="BD814" t="s">
        <v>74</v>
      </c>
      <c r="BE814" t="s">
        <v>7371</v>
      </c>
      <c r="BF814" t="str">
        <f>HYPERLINK("http://dx.doi.org/10.1007/s10641-022-01313-w","http://dx.doi.org/10.1007/s10641-022-01313-w")</f>
        <v>http://dx.doi.org/10.1007/s10641-022-01313-w</v>
      </c>
      <c r="BG814" t="s">
        <v>74</v>
      </c>
      <c r="BH814" t="s">
        <v>307</v>
      </c>
      <c r="BI814" t="s">
        <v>74</v>
      </c>
      <c r="BJ814" t="s">
        <v>74</v>
      </c>
      <c r="BK814" t="s">
        <v>74</v>
      </c>
      <c r="BL814" t="s">
        <v>74</v>
      </c>
      <c r="BM814" t="s">
        <v>74</v>
      </c>
      <c r="BN814" t="s">
        <v>74</v>
      </c>
      <c r="BO814" t="s">
        <v>74</v>
      </c>
      <c r="BP814" t="s">
        <v>74</v>
      </c>
      <c r="BQ814" t="s">
        <v>74</v>
      </c>
      <c r="BR814" t="s">
        <v>74</v>
      </c>
      <c r="BS814" t="s">
        <v>7372</v>
      </c>
      <c r="BT814" t="str">
        <f>HYPERLINK("https%3A%2F%2Fwww.webofscience.com%2Fwos%2Fwoscc%2Ffull-record%2FWOS:000836521600001","View Full Record in Web of Science")</f>
        <v>View Full Record in Web of Science</v>
      </c>
    </row>
    <row r="815" spans="1:72" x14ac:dyDescent="0.4">
      <c r="A815" t="s">
        <v>72</v>
      </c>
      <c r="B815" t="s">
        <v>8674</v>
      </c>
      <c r="C815" t="s">
        <v>74</v>
      </c>
      <c r="D815" t="s">
        <v>74</v>
      </c>
      <c r="E815" t="s">
        <v>74</v>
      </c>
      <c r="F815" t="s">
        <v>8675</v>
      </c>
      <c r="G815" t="s">
        <v>74</v>
      </c>
      <c r="H815" t="s">
        <v>74</v>
      </c>
      <c r="I815" t="s">
        <v>8676</v>
      </c>
      <c r="J815" t="s">
        <v>5881</v>
      </c>
      <c r="K815" t="s">
        <v>74</v>
      </c>
      <c r="L815" t="s">
        <v>74</v>
      </c>
      <c r="M815" t="s">
        <v>74</v>
      </c>
      <c r="N815" t="s">
        <v>74</v>
      </c>
      <c r="O815" t="s">
        <v>74</v>
      </c>
      <c r="P815" t="s">
        <v>74</v>
      </c>
      <c r="Q815" t="s">
        <v>74</v>
      </c>
      <c r="R815" t="s">
        <v>74</v>
      </c>
      <c r="S815" t="s">
        <v>74</v>
      </c>
      <c r="T815" t="s">
        <v>74</v>
      </c>
      <c r="U815" t="s">
        <v>74</v>
      </c>
      <c r="V815" s="3" t="s">
        <v>8677</v>
      </c>
      <c r="W815" t="s">
        <v>74</v>
      </c>
      <c r="X815" t="s">
        <v>74</v>
      </c>
      <c r="Y815" t="s">
        <v>74</v>
      </c>
      <c r="Z815" t="s">
        <v>74</v>
      </c>
      <c r="AA815" t="s">
        <v>8678</v>
      </c>
      <c r="AB815" t="s">
        <v>8679</v>
      </c>
      <c r="AC815" t="s">
        <v>74</v>
      </c>
      <c r="AD815" t="s">
        <v>74</v>
      </c>
      <c r="AE815" t="s">
        <v>74</v>
      </c>
      <c r="AF815" t="s">
        <v>74</v>
      </c>
      <c r="AG815" t="s">
        <v>74</v>
      </c>
      <c r="AH815" t="s">
        <v>74</v>
      </c>
      <c r="AI815" t="s">
        <v>74</v>
      </c>
      <c r="AJ815" t="s">
        <v>74</v>
      </c>
      <c r="AK815" t="s">
        <v>74</v>
      </c>
      <c r="AL815" t="s">
        <v>74</v>
      </c>
      <c r="AM815" t="s">
        <v>74</v>
      </c>
      <c r="AN815" t="s">
        <v>74</v>
      </c>
      <c r="AO815" t="s">
        <v>5885</v>
      </c>
      <c r="AP815" t="s">
        <v>5886</v>
      </c>
      <c r="AQ815" t="s">
        <v>74</v>
      </c>
      <c r="AR815" t="s">
        <v>74</v>
      </c>
      <c r="AS815" t="s">
        <v>74</v>
      </c>
      <c r="AT815" t="s">
        <v>4817</v>
      </c>
      <c r="AU815">
        <v>2015</v>
      </c>
      <c r="AV815">
        <v>82</v>
      </c>
      <c r="AW815">
        <v>2</v>
      </c>
      <c r="AX815" t="s">
        <v>74</v>
      </c>
      <c r="AY815" t="s">
        <v>74</v>
      </c>
      <c r="AZ815" t="s">
        <v>74</v>
      </c>
      <c r="BA815" t="s">
        <v>74</v>
      </c>
      <c r="BB815">
        <v>202</v>
      </c>
      <c r="BC815">
        <v>211</v>
      </c>
      <c r="BD815" t="s">
        <v>74</v>
      </c>
      <c r="BE815" t="s">
        <v>8680</v>
      </c>
      <c r="BF815" t="str">
        <f>HYPERLINK("http://dx.doi.org/10.1080/11250003.2015.1018852","http://dx.doi.org/10.1080/11250003.2015.1018852")</f>
        <v>http://dx.doi.org/10.1080/11250003.2015.1018852</v>
      </c>
      <c r="BG815" t="s">
        <v>74</v>
      </c>
      <c r="BH815" t="s">
        <v>74</v>
      </c>
      <c r="BI815" t="s">
        <v>74</v>
      </c>
      <c r="BJ815" t="s">
        <v>74</v>
      </c>
      <c r="BK815" t="s">
        <v>74</v>
      </c>
      <c r="BL815" t="s">
        <v>74</v>
      </c>
      <c r="BM815" t="s">
        <v>74</v>
      </c>
      <c r="BN815" t="s">
        <v>74</v>
      </c>
      <c r="BO815" t="s">
        <v>74</v>
      </c>
      <c r="BP815" t="s">
        <v>74</v>
      </c>
      <c r="BQ815" t="s">
        <v>74</v>
      </c>
      <c r="BR815" t="s">
        <v>74</v>
      </c>
      <c r="BS815" t="s">
        <v>8681</v>
      </c>
      <c r="BT815" t="str">
        <f>HYPERLINK("https%3A%2F%2Fwww.webofscience.com%2Fwos%2Fwoscc%2Ffull-record%2FWOS:000353501900009","View Full Record in Web of Science")</f>
        <v>View Full Record in Web of Science</v>
      </c>
    </row>
    <row r="816" spans="1:72" x14ac:dyDescent="0.4">
      <c r="A816" t="s">
        <v>72</v>
      </c>
      <c r="B816" t="s">
        <v>7419</v>
      </c>
      <c r="C816" t="s">
        <v>74</v>
      </c>
      <c r="D816" t="s">
        <v>74</v>
      </c>
      <c r="E816" t="s">
        <v>74</v>
      </c>
      <c r="F816" t="s">
        <v>7420</v>
      </c>
      <c r="G816" t="s">
        <v>74</v>
      </c>
      <c r="H816" t="s">
        <v>74</v>
      </c>
      <c r="I816" t="s">
        <v>7421</v>
      </c>
      <c r="J816" t="s">
        <v>7422</v>
      </c>
      <c r="K816" t="s">
        <v>74</v>
      </c>
      <c r="L816" t="s">
        <v>74</v>
      </c>
      <c r="M816" t="s">
        <v>74</v>
      </c>
      <c r="N816" t="s">
        <v>74</v>
      </c>
      <c r="O816" t="s">
        <v>74</v>
      </c>
      <c r="P816" t="s">
        <v>74</v>
      </c>
      <c r="Q816" t="s">
        <v>74</v>
      </c>
      <c r="R816" t="s">
        <v>74</v>
      </c>
      <c r="S816" t="s">
        <v>74</v>
      </c>
      <c r="T816" t="s">
        <v>74</v>
      </c>
      <c r="U816" t="s">
        <v>74</v>
      </c>
      <c r="V816" s="3" t="s">
        <v>7423</v>
      </c>
      <c r="W816" t="s">
        <v>74</v>
      </c>
      <c r="X816" t="s">
        <v>74</v>
      </c>
      <c r="Y816" t="s">
        <v>74</v>
      </c>
      <c r="Z816" t="s">
        <v>74</v>
      </c>
      <c r="AA816" t="s">
        <v>7424</v>
      </c>
      <c r="AB816" t="s">
        <v>7425</v>
      </c>
      <c r="AC816" t="s">
        <v>74</v>
      </c>
      <c r="AD816" t="s">
        <v>74</v>
      </c>
      <c r="AE816" t="s">
        <v>74</v>
      </c>
      <c r="AF816" t="s">
        <v>74</v>
      </c>
      <c r="AG816" t="s">
        <v>74</v>
      </c>
      <c r="AH816" t="s">
        <v>74</v>
      </c>
      <c r="AI816" t="s">
        <v>74</v>
      </c>
      <c r="AJ816" t="s">
        <v>74</v>
      </c>
      <c r="AK816" t="s">
        <v>74</v>
      </c>
      <c r="AL816" t="s">
        <v>74</v>
      </c>
      <c r="AM816" t="s">
        <v>74</v>
      </c>
      <c r="AN816" t="s">
        <v>74</v>
      </c>
      <c r="AO816" t="s">
        <v>7426</v>
      </c>
      <c r="AP816" t="s">
        <v>7427</v>
      </c>
      <c r="AQ816" t="s">
        <v>74</v>
      </c>
      <c r="AR816" t="s">
        <v>74</v>
      </c>
      <c r="AS816" t="s">
        <v>74</v>
      </c>
      <c r="AT816" t="s">
        <v>255</v>
      </c>
      <c r="AU816">
        <v>2020</v>
      </c>
      <c r="AV816">
        <v>31</v>
      </c>
      <c r="AW816" t="s">
        <v>7428</v>
      </c>
      <c r="AX816" t="s">
        <v>74</v>
      </c>
      <c r="AY816" t="s">
        <v>74</v>
      </c>
      <c r="AZ816" t="s">
        <v>74</v>
      </c>
      <c r="BA816" t="s">
        <v>74</v>
      </c>
      <c r="BB816" t="s">
        <v>74</v>
      </c>
      <c r="BC816" t="s">
        <v>74</v>
      </c>
      <c r="BD816" t="s">
        <v>7429</v>
      </c>
      <c r="BE816" t="s">
        <v>7430</v>
      </c>
      <c r="BF816" t="str">
        <f>HYPERLINK("http://dx.doi.org/10.2192/URSUS-D-19-00027.1","http://dx.doi.org/10.2192/URSUS-D-19-00027.1")</f>
        <v>http://dx.doi.org/10.2192/URSUS-D-19-00027.1</v>
      </c>
      <c r="BG816" t="s">
        <v>74</v>
      </c>
      <c r="BH816" t="s">
        <v>74</v>
      </c>
      <c r="BI816" t="s">
        <v>74</v>
      </c>
      <c r="BJ816" t="s">
        <v>74</v>
      </c>
      <c r="BK816" t="s">
        <v>74</v>
      </c>
      <c r="BL816" t="s">
        <v>74</v>
      </c>
      <c r="BM816" t="s">
        <v>74</v>
      </c>
      <c r="BN816" t="s">
        <v>74</v>
      </c>
      <c r="BO816" t="s">
        <v>74</v>
      </c>
      <c r="BP816" t="s">
        <v>74</v>
      </c>
      <c r="BQ816" t="s">
        <v>74</v>
      </c>
      <c r="BR816" t="s">
        <v>74</v>
      </c>
      <c r="BS816" t="s">
        <v>7431</v>
      </c>
      <c r="BT816" t="str">
        <f>HYPERLINK("https%3A%2F%2Fwww.webofscience.com%2Fwos%2Fwoscc%2Ffull-record%2FWOS:000610555300001","View Full Record in Web of Science")</f>
        <v>View Full Record in Web of Science</v>
      </c>
    </row>
    <row r="817" spans="1:72" x14ac:dyDescent="0.4">
      <c r="A817" t="s">
        <v>72</v>
      </c>
      <c r="B817" t="s">
        <v>8285</v>
      </c>
      <c r="C817" t="s">
        <v>74</v>
      </c>
      <c r="D817" t="s">
        <v>74</v>
      </c>
      <c r="E817" t="s">
        <v>74</v>
      </c>
      <c r="F817" t="s">
        <v>8286</v>
      </c>
      <c r="G817" t="s">
        <v>74</v>
      </c>
      <c r="H817" t="s">
        <v>74</v>
      </c>
      <c r="I817" t="s">
        <v>8287</v>
      </c>
      <c r="J817" t="s">
        <v>129</v>
      </c>
      <c r="K817" t="s">
        <v>74</v>
      </c>
      <c r="L817" t="s">
        <v>74</v>
      </c>
      <c r="M817" t="s">
        <v>74</v>
      </c>
      <c r="N817" t="s">
        <v>74</v>
      </c>
      <c r="O817" t="s">
        <v>74</v>
      </c>
      <c r="P817" t="s">
        <v>74</v>
      </c>
      <c r="Q817" t="s">
        <v>74</v>
      </c>
      <c r="R817" t="s">
        <v>74</v>
      </c>
      <c r="S817" t="s">
        <v>74</v>
      </c>
      <c r="T817" t="s">
        <v>74</v>
      </c>
      <c r="U817" t="s">
        <v>74</v>
      </c>
      <c r="V817" s="3" t="s">
        <v>8288</v>
      </c>
      <c r="W817" t="s">
        <v>74</v>
      </c>
      <c r="X817" t="s">
        <v>74</v>
      </c>
      <c r="Y817" t="s">
        <v>74</v>
      </c>
      <c r="Z817" t="s">
        <v>74</v>
      </c>
      <c r="AA817" t="s">
        <v>74</v>
      </c>
      <c r="AB817" t="s">
        <v>8289</v>
      </c>
      <c r="AC817" t="s">
        <v>74</v>
      </c>
      <c r="AD817" t="s">
        <v>74</v>
      </c>
      <c r="AE817" t="s">
        <v>74</v>
      </c>
      <c r="AF817" t="s">
        <v>74</v>
      </c>
      <c r="AG817" t="s">
        <v>74</v>
      </c>
      <c r="AH817" t="s">
        <v>74</v>
      </c>
      <c r="AI817" t="s">
        <v>74</v>
      </c>
      <c r="AJ817" t="s">
        <v>74</v>
      </c>
      <c r="AK817" t="s">
        <v>74</v>
      </c>
      <c r="AL817" t="s">
        <v>74</v>
      </c>
      <c r="AM817" t="s">
        <v>74</v>
      </c>
      <c r="AN817" t="s">
        <v>74</v>
      </c>
      <c r="AO817" t="s">
        <v>132</v>
      </c>
      <c r="AP817" t="s">
        <v>133</v>
      </c>
      <c r="AQ817" t="s">
        <v>74</v>
      </c>
      <c r="AR817" t="s">
        <v>74</v>
      </c>
      <c r="AS817" t="s">
        <v>74</v>
      </c>
      <c r="AT817" t="s">
        <v>134</v>
      </c>
      <c r="AU817">
        <v>2019</v>
      </c>
      <c r="AV817">
        <v>73</v>
      </c>
      <c r="AW817">
        <v>5</v>
      </c>
      <c r="AX817" t="s">
        <v>74</v>
      </c>
      <c r="AY817" t="s">
        <v>74</v>
      </c>
      <c r="AZ817" t="s">
        <v>74</v>
      </c>
      <c r="BA817" t="s">
        <v>74</v>
      </c>
      <c r="BB817" t="s">
        <v>74</v>
      </c>
      <c r="BC817" t="s">
        <v>74</v>
      </c>
      <c r="BD817">
        <v>61</v>
      </c>
      <c r="BE817" t="s">
        <v>8290</v>
      </c>
      <c r="BF817" t="str">
        <f>HYPERLINK("http://dx.doi.org/10.1007/s00265-019-2670-3","http://dx.doi.org/10.1007/s00265-019-2670-3")</f>
        <v>http://dx.doi.org/10.1007/s00265-019-2670-3</v>
      </c>
      <c r="BG817" t="s">
        <v>74</v>
      </c>
      <c r="BH817" t="s">
        <v>74</v>
      </c>
      <c r="BI817" t="s">
        <v>74</v>
      </c>
      <c r="BJ817" t="s">
        <v>74</v>
      </c>
      <c r="BK817" t="s">
        <v>74</v>
      </c>
      <c r="BL817" t="s">
        <v>74</v>
      </c>
      <c r="BM817" t="s">
        <v>74</v>
      </c>
      <c r="BN817" t="s">
        <v>74</v>
      </c>
      <c r="BO817" t="s">
        <v>74</v>
      </c>
      <c r="BP817" t="s">
        <v>74</v>
      </c>
      <c r="BQ817" t="s">
        <v>74</v>
      </c>
      <c r="BR817" t="s">
        <v>74</v>
      </c>
      <c r="BS817" t="s">
        <v>8291</v>
      </c>
      <c r="BT817" t="str">
        <f>HYPERLINK("https%3A%2F%2Fwww.webofscience.com%2Fwos%2Fwoscc%2Ffull-record%2FWOS:000465553400001","View Full Record in Web of Science")</f>
        <v>View Full Record in Web of Science</v>
      </c>
    </row>
    <row r="818" spans="1:72" x14ac:dyDescent="0.4">
      <c r="A818" t="s">
        <v>72</v>
      </c>
      <c r="B818" t="s">
        <v>536</v>
      </c>
      <c r="C818" t="s">
        <v>74</v>
      </c>
      <c r="D818" t="s">
        <v>74</v>
      </c>
      <c r="E818" t="s">
        <v>74</v>
      </c>
      <c r="F818" t="s">
        <v>537</v>
      </c>
      <c r="G818" t="s">
        <v>74</v>
      </c>
      <c r="H818" t="s">
        <v>74</v>
      </c>
      <c r="I818" t="s">
        <v>538</v>
      </c>
      <c r="J818" t="s">
        <v>539</v>
      </c>
      <c r="K818" t="s">
        <v>74</v>
      </c>
      <c r="L818" t="s">
        <v>74</v>
      </c>
      <c r="M818" t="s">
        <v>74</v>
      </c>
      <c r="N818" t="s">
        <v>74</v>
      </c>
      <c r="O818" t="s">
        <v>74</v>
      </c>
      <c r="P818" t="s">
        <v>74</v>
      </c>
      <c r="Q818" t="s">
        <v>74</v>
      </c>
      <c r="R818" t="s">
        <v>74</v>
      </c>
      <c r="S818" t="s">
        <v>74</v>
      </c>
      <c r="T818" t="s">
        <v>74</v>
      </c>
      <c r="U818" t="s">
        <v>74</v>
      </c>
      <c r="V818" s="3" t="s">
        <v>540</v>
      </c>
      <c r="W818" t="s">
        <v>74</v>
      </c>
      <c r="X818" t="s">
        <v>74</v>
      </c>
      <c r="Y818" t="s">
        <v>74</v>
      </c>
      <c r="Z818" t="s">
        <v>74</v>
      </c>
      <c r="AA818" t="s">
        <v>74</v>
      </c>
      <c r="AB818" t="s">
        <v>74</v>
      </c>
      <c r="AC818" t="s">
        <v>74</v>
      </c>
      <c r="AD818" t="s">
        <v>74</v>
      </c>
      <c r="AE818" t="s">
        <v>74</v>
      </c>
      <c r="AF818" t="s">
        <v>74</v>
      </c>
      <c r="AG818" t="s">
        <v>74</v>
      </c>
      <c r="AH818" t="s">
        <v>74</v>
      </c>
      <c r="AI818" t="s">
        <v>74</v>
      </c>
      <c r="AJ818" t="s">
        <v>74</v>
      </c>
      <c r="AK818" t="s">
        <v>74</v>
      </c>
      <c r="AL818" t="s">
        <v>74</v>
      </c>
      <c r="AM818" t="s">
        <v>74</v>
      </c>
      <c r="AN818" t="s">
        <v>74</v>
      </c>
      <c r="AO818" t="s">
        <v>541</v>
      </c>
      <c r="AP818" t="s">
        <v>74</v>
      </c>
      <c r="AQ818" t="s">
        <v>74</v>
      </c>
      <c r="AR818" t="s">
        <v>74</v>
      </c>
      <c r="AS818" t="s">
        <v>74</v>
      </c>
      <c r="AT818" t="s">
        <v>74</v>
      </c>
      <c r="AU818">
        <v>2009</v>
      </c>
      <c r="AV818">
        <v>8</v>
      </c>
      <c r="AW818">
        <v>2</v>
      </c>
      <c r="AX818" t="s">
        <v>74</v>
      </c>
      <c r="AY818" t="s">
        <v>74</v>
      </c>
      <c r="AZ818" t="s">
        <v>74</v>
      </c>
      <c r="BA818" t="s">
        <v>74</v>
      </c>
      <c r="BB818">
        <v>336</v>
      </c>
      <c r="BC818">
        <v>342</v>
      </c>
      <c r="BD818" t="s">
        <v>74</v>
      </c>
      <c r="BE818" t="s">
        <v>74</v>
      </c>
      <c r="BF818" t="s">
        <v>74</v>
      </c>
      <c r="BG818" t="s">
        <v>74</v>
      </c>
      <c r="BH818" t="s">
        <v>74</v>
      </c>
      <c r="BI818" t="s">
        <v>74</v>
      </c>
      <c r="BJ818" t="s">
        <v>74</v>
      </c>
      <c r="BK818" t="s">
        <v>74</v>
      </c>
      <c r="BL818" t="s">
        <v>74</v>
      </c>
      <c r="BM818" t="s">
        <v>74</v>
      </c>
      <c r="BN818" t="s">
        <v>74</v>
      </c>
      <c r="BO818" t="s">
        <v>74</v>
      </c>
      <c r="BP818" t="s">
        <v>74</v>
      </c>
      <c r="BQ818" t="s">
        <v>74</v>
      </c>
      <c r="BR818" t="s">
        <v>74</v>
      </c>
      <c r="BS818" t="s">
        <v>542</v>
      </c>
      <c r="BT818" t="str">
        <f>HYPERLINK("https%3A%2F%2Fwww.webofscience.com%2Fwos%2Fwoscc%2Ffull-record%2FWOS:000264104700027","View Full Record in Web of Science")</f>
        <v>View Full Record in Web of Science</v>
      </c>
    </row>
    <row r="819" spans="1:72" x14ac:dyDescent="0.4">
      <c r="A819" t="s">
        <v>72</v>
      </c>
      <c r="B819" t="s">
        <v>7162</v>
      </c>
      <c r="C819" t="s">
        <v>74</v>
      </c>
      <c r="D819" t="s">
        <v>74</v>
      </c>
      <c r="E819" t="s">
        <v>74</v>
      </c>
      <c r="F819" t="s">
        <v>7163</v>
      </c>
      <c r="G819" t="s">
        <v>74</v>
      </c>
      <c r="H819" t="s">
        <v>74</v>
      </c>
      <c r="I819" t="s">
        <v>7164</v>
      </c>
      <c r="J819" t="s">
        <v>281</v>
      </c>
      <c r="K819" t="s">
        <v>74</v>
      </c>
      <c r="L819" t="s">
        <v>74</v>
      </c>
      <c r="M819" t="s">
        <v>74</v>
      </c>
      <c r="N819" t="s">
        <v>74</v>
      </c>
      <c r="O819" t="s">
        <v>74</v>
      </c>
      <c r="P819" t="s">
        <v>74</v>
      </c>
      <c r="Q819" t="s">
        <v>74</v>
      </c>
      <c r="R819" t="s">
        <v>74</v>
      </c>
      <c r="S819" t="s">
        <v>74</v>
      </c>
      <c r="T819" t="s">
        <v>74</v>
      </c>
      <c r="U819" t="s">
        <v>74</v>
      </c>
      <c r="V819" s="3" t="s">
        <v>7165</v>
      </c>
      <c r="W819" t="s">
        <v>74</v>
      </c>
      <c r="X819" t="s">
        <v>74</v>
      </c>
      <c r="Y819" t="s">
        <v>74</v>
      </c>
      <c r="Z819" t="s">
        <v>74</v>
      </c>
      <c r="AA819" t="s">
        <v>74</v>
      </c>
      <c r="AB819" t="s">
        <v>7166</v>
      </c>
      <c r="AC819" t="s">
        <v>74</v>
      </c>
      <c r="AD819" t="s">
        <v>74</v>
      </c>
      <c r="AE819" t="s">
        <v>74</v>
      </c>
      <c r="AF819" t="s">
        <v>74</v>
      </c>
      <c r="AG819" t="s">
        <v>74</v>
      </c>
      <c r="AH819" t="s">
        <v>74</v>
      </c>
      <c r="AI819" t="s">
        <v>74</v>
      </c>
      <c r="AJ819" t="s">
        <v>74</v>
      </c>
      <c r="AK819" t="s">
        <v>74</v>
      </c>
      <c r="AL819" t="s">
        <v>74</v>
      </c>
      <c r="AM819" t="s">
        <v>74</v>
      </c>
      <c r="AN819" t="s">
        <v>74</v>
      </c>
      <c r="AO819" t="s">
        <v>285</v>
      </c>
      <c r="AP819" t="s">
        <v>286</v>
      </c>
      <c r="AQ819" t="s">
        <v>74</v>
      </c>
      <c r="AR819" t="s">
        <v>74</v>
      </c>
      <c r="AS819" t="s">
        <v>74</v>
      </c>
      <c r="AT819" t="s">
        <v>123</v>
      </c>
      <c r="AU819">
        <v>2013</v>
      </c>
      <c r="AV819">
        <v>16</v>
      </c>
      <c r="AW819">
        <v>2</v>
      </c>
      <c r="AX819" t="s">
        <v>74</v>
      </c>
      <c r="AY819" t="s">
        <v>74</v>
      </c>
      <c r="AZ819" t="s">
        <v>74</v>
      </c>
      <c r="BA819" t="s">
        <v>74</v>
      </c>
      <c r="BB819">
        <v>197</v>
      </c>
      <c r="BC819">
        <v>210</v>
      </c>
      <c r="BD819" t="s">
        <v>74</v>
      </c>
      <c r="BE819" t="s">
        <v>7167</v>
      </c>
      <c r="BF819" t="str">
        <f>HYPERLINK("http://dx.doi.org/10.1007/s10071-012-0564-0","http://dx.doi.org/10.1007/s10071-012-0564-0")</f>
        <v>http://dx.doi.org/10.1007/s10071-012-0564-0</v>
      </c>
      <c r="BG819" t="s">
        <v>74</v>
      </c>
      <c r="BH819" t="s">
        <v>74</v>
      </c>
      <c r="BI819" t="s">
        <v>74</v>
      </c>
      <c r="BJ819" t="s">
        <v>74</v>
      </c>
      <c r="BK819" t="s">
        <v>74</v>
      </c>
      <c r="BL819" t="s">
        <v>74</v>
      </c>
      <c r="BM819" t="s">
        <v>74</v>
      </c>
      <c r="BN819">
        <v>23065183</v>
      </c>
      <c r="BO819" t="s">
        <v>74</v>
      </c>
      <c r="BP819" t="s">
        <v>74</v>
      </c>
      <c r="BQ819" t="s">
        <v>74</v>
      </c>
      <c r="BR819" t="s">
        <v>74</v>
      </c>
      <c r="BS819" t="s">
        <v>7168</v>
      </c>
      <c r="BT819" t="str">
        <f>HYPERLINK("https%3A%2F%2Fwww.webofscience.com%2Fwos%2Fwoscc%2Ffull-record%2FWOS:000315035100005","View Full Record in Web of Science")</f>
        <v>View Full Record in Web of Science</v>
      </c>
    </row>
    <row r="820" spans="1:72" x14ac:dyDescent="0.4">
      <c r="A820" t="s">
        <v>6684</v>
      </c>
      <c r="B820" t="s">
        <v>8237</v>
      </c>
      <c r="C820" t="s">
        <v>74</v>
      </c>
      <c r="D820" t="s">
        <v>8238</v>
      </c>
      <c r="E820" t="s">
        <v>74</v>
      </c>
      <c r="F820" t="s">
        <v>8237</v>
      </c>
      <c r="G820" t="s">
        <v>74</v>
      </c>
      <c r="H820" t="s">
        <v>74</v>
      </c>
      <c r="I820" t="s">
        <v>8239</v>
      </c>
      <c r="J820" t="s">
        <v>8240</v>
      </c>
      <c r="K820" t="s">
        <v>8241</v>
      </c>
      <c r="L820" t="s">
        <v>74</v>
      </c>
      <c r="M820" t="s">
        <v>74</v>
      </c>
      <c r="N820" t="s">
        <v>74</v>
      </c>
      <c r="O820" t="s">
        <v>74</v>
      </c>
      <c r="P820" t="s">
        <v>74</v>
      </c>
      <c r="Q820" t="s">
        <v>74</v>
      </c>
      <c r="R820" t="s">
        <v>74</v>
      </c>
      <c r="S820" t="s">
        <v>74</v>
      </c>
      <c r="T820" t="s">
        <v>74</v>
      </c>
      <c r="U820" t="s">
        <v>74</v>
      </c>
      <c r="V820" s="3" t="s">
        <v>8242</v>
      </c>
      <c r="W820" t="s">
        <v>74</v>
      </c>
      <c r="X820" t="s">
        <v>74</v>
      </c>
      <c r="Y820" t="s">
        <v>74</v>
      </c>
      <c r="Z820" t="s">
        <v>74</v>
      </c>
      <c r="AA820" t="s">
        <v>8243</v>
      </c>
      <c r="AB820" t="s">
        <v>74</v>
      </c>
      <c r="AC820" t="s">
        <v>74</v>
      </c>
      <c r="AD820" t="s">
        <v>74</v>
      </c>
      <c r="AE820" t="s">
        <v>74</v>
      </c>
      <c r="AF820" t="s">
        <v>74</v>
      </c>
      <c r="AG820" t="s">
        <v>74</v>
      </c>
      <c r="AH820" t="s">
        <v>74</v>
      </c>
      <c r="AI820" t="s">
        <v>74</v>
      </c>
      <c r="AJ820" t="s">
        <v>74</v>
      </c>
      <c r="AK820" t="s">
        <v>74</v>
      </c>
      <c r="AL820" t="s">
        <v>74</v>
      </c>
      <c r="AM820" t="s">
        <v>74</v>
      </c>
      <c r="AN820" t="s">
        <v>74</v>
      </c>
      <c r="AO820" t="s">
        <v>8244</v>
      </c>
      <c r="AP820" t="s">
        <v>74</v>
      </c>
      <c r="AQ820" t="s">
        <v>8245</v>
      </c>
      <c r="AR820" t="s">
        <v>74</v>
      </c>
      <c r="AS820" t="s">
        <v>74</v>
      </c>
      <c r="AT820" t="s">
        <v>74</v>
      </c>
      <c r="AU820">
        <v>1999</v>
      </c>
      <c r="AV820">
        <v>37</v>
      </c>
      <c r="AW820" t="s">
        <v>74</v>
      </c>
      <c r="AX820" t="s">
        <v>74</v>
      </c>
      <c r="AY820" t="s">
        <v>74</v>
      </c>
      <c r="AZ820" t="s">
        <v>74</v>
      </c>
      <c r="BA820" t="s">
        <v>74</v>
      </c>
      <c r="BB820">
        <v>129</v>
      </c>
      <c r="BC820">
        <v>152</v>
      </c>
      <c r="BD820" t="s">
        <v>74</v>
      </c>
      <c r="BE820" t="s">
        <v>74</v>
      </c>
      <c r="BF820" t="s">
        <v>74</v>
      </c>
      <c r="BG820" t="s">
        <v>74</v>
      </c>
      <c r="BH820" t="s">
        <v>74</v>
      </c>
      <c r="BI820" t="s">
        <v>74</v>
      </c>
      <c r="BJ820" t="s">
        <v>74</v>
      </c>
      <c r="BK820" t="s">
        <v>74</v>
      </c>
      <c r="BL820" t="s">
        <v>74</v>
      </c>
      <c r="BM820" t="s">
        <v>74</v>
      </c>
      <c r="BN820" t="s">
        <v>74</v>
      </c>
      <c r="BO820" t="s">
        <v>74</v>
      </c>
      <c r="BP820" t="s">
        <v>74</v>
      </c>
      <c r="BQ820" t="s">
        <v>74</v>
      </c>
      <c r="BR820" t="s">
        <v>74</v>
      </c>
      <c r="BS820" t="s">
        <v>8246</v>
      </c>
      <c r="BT820" t="str">
        <f>HYPERLINK("https%3A%2F%2Fwww.webofscience.com%2Fwos%2Fwoscc%2Ffull-record%2FWOS:000089737800004","View Full Record in Web of Science")</f>
        <v>View Full Record in Web of Science</v>
      </c>
    </row>
    <row r="821" spans="1:72" x14ac:dyDescent="0.4">
      <c r="A821" t="s">
        <v>72</v>
      </c>
      <c r="B821" t="s">
        <v>8332</v>
      </c>
      <c r="C821" t="s">
        <v>74</v>
      </c>
      <c r="D821" t="s">
        <v>74</v>
      </c>
      <c r="E821" t="s">
        <v>74</v>
      </c>
      <c r="F821" t="s">
        <v>8333</v>
      </c>
      <c r="G821" t="s">
        <v>74</v>
      </c>
      <c r="H821" t="s">
        <v>74</v>
      </c>
      <c r="I821" t="s">
        <v>8334</v>
      </c>
      <c r="J821" t="s">
        <v>129</v>
      </c>
      <c r="K821" t="s">
        <v>74</v>
      </c>
      <c r="L821" t="s">
        <v>74</v>
      </c>
      <c r="M821" t="s">
        <v>74</v>
      </c>
      <c r="N821" t="s">
        <v>74</v>
      </c>
      <c r="O821" t="s">
        <v>74</v>
      </c>
      <c r="P821" t="s">
        <v>74</v>
      </c>
      <c r="Q821" t="s">
        <v>74</v>
      </c>
      <c r="R821" t="s">
        <v>74</v>
      </c>
      <c r="S821" t="s">
        <v>74</v>
      </c>
      <c r="T821" t="s">
        <v>74</v>
      </c>
      <c r="U821" t="s">
        <v>74</v>
      </c>
      <c r="V821" s="3" t="s">
        <v>8335</v>
      </c>
      <c r="W821" t="s">
        <v>74</v>
      </c>
      <c r="X821" t="s">
        <v>74</v>
      </c>
      <c r="Y821" t="s">
        <v>74</v>
      </c>
      <c r="Z821" t="s">
        <v>74</v>
      </c>
      <c r="AA821" t="s">
        <v>8336</v>
      </c>
      <c r="AB821" t="s">
        <v>8337</v>
      </c>
      <c r="AC821" t="s">
        <v>74</v>
      </c>
      <c r="AD821" t="s">
        <v>74</v>
      </c>
      <c r="AE821" t="s">
        <v>74</v>
      </c>
      <c r="AF821" t="s">
        <v>74</v>
      </c>
      <c r="AG821" t="s">
        <v>74</v>
      </c>
      <c r="AH821" t="s">
        <v>74</v>
      </c>
      <c r="AI821" t="s">
        <v>74</v>
      </c>
      <c r="AJ821" t="s">
        <v>74</v>
      </c>
      <c r="AK821" t="s">
        <v>74</v>
      </c>
      <c r="AL821" t="s">
        <v>74</v>
      </c>
      <c r="AM821" t="s">
        <v>74</v>
      </c>
      <c r="AN821" t="s">
        <v>74</v>
      </c>
      <c r="AO821" t="s">
        <v>132</v>
      </c>
      <c r="AP821" t="s">
        <v>133</v>
      </c>
      <c r="AQ821" t="s">
        <v>74</v>
      </c>
      <c r="AR821" t="s">
        <v>74</v>
      </c>
      <c r="AS821" t="s">
        <v>74</v>
      </c>
      <c r="AT821" t="s">
        <v>4913</v>
      </c>
      <c r="AU821">
        <v>2021</v>
      </c>
      <c r="AV821">
        <v>75</v>
      </c>
      <c r="AW821">
        <v>3</v>
      </c>
      <c r="AX821" t="s">
        <v>74</v>
      </c>
      <c r="AY821" t="s">
        <v>74</v>
      </c>
      <c r="AZ821" t="s">
        <v>74</v>
      </c>
      <c r="BA821" t="s">
        <v>74</v>
      </c>
      <c r="BB821" t="s">
        <v>74</v>
      </c>
      <c r="BC821" t="s">
        <v>74</v>
      </c>
      <c r="BD821">
        <v>51</v>
      </c>
      <c r="BE821" t="s">
        <v>8338</v>
      </c>
      <c r="BF821" t="str">
        <f>HYPERLINK("http://dx.doi.org/10.1007/s00265-021-02973-x","http://dx.doi.org/10.1007/s00265-021-02973-x")</f>
        <v>http://dx.doi.org/10.1007/s00265-021-02973-x</v>
      </c>
      <c r="BG821" t="s">
        <v>74</v>
      </c>
      <c r="BH821" t="s">
        <v>74</v>
      </c>
      <c r="BI821" t="s">
        <v>74</v>
      </c>
      <c r="BJ821" t="s">
        <v>74</v>
      </c>
      <c r="BK821" t="s">
        <v>74</v>
      </c>
      <c r="BL821" t="s">
        <v>74</v>
      </c>
      <c r="BM821" t="s">
        <v>74</v>
      </c>
      <c r="BN821" t="s">
        <v>74</v>
      </c>
      <c r="BO821" t="s">
        <v>74</v>
      </c>
      <c r="BP821" t="s">
        <v>74</v>
      </c>
      <c r="BQ821" t="s">
        <v>74</v>
      </c>
      <c r="BR821" t="s">
        <v>74</v>
      </c>
      <c r="BS821" t="s">
        <v>8339</v>
      </c>
      <c r="BT821" t="str">
        <f>HYPERLINK("https%3A%2F%2Fwww.webofscience.com%2Fwos%2Fwoscc%2Ffull-record%2FWOS:000620172500001","View Full Record in Web of Science")</f>
        <v>View Full Record in Web of Science</v>
      </c>
    </row>
    <row r="822" spans="1:72" x14ac:dyDescent="0.4">
      <c r="A822" t="s">
        <v>72</v>
      </c>
      <c r="B822" t="s">
        <v>6699</v>
      </c>
      <c r="C822" t="s">
        <v>74</v>
      </c>
      <c r="D822" t="s">
        <v>74</v>
      </c>
      <c r="E822" t="s">
        <v>74</v>
      </c>
      <c r="F822" t="s">
        <v>6700</v>
      </c>
      <c r="G822" t="s">
        <v>74</v>
      </c>
      <c r="H822" t="s">
        <v>74</v>
      </c>
      <c r="I822" t="s">
        <v>6701</v>
      </c>
      <c r="J822" t="s">
        <v>824</v>
      </c>
      <c r="K822" t="s">
        <v>74</v>
      </c>
      <c r="L822" t="s">
        <v>74</v>
      </c>
      <c r="M822" t="s">
        <v>74</v>
      </c>
      <c r="N822" t="s">
        <v>74</v>
      </c>
      <c r="O822" t="s">
        <v>74</v>
      </c>
      <c r="P822" t="s">
        <v>74</v>
      </c>
      <c r="Q822" t="s">
        <v>74</v>
      </c>
      <c r="R822" t="s">
        <v>74</v>
      </c>
      <c r="S822" t="s">
        <v>74</v>
      </c>
      <c r="T822" t="s">
        <v>74</v>
      </c>
      <c r="U822" t="s">
        <v>74</v>
      </c>
      <c r="V822" s="3" t="s">
        <v>6702</v>
      </c>
      <c r="W822" t="s">
        <v>74</v>
      </c>
      <c r="X822" t="s">
        <v>74</v>
      </c>
      <c r="Y822" t="s">
        <v>74</v>
      </c>
      <c r="Z822" t="s">
        <v>74</v>
      </c>
      <c r="AA822" t="s">
        <v>6703</v>
      </c>
      <c r="AB822" t="s">
        <v>6704</v>
      </c>
      <c r="AC822" t="s">
        <v>74</v>
      </c>
      <c r="AD822" t="s">
        <v>74</v>
      </c>
      <c r="AE822" t="s">
        <v>74</v>
      </c>
      <c r="AF822" t="s">
        <v>74</v>
      </c>
      <c r="AG822" t="s">
        <v>74</v>
      </c>
      <c r="AH822" t="s">
        <v>74</v>
      </c>
      <c r="AI822" t="s">
        <v>74</v>
      </c>
      <c r="AJ822" t="s">
        <v>74</v>
      </c>
      <c r="AK822" t="s">
        <v>74</v>
      </c>
      <c r="AL822" t="s">
        <v>74</v>
      </c>
      <c r="AM822" t="s">
        <v>74</v>
      </c>
      <c r="AN822" t="s">
        <v>74</v>
      </c>
      <c r="AO822" t="s">
        <v>828</v>
      </c>
      <c r="AP822" t="s">
        <v>829</v>
      </c>
      <c r="AQ822" t="s">
        <v>74</v>
      </c>
      <c r="AR822" t="s">
        <v>74</v>
      </c>
      <c r="AS822" t="s">
        <v>74</v>
      </c>
      <c r="AT822" t="s">
        <v>134</v>
      </c>
      <c r="AU822">
        <v>2016</v>
      </c>
      <c r="AV822">
        <v>85</v>
      </c>
      <c r="AW822">
        <v>3</v>
      </c>
      <c r="AX822" t="s">
        <v>74</v>
      </c>
      <c r="AY822" t="s">
        <v>74</v>
      </c>
      <c r="AZ822" t="s">
        <v>74</v>
      </c>
      <c r="BA822" t="s">
        <v>74</v>
      </c>
      <c r="BB822">
        <v>798</v>
      </c>
      <c r="BC822">
        <v>805</v>
      </c>
      <c r="BD822" t="s">
        <v>74</v>
      </c>
      <c r="BE822" t="s">
        <v>6705</v>
      </c>
      <c r="BF822" t="str">
        <f>HYPERLINK("http://dx.doi.org/10.1111/1365-2656.12501","http://dx.doi.org/10.1111/1365-2656.12501")</f>
        <v>http://dx.doi.org/10.1111/1365-2656.12501</v>
      </c>
      <c r="BG822" t="s">
        <v>74</v>
      </c>
      <c r="BH822" t="s">
        <v>74</v>
      </c>
      <c r="BI822" t="s">
        <v>74</v>
      </c>
      <c r="BJ822" t="s">
        <v>74</v>
      </c>
      <c r="BK822" t="s">
        <v>74</v>
      </c>
      <c r="BL822" t="s">
        <v>74</v>
      </c>
      <c r="BM822" t="s">
        <v>74</v>
      </c>
      <c r="BN822">
        <v>26876417</v>
      </c>
      <c r="BO822" t="s">
        <v>74</v>
      </c>
      <c r="BP822" t="s">
        <v>74</v>
      </c>
      <c r="BQ822" t="s">
        <v>74</v>
      </c>
      <c r="BR822" t="s">
        <v>74</v>
      </c>
      <c r="BS822" t="s">
        <v>6706</v>
      </c>
      <c r="BT822" t="str">
        <f>HYPERLINK("https%3A%2F%2Fwww.webofscience.com%2Fwos%2Fwoscc%2Ffull-record%2FWOS:000375121400020","View Full Record in Web of Science")</f>
        <v>View Full Record in Web of Science</v>
      </c>
    </row>
    <row r="823" spans="1:72" x14ac:dyDescent="0.4">
      <c r="A823" t="s">
        <v>72</v>
      </c>
      <c r="B823" t="s">
        <v>3008</v>
      </c>
      <c r="C823" t="s">
        <v>74</v>
      </c>
      <c r="D823" t="s">
        <v>74</v>
      </c>
      <c r="E823" t="s">
        <v>74</v>
      </c>
      <c r="F823" t="s">
        <v>3009</v>
      </c>
      <c r="G823" t="s">
        <v>74</v>
      </c>
      <c r="H823" t="s">
        <v>74</v>
      </c>
      <c r="I823" t="s">
        <v>3010</v>
      </c>
      <c r="J823" t="s">
        <v>610</v>
      </c>
      <c r="K823" t="s">
        <v>74</v>
      </c>
      <c r="L823" t="s">
        <v>74</v>
      </c>
      <c r="M823" t="s">
        <v>74</v>
      </c>
      <c r="N823" t="s">
        <v>74</v>
      </c>
      <c r="O823" t="s">
        <v>74</v>
      </c>
      <c r="P823" t="s">
        <v>74</v>
      </c>
      <c r="Q823" t="s">
        <v>74</v>
      </c>
      <c r="R823" t="s">
        <v>74</v>
      </c>
      <c r="S823" t="s">
        <v>74</v>
      </c>
      <c r="T823" t="s">
        <v>74</v>
      </c>
      <c r="U823" t="s">
        <v>74</v>
      </c>
      <c r="V823" s="3" t="s">
        <v>3011</v>
      </c>
      <c r="W823" t="s">
        <v>74</v>
      </c>
      <c r="X823" t="s">
        <v>74</v>
      </c>
      <c r="Y823" t="s">
        <v>74</v>
      </c>
      <c r="Z823" t="s">
        <v>74</v>
      </c>
      <c r="AA823" t="s">
        <v>3012</v>
      </c>
      <c r="AB823" t="s">
        <v>3013</v>
      </c>
      <c r="AC823" t="s">
        <v>74</v>
      </c>
      <c r="AD823" t="s">
        <v>74</v>
      </c>
      <c r="AE823" t="s">
        <v>74</v>
      </c>
      <c r="AF823" t="s">
        <v>74</v>
      </c>
      <c r="AG823" t="s">
        <v>74</v>
      </c>
      <c r="AH823" t="s">
        <v>74</v>
      </c>
      <c r="AI823" t="s">
        <v>74</v>
      </c>
      <c r="AJ823" t="s">
        <v>74</v>
      </c>
      <c r="AK823" t="s">
        <v>74</v>
      </c>
      <c r="AL823" t="s">
        <v>74</v>
      </c>
      <c r="AM823" t="s">
        <v>74</v>
      </c>
      <c r="AN823" t="s">
        <v>74</v>
      </c>
      <c r="AO823" t="s">
        <v>614</v>
      </c>
      <c r="AP823" t="s">
        <v>615</v>
      </c>
      <c r="AQ823" t="s">
        <v>74</v>
      </c>
      <c r="AR823" t="s">
        <v>74</v>
      </c>
      <c r="AS823" t="s">
        <v>74</v>
      </c>
      <c r="AT823" t="s">
        <v>123</v>
      </c>
      <c r="AU823">
        <v>2015</v>
      </c>
      <c r="AV823">
        <v>121</v>
      </c>
      <c r="AW823">
        <v>3</v>
      </c>
      <c r="AX823" t="s">
        <v>74</v>
      </c>
      <c r="AY823" t="s">
        <v>74</v>
      </c>
      <c r="AZ823" t="s">
        <v>74</v>
      </c>
      <c r="BA823" t="s">
        <v>74</v>
      </c>
      <c r="BB823">
        <v>300</v>
      </c>
      <c r="BC823">
        <v>307</v>
      </c>
      <c r="BD823" t="s">
        <v>74</v>
      </c>
      <c r="BE823" t="s">
        <v>3014</v>
      </c>
      <c r="BF823" t="str">
        <f>HYPERLINK("http://dx.doi.org/10.1111/eth.12339","http://dx.doi.org/10.1111/eth.12339")</f>
        <v>http://dx.doi.org/10.1111/eth.12339</v>
      </c>
      <c r="BG823" t="s">
        <v>74</v>
      </c>
      <c r="BH823" t="s">
        <v>74</v>
      </c>
      <c r="BI823" t="s">
        <v>74</v>
      </c>
      <c r="BJ823" t="s">
        <v>74</v>
      </c>
      <c r="BK823" t="s">
        <v>74</v>
      </c>
      <c r="BL823" t="s">
        <v>74</v>
      </c>
      <c r="BM823" t="s">
        <v>74</v>
      </c>
      <c r="BN823" t="s">
        <v>74</v>
      </c>
      <c r="BO823" t="s">
        <v>74</v>
      </c>
      <c r="BP823" t="s">
        <v>74</v>
      </c>
      <c r="BQ823" t="s">
        <v>74</v>
      </c>
      <c r="BR823" t="s">
        <v>74</v>
      </c>
      <c r="BS823" t="s">
        <v>3015</v>
      </c>
      <c r="BT823" t="str">
        <f>HYPERLINK("https%3A%2F%2Fwww.webofscience.com%2Fwos%2Fwoscc%2Ffull-record%2FWOS:000348908100009","View Full Record in Web of Science")</f>
        <v>View Full Record in Web of Science</v>
      </c>
    </row>
    <row r="824" spans="1:72" x14ac:dyDescent="0.4">
      <c r="A824" t="s">
        <v>72</v>
      </c>
      <c r="B824" t="s">
        <v>2455</v>
      </c>
      <c r="C824" t="s">
        <v>74</v>
      </c>
      <c r="D824" t="s">
        <v>74</v>
      </c>
      <c r="E824" t="s">
        <v>74</v>
      </c>
      <c r="F824" t="s">
        <v>2456</v>
      </c>
      <c r="G824" t="s">
        <v>74</v>
      </c>
      <c r="H824" t="s">
        <v>74</v>
      </c>
      <c r="I824" t="s">
        <v>2457</v>
      </c>
      <c r="J824" t="s">
        <v>2207</v>
      </c>
      <c r="K824" t="s">
        <v>74</v>
      </c>
      <c r="L824" t="s">
        <v>74</v>
      </c>
      <c r="M824" t="s">
        <v>74</v>
      </c>
      <c r="N824" t="s">
        <v>74</v>
      </c>
      <c r="O824" t="s">
        <v>74</v>
      </c>
      <c r="P824" t="s">
        <v>74</v>
      </c>
      <c r="Q824" t="s">
        <v>74</v>
      </c>
      <c r="R824" t="s">
        <v>74</v>
      </c>
      <c r="S824" t="s">
        <v>74</v>
      </c>
      <c r="T824" t="s">
        <v>74</v>
      </c>
      <c r="U824" t="s">
        <v>74</v>
      </c>
      <c r="V824" s="3" t="s">
        <v>2458</v>
      </c>
      <c r="W824" t="s">
        <v>74</v>
      </c>
      <c r="X824" t="s">
        <v>74</v>
      </c>
      <c r="Y824" t="s">
        <v>74</v>
      </c>
      <c r="Z824" t="s">
        <v>74</v>
      </c>
      <c r="AA824" t="s">
        <v>2459</v>
      </c>
      <c r="AB824" t="s">
        <v>2460</v>
      </c>
      <c r="AC824" t="s">
        <v>74</v>
      </c>
      <c r="AD824" t="s">
        <v>74</v>
      </c>
      <c r="AE824" t="s">
        <v>74</v>
      </c>
      <c r="AF824" t="s">
        <v>74</v>
      </c>
      <c r="AG824" t="s">
        <v>74</v>
      </c>
      <c r="AH824" t="s">
        <v>74</v>
      </c>
      <c r="AI824" t="s">
        <v>74</v>
      </c>
      <c r="AJ824" t="s">
        <v>74</v>
      </c>
      <c r="AK824" t="s">
        <v>74</v>
      </c>
      <c r="AL824" t="s">
        <v>74</v>
      </c>
      <c r="AM824" t="s">
        <v>74</v>
      </c>
      <c r="AN824" t="s">
        <v>74</v>
      </c>
      <c r="AO824" t="s">
        <v>2211</v>
      </c>
      <c r="AP824" t="s">
        <v>2461</v>
      </c>
      <c r="AQ824" t="s">
        <v>74</v>
      </c>
      <c r="AR824" t="s">
        <v>74</v>
      </c>
      <c r="AS824" t="s">
        <v>74</v>
      </c>
      <c r="AT824" t="s">
        <v>255</v>
      </c>
      <c r="AU824">
        <v>2014</v>
      </c>
      <c r="AV824">
        <v>45</v>
      </c>
      <c r="AW824">
        <v>1</v>
      </c>
      <c r="AX824" t="s">
        <v>74</v>
      </c>
      <c r="AY824" t="s">
        <v>74</v>
      </c>
      <c r="AZ824" t="s">
        <v>74</v>
      </c>
      <c r="BA824" t="s">
        <v>74</v>
      </c>
      <c r="BB824">
        <v>22</v>
      </c>
      <c r="BC824">
        <v>28</v>
      </c>
      <c r="BD824" t="s">
        <v>74</v>
      </c>
      <c r="BE824" t="s">
        <v>2462</v>
      </c>
      <c r="BF824" t="str">
        <f>HYPERLINK("http://dx.doi.org/10.1111/j.1600-048X.2013.00286.x","http://dx.doi.org/10.1111/j.1600-048X.2013.00286.x")</f>
        <v>http://dx.doi.org/10.1111/j.1600-048X.2013.00286.x</v>
      </c>
      <c r="BG824" t="s">
        <v>74</v>
      </c>
      <c r="BH824" t="s">
        <v>74</v>
      </c>
      <c r="BI824" t="s">
        <v>74</v>
      </c>
      <c r="BJ824" t="s">
        <v>74</v>
      </c>
      <c r="BK824" t="s">
        <v>74</v>
      </c>
      <c r="BL824" t="s">
        <v>74</v>
      </c>
      <c r="BM824" t="s">
        <v>74</v>
      </c>
      <c r="BN824" t="s">
        <v>74</v>
      </c>
      <c r="BO824" t="s">
        <v>74</v>
      </c>
      <c r="BP824" t="s">
        <v>74</v>
      </c>
      <c r="BQ824" t="s">
        <v>74</v>
      </c>
      <c r="BR824" t="s">
        <v>74</v>
      </c>
      <c r="BS824" t="s">
        <v>2463</v>
      </c>
      <c r="BT824" t="str">
        <f>HYPERLINK("https%3A%2F%2Fwww.webofscience.com%2Fwos%2Fwoscc%2Ffull-record%2FWOS:000329866900004","View Full Record in Web of Science")</f>
        <v>View Full Record in Web of Science</v>
      </c>
    </row>
    <row r="825" spans="1:72" x14ac:dyDescent="0.4">
      <c r="A825" t="s">
        <v>72</v>
      </c>
      <c r="B825" t="s">
        <v>6304</v>
      </c>
      <c r="C825" t="s">
        <v>74</v>
      </c>
      <c r="D825" t="s">
        <v>74</v>
      </c>
      <c r="E825" t="s">
        <v>74</v>
      </c>
      <c r="F825" t="s">
        <v>6305</v>
      </c>
      <c r="G825" t="s">
        <v>74</v>
      </c>
      <c r="H825" t="s">
        <v>74</v>
      </c>
      <c r="I825" t="s">
        <v>6306</v>
      </c>
      <c r="J825" t="s">
        <v>654</v>
      </c>
      <c r="K825" t="s">
        <v>74</v>
      </c>
      <c r="L825" t="s">
        <v>74</v>
      </c>
      <c r="M825" t="s">
        <v>74</v>
      </c>
      <c r="N825" t="s">
        <v>74</v>
      </c>
      <c r="O825" t="s">
        <v>74</v>
      </c>
      <c r="P825" t="s">
        <v>74</v>
      </c>
      <c r="Q825" t="s">
        <v>74</v>
      </c>
      <c r="R825" t="s">
        <v>74</v>
      </c>
      <c r="S825" t="s">
        <v>74</v>
      </c>
      <c r="T825" t="s">
        <v>74</v>
      </c>
      <c r="U825" t="s">
        <v>74</v>
      </c>
      <c r="V825" s="3" t="s">
        <v>6307</v>
      </c>
      <c r="W825" t="s">
        <v>74</v>
      </c>
      <c r="X825" t="s">
        <v>74</v>
      </c>
      <c r="Y825" t="s">
        <v>74</v>
      </c>
      <c r="Z825" t="s">
        <v>74</v>
      </c>
      <c r="AA825" t="s">
        <v>6308</v>
      </c>
      <c r="AB825" t="s">
        <v>6309</v>
      </c>
      <c r="AC825" t="s">
        <v>74</v>
      </c>
      <c r="AD825" t="s">
        <v>74</v>
      </c>
      <c r="AE825" t="s">
        <v>74</v>
      </c>
      <c r="AF825" t="s">
        <v>74</v>
      </c>
      <c r="AG825" t="s">
        <v>74</v>
      </c>
      <c r="AH825" t="s">
        <v>74</v>
      </c>
      <c r="AI825" t="s">
        <v>74</v>
      </c>
      <c r="AJ825" t="s">
        <v>74</v>
      </c>
      <c r="AK825" t="s">
        <v>74</v>
      </c>
      <c r="AL825" t="s">
        <v>74</v>
      </c>
      <c r="AM825" t="s">
        <v>74</v>
      </c>
      <c r="AN825" t="s">
        <v>74</v>
      </c>
      <c r="AO825" t="s">
        <v>658</v>
      </c>
      <c r="AP825" t="s">
        <v>74</v>
      </c>
      <c r="AQ825" t="s">
        <v>74</v>
      </c>
      <c r="AR825" t="s">
        <v>74</v>
      </c>
      <c r="AS825" t="s">
        <v>74</v>
      </c>
      <c r="AT825" t="s">
        <v>134</v>
      </c>
      <c r="AU825">
        <v>2021</v>
      </c>
      <c r="AV825">
        <v>11</v>
      </c>
      <c r="AW825">
        <v>9</v>
      </c>
      <c r="AX825" t="s">
        <v>74</v>
      </c>
      <c r="AY825" t="s">
        <v>74</v>
      </c>
      <c r="AZ825" t="s">
        <v>74</v>
      </c>
      <c r="BA825" t="s">
        <v>74</v>
      </c>
      <c r="BB825">
        <v>4399</v>
      </c>
      <c r="BC825">
        <v>4412</v>
      </c>
      <c r="BD825" t="s">
        <v>74</v>
      </c>
      <c r="BE825" t="s">
        <v>6310</v>
      </c>
      <c r="BF825" t="str">
        <f>HYPERLINK("http://dx.doi.org/10.1002/ece3.7335","http://dx.doi.org/10.1002/ece3.7335")</f>
        <v>http://dx.doi.org/10.1002/ece3.7335</v>
      </c>
      <c r="BG825" t="s">
        <v>74</v>
      </c>
      <c r="BH825" t="s">
        <v>236</v>
      </c>
      <c r="BI825" t="s">
        <v>74</v>
      </c>
      <c r="BJ825" t="s">
        <v>74</v>
      </c>
      <c r="BK825" t="s">
        <v>74</v>
      </c>
      <c r="BL825" t="s">
        <v>74</v>
      </c>
      <c r="BM825" t="s">
        <v>74</v>
      </c>
      <c r="BN825">
        <v>33976818</v>
      </c>
      <c r="BO825" t="s">
        <v>74</v>
      </c>
      <c r="BP825" t="s">
        <v>74</v>
      </c>
      <c r="BQ825" t="s">
        <v>74</v>
      </c>
      <c r="BR825" t="s">
        <v>74</v>
      </c>
      <c r="BS825" t="s">
        <v>6311</v>
      </c>
      <c r="BT825" t="str">
        <f>HYPERLINK("https%3A%2F%2Fwww.webofscience.com%2Fwos%2Fwoscc%2Ffull-record%2FWOS:000629779400001","View Full Record in Web of Science")</f>
        <v>View Full Record in Web of Science</v>
      </c>
    </row>
    <row r="826" spans="1:72" x14ac:dyDescent="0.4">
      <c r="A826" t="s">
        <v>72</v>
      </c>
      <c r="B826" t="s">
        <v>5581</v>
      </c>
      <c r="C826" t="s">
        <v>74</v>
      </c>
      <c r="D826" t="s">
        <v>74</v>
      </c>
      <c r="E826" t="s">
        <v>74</v>
      </c>
      <c r="F826" t="s">
        <v>5582</v>
      </c>
      <c r="G826" t="s">
        <v>74</v>
      </c>
      <c r="H826" t="s">
        <v>74</v>
      </c>
      <c r="I826" t="s">
        <v>5583</v>
      </c>
      <c r="J826" t="s">
        <v>2677</v>
      </c>
      <c r="K826" t="s">
        <v>74</v>
      </c>
      <c r="L826" t="s">
        <v>74</v>
      </c>
      <c r="M826" t="s">
        <v>74</v>
      </c>
      <c r="N826" t="s">
        <v>74</v>
      </c>
      <c r="O826" t="s">
        <v>74</v>
      </c>
      <c r="P826" t="s">
        <v>74</v>
      </c>
      <c r="Q826" t="s">
        <v>74</v>
      </c>
      <c r="R826" t="s">
        <v>74</v>
      </c>
      <c r="S826" t="s">
        <v>74</v>
      </c>
      <c r="T826" t="s">
        <v>74</v>
      </c>
      <c r="U826" t="s">
        <v>74</v>
      </c>
      <c r="V826" s="3" t="s">
        <v>5584</v>
      </c>
      <c r="W826" t="s">
        <v>74</v>
      </c>
      <c r="X826" t="s">
        <v>74</v>
      </c>
      <c r="Y826" t="s">
        <v>74</v>
      </c>
      <c r="Z826" t="s">
        <v>74</v>
      </c>
      <c r="AA826" t="s">
        <v>74</v>
      </c>
      <c r="AB826" t="s">
        <v>74</v>
      </c>
      <c r="AC826" t="s">
        <v>74</v>
      </c>
      <c r="AD826" t="s">
        <v>74</v>
      </c>
      <c r="AE826" t="s">
        <v>74</v>
      </c>
      <c r="AF826" t="s">
        <v>74</v>
      </c>
      <c r="AG826" t="s">
        <v>74</v>
      </c>
      <c r="AH826" t="s">
        <v>74</v>
      </c>
      <c r="AI826" t="s">
        <v>74</v>
      </c>
      <c r="AJ826" t="s">
        <v>74</v>
      </c>
      <c r="AK826" t="s">
        <v>74</v>
      </c>
      <c r="AL826" t="s">
        <v>74</v>
      </c>
      <c r="AM826" t="s">
        <v>74</v>
      </c>
      <c r="AN826" t="s">
        <v>74</v>
      </c>
      <c r="AO826" t="s">
        <v>2681</v>
      </c>
      <c r="AP826" t="s">
        <v>2682</v>
      </c>
      <c r="AQ826" t="s">
        <v>74</v>
      </c>
      <c r="AR826" t="s">
        <v>74</v>
      </c>
      <c r="AS826" t="s">
        <v>74</v>
      </c>
      <c r="AT826" t="s">
        <v>74</v>
      </c>
      <c r="AU826">
        <v>2011</v>
      </c>
      <c r="AV826">
        <v>4</v>
      </c>
      <c r="AW826">
        <v>4</v>
      </c>
      <c r="AX826" t="s">
        <v>74</v>
      </c>
      <c r="AY826" t="s">
        <v>74</v>
      </c>
      <c r="AZ826" t="s">
        <v>74</v>
      </c>
      <c r="BA826" t="s">
        <v>74</v>
      </c>
      <c r="BB826">
        <v>231</v>
      </c>
      <c r="BC826">
        <v>236</v>
      </c>
      <c r="BD826" t="s">
        <v>74</v>
      </c>
      <c r="BE826" t="s">
        <v>5585</v>
      </c>
      <c r="BF826" t="str">
        <f>HYPERLINK("http://dx.doi.org/10.3184/175815511X13228268534598","http://dx.doi.org/10.3184/175815511X13228268534598")</f>
        <v>http://dx.doi.org/10.3184/175815511X13228268534598</v>
      </c>
      <c r="BG826" t="s">
        <v>74</v>
      </c>
      <c r="BH826" t="s">
        <v>74</v>
      </c>
      <c r="BI826" t="s">
        <v>74</v>
      </c>
      <c r="BJ826" t="s">
        <v>74</v>
      </c>
      <c r="BK826" t="s">
        <v>74</v>
      </c>
      <c r="BL826" t="s">
        <v>74</v>
      </c>
      <c r="BM826" t="s">
        <v>74</v>
      </c>
      <c r="BN826" t="s">
        <v>74</v>
      </c>
      <c r="BO826" t="s">
        <v>74</v>
      </c>
      <c r="BP826" t="s">
        <v>74</v>
      </c>
      <c r="BQ826" t="s">
        <v>74</v>
      </c>
      <c r="BR826" t="s">
        <v>74</v>
      </c>
      <c r="BS826" t="s">
        <v>5586</v>
      </c>
      <c r="BT826" t="str">
        <f>HYPERLINK("https%3A%2F%2Fwww.webofscience.com%2Fwos%2Fwoscc%2Ffull-record%2FWOS:000299488300008","View Full Record in Web of Science")</f>
        <v>View Full Record in Web of Science</v>
      </c>
    </row>
    <row r="827" spans="1:72" x14ac:dyDescent="0.4">
      <c r="A827" t="s">
        <v>72</v>
      </c>
      <c r="B827" t="s">
        <v>904</v>
      </c>
      <c r="C827" t="s">
        <v>74</v>
      </c>
      <c r="D827" t="s">
        <v>74</v>
      </c>
      <c r="E827" t="s">
        <v>74</v>
      </c>
      <c r="F827" t="s">
        <v>905</v>
      </c>
      <c r="G827" t="s">
        <v>74</v>
      </c>
      <c r="H827" t="s">
        <v>74</v>
      </c>
      <c r="I827" t="s">
        <v>906</v>
      </c>
      <c r="J827" t="s">
        <v>119</v>
      </c>
      <c r="K827" t="s">
        <v>74</v>
      </c>
      <c r="L827" t="s">
        <v>74</v>
      </c>
      <c r="M827" t="s">
        <v>74</v>
      </c>
      <c r="N827" t="s">
        <v>74</v>
      </c>
      <c r="O827" t="s">
        <v>74</v>
      </c>
      <c r="P827" t="s">
        <v>74</v>
      </c>
      <c r="Q827" t="s">
        <v>74</v>
      </c>
      <c r="R827" t="s">
        <v>74</v>
      </c>
      <c r="S827" t="s">
        <v>74</v>
      </c>
      <c r="T827" t="s">
        <v>74</v>
      </c>
      <c r="U827" t="s">
        <v>74</v>
      </c>
      <c r="V827" s="3" t="s">
        <v>907</v>
      </c>
      <c r="W827" t="s">
        <v>74</v>
      </c>
      <c r="X827" t="s">
        <v>74</v>
      </c>
      <c r="Y827" t="s">
        <v>74</v>
      </c>
      <c r="Z827" t="s">
        <v>74</v>
      </c>
      <c r="AA827" t="s">
        <v>908</v>
      </c>
      <c r="AB827" t="s">
        <v>909</v>
      </c>
      <c r="AC827" t="s">
        <v>74</v>
      </c>
      <c r="AD827" t="s">
        <v>74</v>
      </c>
      <c r="AE827" t="s">
        <v>74</v>
      </c>
      <c r="AF827" t="s">
        <v>74</v>
      </c>
      <c r="AG827" t="s">
        <v>74</v>
      </c>
      <c r="AH827" t="s">
        <v>74</v>
      </c>
      <c r="AI827" t="s">
        <v>74</v>
      </c>
      <c r="AJ827" t="s">
        <v>74</v>
      </c>
      <c r="AK827" t="s">
        <v>74</v>
      </c>
      <c r="AL827" t="s">
        <v>74</v>
      </c>
      <c r="AM827" t="s">
        <v>74</v>
      </c>
      <c r="AN827" t="s">
        <v>74</v>
      </c>
      <c r="AO827" t="s">
        <v>121</v>
      </c>
      <c r="AP827" t="s">
        <v>122</v>
      </c>
      <c r="AQ827" t="s">
        <v>74</v>
      </c>
      <c r="AR827" t="s">
        <v>74</v>
      </c>
      <c r="AS827" t="s">
        <v>74</v>
      </c>
      <c r="AT827" t="s">
        <v>102</v>
      </c>
      <c r="AU827">
        <v>2014</v>
      </c>
      <c r="AV827">
        <v>105</v>
      </c>
      <c r="AW827" t="s">
        <v>74</v>
      </c>
      <c r="AX827" t="s">
        <v>74</v>
      </c>
      <c r="AY827" t="s">
        <v>74</v>
      </c>
      <c r="AZ827" t="s">
        <v>74</v>
      </c>
      <c r="BA827" t="s">
        <v>74</v>
      </c>
      <c r="BB827">
        <v>15</v>
      </c>
      <c r="BC827">
        <v>18</v>
      </c>
      <c r="BD827" t="s">
        <v>74</v>
      </c>
      <c r="BE827" t="s">
        <v>910</v>
      </c>
      <c r="BF827" t="str">
        <f>HYPERLINK("http://dx.doi.org/10.1016/j.beproc.2014.02.003","http://dx.doi.org/10.1016/j.beproc.2014.02.003")</f>
        <v>http://dx.doi.org/10.1016/j.beproc.2014.02.003</v>
      </c>
      <c r="BG827" t="s">
        <v>74</v>
      </c>
      <c r="BH827" t="s">
        <v>74</v>
      </c>
      <c r="BI827" t="s">
        <v>74</v>
      </c>
      <c r="BJ827" t="s">
        <v>74</v>
      </c>
      <c r="BK827" t="s">
        <v>74</v>
      </c>
      <c r="BL827" t="s">
        <v>74</v>
      </c>
      <c r="BM827" t="s">
        <v>74</v>
      </c>
      <c r="BN827">
        <v>24525358</v>
      </c>
      <c r="BO827" t="s">
        <v>74</v>
      </c>
      <c r="BP827" t="s">
        <v>74</v>
      </c>
      <c r="BQ827" t="s">
        <v>74</v>
      </c>
      <c r="BR827" t="s">
        <v>74</v>
      </c>
      <c r="BS827" t="s">
        <v>911</v>
      </c>
      <c r="BT827" t="str">
        <f>HYPERLINK("https%3A%2F%2Fwww.webofscience.com%2Fwos%2Fwoscc%2Ffull-record%2FWOS:000336827500003","View Full Record in Web of Science")</f>
        <v>View Full Record in Web of Science</v>
      </c>
    </row>
    <row r="828" spans="1:72" x14ac:dyDescent="0.4">
      <c r="A828" t="s">
        <v>72</v>
      </c>
      <c r="B828" t="s">
        <v>7054</v>
      </c>
      <c r="C828" t="s">
        <v>74</v>
      </c>
      <c r="D828" t="s">
        <v>74</v>
      </c>
      <c r="E828" t="s">
        <v>74</v>
      </c>
      <c r="F828" t="s">
        <v>7055</v>
      </c>
      <c r="G828" t="s">
        <v>74</v>
      </c>
      <c r="H828" t="s">
        <v>74</v>
      </c>
      <c r="I828" t="s">
        <v>7056</v>
      </c>
      <c r="J828" t="s">
        <v>1656</v>
      </c>
      <c r="K828" t="s">
        <v>74</v>
      </c>
      <c r="L828" t="s">
        <v>74</v>
      </c>
      <c r="M828" t="s">
        <v>74</v>
      </c>
      <c r="N828" t="s">
        <v>74</v>
      </c>
      <c r="O828" t="s">
        <v>74</v>
      </c>
      <c r="P828" t="s">
        <v>74</v>
      </c>
      <c r="Q828" t="s">
        <v>74</v>
      </c>
      <c r="R828" t="s">
        <v>74</v>
      </c>
      <c r="S828" t="s">
        <v>74</v>
      </c>
      <c r="T828" t="s">
        <v>74</v>
      </c>
      <c r="U828" t="s">
        <v>74</v>
      </c>
      <c r="V828" s="3" t="s">
        <v>7057</v>
      </c>
      <c r="W828" t="s">
        <v>74</v>
      </c>
      <c r="X828" t="s">
        <v>74</v>
      </c>
      <c r="Y828" t="s">
        <v>74</v>
      </c>
      <c r="Z828" t="s">
        <v>74</v>
      </c>
      <c r="AA828" t="s">
        <v>74</v>
      </c>
      <c r="AB828" t="s">
        <v>74</v>
      </c>
      <c r="AC828" t="s">
        <v>74</v>
      </c>
      <c r="AD828" t="s">
        <v>74</v>
      </c>
      <c r="AE828" t="s">
        <v>74</v>
      </c>
      <c r="AF828" t="s">
        <v>74</v>
      </c>
      <c r="AG828" t="s">
        <v>74</v>
      </c>
      <c r="AH828" t="s">
        <v>74</v>
      </c>
      <c r="AI828" t="s">
        <v>74</v>
      </c>
      <c r="AJ828" t="s">
        <v>74</v>
      </c>
      <c r="AK828" t="s">
        <v>74</v>
      </c>
      <c r="AL828" t="s">
        <v>74</v>
      </c>
      <c r="AM828" t="s">
        <v>74</v>
      </c>
      <c r="AN828" t="s">
        <v>74</v>
      </c>
      <c r="AO828" t="s">
        <v>1658</v>
      </c>
      <c r="AP828" t="s">
        <v>1659</v>
      </c>
      <c r="AQ828" t="s">
        <v>74</v>
      </c>
      <c r="AR828" t="s">
        <v>74</v>
      </c>
      <c r="AS828" t="s">
        <v>74</v>
      </c>
      <c r="AT828" t="s">
        <v>7058</v>
      </c>
      <c r="AU828">
        <v>2019</v>
      </c>
      <c r="AV828">
        <v>4695</v>
      </c>
      <c r="AW828">
        <v>6</v>
      </c>
      <c r="AX828" t="s">
        <v>74</v>
      </c>
      <c r="AY828" t="s">
        <v>74</v>
      </c>
      <c r="AZ828" t="s">
        <v>74</v>
      </c>
      <c r="BA828" t="s">
        <v>74</v>
      </c>
      <c r="BB828">
        <v>501</v>
      </c>
      <c r="BC828">
        <v>515</v>
      </c>
      <c r="BD828" t="s">
        <v>74</v>
      </c>
      <c r="BE828" t="s">
        <v>7059</v>
      </c>
      <c r="BF828" t="str">
        <f>HYPERLINK("http://dx.doi.org/10.11646/zootaxa.4695.6.1","http://dx.doi.org/10.11646/zootaxa.4695.6.1")</f>
        <v>http://dx.doi.org/10.11646/zootaxa.4695.6.1</v>
      </c>
      <c r="BG828" t="s">
        <v>74</v>
      </c>
      <c r="BH828" t="s">
        <v>74</v>
      </c>
      <c r="BI828" t="s">
        <v>74</v>
      </c>
      <c r="BJ828" t="s">
        <v>74</v>
      </c>
      <c r="BK828" t="s">
        <v>74</v>
      </c>
      <c r="BL828" t="s">
        <v>74</v>
      </c>
      <c r="BM828" t="s">
        <v>74</v>
      </c>
      <c r="BN828">
        <v>31719322</v>
      </c>
      <c r="BO828" t="s">
        <v>74</v>
      </c>
      <c r="BP828" t="s">
        <v>74</v>
      </c>
      <c r="BQ828" t="s">
        <v>74</v>
      </c>
      <c r="BR828" t="s">
        <v>74</v>
      </c>
      <c r="BS828" t="s">
        <v>7060</v>
      </c>
      <c r="BT828" t="str">
        <f>HYPERLINK("https%3A%2F%2Fwww.webofscience.com%2Fwos%2Fwoscc%2Ffull-record%2FWOS:000497817600001","View Full Record in Web of Science")</f>
        <v>View Full Record in Web of Science</v>
      </c>
    </row>
    <row r="829" spans="1:72" x14ac:dyDescent="0.4">
      <c r="A829" t="s">
        <v>72</v>
      </c>
      <c r="B829" t="s">
        <v>1205</v>
      </c>
      <c r="C829" t="s">
        <v>74</v>
      </c>
      <c r="D829" t="s">
        <v>74</v>
      </c>
      <c r="E829" t="s">
        <v>74</v>
      </c>
      <c r="F829" t="s">
        <v>1205</v>
      </c>
      <c r="G829" t="s">
        <v>74</v>
      </c>
      <c r="H829" t="s">
        <v>74</v>
      </c>
      <c r="I829" t="s">
        <v>1206</v>
      </c>
      <c r="J829" t="s">
        <v>88</v>
      </c>
      <c r="K829" t="s">
        <v>74</v>
      </c>
      <c r="L829" t="s">
        <v>74</v>
      </c>
      <c r="M829" t="s">
        <v>74</v>
      </c>
      <c r="N829" t="s">
        <v>74</v>
      </c>
      <c r="O829" t="s">
        <v>74</v>
      </c>
      <c r="P829" t="s">
        <v>74</v>
      </c>
      <c r="Q829" t="s">
        <v>74</v>
      </c>
      <c r="R829" t="s">
        <v>74</v>
      </c>
      <c r="S829" t="s">
        <v>74</v>
      </c>
      <c r="T829" t="s">
        <v>74</v>
      </c>
      <c r="U829" t="s">
        <v>74</v>
      </c>
      <c r="V829" s="3" t="s">
        <v>1207</v>
      </c>
      <c r="W829" t="s">
        <v>74</v>
      </c>
      <c r="X829" t="s">
        <v>74</v>
      </c>
      <c r="Y829" t="s">
        <v>74</v>
      </c>
      <c r="Z829" t="s">
        <v>74</v>
      </c>
      <c r="AA829" t="s">
        <v>1208</v>
      </c>
      <c r="AB829" t="s">
        <v>1209</v>
      </c>
      <c r="AC829" t="s">
        <v>74</v>
      </c>
      <c r="AD829" t="s">
        <v>74</v>
      </c>
      <c r="AE829" t="s">
        <v>74</v>
      </c>
      <c r="AF829" t="s">
        <v>74</v>
      </c>
      <c r="AG829" t="s">
        <v>74</v>
      </c>
      <c r="AH829" t="s">
        <v>74</v>
      </c>
      <c r="AI829" t="s">
        <v>74</v>
      </c>
      <c r="AJ829" t="s">
        <v>74</v>
      </c>
      <c r="AK829" t="s">
        <v>74</v>
      </c>
      <c r="AL829" t="s">
        <v>74</v>
      </c>
      <c r="AM829" t="s">
        <v>74</v>
      </c>
      <c r="AN829" t="s">
        <v>74</v>
      </c>
      <c r="AO829" t="s">
        <v>91</v>
      </c>
      <c r="AP829" t="s">
        <v>74</v>
      </c>
      <c r="AQ829" t="s">
        <v>74</v>
      </c>
      <c r="AR829" t="s">
        <v>74</v>
      </c>
      <c r="AS829" t="s">
        <v>74</v>
      </c>
      <c r="AT829" t="s">
        <v>1210</v>
      </c>
      <c r="AU829">
        <v>2005</v>
      </c>
      <c r="AV829">
        <v>1</v>
      </c>
      <c r="AW829">
        <v>4</v>
      </c>
      <c r="AX829" t="s">
        <v>74</v>
      </c>
      <c r="AY829" t="s">
        <v>74</v>
      </c>
      <c r="AZ829" t="s">
        <v>74</v>
      </c>
      <c r="BA829" t="s">
        <v>74</v>
      </c>
      <c r="BB829">
        <v>411</v>
      </c>
      <c r="BC829">
        <v>414</v>
      </c>
      <c r="BD829" t="s">
        <v>74</v>
      </c>
      <c r="BE829" t="s">
        <v>1211</v>
      </c>
      <c r="BF829" t="str">
        <f>HYPERLINK("http://dx.doi.org/10.1098/rsbl.2005.0355","http://dx.doi.org/10.1098/rsbl.2005.0355")</f>
        <v>http://dx.doi.org/10.1098/rsbl.2005.0355</v>
      </c>
      <c r="BG829" t="s">
        <v>74</v>
      </c>
      <c r="BH829" t="s">
        <v>74</v>
      </c>
      <c r="BI829" t="s">
        <v>74</v>
      </c>
      <c r="BJ829" t="s">
        <v>74</v>
      </c>
      <c r="BK829" t="s">
        <v>74</v>
      </c>
      <c r="BL829" t="s">
        <v>74</v>
      </c>
      <c r="BM829" t="s">
        <v>74</v>
      </c>
      <c r="BN829">
        <v>17148220</v>
      </c>
      <c r="BO829" t="s">
        <v>74</v>
      </c>
      <c r="BP829" t="s">
        <v>74</v>
      </c>
      <c r="BQ829" t="s">
        <v>74</v>
      </c>
      <c r="BR829" t="s">
        <v>74</v>
      </c>
      <c r="BS829" t="s">
        <v>1212</v>
      </c>
      <c r="BT829" t="str">
        <f>HYPERLINK("https%3A%2F%2Fwww.webofscience.com%2Fwos%2Fwoscc%2Ffull-record%2FWOS:000233911600009","View Full Record in Web of Science")</f>
        <v>View Full Record in Web of Science</v>
      </c>
    </row>
    <row r="830" spans="1:72" x14ac:dyDescent="0.4">
      <c r="A830" t="s">
        <v>72</v>
      </c>
      <c r="B830" t="s">
        <v>2429</v>
      </c>
      <c r="C830" t="s">
        <v>74</v>
      </c>
      <c r="D830" t="s">
        <v>74</v>
      </c>
      <c r="E830" t="s">
        <v>74</v>
      </c>
      <c r="F830" t="s">
        <v>2429</v>
      </c>
      <c r="G830" t="s">
        <v>74</v>
      </c>
      <c r="H830" t="s">
        <v>74</v>
      </c>
      <c r="I830" t="s">
        <v>2430</v>
      </c>
      <c r="J830" t="s">
        <v>1112</v>
      </c>
      <c r="K830" t="s">
        <v>74</v>
      </c>
      <c r="L830" t="s">
        <v>74</v>
      </c>
      <c r="M830" t="s">
        <v>74</v>
      </c>
      <c r="N830" t="s">
        <v>74</v>
      </c>
      <c r="O830" t="s">
        <v>74</v>
      </c>
      <c r="P830" t="s">
        <v>74</v>
      </c>
      <c r="Q830" t="s">
        <v>74</v>
      </c>
      <c r="R830" t="s">
        <v>74</v>
      </c>
      <c r="S830" t="s">
        <v>74</v>
      </c>
      <c r="T830" t="s">
        <v>74</v>
      </c>
      <c r="U830" t="s">
        <v>74</v>
      </c>
      <c r="V830" s="3" t="s">
        <v>2431</v>
      </c>
      <c r="W830" t="s">
        <v>74</v>
      </c>
      <c r="X830" t="s">
        <v>74</v>
      </c>
      <c r="Y830" t="s">
        <v>74</v>
      </c>
      <c r="Z830" t="s">
        <v>74</v>
      </c>
      <c r="AA830" t="s">
        <v>805</v>
      </c>
      <c r="AB830" t="s">
        <v>2432</v>
      </c>
      <c r="AC830" t="s">
        <v>74</v>
      </c>
      <c r="AD830" t="s">
        <v>74</v>
      </c>
      <c r="AE830" t="s">
        <v>74</v>
      </c>
      <c r="AF830" t="s">
        <v>74</v>
      </c>
      <c r="AG830" t="s">
        <v>74</v>
      </c>
      <c r="AH830" t="s">
        <v>74</v>
      </c>
      <c r="AI830" t="s">
        <v>74</v>
      </c>
      <c r="AJ830" t="s">
        <v>74</v>
      </c>
      <c r="AK830" t="s">
        <v>74</v>
      </c>
      <c r="AL830" t="s">
        <v>74</v>
      </c>
      <c r="AM830" t="s">
        <v>74</v>
      </c>
      <c r="AN830" t="s">
        <v>74</v>
      </c>
      <c r="AO830" t="s">
        <v>1114</v>
      </c>
      <c r="AP830" t="s">
        <v>74</v>
      </c>
      <c r="AQ830" t="s">
        <v>74</v>
      </c>
      <c r="AR830" t="s">
        <v>74</v>
      </c>
      <c r="AS830" t="s">
        <v>74</v>
      </c>
      <c r="AT830" t="s">
        <v>633</v>
      </c>
      <c r="AU830">
        <v>1997</v>
      </c>
      <c r="AV830">
        <v>52</v>
      </c>
      <c r="AW830" t="s">
        <v>1276</v>
      </c>
      <c r="AX830" t="s">
        <v>74</v>
      </c>
      <c r="AY830" t="s">
        <v>74</v>
      </c>
      <c r="AZ830" t="s">
        <v>74</v>
      </c>
      <c r="BA830" t="s">
        <v>74</v>
      </c>
      <c r="BB830">
        <v>215</v>
      </c>
      <c r="BC830">
        <v>227</v>
      </c>
      <c r="BD830" t="s">
        <v>74</v>
      </c>
      <c r="BE830" t="s">
        <v>2433</v>
      </c>
      <c r="BF830" t="str">
        <f>HYPERLINK("http://dx.doi.org/10.1016/S0168-1591(96)01124-0","http://dx.doi.org/10.1016/S0168-1591(96)01124-0")</f>
        <v>http://dx.doi.org/10.1016/S0168-1591(96)01124-0</v>
      </c>
      <c r="BG830" t="s">
        <v>74</v>
      </c>
      <c r="BH830" t="s">
        <v>74</v>
      </c>
      <c r="BI830" t="s">
        <v>74</v>
      </c>
      <c r="BJ830" t="s">
        <v>74</v>
      </c>
      <c r="BK830" t="s">
        <v>74</v>
      </c>
      <c r="BL830" t="s">
        <v>74</v>
      </c>
      <c r="BM830" t="s">
        <v>74</v>
      </c>
      <c r="BN830" t="s">
        <v>74</v>
      </c>
      <c r="BO830" t="s">
        <v>74</v>
      </c>
      <c r="BP830" t="s">
        <v>74</v>
      </c>
      <c r="BQ830" t="s">
        <v>74</v>
      </c>
      <c r="BR830" t="s">
        <v>74</v>
      </c>
      <c r="BS830" t="s">
        <v>2434</v>
      </c>
      <c r="BT830" t="str">
        <f>HYPERLINK("https%3A%2F%2Fwww.webofscience.com%2Fwos%2Fwoscc%2Ffull-record%2FWOS:A1997XA61600004","View Full Record in Web of Science")</f>
        <v>View Full Record in Web of Science</v>
      </c>
    </row>
    <row r="831" spans="1:72" x14ac:dyDescent="0.4">
      <c r="A831" t="s">
        <v>72</v>
      </c>
      <c r="B831" t="s">
        <v>2429</v>
      </c>
      <c r="C831" t="s">
        <v>74</v>
      </c>
      <c r="D831" t="s">
        <v>74</v>
      </c>
      <c r="E831" t="s">
        <v>74</v>
      </c>
      <c r="F831" t="s">
        <v>2429</v>
      </c>
      <c r="G831" t="s">
        <v>74</v>
      </c>
      <c r="H831" t="s">
        <v>74</v>
      </c>
      <c r="I831" t="s">
        <v>3771</v>
      </c>
      <c r="J831" t="s">
        <v>1112</v>
      </c>
      <c r="K831" t="s">
        <v>74</v>
      </c>
      <c r="L831" t="s">
        <v>74</v>
      </c>
      <c r="M831" t="s">
        <v>74</v>
      </c>
      <c r="N831" t="s">
        <v>74</v>
      </c>
      <c r="O831" t="s">
        <v>74</v>
      </c>
      <c r="P831" t="s">
        <v>74</v>
      </c>
      <c r="Q831" t="s">
        <v>74</v>
      </c>
      <c r="R831" t="s">
        <v>74</v>
      </c>
      <c r="S831" t="s">
        <v>74</v>
      </c>
      <c r="T831" t="s">
        <v>74</v>
      </c>
      <c r="U831" t="s">
        <v>74</v>
      </c>
      <c r="V831" s="3" t="s">
        <v>3772</v>
      </c>
      <c r="W831" t="s">
        <v>74</v>
      </c>
      <c r="X831" t="s">
        <v>74</v>
      </c>
      <c r="Y831" t="s">
        <v>74</v>
      </c>
      <c r="Z831" t="s">
        <v>74</v>
      </c>
      <c r="AA831" t="s">
        <v>805</v>
      </c>
      <c r="AB831" t="s">
        <v>2432</v>
      </c>
      <c r="AC831" t="s">
        <v>74</v>
      </c>
      <c r="AD831" t="s">
        <v>74</v>
      </c>
      <c r="AE831" t="s">
        <v>74</v>
      </c>
      <c r="AF831" t="s">
        <v>74</v>
      </c>
      <c r="AG831" t="s">
        <v>74</v>
      </c>
      <c r="AH831" t="s">
        <v>74</v>
      </c>
      <c r="AI831" t="s">
        <v>74</v>
      </c>
      <c r="AJ831" t="s">
        <v>74</v>
      </c>
      <c r="AK831" t="s">
        <v>74</v>
      </c>
      <c r="AL831" t="s">
        <v>74</v>
      </c>
      <c r="AM831" t="s">
        <v>74</v>
      </c>
      <c r="AN831" t="s">
        <v>74</v>
      </c>
      <c r="AO831" t="s">
        <v>1114</v>
      </c>
      <c r="AP831" t="s">
        <v>74</v>
      </c>
      <c r="AQ831" t="s">
        <v>74</v>
      </c>
      <c r="AR831" t="s">
        <v>74</v>
      </c>
      <c r="AS831" t="s">
        <v>74</v>
      </c>
      <c r="AT831" t="s">
        <v>633</v>
      </c>
      <c r="AU831">
        <v>1996</v>
      </c>
      <c r="AV831">
        <v>47</v>
      </c>
      <c r="AW831" t="s">
        <v>548</v>
      </c>
      <c r="AX831" t="s">
        <v>74</v>
      </c>
      <c r="AY831" t="s">
        <v>74</v>
      </c>
      <c r="AZ831" t="s">
        <v>74</v>
      </c>
      <c r="BA831" t="s">
        <v>74</v>
      </c>
      <c r="BB831">
        <v>75</v>
      </c>
      <c r="BC831">
        <v>89</v>
      </c>
      <c r="BD831" t="s">
        <v>74</v>
      </c>
      <c r="BE831" t="s">
        <v>3773</v>
      </c>
      <c r="BF831" t="str">
        <f>HYPERLINK("http://dx.doi.org/10.1016/0168-1591(95)01012-2","http://dx.doi.org/10.1016/0168-1591(95)01012-2")</f>
        <v>http://dx.doi.org/10.1016/0168-1591(95)01012-2</v>
      </c>
      <c r="BG831" t="s">
        <v>74</v>
      </c>
      <c r="BH831" t="s">
        <v>74</v>
      </c>
      <c r="BI831" t="s">
        <v>74</v>
      </c>
      <c r="BJ831" t="s">
        <v>74</v>
      </c>
      <c r="BK831" t="s">
        <v>74</v>
      </c>
      <c r="BL831" t="s">
        <v>74</v>
      </c>
      <c r="BM831" t="s">
        <v>74</v>
      </c>
      <c r="BN831" t="s">
        <v>74</v>
      </c>
      <c r="BO831" t="s">
        <v>74</v>
      </c>
      <c r="BP831" t="s">
        <v>74</v>
      </c>
      <c r="BQ831" t="s">
        <v>74</v>
      </c>
      <c r="BR831" t="s">
        <v>74</v>
      </c>
      <c r="BS831" t="s">
        <v>3774</v>
      </c>
      <c r="BT831" t="str">
        <f>HYPERLINK("https%3A%2F%2Fwww.webofscience.com%2Fwos%2Fwoscc%2Ffull-record%2FWOS:A1996UR65000008","View Full Record in Web of Science")</f>
        <v>View Full Record in Web of Science</v>
      </c>
    </row>
    <row r="832" spans="1:72" x14ac:dyDescent="0.4">
      <c r="A832" t="s">
        <v>72</v>
      </c>
      <c r="B832" t="s">
        <v>3733</v>
      </c>
      <c r="C832" t="s">
        <v>74</v>
      </c>
      <c r="D832" t="s">
        <v>74</v>
      </c>
      <c r="E832" t="s">
        <v>74</v>
      </c>
      <c r="F832" t="s">
        <v>3734</v>
      </c>
      <c r="G832" t="s">
        <v>74</v>
      </c>
      <c r="H832" t="s">
        <v>74</v>
      </c>
      <c r="I832" t="s">
        <v>3735</v>
      </c>
      <c r="J832" t="s">
        <v>140</v>
      </c>
      <c r="K832" t="s">
        <v>74</v>
      </c>
      <c r="L832" t="s">
        <v>74</v>
      </c>
      <c r="M832" t="s">
        <v>74</v>
      </c>
      <c r="N832" t="s">
        <v>74</v>
      </c>
      <c r="O832" t="s">
        <v>74</v>
      </c>
      <c r="P832" t="s">
        <v>74</v>
      </c>
      <c r="Q832" t="s">
        <v>74</v>
      </c>
      <c r="R832" t="s">
        <v>74</v>
      </c>
      <c r="S832" t="s">
        <v>74</v>
      </c>
      <c r="T832" t="s">
        <v>74</v>
      </c>
      <c r="U832" t="s">
        <v>74</v>
      </c>
      <c r="V832" s="3" t="s">
        <v>3736</v>
      </c>
      <c r="W832" t="s">
        <v>74</v>
      </c>
      <c r="X832" t="s">
        <v>74</v>
      </c>
      <c r="Y832" t="s">
        <v>74</v>
      </c>
      <c r="Z832" t="s">
        <v>74</v>
      </c>
      <c r="AA832" t="s">
        <v>3737</v>
      </c>
      <c r="AB832" t="s">
        <v>1976</v>
      </c>
      <c r="AC832" t="s">
        <v>74</v>
      </c>
      <c r="AD832" t="s">
        <v>74</v>
      </c>
      <c r="AE832" t="s">
        <v>74</v>
      </c>
      <c r="AF832" t="s">
        <v>74</v>
      </c>
      <c r="AG832" t="s">
        <v>74</v>
      </c>
      <c r="AH832" t="s">
        <v>74</v>
      </c>
      <c r="AI832" t="s">
        <v>74</v>
      </c>
      <c r="AJ832" t="s">
        <v>74</v>
      </c>
      <c r="AK832" t="s">
        <v>74</v>
      </c>
      <c r="AL832" t="s">
        <v>74</v>
      </c>
      <c r="AM832" t="s">
        <v>74</v>
      </c>
      <c r="AN832" t="s">
        <v>74</v>
      </c>
      <c r="AO832" t="s">
        <v>143</v>
      </c>
      <c r="AP832" t="s">
        <v>144</v>
      </c>
      <c r="AQ832" t="s">
        <v>74</v>
      </c>
      <c r="AR832" t="s">
        <v>74</v>
      </c>
      <c r="AS832" t="s">
        <v>74</v>
      </c>
      <c r="AT832" t="s">
        <v>352</v>
      </c>
      <c r="AU832">
        <v>2007</v>
      </c>
      <c r="AV832">
        <v>74</v>
      </c>
      <c r="AW832" t="s">
        <v>74</v>
      </c>
      <c r="AX832">
        <v>3</v>
      </c>
      <c r="AY832" t="s">
        <v>74</v>
      </c>
      <c r="AZ832" t="s">
        <v>74</v>
      </c>
      <c r="BA832" t="s">
        <v>74</v>
      </c>
      <c r="BB832">
        <v>419</v>
      </c>
      <c r="BC832">
        <v>427</v>
      </c>
      <c r="BD832" t="s">
        <v>74</v>
      </c>
      <c r="BE832" t="s">
        <v>3738</v>
      </c>
      <c r="BF832" t="str">
        <f>HYPERLINK("http://dx.doi.org/10.1016/j.anbehav.2006.10.023","http://dx.doi.org/10.1016/j.anbehav.2006.10.023")</f>
        <v>http://dx.doi.org/10.1016/j.anbehav.2006.10.023</v>
      </c>
      <c r="BG832" t="s">
        <v>74</v>
      </c>
      <c r="BH832" t="s">
        <v>74</v>
      </c>
      <c r="BI832" t="s">
        <v>74</v>
      </c>
      <c r="BJ832" t="s">
        <v>74</v>
      </c>
      <c r="BK832" t="s">
        <v>74</v>
      </c>
      <c r="BL832" t="s">
        <v>74</v>
      </c>
      <c r="BM832" t="s">
        <v>74</v>
      </c>
      <c r="BN832" t="s">
        <v>74</v>
      </c>
      <c r="BO832" t="s">
        <v>74</v>
      </c>
      <c r="BP832" t="s">
        <v>74</v>
      </c>
      <c r="BQ832" t="s">
        <v>74</v>
      </c>
      <c r="BR832" t="s">
        <v>74</v>
      </c>
      <c r="BS832" t="s">
        <v>3739</v>
      </c>
      <c r="BT832" t="str">
        <f>HYPERLINK("https%3A%2F%2Fwww.webofscience.com%2Fwos%2Fwoscc%2Ffull-record%2FWOS:000250180700008","View Full Record in Web of Science")</f>
        <v>View Full Record in Web of Science</v>
      </c>
    </row>
    <row r="833" spans="1:72" x14ac:dyDescent="0.4">
      <c r="A833" t="s">
        <v>72</v>
      </c>
      <c r="B833" t="s">
        <v>4150</v>
      </c>
      <c r="C833" t="s">
        <v>74</v>
      </c>
      <c r="D833" t="s">
        <v>74</v>
      </c>
      <c r="E833" t="s">
        <v>74</v>
      </c>
      <c r="F833" t="s">
        <v>4151</v>
      </c>
      <c r="G833" t="s">
        <v>74</v>
      </c>
      <c r="H833" t="s">
        <v>74</v>
      </c>
      <c r="I833" t="s">
        <v>4152</v>
      </c>
      <c r="J833" t="s">
        <v>77</v>
      </c>
      <c r="K833" t="s">
        <v>74</v>
      </c>
      <c r="L833" t="s">
        <v>74</v>
      </c>
      <c r="M833" t="s">
        <v>74</v>
      </c>
      <c r="N833" t="s">
        <v>74</v>
      </c>
      <c r="O833" t="s">
        <v>74</v>
      </c>
      <c r="P833" t="s">
        <v>74</v>
      </c>
      <c r="Q833" t="s">
        <v>74</v>
      </c>
      <c r="R833" t="s">
        <v>74</v>
      </c>
      <c r="S833" t="s">
        <v>74</v>
      </c>
      <c r="T833" t="s">
        <v>74</v>
      </c>
      <c r="U833" t="s">
        <v>74</v>
      </c>
      <c r="V833" s="3" t="s">
        <v>4153</v>
      </c>
      <c r="W833" t="s">
        <v>74</v>
      </c>
      <c r="X833" t="s">
        <v>74</v>
      </c>
      <c r="Y833" t="s">
        <v>74</v>
      </c>
      <c r="Z833" t="s">
        <v>74</v>
      </c>
      <c r="AA833" t="s">
        <v>4154</v>
      </c>
      <c r="AB833" t="s">
        <v>4155</v>
      </c>
      <c r="AC833" t="s">
        <v>74</v>
      </c>
      <c r="AD833" t="s">
        <v>74</v>
      </c>
      <c r="AE833" t="s">
        <v>74</v>
      </c>
      <c r="AF833" t="s">
        <v>74</v>
      </c>
      <c r="AG833" t="s">
        <v>74</v>
      </c>
      <c r="AH833" t="s">
        <v>74</v>
      </c>
      <c r="AI833" t="s">
        <v>74</v>
      </c>
      <c r="AJ833" t="s">
        <v>74</v>
      </c>
      <c r="AK833" t="s">
        <v>74</v>
      </c>
      <c r="AL833" t="s">
        <v>74</v>
      </c>
      <c r="AM833" t="s">
        <v>74</v>
      </c>
      <c r="AN833" t="s">
        <v>74</v>
      </c>
      <c r="AO833" t="s">
        <v>81</v>
      </c>
      <c r="AP833" t="s">
        <v>82</v>
      </c>
      <c r="AQ833" t="s">
        <v>74</v>
      </c>
      <c r="AR833" t="s">
        <v>74</v>
      </c>
      <c r="AS833" t="s">
        <v>74</v>
      </c>
      <c r="AT833" t="s">
        <v>74</v>
      </c>
      <c r="AU833">
        <v>2010</v>
      </c>
      <c r="AV833">
        <v>147</v>
      </c>
      <c r="AW833">
        <v>4</v>
      </c>
      <c r="AX833" t="s">
        <v>74</v>
      </c>
      <c r="AY833" t="s">
        <v>74</v>
      </c>
      <c r="AZ833" t="s">
        <v>74</v>
      </c>
      <c r="BA833" t="s">
        <v>74</v>
      </c>
      <c r="BB833">
        <v>465</v>
      </c>
      <c r="BC833">
        <v>478</v>
      </c>
      <c r="BD833" t="s">
        <v>74</v>
      </c>
      <c r="BE833" t="s">
        <v>4156</v>
      </c>
      <c r="BF833" t="str">
        <f>HYPERLINK("http://dx.doi.org/10.1163/000579509X12584427339575","http://dx.doi.org/10.1163/000579509X12584427339575")</f>
        <v>http://dx.doi.org/10.1163/000579509X12584427339575</v>
      </c>
      <c r="BG833" t="s">
        <v>74</v>
      </c>
      <c r="BH833" t="s">
        <v>74</v>
      </c>
      <c r="BI833" t="s">
        <v>74</v>
      </c>
      <c r="BJ833" t="s">
        <v>74</v>
      </c>
      <c r="BK833" t="s">
        <v>74</v>
      </c>
      <c r="BL833" t="s">
        <v>74</v>
      </c>
      <c r="BM833" t="s">
        <v>74</v>
      </c>
      <c r="BN833" t="s">
        <v>74</v>
      </c>
      <c r="BO833" t="s">
        <v>74</v>
      </c>
      <c r="BP833" t="s">
        <v>74</v>
      </c>
      <c r="BQ833" t="s">
        <v>74</v>
      </c>
      <c r="BR833" t="s">
        <v>74</v>
      </c>
      <c r="BS833" t="s">
        <v>4157</v>
      </c>
      <c r="BT833" t="str">
        <f>HYPERLINK("https%3A%2F%2Fwww.webofscience.com%2Fwos%2Fwoscc%2Ffull-record%2FWOS:000277127600003","View Full Record in Web of Science")</f>
        <v>View Full Record in Web of Science</v>
      </c>
    </row>
    <row r="834" spans="1:72" x14ac:dyDescent="0.4">
      <c r="A834" t="s">
        <v>72</v>
      </c>
      <c r="B834" t="s">
        <v>5934</v>
      </c>
      <c r="C834" t="s">
        <v>74</v>
      </c>
      <c r="D834" t="s">
        <v>74</v>
      </c>
      <c r="E834" t="s">
        <v>74</v>
      </c>
      <c r="F834" t="s">
        <v>5935</v>
      </c>
      <c r="G834" t="s">
        <v>74</v>
      </c>
      <c r="H834" t="s">
        <v>74</v>
      </c>
      <c r="I834" t="s">
        <v>5936</v>
      </c>
      <c r="J834" t="s">
        <v>5937</v>
      </c>
      <c r="K834" t="s">
        <v>74</v>
      </c>
      <c r="L834" t="s">
        <v>74</v>
      </c>
      <c r="M834" t="s">
        <v>74</v>
      </c>
      <c r="N834" t="s">
        <v>74</v>
      </c>
      <c r="O834" t="s">
        <v>74</v>
      </c>
      <c r="P834" t="s">
        <v>74</v>
      </c>
      <c r="Q834" t="s">
        <v>74</v>
      </c>
      <c r="R834" t="s">
        <v>74</v>
      </c>
      <c r="S834" t="s">
        <v>74</v>
      </c>
      <c r="T834" t="s">
        <v>74</v>
      </c>
      <c r="U834" t="s">
        <v>74</v>
      </c>
      <c r="V834" s="3" t="s">
        <v>5938</v>
      </c>
      <c r="W834" t="s">
        <v>74</v>
      </c>
      <c r="X834" t="s">
        <v>74</v>
      </c>
      <c r="Y834" t="s">
        <v>74</v>
      </c>
      <c r="Z834" t="s">
        <v>74</v>
      </c>
      <c r="AA834" t="s">
        <v>5939</v>
      </c>
      <c r="AB834" t="s">
        <v>5940</v>
      </c>
      <c r="AC834" t="s">
        <v>74</v>
      </c>
      <c r="AD834" t="s">
        <v>74</v>
      </c>
      <c r="AE834" t="s">
        <v>74</v>
      </c>
      <c r="AF834" t="s">
        <v>74</v>
      </c>
      <c r="AG834" t="s">
        <v>74</v>
      </c>
      <c r="AH834" t="s">
        <v>74</v>
      </c>
      <c r="AI834" t="s">
        <v>74</v>
      </c>
      <c r="AJ834" t="s">
        <v>74</v>
      </c>
      <c r="AK834" t="s">
        <v>74</v>
      </c>
      <c r="AL834" t="s">
        <v>74</v>
      </c>
      <c r="AM834" t="s">
        <v>74</v>
      </c>
      <c r="AN834" t="s">
        <v>74</v>
      </c>
      <c r="AO834" t="s">
        <v>5941</v>
      </c>
      <c r="AP834" t="s">
        <v>74</v>
      </c>
      <c r="AQ834" t="s">
        <v>74</v>
      </c>
      <c r="AR834" t="s">
        <v>74</v>
      </c>
      <c r="AS834" t="s">
        <v>74</v>
      </c>
      <c r="AT834" t="s">
        <v>213</v>
      </c>
      <c r="AU834">
        <v>2021</v>
      </c>
      <c r="AV834">
        <v>11</v>
      </c>
      <c r="AW834">
        <v>11</v>
      </c>
      <c r="AX834" t="s">
        <v>74</v>
      </c>
      <c r="AY834" t="s">
        <v>74</v>
      </c>
      <c r="AZ834" t="s">
        <v>74</v>
      </c>
      <c r="BA834" t="s">
        <v>74</v>
      </c>
      <c r="BB834" t="s">
        <v>74</v>
      </c>
      <c r="BC834" t="s">
        <v>74</v>
      </c>
      <c r="BD834">
        <v>3022</v>
      </c>
      <c r="BE834" t="s">
        <v>5942</v>
      </c>
      <c r="BF834" t="str">
        <f>HYPERLINK("http://dx.doi.org/10.3390/ani11113022","http://dx.doi.org/10.3390/ani11113022")</f>
        <v>http://dx.doi.org/10.3390/ani11113022</v>
      </c>
      <c r="BG834" t="s">
        <v>74</v>
      </c>
      <c r="BH834" t="s">
        <v>74</v>
      </c>
      <c r="BI834" t="s">
        <v>74</v>
      </c>
      <c r="BJ834" t="s">
        <v>74</v>
      </c>
      <c r="BK834" t="s">
        <v>74</v>
      </c>
      <c r="BL834" t="s">
        <v>74</v>
      </c>
      <c r="BM834" t="s">
        <v>74</v>
      </c>
      <c r="BN834">
        <v>34827756</v>
      </c>
      <c r="BO834" t="s">
        <v>74</v>
      </c>
      <c r="BP834" t="s">
        <v>74</v>
      </c>
      <c r="BQ834" t="s">
        <v>74</v>
      </c>
      <c r="BR834" t="s">
        <v>74</v>
      </c>
      <c r="BS834" t="s">
        <v>5943</v>
      </c>
      <c r="BT834" t="str">
        <f>HYPERLINK("https%3A%2F%2Fwww.webofscience.com%2Fwos%2Fwoscc%2Ffull-record%2FWOS:000758187200001","View Full Record in Web of Science")</f>
        <v>View Full Record in Web of Science</v>
      </c>
    </row>
    <row r="835" spans="1:72" x14ac:dyDescent="0.4">
      <c r="A835" t="s">
        <v>72</v>
      </c>
      <c r="B835" t="s">
        <v>4232</v>
      </c>
      <c r="C835" t="s">
        <v>74</v>
      </c>
      <c r="D835" t="s">
        <v>74</v>
      </c>
      <c r="E835" t="s">
        <v>74</v>
      </c>
      <c r="F835" t="s">
        <v>4233</v>
      </c>
      <c r="G835" t="s">
        <v>74</v>
      </c>
      <c r="H835" t="s">
        <v>74</v>
      </c>
      <c r="I835" t="s">
        <v>4234</v>
      </c>
      <c r="J835" t="s">
        <v>4235</v>
      </c>
      <c r="K835" t="s">
        <v>74</v>
      </c>
      <c r="L835" t="s">
        <v>74</v>
      </c>
      <c r="M835" t="s">
        <v>74</v>
      </c>
      <c r="N835" t="s">
        <v>74</v>
      </c>
      <c r="O835" t="s">
        <v>74</v>
      </c>
      <c r="P835" t="s">
        <v>74</v>
      </c>
      <c r="Q835" t="s">
        <v>74</v>
      </c>
      <c r="R835" t="s">
        <v>74</v>
      </c>
      <c r="S835" t="s">
        <v>74</v>
      </c>
      <c r="T835" t="s">
        <v>74</v>
      </c>
      <c r="U835" t="s">
        <v>74</v>
      </c>
      <c r="V835" s="3" t="s">
        <v>4236</v>
      </c>
      <c r="W835" t="s">
        <v>74</v>
      </c>
      <c r="X835" t="s">
        <v>74</v>
      </c>
      <c r="Y835" t="s">
        <v>74</v>
      </c>
      <c r="Z835" t="s">
        <v>74</v>
      </c>
      <c r="AA835" t="s">
        <v>4237</v>
      </c>
      <c r="AB835" t="s">
        <v>4238</v>
      </c>
      <c r="AC835" t="s">
        <v>74</v>
      </c>
      <c r="AD835" t="s">
        <v>74</v>
      </c>
      <c r="AE835" t="s">
        <v>74</v>
      </c>
      <c r="AF835" t="s">
        <v>74</v>
      </c>
      <c r="AG835" t="s">
        <v>74</v>
      </c>
      <c r="AH835" t="s">
        <v>74</v>
      </c>
      <c r="AI835" t="s">
        <v>74</v>
      </c>
      <c r="AJ835" t="s">
        <v>74</v>
      </c>
      <c r="AK835" t="s">
        <v>74</v>
      </c>
      <c r="AL835" t="s">
        <v>74</v>
      </c>
      <c r="AM835" t="s">
        <v>74</v>
      </c>
      <c r="AN835" t="s">
        <v>74</v>
      </c>
      <c r="AO835" t="s">
        <v>4239</v>
      </c>
      <c r="AP835" t="s">
        <v>4240</v>
      </c>
      <c r="AQ835" t="s">
        <v>74</v>
      </c>
      <c r="AR835" t="s">
        <v>74</v>
      </c>
      <c r="AS835" t="s">
        <v>74</v>
      </c>
      <c r="AT835" t="s">
        <v>175</v>
      </c>
      <c r="AU835">
        <v>2014</v>
      </c>
      <c r="AV835">
        <v>79</v>
      </c>
      <c r="AW835" t="s">
        <v>74</v>
      </c>
      <c r="AX835" t="s">
        <v>74</v>
      </c>
      <c r="AY835" t="s">
        <v>74</v>
      </c>
      <c r="AZ835" t="s">
        <v>74</v>
      </c>
      <c r="BA835" t="s">
        <v>74</v>
      </c>
      <c r="BB835">
        <v>404</v>
      </c>
      <c r="BC835">
        <v>414</v>
      </c>
      <c r="BD835" t="s">
        <v>74</v>
      </c>
      <c r="BE835" t="s">
        <v>4241</v>
      </c>
      <c r="BF835" t="str">
        <f>HYPERLINK("http://dx.doi.org/10.1016/j.ympev.2014.07.007","http://dx.doi.org/10.1016/j.ympev.2014.07.007")</f>
        <v>http://dx.doi.org/10.1016/j.ympev.2014.07.007</v>
      </c>
      <c r="BG835" t="s">
        <v>74</v>
      </c>
      <c r="BH835" t="s">
        <v>74</v>
      </c>
      <c r="BI835" t="s">
        <v>74</v>
      </c>
      <c r="BJ835" t="s">
        <v>74</v>
      </c>
      <c r="BK835" t="s">
        <v>74</v>
      </c>
      <c r="BL835" t="s">
        <v>74</v>
      </c>
      <c r="BM835" t="s">
        <v>74</v>
      </c>
      <c r="BN835">
        <v>25050928</v>
      </c>
      <c r="BO835" t="s">
        <v>74</v>
      </c>
      <c r="BP835" t="s">
        <v>74</v>
      </c>
      <c r="BQ835" t="s">
        <v>74</v>
      </c>
      <c r="BR835" t="s">
        <v>74</v>
      </c>
      <c r="BS835" t="s">
        <v>4242</v>
      </c>
      <c r="BT835" t="str">
        <f>HYPERLINK("https%3A%2F%2Fwww.webofscience.com%2Fwos%2Fwoscc%2Ffull-record%2FWOS:000342884800034","View Full Record in Web of Science")</f>
        <v>View Full Record in Web of Science</v>
      </c>
    </row>
    <row r="836" spans="1:72" x14ac:dyDescent="0.4">
      <c r="A836" t="s">
        <v>72</v>
      </c>
      <c r="B836" t="s">
        <v>6974</v>
      </c>
      <c r="C836" t="s">
        <v>74</v>
      </c>
      <c r="D836" t="s">
        <v>74</v>
      </c>
      <c r="E836" t="s">
        <v>74</v>
      </c>
      <c r="F836" t="s">
        <v>6975</v>
      </c>
      <c r="G836" t="s">
        <v>74</v>
      </c>
      <c r="H836" t="s">
        <v>74</v>
      </c>
      <c r="I836" t="s">
        <v>6976</v>
      </c>
      <c r="J836" t="s">
        <v>1949</v>
      </c>
      <c r="K836" t="s">
        <v>74</v>
      </c>
      <c r="L836" t="s">
        <v>74</v>
      </c>
      <c r="M836" t="s">
        <v>74</v>
      </c>
      <c r="N836" t="s">
        <v>74</v>
      </c>
      <c r="O836" t="s">
        <v>74</v>
      </c>
      <c r="P836" t="s">
        <v>74</v>
      </c>
      <c r="Q836" t="s">
        <v>74</v>
      </c>
      <c r="R836" t="s">
        <v>74</v>
      </c>
      <c r="S836" t="s">
        <v>74</v>
      </c>
      <c r="T836" t="s">
        <v>74</v>
      </c>
      <c r="U836" t="s">
        <v>74</v>
      </c>
      <c r="V836" s="3" t="s">
        <v>6977</v>
      </c>
      <c r="W836" t="s">
        <v>74</v>
      </c>
      <c r="X836" t="s">
        <v>74</v>
      </c>
      <c r="Y836" t="s">
        <v>74</v>
      </c>
      <c r="Z836" t="s">
        <v>74</v>
      </c>
      <c r="AA836" t="s">
        <v>6978</v>
      </c>
      <c r="AB836" t="s">
        <v>6979</v>
      </c>
      <c r="AC836" t="s">
        <v>74</v>
      </c>
      <c r="AD836" t="s">
        <v>74</v>
      </c>
      <c r="AE836" t="s">
        <v>74</v>
      </c>
      <c r="AF836" t="s">
        <v>74</v>
      </c>
      <c r="AG836" t="s">
        <v>74</v>
      </c>
      <c r="AH836" t="s">
        <v>74</v>
      </c>
      <c r="AI836" t="s">
        <v>74</v>
      </c>
      <c r="AJ836" t="s">
        <v>74</v>
      </c>
      <c r="AK836" t="s">
        <v>74</v>
      </c>
      <c r="AL836" t="s">
        <v>74</v>
      </c>
      <c r="AM836" t="s">
        <v>74</v>
      </c>
      <c r="AN836" t="s">
        <v>74</v>
      </c>
      <c r="AO836" t="s">
        <v>74</v>
      </c>
      <c r="AP836" t="s">
        <v>1953</v>
      </c>
      <c r="AQ836" t="s">
        <v>74</v>
      </c>
      <c r="AR836" t="s">
        <v>74</v>
      </c>
      <c r="AS836" t="s">
        <v>74</v>
      </c>
      <c r="AT836" t="s">
        <v>123</v>
      </c>
      <c r="AU836">
        <v>2022</v>
      </c>
      <c r="AV836">
        <v>13</v>
      </c>
      <c r="AW836">
        <v>3</v>
      </c>
      <c r="AX836" t="s">
        <v>74</v>
      </c>
      <c r="AY836" t="s">
        <v>74</v>
      </c>
      <c r="AZ836" t="s">
        <v>74</v>
      </c>
      <c r="BA836" t="s">
        <v>74</v>
      </c>
      <c r="BB836" t="s">
        <v>74</v>
      </c>
      <c r="BC836" t="s">
        <v>74</v>
      </c>
      <c r="BD836">
        <v>262</v>
      </c>
      <c r="BE836" t="s">
        <v>6980</v>
      </c>
      <c r="BF836" t="str">
        <f>HYPERLINK("http://dx.doi.org/10.3390/insects13030262","http://dx.doi.org/10.3390/insects13030262")</f>
        <v>http://dx.doi.org/10.3390/insects13030262</v>
      </c>
      <c r="BG836" t="s">
        <v>74</v>
      </c>
      <c r="BH836" t="s">
        <v>74</v>
      </c>
      <c r="BI836" t="s">
        <v>74</v>
      </c>
      <c r="BJ836" t="s">
        <v>74</v>
      </c>
      <c r="BK836" t="s">
        <v>74</v>
      </c>
      <c r="BL836" t="s">
        <v>74</v>
      </c>
      <c r="BM836" t="s">
        <v>74</v>
      </c>
      <c r="BN836">
        <v>35323560</v>
      </c>
      <c r="BO836" t="s">
        <v>74</v>
      </c>
      <c r="BP836" t="s">
        <v>74</v>
      </c>
      <c r="BQ836" t="s">
        <v>74</v>
      </c>
      <c r="BR836" t="s">
        <v>74</v>
      </c>
      <c r="BS836" t="s">
        <v>6981</v>
      </c>
      <c r="BT836" t="str">
        <f>HYPERLINK("https%3A%2F%2Fwww.webofscience.com%2Fwos%2Fwoscc%2Ffull-record%2FWOS:000775202600001","View Full Record in Web of Science")</f>
        <v>View Full Record in Web of Science</v>
      </c>
    </row>
    <row r="837" spans="1:72" x14ac:dyDescent="0.4">
      <c r="A837" t="s">
        <v>72</v>
      </c>
      <c r="B837" t="s">
        <v>7537</v>
      </c>
      <c r="C837" t="s">
        <v>74</v>
      </c>
      <c r="D837" t="s">
        <v>74</v>
      </c>
      <c r="E837" t="s">
        <v>74</v>
      </c>
      <c r="F837" t="s">
        <v>7537</v>
      </c>
      <c r="G837" t="s">
        <v>74</v>
      </c>
      <c r="H837" t="s">
        <v>74</v>
      </c>
      <c r="I837" t="s">
        <v>7538</v>
      </c>
      <c r="J837" t="s">
        <v>7539</v>
      </c>
      <c r="K837" t="s">
        <v>74</v>
      </c>
      <c r="L837" t="s">
        <v>74</v>
      </c>
      <c r="M837" t="s">
        <v>74</v>
      </c>
      <c r="N837" t="s">
        <v>74</v>
      </c>
      <c r="O837" t="s">
        <v>74</v>
      </c>
      <c r="P837" t="s">
        <v>74</v>
      </c>
      <c r="Q837" t="s">
        <v>74</v>
      </c>
      <c r="R837" t="s">
        <v>74</v>
      </c>
      <c r="S837" t="s">
        <v>74</v>
      </c>
      <c r="T837" t="s">
        <v>74</v>
      </c>
      <c r="U837" t="s">
        <v>74</v>
      </c>
      <c r="V837" s="3" t="s">
        <v>7540</v>
      </c>
      <c r="W837" t="s">
        <v>74</v>
      </c>
      <c r="X837" t="s">
        <v>74</v>
      </c>
      <c r="Y837" t="s">
        <v>74</v>
      </c>
      <c r="Z837" t="s">
        <v>74</v>
      </c>
      <c r="AA837" t="s">
        <v>7541</v>
      </c>
      <c r="AB837" t="s">
        <v>7542</v>
      </c>
      <c r="AC837" t="s">
        <v>74</v>
      </c>
      <c r="AD837" t="s">
        <v>74</v>
      </c>
      <c r="AE837" t="s">
        <v>74</v>
      </c>
      <c r="AF837" t="s">
        <v>74</v>
      </c>
      <c r="AG837" t="s">
        <v>74</v>
      </c>
      <c r="AH837" t="s">
        <v>74</v>
      </c>
      <c r="AI837" t="s">
        <v>74</v>
      </c>
      <c r="AJ837" t="s">
        <v>74</v>
      </c>
      <c r="AK837" t="s">
        <v>74</v>
      </c>
      <c r="AL837" t="s">
        <v>74</v>
      </c>
      <c r="AM837" t="s">
        <v>74</v>
      </c>
      <c r="AN837" t="s">
        <v>74</v>
      </c>
      <c r="AO837" t="s">
        <v>7543</v>
      </c>
      <c r="AP837" t="s">
        <v>7544</v>
      </c>
      <c r="AQ837" t="s">
        <v>74</v>
      </c>
      <c r="AR837" t="s">
        <v>74</v>
      </c>
      <c r="AS837" t="s">
        <v>74</v>
      </c>
      <c r="AT837" t="s">
        <v>123</v>
      </c>
      <c r="AU837">
        <v>1993</v>
      </c>
      <c r="AV837">
        <v>40</v>
      </c>
      <c r="AW837" t="s">
        <v>74</v>
      </c>
      <c r="AX837">
        <v>1</v>
      </c>
      <c r="AY837" t="s">
        <v>74</v>
      </c>
      <c r="AZ837" t="s">
        <v>74</v>
      </c>
      <c r="BA837" t="s">
        <v>74</v>
      </c>
      <c r="BB837">
        <v>31</v>
      </c>
      <c r="BC837">
        <v>37</v>
      </c>
      <c r="BD837" t="s">
        <v>74</v>
      </c>
      <c r="BE837" t="s">
        <v>7545</v>
      </c>
      <c r="BF837" t="str">
        <f>HYPERLINK("http://dx.doi.org/10.1080/00063659309477126","http://dx.doi.org/10.1080/00063659309477126")</f>
        <v>http://dx.doi.org/10.1080/00063659309477126</v>
      </c>
      <c r="BG837" t="s">
        <v>74</v>
      </c>
      <c r="BH837" t="s">
        <v>74</v>
      </c>
      <c r="BI837" t="s">
        <v>74</v>
      </c>
      <c r="BJ837" t="s">
        <v>74</v>
      </c>
      <c r="BK837" t="s">
        <v>74</v>
      </c>
      <c r="BL837" t="s">
        <v>74</v>
      </c>
      <c r="BM837" t="s">
        <v>74</v>
      </c>
      <c r="BN837" t="s">
        <v>74</v>
      </c>
      <c r="BO837" t="s">
        <v>74</v>
      </c>
      <c r="BP837" t="s">
        <v>74</v>
      </c>
      <c r="BQ837" t="s">
        <v>74</v>
      </c>
      <c r="BR837" t="s">
        <v>74</v>
      </c>
      <c r="BS837" t="s">
        <v>7546</v>
      </c>
      <c r="BT837" t="str">
        <f>HYPERLINK("https%3A%2F%2Fwww.webofscience.com%2Fwos%2Fwoscc%2Ffull-record%2FWOS:A1993KU44300004","View Full Record in Web of Science")</f>
        <v>View Full Record in Web of Science</v>
      </c>
    </row>
    <row r="838" spans="1:72" x14ac:dyDescent="0.4">
      <c r="A838" t="s">
        <v>72</v>
      </c>
      <c r="B838" t="s">
        <v>318</v>
      </c>
      <c r="C838" t="s">
        <v>74</v>
      </c>
      <c r="D838" t="s">
        <v>74</v>
      </c>
      <c r="E838" t="s">
        <v>74</v>
      </c>
      <c r="F838" t="s">
        <v>319</v>
      </c>
      <c r="G838" t="s">
        <v>74</v>
      </c>
      <c r="H838" t="s">
        <v>74</v>
      </c>
      <c r="I838" t="s">
        <v>320</v>
      </c>
      <c r="J838" t="s">
        <v>129</v>
      </c>
      <c r="K838" t="s">
        <v>74</v>
      </c>
      <c r="L838" t="s">
        <v>74</v>
      </c>
      <c r="M838" t="s">
        <v>74</v>
      </c>
      <c r="N838" t="s">
        <v>74</v>
      </c>
      <c r="O838" t="s">
        <v>74</v>
      </c>
      <c r="P838" t="s">
        <v>74</v>
      </c>
      <c r="Q838" t="s">
        <v>74</v>
      </c>
      <c r="R838" t="s">
        <v>74</v>
      </c>
      <c r="S838" t="s">
        <v>74</v>
      </c>
      <c r="T838" t="s">
        <v>74</v>
      </c>
      <c r="U838" t="s">
        <v>74</v>
      </c>
      <c r="V838" s="3" t="s">
        <v>321</v>
      </c>
      <c r="W838" t="s">
        <v>74</v>
      </c>
      <c r="X838" t="s">
        <v>74</v>
      </c>
      <c r="Y838" t="s">
        <v>74</v>
      </c>
      <c r="Z838" t="s">
        <v>74</v>
      </c>
      <c r="AA838" t="s">
        <v>74</v>
      </c>
      <c r="AB838" t="s">
        <v>322</v>
      </c>
      <c r="AC838" t="s">
        <v>74</v>
      </c>
      <c r="AD838" t="s">
        <v>74</v>
      </c>
      <c r="AE838" t="s">
        <v>74</v>
      </c>
      <c r="AF838" t="s">
        <v>74</v>
      </c>
      <c r="AG838" t="s">
        <v>74</v>
      </c>
      <c r="AH838" t="s">
        <v>74</v>
      </c>
      <c r="AI838" t="s">
        <v>74</v>
      </c>
      <c r="AJ838" t="s">
        <v>74</v>
      </c>
      <c r="AK838" t="s">
        <v>74</v>
      </c>
      <c r="AL838" t="s">
        <v>74</v>
      </c>
      <c r="AM838" t="s">
        <v>74</v>
      </c>
      <c r="AN838" t="s">
        <v>74</v>
      </c>
      <c r="AO838" t="s">
        <v>132</v>
      </c>
      <c r="AP838" t="s">
        <v>133</v>
      </c>
      <c r="AQ838" t="s">
        <v>74</v>
      </c>
      <c r="AR838" t="s">
        <v>74</v>
      </c>
      <c r="AS838" t="s">
        <v>74</v>
      </c>
      <c r="AT838" t="s">
        <v>255</v>
      </c>
      <c r="AU838">
        <v>2023</v>
      </c>
      <c r="AV838">
        <v>77</v>
      </c>
      <c r="AW838">
        <v>1</v>
      </c>
      <c r="AX838" t="s">
        <v>74</v>
      </c>
      <c r="AY838" t="s">
        <v>74</v>
      </c>
      <c r="AZ838" t="s">
        <v>74</v>
      </c>
      <c r="BA838" t="s">
        <v>74</v>
      </c>
      <c r="BB838" t="s">
        <v>74</v>
      </c>
      <c r="BC838" t="s">
        <v>74</v>
      </c>
      <c r="BD838">
        <v>2</v>
      </c>
      <c r="BE838" t="s">
        <v>323</v>
      </c>
      <c r="BF838" t="str">
        <f>HYPERLINK("http://dx.doi.org/10.1007/s00265-022-03272-9","http://dx.doi.org/10.1007/s00265-022-03272-9")</f>
        <v>http://dx.doi.org/10.1007/s00265-022-03272-9</v>
      </c>
      <c r="BG838" t="s">
        <v>74</v>
      </c>
      <c r="BH838" t="s">
        <v>74</v>
      </c>
      <c r="BI838" t="s">
        <v>74</v>
      </c>
      <c r="BJ838" t="s">
        <v>74</v>
      </c>
      <c r="BK838" t="s">
        <v>74</v>
      </c>
      <c r="BL838" t="s">
        <v>74</v>
      </c>
      <c r="BM838" t="s">
        <v>74</v>
      </c>
      <c r="BN838" t="s">
        <v>74</v>
      </c>
      <c r="BO838" t="s">
        <v>74</v>
      </c>
      <c r="BP838" t="s">
        <v>74</v>
      </c>
      <c r="BQ838" t="s">
        <v>74</v>
      </c>
      <c r="BR838" t="s">
        <v>74</v>
      </c>
      <c r="BS838" t="s">
        <v>324</v>
      </c>
      <c r="BT838" t="str">
        <f>HYPERLINK("https%3A%2F%2Fwww.webofscience.com%2Fwos%2Fwoscc%2Ffull-record%2FWOS:000914603000002","View Full Record in Web of Science")</f>
        <v>View Full Record in Web of Science</v>
      </c>
    </row>
    <row r="839" spans="1:72" x14ac:dyDescent="0.4">
      <c r="A839" t="s">
        <v>72</v>
      </c>
      <c r="B839" t="s">
        <v>4964</v>
      </c>
      <c r="C839" t="s">
        <v>74</v>
      </c>
      <c r="D839" t="s">
        <v>74</v>
      </c>
      <c r="E839" t="s">
        <v>74</v>
      </c>
      <c r="F839" t="s">
        <v>4964</v>
      </c>
      <c r="G839" t="s">
        <v>74</v>
      </c>
      <c r="H839" t="s">
        <v>74</v>
      </c>
      <c r="I839" t="s">
        <v>4965</v>
      </c>
      <c r="J839" t="s">
        <v>1673</v>
      </c>
      <c r="K839" t="s">
        <v>74</v>
      </c>
      <c r="L839" t="s">
        <v>74</v>
      </c>
      <c r="M839" t="s">
        <v>74</v>
      </c>
      <c r="N839" t="s">
        <v>74</v>
      </c>
      <c r="O839" t="s">
        <v>74</v>
      </c>
      <c r="P839" t="s">
        <v>74</v>
      </c>
      <c r="Q839" t="s">
        <v>74</v>
      </c>
      <c r="R839" t="s">
        <v>74</v>
      </c>
      <c r="S839" t="s">
        <v>74</v>
      </c>
      <c r="T839" t="s">
        <v>74</v>
      </c>
      <c r="U839" t="s">
        <v>74</v>
      </c>
      <c r="V839" s="3" t="s">
        <v>4966</v>
      </c>
      <c r="W839" t="s">
        <v>74</v>
      </c>
      <c r="X839" t="s">
        <v>74</v>
      </c>
      <c r="Y839" t="s">
        <v>74</v>
      </c>
      <c r="Z839" t="s">
        <v>74</v>
      </c>
      <c r="AA839" t="s">
        <v>4967</v>
      </c>
      <c r="AB839" t="s">
        <v>74</v>
      </c>
      <c r="AC839" t="s">
        <v>74</v>
      </c>
      <c r="AD839" t="s">
        <v>74</v>
      </c>
      <c r="AE839" t="s">
        <v>74</v>
      </c>
      <c r="AF839" t="s">
        <v>74</v>
      </c>
      <c r="AG839" t="s">
        <v>74</v>
      </c>
      <c r="AH839" t="s">
        <v>74</v>
      </c>
      <c r="AI839" t="s">
        <v>74</v>
      </c>
      <c r="AJ839" t="s">
        <v>74</v>
      </c>
      <c r="AK839" t="s">
        <v>74</v>
      </c>
      <c r="AL839" t="s">
        <v>74</v>
      </c>
      <c r="AM839" t="s">
        <v>74</v>
      </c>
      <c r="AN839" t="s">
        <v>74</v>
      </c>
      <c r="AO839" t="s">
        <v>1239</v>
      </c>
      <c r="AP839" t="s">
        <v>1675</v>
      </c>
      <c r="AQ839" t="s">
        <v>74</v>
      </c>
      <c r="AR839" t="s">
        <v>74</v>
      </c>
      <c r="AS839" t="s">
        <v>74</v>
      </c>
      <c r="AT839" t="s">
        <v>352</v>
      </c>
      <c r="AU839">
        <v>2003</v>
      </c>
      <c r="AV839">
        <v>81</v>
      </c>
      <c r="AW839">
        <v>9</v>
      </c>
      <c r="AX839" t="s">
        <v>74</v>
      </c>
      <c r="AY839" t="s">
        <v>74</v>
      </c>
      <c r="AZ839" t="s">
        <v>74</v>
      </c>
      <c r="BA839" t="s">
        <v>74</v>
      </c>
      <c r="BB839">
        <v>1561</v>
      </c>
      <c r="BC839">
        <v>1565</v>
      </c>
      <c r="BD839" t="s">
        <v>74</v>
      </c>
      <c r="BE839" t="s">
        <v>4968</v>
      </c>
      <c r="BF839" t="str">
        <f>HYPERLINK("http://dx.doi.org/10.1139/Z03-147","http://dx.doi.org/10.1139/Z03-147")</f>
        <v>http://dx.doi.org/10.1139/Z03-147</v>
      </c>
      <c r="BG839" t="s">
        <v>74</v>
      </c>
      <c r="BH839" t="s">
        <v>74</v>
      </c>
      <c r="BI839" t="s">
        <v>74</v>
      </c>
      <c r="BJ839" t="s">
        <v>74</v>
      </c>
      <c r="BK839" t="s">
        <v>74</v>
      </c>
      <c r="BL839" t="s">
        <v>74</v>
      </c>
      <c r="BM839" t="s">
        <v>74</v>
      </c>
      <c r="BN839" t="s">
        <v>74</v>
      </c>
      <c r="BO839" t="s">
        <v>74</v>
      </c>
      <c r="BP839" t="s">
        <v>74</v>
      </c>
      <c r="BQ839" t="s">
        <v>74</v>
      </c>
      <c r="BR839" t="s">
        <v>74</v>
      </c>
      <c r="BS839" t="s">
        <v>4969</v>
      </c>
      <c r="BT839" t="str">
        <f>HYPERLINK("https%3A%2F%2Fwww.webofscience.com%2Fwos%2Fwoscc%2Ffull-record%2FWOS:000186325200009","View Full Record in Web of Science")</f>
        <v>View Full Record in Web of Science</v>
      </c>
    </row>
    <row r="840" spans="1:72" x14ac:dyDescent="0.4">
      <c r="A840" t="s">
        <v>72</v>
      </c>
      <c r="B840" t="s">
        <v>1478</v>
      </c>
      <c r="C840" t="s">
        <v>74</v>
      </c>
      <c r="D840" t="s">
        <v>74</v>
      </c>
      <c r="E840" t="s">
        <v>74</v>
      </c>
      <c r="F840" t="s">
        <v>1478</v>
      </c>
      <c r="G840" t="s">
        <v>74</v>
      </c>
      <c r="H840" t="s">
        <v>74</v>
      </c>
      <c r="I840" t="s">
        <v>1479</v>
      </c>
      <c r="J840" t="s">
        <v>1480</v>
      </c>
      <c r="K840" t="s">
        <v>74</v>
      </c>
      <c r="L840" t="s">
        <v>74</v>
      </c>
      <c r="M840" t="s">
        <v>74</v>
      </c>
      <c r="N840" t="s">
        <v>74</v>
      </c>
      <c r="O840" t="s">
        <v>74</v>
      </c>
      <c r="P840" t="s">
        <v>74</v>
      </c>
      <c r="Q840" t="s">
        <v>74</v>
      </c>
      <c r="R840" t="s">
        <v>74</v>
      </c>
      <c r="S840" t="s">
        <v>74</v>
      </c>
      <c r="T840" t="s">
        <v>74</v>
      </c>
      <c r="U840" t="s">
        <v>74</v>
      </c>
      <c r="V840" s="3" t="s">
        <v>1481</v>
      </c>
      <c r="W840" t="s">
        <v>74</v>
      </c>
      <c r="X840" t="s">
        <v>74</v>
      </c>
      <c r="Y840" t="s">
        <v>74</v>
      </c>
      <c r="Z840" t="s">
        <v>74</v>
      </c>
      <c r="AA840" t="s">
        <v>74</v>
      </c>
      <c r="AB840" t="s">
        <v>74</v>
      </c>
      <c r="AC840" t="s">
        <v>74</v>
      </c>
      <c r="AD840" t="s">
        <v>74</v>
      </c>
      <c r="AE840" t="s">
        <v>74</v>
      </c>
      <c r="AF840" t="s">
        <v>74</v>
      </c>
      <c r="AG840" t="s">
        <v>74</v>
      </c>
      <c r="AH840" t="s">
        <v>74</v>
      </c>
      <c r="AI840" t="s">
        <v>74</v>
      </c>
      <c r="AJ840" t="s">
        <v>74</v>
      </c>
      <c r="AK840" t="s">
        <v>74</v>
      </c>
      <c r="AL840" t="s">
        <v>74</v>
      </c>
      <c r="AM840" t="s">
        <v>74</v>
      </c>
      <c r="AN840" t="s">
        <v>74</v>
      </c>
      <c r="AO840" t="s">
        <v>1482</v>
      </c>
      <c r="AP840" t="s">
        <v>74</v>
      </c>
      <c r="AQ840" t="s">
        <v>74</v>
      </c>
      <c r="AR840" t="s">
        <v>74</v>
      </c>
      <c r="AS840" t="s">
        <v>74</v>
      </c>
      <c r="AT840" t="s">
        <v>123</v>
      </c>
      <c r="AU840">
        <v>1997</v>
      </c>
      <c r="AV840">
        <v>76</v>
      </c>
      <c r="AW840">
        <v>3</v>
      </c>
      <c r="AX840" t="s">
        <v>74</v>
      </c>
      <c r="AY840" t="s">
        <v>74</v>
      </c>
      <c r="AZ840" t="s">
        <v>74</v>
      </c>
      <c r="BA840" t="s">
        <v>74</v>
      </c>
      <c r="BB840">
        <v>452</v>
      </c>
      <c r="BC840">
        <v>457</v>
      </c>
      <c r="BD840" t="s">
        <v>74</v>
      </c>
      <c r="BE840" t="s">
        <v>1483</v>
      </c>
      <c r="BF840" t="str">
        <f>HYPERLINK("http://dx.doi.org/10.1093/ps/76.3.452","http://dx.doi.org/10.1093/ps/76.3.452")</f>
        <v>http://dx.doi.org/10.1093/ps/76.3.452</v>
      </c>
      <c r="BG840" t="s">
        <v>74</v>
      </c>
      <c r="BH840" t="s">
        <v>74</v>
      </c>
      <c r="BI840" t="s">
        <v>74</v>
      </c>
      <c r="BJ840" t="s">
        <v>74</v>
      </c>
      <c r="BK840" t="s">
        <v>74</v>
      </c>
      <c r="BL840" t="s">
        <v>74</v>
      </c>
      <c r="BM840" t="s">
        <v>74</v>
      </c>
      <c r="BN840">
        <v>9068043</v>
      </c>
      <c r="BO840" t="s">
        <v>74</v>
      </c>
      <c r="BP840" t="s">
        <v>74</v>
      </c>
      <c r="BQ840" t="s">
        <v>74</v>
      </c>
      <c r="BR840" t="s">
        <v>74</v>
      </c>
      <c r="BS840" t="s">
        <v>1484</v>
      </c>
      <c r="BT840" t="str">
        <f>HYPERLINK("https%3A%2F%2Fwww.webofscience.com%2Fwos%2Fwoscc%2Ffull-record%2FWOS:A1997WM41000005","View Full Record in Web of Science")</f>
        <v>View Full Record in Web of Science</v>
      </c>
    </row>
    <row r="841" spans="1:72" x14ac:dyDescent="0.4">
      <c r="A841" t="s">
        <v>72</v>
      </c>
      <c r="B841" t="s">
        <v>4488</v>
      </c>
      <c r="C841" t="s">
        <v>74</v>
      </c>
      <c r="D841" t="s">
        <v>74</v>
      </c>
      <c r="E841" t="s">
        <v>74</v>
      </c>
      <c r="F841" t="s">
        <v>4488</v>
      </c>
      <c r="G841" t="s">
        <v>74</v>
      </c>
      <c r="H841" t="s">
        <v>74</v>
      </c>
      <c r="I841" t="s">
        <v>4489</v>
      </c>
      <c r="J841" t="s">
        <v>1480</v>
      </c>
      <c r="K841" t="s">
        <v>74</v>
      </c>
      <c r="L841" t="s">
        <v>74</v>
      </c>
      <c r="M841" t="s">
        <v>74</v>
      </c>
      <c r="N841" t="s">
        <v>74</v>
      </c>
      <c r="O841" t="s">
        <v>74</v>
      </c>
      <c r="P841" t="s">
        <v>74</v>
      </c>
      <c r="Q841" t="s">
        <v>74</v>
      </c>
      <c r="R841" t="s">
        <v>74</v>
      </c>
      <c r="S841" t="s">
        <v>74</v>
      </c>
      <c r="T841" t="s">
        <v>74</v>
      </c>
      <c r="U841" t="s">
        <v>74</v>
      </c>
      <c r="V841" s="3" t="s">
        <v>4490</v>
      </c>
      <c r="W841" t="s">
        <v>74</v>
      </c>
      <c r="X841" t="s">
        <v>74</v>
      </c>
      <c r="Y841" t="s">
        <v>74</v>
      </c>
      <c r="Z841" t="s">
        <v>74</v>
      </c>
      <c r="AA841" t="s">
        <v>74</v>
      </c>
      <c r="AB841" t="s">
        <v>74</v>
      </c>
      <c r="AC841" t="s">
        <v>74</v>
      </c>
      <c r="AD841" t="s">
        <v>74</v>
      </c>
      <c r="AE841" t="s">
        <v>74</v>
      </c>
      <c r="AF841" t="s">
        <v>74</v>
      </c>
      <c r="AG841" t="s">
        <v>74</v>
      </c>
      <c r="AH841" t="s">
        <v>74</v>
      </c>
      <c r="AI841" t="s">
        <v>74</v>
      </c>
      <c r="AJ841" t="s">
        <v>74</v>
      </c>
      <c r="AK841" t="s">
        <v>74</v>
      </c>
      <c r="AL841" t="s">
        <v>74</v>
      </c>
      <c r="AM841" t="s">
        <v>74</v>
      </c>
      <c r="AN841" t="s">
        <v>74</v>
      </c>
      <c r="AO841" t="s">
        <v>1482</v>
      </c>
      <c r="AP841" t="s">
        <v>74</v>
      </c>
      <c r="AQ841" t="s">
        <v>74</v>
      </c>
      <c r="AR841" t="s">
        <v>74</v>
      </c>
      <c r="AS841" t="s">
        <v>74</v>
      </c>
      <c r="AT841" t="s">
        <v>305</v>
      </c>
      <c r="AU841">
        <v>1997</v>
      </c>
      <c r="AV841">
        <v>76</v>
      </c>
      <c r="AW841">
        <v>12</v>
      </c>
      <c r="AX841" t="s">
        <v>74</v>
      </c>
      <c r="AY841" t="s">
        <v>74</v>
      </c>
      <c r="AZ841" t="s">
        <v>74</v>
      </c>
      <c r="BA841" t="s">
        <v>74</v>
      </c>
      <c r="BB841">
        <v>1674</v>
      </c>
      <c r="BC841">
        <v>1681</v>
      </c>
      <c r="BD841" t="s">
        <v>74</v>
      </c>
      <c r="BE841" t="s">
        <v>4491</v>
      </c>
      <c r="BF841" t="str">
        <f>HYPERLINK("http://dx.doi.org/10.1093/ps/76.12.1674","http://dx.doi.org/10.1093/ps/76.12.1674")</f>
        <v>http://dx.doi.org/10.1093/ps/76.12.1674</v>
      </c>
      <c r="BG841" t="s">
        <v>74</v>
      </c>
      <c r="BH841" t="s">
        <v>74</v>
      </c>
      <c r="BI841" t="s">
        <v>74</v>
      </c>
      <c r="BJ841" t="s">
        <v>74</v>
      </c>
      <c r="BK841" t="s">
        <v>74</v>
      </c>
      <c r="BL841" t="s">
        <v>74</v>
      </c>
      <c r="BM841" t="s">
        <v>74</v>
      </c>
      <c r="BN841">
        <v>9438281</v>
      </c>
      <c r="BO841" t="s">
        <v>74</v>
      </c>
      <c r="BP841" t="s">
        <v>74</v>
      </c>
      <c r="BQ841" t="s">
        <v>74</v>
      </c>
      <c r="BR841" t="s">
        <v>74</v>
      </c>
      <c r="BS841" t="s">
        <v>4492</v>
      </c>
      <c r="BT841" t="str">
        <f>HYPERLINK("https%3A%2F%2Fwww.webofscience.com%2Fwos%2Fwoscc%2Ffull-record%2FWOS:000071132300009","View Full Record in Web of Science")</f>
        <v>View Full Record in Web of Science</v>
      </c>
    </row>
    <row r="842" spans="1:72" x14ac:dyDescent="0.4">
      <c r="A842" t="s">
        <v>72</v>
      </c>
      <c r="B842" t="s">
        <v>8209</v>
      </c>
      <c r="C842" t="s">
        <v>74</v>
      </c>
      <c r="D842" t="s">
        <v>74</v>
      </c>
      <c r="E842" t="s">
        <v>74</v>
      </c>
      <c r="F842" t="s">
        <v>8209</v>
      </c>
      <c r="G842" t="s">
        <v>74</v>
      </c>
      <c r="H842" t="s">
        <v>74</v>
      </c>
      <c r="I842" t="s">
        <v>8210</v>
      </c>
      <c r="J842" t="s">
        <v>842</v>
      </c>
      <c r="K842" t="s">
        <v>74</v>
      </c>
      <c r="L842" t="s">
        <v>74</v>
      </c>
      <c r="M842" t="s">
        <v>74</v>
      </c>
      <c r="N842" t="s">
        <v>74</v>
      </c>
      <c r="O842" t="s">
        <v>74</v>
      </c>
      <c r="P842" t="s">
        <v>74</v>
      </c>
      <c r="Q842" t="s">
        <v>74</v>
      </c>
      <c r="R842" t="s">
        <v>74</v>
      </c>
      <c r="S842" t="s">
        <v>74</v>
      </c>
      <c r="T842" t="s">
        <v>74</v>
      </c>
      <c r="U842" t="s">
        <v>74</v>
      </c>
      <c r="V842" s="3" t="s">
        <v>8211</v>
      </c>
      <c r="W842" t="s">
        <v>74</v>
      </c>
      <c r="X842" t="s">
        <v>74</v>
      </c>
      <c r="Y842" t="s">
        <v>74</v>
      </c>
      <c r="Z842" t="s">
        <v>74</v>
      </c>
      <c r="AA842" t="s">
        <v>8212</v>
      </c>
      <c r="AB842" t="s">
        <v>8213</v>
      </c>
      <c r="AC842" t="s">
        <v>74</v>
      </c>
      <c r="AD842" t="s">
        <v>74</v>
      </c>
      <c r="AE842" t="s">
        <v>74</v>
      </c>
      <c r="AF842" t="s">
        <v>74</v>
      </c>
      <c r="AG842" t="s">
        <v>74</v>
      </c>
      <c r="AH842" t="s">
        <v>74</v>
      </c>
      <c r="AI842" t="s">
        <v>74</v>
      </c>
      <c r="AJ842" t="s">
        <v>74</v>
      </c>
      <c r="AK842" t="s">
        <v>74</v>
      </c>
      <c r="AL842" t="s">
        <v>74</v>
      </c>
      <c r="AM842" t="s">
        <v>74</v>
      </c>
      <c r="AN842" t="s">
        <v>74</v>
      </c>
      <c r="AO842" t="s">
        <v>846</v>
      </c>
      <c r="AP842" t="s">
        <v>74</v>
      </c>
      <c r="AQ842" t="s">
        <v>74</v>
      </c>
      <c r="AR842" t="s">
        <v>74</v>
      </c>
      <c r="AS842" t="s">
        <v>74</v>
      </c>
      <c r="AT842" t="s">
        <v>633</v>
      </c>
      <c r="AU842">
        <v>2005</v>
      </c>
      <c r="AV842">
        <v>65</v>
      </c>
      <c r="AW842">
        <v>4</v>
      </c>
      <c r="AX842" t="s">
        <v>74</v>
      </c>
      <c r="AY842" t="s">
        <v>74</v>
      </c>
      <c r="AZ842" t="s">
        <v>74</v>
      </c>
      <c r="BA842" t="s">
        <v>74</v>
      </c>
      <c r="BB842">
        <v>313</v>
      </c>
      <c r="BC842">
        <v>326</v>
      </c>
      <c r="BD842" t="s">
        <v>74</v>
      </c>
      <c r="BE842" t="s">
        <v>8214</v>
      </c>
      <c r="BF842" t="str">
        <f>HYPERLINK("http://dx.doi.org/10.1002/ajp.20118","http://dx.doi.org/10.1002/ajp.20118")</f>
        <v>http://dx.doi.org/10.1002/ajp.20118</v>
      </c>
      <c r="BG842" t="s">
        <v>74</v>
      </c>
      <c r="BH842" t="s">
        <v>74</v>
      </c>
      <c r="BI842" t="s">
        <v>74</v>
      </c>
      <c r="BJ842" t="s">
        <v>74</v>
      </c>
      <c r="BK842" t="s">
        <v>74</v>
      </c>
      <c r="BL842" t="s">
        <v>74</v>
      </c>
      <c r="BM842" t="s">
        <v>74</v>
      </c>
      <c r="BN842">
        <v>15834888</v>
      </c>
      <c r="BO842" t="s">
        <v>74</v>
      </c>
      <c r="BP842" t="s">
        <v>74</v>
      </c>
      <c r="BQ842" t="s">
        <v>74</v>
      </c>
      <c r="BR842" t="s">
        <v>74</v>
      </c>
      <c r="BS842" t="s">
        <v>8215</v>
      </c>
      <c r="BT842" t="str">
        <f>HYPERLINK("https%3A%2F%2Fwww.webofscience.com%2Fwos%2Fwoscc%2Ffull-record%2FWOS:000228842400002","View Full Record in Web of Science")</f>
        <v>View Full Record in Web of Science</v>
      </c>
    </row>
    <row r="843" spans="1:72" x14ac:dyDescent="0.4">
      <c r="A843" t="s">
        <v>72</v>
      </c>
      <c r="B843" t="s">
        <v>5567</v>
      </c>
      <c r="C843" t="s">
        <v>74</v>
      </c>
      <c r="D843" t="s">
        <v>74</v>
      </c>
      <c r="E843" t="s">
        <v>74</v>
      </c>
      <c r="F843" t="s">
        <v>5568</v>
      </c>
      <c r="G843" t="s">
        <v>74</v>
      </c>
      <c r="H843" t="s">
        <v>74</v>
      </c>
      <c r="I843" t="s">
        <v>5569</v>
      </c>
      <c r="J843" t="s">
        <v>201</v>
      </c>
      <c r="K843" t="s">
        <v>74</v>
      </c>
      <c r="L843" t="s">
        <v>74</v>
      </c>
      <c r="M843" t="s">
        <v>74</v>
      </c>
      <c r="N843" t="s">
        <v>74</v>
      </c>
      <c r="O843" t="s">
        <v>74</v>
      </c>
      <c r="P843" t="s">
        <v>74</v>
      </c>
      <c r="Q843" t="s">
        <v>74</v>
      </c>
      <c r="R843" t="s">
        <v>74</v>
      </c>
      <c r="S843" t="s">
        <v>74</v>
      </c>
      <c r="T843" t="s">
        <v>74</v>
      </c>
      <c r="U843" t="s">
        <v>74</v>
      </c>
      <c r="V843" s="3" t="s">
        <v>5570</v>
      </c>
      <c r="W843" t="s">
        <v>74</v>
      </c>
      <c r="X843" t="s">
        <v>74</v>
      </c>
      <c r="Y843" t="s">
        <v>74</v>
      </c>
      <c r="Z843" t="s">
        <v>74</v>
      </c>
      <c r="AA843" t="s">
        <v>5571</v>
      </c>
      <c r="AB843" t="s">
        <v>5572</v>
      </c>
      <c r="AC843" t="s">
        <v>74</v>
      </c>
      <c r="AD843" t="s">
        <v>74</v>
      </c>
      <c r="AE843" t="s">
        <v>74</v>
      </c>
      <c r="AF843" t="s">
        <v>74</v>
      </c>
      <c r="AG843" t="s">
        <v>74</v>
      </c>
      <c r="AH843" t="s">
        <v>74</v>
      </c>
      <c r="AI843" t="s">
        <v>74</v>
      </c>
      <c r="AJ843" t="s">
        <v>74</v>
      </c>
      <c r="AK843" t="s">
        <v>74</v>
      </c>
      <c r="AL843" t="s">
        <v>74</v>
      </c>
      <c r="AM843" t="s">
        <v>74</v>
      </c>
      <c r="AN843" t="s">
        <v>74</v>
      </c>
      <c r="AO843" t="s">
        <v>203</v>
      </c>
      <c r="AP843" t="s">
        <v>1192</v>
      </c>
      <c r="AQ843" t="s">
        <v>74</v>
      </c>
      <c r="AR843" t="s">
        <v>74</v>
      </c>
      <c r="AS843" t="s">
        <v>74</v>
      </c>
      <c r="AT843" t="s">
        <v>352</v>
      </c>
      <c r="AU843">
        <v>2014</v>
      </c>
      <c r="AV843">
        <v>85</v>
      </c>
      <c r="AW843">
        <v>3</v>
      </c>
      <c r="AX843" t="s">
        <v>74</v>
      </c>
      <c r="AY843" t="s">
        <v>74</v>
      </c>
      <c r="AZ843" t="s">
        <v>74</v>
      </c>
      <c r="BA843" t="s">
        <v>74</v>
      </c>
      <c r="BB843">
        <v>882</v>
      </c>
      <c r="BC843">
        <v>900</v>
      </c>
      <c r="BD843" t="s">
        <v>74</v>
      </c>
      <c r="BE843" t="s">
        <v>5573</v>
      </c>
      <c r="BF843" t="str">
        <f>HYPERLINK("http://dx.doi.org/10.1111/jfb.12478","http://dx.doi.org/10.1111/jfb.12478")</f>
        <v>http://dx.doi.org/10.1111/jfb.12478</v>
      </c>
      <c r="BG843" t="s">
        <v>74</v>
      </c>
      <c r="BH843" t="s">
        <v>74</v>
      </c>
      <c r="BI843" t="s">
        <v>74</v>
      </c>
      <c r="BJ843" t="s">
        <v>74</v>
      </c>
      <c r="BK843" t="s">
        <v>74</v>
      </c>
      <c r="BL843" t="s">
        <v>74</v>
      </c>
      <c r="BM843" t="s">
        <v>74</v>
      </c>
      <c r="BN843">
        <v>25082262</v>
      </c>
      <c r="BO843" t="s">
        <v>74</v>
      </c>
      <c r="BP843" t="s">
        <v>74</v>
      </c>
      <c r="BQ843" t="s">
        <v>74</v>
      </c>
      <c r="BR843" t="s">
        <v>74</v>
      </c>
      <c r="BS843" t="s">
        <v>5574</v>
      </c>
      <c r="BT843" t="str">
        <f>HYPERLINK("https%3A%2F%2Fwww.webofscience.com%2Fwos%2Fwoscc%2Ffull-record%2FWOS:000340845500018","View Full Record in Web of Science")</f>
        <v>View Full Record in Web of Science</v>
      </c>
    </row>
    <row r="844" spans="1:72" x14ac:dyDescent="0.4">
      <c r="A844" t="s">
        <v>72</v>
      </c>
      <c r="B844" t="s">
        <v>309</v>
      </c>
      <c r="C844" t="s">
        <v>74</v>
      </c>
      <c r="D844" t="s">
        <v>74</v>
      </c>
      <c r="E844" t="s">
        <v>74</v>
      </c>
      <c r="F844" t="s">
        <v>310</v>
      </c>
      <c r="G844" t="s">
        <v>74</v>
      </c>
      <c r="H844" t="s">
        <v>74</v>
      </c>
      <c r="I844" t="s">
        <v>311</v>
      </c>
      <c r="J844" t="s">
        <v>312</v>
      </c>
      <c r="K844" t="s">
        <v>74</v>
      </c>
      <c r="L844" t="s">
        <v>74</v>
      </c>
      <c r="M844" t="s">
        <v>74</v>
      </c>
      <c r="N844" t="s">
        <v>74</v>
      </c>
      <c r="O844" t="s">
        <v>74</v>
      </c>
      <c r="P844" t="s">
        <v>74</v>
      </c>
      <c r="Q844" t="s">
        <v>74</v>
      </c>
      <c r="R844" t="s">
        <v>74</v>
      </c>
      <c r="S844" t="s">
        <v>74</v>
      </c>
      <c r="T844" t="s">
        <v>74</v>
      </c>
      <c r="U844" t="s">
        <v>74</v>
      </c>
      <c r="V844" s="3" t="s">
        <v>313</v>
      </c>
      <c r="W844" t="s">
        <v>74</v>
      </c>
      <c r="X844" t="s">
        <v>74</v>
      </c>
      <c r="Y844" t="s">
        <v>74</v>
      </c>
      <c r="Z844" t="s">
        <v>74</v>
      </c>
      <c r="AA844" t="s">
        <v>74</v>
      </c>
      <c r="AB844" t="s">
        <v>74</v>
      </c>
      <c r="AC844" t="s">
        <v>74</v>
      </c>
      <c r="AD844" t="s">
        <v>74</v>
      </c>
      <c r="AE844" t="s">
        <v>74</v>
      </c>
      <c r="AF844" t="s">
        <v>74</v>
      </c>
      <c r="AG844" t="s">
        <v>74</v>
      </c>
      <c r="AH844" t="s">
        <v>74</v>
      </c>
      <c r="AI844" t="s">
        <v>74</v>
      </c>
      <c r="AJ844" t="s">
        <v>74</v>
      </c>
      <c r="AK844" t="s">
        <v>74</v>
      </c>
      <c r="AL844" t="s">
        <v>74</v>
      </c>
      <c r="AM844" t="s">
        <v>74</v>
      </c>
      <c r="AN844" t="s">
        <v>74</v>
      </c>
      <c r="AO844" t="s">
        <v>314</v>
      </c>
      <c r="AP844" t="s">
        <v>315</v>
      </c>
      <c r="AQ844" t="s">
        <v>74</v>
      </c>
      <c r="AR844" t="s">
        <v>74</v>
      </c>
      <c r="AS844" t="s">
        <v>74</v>
      </c>
      <c r="AT844" t="s">
        <v>145</v>
      </c>
      <c r="AU844">
        <v>2017</v>
      </c>
      <c r="AV844">
        <v>190</v>
      </c>
      <c r="AW844">
        <v>2</v>
      </c>
      <c r="AX844" t="s">
        <v>74</v>
      </c>
      <c r="AY844" t="s">
        <v>74</v>
      </c>
      <c r="AZ844" t="s">
        <v>74</v>
      </c>
      <c r="BA844" t="s">
        <v>74</v>
      </c>
      <c r="BB844">
        <v>157</v>
      </c>
      <c r="BC844">
        <v>170</v>
      </c>
      <c r="BD844" t="s">
        <v>74</v>
      </c>
      <c r="BE844" t="s">
        <v>316</v>
      </c>
      <c r="BF844" t="str">
        <f>HYPERLINK("http://dx.doi.org/10.1086/692535","http://dx.doi.org/10.1086/692535")</f>
        <v>http://dx.doi.org/10.1086/692535</v>
      </c>
      <c r="BG844" t="s">
        <v>74</v>
      </c>
      <c r="BH844" t="s">
        <v>74</v>
      </c>
      <c r="BI844" t="s">
        <v>74</v>
      </c>
      <c r="BJ844" t="s">
        <v>74</v>
      </c>
      <c r="BK844" t="s">
        <v>74</v>
      </c>
      <c r="BL844" t="s">
        <v>74</v>
      </c>
      <c r="BM844" t="s">
        <v>74</v>
      </c>
      <c r="BN844">
        <v>28731791</v>
      </c>
      <c r="BO844" t="s">
        <v>74</v>
      </c>
      <c r="BP844" t="s">
        <v>74</v>
      </c>
      <c r="BQ844" t="s">
        <v>74</v>
      </c>
      <c r="BR844" t="s">
        <v>74</v>
      </c>
      <c r="BS844" t="s">
        <v>317</v>
      </c>
      <c r="BT844" t="str">
        <f>HYPERLINK("https%3A%2F%2Fwww.webofscience.com%2Fwos%2Fwoscc%2Ffull-record%2FWOS:000406102400003","View Full Record in Web of Science")</f>
        <v>View Full Record in Web of Science</v>
      </c>
    </row>
    <row r="845" spans="1:72" x14ac:dyDescent="0.4">
      <c r="A845" t="s">
        <v>72</v>
      </c>
      <c r="B845" t="s">
        <v>5113</v>
      </c>
      <c r="C845" t="s">
        <v>74</v>
      </c>
      <c r="D845" t="s">
        <v>74</v>
      </c>
      <c r="E845" t="s">
        <v>74</v>
      </c>
      <c r="F845" t="s">
        <v>5114</v>
      </c>
      <c r="G845" t="s">
        <v>74</v>
      </c>
      <c r="H845" t="s">
        <v>74</v>
      </c>
      <c r="I845" t="s">
        <v>5115</v>
      </c>
      <c r="J845" t="s">
        <v>367</v>
      </c>
      <c r="K845" t="s">
        <v>74</v>
      </c>
      <c r="L845" t="s">
        <v>74</v>
      </c>
      <c r="M845" t="s">
        <v>74</v>
      </c>
      <c r="N845" t="s">
        <v>74</v>
      </c>
      <c r="O845" t="s">
        <v>74</v>
      </c>
      <c r="P845" t="s">
        <v>74</v>
      </c>
      <c r="Q845" t="s">
        <v>74</v>
      </c>
      <c r="R845" t="s">
        <v>74</v>
      </c>
      <c r="S845" t="s">
        <v>74</v>
      </c>
      <c r="T845" t="s">
        <v>74</v>
      </c>
      <c r="U845" t="s">
        <v>74</v>
      </c>
      <c r="V845" s="3" t="s">
        <v>5116</v>
      </c>
      <c r="W845" t="s">
        <v>74</v>
      </c>
      <c r="X845" t="s">
        <v>74</v>
      </c>
      <c r="Y845" t="s">
        <v>74</v>
      </c>
      <c r="Z845" t="s">
        <v>74</v>
      </c>
      <c r="AA845" t="s">
        <v>5117</v>
      </c>
      <c r="AB845" t="s">
        <v>5118</v>
      </c>
      <c r="AC845" t="s">
        <v>74</v>
      </c>
      <c r="AD845" t="s">
        <v>74</v>
      </c>
      <c r="AE845" t="s">
        <v>74</v>
      </c>
      <c r="AF845" t="s">
        <v>74</v>
      </c>
      <c r="AG845" t="s">
        <v>74</v>
      </c>
      <c r="AH845" t="s">
        <v>74</v>
      </c>
      <c r="AI845" t="s">
        <v>74</v>
      </c>
      <c r="AJ845" t="s">
        <v>74</v>
      </c>
      <c r="AK845" t="s">
        <v>74</v>
      </c>
      <c r="AL845" t="s">
        <v>74</v>
      </c>
      <c r="AM845" t="s">
        <v>74</v>
      </c>
      <c r="AN845" t="s">
        <v>74</v>
      </c>
      <c r="AO845" t="s">
        <v>371</v>
      </c>
      <c r="AP845" t="s">
        <v>372</v>
      </c>
      <c r="AQ845" t="s">
        <v>74</v>
      </c>
      <c r="AR845" t="s">
        <v>74</v>
      </c>
      <c r="AS845" t="s">
        <v>74</v>
      </c>
      <c r="AT845" t="s">
        <v>213</v>
      </c>
      <c r="AU845">
        <v>2023</v>
      </c>
      <c r="AV845">
        <v>137</v>
      </c>
      <c r="AW845">
        <v>4</v>
      </c>
      <c r="AX845" t="s">
        <v>74</v>
      </c>
      <c r="AY845" t="s">
        <v>74</v>
      </c>
      <c r="AZ845" t="s">
        <v>74</v>
      </c>
      <c r="BA845" t="s">
        <v>74</v>
      </c>
      <c r="BB845">
        <v>212</v>
      </c>
      <c r="BC845">
        <v>222</v>
      </c>
      <c r="BD845" t="s">
        <v>74</v>
      </c>
      <c r="BE845" t="s">
        <v>5119</v>
      </c>
      <c r="BF845" t="str">
        <f>HYPERLINK("http://dx.doi.org/10.1037/com0000347","http://dx.doi.org/10.1037/com0000347")</f>
        <v>http://dx.doi.org/10.1037/com0000347</v>
      </c>
      <c r="BG845" t="s">
        <v>74</v>
      </c>
      <c r="BH845" t="s">
        <v>5120</v>
      </c>
      <c r="BI845" t="s">
        <v>74</v>
      </c>
      <c r="BJ845" t="s">
        <v>74</v>
      </c>
      <c r="BK845" t="s">
        <v>74</v>
      </c>
      <c r="BL845" t="s">
        <v>74</v>
      </c>
      <c r="BM845" t="s">
        <v>74</v>
      </c>
      <c r="BN845">
        <v>37307354</v>
      </c>
      <c r="BO845" t="s">
        <v>74</v>
      </c>
      <c r="BP845" t="s">
        <v>74</v>
      </c>
      <c r="BQ845" t="s">
        <v>74</v>
      </c>
      <c r="BR845" t="s">
        <v>74</v>
      </c>
      <c r="BS845" t="s">
        <v>5121</v>
      </c>
      <c r="BT845" t="str">
        <f>HYPERLINK("https%3A%2F%2Fwww.webofscience.com%2Fwos%2Fwoscc%2Ffull-record%2FWOS:001005612800001","View Full Record in Web of Science")</f>
        <v>View Full Record in Web of Science</v>
      </c>
    </row>
    <row r="846" spans="1:72" x14ac:dyDescent="0.4">
      <c r="A846" t="s">
        <v>72</v>
      </c>
      <c r="B846" t="s">
        <v>6857</v>
      </c>
      <c r="C846" t="s">
        <v>74</v>
      </c>
      <c r="D846" t="s">
        <v>74</v>
      </c>
      <c r="E846" t="s">
        <v>74</v>
      </c>
      <c r="F846" t="s">
        <v>6857</v>
      </c>
      <c r="G846" t="s">
        <v>74</v>
      </c>
      <c r="H846" t="s">
        <v>74</v>
      </c>
      <c r="I846" t="s">
        <v>6858</v>
      </c>
      <c r="J846" t="s">
        <v>171</v>
      </c>
      <c r="K846" t="s">
        <v>74</v>
      </c>
      <c r="L846" t="s">
        <v>74</v>
      </c>
      <c r="M846" t="s">
        <v>74</v>
      </c>
      <c r="N846" t="s">
        <v>74</v>
      </c>
      <c r="O846" t="s">
        <v>74</v>
      </c>
      <c r="P846" t="s">
        <v>74</v>
      </c>
      <c r="Q846" t="s">
        <v>74</v>
      </c>
      <c r="R846" t="s">
        <v>74</v>
      </c>
      <c r="S846" t="s">
        <v>74</v>
      </c>
      <c r="T846" t="s">
        <v>74</v>
      </c>
      <c r="U846" t="s">
        <v>74</v>
      </c>
      <c r="V846" s="3" t="s">
        <v>6859</v>
      </c>
      <c r="W846" t="s">
        <v>74</v>
      </c>
      <c r="X846" t="s">
        <v>74</v>
      </c>
      <c r="Y846" t="s">
        <v>74</v>
      </c>
      <c r="Z846" t="s">
        <v>74</v>
      </c>
      <c r="AA846" t="s">
        <v>6860</v>
      </c>
      <c r="AB846" t="s">
        <v>6861</v>
      </c>
      <c r="AC846" t="s">
        <v>74</v>
      </c>
      <c r="AD846" t="s">
        <v>74</v>
      </c>
      <c r="AE846" t="s">
        <v>74</v>
      </c>
      <c r="AF846" t="s">
        <v>74</v>
      </c>
      <c r="AG846" t="s">
        <v>74</v>
      </c>
      <c r="AH846" t="s">
        <v>74</v>
      </c>
      <c r="AI846" t="s">
        <v>74</v>
      </c>
      <c r="AJ846" t="s">
        <v>74</v>
      </c>
      <c r="AK846" t="s">
        <v>74</v>
      </c>
      <c r="AL846" t="s">
        <v>74</v>
      </c>
      <c r="AM846" t="s">
        <v>74</v>
      </c>
      <c r="AN846" t="s">
        <v>74</v>
      </c>
      <c r="AO846" t="s">
        <v>173</v>
      </c>
      <c r="AP846" t="s">
        <v>174</v>
      </c>
      <c r="AQ846" t="s">
        <v>74</v>
      </c>
      <c r="AR846" t="s">
        <v>74</v>
      </c>
      <c r="AS846" t="s">
        <v>74</v>
      </c>
      <c r="AT846" t="s">
        <v>74</v>
      </c>
      <c r="AU846">
        <v>1981</v>
      </c>
      <c r="AV846">
        <v>35</v>
      </c>
      <c r="AW846">
        <v>4</v>
      </c>
      <c r="AX846" t="s">
        <v>74</v>
      </c>
      <c r="AY846" t="s">
        <v>74</v>
      </c>
      <c r="AZ846" t="s">
        <v>74</v>
      </c>
      <c r="BA846" t="s">
        <v>74</v>
      </c>
      <c r="BB846">
        <v>742</v>
      </c>
      <c r="BC846">
        <v>751</v>
      </c>
      <c r="BD846" t="s">
        <v>74</v>
      </c>
      <c r="BE846" t="s">
        <v>6862</v>
      </c>
      <c r="BF846" t="str">
        <f>HYPERLINK("http://dx.doi.org/10.2307/2408244","http://dx.doi.org/10.2307/2408244")</f>
        <v>http://dx.doi.org/10.2307/2408244</v>
      </c>
      <c r="BG846" t="s">
        <v>74</v>
      </c>
      <c r="BH846" t="s">
        <v>74</v>
      </c>
      <c r="BI846" t="s">
        <v>74</v>
      </c>
      <c r="BJ846" t="s">
        <v>74</v>
      </c>
      <c r="BK846" t="s">
        <v>74</v>
      </c>
      <c r="BL846" t="s">
        <v>74</v>
      </c>
      <c r="BM846" t="s">
        <v>74</v>
      </c>
      <c r="BN846">
        <v>28563145</v>
      </c>
      <c r="BO846" t="s">
        <v>74</v>
      </c>
      <c r="BP846" t="s">
        <v>74</v>
      </c>
      <c r="BQ846" t="s">
        <v>74</v>
      </c>
      <c r="BR846" t="s">
        <v>74</v>
      </c>
      <c r="BS846" t="s">
        <v>6863</v>
      </c>
      <c r="BT846" t="str">
        <f>HYPERLINK("https%3A%2F%2Fwww.webofscience.com%2Fwos%2Fwoscc%2Ffull-record%2FWOS:A1981LZ39300011","View Full Record in Web of Science")</f>
        <v>View Full Record in Web of Science</v>
      </c>
    </row>
    <row r="847" spans="1:72" x14ac:dyDescent="0.4">
      <c r="A847" t="s">
        <v>72</v>
      </c>
      <c r="B847" t="s">
        <v>1366</v>
      </c>
      <c r="C847" t="s">
        <v>74</v>
      </c>
      <c r="D847" t="s">
        <v>74</v>
      </c>
      <c r="E847" t="s">
        <v>74</v>
      </c>
      <c r="F847" t="s">
        <v>1367</v>
      </c>
      <c r="G847" t="s">
        <v>74</v>
      </c>
      <c r="H847" t="s">
        <v>74</v>
      </c>
      <c r="I847" t="s">
        <v>1368</v>
      </c>
      <c r="J847" t="s">
        <v>576</v>
      </c>
      <c r="K847" t="s">
        <v>74</v>
      </c>
      <c r="L847" t="s">
        <v>74</v>
      </c>
      <c r="M847" t="s">
        <v>74</v>
      </c>
      <c r="N847" t="s">
        <v>74</v>
      </c>
      <c r="O847" t="s">
        <v>74</v>
      </c>
      <c r="P847" t="s">
        <v>74</v>
      </c>
      <c r="Q847" t="s">
        <v>74</v>
      </c>
      <c r="R847" t="s">
        <v>74</v>
      </c>
      <c r="S847" t="s">
        <v>74</v>
      </c>
      <c r="T847" t="s">
        <v>74</v>
      </c>
      <c r="U847" t="s">
        <v>74</v>
      </c>
      <c r="V847" s="3" t="s">
        <v>1369</v>
      </c>
      <c r="W847" t="s">
        <v>74</v>
      </c>
      <c r="X847" t="s">
        <v>74</v>
      </c>
      <c r="Y847" t="s">
        <v>74</v>
      </c>
      <c r="Z847" t="s">
        <v>74</v>
      </c>
      <c r="AA847" t="s">
        <v>74</v>
      </c>
      <c r="AB847" t="s">
        <v>74</v>
      </c>
      <c r="AC847" t="s">
        <v>74</v>
      </c>
      <c r="AD847" t="s">
        <v>74</v>
      </c>
      <c r="AE847" t="s">
        <v>74</v>
      </c>
      <c r="AF847" t="s">
        <v>74</v>
      </c>
      <c r="AG847" t="s">
        <v>74</v>
      </c>
      <c r="AH847" t="s">
        <v>74</v>
      </c>
      <c r="AI847" t="s">
        <v>74</v>
      </c>
      <c r="AJ847" t="s">
        <v>74</v>
      </c>
      <c r="AK847" t="s">
        <v>74</v>
      </c>
      <c r="AL847" t="s">
        <v>74</v>
      </c>
      <c r="AM847" t="s">
        <v>74</v>
      </c>
      <c r="AN847" t="s">
        <v>74</v>
      </c>
      <c r="AO847" t="s">
        <v>579</v>
      </c>
      <c r="AP847" t="s">
        <v>580</v>
      </c>
      <c r="AQ847" t="s">
        <v>74</v>
      </c>
      <c r="AR847" t="s">
        <v>74</v>
      </c>
      <c r="AS847" t="s">
        <v>74</v>
      </c>
      <c r="AT847" t="s">
        <v>352</v>
      </c>
      <c r="AU847">
        <v>2011</v>
      </c>
      <c r="AV847">
        <v>25</v>
      </c>
      <c r="AW847">
        <v>5</v>
      </c>
      <c r="AX847" t="s">
        <v>74</v>
      </c>
      <c r="AY847" t="s">
        <v>74</v>
      </c>
      <c r="AZ847" t="s">
        <v>74</v>
      </c>
      <c r="BA847" t="s">
        <v>74</v>
      </c>
      <c r="BB847">
        <v>993</v>
      </c>
      <c r="BC847">
        <v>1015</v>
      </c>
      <c r="BD847" t="s">
        <v>74</v>
      </c>
      <c r="BE847" t="s">
        <v>1370</v>
      </c>
      <c r="BF847" t="str">
        <f>HYPERLINK("http://dx.doi.org/10.1007/s10682-010-9455-5","http://dx.doi.org/10.1007/s10682-010-9455-5")</f>
        <v>http://dx.doi.org/10.1007/s10682-010-9455-5</v>
      </c>
      <c r="BG847" t="s">
        <v>74</v>
      </c>
      <c r="BH847" t="s">
        <v>74</v>
      </c>
      <c r="BI847" t="s">
        <v>74</v>
      </c>
      <c r="BJ847" t="s">
        <v>74</v>
      </c>
      <c r="BK847" t="s">
        <v>74</v>
      </c>
      <c r="BL847" t="s">
        <v>74</v>
      </c>
      <c r="BM847" t="s">
        <v>74</v>
      </c>
      <c r="BN847" t="s">
        <v>74</v>
      </c>
      <c r="BO847" t="s">
        <v>74</v>
      </c>
      <c r="BP847" t="s">
        <v>74</v>
      </c>
      <c r="BQ847" t="s">
        <v>74</v>
      </c>
      <c r="BR847" t="s">
        <v>74</v>
      </c>
      <c r="BS847" t="s">
        <v>1371</v>
      </c>
      <c r="BT847" t="str">
        <f>HYPERLINK("https%3A%2F%2Fwww.webofscience.com%2Fwos%2Fwoscc%2Ffull-record%2FWOS:000294499800003","View Full Record in Web of Science")</f>
        <v>View Full Record in Web of Science</v>
      </c>
    </row>
    <row r="848" spans="1:72" x14ac:dyDescent="0.4">
      <c r="A848" t="s">
        <v>72</v>
      </c>
      <c r="B848" t="s">
        <v>4275</v>
      </c>
      <c r="C848" t="s">
        <v>74</v>
      </c>
      <c r="D848" t="s">
        <v>74</v>
      </c>
      <c r="E848" t="s">
        <v>74</v>
      </c>
      <c r="F848" t="s">
        <v>4276</v>
      </c>
      <c r="G848" t="s">
        <v>74</v>
      </c>
      <c r="H848" t="s">
        <v>74</v>
      </c>
      <c r="I848" t="s">
        <v>4277</v>
      </c>
      <c r="J848" t="s">
        <v>4278</v>
      </c>
      <c r="K848" t="s">
        <v>74</v>
      </c>
      <c r="L848" t="s">
        <v>74</v>
      </c>
      <c r="M848" t="s">
        <v>74</v>
      </c>
      <c r="N848" t="s">
        <v>74</v>
      </c>
      <c r="O848" t="s">
        <v>74</v>
      </c>
      <c r="P848" t="s">
        <v>74</v>
      </c>
      <c r="Q848" t="s">
        <v>74</v>
      </c>
      <c r="R848" t="s">
        <v>74</v>
      </c>
      <c r="S848" t="s">
        <v>74</v>
      </c>
      <c r="T848" t="s">
        <v>74</v>
      </c>
      <c r="U848" t="s">
        <v>74</v>
      </c>
      <c r="V848" s="3" t="s">
        <v>4279</v>
      </c>
      <c r="W848" t="s">
        <v>74</v>
      </c>
      <c r="X848" t="s">
        <v>74</v>
      </c>
      <c r="Y848" t="s">
        <v>74</v>
      </c>
      <c r="Z848" t="s">
        <v>74</v>
      </c>
      <c r="AA848" t="s">
        <v>4280</v>
      </c>
      <c r="AB848" t="s">
        <v>4281</v>
      </c>
      <c r="AC848" t="s">
        <v>74</v>
      </c>
      <c r="AD848" t="s">
        <v>74</v>
      </c>
      <c r="AE848" t="s">
        <v>74</v>
      </c>
      <c r="AF848" t="s">
        <v>74</v>
      </c>
      <c r="AG848" t="s">
        <v>74</v>
      </c>
      <c r="AH848" t="s">
        <v>74</v>
      </c>
      <c r="AI848" t="s">
        <v>74</v>
      </c>
      <c r="AJ848" t="s">
        <v>74</v>
      </c>
      <c r="AK848" t="s">
        <v>74</v>
      </c>
      <c r="AL848" t="s">
        <v>74</v>
      </c>
      <c r="AM848" t="s">
        <v>74</v>
      </c>
      <c r="AN848" t="s">
        <v>74</v>
      </c>
      <c r="AO848" t="s">
        <v>4282</v>
      </c>
      <c r="AP848" t="s">
        <v>4283</v>
      </c>
      <c r="AQ848" t="s">
        <v>74</v>
      </c>
      <c r="AR848" t="s">
        <v>74</v>
      </c>
      <c r="AS848" t="s">
        <v>74</v>
      </c>
      <c r="AT848" t="s">
        <v>213</v>
      </c>
      <c r="AU848">
        <v>2016</v>
      </c>
      <c r="AV848">
        <v>42</v>
      </c>
      <c r="AW848">
        <v>11</v>
      </c>
      <c r="AX848" t="s">
        <v>74</v>
      </c>
      <c r="AY848" t="s">
        <v>74</v>
      </c>
      <c r="AZ848" t="s">
        <v>74</v>
      </c>
      <c r="BA848" t="s">
        <v>74</v>
      </c>
      <c r="BB848">
        <v>1164</v>
      </c>
      <c r="BC848">
        <v>1174</v>
      </c>
      <c r="BD848" t="s">
        <v>74</v>
      </c>
      <c r="BE848" t="s">
        <v>4284</v>
      </c>
      <c r="BF848" t="str">
        <f>HYPERLINK("http://dx.doi.org/10.1007/s10886-016-0778-8","http://dx.doi.org/10.1007/s10886-016-0778-8")</f>
        <v>http://dx.doi.org/10.1007/s10886-016-0778-8</v>
      </c>
      <c r="BG848" t="s">
        <v>74</v>
      </c>
      <c r="BH848" t="s">
        <v>74</v>
      </c>
      <c r="BI848" t="s">
        <v>74</v>
      </c>
      <c r="BJ848" t="s">
        <v>74</v>
      </c>
      <c r="BK848" t="s">
        <v>74</v>
      </c>
      <c r="BL848" t="s">
        <v>74</v>
      </c>
      <c r="BM848" t="s">
        <v>74</v>
      </c>
      <c r="BN848">
        <v>27722876</v>
      </c>
      <c r="BO848" t="s">
        <v>74</v>
      </c>
      <c r="BP848" t="s">
        <v>74</v>
      </c>
      <c r="BQ848" t="s">
        <v>74</v>
      </c>
      <c r="BR848" t="s">
        <v>74</v>
      </c>
      <c r="BS848" t="s">
        <v>4285</v>
      </c>
      <c r="BT848" t="str">
        <f>HYPERLINK("https%3A%2F%2Fwww.webofscience.com%2Fwos%2Fwoscc%2Ffull-record%2FWOS:000388808300007","View Full Record in Web of Science")</f>
        <v>View Full Record in Web of Science</v>
      </c>
    </row>
    <row r="849" spans="1:72" x14ac:dyDescent="0.4">
      <c r="A849" t="s">
        <v>72</v>
      </c>
      <c r="B849" t="s">
        <v>382</v>
      </c>
      <c r="C849" t="s">
        <v>74</v>
      </c>
      <c r="D849" t="s">
        <v>74</v>
      </c>
      <c r="E849" t="s">
        <v>74</v>
      </c>
      <c r="F849" t="s">
        <v>383</v>
      </c>
      <c r="G849" t="s">
        <v>74</v>
      </c>
      <c r="H849" t="s">
        <v>74</v>
      </c>
      <c r="I849" t="s">
        <v>384</v>
      </c>
      <c r="J849" t="s">
        <v>140</v>
      </c>
      <c r="K849" t="s">
        <v>74</v>
      </c>
      <c r="L849" t="s">
        <v>74</v>
      </c>
      <c r="M849" t="s">
        <v>74</v>
      </c>
      <c r="N849" t="s">
        <v>74</v>
      </c>
      <c r="O849" t="s">
        <v>74</v>
      </c>
      <c r="P849" t="s">
        <v>74</v>
      </c>
      <c r="Q849" t="s">
        <v>74</v>
      </c>
      <c r="R849" t="s">
        <v>74</v>
      </c>
      <c r="S849" t="s">
        <v>74</v>
      </c>
      <c r="T849" t="s">
        <v>74</v>
      </c>
      <c r="U849" t="s">
        <v>74</v>
      </c>
      <c r="V849" s="3" t="s">
        <v>385</v>
      </c>
      <c r="W849" t="s">
        <v>74</v>
      </c>
      <c r="X849" t="s">
        <v>74</v>
      </c>
      <c r="Y849" t="s">
        <v>74</v>
      </c>
      <c r="Z849" t="s">
        <v>74</v>
      </c>
      <c r="AA849" t="s">
        <v>386</v>
      </c>
      <c r="AB849" t="s">
        <v>74</v>
      </c>
      <c r="AC849" t="s">
        <v>74</v>
      </c>
      <c r="AD849" t="s">
        <v>74</v>
      </c>
      <c r="AE849" t="s">
        <v>74</v>
      </c>
      <c r="AF849" t="s">
        <v>74</v>
      </c>
      <c r="AG849" t="s">
        <v>74</v>
      </c>
      <c r="AH849" t="s">
        <v>74</v>
      </c>
      <c r="AI849" t="s">
        <v>74</v>
      </c>
      <c r="AJ849" t="s">
        <v>74</v>
      </c>
      <c r="AK849" t="s">
        <v>74</v>
      </c>
      <c r="AL849" t="s">
        <v>74</v>
      </c>
      <c r="AM849" t="s">
        <v>74</v>
      </c>
      <c r="AN849" t="s">
        <v>74</v>
      </c>
      <c r="AO849" t="s">
        <v>143</v>
      </c>
      <c r="AP849" t="s">
        <v>74</v>
      </c>
      <c r="AQ849" t="s">
        <v>74</v>
      </c>
      <c r="AR849" t="s">
        <v>74</v>
      </c>
      <c r="AS849" t="s">
        <v>74</v>
      </c>
      <c r="AT849" t="s">
        <v>145</v>
      </c>
      <c r="AU849">
        <v>2009</v>
      </c>
      <c r="AV849">
        <v>78</v>
      </c>
      <c r="AW849">
        <v>2</v>
      </c>
      <c r="AX849" t="s">
        <v>74</v>
      </c>
      <c r="AY849" t="s">
        <v>74</v>
      </c>
      <c r="AZ849" t="s">
        <v>74</v>
      </c>
      <c r="BA849" t="s">
        <v>74</v>
      </c>
      <c r="BB849">
        <v>393</v>
      </c>
      <c r="BC849">
        <v>398</v>
      </c>
      <c r="BD849" t="s">
        <v>74</v>
      </c>
      <c r="BE849" t="s">
        <v>387</v>
      </c>
      <c r="BF849" t="str">
        <f>HYPERLINK("http://dx.doi.org/10.1016/j.anbehav.2009.05.013","http://dx.doi.org/10.1016/j.anbehav.2009.05.013")</f>
        <v>http://dx.doi.org/10.1016/j.anbehav.2009.05.013</v>
      </c>
      <c r="BG849" t="s">
        <v>74</v>
      </c>
      <c r="BH849" t="s">
        <v>74</v>
      </c>
      <c r="BI849" t="s">
        <v>74</v>
      </c>
      <c r="BJ849" t="s">
        <v>74</v>
      </c>
      <c r="BK849" t="s">
        <v>74</v>
      </c>
      <c r="BL849" t="s">
        <v>74</v>
      </c>
      <c r="BM849" t="s">
        <v>74</v>
      </c>
      <c r="BN849" t="s">
        <v>74</v>
      </c>
      <c r="BO849" t="s">
        <v>74</v>
      </c>
      <c r="BP849" t="s">
        <v>74</v>
      </c>
      <c r="BQ849" t="s">
        <v>74</v>
      </c>
      <c r="BR849" t="s">
        <v>74</v>
      </c>
      <c r="BS849" t="s">
        <v>388</v>
      </c>
      <c r="BT849" t="str">
        <f>HYPERLINK("https%3A%2F%2Fwww.webofscience.com%2Fwos%2Fwoscc%2Ffull-record%2FWOS:000268902900021","View Full Record in Web of Science")</f>
        <v>View Full Record in Web of Science</v>
      </c>
    </row>
    <row r="850" spans="1:72" x14ac:dyDescent="0.4">
      <c r="A850" t="s">
        <v>72</v>
      </c>
      <c r="B850" t="s">
        <v>382</v>
      </c>
      <c r="C850" t="s">
        <v>74</v>
      </c>
      <c r="D850" t="s">
        <v>74</v>
      </c>
      <c r="E850" t="s">
        <v>74</v>
      </c>
      <c r="F850" t="s">
        <v>383</v>
      </c>
      <c r="G850" t="s">
        <v>74</v>
      </c>
      <c r="H850" t="s">
        <v>74</v>
      </c>
      <c r="I850" t="s">
        <v>2748</v>
      </c>
      <c r="J850" t="s">
        <v>171</v>
      </c>
      <c r="K850" t="s">
        <v>74</v>
      </c>
      <c r="L850" t="s">
        <v>74</v>
      </c>
      <c r="M850" t="s">
        <v>74</v>
      </c>
      <c r="N850" t="s">
        <v>74</v>
      </c>
      <c r="O850" t="s">
        <v>74</v>
      </c>
      <c r="P850" t="s">
        <v>74</v>
      </c>
      <c r="Q850" t="s">
        <v>74</v>
      </c>
      <c r="R850" t="s">
        <v>74</v>
      </c>
      <c r="S850" t="s">
        <v>74</v>
      </c>
      <c r="T850" t="s">
        <v>74</v>
      </c>
      <c r="U850" t="s">
        <v>74</v>
      </c>
      <c r="V850" s="3" t="s">
        <v>2749</v>
      </c>
      <c r="W850" t="s">
        <v>74</v>
      </c>
      <c r="X850" t="s">
        <v>74</v>
      </c>
      <c r="Y850" t="s">
        <v>74</v>
      </c>
      <c r="Z850" t="s">
        <v>74</v>
      </c>
      <c r="AA850" t="s">
        <v>386</v>
      </c>
      <c r="AB850" t="s">
        <v>74</v>
      </c>
      <c r="AC850" t="s">
        <v>74</v>
      </c>
      <c r="AD850" t="s">
        <v>74</v>
      </c>
      <c r="AE850" t="s">
        <v>74</v>
      </c>
      <c r="AF850" t="s">
        <v>74</v>
      </c>
      <c r="AG850" t="s">
        <v>74</v>
      </c>
      <c r="AH850" t="s">
        <v>74</v>
      </c>
      <c r="AI850" t="s">
        <v>74</v>
      </c>
      <c r="AJ850" t="s">
        <v>74</v>
      </c>
      <c r="AK850" t="s">
        <v>74</v>
      </c>
      <c r="AL850" t="s">
        <v>74</v>
      </c>
      <c r="AM850" t="s">
        <v>74</v>
      </c>
      <c r="AN850" t="s">
        <v>74</v>
      </c>
      <c r="AO850" t="s">
        <v>173</v>
      </c>
      <c r="AP850" t="s">
        <v>174</v>
      </c>
      <c r="AQ850" t="s">
        <v>74</v>
      </c>
      <c r="AR850" t="s">
        <v>74</v>
      </c>
      <c r="AS850" t="s">
        <v>74</v>
      </c>
      <c r="AT850" t="s">
        <v>134</v>
      </c>
      <c r="AU850">
        <v>2010</v>
      </c>
      <c r="AV850">
        <v>64</v>
      </c>
      <c r="AW850">
        <v>5</v>
      </c>
      <c r="AX850" t="s">
        <v>74</v>
      </c>
      <c r="AY850" t="s">
        <v>74</v>
      </c>
      <c r="AZ850" t="s">
        <v>74</v>
      </c>
      <c r="BA850" t="s">
        <v>74</v>
      </c>
      <c r="BB850">
        <v>1301</v>
      </c>
      <c r="BC850">
        <v>1310</v>
      </c>
      <c r="BD850" t="s">
        <v>74</v>
      </c>
      <c r="BE850" t="s">
        <v>2750</v>
      </c>
      <c r="BF850" t="str">
        <f>HYPERLINK("http://dx.doi.org/10.1111/j.1558-5646.2009.00897.x","http://dx.doi.org/10.1111/j.1558-5646.2009.00897.x")</f>
        <v>http://dx.doi.org/10.1111/j.1558-5646.2009.00897.x</v>
      </c>
      <c r="BG850" t="s">
        <v>74</v>
      </c>
      <c r="BH850" t="s">
        <v>74</v>
      </c>
      <c r="BI850" t="s">
        <v>74</v>
      </c>
      <c r="BJ850" t="s">
        <v>74</v>
      </c>
      <c r="BK850" t="s">
        <v>74</v>
      </c>
      <c r="BL850" t="s">
        <v>74</v>
      </c>
      <c r="BM850" t="s">
        <v>74</v>
      </c>
      <c r="BN850">
        <v>19922444</v>
      </c>
      <c r="BO850" t="s">
        <v>74</v>
      </c>
      <c r="BP850" t="s">
        <v>74</v>
      </c>
      <c r="BQ850" t="s">
        <v>74</v>
      </c>
      <c r="BR850" t="s">
        <v>74</v>
      </c>
      <c r="BS850" t="s">
        <v>2751</v>
      </c>
      <c r="BT850" t="str">
        <f>HYPERLINK("https%3A%2F%2Fwww.webofscience.com%2Fwos%2Fwoscc%2Ffull-record%2FWOS:000277096400011","View Full Record in Web of Science")</f>
        <v>View Full Record in Web of Science</v>
      </c>
    </row>
    <row r="851" spans="1:72" x14ac:dyDescent="0.4">
      <c r="A851" t="s">
        <v>72</v>
      </c>
      <c r="B851" t="s">
        <v>1153</v>
      </c>
      <c r="C851" t="s">
        <v>74</v>
      </c>
      <c r="D851" t="s">
        <v>74</v>
      </c>
      <c r="E851" t="s">
        <v>74</v>
      </c>
      <c r="F851" t="s">
        <v>1154</v>
      </c>
      <c r="G851" t="s">
        <v>74</v>
      </c>
      <c r="H851" t="s">
        <v>74</v>
      </c>
      <c r="I851" t="s">
        <v>1155</v>
      </c>
      <c r="J851" t="s">
        <v>312</v>
      </c>
      <c r="K851" t="s">
        <v>74</v>
      </c>
      <c r="L851" t="s">
        <v>74</v>
      </c>
      <c r="M851" t="s">
        <v>74</v>
      </c>
      <c r="N851" t="s">
        <v>74</v>
      </c>
      <c r="O851" t="s">
        <v>74</v>
      </c>
      <c r="P851" t="s">
        <v>74</v>
      </c>
      <c r="Q851" t="s">
        <v>74</v>
      </c>
      <c r="R851" t="s">
        <v>74</v>
      </c>
      <c r="S851" t="s">
        <v>74</v>
      </c>
      <c r="T851" t="s">
        <v>74</v>
      </c>
      <c r="U851" t="s">
        <v>74</v>
      </c>
      <c r="V851" s="3" t="s">
        <v>1156</v>
      </c>
      <c r="W851" t="s">
        <v>74</v>
      </c>
      <c r="X851" t="s">
        <v>74</v>
      </c>
      <c r="Y851" t="s">
        <v>74</v>
      </c>
      <c r="Z851" t="s">
        <v>74</v>
      </c>
      <c r="AA851" t="s">
        <v>433</v>
      </c>
      <c r="AB851" t="s">
        <v>434</v>
      </c>
      <c r="AC851" t="s">
        <v>74</v>
      </c>
      <c r="AD851" t="s">
        <v>74</v>
      </c>
      <c r="AE851" t="s">
        <v>74</v>
      </c>
      <c r="AF851" t="s">
        <v>74</v>
      </c>
      <c r="AG851" t="s">
        <v>74</v>
      </c>
      <c r="AH851" t="s">
        <v>74</v>
      </c>
      <c r="AI851" t="s">
        <v>74</v>
      </c>
      <c r="AJ851" t="s">
        <v>74</v>
      </c>
      <c r="AK851" t="s">
        <v>74</v>
      </c>
      <c r="AL851" t="s">
        <v>74</v>
      </c>
      <c r="AM851" t="s">
        <v>74</v>
      </c>
      <c r="AN851" t="s">
        <v>74</v>
      </c>
      <c r="AO851" t="s">
        <v>314</v>
      </c>
      <c r="AP851" t="s">
        <v>315</v>
      </c>
      <c r="AQ851" t="s">
        <v>74</v>
      </c>
      <c r="AR851" t="s">
        <v>74</v>
      </c>
      <c r="AS851" t="s">
        <v>74</v>
      </c>
      <c r="AT851" t="s">
        <v>175</v>
      </c>
      <c r="AU851">
        <v>2009</v>
      </c>
      <c r="AV851">
        <v>174</v>
      </c>
      <c r="AW851">
        <v>4</v>
      </c>
      <c r="AX851" t="s">
        <v>74</v>
      </c>
      <c r="AY851" t="s">
        <v>74</v>
      </c>
      <c r="AZ851" t="s">
        <v>74</v>
      </c>
      <c r="BA851" t="s">
        <v>74</v>
      </c>
      <c r="BB851">
        <v>455</v>
      </c>
      <c r="BC851">
        <v>464</v>
      </c>
      <c r="BD851" t="s">
        <v>74</v>
      </c>
      <c r="BE851" t="s">
        <v>1157</v>
      </c>
      <c r="BF851" t="str">
        <f>HYPERLINK("http://dx.doi.org/10.1086/605376","http://dx.doi.org/10.1086/605376")</f>
        <v>http://dx.doi.org/10.1086/605376</v>
      </c>
      <c r="BG851" t="s">
        <v>74</v>
      </c>
      <c r="BH851" t="s">
        <v>74</v>
      </c>
      <c r="BI851" t="s">
        <v>74</v>
      </c>
      <c r="BJ851" t="s">
        <v>74</v>
      </c>
      <c r="BK851" t="s">
        <v>74</v>
      </c>
      <c r="BL851" t="s">
        <v>74</v>
      </c>
      <c r="BM851" t="s">
        <v>74</v>
      </c>
      <c r="BN851">
        <v>19689213</v>
      </c>
      <c r="BO851" t="s">
        <v>74</v>
      </c>
      <c r="BP851" t="s">
        <v>74</v>
      </c>
      <c r="BQ851" t="s">
        <v>74</v>
      </c>
      <c r="BR851" t="s">
        <v>74</v>
      </c>
      <c r="BS851" t="s">
        <v>1158</v>
      </c>
      <c r="BT851" t="str">
        <f>HYPERLINK("https%3A%2F%2Fwww.webofscience.com%2Fwos%2Fwoscc%2Ffull-record%2FWOS:000269824800004","View Full Record in Web of Science")</f>
        <v>View Full Record in Web of Science</v>
      </c>
    </row>
    <row r="852" spans="1:72" x14ac:dyDescent="0.4">
      <c r="A852" t="s">
        <v>72</v>
      </c>
      <c r="B852" t="s">
        <v>1836</v>
      </c>
      <c r="C852" t="s">
        <v>74</v>
      </c>
      <c r="D852" t="s">
        <v>74</v>
      </c>
      <c r="E852" t="s">
        <v>74</v>
      </c>
      <c r="F852" t="s">
        <v>1836</v>
      </c>
      <c r="G852" t="s">
        <v>74</v>
      </c>
      <c r="H852" t="s">
        <v>74</v>
      </c>
      <c r="I852" t="s">
        <v>1837</v>
      </c>
      <c r="J852" t="s">
        <v>140</v>
      </c>
      <c r="K852" t="s">
        <v>74</v>
      </c>
      <c r="L852" t="s">
        <v>74</v>
      </c>
      <c r="M852" t="s">
        <v>74</v>
      </c>
      <c r="N852" t="s">
        <v>74</v>
      </c>
      <c r="O852" t="s">
        <v>74</v>
      </c>
      <c r="P852" t="s">
        <v>74</v>
      </c>
      <c r="Q852" t="s">
        <v>74</v>
      </c>
      <c r="R852" t="s">
        <v>74</v>
      </c>
      <c r="S852" t="s">
        <v>74</v>
      </c>
      <c r="T852" t="s">
        <v>74</v>
      </c>
      <c r="U852" t="s">
        <v>74</v>
      </c>
      <c r="V852" s="3" t="s">
        <v>1838</v>
      </c>
      <c r="W852" t="s">
        <v>74</v>
      </c>
      <c r="X852" t="s">
        <v>74</v>
      </c>
      <c r="Y852" t="s">
        <v>74</v>
      </c>
      <c r="Z852" t="s">
        <v>74</v>
      </c>
      <c r="AA852" t="s">
        <v>1839</v>
      </c>
      <c r="AB852" t="s">
        <v>1840</v>
      </c>
      <c r="AC852" t="s">
        <v>74</v>
      </c>
      <c r="AD852" t="s">
        <v>74</v>
      </c>
      <c r="AE852" t="s">
        <v>74</v>
      </c>
      <c r="AF852" t="s">
        <v>74</v>
      </c>
      <c r="AG852" t="s">
        <v>74</v>
      </c>
      <c r="AH852" t="s">
        <v>74</v>
      </c>
      <c r="AI852" t="s">
        <v>74</v>
      </c>
      <c r="AJ852" t="s">
        <v>74</v>
      </c>
      <c r="AK852" t="s">
        <v>74</v>
      </c>
      <c r="AL852" t="s">
        <v>74</v>
      </c>
      <c r="AM852" t="s">
        <v>74</v>
      </c>
      <c r="AN852" t="s">
        <v>74</v>
      </c>
      <c r="AO852" t="s">
        <v>143</v>
      </c>
      <c r="AP852" t="s">
        <v>144</v>
      </c>
      <c r="AQ852" t="s">
        <v>74</v>
      </c>
      <c r="AR852" t="s">
        <v>74</v>
      </c>
      <c r="AS852" t="s">
        <v>74</v>
      </c>
      <c r="AT852" t="s">
        <v>175</v>
      </c>
      <c r="AU852">
        <v>2001</v>
      </c>
      <c r="AV852">
        <v>62</v>
      </c>
      <c r="AW852" t="s">
        <v>74</v>
      </c>
      <c r="AX852">
        <v>4</v>
      </c>
      <c r="AY852" t="s">
        <v>74</v>
      </c>
      <c r="AZ852" t="s">
        <v>74</v>
      </c>
      <c r="BA852" t="s">
        <v>74</v>
      </c>
      <c r="BB852">
        <v>695</v>
      </c>
      <c r="BC852">
        <v>704</v>
      </c>
      <c r="BD852" t="s">
        <v>74</v>
      </c>
      <c r="BE852" t="s">
        <v>1841</v>
      </c>
      <c r="BF852" t="str">
        <f>HYPERLINK("http://dx.doi.org/10.1006/anbe.2001.1804","http://dx.doi.org/10.1006/anbe.2001.1804")</f>
        <v>http://dx.doi.org/10.1006/anbe.2001.1804</v>
      </c>
      <c r="BG852" t="s">
        <v>74</v>
      </c>
      <c r="BH852" t="s">
        <v>74</v>
      </c>
      <c r="BI852" t="s">
        <v>74</v>
      </c>
      <c r="BJ852" t="s">
        <v>74</v>
      </c>
      <c r="BK852" t="s">
        <v>74</v>
      </c>
      <c r="BL852" t="s">
        <v>74</v>
      </c>
      <c r="BM852" t="s">
        <v>74</v>
      </c>
      <c r="BN852" t="s">
        <v>74</v>
      </c>
      <c r="BO852" t="s">
        <v>74</v>
      </c>
      <c r="BP852" t="s">
        <v>74</v>
      </c>
      <c r="BQ852" t="s">
        <v>74</v>
      </c>
      <c r="BR852" t="s">
        <v>74</v>
      </c>
      <c r="BS852" t="s">
        <v>1842</v>
      </c>
      <c r="BT852" t="str">
        <f>HYPERLINK("https%3A%2F%2Fwww.webofscience.com%2Fwos%2Fwoscc%2Ffull-record%2FWOS:000172189400010","View Full Record in Web of Science")</f>
        <v>View Full Record in Web of Science</v>
      </c>
    </row>
    <row r="853" spans="1:72" x14ac:dyDescent="0.4">
      <c r="A853" t="s">
        <v>72</v>
      </c>
      <c r="B853" t="s">
        <v>6925</v>
      </c>
      <c r="C853" t="s">
        <v>74</v>
      </c>
      <c r="D853" t="s">
        <v>74</v>
      </c>
      <c r="E853" t="s">
        <v>74</v>
      </c>
      <c r="F853" t="s">
        <v>6926</v>
      </c>
      <c r="G853" t="s">
        <v>74</v>
      </c>
      <c r="H853" t="s">
        <v>74</v>
      </c>
      <c r="I853" t="s">
        <v>6927</v>
      </c>
      <c r="J853" t="s">
        <v>140</v>
      </c>
      <c r="K853" t="s">
        <v>74</v>
      </c>
      <c r="L853" t="s">
        <v>74</v>
      </c>
      <c r="M853" t="s">
        <v>74</v>
      </c>
      <c r="N853" t="s">
        <v>74</v>
      </c>
      <c r="O853" t="s">
        <v>74</v>
      </c>
      <c r="P853" t="s">
        <v>74</v>
      </c>
      <c r="Q853" t="s">
        <v>74</v>
      </c>
      <c r="R853" t="s">
        <v>74</v>
      </c>
      <c r="S853" t="s">
        <v>74</v>
      </c>
      <c r="T853" t="s">
        <v>74</v>
      </c>
      <c r="U853" t="s">
        <v>74</v>
      </c>
      <c r="V853" s="3" t="s">
        <v>6928</v>
      </c>
      <c r="W853" t="s">
        <v>74</v>
      </c>
      <c r="X853" t="s">
        <v>74</v>
      </c>
      <c r="Y853" t="s">
        <v>74</v>
      </c>
      <c r="Z853" t="s">
        <v>74</v>
      </c>
      <c r="AA853" t="s">
        <v>74</v>
      </c>
      <c r="AB853" t="s">
        <v>6929</v>
      </c>
      <c r="AC853" t="s">
        <v>74</v>
      </c>
      <c r="AD853" t="s">
        <v>74</v>
      </c>
      <c r="AE853" t="s">
        <v>74</v>
      </c>
      <c r="AF853" t="s">
        <v>74</v>
      </c>
      <c r="AG853" t="s">
        <v>74</v>
      </c>
      <c r="AH853" t="s">
        <v>74</v>
      </c>
      <c r="AI853" t="s">
        <v>74</v>
      </c>
      <c r="AJ853" t="s">
        <v>74</v>
      </c>
      <c r="AK853" t="s">
        <v>74</v>
      </c>
      <c r="AL853" t="s">
        <v>74</v>
      </c>
      <c r="AM853" t="s">
        <v>74</v>
      </c>
      <c r="AN853" t="s">
        <v>74</v>
      </c>
      <c r="AO853" t="s">
        <v>143</v>
      </c>
      <c r="AP853" t="s">
        <v>144</v>
      </c>
      <c r="AQ853" t="s">
        <v>74</v>
      </c>
      <c r="AR853" t="s">
        <v>74</v>
      </c>
      <c r="AS853" t="s">
        <v>74</v>
      </c>
      <c r="AT853" t="s">
        <v>633</v>
      </c>
      <c r="AU853">
        <v>2020</v>
      </c>
      <c r="AV853">
        <v>162</v>
      </c>
      <c r="AW853" t="s">
        <v>74</v>
      </c>
      <c r="AX853" t="s">
        <v>74</v>
      </c>
      <c r="AY853" t="s">
        <v>74</v>
      </c>
      <c r="AZ853" t="s">
        <v>74</v>
      </c>
      <c r="BA853" t="s">
        <v>74</v>
      </c>
      <c r="BB853">
        <v>123</v>
      </c>
      <c r="BC853">
        <v>133</v>
      </c>
      <c r="BD853" t="s">
        <v>74</v>
      </c>
      <c r="BE853" t="s">
        <v>6930</v>
      </c>
      <c r="BF853" t="str">
        <f>HYPERLINK("http://dx.doi.org/10.1016/j.anbehav.2020.02.008","http://dx.doi.org/10.1016/j.anbehav.2020.02.008")</f>
        <v>http://dx.doi.org/10.1016/j.anbehav.2020.02.008</v>
      </c>
      <c r="BG853" t="s">
        <v>74</v>
      </c>
      <c r="BH853" t="s">
        <v>74</v>
      </c>
      <c r="BI853" t="s">
        <v>74</v>
      </c>
      <c r="BJ853" t="s">
        <v>74</v>
      </c>
      <c r="BK853" t="s">
        <v>74</v>
      </c>
      <c r="BL853" t="s">
        <v>74</v>
      </c>
      <c r="BM853" t="s">
        <v>74</v>
      </c>
      <c r="BN853" t="s">
        <v>74</v>
      </c>
      <c r="BO853" t="s">
        <v>74</v>
      </c>
      <c r="BP853" t="s">
        <v>74</v>
      </c>
      <c r="BQ853" t="s">
        <v>74</v>
      </c>
      <c r="BR853" t="s">
        <v>74</v>
      </c>
      <c r="BS853" t="s">
        <v>6931</v>
      </c>
      <c r="BT853" t="str">
        <f>HYPERLINK("https%3A%2F%2Fwww.webofscience.com%2Fwos%2Fwoscc%2Ffull-record%2FWOS:000522974300013","View Full Record in Web of Science")</f>
        <v>View Full Record in Web of Science</v>
      </c>
    </row>
    <row r="854" spans="1:72" x14ac:dyDescent="0.4">
      <c r="A854" t="s">
        <v>72</v>
      </c>
      <c r="B854" t="s">
        <v>3938</v>
      </c>
      <c r="C854" t="s">
        <v>74</v>
      </c>
      <c r="D854" t="s">
        <v>74</v>
      </c>
      <c r="E854" t="s">
        <v>74</v>
      </c>
      <c r="F854" t="s">
        <v>3939</v>
      </c>
      <c r="G854" t="s">
        <v>74</v>
      </c>
      <c r="H854" t="s">
        <v>74</v>
      </c>
      <c r="I854" t="s">
        <v>3940</v>
      </c>
      <c r="J854" t="s">
        <v>1526</v>
      </c>
      <c r="K854" t="s">
        <v>74</v>
      </c>
      <c r="L854" t="s">
        <v>74</v>
      </c>
      <c r="M854" t="s">
        <v>74</v>
      </c>
      <c r="N854" t="s">
        <v>74</v>
      </c>
      <c r="O854" t="s">
        <v>74</v>
      </c>
      <c r="P854" t="s">
        <v>74</v>
      </c>
      <c r="Q854" t="s">
        <v>74</v>
      </c>
      <c r="R854" t="s">
        <v>74</v>
      </c>
      <c r="S854" t="s">
        <v>74</v>
      </c>
      <c r="T854" t="s">
        <v>74</v>
      </c>
      <c r="U854" t="s">
        <v>74</v>
      </c>
      <c r="V854" s="3" t="s">
        <v>3941</v>
      </c>
      <c r="W854" t="s">
        <v>74</v>
      </c>
      <c r="X854" t="s">
        <v>74</v>
      </c>
      <c r="Y854" t="s">
        <v>74</v>
      </c>
      <c r="Z854" t="s">
        <v>74</v>
      </c>
      <c r="AA854" t="s">
        <v>3942</v>
      </c>
      <c r="AB854" t="s">
        <v>3943</v>
      </c>
      <c r="AC854" t="s">
        <v>74</v>
      </c>
      <c r="AD854" t="s">
        <v>74</v>
      </c>
      <c r="AE854" t="s">
        <v>74</v>
      </c>
      <c r="AF854" t="s">
        <v>74</v>
      </c>
      <c r="AG854" t="s">
        <v>74</v>
      </c>
      <c r="AH854" t="s">
        <v>74</v>
      </c>
      <c r="AI854" t="s">
        <v>74</v>
      </c>
      <c r="AJ854" t="s">
        <v>74</v>
      </c>
      <c r="AK854" t="s">
        <v>74</v>
      </c>
      <c r="AL854" t="s">
        <v>74</v>
      </c>
      <c r="AM854" t="s">
        <v>74</v>
      </c>
      <c r="AN854" t="s">
        <v>74</v>
      </c>
      <c r="AO854" t="s">
        <v>1528</v>
      </c>
      <c r="AP854" t="s">
        <v>2131</v>
      </c>
      <c r="AQ854" t="s">
        <v>74</v>
      </c>
      <c r="AR854" t="s">
        <v>74</v>
      </c>
      <c r="AS854" t="s">
        <v>74</v>
      </c>
      <c r="AT854" t="s">
        <v>213</v>
      </c>
      <c r="AU854">
        <v>2013</v>
      </c>
      <c r="AV854">
        <v>115</v>
      </c>
      <c r="AW854">
        <v>4</v>
      </c>
      <c r="AX854" t="s">
        <v>74</v>
      </c>
      <c r="AY854" t="s">
        <v>74</v>
      </c>
      <c r="AZ854" t="s">
        <v>74</v>
      </c>
      <c r="BA854" t="s">
        <v>74</v>
      </c>
      <c r="BB854">
        <v>902</v>
      </c>
      <c r="BC854">
        <v>909</v>
      </c>
      <c r="BD854" t="s">
        <v>74</v>
      </c>
      <c r="BE854" t="s">
        <v>3944</v>
      </c>
      <c r="BF854" t="str">
        <f>HYPERLINK("http://dx.doi.org/10.1525/cond.2013.120009","http://dx.doi.org/10.1525/cond.2013.120009")</f>
        <v>http://dx.doi.org/10.1525/cond.2013.120009</v>
      </c>
      <c r="BG854" t="s">
        <v>74</v>
      </c>
      <c r="BH854" t="s">
        <v>74</v>
      </c>
      <c r="BI854" t="s">
        <v>74</v>
      </c>
      <c r="BJ854" t="s">
        <v>74</v>
      </c>
      <c r="BK854" t="s">
        <v>74</v>
      </c>
      <c r="BL854" t="s">
        <v>74</v>
      </c>
      <c r="BM854" t="s">
        <v>74</v>
      </c>
      <c r="BN854" t="s">
        <v>74</v>
      </c>
      <c r="BO854" t="s">
        <v>74</v>
      </c>
      <c r="BP854" t="s">
        <v>74</v>
      </c>
      <c r="BQ854" t="s">
        <v>74</v>
      </c>
      <c r="BR854" t="s">
        <v>74</v>
      </c>
      <c r="BS854" t="s">
        <v>3945</v>
      </c>
      <c r="BT854" t="str">
        <f>HYPERLINK("https%3A%2F%2Fwww.webofscience.com%2Fwos%2Fwoscc%2Ffull-record%2FWOS:000328295800022","View Full Record in Web of Science")</f>
        <v>View Full Record in Web of Science</v>
      </c>
    </row>
    <row r="855" spans="1:72" x14ac:dyDescent="0.4">
      <c r="A855" t="s">
        <v>72</v>
      </c>
      <c r="B855" t="s">
        <v>271</v>
      </c>
      <c r="C855" t="s">
        <v>74</v>
      </c>
      <c r="D855" t="s">
        <v>74</v>
      </c>
      <c r="E855" t="s">
        <v>74</v>
      </c>
      <c r="F855" t="s">
        <v>2636</v>
      </c>
      <c r="G855" t="s">
        <v>74</v>
      </c>
      <c r="H855" t="s">
        <v>74</v>
      </c>
      <c r="I855" t="s">
        <v>2637</v>
      </c>
      <c r="J855" t="s">
        <v>610</v>
      </c>
      <c r="K855" t="s">
        <v>74</v>
      </c>
      <c r="L855" t="s">
        <v>74</v>
      </c>
      <c r="M855" t="s">
        <v>74</v>
      </c>
      <c r="N855" t="s">
        <v>74</v>
      </c>
      <c r="O855" t="s">
        <v>74</v>
      </c>
      <c r="P855" t="s">
        <v>74</v>
      </c>
      <c r="Q855" t="s">
        <v>74</v>
      </c>
      <c r="R855" t="s">
        <v>74</v>
      </c>
      <c r="S855" t="s">
        <v>74</v>
      </c>
      <c r="T855" t="s">
        <v>74</v>
      </c>
      <c r="U855" t="s">
        <v>74</v>
      </c>
      <c r="V855" s="3" t="s">
        <v>2638</v>
      </c>
      <c r="W855" t="s">
        <v>74</v>
      </c>
      <c r="X855" t="s">
        <v>74</v>
      </c>
      <c r="Y855" t="s">
        <v>74</v>
      </c>
      <c r="Z855" t="s">
        <v>74</v>
      </c>
      <c r="AA855" t="s">
        <v>74</v>
      </c>
      <c r="AB855" t="s">
        <v>274</v>
      </c>
      <c r="AC855" t="s">
        <v>74</v>
      </c>
      <c r="AD855" t="s">
        <v>74</v>
      </c>
      <c r="AE855" t="s">
        <v>74</v>
      </c>
      <c r="AF855" t="s">
        <v>74</v>
      </c>
      <c r="AG855" t="s">
        <v>74</v>
      </c>
      <c r="AH855" t="s">
        <v>74</v>
      </c>
      <c r="AI855" t="s">
        <v>74</v>
      </c>
      <c r="AJ855" t="s">
        <v>74</v>
      </c>
      <c r="AK855" t="s">
        <v>74</v>
      </c>
      <c r="AL855" t="s">
        <v>74</v>
      </c>
      <c r="AM855" t="s">
        <v>74</v>
      </c>
      <c r="AN855" t="s">
        <v>74</v>
      </c>
      <c r="AO855" t="s">
        <v>614</v>
      </c>
      <c r="AP855" t="s">
        <v>615</v>
      </c>
      <c r="AQ855" t="s">
        <v>74</v>
      </c>
      <c r="AR855" t="s">
        <v>74</v>
      </c>
      <c r="AS855" t="s">
        <v>74</v>
      </c>
      <c r="AT855" t="s">
        <v>102</v>
      </c>
      <c r="AU855">
        <v>2010</v>
      </c>
      <c r="AV855">
        <v>116</v>
      </c>
      <c r="AW855">
        <v>6</v>
      </c>
      <c r="AX855" t="s">
        <v>74</v>
      </c>
      <c r="AY855" t="s">
        <v>74</v>
      </c>
      <c r="AZ855" t="s">
        <v>74</v>
      </c>
      <c r="BA855" t="s">
        <v>74</v>
      </c>
      <c r="BB855">
        <v>509</v>
      </c>
      <c r="BC855">
        <v>516</v>
      </c>
      <c r="BD855" t="s">
        <v>74</v>
      </c>
      <c r="BE855" t="s">
        <v>2639</v>
      </c>
      <c r="BF855" t="str">
        <f>HYPERLINK("http://dx.doi.org/10.1111/j.1439-0310.2010.01765.x","http://dx.doi.org/10.1111/j.1439-0310.2010.01765.x")</f>
        <v>http://dx.doi.org/10.1111/j.1439-0310.2010.01765.x</v>
      </c>
      <c r="BG855" t="s">
        <v>74</v>
      </c>
      <c r="BH855" t="s">
        <v>74</v>
      </c>
      <c r="BI855" t="s">
        <v>74</v>
      </c>
      <c r="BJ855" t="s">
        <v>74</v>
      </c>
      <c r="BK855" t="s">
        <v>74</v>
      </c>
      <c r="BL855" t="s">
        <v>74</v>
      </c>
      <c r="BM855" t="s">
        <v>74</v>
      </c>
      <c r="BN855" t="s">
        <v>74</v>
      </c>
      <c r="BO855" t="s">
        <v>74</v>
      </c>
      <c r="BP855" t="s">
        <v>74</v>
      </c>
      <c r="BQ855" t="s">
        <v>74</v>
      </c>
      <c r="BR855" t="s">
        <v>74</v>
      </c>
      <c r="BS855" t="s">
        <v>2640</v>
      </c>
      <c r="BT855" t="str">
        <f>HYPERLINK("https%3A%2F%2Fwww.webofscience.com%2Fwos%2Fwoscc%2Ffull-record%2FWOS:000277405700004","View Full Record in Web of Science")</f>
        <v>View Full Record in Web of Science</v>
      </c>
    </row>
    <row r="856" spans="1:72" x14ac:dyDescent="0.4">
      <c r="A856" t="s">
        <v>72</v>
      </c>
      <c r="B856" t="s">
        <v>271</v>
      </c>
      <c r="C856" t="s">
        <v>74</v>
      </c>
      <c r="D856" t="s">
        <v>74</v>
      </c>
      <c r="E856" t="s">
        <v>74</v>
      </c>
      <c r="F856" t="s">
        <v>271</v>
      </c>
      <c r="G856" t="s">
        <v>74</v>
      </c>
      <c r="H856" t="s">
        <v>74</v>
      </c>
      <c r="I856" t="s">
        <v>272</v>
      </c>
      <c r="J856" t="s">
        <v>108</v>
      </c>
      <c r="K856" t="s">
        <v>74</v>
      </c>
      <c r="L856" t="s">
        <v>74</v>
      </c>
      <c r="M856" t="s">
        <v>74</v>
      </c>
      <c r="N856" t="s">
        <v>74</v>
      </c>
      <c r="O856" t="s">
        <v>74</v>
      </c>
      <c r="P856" t="s">
        <v>74</v>
      </c>
      <c r="Q856" t="s">
        <v>74</v>
      </c>
      <c r="R856" t="s">
        <v>74</v>
      </c>
      <c r="S856" t="s">
        <v>74</v>
      </c>
      <c r="T856" t="s">
        <v>74</v>
      </c>
      <c r="U856" t="s">
        <v>74</v>
      </c>
      <c r="V856" s="3" t="s">
        <v>273</v>
      </c>
      <c r="W856" t="s">
        <v>74</v>
      </c>
      <c r="X856" t="s">
        <v>74</v>
      </c>
      <c r="Y856" t="s">
        <v>74</v>
      </c>
      <c r="Z856" t="s">
        <v>74</v>
      </c>
      <c r="AA856" t="s">
        <v>74</v>
      </c>
      <c r="AB856" t="s">
        <v>274</v>
      </c>
      <c r="AC856" t="s">
        <v>74</v>
      </c>
      <c r="AD856" t="s">
        <v>74</v>
      </c>
      <c r="AE856" t="s">
        <v>74</v>
      </c>
      <c r="AF856" t="s">
        <v>74</v>
      </c>
      <c r="AG856" t="s">
        <v>74</v>
      </c>
      <c r="AH856" t="s">
        <v>74</v>
      </c>
      <c r="AI856" t="s">
        <v>74</v>
      </c>
      <c r="AJ856" t="s">
        <v>74</v>
      </c>
      <c r="AK856" t="s">
        <v>74</v>
      </c>
      <c r="AL856" t="s">
        <v>74</v>
      </c>
      <c r="AM856" t="s">
        <v>74</v>
      </c>
      <c r="AN856" t="s">
        <v>74</v>
      </c>
      <c r="AO856" t="s">
        <v>111</v>
      </c>
      <c r="AP856" t="s">
        <v>112</v>
      </c>
      <c r="AQ856" t="s">
        <v>74</v>
      </c>
      <c r="AR856" t="s">
        <v>74</v>
      </c>
      <c r="AS856" t="s">
        <v>74</v>
      </c>
      <c r="AT856" t="s">
        <v>275</v>
      </c>
      <c r="AU856">
        <v>2000</v>
      </c>
      <c r="AV856">
        <v>267</v>
      </c>
      <c r="AW856">
        <v>1445</v>
      </c>
      <c r="AX856" t="s">
        <v>74</v>
      </c>
      <c r="AY856" t="s">
        <v>74</v>
      </c>
      <c r="AZ856" t="s">
        <v>74</v>
      </c>
      <c r="BA856" t="s">
        <v>74</v>
      </c>
      <c r="BB856">
        <v>755</v>
      </c>
      <c r="BC856">
        <v>758</v>
      </c>
      <c r="BD856" t="s">
        <v>74</v>
      </c>
      <c r="BE856" t="s">
        <v>276</v>
      </c>
      <c r="BF856" t="str">
        <f>HYPERLINK("http://dx.doi.org/10.1098/rspb.2000.1067","http://dx.doi.org/10.1098/rspb.2000.1067")</f>
        <v>http://dx.doi.org/10.1098/rspb.2000.1067</v>
      </c>
      <c r="BG856" t="s">
        <v>74</v>
      </c>
      <c r="BH856" t="s">
        <v>74</v>
      </c>
      <c r="BI856" t="s">
        <v>74</v>
      </c>
      <c r="BJ856" t="s">
        <v>74</v>
      </c>
      <c r="BK856" t="s">
        <v>74</v>
      </c>
      <c r="BL856" t="s">
        <v>74</v>
      </c>
      <c r="BM856" t="s">
        <v>74</v>
      </c>
      <c r="BN856">
        <v>10819143</v>
      </c>
      <c r="BO856" t="s">
        <v>74</v>
      </c>
      <c r="BP856" t="s">
        <v>74</v>
      </c>
      <c r="BQ856" t="s">
        <v>74</v>
      </c>
      <c r="BR856" t="s">
        <v>74</v>
      </c>
      <c r="BS856" t="s">
        <v>277</v>
      </c>
      <c r="BT856" t="str">
        <f>HYPERLINK("https%3A%2F%2Fwww.webofscience.com%2Fwos%2Fwoscc%2Ffull-record%2FWOS:000086850600003","View Full Record in Web of Science")</f>
        <v>View Full Record in Web of Science</v>
      </c>
    </row>
    <row r="857" spans="1:72" x14ac:dyDescent="0.4">
      <c r="A857" t="s">
        <v>72</v>
      </c>
      <c r="B857" t="s">
        <v>271</v>
      </c>
      <c r="C857" t="s">
        <v>74</v>
      </c>
      <c r="D857" t="s">
        <v>74</v>
      </c>
      <c r="E857" t="s">
        <v>74</v>
      </c>
      <c r="F857" t="s">
        <v>271</v>
      </c>
      <c r="G857" t="s">
        <v>74</v>
      </c>
      <c r="H857" t="s">
        <v>74</v>
      </c>
      <c r="I857" t="s">
        <v>1811</v>
      </c>
      <c r="J857" t="s">
        <v>1812</v>
      </c>
      <c r="K857" t="s">
        <v>74</v>
      </c>
      <c r="L857" t="s">
        <v>74</v>
      </c>
      <c r="M857" t="s">
        <v>74</v>
      </c>
      <c r="N857" t="s">
        <v>74</v>
      </c>
      <c r="O857" t="s">
        <v>74</v>
      </c>
      <c r="P857" t="s">
        <v>74</v>
      </c>
      <c r="Q857" t="s">
        <v>74</v>
      </c>
      <c r="R857" t="s">
        <v>74</v>
      </c>
      <c r="S857" t="s">
        <v>74</v>
      </c>
      <c r="T857" t="s">
        <v>74</v>
      </c>
      <c r="U857" t="s">
        <v>74</v>
      </c>
      <c r="V857" s="3" t="s">
        <v>1813</v>
      </c>
      <c r="W857" t="s">
        <v>74</v>
      </c>
      <c r="X857" t="s">
        <v>74</v>
      </c>
      <c r="Y857" t="s">
        <v>74</v>
      </c>
      <c r="Z857" t="s">
        <v>74</v>
      </c>
      <c r="AA857" t="s">
        <v>74</v>
      </c>
      <c r="AB857" t="s">
        <v>274</v>
      </c>
      <c r="AC857" t="s">
        <v>74</v>
      </c>
      <c r="AD857" t="s">
        <v>74</v>
      </c>
      <c r="AE857" t="s">
        <v>74</v>
      </c>
      <c r="AF857" t="s">
        <v>74</v>
      </c>
      <c r="AG857" t="s">
        <v>74</v>
      </c>
      <c r="AH857" t="s">
        <v>74</v>
      </c>
      <c r="AI857" t="s">
        <v>74</v>
      </c>
      <c r="AJ857" t="s">
        <v>74</v>
      </c>
      <c r="AK857" t="s">
        <v>74</v>
      </c>
      <c r="AL857" t="s">
        <v>74</v>
      </c>
      <c r="AM857" t="s">
        <v>74</v>
      </c>
      <c r="AN857" t="s">
        <v>74</v>
      </c>
      <c r="AO857" t="s">
        <v>1814</v>
      </c>
      <c r="AP857" t="s">
        <v>1815</v>
      </c>
      <c r="AQ857" t="s">
        <v>74</v>
      </c>
      <c r="AR857" t="s">
        <v>74</v>
      </c>
      <c r="AS857" t="s">
        <v>74</v>
      </c>
      <c r="AT857" t="s">
        <v>352</v>
      </c>
      <c r="AU857">
        <v>2005</v>
      </c>
      <c r="AV857">
        <v>39</v>
      </c>
      <c r="AW857">
        <v>3</v>
      </c>
      <c r="AX857" t="s">
        <v>74</v>
      </c>
      <c r="AY857" t="s">
        <v>74</v>
      </c>
      <c r="AZ857" t="s">
        <v>74</v>
      </c>
      <c r="BA857" t="s">
        <v>74</v>
      </c>
      <c r="BB857">
        <v>496</v>
      </c>
      <c r="BC857">
        <v>499</v>
      </c>
      <c r="BD857" t="s">
        <v>74</v>
      </c>
      <c r="BE857" t="s">
        <v>1816</v>
      </c>
      <c r="BF857" t="str">
        <f>HYPERLINK("http://dx.doi.org/10.1670/207-04N.1","http://dx.doi.org/10.1670/207-04N.1")</f>
        <v>http://dx.doi.org/10.1670/207-04N.1</v>
      </c>
      <c r="BG857" t="s">
        <v>74</v>
      </c>
      <c r="BH857" t="s">
        <v>74</v>
      </c>
      <c r="BI857" t="s">
        <v>74</v>
      </c>
      <c r="BJ857" t="s">
        <v>74</v>
      </c>
      <c r="BK857" t="s">
        <v>74</v>
      </c>
      <c r="BL857" t="s">
        <v>74</v>
      </c>
      <c r="BM857" t="s">
        <v>74</v>
      </c>
      <c r="BN857" t="s">
        <v>74</v>
      </c>
      <c r="BO857" t="s">
        <v>74</v>
      </c>
      <c r="BP857" t="s">
        <v>74</v>
      </c>
      <c r="BQ857" t="s">
        <v>74</v>
      </c>
      <c r="BR857" t="s">
        <v>74</v>
      </c>
      <c r="BS857" t="s">
        <v>1817</v>
      </c>
      <c r="BT857" t="str">
        <f>HYPERLINK("https%3A%2F%2Fwww.webofscience.com%2Fwos%2Fwoscc%2Ffull-record%2FWOS:000232114800022","View Full Record in Web of Science")</f>
        <v>View Full Record in Web of Science</v>
      </c>
    </row>
    <row r="858" spans="1:72" x14ac:dyDescent="0.4">
      <c r="A858" t="s">
        <v>72</v>
      </c>
      <c r="B858" t="s">
        <v>6380</v>
      </c>
      <c r="C858" t="s">
        <v>74</v>
      </c>
      <c r="D858" t="s">
        <v>74</v>
      </c>
      <c r="E858" t="s">
        <v>74</v>
      </c>
      <c r="F858" t="s">
        <v>6381</v>
      </c>
      <c r="G858" t="s">
        <v>74</v>
      </c>
      <c r="H858" t="s">
        <v>74</v>
      </c>
      <c r="I858" t="s">
        <v>6382</v>
      </c>
      <c r="J858" t="s">
        <v>6240</v>
      </c>
      <c r="K858" t="s">
        <v>74</v>
      </c>
      <c r="L858" t="s">
        <v>74</v>
      </c>
      <c r="M858" t="s">
        <v>74</v>
      </c>
      <c r="N858" t="s">
        <v>74</v>
      </c>
      <c r="O858" t="s">
        <v>74</v>
      </c>
      <c r="P858" t="s">
        <v>74</v>
      </c>
      <c r="Q858" t="s">
        <v>74</v>
      </c>
      <c r="R858" t="s">
        <v>74</v>
      </c>
      <c r="S858" t="s">
        <v>74</v>
      </c>
      <c r="T858" t="s">
        <v>74</v>
      </c>
      <c r="U858" t="s">
        <v>74</v>
      </c>
      <c r="V858" s="3" t="s">
        <v>6383</v>
      </c>
      <c r="W858" t="s">
        <v>74</v>
      </c>
      <c r="X858" t="s">
        <v>74</v>
      </c>
      <c r="Y858" t="s">
        <v>74</v>
      </c>
      <c r="Z858" t="s">
        <v>74</v>
      </c>
      <c r="AA858" t="s">
        <v>6384</v>
      </c>
      <c r="AB858" t="s">
        <v>6385</v>
      </c>
      <c r="AC858" t="s">
        <v>74</v>
      </c>
      <c r="AD858" t="s">
        <v>74</v>
      </c>
      <c r="AE858" t="s">
        <v>74</v>
      </c>
      <c r="AF858" t="s">
        <v>74</v>
      </c>
      <c r="AG858" t="s">
        <v>74</v>
      </c>
      <c r="AH858" t="s">
        <v>74</v>
      </c>
      <c r="AI858" t="s">
        <v>74</v>
      </c>
      <c r="AJ858" t="s">
        <v>74</v>
      </c>
      <c r="AK858" t="s">
        <v>74</v>
      </c>
      <c r="AL858" t="s">
        <v>74</v>
      </c>
      <c r="AM858" t="s">
        <v>74</v>
      </c>
      <c r="AN858" t="s">
        <v>74</v>
      </c>
      <c r="AO858" t="s">
        <v>6242</v>
      </c>
      <c r="AP858" t="s">
        <v>6243</v>
      </c>
      <c r="AQ858" t="s">
        <v>74</v>
      </c>
      <c r="AR858" t="s">
        <v>74</v>
      </c>
      <c r="AS858" t="s">
        <v>74</v>
      </c>
      <c r="AT858" t="s">
        <v>175</v>
      </c>
      <c r="AU858">
        <v>2018</v>
      </c>
      <c r="AV858">
        <v>94</v>
      </c>
      <c r="AW858">
        <v>4</v>
      </c>
      <c r="AX858" t="s">
        <v>74</v>
      </c>
      <c r="AY858" t="s">
        <v>74</v>
      </c>
      <c r="AZ858" t="s">
        <v>74</v>
      </c>
      <c r="BA858" t="s">
        <v>74</v>
      </c>
      <c r="BB858">
        <v>1313</v>
      </c>
      <c r="BC858">
        <v>1332</v>
      </c>
      <c r="BD858" t="s">
        <v>74</v>
      </c>
      <c r="BE858" t="s">
        <v>6386</v>
      </c>
      <c r="BF858" t="str">
        <f>HYPERLINK("http://dx.doi.org/10.5343/bms.2017.1054","http://dx.doi.org/10.5343/bms.2017.1054")</f>
        <v>http://dx.doi.org/10.5343/bms.2017.1054</v>
      </c>
      <c r="BG858" t="s">
        <v>74</v>
      </c>
      <c r="BH858" t="s">
        <v>74</v>
      </c>
      <c r="BI858" t="s">
        <v>74</v>
      </c>
      <c r="BJ858" t="s">
        <v>74</v>
      </c>
      <c r="BK858" t="s">
        <v>74</v>
      </c>
      <c r="BL858" t="s">
        <v>74</v>
      </c>
      <c r="BM858" t="s">
        <v>74</v>
      </c>
      <c r="BN858" t="s">
        <v>74</v>
      </c>
      <c r="BO858" t="s">
        <v>74</v>
      </c>
      <c r="BP858" t="s">
        <v>74</v>
      </c>
      <c r="BQ858" t="s">
        <v>74</v>
      </c>
      <c r="BR858" t="s">
        <v>74</v>
      </c>
      <c r="BS858" t="s">
        <v>6387</v>
      </c>
      <c r="BT858" t="str">
        <f>HYPERLINK("https%3A%2F%2Fwww.webofscience.com%2Fwos%2Fwoscc%2Ffull-record%2FWOS:000456290000004","View Full Record in Web of Science")</f>
        <v>View Full Record in Web of Science</v>
      </c>
    </row>
    <row r="859" spans="1:72" x14ac:dyDescent="0.4">
      <c r="A859" t="s">
        <v>72</v>
      </c>
      <c r="B859" t="s">
        <v>7989</v>
      </c>
      <c r="C859" t="s">
        <v>74</v>
      </c>
      <c r="D859" t="s">
        <v>74</v>
      </c>
      <c r="E859" t="s">
        <v>74</v>
      </c>
      <c r="F859" t="s">
        <v>7989</v>
      </c>
      <c r="G859" t="s">
        <v>74</v>
      </c>
      <c r="H859" t="s">
        <v>74</v>
      </c>
      <c r="I859" t="s">
        <v>7990</v>
      </c>
      <c r="J859" t="s">
        <v>6226</v>
      </c>
      <c r="K859" t="s">
        <v>74</v>
      </c>
      <c r="L859" t="s">
        <v>74</v>
      </c>
      <c r="M859" t="s">
        <v>74</v>
      </c>
      <c r="N859" t="s">
        <v>74</v>
      </c>
      <c r="O859" t="s">
        <v>74</v>
      </c>
      <c r="P859" t="s">
        <v>74</v>
      </c>
      <c r="Q859" t="s">
        <v>74</v>
      </c>
      <c r="R859" t="s">
        <v>74</v>
      </c>
      <c r="S859" t="s">
        <v>74</v>
      </c>
      <c r="T859" t="s">
        <v>74</v>
      </c>
      <c r="U859" t="s">
        <v>74</v>
      </c>
      <c r="V859" s="3" t="s">
        <v>7991</v>
      </c>
      <c r="W859" t="s">
        <v>74</v>
      </c>
      <c r="X859" t="s">
        <v>74</v>
      </c>
      <c r="Y859" t="s">
        <v>74</v>
      </c>
      <c r="Z859" t="s">
        <v>74</v>
      </c>
      <c r="AA859" t="s">
        <v>74</v>
      </c>
      <c r="AB859" t="s">
        <v>74</v>
      </c>
      <c r="AC859" t="s">
        <v>74</v>
      </c>
      <c r="AD859" t="s">
        <v>74</v>
      </c>
      <c r="AE859" t="s">
        <v>74</v>
      </c>
      <c r="AF859" t="s">
        <v>74</v>
      </c>
      <c r="AG859" t="s">
        <v>74</v>
      </c>
      <c r="AH859" t="s">
        <v>74</v>
      </c>
      <c r="AI859" t="s">
        <v>74</v>
      </c>
      <c r="AJ859" t="s">
        <v>74</v>
      </c>
      <c r="AK859" t="s">
        <v>74</v>
      </c>
      <c r="AL859" t="s">
        <v>74</v>
      </c>
      <c r="AM859" t="s">
        <v>74</v>
      </c>
      <c r="AN859" t="s">
        <v>74</v>
      </c>
      <c r="AO859" t="s">
        <v>6228</v>
      </c>
      <c r="AP859" t="s">
        <v>6229</v>
      </c>
      <c r="AQ859" t="s">
        <v>74</v>
      </c>
      <c r="AR859" t="s">
        <v>74</v>
      </c>
      <c r="AS859" t="s">
        <v>74</v>
      </c>
      <c r="AT859" t="s">
        <v>255</v>
      </c>
      <c r="AU859">
        <v>2004</v>
      </c>
      <c r="AV859">
        <v>43</v>
      </c>
      <c r="AW859">
        <v>1</v>
      </c>
      <c r="AX859" t="s">
        <v>74</v>
      </c>
      <c r="AY859" t="s">
        <v>74</v>
      </c>
      <c r="AZ859" t="s">
        <v>74</v>
      </c>
      <c r="BA859" t="s">
        <v>74</v>
      </c>
      <c r="BB859">
        <v>93</v>
      </c>
      <c r="BC859">
        <v>111</v>
      </c>
      <c r="BD859" t="s">
        <v>74</v>
      </c>
      <c r="BE859" t="s">
        <v>74</v>
      </c>
      <c r="BF859" t="s">
        <v>74</v>
      </c>
      <c r="BG859" t="s">
        <v>74</v>
      </c>
      <c r="BH859" t="s">
        <v>74</v>
      </c>
      <c r="BI859" t="s">
        <v>74</v>
      </c>
      <c r="BJ859" t="s">
        <v>74</v>
      </c>
      <c r="BK859" t="s">
        <v>74</v>
      </c>
      <c r="BL859" t="s">
        <v>74</v>
      </c>
      <c r="BM859" t="s">
        <v>74</v>
      </c>
      <c r="BN859" t="s">
        <v>74</v>
      </c>
      <c r="BO859" t="s">
        <v>74</v>
      </c>
      <c r="BP859" t="s">
        <v>74</v>
      </c>
      <c r="BQ859" t="s">
        <v>74</v>
      </c>
      <c r="BR859" t="s">
        <v>74</v>
      </c>
      <c r="BS859" t="s">
        <v>7992</v>
      </c>
      <c r="BT859" t="str">
        <f>HYPERLINK("https%3A%2F%2Fwww.webofscience.com%2Fwos%2Fwoscc%2Ffull-record%2FWOS:000189267400008","View Full Record in Web of Science")</f>
        <v>View Full Record in Web of Science</v>
      </c>
    </row>
    <row r="860" spans="1:72" x14ac:dyDescent="0.4">
      <c r="A860" t="s">
        <v>72</v>
      </c>
      <c r="B860" t="s">
        <v>7792</v>
      </c>
      <c r="C860" t="s">
        <v>74</v>
      </c>
      <c r="D860" t="s">
        <v>74</v>
      </c>
      <c r="E860" t="s">
        <v>74</v>
      </c>
      <c r="F860" t="s">
        <v>7792</v>
      </c>
      <c r="G860" t="s">
        <v>74</v>
      </c>
      <c r="H860" t="s">
        <v>74</v>
      </c>
      <c r="I860" t="s">
        <v>7793</v>
      </c>
      <c r="J860" t="s">
        <v>7794</v>
      </c>
      <c r="K860" t="s">
        <v>74</v>
      </c>
      <c r="L860" t="s">
        <v>74</v>
      </c>
      <c r="M860" t="s">
        <v>74</v>
      </c>
      <c r="N860" t="s">
        <v>74</v>
      </c>
      <c r="O860" t="s">
        <v>7795</v>
      </c>
      <c r="P860" t="s">
        <v>7796</v>
      </c>
      <c r="Q860" t="s">
        <v>7797</v>
      </c>
      <c r="R860" t="s">
        <v>74</v>
      </c>
      <c r="S860" t="s">
        <v>7798</v>
      </c>
      <c r="T860" t="s">
        <v>74</v>
      </c>
      <c r="U860" t="s">
        <v>74</v>
      </c>
      <c r="V860" s="3" t="s">
        <v>7799</v>
      </c>
      <c r="W860" t="s">
        <v>74</v>
      </c>
      <c r="X860" t="s">
        <v>74</v>
      </c>
      <c r="Y860" t="s">
        <v>74</v>
      </c>
      <c r="Z860" t="s">
        <v>74</v>
      </c>
      <c r="AA860" t="s">
        <v>74</v>
      </c>
      <c r="AB860" t="s">
        <v>74</v>
      </c>
      <c r="AC860" t="s">
        <v>74</v>
      </c>
      <c r="AD860" t="s">
        <v>74</v>
      </c>
      <c r="AE860" t="s">
        <v>74</v>
      </c>
      <c r="AF860" t="s">
        <v>74</v>
      </c>
      <c r="AG860" t="s">
        <v>74</v>
      </c>
      <c r="AH860" t="s">
        <v>74</v>
      </c>
      <c r="AI860" t="s">
        <v>74</v>
      </c>
      <c r="AJ860" t="s">
        <v>74</v>
      </c>
      <c r="AK860" t="s">
        <v>74</v>
      </c>
      <c r="AL860" t="s">
        <v>74</v>
      </c>
      <c r="AM860" t="s">
        <v>74</v>
      </c>
      <c r="AN860" t="s">
        <v>74</v>
      </c>
      <c r="AO860" t="s">
        <v>7800</v>
      </c>
      <c r="AP860" t="s">
        <v>7801</v>
      </c>
      <c r="AQ860" t="s">
        <v>74</v>
      </c>
      <c r="AR860" t="s">
        <v>74</v>
      </c>
      <c r="AS860" t="s">
        <v>74</v>
      </c>
      <c r="AT860" t="s">
        <v>123</v>
      </c>
      <c r="AU860">
        <v>2004</v>
      </c>
      <c r="AV860">
        <v>45</v>
      </c>
      <c r="AW860">
        <v>1</v>
      </c>
      <c r="AX860" t="s">
        <v>74</v>
      </c>
      <c r="AY860" t="s">
        <v>74</v>
      </c>
      <c r="AZ860" t="s">
        <v>74</v>
      </c>
      <c r="BA860" t="s">
        <v>74</v>
      </c>
      <c r="BB860">
        <v>1</v>
      </c>
      <c r="BC860">
        <v>14</v>
      </c>
      <c r="BD860" t="s">
        <v>74</v>
      </c>
      <c r="BE860" t="s">
        <v>7802</v>
      </c>
      <c r="BF860" t="str">
        <f>HYPERLINK("http://dx.doi.org/10.1080/07924259.2004.9652569","http://dx.doi.org/10.1080/07924259.2004.9652569")</f>
        <v>http://dx.doi.org/10.1080/07924259.2004.9652569</v>
      </c>
      <c r="BG860" t="s">
        <v>74</v>
      </c>
      <c r="BH860" t="s">
        <v>74</v>
      </c>
      <c r="BI860" t="s">
        <v>74</v>
      </c>
      <c r="BJ860" t="s">
        <v>74</v>
      </c>
      <c r="BK860" t="s">
        <v>74</v>
      </c>
      <c r="BL860" t="s">
        <v>74</v>
      </c>
      <c r="BM860" t="s">
        <v>74</v>
      </c>
      <c r="BN860" t="s">
        <v>74</v>
      </c>
      <c r="BO860" t="s">
        <v>74</v>
      </c>
      <c r="BP860" t="s">
        <v>74</v>
      </c>
      <c r="BQ860" t="s">
        <v>74</v>
      </c>
      <c r="BR860" t="s">
        <v>74</v>
      </c>
      <c r="BS860" t="s">
        <v>7803</v>
      </c>
      <c r="BT860" t="str">
        <f>HYPERLINK("https%3A%2F%2Fwww.webofscience.com%2Fwos%2Fwoscc%2Ffull-record%2FWOS:000221012500001","View Full Record in Web of Science")</f>
        <v>View Full Record in Web of Science</v>
      </c>
    </row>
    <row r="861" spans="1:72" x14ac:dyDescent="0.4">
      <c r="A861" t="s">
        <v>72</v>
      </c>
      <c r="B861" t="s">
        <v>6254</v>
      </c>
      <c r="C861" t="s">
        <v>74</v>
      </c>
      <c r="D861" t="s">
        <v>74</v>
      </c>
      <c r="E861" t="s">
        <v>74</v>
      </c>
      <c r="F861" t="s">
        <v>6254</v>
      </c>
      <c r="G861" t="s">
        <v>74</v>
      </c>
      <c r="H861" t="s">
        <v>74</v>
      </c>
      <c r="I861" t="s">
        <v>6255</v>
      </c>
      <c r="J861" t="s">
        <v>431</v>
      </c>
      <c r="K861" t="s">
        <v>74</v>
      </c>
      <c r="L861" t="s">
        <v>74</v>
      </c>
      <c r="M861" t="s">
        <v>74</v>
      </c>
      <c r="N861" t="s">
        <v>74</v>
      </c>
      <c r="O861" t="s">
        <v>74</v>
      </c>
      <c r="P861" t="s">
        <v>74</v>
      </c>
      <c r="Q861" t="s">
        <v>74</v>
      </c>
      <c r="R861" t="s">
        <v>74</v>
      </c>
      <c r="S861" t="s">
        <v>74</v>
      </c>
      <c r="T861" t="s">
        <v>74</v>
      </c>
      <c r="U861" t="s">
        <v>74</v>
      </c>
      <c r="V861" s="3" t="s">
        <v>6256</v>
      </c>
      <c r="W861" t="s">
        <v>74</v>
      </c>
      <c r="X861" t="s">
        <v>74</v>
      </c>
      <c r="Y861" t="s">
        <v>74</v>
      </c>
      <c r="Z861" t="s">
        <v>74</v>
      </c>
      <c r="AA861" t="s">
        <v>74</v>
      </c>
      <c r="AB861" t="s">
        <v>74</v>
      </c>
      <c r="AC861" t="s">
        <v>74</v>
      </c>
      <c r="AD861" t="s">
        <v>74</v>
      </c>
      <c r="AE861" t="s">
        <v>74</v>
      </c>
      <c r="AF861" t="s">
        <v>74</v>
      </c>
      <c r="AG861" t="s">
        <v>74</v>
      </c>
      <c r="AH861" t="s">
        <v>74</v>
      </c>
      <c r="AI861" t="s">
        <v>74</v>
      </c>
      <c r="AJ861" t="s">
        <v>74</v>
      </c>
      <c r="AK861" t="s">
        <v>74</v>
      </c>
      <c r="AL861" t="s">
        <v>74</v>
      </c>
      <c r="AM861" t="s">
        <v>74</v>
      </c>
      <c r="AN861" t="s">
        <v>74</v>
      </c>
      <c r="AO861" t="s">
        <v>74</v>
      </c>
      <c r="AP861" t="s">
        <v>435</v>
      </c>
      <c r="AQ861" t="s">
        <v>74</v>
      </c>
      <c r="AR861" t="s">
        <v>74</v>
      </c>
      <c r="AS861" t="s">
        <v>74</v>
      </c>
      <c r="AT861" t="s">
        <v>74</v>
      </c>
      <c r="AU861">
        <v>1967</v>
      </c>
      <c r="AV861">
        <v>84</v>
      </c>
      <c r="AW861">
        <v>4</v>
      </c>
      <c r="AX861" t="s">
        <v>74</v>
      </c>
      <c r="AY861" t="s">
        <v>74</v>
      </c>
      <c r="AZ861" t="s">
        <v>74</v>
      </c>
      <c r="BA861" t="s">
        <v>74</v>
      </c>
      <c r="BB861">
        <v>503</v>
      </c>
      <c r="BC861" t="s">
        <v>726</v>
      </c>
      <c r="BD861" t="s">
        <v>74</v>
      </c>
      <c r="BE861" t="s">
        <v>6257</v>
      </c>
      <c r="BF861" t="str">
        <f>HYPERLINK("http://dx.doi.org/10.2307/4083332","http://dx.doi.org/10.2307/4083332")</f>
        <v>http://dx.doi.org/10.2307/4083332</v>
      </c>
      <c r="BG861" t="s">
        <v>74</v>
      </c>
      <c r="BH861" t="s">
        <v>74</v>
      </c>
      <c r="BI861" t="s">
        <v>74</v>
      </c>
      <c r="BJ861" t="s">
        <v>74</v>
      </c>
      <c r="BK861" t="s">
        <v>74</v>
      </c>
      <c r="BL861" t="s">
        <v>74</v>
      </c>
      <c r="BM861" t="s">
        <v>74</v>
      </c>
      <c r="BN861" t="s">
        <v>74</v>
      </c>
      <c r="BO861" t="s">
        <v>74</v>
      </c>
      <c r="BP861" t="s">
        <v>74</v>
      </c>
      <c r="BQ861" t="s">
        <v>74</v>
      </c>
      <c r="BR861" t="s">
        <v>74</v>
      </c>
      <c r="BS861" t="s">
        <v>6258</v>
      </c>
      <c r="BT861" t="str">
        <f>HYPERLINK("https%3A%2F%2Fwww.webofscience.com%2Fwos%2Fwoscc%2Ffull-record%2FWOS:A1967A201400003","View Full Record in Web of Science")</f>
        <v>View Full Record in Web of Science</v>
      </c>
    </row>
    <row r="862" spans="1:72" x14ac:dyDescent="0.4">
      <c r="A862" t="s">
        <v>72</v>
      </c>
      <c r="B862" t="s">
        <v>7243</v>
      </c>
      <c r="C862" t="s">
        <v>74</v>
      </c>
      <c r="D862" t="s">
        <v>74</v>
      </c>
      <c r="E862" t="s">
        <v>74</v>
      </c>
      <c r="F862" t="s">
        <v>7244</v>
      </c>
      <c r="G862" t="s">
        <v>74</v>
      </c>
      <c r="H862" t="s">
        <v>74</v>
      </c>
      <c r="I862" t="s">
        <v>7245</v>
      </c>
      <c r="J862" t="s">
        <v>420</v>
      </c>
      <c r="K862" t="s">
        <v>74</v>
      </c>
      <c r="L862" t="s">
        <v>74</v>
      </c>
      <c r="M862" t="s">
        <v>74</v>
      </c>
      <c r="N862" t="s">
        <v>74</v>
      </c>
      <c r="O862" t="s">
        <v>74</v>
      </c>
      <c r="P862" t="s">
        <v>74</v>
      </c>
      <c r="Q862" t="s">
        <v>74</v>
      </c>
      <c r="R862" t="s">
        <v>74</v>
      </c>
      <c r="S862" t="s">
        <v>74</v>
      </c>
      <c r="T862" t="s">
        <v>74</v>
      </c>
      <c r="U862" t="s">
        <v>74</v>
      </c>
      <c r="V862" s="3" t="s">
        <v>7246</v>
      </c>
      <c r="W862" t="s">
        <v>74</v>
      </c>
      <c r="X862" t="s">
        <v>74</v>
      </c>
      <c r="Y862" t="s">
        <v>74</v>
      </c>
      <c r="Z862" t="s">
        <v>74</v>
      </c>
      <c r="AA862" t="s">
        <v>3597</v>
      </c>
      <c r="AB862" t="s">
        <v>74</v>
      </c>
      <c r="AC862" t="s">
        <v>74</v>
      </c>
      <c r="AD862" t="s">
        <v>74</v>
      </c>
      <c r="AE862" t="s">
        <v>74</v>
      </c>
      <c r="AF862" t="s">
        <v>74</v>
      </c>
      <c r="AG862" t="s">
        <v>74</v>
      </c>
      <c r="AH862" t="s">
        <v>74</v>
      </c>
      <c r="AI862" t="s">
        <v>74</v>
      </c>
      <c r="AJ862" t="s">
        <v>74</v>
      </c>
      <c r="AK862" t="s">
        <v>74</v>
      </c>
      <c r="AL862" t="s">
        <v>74</v>
      </c>
      <c r="AM862" t="s">
        <v>74</v>
      </c>
      <c r="AN862" t="s">
        <v>74</v>
      </c>
      <c r="AO862" t="s">
        <v>424</v>
      </c>
      <c r="AP862" t="s">
        <v>74</v>
      </c>
      <c r="AQ862" t="s">
        <v>74</v>
      </c>
      <c r="AR862" t="s">
        <v>74</v>
      </c>
      <c r="AS862" t="s">
        <v>74</v>
      </c>
      <c r="AT862" t="s">
        <v>4913</v>
      </c>
      <c r="AU862">
        <v>2018</v>
      </c>
      <c r="AV862">
        <v>18</v>
      </c>
      <c r="AW862" t="s">
        <v>74</v>
      </c>
      <c r="AX862" t="s">
        <v>74</v>
      </c>
      <c r="AY862" t="s">
        <v>74</v>
      </c>
      <c r="AZ862" t="s">
        <v>74</v>
      </c>
      <c r="BA862" t="s">
        <v>74</v>
      </c>
      <c r="BB862" t="s">
        <v>74</v>
      </c>
      <c r="BC862" t="s">
        <v>74</v>
      </c>
      <c r="BD862">
        <v>19</v>
      </c>
      <c r="BE862" t="s">
        <v>7247</v>
      </c>
      <c r="BF862" t="str">
        <f>HYPERLINK("http://dx.doi.org/10.1186/s12862-018-1126-0","http://dx.doi.org/10.1186/s12862-018-1126-0")</f>
        <v>http://dx.doi.org/10.1186/s12862-018-1126-0</v>
      </c>
      <c r="BG862" t="s">
        <v>74</v>
      </c>
      <c r="BH862" t="s">
        <v>74</v>
      </c>
      <c r="BI862" t="s">
        <v>74</v>
      </c>
      <c r="BJ862" t="s">
        <v>74</v>
      </c>
      <c r="BK862" t="s">
        <v>74</v>
      </c>
      <c r="BL862" t="s">
        <v>74</v>
      </c>
      <c r="BM862" t="s">
        <v>74</v>
      </c>
      <c r="BN862">
        <v>29433448</v>
      </c>
      <c r="BO862" t="s">
        <v>74</v>
      </c>
      <c r="BP862" t="s">
        <v>74</v>
      </c>
      <c r="BQ862" t="s">
        <v>74</v>
      </c>
      <c r="BR862" t="s">
        <v>74</v>
      </c>
      <c r="BS862" t="s">
        <v>7248</v>
      </c>
      <c r="BT862" t="str">
        <f>HYPERLINK("https%3A%2F%2Fwww.webofscience.com%2Fwos%2Fwoscc%2Ffull-record%2FWOS:000425179400001","View Full Record in Web of Science")</f>
        <v>View Full Record in Web of Science</v>
      </c>
    </row>
    <row r="863" spans="1:72" x14ac:dyDescent="0.4">
      <c r="A863" t="s">
        <v>72</v>
      </c>
      <c r="B863" t="s">
        <v>5692</v>
      </c>
      <c r="C863" t="s">
        <v>74</v>
      </c>
      <c r="D863" t="s">
        <v>74</v>
      </c>
      <c r="E863" t="s">
        <v>74</v>
      </c>
      <c r="F863" t="s">
        <v>5693</v>
      </c>
      <c r="G863" t="s">
        <v>74</v>
      </c>
      <c r="H863" t="s">
        <v>74</v>
      </c>
      <c r="I863" t="s">
        <v>5694</v>
      </c>
      <c r="J863" t="s">
        <v>691</v>
      </c>
      <c r="K863" t="s">
        <v>74</v>
      </c>
      <c r="L863" t="s">
        <v>74</v>
      </c>
      <c r="M863" t="s">
        <v>74</v>
      </c>
      <c r="N863" t="s">
        <v>74</v>
      </c>
      <c r="O863" t="s">
        <v>74</v>
      </c>
      <c r="P863" t="s">
        <v>74</v>
      </c>
      <c r="Q863" t="s">
        <v>74</v>
      </c>
      <c r="R863" t="s">
        <v>74</v>
      </c>
      <c r="S863" t="s">
        <v>74</v>
      </c>
      <c r="T863" t="s">
        <v>74</v>
      </c>
      <c r="U863" t="s">
        <v>74</v>
      </c>
      <c r="V863" s="3" t="s">
        <v>5695</v>
      </c>
      <c r="W863" t="s">
        <v>74</v>
      </c>
      <c r="X863" t="s">
        <v>74</v>
      </c>
      <c r="Y863" t="s">
        <v>74</v>
      </c>
      <c r="Z863" t="s">
        <v>74</v>
      </c>
      <c r="AA863" t="s">
        <v>5696</v>
      </c>
      <c r="AB863" t="s">
        <v>5697</v>
      </c>
      <c r="AC863" t="s">
        <v>74</v>
      </c>
      <c r="AD863" t="s">
        <v>74</v>
      </c>
      <c r="AE863" t="s">
        <v>74</v>
      </c>
      <c r="AF863" t="s">
        <v>74</v>
      </c>
      <c r="AG863" t="s">
        <v>74</v>
      </c>
      <c r="AH863" t="s">
        <v>74</v>
      </c>
      <c r="AI863" t="s">
        <v>74</v>
      </c>
      <c r="AJ863" t="s">
        <v>74</v>
      </c>
      <c r="AK863" t="s">
        <v>74</v>
      </c>
      <c r="AL863" t="s">
        <v>74</v>
      </c>
      <c r="AM863" t="s">
        <v>74</v>
      </c>
      <c r="AN863" t="s">
        <v>74</v>
      </c>
      <c r="AO863" t="s">
        <v>695</v>
      </c>
      <c r="AP863" t="s">
        <v>74</v>
      </c>
      <c r="AQ863" t="s">
        <v>74</v>
      </c>
      <c r="AR863" t="s">
        <v>74</v>
      </c>
      <c r="AS863" t="s">
        <v>74</v>
      </c>
      <c r="AT863" t="s">
        <v>1090</v>
      </c>
      <c r="AU863">
        <v>2018</v>
      </c>
      <c r="AV863">
        <v>183</v>
      </c>
      <c r="AW863" t="s">
        <v>74</v>
      </c>
      <c r="AX863" t="s">
        <v>74</v>
      </c>
      <c r="AY863" t="s">
        <v>74</v>
      </c>
      <c r="AZ863" t="s">
        <v>74</v>
      </c>
      <c r="BA863" t="s">
        <v>74</v>
      </c>
      <c r="BB863">
        <v>33</v>
      </c>
      <c r="BC863">
        <v>38</v>
      </c>
      <c r="BD863" t="s">
        <v>74</v>
      </c>
      <c r="BE863" t="s">
        <v>5698</v>
      </c>
      <c r="BF863" t="str">
        <f>HYPERLINK("http://dx.doi.org/10.1016/j.physbeh.2017.10.016","http://dx.doi.org/10.1016/j.physbeh.2017.10.016")</f>
        <v>http://dx.doi.org/10.1016/j.physbeh.2017.10.016</v>
      </c>
      <c r="BG863" t="s">
        <v>74</v>
      </c>
      <c r="BH863" t="s">
        <v>74</v>
      </c>
      <c r="BI863" t="s">
        <v>74</v>
      </c>
      <c r="BJ863" t="s">
        <v>74</v>
      </c>
      <c r="BK863" t="s">
        <v>74</v>
      </c>
      <c r="BL863" t="s">
        <v>74</v>
      </c>
      <c r="BM863" t="s">
        <v>74</v>
      </c>
      <c r="BN863">
        <v>29056352</v>
      </c>
      <c r="BO863" t="s">
        <v>74</v>
      </c>
      <c r="BP863" t="s">
        <v>74</v>
      </c>
      <c r="BQ863" t="s">
        <v>74</v>
      </c>
      <c r="BR863" t="s">
        <v>74</v>
      </c>
      <c r="BS863" t="s">
        <v>5699</v>
      </c>
      <c r="BT863" t="str">
        <f>HYPERLINK("https%3A%2F%2Fwww.webofscience.com%2Fwos%2Fwoscc%2Ffull-record%2FWOS:000417009800005","View Full Record in Web of Science")</f>
        <v>View Full Record in Web of Science</v>
      </c>
    </row>
    <row r="864" spans="1:72" x14ac:dyDescent="0.4">
      <c r="A864" t="s">
        <v>72</v>
      </c>
      <c r="B864" t="s">
        <v>7679</v>
      </c>
      <c r="C864" t="s">
        <v>74</v>
      </c>
      <c r="D864" t="s">
        <v>74</v>
      </c>
      <c r="E864" t="s">
        <v>74</v>
      </c>
      <c r="F864" t="s">
        <v>7680</v>
      </c>
      <c r="G864" t="s">
        <v>74</v>
      </c>
      <c r="H864" t="s">
        <v>74</v>
      </c>
      <c r="I864" t="s">
        <v>7681</v>
      </c>
      <c r="J864" t="s">
        <v>610</v>
      </c>
      <c r="K864" t="s">
        <v>74</v>
      </c>
      <c r="L864" t="s">
        <v>74</v>
      </c>
      <c r="M864" t="s">
        <v>74</v>
      </c>
      <c r="N864" t="s">
        <v>74</v>
      </c>
      <c r="O864" t="s">
        <v>74</v>
      </c>
      <c r="P864" t="s">
        <v>74</v>
      </c>
      <c r="Q864" t="s">
        <v>74</v>
      </c>
      <c r="R864" t="s">
        <v>74</v>
      </c>
      <c r="S864" t="s">
        <v>74</v>
      </c>
      <c r="T864" t="s">
        <v>74</v>
      </c>
      <c r="U864" t="s">
        <v>74</v>
      </c>
      <c r="V864" s="3" t="s">
        <v>7682</v>
      </c>
      <c r="W864" t="s">
        <v>74</v>
      </c>
      <c r="X864" t="s">
        <v>74</v>
      </c>
      <c r="Y864" t="s">
        <v>74</v>
      </c>
      <c r="Z864" t="s">
        <v>74</v>
      </c>
      <c r="AA864" t="s">
        <v>74</v>
      </c>
      <c r="AB864" t="s">
        <v>7683</v>
      </c>
      <c r="AC864" t="s">
        <v>74</v>
      </c>
      <c r="AD864" t="s">
        <v>74</v>
      </c>
      <c r="AE864" t="s">
        <v>74</v>
      </c>
      <c r="AF864" t="s">
        <v>74</v>
      </c>
      <c r="AG864" t="s">
        <v>74</v>
      </c>
      <c r="AH864" t="s">
        <v>74</v>
      </c>
      <c r="AI864" t="s">
        <v>74</v>
      </c>
      <c r="AJ864" t="s">
        <v>74</v>
      </c>
      <c r="AK864" t="s">
        <v>74</v>
      </c>
      <c r="AL864" t="s">
        <v>74</v>
      </c>
      <c r="AM864" t="s">
        <v>74</v>
      </c>
      <c r="AN864" t="s">
        <v>74</v>
      </c>
      <c r="AO864" t="s">
        <v>614</v>
      </c>
      <c r="AP864" t="s">
        <v>615</v>
      </c>
      <c r="AQ864" t="s">
        <v>74</v>
      </c>
      <c r="AR864" t="s">
        <v>74</v>
      </c>
      <c r="AS864" t="s">
        <v>74</v>
      </c>
      <c r="AT864" t="s">
        <v>204</v>
      </c>
      <c r="AU864">
        <v>2010</v>
      </c>
      <c r="AV864">
        <v>116</v>
      </c>
      <c r="AW864">
        <v>7</v>
      </c>
      <c r="AX864" t="s">
        <v>74</v>
      </c>
      <c r="AY864" t="s">
        <v>74</v>
      </c>
      <c r="AZ864" t="s">
        <v>74</v>
      </c>
      <c r="BA864" t="s">
        <v>74</v>
      </c>
      <c r="BB864">
        <v>608</v>
      </c>
      <c r="BC864">
        <v>618</v>
      </c>
      <c r="BD864" t="s">
        <v>74</v>
      </c>
      <c r="BE864" t="s">
        <v>7684</v>
      </c>
      <c r="BF864" t="str">
        <f>HYPERLINK("http://dx.doi.org/10.1111/j.1439-0310.2010.01777.x","http://dx.doi.org/10.1111/j.1439-0310.2010.01777.x")</f>
        <v>http://dx.doi.org/10.1111/j.1439-0310.2010.01777.x</v>
      </c>
      <c r="BG864" t="s">
        <v>74</v>
      </c>
      <c r="BH864" t="s">
        <v>74</v>
      </c>
      <c r="BI864" t="s">
        <v>74</v>
      </c>
      <c r="BJ864" t="s">
        <v>74</v>
      </c>
      <c r="BK864" t="s">
        <v>74</v>
      </c>
      <c r="BL864" t="s">
        <v>74</v>
      </c>
      <c r="BM864" t="s">
        <v>74</v>
      </c>
      <c r="BN864" t="s">
        <v>74</v>
      </c>
      <c r="BO864" t="s">
        <v>74</v>
      </c>
      <c r="BP864" t="s">
        <v>74</v>
      </c>
      <c r="BQ864" t="s">
        <v>74</v>
      </c>
      <c r="BR864" t="s">
        <v>74</v>
      </c>
      <c r="BS864" t="s">
        <v>7685</v>
      </c>
      <c r="BT864" t="str">
        <f>HYPERLINK("https%3A%2F%2Fwww.webofscience.com%2Fwos%2Fwoscc%2Ffull-record%2FWOS:000278520600004","View Full Record in Web of Science")</f>
        <v>View Full Record in Web of Science</v>
      </c>
    </row>
    <row r="865" spans="1:72" x14ac:dyDescent="0.4">
      <c r="A865" t="s">
        <v>72</v>
      </c>
      <c r="B865" t="s">
        <v>5948</v>
      </c>
      <c r="C865" t="s">
        <v>74</v>
      </c>
      <c r="D865" t="s">
        <v>74</v>
      </c>
      <c r="E865" t="s">
        <v>74</v>
      </c>
      <c r="F865" t="s">
        <v>5949</v>
      </c>
      <c r="G865" t="s">
        <v>74</v>
      </c>
      <c r="H865" t="s">
        <v>74</v>
      </c>
      <c r="I865" t="s">
        <v>5950</v>
      </c>
      <c r="J865" t="s">
        <v>5951</v>
      </c>
      <c r="K865" t="s">
        <v>74</v>
      </c>
      <c r="L865" t="s">
        <v>74</v>
      </c>
      <c r="M865" t="s">
        <v>74</v>
      </c>
      <c r="N865" t="s">
        <v>74</v>
      </c>
      <c r="O865" t="s">
        <v>74</v>
      </c>
      <c r="P865" t="s">
        <v>74</v>
      </c>
      <c r="Q865" t="s">
        <v>74</v>
      </c>
      <c r="R865" t="s">
        <v>74</v>
      </c>
      <c r="S865" t="s">
        <v>74</v>
      </c>
      <c r="T865" t="s">
        <v>74</v>
      </c>
      <c r="U865" t="s">
        <v>74</v>
      </c>
      <c r="V865" s="3" t="s">
        <v>5952</v>
      </c>
      <c r="W865" t="s">
        <v>74</v>
      </c>
      <c r="X865" t="s">
        <v>74</v>
      </c>
      <c r="Y865" t="s">
        <v>74</v>
      </c>
      <c r="Z865" t="s">
        <v>74</v>
      </c>
      <c r="AA865" t="s">
        <v>5953</v>
      </c>
      <c r="AB865" t="s">
        <v>5954</v>
      </c>
      <c r="AC865" t="s">
        <v>74</v>
      </c>
      <c r="AD865" t="s">
        <v>74</v>
      </c>
      <c r="AE865" t="s">
        <v>74</v>
      </c>
      <c r="AF865" t="s">
        <v>74</v>
      </c>
      <c r="AG865" t="s">
        <v>74</v>
      </c>
      <c r="AH865" t="s">
        <v>74</v>
      </c>
      <c r="AI865" t="s">
        <v>74</v>
      </c>
      <c r="AJ865" t="s">
        <v>74</v>
      </c>
      <c r="AK865" t="s">
        <v>74</v>
      </c>
      <c r="AL865" t="s">
        <v>74</v>
      </c>
      <c r="AM865" t="s">
        <v>74</v>
      </c>
      <c r="AN865" t="s">
        <v>74</v>
      </c>
      <c r="AO865" t="s">
        <v>5955</v>
      </c>
      <c r="AP865" t="s">
        <v>74</v>
      </c>
      <c r="AQ865" t="s">
        <v>74</v>
      </c>
      <c r="AR865" t="s">
        <v>74</v>
      </c>
      <c r="AS865" t="s">
        <v>74</v>
      </c>
      <c r="AT865" t="s">
        <v>175</v>
      </c>
      <c r="AU865">
        <v>2009</v>
      </c>
      <c r="AV865">
        <v>30</v>
      </c>
      <c r="AW865" t="s">
        <v>74</v>
      </c>
      <c r="AX865" t="s">
        <v>74</v>
      </c>
      <c r="AY865" t="s">
        <v>74</v>
      </c>
      <c r="AZ865" t="s">
        <v>74</v>
      </c>
      <c r="BA865" t="s">
        <v>74</v>
      </c>
      <c r="BB865">
        <v>175</v>
      </c>
      <c r="BC865">
        <v>180</v>
      </c>
      <c r="BD865" t="s">
        <v>74</v>
      </c>
      <c r="BE865" t="s">
        <v>5956</v>
      </c>
      <c r="BF865" t="str">
        <f>HYPERLINK("http://dx.doi.org/10.1111/j.1439-0485.2009.00309.x","http://dx.doi.org/10.1111/j.1439-0485.2009.00309.x")</f>
        <v>http://dx.doi.org/10.1111/j.1439-0485.2009.00309.x</v>
      </c>
      <c r="BG865" t="s">
        <v>74</v>
      </c>
      <c r="BH865" t="s">
        <v>74</v>
      </c>
      <c r="BI865" t="s">
        <v>74</v>
      </c>
      <c r="BJ865" t="s">
        <v>74</v>
      </c>
      <c r="BK865" t="s">
        <v>74</v>
      </c>
      <c r="BL865" t="s">
        <v>74</v>
      </c>
      <c r="BM865" t="s">
        <v>74</v>
      </c>
      <c r="BN865" t="s">
        <v>74</v>
      </c>
      <c r="BO865" t="s">
        <v>74</v>
      </c>
      <c r="BP865" t="s">
        <v>74</v>
      </c>
      <c r="BQ865" t="s">
        <v>74</v>
      </c>
      <c r="BR865" t="s">
        <v>74</v>
      </c>
      <c r="BS865" t="s">
        <v>5957</v>
      </c>
      <c r="BT865" t="str">
        <f>HYPERLINK("https%3A%2F%2Fwww.webofscience.com%2Fwos%2Fwoscc%2Ffull-record%2FWOS:000270237100018","View Full Record in Web of Science")</f>
        <v>View Full Record in Web of Science</v>
      </c>
    </row>
    <row r="866" spans="1:72" x14ac:dyDescent="0.4">
      <c r="A866" t="s">
        <v>72</v>
      </c>
      <c r="B866" t="s">
        <v>3372</v>
      </c>
      <c r="C866" t="s">
        <v>74</v>
      </c>
      <c r="D866" t="s">
        <v>74</v>
      </c>
      <c r="E866" t="s">
        <v>74</v>
      </c>
      <c r="F866" t="s">
        <v>3372</v>
      </c>
      <c r="G866" t="s">
        <v>74</v>
      </c>
      <c r="H866" t="s">
        <v>74</v>
      </c>
      <c r="I866" t="s">
        <v>3373</v>
      </c>
      <c r="J866" t="s">
        <v>3374</v>
      </c>
      <c r="K866" t="s">
        <v>74</v>
      </c>
      <c r="L866" t="s">
        <v>74</v>
      </c>
      <c r="M866" t="s">
        <v>74</v>
      </c>
      <c r="N866" t="s">
        <v>74</v>
      </c>
      <c r="O866" t="s">
        <v>74</v>
      </c>
      <c r="P866" t="s">
        <v>74</v>
      </c>
      <c r="Q866" t="s">
        <v>74</v>
      </c>
      <c r="R866" t="s">
        <v>74</v>
      </c>
      <c r="S866" t="s">
        <v>74</v>
      </c>
      <c r="T866" t="s">
        <v>74</v>
      </c>
      <c r="U866" t="s">
        <v>74</v>
      </c>
      <c r="V866" s="3" t="s">
        <v>3375</v>
      </c>
      <c r="W866" t="s">
        <v>74</v>
      </c>
      <c r="X866" t="s">
        <v>74</v>
      </c>
      <c r="Y866" t="s">
        <v>74</v>
      </c>
      <c r="Z866" t="s">
        <v>74</v>
      </c>
      <c r="AA866" t="s">
        <v>3376</v>
      </c>
      <c r="AB866" t="s">
        <v>3377</v>
      </c>
      <c r="AC866" t="s">
        <v>74</v>
      </c>
      <c r="AD866" t="s">
        <v>74</v>
      </c>
      <c r="AE866" t="s">
        <v>74</v>
      </c>
      <c r="AF866" t="s">
        <v>74</v>
      </c>
      <c r="AG866" t="s">
        <v>74</v>
      </c>
      <c r="AH866" t="s">
        <v>74</v>
      </c>
      <c r="AI866" t="s">
        <v>74</v>
      </c>
      <c r="AJ866" t="s">
        <v>74</v>
      </c>
      <c r="AK866" t="s">
        <v>74</v>
      </c>
      <c r="AL866" t="s">
        <v>74</v>
      </c>
      <c r="AM866" t="s">
        <v>74</v>
      </c>
      <c r="AN866" t="s">
        <v>74</v>
      </c>
      <c r="AO866" t="s">
        <v>3378</v>
      </c>
      <c r="AP866" t="s">
        <v>3379</v>
      </c>
      <c r="AQ866" t="s">
        <v>74</v>
      </c>
      <c r="AR866" t="s">
        <v>74</v>
      </c>
      <c r="AS866" t="s">
        <v>74</v>
      </c>
      <c r="AT866" t="s">
        <v>3380</v>
      </c>
      <c r="AU866">
        <v>2005</v>
      </c>
      <c r="AV866">
        <v>36</v>
      </c>
      <c r="AW866">
        <v>4</v>
      </c>
      <c r="AX866" t="s">
        <v>74</v>
      </c>
      <c r="AY866" t="s">
        <v>74</v>
      </c>
      <c r="AZ866" t="s">
        <v>74</v>
      </c>
      <c r="BA866" t="s">
        <v>74</v>
      </c>
      <c r="BB866">
        <v>571</v>
      </c>
      <c r="BC866">
        <v>584</v>
      </c>
      <c r="BD866" t="s">
        <v>74</v>
      </c>
      <c r="BE866" t="s">
        <v>3381</v>
      </c>
      <c r="BF866" t="str">
        <f>HYPERLINK("http://dx.doi.org/10.1051/apido:2005047","http://dx.doi.org/10.1051/apido:2005047")</f>
        <v>http://dx.doi.org/10.1051/apido:2005047</v>
      </c>
      <c r="BG866" t="s">
        <v>74</v>
      </c>
      <c r="BH866" t="s">
        <v>74</v>
      </c>
      <c r="BI866" t="s">
        <v>74</v>
      </c>
      <c r="BJ866" t="s">
        <v>74</v>
      </c>
      <c r="BK866" t="s">
        <v>74</v>
      </c>
      <c r="BL866" t="s">
        <v>74</v>
      </c>
      <c r="BM866" t="s">
        <v>74</v>
      </c>
      <c r="BN866" t="s">
        <v>74</v>
      </c>
      <c r="BO866" t="s">
        <v>74</v>
      </c>
      <c r="BP866" t="s">
        <v>74</v>
      </c>
      <c r="BQ866" t="s">
        <v>74</v>
      </c>
      <c r="BR866" t="s">
        <v>74</v>
      </c>
      <c r="BS866" t="s">
        <v>3382</v>
      </c>
      <c r="BT866" t="str">
        <f>HYPERLINK("https%3A%2F%2Fwww.webofscience.com%2Fwos%2Fwoscc%2Ffull-record%2FWOS:000235837400004","View Full Record in Web of Science")</f>
        <v>View Full Record in Web of Science</v>
      </c>
    </row>
    <row r="867" spans="1:72" x14ac:dyDescent="0.4">
      <c r="A867" t="s">
        <v>72</v>
      </c>
      <c r="B867" t="s">
        <v>5159</v>
      </c>
      <c r="C867" t="s">
        <v>74</v>
      </c>
      <c r="D867" t="s">
        <v>74</v>
      </c>
      <c r="E867" t="s">
        <v>74</v>
      </c>
      <c r="F867" t="s">
        <v>5159</v>
      </c>
      <c r="G867" t="s">
        <v>74</v>
      </c>
      <c r="H867" t="s">
        <v>74</v>
      </c>
      <c r="I867" t="s">
        <v>5160</v>
      </c>
      <c r="J867" t="s">
        <v>1526</v>
      </c>
      <c r="K867" t="s">
        <v>74</v>
      </c>
      <c r="L867" t="s">
        <v>74</v>
      </c>
      <c r="M867" t="s">
        <v>74</v>
      </c>
      <c r="N867" t="s">
        <v>74</v>
      </c>
      <c r="O867" t="s">
        <v>74</v>
      </c>
      <c r="P867" t="s">
        <v>74</v>
      </c>
      <c r="Q867" t="s">
        <v>74</v>
      </c>
      <c r="R867" t="s">
        <v>74</v>
      </c>
      <c r="S867" t="s">
        <v>74</v>
      </c>
      <c r="T867" t="s">
        <v>74</v>
      </c>
      <c r="U867" t="s">
        <v>74</v>
      </c>
      <c r="V867" s="3" t="s">
        <v>5161</v>
      </c>
      <c r="W867" t="s">
        <v>74</v>
      </c>
      <c r="X867" t="s">
        <v>74</v>
      </c>
      <c r="Y867" t="s">
        <v>74</v>
      </c>
      <c r="Z867" t="s">
        <v>74</v>
      </c>
      <c r="AA867" t="s">
        <v>74</v>
      </c>
      <c r="AB867" t="s">
        <v>74</v>
      </c>
      <c r="AC867" t="s">
        <v>74</v>
      </c>
      <c r="AD867" t="s">
        <v>74</v>
      </c>
      <c r="AE867" t="s">
        <v>74</v>
      </c>
      <c r="AF867" t="s">
        <v>74</v>
      </c>
      <c r="AG867" t="s">
        <v>74</v>
      </c>
      <c r="AH867" t="s">
        <v>74</v>
      </c>
      <c r="AI867" t="s">
        <v>74</v>
      </c>
      <c r="AJ867" t="s">
        <v>74</v>
      </c>
      <c r="AK867" t="s">
        <v>74</v>
      </c>
      <c r="AL867" t="s">
        <v>74</v>
      </c>
      <c r="AM867" t="s">
        <v>74</v>
      </c>
      <c r="AN867" t="s">
        <v>74</v>
      </c>
      <c r="AO867" t="s">
        <v>1528</v>
      </c>
      <c r="AP867" t="s">
        <v>74</v>
      </c>
      <c r="AQ867" t="s">
        <v>74</v>
      </c>
      <c r="AR867" t="s">
        <v>74</v>
      </c>
      <c r="AS867" t="s">
        <v>74</v>
      </c>
      <c r="AT867" t="s">
        <v>213</v>
      </c>
      <c r="AU867">
        <v>1991</v>
      </c>
      <c r="AV867">
        <v>93</v>
      </c>
      <c r="AW867">
        <v>4</v>
      </c>
      <c r="AX867" t="s">
        <v>74</v>
      </c>
      <c r="AY867" t="s">
        <v>74</v>
      </c>
      <c r="AZ867" t="s">
        <v>74</v>
      </c>
      <c r="BA867" t="s">
        <v>74</v>
      </c>
      <c r="BB867">
        <v>825</v>
      </c>
      <c r="BC867">
        <v>839</v>
      </c>
      <c r="BD867" t="s">
        <v>74</v>
      </c>
      <c r="BE867" t="s">
        <v>5162</v>
      </c>
      <c r="BF867" t="str">
        <f>HYPERLINK("http://dx.doi.org/10.2307/3247717","http://dx.doi.org/10.2307/3247717")</f>
        <v>http://dx.doi.org/10.2307/3247717</v>
      </c>
      <c r="BG867" t="s">
        <v>74</v>
      </c>
      <c r="BH867" t="s">
        <v>74</v>
      </c>
      <c r="BI867" t="s">
        <v>74</v>
      </c>
      <c r="BJ867" t="s">
        <v>74</v>
      </c>
      <c r="BK867" t="s">
        <v>74</v>
      </c>
      <c r="BL867" t="s">
        <v>74</v>
      </c>
      <c r="BM867" t="s">
        <v>74</v>
      </c>
      <c r="BN867" t="s">
        <v>74</v>
      </c>
      <c r="BO867" t="s">
        <v>74</v>
      </c>
      <c r="BP867" t="s">
        <v>74</v>
      </c>
      <c r="BQ867" t="s">
        <v>74</v>
      </c>
      <c r="BR867" t="s">
        <v>74</v>
      </c>
      <c r="BS867" t="s">
        <v>5163</v>
      </c>
      <c r="BT867" t="str">
        <f>HYPERLINK("https%3A%2F%2Fwww.webofscience.com%2Fwos%2Fwoscc%2Ffull-record%2FWOS:A1991GW79100005","View Full Record in Web of Science")</f>
        <v>View Full Record in Web of Science</v>
      </c>
    </row>
    <row r="868" spans="1:72" x14ac:dyDescent="0.4">
      <c r="A868" t="s">
        <v>72</v>
      </c>
      <c r="B868" t="s">
        <v>1452</v>
      </c>
      <c r="C868" t="s">
        <v>74</v>
      </c>
      <c r="D868" t="s">
        <v>74</v>
      </c>
      <c r="E868" t="s">
        <v>74</v>
      </c>
      <c r="F868" t="s">
        <v>1453</v>
      </c>
      <c r="G868" t="s">
        <v>74</v>
      </c>
      <c r="H868" t="s">
        <v>74</v>
      </c>
      <c r="I868" t="s">
        <v>1454</v>
      </c>
      <c r="J868" t="s">
        <v>431</v>
      </c>
      <c r="K868" t="s">
        <v>74</v>
      </c>
      <c r="L868" t="s">
        <v>74</v>
      </c>
      <c r="M868" t="s">
        <v>74</v>
      </c>
      <c r="N868" t="s">
        <v>74</v>
      </c>
      <c r="O868" t="s">
        <v>74</v>
      </c>
      <c r="P868" t="s">
        <v>74</v>
      </c>
      <c r="Q868" t="s">
        <v>74</v>
      </c>
      <c r="R868" t="s">
        <v>74</v>
      </c>
      <c r="S868" t="s">
        <v>74</v>
      </c>
      <c r="T868" t="s">
        <v>74</v>
      </c>
      <c r="U868" t="s">
        <v>74</v>
      </c>
      <c r="V868" s="3" t="s">
        <v>1455</v>
      </c>
      <c r="W868" t="s">
        <v>74</v>
      </c>
      <c r="X868" t="s">
        <v>74</v>
      </c>
      <c r="Y868" t="s">
        <v>74</v>
      </c>
      <c r="Z868" t="s">
        <v>74</v>
      </c>
      <c r="AA868" t="s">
        <v>1456</v>
      </c>
      <c r="AB868" t="s">
        <v>1457</v>
      </c>
      <c r="AC868" t="s">
        <v>74</v>
      </c>
      <c r="AD868" t="s">
        <v>74</v>
      </c>
      <c r="AE868" t="s">
        <v>74</v>
      </c>
      <c r="AF868" t="s">
        <v>74</v>
      </c>
      <c r="AG868" t="s">
        <v>74</v>
      </c>
      <c r="AH868" t="s">
        <v>74</v>
      </c>
      <c r="AI868" t="s">
        <v>74</v>
      </c>
      <c r="AJ868" t="s">
        <v>74</v>
      </c>
      <c r="AK868" t="s">
        <v>74</v>
      </c>
      <c r="AL868" t="s">
        <v>74</v>
      </c>
      <c r="AM868" t="s">
        <v>74</v>
      </c>
      <c r="AN868" t="s">
        <v>74</v>
      </c>
      <c r="AO868" t="s">
        <v>1458</v>
      </c>
      <c r="AP868" t="s">
        <v>435</v>
      </c>
      <c r="AQ868" t="s">
        <v>74</v>
      </c>
      <c r="AR868" t="s">
        <v>74</v>
      </c>
      <c r="AS868" t="s">
        <v>74</v>
      </c>
      <c r="AT868" t="s">
        <v>255</v>
      </c>
      <c r="AU868">
        <v>2015</v>
      </c>
      <c r="AV868">
        <v>132</v>
      </c>
      <c r="AW868">
        <v>1</v>
      </c>
      <c r="AX868" t="s">
        <v>74</v>
      </c>
      <c r="AY868" t="s">
        <v>74</v>
      </c>
      <c r="AZ868" t="s">
        <v>74</v>
      </c>
      <c r="BA868" t="s">
        <v>74</v>
      </c>
      <c r="BB868">
        <v>92</v>
      </c>
      <c r="BC868">
        <v>104</v>
      </c>
      <c r="BD868" t="s">
        <v>74</v>
      </c>
      <c r="BE868" t="s">
        <v>1459</v>
      </c>
      <c r="BF868" t="str">
        <f>HYPERLINK("http://dx.doi.org/10.1642/AUK-14-103.1","http://dx.doi.org/10.1642/AUK-14-103.1")</f>
        <v>http://dx.doi.org/10.1642/AUK-14-103.1</v>
      </c>
      <c r="BG868" t="s">
        <v>74</v>
      </c>
      <c r="BH868" t="s">
        <v>74</v>
      </c>
      <c r="BI868" t="s">
        <v>74</v>
      </c>
      <c r="BJ868" t="s">
        <v>74</v>
      </c>
      <c r="BK868" t="s">
        <v>74</v>
      </c>
      <c r="BL868" t="s">
        <v>74</v>
      </c>
      <c r="BM868" t="s">
        <v>74</v>
      </c>
      <c r="BN868" t="s">
        <v>74</v>
      </c>
      <c r="BO868" t="s">
        <v>74</v>
      </c>
      <c r="BP868" t="s">
        <v>74</v>
      </c>
      <c r="BQ868" t="s">
        <v>74</v>
      </c>
      <c r="BR868" t="s">
        <v>74</v>
      </c>
      <c r="BS868" t="s">
        <v>1460</v>
      </c>
      <c r="BT868" t="str">
        <f>HYPERLINK("https%3A%2F%2Fwww.webofscience.com%2Fwos%2Fwoscc%2Ffull-record%2FWOS:000347799300010","View Full Record in Web of Science")</f>
        <v>View Full Record in Web of Science</v>
      </c>
    </row>
    <row r="869" spans="1:72" x14ac:dyDescent="0.4">
      <c r="A869" t="s">
        <v>72</v>
      </c>
      <c r="B869" t="s">
        <v>2255</v>
      </c>
      <c r="C869" t="s">
        <v>74</v>
      </c>
      <c r="D869" t="s">
        <v>74</v>
      </c>
      <c r="E869" t="s">
        <v>74</v>
      </c>
      <c r="F869" t="s">
        <v>2255</v>
      </c>
      <c r="G869" t="s">
        <v>74</v>
      </c>
      <c r="H869" t="s">
        <v>74</v>
      </c>
      <c r="I869" t="s">
        <v>2256</v>
      </c>
      <c r="J869" t="s">
        <v>2257</v>
      </c>
      <c r="K869" t="s">
        <v>74</v>
      </c>
      <c r="L869" t="s">
        <v>74</v>
      </c>
      <c r="M869" t="s">
        <v>74</v>
      </c>
      <c r="N869" t="s">
        <v>74</v>
      </c>
      <c r="O869" t="s">
        <v>74</v>
      </c>
      <c r="P869" t="s">
        <v>74</v>
      </c>
      <c r="Q869" t="s">
        <v>74</v>
      </c>
      <c r="R869" t="s">
        <v>74</v>
      </c>
      <c r="S869" t="s">
        <v>74</v>
      </c>
      <c r="T869" t="s">
        <v>74</v>
      </c>
      <c r="U869" t="s">
        <v>74</v>
      </c>
      <c r="V869" s="3" t="s">
        <v>2258</v>
      </c>
      <c r="W869" t="s">
        <v>74</v>
      </c>
      <c r="X869" t="s">
        <v>74</v>
      </c>
      <c r="Y869" t="s">
        <v>74</v>
      </c>
      <c r="Z869" t="s">
        <v>74</v>
      </c>
      <c r="AA869" t="s">
        <v>2259</v>
      </c>
      <c r="AB869" t="s">
        <v>2260</v>
      </c>
      <c r="AC869" t="s">
        <v>74</v>
      </c>
      <c r="AD869" t="s">
        <v>74</v>
      </c>
      <c r="AE869" t="s">
        <v>74</v>
      </c>
      <c r="AF869" t="s">
        <v>74</v>
      </c>
      <c r="AG869" t="s">
        <v>74</v>
      </c>
      <c r="AH869" t="s">
        <v>74</v>
      </c>
      <c r="AI869" t="s">
        <v>74</v>
      </c>
      <c r="AJ869" t="s">
        <v>74</v>
      </c>
      <c r="AK869" t="s">
        <v>74</v>
      </c>
      <c r="AL869" t="s">
        <v>74</v>
      </c>
      <c r="AM869" t="s">
        <v>74</v>
      </c>
      <c r="AN869" t="s">
        <v>74</v>
      </c>
      <c r="AO869" t="s">
        <v>2261</v>
      </c>
      <c r="AP869" t="s">
        <v>74</v>
      </c>
      <c r="AQ869" t="s">
        <v>74</v>
      </c>
      <c r="AR869" t="s">
        <v>74</v>
      </c>
      <c r="AS869" t="s">
        <v>74</v>
      </c>
      <c r="AT869" t="s">
        <v>74</v>
      </c>
      <c r="AU869">
        <v>2000</v>
      </c>
      <c r="AV869">
        <v>77</v>
      </c>
      <c r="AW869">
        <v>1</v>
      </c>
      <c r="AX869" t="s">
        <v>74</v>
      </c>
      <c r="AY869" t="s">
        <v>74</v>
      </c>
      <c r="AZ869" t="s">
        <v>74</v>
      </c>
      <c r="BA869" t="s">
        <v>74</v>
      </c>
      <c r="BB869">
        <v>11</v>
      </c>
      <c r="BC869">
        <v>16</v>
      </c>
      <c r="BD869" t="s">
        <v>74</v>
      </c>
      <c r="BE869" t="s">
        <v>74</v>
      </c>
      <c r="BF869" t="s">
        <v>74</v>
      </c>
      <c r="BG869" t="s">
        <v>74</v>
      </c>
      <c r="BH869" t="s">
        <v>74</v>
      </c>
      <c r="BI869" t="s">
        <v>74</v>
      </c>
      <c r="BJ869" t="s">
        <v>74</v>
      </c>
      <c r="BK869" t="s">
        <v>74</v>
      </c>
      <c r="BL869" t="s">
        <v>74</v>
      </c>
      <c r="BM869" t="s">
        <v>74</v>
      </c>
      <c r="BN869" t="s">
        <v>74</v>
      </c>
      <c r="BO869" t="s">
        <v>74</v>
      </c>
      <c r="BP869" t="s">
        <v>74</v>
      </c>
      <c r="BQ869" t="s">
        <v>74</v>
      </c>
      <c r="BR869" t="s">
        <v>74</v>
      </c>
      <c r="BS869" t="s">
        <v>2262</v>
      </c>
      <c r="BT869" t="str">
        <f>HYPERLINK("https%3A%2F%2Fwww.webofscience.com%2Fwos%2Fwoscc%2Ffull-record%2FWOS:000086364000002","View Full Record in Web of Science")</f>
        <v>View Full Record in Web of Science</v>
      </c>
    </row>
    <row r="870" spans="1:72" x14ac:dyDescent="0.4">
      <c r="A870" t="s">
        <v>72</v>
      </c>
      <c r="B870" t="s">
        <v>6073</v>
      </c>
      <c r="C870" t="s">
        <v>74</v>
      </c>
      <c r="D870" t="s">
        <v>74</v>
      </c>
      <c r="E870" t="s">
        <v>74</v>
      </c>
      <c r="F870" t="s">
        <v>6074</v>
      </c>
      <c r="G870" t="s">
        <v>74</v>
      </c>
      <c r="H870" t="s">
        <v>74</v>
      </c>
      <c r="I870" t="s">
        <v>6075</v>
      </c>
      <c r="J870" t="s">
        <v>610</v>
      </c>
      <c r="K870" t="s">
        <v>74</v>
      </c>
      <c r="L870" t="s">
        <v>74</v>
      </c>
      <c r="M870" t="s">
        <v>74</v>
      </c>
      <c r="N870" t="s">
        <v>74</v>
      </c>
      <c r="O870" t="s">
        <v>74</v>
      </c>
      <c r="P870" t="s">
        <v>74</v>
      </c>
      <c r="Q870" t="s">
        <v>74</v>
      </c>
      <c r="R870" t="s">
        <v>74</v>
      </c>
      <c r="S870" t="s">
        <v>74</v>
      </c>
      <c r="T870" t="s">
        <v>74</v>
      </c>
      <c r="U870" t="s">
        <v>74</v>
      </c>
      <c r="V870" s="3" t="s">
        <v>6076</v>
      </c>
      <c r="W870" t="s">
        <v>74</v>
      </c>
      <c r="X870" t="s">
        <v>74</v>
      </c>
      <c r="Y870" t="s">
        <v>74</v>
      </c>
      <c r="Z870" t="s">
        <v>74</v>
      </c>
      <c r="AA870" t="s">
        <v>6077</v>
      </c>
      <c r="AB870" t="s">
        <v>6078</v>
      </c>
      <c r="AC870" t="s">
        <v>74</v>
      </c>
      <c r="AD870" t="s">
        <v>74</v>
      </c>
      <c r="AE870" t="s">
        <v>74</v>
      </c>
      <c r="AF870" t="s">
        <v>74</v>
      </c>
      <c r="AG870" t="s">
        <v>74</v>
      </c>
      <c r="AH870" t="s">
        <v>74</v>
      </c>
      <c r="AI870" t="s">
        <v>74</v>
      </c>
      <c r="AJ870" t="s">
        <v>74</v>
      </c>
      <c r="AK870" t="s">
        <v>74</v>
      </c>
      <c r="AL870" t="s">
        <v>74</v>
      </c>
      <c r="AM870" t="s">
        <v>74</v>
      </c>
      <c r="AN870" t="s">
        <v>74</v>
      </c>
      <c r="AO870" t="s">
        <v>614</v>
      </c>
      <c r="AP870" t="s">
        <v>615</v>
      </c>
      <c r="AQ870" t="s">
        <v>74</v>
      </c>
      <c r="AR870" t="s">
        <v>74</v>
      </c>
      <c r="AS870" t="s">
        <v>74</v>
      </c>
      <c r="AT870" t="s">
        <v>964</v>
      </c>
      <c r="AU870">
        <v>2019</v>
      </c>
      <c r="AV870">
        <v>125</v>
      </c>
      <c r="AW870">
        <v>2</v>
      </c>
      <c r="AX870" t="s">
        <v>74</v>
      </c>
      <c r="AY870" t="s">
        <v>74</v>
      </c>
      <c r="AZ870" t="s">
        <v>74</v>
      </c>
      <c r="BA870" t="s">
        <v>74</v>
      </c>
      <c r="BB870">
        <v>106</v>
      </c>
      <c r="BC870">
        <v>113</v>
      </c>
      <c r="BD870" t="s">
        <v>74</v>
      </c>
      <c r="BE870" t="s">
        <v>6079</v>
      </c>
      <c r="BF870" t="str">
        <f>HYPERLINK("http://dx.doi.org/10.1111/eth.12835","http://dx.doi.org/10.1111/eth.12835")</f>
        <v>http://dx.doi.org/10.1111/eth.12835</v>
      </c>
      <c r="BG870" t="s">
        <v>74</v>
      </c>
      <c r="BH870" t="s">
        <v>74</v>
      </c>
      <c r="BI870" t="s">
        <v>74</v>
      </c>
      <c r="BJ870" t="s">
        <v>74</v>
      </c>
      <c r="BK870" t="s">
        <v>74</v>
      </c>
      <c r="BL870" t="s">
        <v>74</v>
      </c>
      <c r="BM870" t="s">
        <v>74</v>
      </c>
      <c r="BN870" t="s">
        <v>74</v>
      </c>
      <c r="BO870" t="s">
        <v>74</v>
      </c>
      <c r="BP870" t="s">
        <v>74</v>
      </c>
      <c r="BQ870" t="s">
        <v>74</v>
      </c>
      <c r="BR870" t="s">
        <v>74</v>
      </c>
      <c r="BS870" t="s">
        <v>6080</v>
      </c>
      <c r="BT870" t="str">
        <f>HYPERLINK("https%3A%2F%2Fwww.webofscience.com%2Fwos%2Fwoscc%2Ffull-record%2FWOS:000455963400005","View Full Record in Web of Science")</f>
        <v>View Full Record in Web of Science</v>
      </c>
    </row>
    <row r="871" spans="1:72" x14ac:dyDescent="0.4">
      <c r="A871" t="s">
        <v>72</v>
      </c>
      <c r="B871" t="s">
        <v>8760</v>
      </c>
      <c r="C871" t="s">
        <v>74</v>
      </c>
      <c r="D871" t="s">
        <v>74</v>
      </c>
      <c r="E871" t="s">
        <v>74</v>
      </c>
      <c r="F871" t="s">
        <v>8761</v>
      </c>
      <c r="G871" t="s">
        <v>74</v>
      </c>
      <c r="H871" t="s">
        <v>74</v>
      </c>
      <c r="I871" t="s">
        <v>8762</v>
      </c>
      <c r="J871" t="s">
        <v>119</v>
      </c>
      <c r="K871" t="s">
        <v>74</v>
      </c>
      <c r="L871" t="s">
        <v>74</v>
      </c>
      <c r="M871" t="s">
        <v>74</v>
      </c>
      <c r="N871" t="s">
        <v>74</v>
      </c>
      <c r="O871" t="s">
        <v>74</v>
      </c>
      <c r="P871" t="s">
        <v>74</v>
      </c>
      <c r="Q871" t="s">
        <v>74</v>
      </c>
      <c r="R871" t="s">
        <v>74</v>
      </c>
      <c r="S871" t="s">
        <v>74</v>
      </c>
      <c r="T871" t="s">
        <v>74</v>
      </c>
      <c r="U871" t="s">
        <v>74</v>
      </c>
      <c r="V871" s="3" t="s">
        <v>8763</v>
      </c>
      <c r="W871" t="s">
        <v>74</v>
      </c>
      <c r="X871" t="s">
        <v>74</v>
      </c>
      <c r="Y871" t="s">
        <v>74</v>
      </c>
      <c r="Z871" t="s">
        <v>74</v>
      </c>
      <c r="AA871" t="s">
        <v>8764</v>
      </c>
      <c r="AB871" t="s">
        <v>8765</v>
      </c>
      <c r="AC871" t="s">
        <v>74</v>
      </c>
      <c r="AD871" t="s">
        <v>74</v>
      </c>
      <c r="AE871" t="s">
        <v>74</v>
      </c>
      <c r="AF871" t="s">
        <v>74</v>
      </c>
      <c r="AG871" t="s">
        <v>74</v>
      </c>
      <c r="AH871" t="s">
        <v>74</v>
      </c>
      <c r="AI871" t="s">
        <v>74</v>
      </c>
      <c r="AJ871" t="s">
        <v>74</v>
      </c>
      <c r="AK871" t="s">
        <v>74</v>
      </c>
      <c r="AL871" t="s">
        <v>74</v>
      </c>
      <c r="AM871" t="s">
        <v>74</v>
      </c>
      <c r="AN871" t="s">
        <v>74</v>
      </c>
      <c r="AO871" t="s">
        <v>121</v>
      </c>
      <c r="AP871" t="s">
        <v>122</v>
      </c>
      <c r="AQ871" t="s">
        <v>74</v>
      </c>
      <c r="AR871" t="s">
        <v>74</v>
      </c>
      <c r="AS871" t="s">
        <v>74</v>
      </c>
      <c r="AT871" t="s">
        <v>352</v>
      </c>
      <c r="AU871">
        <v>2009</v>
      </c>
      <c r="AV871">
        <v>82</v>
      </c>
      <c r="AW871">
        <v>1</v>
      </c>
      <c r="AX871" t="s">
        <v>74</v>
      </c>
      <c r="AY871" t="s">
        <v>74</v>
      </c>
      <c r="AZ871" t="s">
        <v>74</v>
      </c>
      <c r="BA871" t="s">
        <v>74</v>
      </c>
      <c r="BB871">
        <v>25</v>
      </c>
      <c r="BC871">
        <v>29</v>
      </c>
      <c r="BD871" t="s">
        <v>74</v>
      </c>
      <c r="BE871" t="s">
        <v>8766</v>
      </c>
      <c r="BF871" t="str">
        <f>HYPERLINK("http://dx.doi.org/10.1016/j.beproc.2009.03.005","http://dx.doi.org/10.1016/j.beproc.2009.03.005")</f>
        <v>http://dx.doi.org/10.1016/j.beproc.2009.03.005</v>
      </c>
      <c r="BG871" t="s">
        <v>74</v>
      </c>
      <c r="BH871" t="s">
        <v>74</v>
      </c>
      <c r="BI871" t="s">
        <v>74</v>
      </c>
      <c r="BJ871" t="s">
        <v>74</v>
      </c>
      <c r="BK871" t="s">
        <v>74</v>
      </c>
      <c r="BL871" t="s">
        <v>74</v>
      </c>
      <c r="BM871" t="s">
        <v>74</v>
      </c>
      <c r="BN871">
        <v>19615612</v>
      </c>
      <c r="BO871" t="s">
        <v>74</v>
      </c>
      <c r="BP871" t="s">
        <v>74</v>
      </c>
      <c r="BQ871" t="s">
        <v>74</v>
      </c>
      <c r="BR871" t="s">
        <v>74</v>
      </c>
      <c r="BS871" t="s">
        <v>8767</v>
      </c>
      <c r="BT871" t="str">
        <f>HYPERLINK("https%3A%2F%2Fwww.webofscience.com%2Fwos%2Fwoscc%2Ffull-record%2FWOS:000268954900005","View Full Record in Web of Science")</f>
        <v>View Full Record in Web of Science</v>
      </c>
    </row>
    <row r="872" spans="1:72" x14ac:dyDescent="0.4">
      <c r="A872" t="s">
        <v>72</v>
      </c>
      <c r="B872" t="s">
        <v>8107</v>
      </c>
      <c r="C872" t="s">
        <v>74</v>
      </c>
      <c r="D872" t="s">
        <v>74</v>
      </c>
      <c r="E872" t="s">
        <v>74</v>
      </c>
      <c r="F872" t="s">
        <v>8108</v>
      </c>
      <c r="G872" t="s">
        <v>74</v>
      </c>
      <c r="H872" t="s">
        <v>74</v>
      </c>
      <c r="I872" t="s">
        <v>8109</v>
      </c>
      <c r="J872" t="s">
        <v>763</v>
      </c>
      <c r="K872" t="s">
        <v>74</v>
      </c>
      <c r="L872" t="s">
        <v>74</v>
      </c>
      <c r="M872" t="s">
        <v>74</v>
      </c>
      <c r="N872" t="s">
        <v>74</v>
      </c>
      <c r="O872" t="s">
        <v>74</v>
      </c>
      <c r="P872" t="s">
        <v>74</v>
      </c>
      <c r="Q872" t="s">
        <v>74</v>
      </c>
      <c r="R872" t="s">
        <v>74</v>
      </c>
      <c r="S872" t="s">
        <v>74</v>
      </c>
      <c r="T872" t="s">
        <v>74</v>
      </c>
      <c r="U872" t="s">
        <v>74</v>
      </c>
      <c r="V872" s="3" t="s">
        <v>8110</v>
      </c>
      <c r="W872" t="s">
        <v>74</v>
      </c>
      <c r="X872" t="s">
        <v>74</v>
      </c>
      <c r="Y872" t="s">
        <v>74</v>
      </c>
      <c r="Z872" t="s">
        <v>74</v>
      </c>
      <c r="AA872" t="s">
        <v>8111</v>
      </c>
      <c r="AB872" t="s">
        <v>3649</v>
      </c>
      <c r="AC872" t="s">
        <v>74</v>
      </c>
      <c r="AD872" t="s">
        <v>74</v>
      </c>
      <c r="AE872" t="s">
        <v>74</v>
      </c>
      <c r="AF872" t="s">
        <v>74</v>
      </c>
      <c r="AG872" t="s">
        <v>74</v>
      </c>
      <c r="AH872" t="s">
        <v>74</v>
      </c>
      <c r="AI872" t="s">
        <v>74</v>
      </c>
      <c r="AJ872" t="s">
        <v>74</v>
      </c>
      <c r="AK872" t="s">
        <v>74</v>
      </c>
      <c r="AL872" t="s">
        <v>74</v>
      </c>
      <c r="AM872" t="s">
        <v>74</v>
      </c>
      <c r="AN872" t="s">
        <v>74</v>
      </c>
      <c r="AO872" t="s">
        <v>767</v>
      </c>
      <c r="AP872" t="s">
        <v>768</v>
      </c>
      <c r="AQ872" t="s">
        <v>74</v>
      </c>
      <c r="AR872" t="s">
        <v>74</v>
      </c>
      <c r="AS872" t="s">
        <v>74</v>
      </c>
      <c r="AT872" t="s">
        <v>352</v>
      </c>
      <c r="AU872">
        <v>2014</v>
      </c>
      <c r="AV872">
        <v>217</v>
      </c>
      <c r="AW872">
        <v>18</v>
      </c>
      <c r="AX872" t="s">
        <v>74</v>
      </c>
      <c r="AY872" t="s">
        <v>74</v>
      </c>
      <c r="AZ872" t="s">
        <v>74</v>
      </c>
      <c r="BA872" t="s">
        <v>74</v>
      </c>
      <c r="BB872">
        <v>3254</v>
      </c>
      <c r="BC872">
        <v>3262</v>
      </c>
      <c r="BD872" t="s">
        <v>74</v>
      </c>
      <c r="BE872" t="s">
        <v>8112</v>
      </c>
      <c r="BF872" t="str">
        <f>HYPERLINK("http://dx.doi.org/10.1242/jeb.106666","http://dx.doi.org/10.1242/jeb.106666")</f>
        <v>http://dx.doi.org/10.1242/jeb.106666</v>
      </c>
      <c r="BG872" t="s">
        <v>74</v>
      </c>
      <c r="BH872" t="s">
        <v>74</v>
      </c>
      <c r="BI872" t="s">
        <v>74</v>
      </c>
      <c r="BJ872" t="s">
        <v>74</v>
      </c>
      <c r="BK872" t="s">
        <v>74</v>
      </c>
      <c r="BL872" t="s">
        <v>74</v>
      </c>
      <c r="BM872" t="s">
        <v>74</v>
      </c>
      <c r="BN872">
        <v>25013111</v>
      </c>
      <c r="BO872" t="s">
        <v>74</v>
      </c>
      <c r="BP872" t="s">
        <v>74</v>
      </c>
      <c r="BQ872" t="s">
        <v>74</v>
      </c>
      <c r="BR872" t="s">
        <v>74</v>
      </c>
      <c r="BS872" t="s">
        <v>8113</v>
      </c>
      <c r="BT872" t="str">
        <f>HYPERLINK("https%3A%2F%2Fwww.webofscience.com%2Fwos%2Fwoscc%2Ffull-record%2FWOS:000342506100016","View Full Record in Web of Science")</f>
        <v>View Full Record in Web of Science</v>
      </c>
    </row>
    <row r="873" spans="1:72" x14ac:dyDescent="0.4">
      <c r="A873" t="s">
        <v>72</v>
      </c>
      <c r="B873" t="s">
        <v>6804</v>
      </c>
      <c r="C873" t="s">
        <v>74</v>
      </c>
      <c r="D873" t="s">
        <v>74</v>
      </c>
      <c r="E873" t="s">
        <v>74</v>
      </c>
      <c r="F873" t="s">
        <v>6805</v>
      </c>
      <c r="G873" t="s">
        <v>74</v>
      </c>
      <c r="H873" t="s">
        <v>74</v>
      </c>
      <c r="I873" t="s">
        <v>6806</v>
      </c>
      <c r="J873" t="s">
        <v>1743</v>
      </c>
      <c r="K873" t="s">
        <v>74</v>
      </c>
      <c r="L873" t="s">
        <v>74</v>
      </c>
      <c r="M873" t="s">
        <v>74</v>
      </c>
      <c r="N873" t="s">
        <v>74</v>
      </c>
      <c r="O873" t="s">
        <v>74</v>
      </c>
      <c r="P873" t="s">
        <v>74</v>
      </c>
      <c r="Q873" t="s">
        <v>74</v>
      </c>
      <c r="R873" t="s">
        <v>74</v>
      </c>
      <c r="S873" t="s">
        <v>74</v>
      </c>
      <c r="T873" t="s">
        <v>74</v>
      </c>
      <c r="U873" t="s">
        <v>74</v>
      </c>
      <c r="V873" s="3" t="s">
        <v>6807</v>
      </c>
      <c r="W873" t="s">
        <v>74</v>
      </c>
      <c r="X873" t="s">
        <v>74</v>
      </c>
      <c r="Y873" t="s">
        <v>74</v>
      </c>
      <c r="Z873" t="s">
        <v>74</v>
      </c>
      <c r="AA873" t="s">
        <v>6808</v>
      </c>
      <c r="AB873" t="s">
        <v>74</v>
      </c>
      <c r="AC873" t="s">
        <v>74</v>
      </c>
      <c r="AD873" t="s">
        <v>74</v>
      </c>
      <c r="AE873" t="s">
        <v>74</v>
      </c>
      <c r="AF873" t="s">
        <v>74</v>
      </c>
      <c r="AG873" t="s">
        <v>74</v>
      </c>
      <c r="AH873" t="s">
        <v>74</v>
      </c>
      <c r="AI873" t="s">
        <v>74</v>
      </c>
      <c r="AJ873" t="s">
        <v>74</v>
      </c>
      <c r="AK873" t="s">
        <v>74</v>
      </c>
      <c r="AL873" t="s">
        <v>74</v>
      </c>
      <c r="AM873" t="s">
        <v>74</v>
      </c>
      <c r="AN873" t="s">
        <v>74</v>
      </c>
      <c r="AO873" t="s">
        <v>1746</v>
      </c>
      <c r="AP873" t="s">
        <v>74</v>
      </c>
      <c r="AQ873" t="s">
        <v>74</v>
      </c>
      <c r="AR873" t="s">
        <v>74</v>
      </c>
      <c r="AS873" t="s">
        <v>74</v>
      </c>
      <c r="AT873" t="s">
        <v>352</v>
      </c>
      <c r="AU873">
        <v>2006</v>
      </c>
      <c r="AV873">
        <v>23</v>
      </c>
      <c r="AW873">
        <v>9</v>
      </c>
      <c r="AX873" t="s">
        <v>74</v>
      </c>
      <c r="AY873" t="s">
        <v>74</v>
      </c>
      <c r="AZ873" t="s">
        <v>74</v>
      </c>
      <c r="BA873" t="s">
        <v>74</v>
      </c>
      <c r="BB873">
        <v>755</v>
      </c>
      <c r="BC873">
        <v>761</v>
      </c>
      <c r="BD873" t="s">
        <v>74</v>
      </c>
      <c r="BE873" t="s">
        <v>6809</v>
      </c>
      <c r="BF873" t="str">
        <f>HYPERLINK("http://dx.doi.org/10.2108/zsj.23.755","http://dx.doi.org/10.2108/zsj.23.755")</f>
        <v>http://dx.doi.org/10.2108/zsj.23.755</v>
      </c>
      <c r="BG873" t="s">
        <v>74</v>
      </c>
      <c r="BH873" t="s">
        <v>74</v>
      </c>
      <c r="BI873" t="s">
        <v>74</v>
      </c>
      <c r="BJ873" t="s">
        <v>74</v>
      </c>
      <c r="BK873" t="s">
        <v>74</v>
      </c>
      <c r="BL873" t="s">
        <v>74</v>
      </c>
      <c r="BM873" t="s">
        <v>74</v>
      </c>
      <c r="BN873">
        <v>17043397</v>
      </c>
      <c r="BO873" t="s">
        <v>74</v>
      </c>
      <c r="BP873" t="s">
        <v>74</v>
      </c>
      <c r="BQ873" t="s">
        <v>74</v>
      </c>
      <c r="BR873" t="s">
        <v>74</v>
      </c>
      <c r="BS873" t="s">
        <v>6810</v>
      </c>
      <c r="BT873" t="str">
        <f>HYPERLINK("https%3A%2F%2Fwww.webofscience.com%2Fwos%2Fwoscc%2Ffull-record%2FWOS:000243556800002","View Full Record in Web of Science")</f>
        <v>View Full Record in Web of Science</v>
      </c>
    </row>
    <row r="874" spans="1:72" x14ac:dyDescent="0.4">
      <c r="A874" t="s">
        <v>72</v>
      </c>
      <c r="B874" t="s">
        <v>5549</v>
      </c>
      <c r="C874" t="s">
        <v>74</v>
      </c>
      <c r="D874" t="s">
        <v>74</v>
      </c>
      <c r="E874" t="s">
        <v>74</v>
      </c>
      <c r="F874" t="s">
        <v>5550</v>
      </c>
      <c r="G874" t="s">
        <v>74</v>
      </c>
      <c r="H874" t="s">
        <v>74</v>
      </c>
      <c r="I874" t="s">
        <v>5551</v>
      </c>
      <c r="J874" t="s">
        <v>1126</v>
      </c>
      <c r="K874" t="s">
        <v>74</v>
      </c>
      <c r="L874" t="s">
        <v>74</v>
      </c>
      <c r="M874" t="s">
        <v>74</v>
      </c>
      <c r="N874" t="s">
        <v>74</v>
      </c>
      <c r="O874" t="s">
        <v>74</v>
      </c>
      <c r="P874" t="s">
        <v>74</v>
      </c>
      <c r="Q874" t="s">
        <v>74</v>
      </c>
      <c r="R874" t="s">
        <v>74</v>
      </c>
      <c r="S874" t="s">
        <v>74</v>
      </c>
      <c r="T874" t="s">
        <v>74</v>
      </c>
      <c r="U874" t="s">
        <v>74</v>
      </c>
      <c r="V874" s="3" t="s">
        <v>5552</v>
      </c>
      <c r="W874" t="s">
        <v>74</v>
      </c>
      <c r="X874" t="s">
        <v>74</v>
      </c>
      <c r="Y874" t="s">
        <v>74</v>
      </c>
      <c r="Z874" t="s">
        <v>74</v>
      </c>
      <c r="AA874" t="s">
        <v>74</v>
      </c>
      <c r="AB874" t="s">
        <v>74</v>
      </c>
      <c r="AC874" t="s">
        <v>74</v>
      </c>
      <c r="AD874" t="s">
        <v>74</v>
      </c>
      <c r="AE874" t="s">
        <v>74</v>
      </c>
      <c r="AF874" t="s">
        <v>74</v>
      </c>
      <c r="AG874" t="s">
        <v>74</v>
      </c>
      <c r="AH874" t="s">
        <v>74</v>
      </c>
      <c r="AI874" t="s">
        <v>74</v>
      </c>
      <c r="AJ874" t="s">
        <v>74</v>
      </c>
      <c r="AK874" t="s">
        <v>74</v>
      </c>
      <c r="AL874" t="s">
        <v>74</v>
      </c>
      <c r="AM874" t="s">
        <v>74</v>
      </c>
      <c r="AN874" t="s">
        <v>74</v>
      </c>
      <c r="AO874" t="s">
        <v>1128</v>
      </c>
      <c r="AP874" t="s">
        <v>1129</v>
      </c>
      <c r="AQ874" t="s">
        <v>74</v>
      </c>
      <c r="AR874" t="s">
        <v>74</v>
      </c>
      <c r="AS874" t="s">
        <v>74</v>
      </c>
      <c r="AT874" t="s">
        <v>305</v>
      </c>
      <c r="AU874">
        <v>2014</v>
      </c>
      <c r="AV874" t="s">
        <v>74</v>
      </c>
      <c r="AW874">
        <v>3</v>
      </c>
      <c r="AX874" t="s">
        <v>74</v>
      </c>
      <c r="AY874" t="s">
        <v>74</v>
      </c>
      <c r="AZ874" t="s">
        <v>74</v>
      </c>
      <c r="BA874" t="s">
        <v>74</v>
      </c>
      <c r="BB874">
        <v>481</v>
      </c>
      <c r="BC874">
        <v>488</v>
      </c>
      <c r="BD874" t="s">
        <v>74</v>
      </c>
      <c r="BE874" t="s">
        <v>5553</v>
      </c>
      <c r="BF874" t="str">
        <f>HYPERLINK("http://dx.doi.org/10.1643/CE-13-154","http://dx.doi.org/10.1643/CE-13-154")</f>
        <v>http://dx.doi.org/10.1643/CE-13-154</v>
      </c>
      <c r="BG874" t="s">
        <v>74</v>
      </c>
      <c r="BH874" t="s">
        <v>74</v>
      </c>
      <c r="BI874" t="s">
        <v>74</v>
      </c>
      <c r="BJ874" t="s">
        <v>74</v>
      </c>
      <c r="BK874" t="s">
        <v>74</v>
      </c>
      <c r="BL874" t="s">
        <v>74</v>
      </c>
      <c r="BM874" t="s">
        <v>74</v>
      </c>
      <c r="BN874" t="s">
        <v>74</v>
      </c>
      <c r="BO874" t="s">
        <v>74</v>
      </c>
      <c r="BP874" t="s">
        <v>74</v>
      </c>
      <c r="BQ874" t="s">
        <v>74</v>
      </c>
      <c r="BR874" t="s">
        <v>74</v>
      </c>
      <c r="BS874" t="s">
        <v>5554</v>
      </c>
      <c r="BT874" t="str">
        <f>HYPERLINK("https%3A%2F%2Fwww.webofscience.com%2Fwos%2Fwoscc%2Ffull-record%2FWOS:000348516300003","View Full Record in Web of Science")</f>
        <v>View Full Record in Web of Science</v>
      </c>
    </row>
    <row r="875" spans="1:72" x14ac:dyDescent="0.4">
      <c r="A875" t="s">
        <v>72</v>
      </c>
      <c r="B875" t="s">
        <v>8526</v>
      </c>
      <c r="C875" t="s">
        <v>74</v>
      </c>
      <c r="D875" t="s">
        <v>74</v>
      </c>
      <c r="E875" t="s">
        <v>74</v>
      </c>
      <c r="F875" t="s">
        <v>8527</v>
      </c>
      <c r="G875" t="s">
        <v>74</v>
      </c>
      <c r="H875" t="s">
        <v>74</v>
      </c>
      <c r="I875" t="s">
        <v>8528</v>
      </c>
      <c r="J875" t="s">
        <v>129</v>
      </c>
      <c r="K875" t="s">
        <v>74</v>
      </c>
      <c r="L875" t="s">
        <v>74</v>
      </c>
      <c r="M875" t="s">
        <v>74</v>
      </c>
      <c r="N875" t="s">
        <v>74</v>
      </c>
      <c r="O875" t="s">
        <v>74</v>
      </c>
      <c r="P875" t="s">
        <v>74</v>
      </c>
      <c r="Q875" t="s">
        <v>74</v>
      </c>
      <c r="R875" t="s">
        <v>74</v>
      </c>
      <c r="S875" t="s">
        <v>74</v>
      </c>
      <c r="T875" t="s">
        <v>74</v>
      </c>
      <c r="U875" t="s">
        <v>74</v>
      </c>
      <c r="V875" s="3" t="s">
        <v>8529</v>
      </c>
      <c r="W875" t="s">
        <v>74</v>
      </c>
      <c r="X875" t="s">
        <v>74</v>
      </c>
      <c r="Y875" t="s">
        <v>74</v>
      </c>
      <c r="Z875" t="s">
        <v>74</v>
      </c>
      <c r="AA875" t="s">
        <v>8530</v>
      </c>
      <c r="AB875" t="s">
        <v>8531</v>
      </c>
      <c r="AC875" t="s">
        <v>74</v>
      </c>
      <c r="AD875" t="s">
        <v>74</v>
      </c>
      <c r="AE875" t="s">
        <v>74</v>
      </c>
      <c r="AF875" t="s">
        <v>74</v>
      </c>
      <c r="AG875" t="s">
        <v>74</v>
      </c>
      <c r="AH875" t="s">
        <v>74</v>
      </c>
      <c r="AI875" t="s">
        <v>74</v>
      </c>
      <c r="AJ875" t="s">
        <v>74</v>
      </c>
      <c r="AK875" t="s">
        <v>74</v>
      </c>
      <c r="AL875" t="s">
        <v>74</v>
      </c>
      <c r="AM875" t="s">
        <v>74</v>
      </c>
      <c r="AN875" t="s">
        <v>74</v>
      </c>
      <c r="AO875" t="s">
        <v>132</v>
      </c>
      <c r="AP875" t="s">
        <v>133</v>
      </c>
      <c r="AQ875" t="s">
        <v>74</v>
      </c>
      <c r="AR875" t="s">
        <v>74</v>
      </c>
      <c r="AS875" t="s">
        <v>74</v>
      </c>
      <c r="AT875" t="s">
        <v>213</v>
      </c>
      <c r="AU875">
        <v>2010</v>
      </c>
      <c r="AV875">
        <v>64</v>
      </c>
      <c r="AW875">
        <v>11</v>
      </c>
      <c r="AX875" t="s">
        <v>74</v>
      </c>
      <c r="AY875" t="s">
        <v>74</v>
      </c>
      <c r="AZ875" t="s">
        <v>74</v>
      </c>
      <c r="BA875" t="s">
        <v>74</v>
      </c>
      <c r="BB875">
        <v>1839</v>
      </c>
      <c r="BC875">
        <v>1847</v>
      </c>
      <c r="BD875" t="s">
        <v>74</v>
      </c>
      <c r="BE875" t="s">
        <v>8532</v>
      </c>
      <c r="BF875" t="str">
        <f>HYPERLINK("http://dx.doi.org/10.1007/s00265-010-0995-z","http://dx.doi.org/10.1007/s00265-010-0995-z")</f>
        <v>http://dx.doi.org/10.1007/s00265-010-0995-z</v>
      </c>
      <c r="BG875" t="s">
        <v>74</v>
      </c>
      <c r="BH875" t="s">
        <v>74</v>
      </c>
      <c r="BI875" t="s">
        <v>74</v>
      </c>
      <c r="BJ875" t="s">
        <v>74</v>
      </c>
      <c r="BK875" t="s">
        <v>74</v>
      </c>
      <c r="BL875" t="s">
        <v>74</v>
      </c>
      <c r="BM875" t="s">
        <v>74</v>
      </c>
      <c r="BN875" t="s">
        <v>74</v>
      </c>
      <c r="BO875" t="s">
        <v>74</v>
      </c>
      <c r="BP875" t="s">
        <v>74</v>
      </c>
      <c r="BQ875" t="s">
        <v>74</v>
      </c>
      <c r="BR875" t="s">
        <v>74</v>
      </c>
      <c r="BS875" t="s">
        <v>8533</v>
      </c>
      <c r="BT875" t="str">
        <f>HYPERLINK("https%3A%2F%2Fwww.webofscience.com%2Fwos%2Fwoscc%2Ffull-record%2FWOS:000282823800011","View Full Record in Web of Science")</f>
        <v>View Full Record in Web of Science</v>
      </c>
    </row>
    <row r="876" spans="1:72" x14ac:dyDescent="0.4">
      <c r="A876" t="s">
        <v>72</v>
      </c>
      <c r="B876" t="s">
        <v>4949</v>
      </c>
      <c r="C876" t="s">
        <v>74</v>
      </c>
      <c r="D876" t="s">
        <v>74</v>
      </c>
      <c r="E876" t="s">
        <v>74</v>
      </c>
      <c r="F876" t="s">
        <v>4950</v>
      </c>
      <c r="G876" t="s">
        <v>74</v>
      </c>
      <c r="H876" t="s">
        <v>74</v>
      </c>
      <c r="I876" t="s">
        <v>4951</v>
      </c>
      <c r="J876" t="s">
        <v>509</v>
      </c>
      <c r="K876" t="s">
        <v>74</v>
      </c>
      <c r="L876" t="s">
        <v>74</v>
      </c>
      <c r="M876" t="s">
        <v>74</v>
      </c>
      <c r="N876" t="s">
        <v>74</v>
      </c>
      <c r="O876" t="s">
        <v>74</v>
      </c>
      <c r="P876" t="s">
        <v>74</v>
      </c>
      <c r="Q876" t="s">
        <v>74</v>
      </c>
      <c r="R876" t="s">
        <v>74</v>
      </c>
      <c r="S876" t="s">
        <v>74</v>
      </c>
      <c r="T876" t="s">
        <v>74</v>
      </c>
      <c r="U876" t="s">
        <v>74</v>
      </c>
      <c r="V876" s="3" t="s">
        <v>4952</v>
      </c>
      <c r="W876" t="s">
        <v>74</v>
      </c>
      <c r="X876" t="s">
        <v>74</v>
      </c>
      <c r="Y876" t="s">
        <v>74</v>
      </c>
      <c r="Z876" t="s">
        <v>74</v>
      </c>
      <c r="AA876" t="s">
        <v>4953</v>
      </c>
      <c r="AB876" t="s">
        <v>4954</v>
      </c>
      <c r="AC876" t="s">
        <v>74</v>
      </c>
      <c r="AD876" t="s">
        <v>74</v>
      </c>
      <c r="AE876" t="s">
        <v>74</v>
      </c>
      <c r="AF876" t="s">
        <v>74</v>
      </c>
      <c r="AG876" t="s">
        <v>74</v>
      </c>
      <c r="AH876" t="s">
        <v>74</v>
      </c>
      <c r="AI876" t="s">
        <v>74</v>
      </c>
      <c r="AJ876" t="s">
        <v>74</v>
      </c>
      <c r="AK876" t="s">
        <v>74</v>
      </c>
      <c r="AL876" t="s">
        <v>74</v>
      </c>
      <c r="AM876" t="s">
        <v>74</v>
      </c>
      <c r="AN876" t="s">
        <v>74</v>
      </c>
      <c r="AO876" t="s">
        <v>511</v>
      </c>
      <c r="AP876" t="s">
        <v>74</v>
      </c>
      <c r="AQ876" t="s">
        <v>74</v>
      </c>
      <c r="AR876" t="s">
        <v>74</v>
      </c>
      <c r="AS876" t="s">
        <v>74</v>
      </c>
      <c r="AT876" t="s">
        <v>633</v>
      </c>
      <c r="AU876">
        <v>2012</v>
      </c>
      <c r="AV876">
        <v>61</v>
      </c>
      <c r="AW876">
        <v>4</v>
      </c>
      <c r="AX876" t="s">
        <v>74</v>
      </c>
      <c r="AY876" t="s">
        <v>74</v>
      </c>
      <c r="AZ876" t="s">
        <v>74</v>
      </c>
      <c r="BA876" t="s">
        <v>74</v>
      </c>
      <c r="BB876">
        <v>496</v>
      </c>
      <c r="BC876">
        <v>503</v>
      </c>
      <c r="BD876" t="s">
        <v>74</v>
      </c>
      <c r="BE876" t="s">
        <v>4955</v>
      </c>
      <c r="BF876" t="str">
        <f>HYPERLINK("http://dx.doi.org/10.1016/j.yhbeh.2012.01.006","http://dx.doi.org/10.1016/j.yhbeh.2012.01.006")</f>
        <v>http://dx.doi.org/10.1016/j.yhbeh.2012.01.006</v>
      </c>
      <c r="BG876" t="s">
        <v>74</v>
      </c>
      <c r="BH876" t="s">
        <v>74</v>
      </c>
      <c r="BI876" t="s">
        <v>74</v>
      </c>
      <c r="BJ876" t="s">
        <v>74</v>
      </c>
      <c r="BK876" t="s">
        <v>74</v>
      </c>
      <c r="BL876" t="s">
        <v>74</v>
      </c>
      <c r="BM876" t="s">
        <v>74</v>
      </c>
      <c r="BN876">
        <v>22285646</v>
      </c>
      <c r="BO876" t="s">
        <v>74</v>
      </c>
      <c r="BP876" t="s">
        <v>74</v>
      </c>
      <c r="BQ876" t="s">
        <v>74</v>
      </c>
      <c r="BR876" t="s">
        <v>74</v>
      </c>
      <c r="BS876" t="s">
        <v>4956</v>
      </c>
      <c r="BT876" t="str">
        <f>HYPERLINK("https%3A%2F%2Fwww.webofscience.com%2Fwos%2Fwoscc%2Ffull-record%2FWOS:000302763700005","View Full Record in Web of Science")</f>
        <v>View Full Record in Web of Science</v>
      </c>
    </row>
    <row r="877" spans="1:72" x14ac:dyDescent="0.4">
      <c r="A877" t="s">
        <v>72</v>
      </c>
      <c r="B877" t="s">
        <v>3267</v>
      </c>
      <c r="C877" t="s">
        <v>74</v>
      </c>
      <c r="D877" t="s">
        <v>74</v>
      </c>
      <c r="E877" t="s">
        <v>74</v>
      </c>
      <c r="F877" t="s">
        <v>3268</v>
      </c>
      <c r="G877" t="s">
        <v>74</v>
      </c>
      <c r="H877" t="s">
        <v>74</v>
      </c>
      <c r="I877" t="s">
        <v>3269</v>
      </c>
      <c r="J877" t="s">
        <v>201</v>
      </c>
      <c r="K877" t="s">
        <v>74</v>
      </c>
      <c r="L877" t="s">
        <v>74</v>
      </c>
      <c r="M877" t="s">
        <v>74</v>
      </c>
      <c r="N877" t="s">
        <v>74</v>
      </c>
      <c r="O877" t="s">
        <v>74</v>
      </c>
      <c r="P877" t="s">
        <v>74</v>
      </c>
      <c r="Q877" t="s">
        <v>74</v>
      </c>
      <c r="R877" t="s">
        <v>74</v>
      </c>
      <c r="S877" t="s">
        <v>74</v>
      </c>
      <c r="T877" t="s">
        <v>74</v>
      </c>
      <c r="U877" t="s">
        <v>74</v>
      </c>
      <c r="V877" s="3" t="s">
        <v>3270</v>
      </c>
      <c r="W877" t="s">
        <v>74</v>
      </c>
      <c r="X877" t="s">
        <v>74</v>
      </c>
      <c r="Y877" t="s">
        <v>74</v>
      </c>
      <c r="Z877" t="s">
        <v>74</v>
      </c>
      <c r="AA877" t="s">
        <v>3271</v>
      </c>
      <c r="AB877" t="s">
        <v>3272</v>
      </c>
      <c r="AC877" t="s">
        <v>74</v>
      </c>
      <c r="AD877" t="s">
        <v>74</v>
      </c>
      <c r="AE877" t="s">
        <v>74</v>
      </c>
      <c r="AF877" t="s">
        <v>74</v>
      </c>
      <c r="AG877" t="s">
        <v>74</v>
      </c>
      <c r="AH877" t="s">
        <v>74</v>
      </c>
      <c r="AI877" t="s">
        <v>74</v>
      </c>
      <c r="AJ877" t="s">
        <v>74</v>
      </c>
      <c r="AK877" t="s">
        <v>74</v>
      </c>
      <c r="AL877" t="s">
        <v>74</v>
      </c>
      <c r="AM877" t="s">
        <v>74</v>
      </c>
      <c r="AN877" t="s">
        <v>74</v>
      </c>
      <c r="AO877" t="s">
        <v>203</v>
      </c>
      <c r="AP877" t="s">
        <v>1192</v>
      </c>
      <c r="AQ877" t="s">
        <v>74</v>
      </c>
      <c r="AR877" t="s">
        <v>74</v>
      </c>
      <c r="AS877" t="s">
        <v>74</v>
      </c>
      <c r="AT877" t="s">
        <v>123</v>
      </c>
      <c r="AU877">
        <v>2012</v>
      </c>
      <c r="AV877">
        <v>80</v>
      </c>
      <c r="AW877">
        <v>3</v>
      </c>
      <c r="AX877" t="s">
        <v>74</v>
      </c>
      <c r="AY877" t="s">
        <v>74</v>
      </c>
      <c r="AZ877" t="s">
        <v>74</v>
      </c>
      <c r="BA877" t="s">
        <v>74</v>
      </c>
      <c r="BB877">
        <v>722</v>
      </c>
      <c r="BC877">
        <v>727</v>
      </c>
      <c r="BD877" t="s">
        <v>74</v>
      </c>
      <c r="BE877" t="s">
        <v>3273</v>
      </c>
      <c r="BF877" t="str">
        <f>HYPERLINK("http://dx.doi.org/10.1111/j.1095-8649.2011.03212.x","http://dx.doi.org/10.1111/j.1095-8649.2011.03212.x")</f>
        <v>http://dx.doi.org/10.1111/j.1095-8649.2011.03212.x</v>
      </c>
      <c r="BG877" t="s">
        <v>74</v>
      </c>
      <c r="BH877" t="s">
        <v>74</v>
      </c>
      <c r="BI877" t="s">
        <v>74</v>
      </c>
      <c r="BJ877" t="s">
        <v>74</v>
      </c>
      <c r="BK877" t="s">
        <v>74</v>
      </c>
      <c r="BL877" t="s">
        <v>74</v>
      </c>
      <c r="BM877" t="s">
        <v>74</v>
      </c>
      <c r="BN877">
        <v>22380566</v>
      </c>
      <c r="BO877" t="s">
        <v>74</v>
      </c>
      <c r="BP877" t="s">
        <v>74</v>
      </c>
      <c r="BQ877" t="s">
        <v>74</v>
      </c>
      <c r="BR877" t="s">
        <v>74</v>
      </c>
      <c r="BS877" t="s">
        <v>3274</v>
      </c>
      <c r="BT877" t="str">
        <f>HYPERLINK("https%3A%2F%2Fwww.webofscience.com%2Fwos%2Fwoscc%2Ffull-record%2FWOS:000300933900019","View Full Record in Web of Science")</f>
        <v>View Full Record in Web of Science</v>
      </c>
    </row>
    <row r="878" spans="1:72" x14ac:dyDescent="0.4">
      <c r="A878" t="s">
        <v>72</v>
      </c>
      <c r="B878" t="s">
        <v>8318</v>
      </c>
      <c r="C878" t="s">
        <v>74</v>
      </c>
      <c r="D878" t="s">
        <v>74</v>
      </c>
      <c r="E878" t="s">
        <v>74</v>
      </c>
      <c r="F878" t="s">
        <v>8318</v>
      </c>
      <c r="G878" t="s">
        <v>74</v>
      </c>
      <c r="H878" t="s">
        <v>74</v>
      </c>
      <c r="I878" t="s">
        <v>8319</v>
      </c>
      <c r="J878" t="s">
        <v>4473</v>
      </c>
      <c r="K878" t="s">
        <v>74</v>
      </c>
      <c r="L878" t="s">
        <v>74</v>
      </c>
      <c r="M878" t="s">
        <v>74</v>
      </c>
      <c r="N878" t="s">
        <v>74</v>
      </c>
      <c r="O878" t="s">
        <v>74</v>
      </c>
      <c r="P878" t="s">
        <v>74</v>
      </c>
      <c r="Q878" t="s">
        <v>74</v>
      </c>
      <c r="R878" t="s">
        <v>74</v>
      </c>
      <c r="S878" t="s">
        <v>74</v>
      </c>
      <c r="T878" t="s">
        <v>74</v>
      </c>
      <c r="U878" t="s">
        <v>74</v>
      </c>
      <c r="V878" s="3" t="s">
        <v>8320</v>
      </c>
      <c r="W878" t="s">
        <v>74</v>
      </c>
      <c r="X878" t="s">
        <v>74</v>
      </c>
      <c r="Y878" t="s">
        <v>74</v>
      </c>
      <c r="Z878" t="s">
        <v>74</v>
      </c>
      <c r="AA878" t="s">
        <v>74</v>
      </c>
      <c r="AB878" t="s">
        <v>8321</v>
      </c>
      <c r="AC878" t="s">
        <v>74</v>
      </c>
      <c r="AD878" t="s">
        <v>74</v>
      </c>
      <c r="AE878" t="s">
        <v>74</v>
      </c>
      <c r="AF878" t="s">
        <v>74</v>
      </c>
      <c r="AG878" t="s">
        <v>74</v>
      </c>
      <c r="AH878" t="s">
        <v>74</v>
      </c>
      <c r="AI878" t="s">
        <v>74</v>
      </c>
      <c r="AJ878" t="s">
        <v>74</v>
      </c>
      <c r="AK878" t="s">
        <v>74</v>
      </c>
      <c r="AL878" t="s">
        <v>74</v>
      </c>
      <c r="AM878" t="s">
        <v>74</v>
      </c>
      <c r="AN878" t="s">
        <v>74</v>
      </c>
      <c r="AO878" t="s">
        <v>818</v>
      </c>
      <c r="AP878" t="s">
        <v>74</v>
      </c>
      <c r="AQ878" t="s">
        <v>74</v>
      </c>
      <c r="AR878" t="s">
        <v>74</v>
      </c>
      <c r="AS878" t="s">
        <v>74</v>
      </c>
      <c r="AT878" t="s">
        <v>74</v>
      </c>
      <c r="AU878">
        <v>2001</v>
      </c>
      <c r="AV878">
        <v>104</v>
      </c>
      <c r="AW878">
        <v>2</v>
      </c>
      <c r="AX878" t="s">
        <v>74</v>
      </c>
      <c r="AY878" t="s">
        <v>74</v>
      </c>
      <c r="AZ878" t="s">
        <v>74</v>
      </c>
      <c r="BA878" t="s">
        <v>74</v>
      </c>
      <c r="BB878">
        <v>91</v>
      </c>
      <c r="BC878">
        <v>97</v>
      </c>
      <c r="BD878" t="s">
        <v>74</v>
      </c>
      <c r="BE878" t="s">
        <v>8322</v>
      </c>
      <c r="BF878" t="str">
        <f>HYPERLINK("http://dx.doi.org/10.1078/0944-2006-00014","http://dx.doi.org/10.1078/0944-2006-00014")</f>
        <v>http://dx.doi.org/10.1078/0944-2006-00014</v>
      </c>
      <c r="BG878" t="s">
        <v>74</v>
      </c>
      <c r="BH878" t="s">
        <v>74</v>
      </c>
      <c r="BI878" t="s">
        <v>74</v>
      </c>
      <c r="BJ878" t="s">
        <v>74</v>
      </c>
      <c r="BK878" t="s">
        <v>74</v>
      </c>
      <c r="BL878" t="s">
        <v>74</v>
      </c>
      <c r="BM878" t="s">
        <v>74</v>
      </c>
      <c r="BN878">
        <v>16351822</v>
      </c>
      <c r="BO878" t="s">
        <v>74</v>
      </c>
      <c r="BP878" t="s">
        <v>74</v>
      </c>
      <c r="BQ878" t="s">
        <v>74</v>
      </c>
      <c r="BR878" t="s">
        <v>74</v>
      </c>
      <c r="BS878" t="s">
        <v>8323</v>
      </c>
      <c r="BT878" t="str">
        <f>HYPERLINK("https%3A%2F%2Fwww.webofscience.com%2Fwos%2Fwoscc%2Ffull-record%2FWOS:000172786700002","View Full Record in Web of Science")</f>
        <v>View Full Record in Web of Science</v>
      </c>
    </row>
    <row r="879" spans="1:72" x14ac:dyDescent="0.4">
      <c r="A879" t="s">
        <v>72</v>
      </c>
      <c r="B879" t="s">
        <v>5134</v>
      </c>
      <c r="C879" t="s">
        <v>74</v>
      </c>
      <c r="D879" t="s">
        <v>74</v>
      </c>
      <c r="E879" t="s">
        <v>74</v>
      </c>
      <c r="F879" t="s">
        <v>5135</v>
      </c>
      <c r="G879" t="s">
        <v>74</v>
      </c>
      <c r="H879" t="s">
        <v>74</v>
      </c>
      <c r="I879" t="s">
        <v>5136</v>
      </c>
      <c r="J879" t="s">
        <v>2275</v>
      </c>
      <c r="K879" t="s">
        <v>74</v>
      </c>
      <c r="L879" t="s">
        <v>74</v>
      </c>
      <c r="M879" t="s">
        <v>74</v>
      </c>
      <c r="N879" t="s">
        <v>74</v>
      </c>
      <c r="O879" t="s">
        <v>74</v>
      </c>
      <c r="P879" t="s">
        <v>74</v>
      </c>
      <c r="Q879" t="s">
        <v>74</v>
      </c>
      <c r="R879" t="s">
        <v>74</v>
      </c>
      <c r="S879" t="s">
        <v>74</v>
      </c>
      <c r="T879" t="s">
        <v>74</v>
      </c>
      <c r="U879" t="s">
        <v>74</v>
      </c>
      <c r="V879" s="3" t="s">
        <v>5137</v>
      </c>
      <c r="W879" t="s">
        <v>74</v>
      </c>
      <c r="X879" t="s">
        <v>74</v>
      </c>
      <c r="Y879" t="s">
        <v>74</v>
      </c>
      <c r="Z879" t="s">
        <v>74</v>
      </c>
      <c r="AA879" t="s">
        <v>74</v>
      </c>
      <c r="AB879" t="s">
        <v>74</v>
      </c>
      <c r="AC879" t="s">
        <v>74</v>
      </c>
      <c r="AD879" t="s">
        <v>74</v>
      </c>
      <c r="AE879" t="s">
        <v>74</v>
      </c>
      <c r="AF879" t="s">
        <v>74</v>
      </c>
      <c r="AG879" t="s">
        <v>74</v>
      </c>
      <c r="AH879" t="s">
        <v>74</v>
      </c>
      <c r="AI879" t="s">
        <v>74</v>
      </c>
      <c r="AJ879" t="s">
        <v>74</v>
      </c>
      <c r="AK879" t="s">
        <v>74</v>
      </c>
      <c r="AL879" t="s">
        <v>74</v>
      </c>
      <c r="AM879" t="s">
        <v>74</v>
      </c>
      <c r="AN879" t="s">
        <v>74</v>
      </c>
      <c r="AO879" t="s">
        <v>2279</v>
      </c>
      <c r="AP879" t="s">
        <v>2280</v>
      </c>
      <c r="AQ879" t="s">
        <v>74</v>
      </c>
      <c r="AR879" t="s">
        <v>74</v>
      </c>
      <c r="AS879" t="s">
        <v>74</v>
      </c>
      <c r="AT879" t="s">
        <v>5138</v>
      </c>
      <c r="AU879">
        <v>2015</v>
      </c>
      <c r="AV879">
        <v>13</v>
      </c>
      <c r="AW879">
        <v>1</v>
      </c>
      <c r="AX879" t="s">
        <v>74</v>
      </c>
      <c r="AY879" t="s">
        <v>74</v>
      </c>
      <c r="AZ879" t="s">
        <v>74</v>
      </c>
      <c r="BA879" t="s">
        <v>74</v>
      </c>
      <c r="BB879">
        <v>93</v>
      </c>
      <c r="BC879">
        <v>103</v>
      </c>
      <c r="BD879" t="s">
        <v>74</v>
      </c>
      <c r="BE879" t="s">
        <v>5139</v>
      </c>
      <c r="BF879" t="str">
        <f>HYPERLINK("http://dx.doi.org/10.1080/14772000.2014.968233","http://dx.doi.org/10.1080/14772000.2014.968233")</f>
        <v>http://dx.doi.org/10.1080/14772000.2014.968233</v>
      </c>
      <c r="BG879" t="s">
        <v>74</v>
      </c>
      <c r="BH879" t="s">
        <v>74</v>
      </c>
      <c r="BI879" t="s">
        <v>74</v>
      </c>
      <c r="BJ879" t="s">
        <v>74</v>
      </c>
      <c r="BK879" t="s">
        <v>74</v>
      </c>
      <c r="BL879" t="s">
        <v>74</v>
      </c>
      <c r="BM879" t="s">
        <v>74</v>
      </c>
      <c r="BN879" t="s">
        <v>74</v>
      </c>
      <c r="BO879" t="s">
        <v>74</v>
      </c>
      <c r="BP879" t="s">
        <v>74</v>
      </c>
      <c r="BQ879" t="s">
        <v>74</v>
      </c>
      <c r="BR879" t="s">
        <v>74</v>
      </c>
      <c r="BS879" t="s">
        <v>5140</v>
      </c>
      <c r="BT879" t="str">
        <f>HYPERLINK("https%3A%2F%2Fwww.webofscience.com%2Fwos%2Fwoscc%2Ffull-record%2FWOS:000345618000007","View Full Record in Web of Science")</f>
        <v>View Full Record in Web of Science</v>
      </c>
    </row>
    <row r="880" spans="1:72" ht="14.25" customHeight="1" x14ac:dyDescent="0.4">
      <c r="A880" t="s">
        <v>72</v>
      </c>
      <c r="B880" t="s">
        <v>2893</v>
      </c>
      <c r="C880" t="s">
        <v>74</v>
      </c>
      <c r="D880" t="s">
        <v>74</v>
      </c>
      <c r="E880" t="s">
        <v>74</v>
      </c>
      <c r="F880" t="s">
        <v>2894</v>
      </c>
      <c r="G880" t="s">
        <v>74</v>
      </c>
      <c r="H880" t="s">
        <v>74</v>
      </c>
      <c r="I880" t="s">
        <v>2895</v>
      </c>
      <c r="J880" t="s">
        <v>140</v>
      </c>
      <c r="K880" t="s">
        <v>74</v>
      </c>
      <c r="L880" t="s">
        <v>74</v>
      </c>
      <c r="M880" t="s">
        <v>74</v>
      </c>
      <c r="N880" t="s">
        <v>74</v>
      </c>
      <c r="O880" t="s">
        <v>74</v>
      </c>
      <c r="P880" t="s">
        <v>74</v>
      </c>
      <c r="Q880" t="s">
        <v>74</v>
      </c>
      <c r="R880" t="s">
        <v>74</v>
      </c>
      <c r="S880" t="s">
        <v>74</v>
      </c>
      <c r="T880" t="s">
        <v>74</v>
      </c>
      <c r="U880" t="s">
        <v>74</v>
      </c>
      <c r="V880" s="3" t="s">
        <v>2896</v>
      </c>
      <c r="W880" t="s">
        <v>74</v>
      </c>
      <c r="X880" t="s">
        <v>74</v>
      </c>
      <c r="Y880" t="s">
        <v>74</v>
      </c>
      <c r="Z880" t="s">
        <v>74</v>
      </c>
      <c r="AA880" t="s">
        <v>379</v>
      </c>
      <c r="AB880" t="s">
        <v>74</v>
      </c>
      <c r="AC880" t="s">
        <v>74</v>
      </c>
      <c r="AD880" t="s">
        <v>74</v>
      </c>
      <c r="AE880" t="s">
        <v>74</v>
      </c>
      <c r="AF880" t="s">
        <v>74</v>
      </c>
      <c r="AG880" t="s">
        <v>74</v>
      </c>
      <c r="AH880" t="s">
        <v>74</v>
      </c>
      <c r="AI880" t="s">
        <v>74</v>
      </c>
      <c r="AJ880" t="s">
        <v>74</v>
      </c>
      <c r="AK880" t="s">
        <v>74</v>
      </c>
      <c r="AL880" t="s">
        <v>74</v>
      </c>
      <c r="AM880" t="s">
        <v>74</v>
      </c>
      <c r="AN880" t="s">
        <v>74</v>
      </c>
      <c r="AO880" t="s">
        <v>143</v>
      </c>
      <c r="AP880" t="s">
        <v>144</v>
      </c>
      <c r="AQ880" t="s">
        <v>74</v>
      </c>
      <c r="AR880" t="s">
        <v>74</v>
      </c>
      <c r="AS880" t="s">
        <v>74</v>
      </c>
      <c r="AT880" t="s">
        <v>352</v>
      </c>
      <c r="AU880">
        <v>2017</v>
      </c>
      <c r="AV880">
        <v>131</v>
      </c>
      <c r="AW880" t="s">
        <v>74</v>
      </c>
      <c r="AX880" t="s">
        <v>74</v>
      </c>
      <c r="AY880" t="s">
        <v>74</v>
      </c>
      <c r="AZ880" t="s">
        <v>74</v>
      </c>
      <c r="BA880" t="s">
        <v>74</v>
      </c>
      <c r="BB880">
        <v>107</v>
      </c>
      <c r="BC880">
        <v>114</v>
      </c>
      <c r="BD880" t="s">
        <v>74</v>
      </c>
      <c r="BE880" t="s">
        <v>2897</v>
      </c>
      <c r="BF880" t="str">
        <f>HYPERLINK("http://dx.doi.org/10.1016/j.anbehav.2017.07.013","http://dx.doi.org/10.1016/j.anbehav.2017.07.013")</f>
        <v>http://dx.doi.org/10.1016/j.anbehav.2017.07.013</v>
      </c>
      <c r="BG880" t="s">
        <v>74</v>
      </c>
      <c r="BH880" t="s">
        <v>74</v>
      </c>
      <c r="BI880" t="s">
        <v>74</v>
      </c>
      <c r="BJ880" t="s">
        <v>74</v>
      </c>
      <c r="BK880" t="s">
        <v>74</v>
      </c>
      <c r="BL880" t="s">
        <v>74</v>
      </c>
      <c r="BM880" t="s">
        <v>74</v>
      </c>
      <c r="BN880" t="s">
        <v>74</v>
      </c>
      <c r="BO880" t="s">
        <v>74</v>
      </c>
      <c r="BP880" t="s">
        <v>74</v>
      </c>
      <c r="BQ880" t="s">
        <v>74</v>
      </c>
      <c r="BR880" t="s">
        <v>74</v>
      </c>
      <c r="BS880" t="s">
        <v>2898</v>
      </c>
      <c r="BT880" t="str">
        <f>HYPERLINK("https%3A%2F%2Fwww.webofscience.com%2Fwos%2Fwoscc%2Ffull-record%2FWOS:000410035100014","View Full Record in Web of Science")</f>
        <v>View Full Record in Web of Science</v>
      </c>
    </row>
    <row r="881" spans="1:72" x14ac:dyDescent="0.4">
      <c r="A881" t="s">
        <v>72</v>
      </c>
      <c r="B881" t="s">
        <v>1831</v>
      </c>
      <c r="C881" t="s">
        <v>74</v>
      </c>
      <c r="D881" t="s">
        <v>74</v>
      </c>
      <c r="E881" t="s">
        <v>74</v>
      </c>
      <c r="F881" t="s">
        <v>1831</v>
      </c>
      <c r="G881" t="s">
        <v>74</v>
      </c>
      <c r="H881" t="s">
        <v>74</v>
      </c>
      <c r="I881" t="s">
        <v>1832</v>
      </c>
      <c r="J881" t="s">
        <v>77</v>
      </c>
      <c r="K881" t="s">
        <v>74</v>
      </c>
      <c r="L881" t="s">
        <v>74</v>
      </c>
      <c r="M881" t="s">
        <v>74</v>
      </c>
      <c r="N881" t="s">
        <v>74</v>
      </c>
      <c r="O881" t="s">
        <v>74</v>
      </c>
      <c r="P881" t="s">
        <v>74</v>
      </c>
      <c r="Q881" t="s">
        <v>74</v>
      </c>
      <c r="R881" t="s">
        <v>74</v>
      </c>
      <c r="S881" t="s">
        <v>74</v>
      </c>
      <c r="T881" t="s">
        <v>74</v>
      </c>
      <c r="U881" t="s">
        <v>74</v>
      </c>
      <c r="V881" s="3" t="s">
        <v>1833</v>
      </c>
      <c r="W881" t="s">
        <v>74</v>
      </c>
      <c r="X881" t="s">
        <v>74</v>
      </c>
      <c r="Y881" t="s">
        <v>74</v>
      </c>
      <c r="Z881" t="s">
        <v>74</v>
      </c>
      <c r="AA881" t="s">
        <v>74</v>
      </c>
      <c r="AB881" t="s">
        <v>74</v>
      </c>
      <c r="AC881" t="s">
        <v>74</v>
      </c>
      <c r="AD881" t="s">
        <v>74</v>
      </c>
      <c r="AE881" t="s">
        <v>74</v>
      </c>
      <c r="AF881" t="s">
        <v>74</v>
      </c>
      <c r="AG881" t="s">
        <v>74</v>
      </c>
      <c r="AH881" t="s">
        <v>74</v>
      </c>
      <c r="AI881" t="s">
        <v>74</v>
      </c>
      <c r="AJ881" t="s">
        <v>74</v>
      </c>
      <c r="AK881" t="s">
        <v>74</v>
      </c>
      <c r="AL881" t="s">
        <v>74</v>
      </c>
      <c r="AM881" t="s">
        <v>74</v>
      </c>
      <c r="AN881" t="s">
        <v>74</v>
      </c>
      <c r="AO881" t="s">
        <v>81</v>
      </c>
      <c r="AP881" t="s">
        <v>82</v>
      </c>
      <c r="AQ881" t="s">
        <v>74</v>
      </c>
      <c r="AR881" t="s">
        <v>74</v>
      </c>
      <c r="AS881" t="s">
        <v>74</v>
      </c>
      <c r="AT881" t="s">
        <v>74</v>
      </c>
      <c r="AU881">
        <v>1979</v>
      </c>
      <c r="AV881">
        <v>70</v>
      </c>
      <c r="AW881" t="s">
        <v>74</v>
      </c>
      <c r="AX881" t="s">
        <v>1276</v>
      </c>
      <c r="AY881" t="s">
        <v>74</v>
      </c>
      <c r="AZ881" t="s">
        <v>74</v>
      </c>
      <c r="BA881" t="s">
        <v>74</v>
      </c>
      <c r="BB881">
        <v>323</v>
      </c>
      <c r="BC881">
        <v>336</v>
      </c>
      <c r="BD881" t="s">
        <v>74</v>
      </c>
      <c r="BE881" t="s">
        <v>1834</v>
      </c>
      <c r="BF881" t="str">
        <f>HYPERLINK("http://dx.doi.org/10.1163/156853979X00115","http://dx.doi.org/10.1163/156853979X00115")</f>
        <v>http://dx.doi.org/10.1163/156853979X00115</v>
      </c>
      <c r="BG881" t="s">
        <v>74</v>
      </c>
      <c r="BH881" t="s">
        <v>74</v>
      </c>
      <c r="BI881" t="s">
        <v>74</v>
      </c>
      <c r="BJ881" t="s">
        <v>74</v>
      </c>
      <c r="BK881" t="s">
        <v>74</v>
      </c>
      <c r="BL881" t="s">
        <v>74</v>
      </c>
      <c r="BM881" t="s">
        <v>74</v>
      </c>
      <c r="BN881" t="s">
        <v>74</v>
      </c>
      <c r="BO881" t="s">
        <v>74</v>
      </c>
      <c r="BP881" t="s">
        <v>74</v>
      </c>
      <c r="BQ881" t="s">
        <v>74</v>
      </c>
      <c r="BR881" t="s">
        <v>74</v>
      </c>
      <c r="BS881" t="s">
        <v>1835</v>
      </c>
      <c r="BT881" t="str">
        <f>HYPERLINK("https%3A%2F%2Fwww.webofscience.com%2Fwos%2Fwoscc%2Ffull-record%2FWOS:A1979HU60900006","View Full Record in Web of Science")</f>
        <v>View Full Record in Web of Science</v>
      </c>
    </row>
    <row r="882" spans="1:72" x14ac:dyDescent="0.4">
      <c r="A882" t="s">
        <v>72</v>
      </c>
      <c r="B882" t="s">
        <v>3119</v>
      </c>
      <c r="C882" t="s">
        <v>74</v>
      </c>
      <c r="D882" t="s">
        <v>74</v>
      </c>
      <c r="E882" t="s">
        <v>74</v>
      </c>
      <c r="F882" t="s">
        <v>3120</v>
      </c>
      <c r="G882" t="s">
        <v>74</v>
      </c>
      <c r="H882" t="s">
        <v>74</v>
      </c>
      <c r="I882" t="s">
        <v>3121</v>
      </c>
      <c r="J882" t="s">
        <v>218</v>
      </c>
      <c r="K882" t="s">
        <v>74</v>
      </c>
      <c r="L882" t="s">
        <v>74</v>
      </c>
      <c r="M882" t="s">
        <v>74</v>
      </c>
      <c r="N882" t="s">
        <v>74</v>
      </c>
      <c r="O882" t="s">
        <v>74</v>
      </c>
      <c r="P882" t="s">
        <v>74</v>
      </c>
      <c r="Q882" t="s">
        <v>74</v>
      </c>
      <c r="R882" t="s">
        <v>74</v>
      </c>
      <c r="S882" t="s">
        <v>74</v>
      </c>
      <c r="T882" t="s">
        <v>74</v>
      </c>
      <c r="U882" t="s">
        <v>74</v>
      </c>
      <c r="V882" s="3" t="s">
        <v>3122</v>
      </c>
      <c r="W882" t="s">
        <v>74</v>
      </c>
      <c r="X882" t="s">
        <v>74</v>
      </c>
      <c r="Y882" t="s">
        <v>74</v>
      </c>
      <c r="Z882" t="s">
        <v>74</v>
      </c>
      <c r="AA882" t="s">
        <v>74</v>
      </c>
      <c r="AB882" t="s">
        <v>74</v>
      </c>
      <c r="AC882" t="s">
        <v>74</v>
      </c>
      <c r="AD882" t="s">
        <v>74</v>
      </c>
      <c r="AE882" t="s">
        <v>74</v>
      </c>
      <c r="AF882" t="s">
        <v>74</v>
      </c>
      <c r="AG882" t="s">
        <v>74</v>
      </c>
      <c r="AH882" t="s">
        <v>74</v>
      </c>
      <c r="AI882" t="s">
        <v>74</v>
      </c>
      <c r="AJ882" t="s">
        <v>74</v>
      </c>
      <c r="AK882" t="s">
        <v>74</v>
      </c>
      <c r="AL882" t="s">
        <v>74</v>
      </c>
      <c r="AM882" t="s">
        <v>74</v>
      </c>
      <c r="AN882" t="s">
        <v>74</v>
      </c>
      <c r="AO882" t="s">
        <v>221</v>
      </c>
      <c r="AP882" t="s">
        <v>74</v>
      </c>
      <c r="AQ882" t="s">
        <v>74</v>
      </c>
      <c r="AR882" t="s">
        <v>74</v>
      </c>
      <c r="AS882" t="s">
        <v>74</v>
      </c>
      <c r="AT882" t="s">
        <v>352</v>
      </c>
      <c r="AU882">
        <v>2010</v>
      </c>
      <c r="AV882">
        <v>23</v>
      </c>
      <c r="AW882">
        <v>9</v>
      </c>
      <c r="AX882" t="s">
        <v>74</v>
      </c>
      <c r="AY882" t="s">
        <v>74</v>
      </c>
      <c r="AZ882" t="s">
        <v>74</v>
      </c>
      <c r="BA882" t="s">
        <v>74</v>
      </c>
      <c r="BB882">
        <v>1928</v>
      </c>
      <c r="BC882">
        <v>1936</v>
      </c>
      <c r="BD882" t="s">
        <v>74</v>
      </c>
      <c r="BE882" t="s">
        <v>3123</v>
      </c>
      <c r="BF882" t="str">
        <f>HYPERLINK("http://dx.doi.org/10.1111/j.1420-9101.2010.02063.x","http://dx.doi.org/10.1111/j.1420-9101.2010.02063.x")</f>
        <v>http://dx.doi.org/10.1111/j.1420-9101.2010.02063.x</v>
      </c>
      <c r="BG882" t="s">
        <v>74</v>
      </c>
      <c r="BH882" t="s">
        <v>74</v>
      </c>
      <c r="BI882" t="s">
        <v>74</v>
      </c>
      <c r="BJ882" t="s">
        <v>74</v>
      </c>
      <c r="BK882" t="s">
        <v>74</v>
      </c>
      <c r="BL882" t="s">
        <v>74</v>
      </c>
      <c r="BM882" t="s">
        <v>74</v>
      </c>
      <c r="BN882">
        <v>20695966</v>
      </c>
      <c r="BO882" t="s">
        <v>74</v>
      </c>
      <c r="BP882" t="s">
        <v>74</v>
      </c>
      <c r="BQ882" t="s">
        <v>74</v>
      </c>
      <c r="BR882" t="s">
        <v>74</v>
      </c>
      <c r="BS882" t="s">
        <v>3124</v>
      </c>
      <c r="BT882" t="str">
        <f>HYPERLINK("https%3A%2F%2Fwww.webofscience.com%2Fwos%2Fwoscc%2Ffull-record%2FWOS:000281141800011","View Full Record in Web of Science")</f>
        <v>View Full Record in Web of Science</v>
      </c>
    </row>
    <row r="883" spans="1:72" x14ac:dyDescent="0.4">
      <c r="A883" t="s">
        <v>72</v>
      </c>
      <c r="B883" t="s">
        <v>1299</v>
      </c>
      <c r="C883" t="s">
        <v>74</v>
      </c>
      <c r="D883" t="s">
        <v>74</v>
      </c>
      <c r="E883" t="s">
        <v>74</v>
      </c>
      <c r="F883" t="s">
        <v>1300</v>
      </c>
      <c r="G883" t="s">
        <v>74</v>
      </c>
      <c r="H883" t="s">
        <v>74</v>
      </c>
      <c r="I883" t="s">
        <v>1301</v>
      </c>
      <c r="J883" t="s">
        <v>1302</v>
      </c>
      <c r="K883" t="s">
        <v>74</v>
      </c>
      <c r="L883" t="s">
        <v>74</v>
      </c>
      <c r="M883" t="s">
        <v>74</v>
      </c>
      <c r="N883" t="s">
        <v>74</v>
      </c>
      <c r="O883" t="s">
        <v>74</v>
      </c>
      <c r="P883" t="s">
        <v>74</v>
      </c>
      <c r="Q883" t="s">
        <v>74</v>
      </c>
      <c r="R883" t="s">
        <v>74</v>
      </c>
      <c r="S883" t="s">
        <v>74</v>
      </c>
      <c r="T883" t="s">
        <v>74</v>
      </c>
      <c r="U883" t="s">
        <v>74</v>
      </c>
      <c r="V883" s="3" t="s">
        <v>1303</v>
      </c>
      <c r="W883" t="s">
        <v>74</v>
      </c>
      <c r="X883" t="s">
        <v>74</v>
      </c>
      <c r="Y883" t="s">
        <v>74</v>
      </c>
      <c r="Z883" t="s">
        <v>74</v>
      </c>
      <c r="AA883" t="s">
        <v>1304</v>
      </c>
      <c r="AB883" t="s">
        <v>1305</v>
      </c>
      <c r="AC883" t="s">
        <v>74</v>
      </c>
      <c r="AD883" t="s">
        <v>74</v>
      </c>
      <c r="AE883" t="s">
        <v>74</v>
      </c>
      <c r="AF883" t="s">
        <v>74</v>
      </c>
      <c r="AG883" t="s">
        <v>74</v>
      </c>
      <c r="AH883" t="s">
        <v>74</v>
      </c>
      <c r="AI883" t="s">
        <v>74</v>
      </c>
      <c r="AJ883" t="s">
        <v>74</v>
      </c>
      <c r="AK883" t="s">
        <v>74</v>
      </c>
      <c r="AL883" t="s">
        <v>74</v>
      </c>
      <c r="AM883" t="s">
        <v>74</v>
      </c>
      <c r="AN883" t="s">
        <v>74</v>
      </c>
      <c r="AO883" t="s">
        <v>1306</v>
      </c>
      <c r="AP883" t="s">
        <v>74</v>
      </c>
      <c r="AQ883" t="s">
        <v>74</v>
      </c>
      <c r="AR883" t="s">
        <v>74</v>
      </c>
      <c r="AS883" t="s">
        <v>74</v>
      </c>
      <c r="AT883" t="s">
        <v>1307</v>
      </c>
      <c r="AU883">
        <v>2009</v>
      </c>
      <c r="AV883">
        <v>7</v>
      </c>
      <c r="AW883">
        <v>4</v>
      </c>
      <c r="AX883" t="s">
        <v>74</v>
      </c>
      <c r="AY883" t="s">
        <v>74</v>
      </c>
      <c r="AZ883" t="s">
        <v>74</v>
      </c>
      <c r="BA883" t="s">
        <v>74</v>
      </c>
      <c r="BB883">
        <v>641</v>
      </c>
      <c r="BC883">
        <v>646</v>
      </c>
      <c r="BD883" t="s">
        <v>74</v>
      </c>
      <c r="BE883" t="s">
        <v>1308</v>
      </c>
      <c r="BF883" t="str">
        <f>HYPERLINK("http://dx.doi.org/10.1590/S1679-62252009000400013","http://dx.doi.org/10.1590/S1679-62252009000400013")</f>
        <v>http://dx.doi.org/10.1590/S1679-62252009000400013</v>
      </c>
      <c r="BG883" t="s">
        <v>74</v>
      </c>
      <c r="BH883" t="s">
        <v>74</v>
      </c>
      <c r="BI883" t="s">
        <v>74</v>
      </c>
      <c r="BJ883" t="s">
        <v>74</v>
      </c>
      <c r="BK883" t="s">
        <v>74</v>
      </c>
      <c r="BL883" t="s">
        <v>74</v>
      </c>
      <c r="BM883" t="s">
        <v>74</v>
      </c>
      <c r="BN883" t="s">
        <v>74</v>
      </c>
      <c r="BO883" t="s">
        <v>74</v>
      </c>
      <c r="BP883" t="s">
        <v>74</v>
      </c>
      <c r="BQ883" t="s">
        <v>74</v>
      </c>
      <c r="BR883" t="s">
        <v>74</v>
      </c>
      <c r="BS883" t="s">
        <v>1309</v>
      </c>
      <c r="BT883" t="str">
        <f>HYPERLINK("https%3A%2F%2Fwww.webofscience.com%2Fwos%2Fwoscc%2Ffull-record%2FWOS:000273613900013","View Full Record in Web of Science")</f>
        <v>View Full Record in Web of Science</v>
      </c>
    </row>
    <row r="884" spans="1:72" x14ac:dyDescent="0.4">
      <c r="A884" t="s">
        <v>72</v>
      </c>
      <c r="B884" t="s">
        <v>3753</v>
      </c>
      <c r="C884" t="s">
        <v>74</v>
      </c>
      <c r="D884" t="s">
        <v>74</v>
      </c>
      <c r="E884" t="s">
        <v>74</v>
      </c>
      <c r="F884" t="s">
        <v>3754</v>
      </c>
      <c r="G884" t="s">
        <v>74</v>
      </c>
      <c r="H884" t="s">
        <v>74</v>
      </c>
      <c r="I884" t="s">
        <v>3755</v>
      </c>
      <c r="J884" t="s">
        <v>3756</v>
      </c>
      <c r="K884" t="s">
        <v>74</v>
      </c>
      <c r="L884" t="s">
        <v>74</v>
      </c>
      <c r="M884" t="s">
        <v>74</v>
      </c>
      <c r="N884" t="s">
        <v>74</v>
      </c>
      <c r="O884" t="s">
        <v>74</v>
      </c>
      <c r="P884" t="s">
        <v>74</v>
      </c>
      <c r="Q884" t="s">
        <v>74</v>
      </c>
      <c r="R884" t="s">
        <v>74</v>
      </c>
      <c r="S884" t="s">
        <v>74</v>
      </c>
      <c r="T884" t="s">
        <v>74</v>
      </c>
      <c r="U884" t="s">
        <v>74</v>
      </c>
      <c r="V884" s="3" t="s">
        <v>3757</v>
      </c>
      <c r="W884" t="s">
        <v>74</v>
      </c>
      <c r="X884" t="s">
        <v>74</v>
      </c>
      <c r="Y884" t="s">
        <v>74</v>
      </c>
      <c r="Z884" t="s">
        <v>74</v>
      </c>
      <c r="AA884" t="s">
        <v>3758</v>
      </c>
      <c r="AB884" t="s">
        <v>3759</v>
      </c>
      <c r="AC884" t="s">
        <v>74</v>
      </c>
      <c r="AD884" t="s">
        <v>74</v>
      </c>
      <c r="AE884" t="s">
        <v>74</v>
      </c>
      <c r="AF884" t="s">
        <v>74</v>
      </c>
      <c r="AG884" t="s">
        <v>74</v>
      </c>
      <c r="AH884" t="s">
        <v>74</v>
      </c>
      <c r="AI884" t="s">
        <v>74</v>
      </c>
      <c r="AJ884" t="s">
        <v>74</v>
      </c>
      <c r="AK884" t="s">
        <v>74</v>
      </c>
      <c r="AL884" t="s">
        <v>74</v>
      </c>
      <c r="AM884" t="s">
        <v>74</v>
      </c>
      <c r="AN884" t="s">
        <v>74</v>
      </c>
      <c r="AO884" t="s">
        <v>3760</v>
      </c>
      <c r="AP884" t="s">
        <v>74</v>
      </c>
      <c r="AQ884" t="s">
        <v>74</v>
      </c>
      <c r="AR884" t="s">
        <v>74</v>
      </c>
      <c r="AS884" t="s">
        <v>74</v>
      </c>
      <c r="AT884" t="s">
        <v>175</v>
      </c>
      <c r="AU884">
        <v>2019</v>
      </c>
      <c r="AV884">
        <v>12</v>
      </c>
      <c r="AW884">
        <v>9</v>
      </c>
      <c r="AX884" t="s">
        <v>74</v>
      </c>
      <c r="AY884" t="s">
        <v>74</v>
      </c>
      <c r="AZ884" t="s">
        <v>74</v>
      </c>
      <c r="BA884" t="s">
        <v>74</v>
      </c>
      <c r="BB884">
        <v>1757</v>
      </c>
      <c r="BC884">
        <v>1771</v>
      </c>
      <c r="BD884" t="s">
        <v>74</v>
      </c>
      <c r="BE884" t="s">
        <v>3761</v>
      </c>
      <c r="BF884" t="str">
        <f>HYPERLINK("http://dx.doi.org/10.1111/eva.12830","http://dx.doi.org/10.1111/eva.12830")</f>
        <v>http://dx.doi.org/10.1111/eva.12830</v>
      </c>
      <c r="BG884" t="s">
        <v>74</v>
      </c>
      <c r="BH884" t="s">
        <v>3762</v>
      </c>
      <c r="BI884" t="s">
        <v>74</v>
      </c>
      <c r="BJ884" t="s">
        <v>74</v>
      </c>
      <c r="BK884" t="s">
        <v>74</v>
      </c>
      <c r="BL884" t="s">
        <v>74</v>
      </c>
      <c r="BM884" t="s">
        <v>74</v>
      </c>
      <c r="BN884">
        <v>31548855</v>
      </c>
      <c r="BO884" t="s">
        <v>74</v>
      </c>
      <c r="BP884" t="s">
        <v>74</v>
      </c>
      <c r="BQ884" t="s">
        <v>74</v>
      </c>
      <c r="BR884" t="s">
        <v>74</v>
      </c>
      <c r="BS884" t="s">
        <v>3763</v>
      </c>
      <c r="BT884" t="str">
        <f>HYPERLINK("https%3A%2F%2Fwww.webofscience.com%2Fwos%2Fwoscc%2Ffull-record%2FWOS:000476434800001","View Full Record in Web of Science")</f>
        <v>View Full Record in Web of Science</v>
      </c>
    </row>
    <row r="885" spans="1:72" x14ac:dyDescent="0.4">
      <c r="A885" t="s">
        <v>72</v>
      </c>
      <c r="B885" t="s">
        <v>7910</v>
      </c>
      <c r="C885" t="s">
        <v>74</v>
      </c>
      <c r="D885" t="s">
        <v>74</v>
      </c>
      <c r="E885" t="s">
        <v>74</v>
      </c>
      <c r="F885" t="s">
        <v>7911</v>
      </c>
      <c r="G885" t="s">
        <v>74</v>
      </c>
      <c r="H885" t="s">
        <v>74</v>
      </c>
      <c r="I885" t="s">
        <v>7912</v>
      </c>
      <c r="J885" t="s">
        <v>1656</v>
      </c>
      <c r="K885" t="s">
        <v>74</v>
      </c>
      <c r="L885" t="s">
        <v>74</v>
      </c>
      <c r="M885" t="s">
        <v>74</v>
      </c>
      <c r="N885" t="s">
        <v>74</v>
      </c>
      <c r="O885" t="s">
        <v>74</v>
      </c>
      <c r="P885" t="s">
        <v>74</v>
      </c>
      <c r="Q885" t="s">
        <v>74</v>
      </c>
      <c r="R885" t="s">
        <v>74</v>
      </c>
      <c r="S885" t="s">
        <v>74</v>
      </c>
      <c r="T885" t="s">
        <v>74</v>
      </c>
      <c r="U885" t="s">
        <v>74</v>
      </c>
      <c r="V885" s="3" t="s">
        <v>7913</v>
      </c>
      <c r="W885" t="s">
        <v>74</v>
      </c>
      <c r="X885" t="s">
        <v>74</v>
      </c>
      <c r="Y885" t="s">
        <v>74</v>
      </c>
      <c r="Z885" t="s">
        <v>74</v>
      </c>
      <c r="AA885" t="s">
        <v>7914</v>
      </c>
      <c r="AB885" t="s">
        <v>7915</v>
      </c>
      <c r="AC885" t="s">
        <v>74</v>
      </c>
      <c r="AD885" t="s">
        <v>74</v>
      </c>
      <c r="AE885" t="s">
        <v>74</v>
      </c>
      <c r="AF885" t="s">
        <v>74</v>
      </c>
      <c r="AG885" t="s">
        <v>74</v>
      </c>
      <c r="AH885" t="s">
        <v>74</v>
      </c>
      <c r="AI885" t="s">
        <v>74</v>
      </c>
      <c r="AJ885" t="s">
        <v>74</v>
      </c>
      <c r="AK885" t="s">
        <v>74</v>
      </c>
      <c r="AL885" t="s">
        <v>74</v>
      </c>
      <c r="AM885" t="s">
        <v>74</v>
      </c>
      <c r="AN885" t="s">
        <v>74</v>
      </c>
      <c r="AO885" t="s">
        <v>1658</v>
      </c>
      <c r="AP885" t="s">
        <v>1659</v>
      </c>
      <c r="AQ885" t="s">
        <v>74</v>
      </c>
      <c r="AR885" t="s">
        <v>74</v>
      </c>
      <c r="AS885" t="s">
        <v>74</v>
      </c>
      <c r="AT885" t="s">
        <v>7916</v>
      </c>
      <c r="AU885">
        <v>2023</v>
      </c>
      <c r="AV885">
        <v>5311</v>
      </c>
      <c r="AW885">
        <v>2</v>
      </c>
      <c r="AX885" t="s">
        <v>74</v>
      </c>
      <c r="AY885" t="s">
        <v>74</v>
      </c>
      <c r="AZ885" t="s">
        <v>74</v>
      </c>
      <c r="BA885" t="s">
        <v>74</v>
      </c>
      <c r="BB885">
        <v>232</v>
      </c>
      <c r="BC885">
        <v>250</v>
      </c>
      <c r="BD885" t="s">
        <v>74</v>
      </c>
      <c r="BE885" t="s">
        <v>7917</v>
      </c>
      <c r="BF885" t="str">
        <f>HYPERLINK("http://dx.doi.org/10.11646/zootaxa.5311.2.4","http://dx.doi.org/10.11646/zootaxa.5311.2.4")</f>
        <v>http://dx.doi.org/10.11646/zootaxa.5311.2.4</v>
      </c>
      <c r="BG885" t="s">
        <v>74</v>
      </c>
      <c r="BH885" t="s">
        <v>74</v>
      </c>
      <c r="BI885" t="s">
        <v>74</v>
      </c>
      <c r="BJ885" t="s">
        <v>74</v>
      </c>
      <c r="BK885" t="s">
        <v>74</v>
      </c>
      <c r="BL885" t="s">
        <v>74</v>
      </c>
      <c r="BM885" t="s">
        <v>74</v>
      </c>
      <c r="BN885">
        <v>37518646</v>
      </c>
      <c r="BO885" t="s">
        <v>74</v>
      </c>
      <c r="BP885" t="s">
        <v>74</v>
      </c>
      <c r="BQ885" t="s">
        <v>74</v>
      </c>
      <c r="BR885" t="s">
        <v>74</v>
      </c>
      <c r="BS885" t="s">
        <v>7918</v>
      </c>
      <c r="BT885" t="str">
        <f>HYPERLINK("https%3A%2F%2Fwww.webofscience.com%2Fwos%2Fwoscc%2Ffull-record%2FWOS:001030714500003","View Full Record in Web of Science")</f>
        <v>View Full Record in Web of Science</v>
      </c>
    </row>
    <row r="886" spans="1:72" x14ac:dyDescent="0.4">
      <c r="A886" t="s">
        <v>72</v>
      </c>
      <c r="B886" t="s">
        <v>4033</v>
      </c>
      <c r="C886" t="s">
        <v>74</v>
      </c>
      <c r="D886" t="s">
        <v>74</v>
      </c>
      <c r="E886" t="s">
        <v>74</v>
      </c>
      <c r="F886" t="s">
        <v>4034</v>
      </c>
      <c r="G886" t="s">
        <v>74</v>
      </c>
      <c r="H886" t="s">
        <v>74</v>
      </c>
      <c r="I886" t="s">
        <v>4035</v>
      </c>
      <c r="J886" t="s">
        <v>1949</v>
      </c>
      <c r="K886" t="s">
        <v>74</v>
      </c>
      <c r="L886" t="s">
        <v>74</v>
      </c>
      <c r="M886" t="s">
        <v>74</v>
      </c>
      <c r="N886" t="s">
        <v>74</v>
      </c>
      <c r="O886" t="s">
        <v>74</v>
      </c>
      <c r="P886" t="s">
        <v>74</v>
      </c>
      <c r="Q886" t="s">
        <v>74</v>
      </c>
      <c r="R886" t="s">
        <v>74</v>
      </c>
      <c r="S886" t="s">
        <v>74</v>
      </c>
      <c r="T886" t="s">
        <v>74</v>
      </c>
      <c r="U886" t="s">
        <v>74</v>
      </c>
      <c r="V886" s="3" t="s">
        <v>4036</v>
      </c>
      <c r="W886" t="s">
        <v>74</v>
      </c>
      <c r="X886" t="s">
        <v>74</v>
      </c>
      <c r="Y886" t="s">
        <v>74</v>
      </c>
      <c r="Z886" t="s">
        <v>74</v>
      </c>
      <c r="AA886" t="s">
        <v>4037</v>
      </c>
      <c r="AB886" t="s">
        <v>4038</v>
      </c>
      <c r="AC886" t="s">
        <v>74</v>
      </c>
      <c r="AD886" t="s">
        <v>74</v>
      </c>
      <c r="AE886" t="s">
        <v>74</v>
      </c>
      <c r="AF886" t="s">
        <v>74</v>
      </c>
      <c r="AG886" t="s">
        <v>74</v>
      </c>
      <c r="AH886" t="s">
        <v>74</v>
      </c>
      <c r="AI886" t="s">
        <v>74</v>
      </c>
      <c r="AJ886" t="s">
        <v>74</v>
      </c>
      <c r="AK886" t="s">
        <v>74</v>
      </c>
      <c r="AL886" t="s">
        <v>74</v>
      </c>
      <c r="AM886" t="s">
        <v>74</v>
      </c>
      <c r="AN886" t="s">
        <v>74</v>
      </c>
      <c r="AO886" t="s">
        <v>74</v>
      </c>
      <c r="AP886" t="s">
        <v>1953</v>
      </c>
      <c r="AQ886" t="s">
        <v>74</v>
      </c>
      <c r="AR886" t="s">
        <v>74</v>
      </c>
      <c r="AS886" t="s">
        <v>74</v>
      </c>
      <c r="AT886" t="s">
        <v>213</v>
      </c>
      <c r="AU886">
        <v>2020</v>
      </c>
      <c r="AV886">
        <v>11</v>
      </c>
      <c r="AW886">
        <v>11</v>
      </c>
      <c r="AX886" t="s">
        <v>74</v>
      </c>
      <c r="AY886" t="s">
        <v>74</v>
      </c>
      <c r="AZ886" t="s">
        <v>74</v>
      </c>
      <c r="BA886" t="s">
        <v>74</v>
      </c>
      <c r="BB886" t="s">
        <v>74</v>
      </c>
      <c r="BC886" t="s">
        <v>74</v>
      </c>
      <c r="BD886">
        <v>727</v>
      </c>
      <c r="BE886" t="s">
        <v>4039</v>
      </c>
      <c r="BF886" t="str">
        <f>HYPERLINK("http://dx.doi.org/10.3390/insects11110727","http://dx.doi.org/10.3390/insects11110727")</f>
        <v>http://dx.doi.org/10.3390/insects11110727</v>
      </c>
      <c r="BG886" t="s">
        <v>74</v>
      </c>
      <c r="BH886" t="s">
        <v>74</v>
      </c>
      <c r="BI886" t="s">
        <v>74</v>
      </c>
      <c r="BJ886" t="s">
        <v>74</v>
      </c>
      <c r="BK886" t="s">
        <v>74</v>
      </c>
      <c r="BL886" t="s">
        <v>74</v>
      </c>
      <c r="BM886" t="s">
        <v>74</v>
      </c>
      <c r="BN886">
        <v>33114300</v>
      </c>
      <c r="BO886" t="s">
        <v>74</v>
      </c>
      <c r="BP886" t="s">
        <v>74</v>
      </c>
      <c r="BQ886" t="s">
        <v>74</v>
      </c>
      <c r="BR886" t="s">
        <v>74</v>
      </c>
      <c r="BS886" t="s">
        <v>4040</v>
      </c>
      <c r="BT886" t="str">
        <f>HYPERLINK("https%3A%2F%2Fwww.webofscience.com%2Fwos%2Fwoscc%2Ffull-record%2FWOS:000593343100001","View Full Record in Web of Science")</f>
        <v>View Full Record in Web of Science</v>
      </c>
    </row>
    <row r="887" spans="1:72" x14ac:dyDescent="0.4">
      <c r="A887" t="s">
        <v>72</v>
      </c>
      <c r="B887" t="s">
        <v>2061</v>
      </c>
      <c r="C887" t="s">
        <v>74</v>
      </c>
      <c r="D887" t="s">
        <v>74</v>
      </c>
      <c r="E887" t="s">
        <v>74</v>
      </c>
      <c r="F887" t="s">
        <v>2062</v>
      </c>
      <c r="G887" t="s">
        <v>74</v>
      </c>
      <c r="H887" t="s">
        <v>74</v>
      </c>
      <c r="I887" t="s">
        <v>2063</v>
      </c>
      <c r="J887" t="s">
        <v>129</v>
      </c>
      <c r="K887" t="s">
        <v>74</v>
      </c>
      <c r="L887" t="s">
        <v>74</v>
      </c>
      <c r="M887" t="s">
        <v>74</v>
      </c>
      <c r="N887" t="s">
        <v>74</v>
      </c>
      <c r="O887" t="s">
        <v>74</v>
      </c>
      <c r="P887" t="s">
        <v>74</v>
      </c>
      <c r="Q887" t="s">
        <v>74</v>
      </c>
      <c r="R887" t="s">
        <v>74</v>
      </c>
      <c r="S887" t="s">
        <v>74</v>
      </c>
      <c r="T887" t="s">
        <v>74</v>
      </c>
      <c r="U887" t="s">
        <v>74</v>
      </c>
      <c r="V887" s="3" t="s">
        <v>2064</v>
      </c>
      <c r="W887" t="s">
        <v>74</v>
      </c>
      <c r="X887" t="s">
        <v>74</v>
      </c>
      <c r="Y887" t="s">
        <v>74</v>
      </c>
      <c r="Z887" t="s">
        <v>74</v>
      </c>
      <c r="AA887" t="s">
        <v>74</v>
      </c>
      <c r="AB887" t="s">
        <v>74</v>
      </c>
      <c r="AC887" t="s">
        <v>74</v>
      </c>
      <c r="AD887" t="s">
        <v>74</v>
      </c>
      <c r="AE887" t="s">
        <v>74</v>
      </c>
      <c r="AF887" t="s">
        <v>74</v>
      </c>
      <c r="AG887" t="s">
        <v>74</v>
      </c>
      <c r="AH887" t="s">
        <v>74</v>
      </c>
      <c r="AI887" t="s">
        <v>74</v>
      </c>
      <c r="AJ887" t="s">
        <v>74</v>
      </c>
      <c r="AK887" t="s">
        <v>74</v>
      </c>
      <c r="AL887" t="s">
        <v>74</v>
      </c>
      <c r="AM887" t="s">
        <v>74</v>
      </c>
      <c r="AN887" t="s">
        <v>74</v>
      </c>
      <c r="AO887" t="s">
        <v>132</v>
      </c>
      <c r="AP887" t="s">
        <v>133</v>
      </c>
      <c r="AQ887" t="s">
        <v>74</v>
      </c>
      <c r="AR887" t="s">
        <v>74</v>
      </c>
      <c r="AS887" t="s">
        <v>74</v>
      </c>
      <c r="AT887" t="s">
        <v>204</v>
      </c>
      <c r="AU887">
        <v>2024</v>
      </c>
      <c r="AV887">
        <v>78</v>
      </c>
      <c r="AW887">
        <v>7</v>
      </c>
      <c r="AX887" t="s">
        <v>74</v>
      </c>
      <c r="AY887" t="s">
        <v>74</v>
      </c>
      <c r="AZ887" t="s">
        <v>74</v>
      </c>
      <c r="BA887" t="s">
        <v>74</v>
      </c>
      <c r="BB887" t="s">
        <v>74</v>
      </c>
      <c r="BC887" t="s">
        <v>74</v>
      </c>
      <c r="BD887">
        <v>78</v>
      </c>
      <c r="BE887" t="s">
        <v>2065</v>
      </c>
      <c r="BF887" t="str">
        <f>HYPERLINK("http://dx.doi.org/10.1007/s00265-024-03493-0","http://dx.doi.org/10.1007/s00265-024-03493-0")</f>
        <v>http://dx.doi.org/10.1007/s00265-024-03493-0</v>
      </c>
      <c r="BG887" t="s">
        <v>74</v>
      </c>
      <c r="BH887" t="s">
        <v>74</v>
      </c>
      <c r="BI887" t="s">
        <v>74</v>
      </c>
      <c r="BJ887" t="s">
        <v>74</v>
      </c>
      <c r="BK887" t="s">
        <v>74</v>
      </c>
      <c r="BL887" t="s">
        <v>74</v>
      </c>
      <c r="BM887" t="s">
        <v>74</v>
      </c>
      <c r="BN887" t="s">
        <v>74</v>
      </c>
      <c r="BO887" t="s">
        <v>74</v>
      </c>
      <c r="BP887" t="s">
        <v>74</v>
      </c>
      <c r="BQ887" t="s">
        <v>74</v>
      </c>
      <c r="BR887" t="s">
        <v>74</v>
      </c>
      <c r="BS887" t="s">
        <v>2066</v>
      </c>
      <c r="BT887" t="str">
        <f>HYPERLINK("https%3A%2F%2Fwww.webofscience.com%2Fwos%2Fwoscc%2Ffull-record%2FWOS:001262286100002","View Full Record in Web of Science")</f>
        <v>View Full Record in Web of Science</v>
      </c>
    </row>
    <row r="888" spans="1:72" x14ac:dyDescent="0.4">
      <c r="A888" t="s">
        <v>72</v>
      </c>
      <c r="B888" t="s">
        <v>2214</v>
      </c>
      <c r="C888" t="s">
        <v>74</v>
      </c>
      <c r="D888" t="s">
        <v>74</v>
      </c>
      <c r="E888" t="s">
        <v>74</v>
      </c>
      <c r="F888" t="s">
        <v>2215</v>
      </c>
      <c r="G888" t="s">
        <v>74</v>
      </c>
      <c r="H888" t="s">
        <v>74</v>
      </c>
      <c r="I888" t="s">
        <v>2216</v>
      </c>
      <c r="J888" t="s">
        <v>192</v>
      </c>
      <c r="K888" t="s">
        <v>74</v>
      </c>
      <c r="L888" t="s">
        <v>74</v>
      </c>
      <c r="M888" t="s">
        <v>74</v>
      </c>
      <c r="N888" t="s">
        <v>74</v>
      </c>
      <c r="O888" t="s">
        <v>74</v>
      </c>
      <c r="P888" t="s">
        <v>74</v>
      </c>
      <c r="Q888" t="s">
        <v>74</v>
      </c>
      <c r="R888" t="s">
        <v>74</v>
      </c>
      <c r="S888" t="s">
        <v>74</v>
      </c>
      <c r="T888" t="s">
        <v>74</v>
      </c>
      <c r="U888" t="s">
        <v>74</v>
      </c>
      <c r="V888" s="3" t="s">
        <v>2217</v>
      </c>
      <c r="W888" t="s">
        <v>74</v>
      </c>
      <c r="X888" t="s">
        <v>74</v>
      </c>
      <c r="Y888" t="s">
        <v>74</v>
      </c>
      <c r="Z888" t="s">
        <v>74</v>
      </c>
      <c r="AA888" t="s">
        <v>2218</v>
      </c>
      <c r="AB888" t="s">
        <v>2219</v>
      </c>
      <c r="AC888" t="s">
        <v>74</v>
      </c>
      <c r="AD888" t="s">
        <v>74</v>
      </c>
      <c r="AE888" t="s">
        <v>74</v>
      </c>
      <c r="AF888" t="s">
        <v>74</v>
      </c>
      <c r="AG888" t="s">
        <v>74</v>
      </c>
      <c r="AH888" t="s">
        <v>74</v>
      </c>
      <c r="AI888" t="s">
        <v>74</v>
      </c>
      <c r="AJ888" t="s">
        <v>74</v>
      </c>
      <c r="AK888" t="s">
        <v>74</v>
      </c>
      <c r="AL888" t="s">
        <v>74</v>
      </c>
      <c r="AM888" t="s">
        <v>74</v>
      </c>
      <c r="AN888" t="s">
        <v>74</v>
      </c>
      <c r="AO888" t="s">
        <v>195</v>
      </c>
      <c r="AP888" t="s">
        <v>196</v>
      </c>
      <c r="AQ888" t="s">
        <v>74</v>
      </c>
      <c r="AR888" t="s">
        <v>74</v>
      </c>
      <c r="AS888" t="s">
        <v>74</v>
      </c>
      <c r="AT888" t="s">
        <v>134</v>
      </c>
      <c r="AU888">
        <v>2019</v>
      </c>
      <c r="AV888">
        <v>833</v>
      </c>
      <c r="AW888">
        <v>1</v>
      </c>
      <c r="AX888" t="s">
        <v>74</v>
      </c>
      <c r="AY888" t="s">
        <v>74</v>
      </c>
      <c r="AZ888" t="s">
        <v>74</v>
      </c>
      <c r="BA888" t="s">
        <v>74</v>
      </c>
      <c r="BB888">
        <v>185</v>
      </c>
      <c r="BC888">
        <v>196</v>
      </c>
      <c r="BD888" t="s">
        <v>74</v>
      </c>
      <c r="BE888" t="s">
        <v>2220</v>
      </c>
      <c r="BF888" t="str">
        <f>HYPERLINK("http://dx.doi.org/10.1007/s10750-019-3899-6","http://dx.doi.org/10.1007/s10750-019-3899-6")</f>
        <v>http://dx.doi.org/10.1007/s10750-019-3899-6</v>
      </c>
      <c r="BG888" t="s">
        <v>74</v>
      </c>
      <c r="BH888" t="s">
        <v>74</v>
      </c>
      <c r="BI888" t="s">
        <v>74</v>
      </c>
      <c r="BJ888" t="s">
        <v>74</v>
      </c>
      <c r="BK888" t="s">
        <v>74</v>
      </c>
      <c r="BL888" t="s">
        <v>74</v>
      </c>
      <c r="BM888" t="s">
        <v>74</v>
      </c>
      <c r="BN888" t="s">
        <v>74</v>
      </c>
      <c r="BO888" t="s">
        <v>74</v>
      </c>
      <c r="BP888" t="s">
        <v>74</v>
      </c>
      <c r="BQ888" t="s">
        <v>74</v>
      </c>
      <c r="BR888" t="s">
        <v>74</v>
      </c>
      <c r="BS888" t="s">
        <v>2221</v>
      </c>
      <c r="BT888" t="str">
        <f>HYPERLINK("https%3A%2F%2Fwww.webofscience.com%2Fwos%2Fwoscc%2Ffull-record%2FWOS:000460694400013","View Full Record in Web of Science")</f>
        <v>View Full Record in Web of Science</v>
      </c>
    </row>
    <row r="889" spans="1:72" x14ac:dyDescent="0.4">
      <c r="A889" t="s">
        <v>72</v>
      </c>
      <c r="B889" t="s">
        <v>6497</v>
      </c>
      <c r="C889" t="s">
        <v>74</v>
      </c>
      <c r="D889" t="s">
        <v>74</v>
      </c>
      <c r="E889" t="s">
        <v>74</v>
      </c>
      <c r="F889" t="s">
        <v>6498</v>
      </c>
      <c r="G889" t="s">
        <v>74</v>
      </c>
      <c r="H889" t="s">
        <v>74</v>
      </c>
      <c r="I889" t="s">
        <v>6499</v>
      </c>
      <c r="J889" t="s">
        <v>5577</v>
      </c>
      <c r="K889" t="s">
        <v>74</v>
      </c>
      <c r="L889" t="s">
        <v>74</v>
      </c>
      <c r="M889" t="s">
        <v>74</v>
      </c>
      <c r="N889" t="s">
        <v>74</v>
      </c>
      <c r="O889" t="s">
        <v>74</v>
      </c>
      <c r="P889" t="s">
        <v>74</v>
      </c>
      <c r="Q889" t="s">
        <v>74</v>
      </c>
      <c r="R889" t="s">
        <v>74</v>
      </c>
      <c r="S889" t="s">
        <v>74</v>
      </c>
      <c r="T889" t="s">
        <v>74</v>
      </c>
      <c r="U889" t="s">
        <v>74</v>
      </c>
      <c r="V889" s="3" t="s">
        <v>6500</v>
      </c>
      <c r="W889" t="s">
        <v>74</v>
      </c>
      <c r="X889" t="s">
        <v>74</v>
      </c>
      <c r="Y889" t="s">
        <v>74</v>
      </c>
      <c r="Z889" t="s">
        <v>74</v>
      </c>
      <c r="AA889" t="s">
        <v>74</v>
      </c>
      <c r="AB889" t="s">
        <v>74</v>
      </c>
      <c r="AC889" t="s">
        <v>74</v>
      </c>
      <c r="AD889" t="s">
        <v>74</v>
      </c>
      <c r="AE889" t="s">
        <v>74</v>
      </c>
      <c r="AF889" t="s">
        <v>74</v>
      </c>
      <c r="AG889" t="s">
        <v>74</v>
      </c>
      <c r="AH889" t="s">
        <v>74</v>
      </c>
      <c r="AI889" t="s">
        <v>74</v>
      </c>
      <c r="AJ889" t="s">
        <v>74</v>
      </c>
      <c r="AK889" t="s">
        <v>74</v>
      </c>
      <c r="AL889" t="s">
        <v>74</v>
      </c>
      <c r="AM889" t="s">
        <v>74</v>
      </c>
      <c r="AN889" t="s">
        <v>74</v>
      </c>
      <c r="AO889" t="s">
        <v>5579</v>
      </c>
      <c r="AP889" t="s">
        <v>74</v>
      </c>
      <c r="AQ889" t="s">
        <v>74</v>
      </c>
      <c r="AR889" t="s">
        <v>74</v>
      </c>
      <c r="AS889" t="s">
        <v>74</v>
      </c>
      <c r="AT889" t="s">
        <v>102</v>
      </c>
      <c r="AU889">
        <v>2023</v>
      </c>
      <c r="AV889">
        <v>102</v>
      </c>
      <c r="AW889">
        <v>6</v>
      </c>
      <c r="AX889" t="s">
        <v>74</v>
      </c>
      <c r="AY889" t="s">
        <v>74</v>
      </c>
      <c r="AZ889" t="s">
        <v>74</v>
      </c>
      <c r="BA889" t="s">
        <v>74</v>
      </c>
      <c r="BB889">
        <v>657</v>
      </c>
      <c r="BC889">
        <v>674</v>
      </c>
      <c r="BD889" t="s">
        <v>74</v>
      </c>
      <c r="BE889" t="s">
        <v>6501</v>
      </c>
      <c r="BF889" t="str">
        <f>HYPERLINK("http://dx.doi.org/10.31857/S0044513423060120","http://dx.doi.org/10.31857/S0044513423060120")</f>
        <v>http://dx.doi.org/10.31857/S0044513423060120</v>
      </c>
      <c r="BG889" t="s">
        <v>74</v>
      </c>
      <c r="BH889" t="s">
        <v>74</v>
      </c>
      <c r="BI889" t="s">
        <v>74</v>
      </c>
      <c r="BJ889" t="s">
        <v>74</v>
      </c>
      <c r="BK889" t="s">
        <v>74</v>
      </c>
      <c r="BL889" t="s">
        <v>74</v>
      </c>
      <c r="BM889" t="s">
        <v>74</v>
      </c>
      <c r="BN889" t="s">
        <v>74</v>
      </c>
      <c r="BO889" t="s">
        <v>74</v>
      </c>
      <c r="BP889" t="s">
        <v>74</v>
      </c>
      <c r="BQ889" t="s">
        <v>74</v>
      </c>
      <c r="BR889" t="s">
        <v>74</v>
      </c>
      <c r="BS889" t="s">
        <v>6502</v>
      </c>
      <c r="BT889" t="str">
        <f>HYPERLINK("https%3A%2F%2Fwww.webofscience.com%2Fwos%2Fwoscc%2Ffull-record%2FWOS:001044376400004","View Full Record in Web of Science")</f>
        <v>View Full Record in Web of Science</v>
      </c>
    </row>
    <row r="890" spans="1:72" x14ac:dyDescent="0.4">
      <c r="A890" t="s">
        <v>72</v>
      </c>
      <c r="B890" t="s">
        <v>5295</v>
      </c>
      <c r="C890" t="s">
        <v>74</v>
      </c>
      <c r="D890" t="s">
        <v>74</v>
      </c>
      <c r="E890" t="s">
        <v>74</v>
      </c>
      <c r="F890" t="s">
        <v>5295</v>
      </c>
      <c r="G890" t="s">
        <v>74</v>
      </c>
      <c r="H890" t="s">
        <v>74</v>
      </c>
      <c r="I890" t="s">
        <v>5296</v>
      </c>
      <c r="J890" t="s">
        <v>77</v>
      </c>
      <c r="K890" t="s">
        <v>74</v>
      </c>
      <c r="L890" t="s">
        <v>74</v>
      </c>
      <c r="M890" t="s">
        <v>74</v>
      </c>
      <c r="N890" t="s">
        <v>74</v>
      </c>
      <c r="O890" t="s">
        <v>74</v>
      </c>
      <c r="P890" t="s">
        <v>74</v>
      </c>
      <c r="Q890" t="s">
        <v>74</v>
      </c>
      <c r="R890" t="s">
        <v>74</v>
      </c>
      <c r="S890" t="s">
        <v>74</v>
      </c>
      <c r="T890" t="s">
        <v>74</v>
      </c>
      <c r="U890" t="s">
        <v>74</v>
      </c>
      <c r="V890" s="3" t="s">
        <v>5297</v>
      </c>
      <c r="W890" t="s">
        <v>74</v>
      </c>
      <c r="X890" t="s">
        <v>74</v>
      </c>
      <c r="Y890" t="s">
        <v>74</v>
      </c>
      <c r="Z890" t="s">
        <v>74</v>
      </c>
      <c r="AA890" t="s">
        <v>5298</v>
      </c>
      <c r="AB890" t="s">
        <v>5299</v>
      </c>
      <c r="AC890" t="s">
        <v>74</v>
      </c>
      <c r="AD890" t="s">
        <v>74</v>
      </c>
      <c r="AE890" t="s">
        <v>74</v>
      </c>
      <c r="AF890" t="s">
        <v>74</v>
      </c>
      <c r="AG890" t="s">
        <v>74</v>
      </c>
      <c r="AH890" t="s">
        <v>74</v>
      </c>
      <c r="AI890" t="s">
        <v>74</v>
      </c>
      <c r="AJ890" t="s">
        <v>74</v>
      </c>
      <c r="AK890" t="s">
        <v>74</v>
      </c>
      <c r="AL890" t="s">
        <v>74</v>
      </c>
      <c r="AM890" t="s">
        <v>74</v>
      </c>
      <c r="AN890" t="s">
        <v>74</v>
      </c>
      <c r="AO890" t="s">
        <v>81</v>
      </c>
      <c r="AP890" t="s">
        <v>74</v>
      </c>
      <c r="AQ890" t="s">
        <v>74</v>
      </c>
      <c r="AR890" t="s">
        <v>74</v>
      </c>
      <c r="AS890" t="s">
        <v>74</v>
      </c>
      <c r="AT890" t="s">
        <v>145</v>
      </c>
      <c r="AU890">
        <v>1997</v>
      </c>
      <c r="AV890">
        <v>134</v>
      </c>
      <c r="AW890" t="s">
        <v>74</v>
      </c>
      <c r="AX890" t="s">
        <v>5300</v>
      </c>
      <c r="AY890" t="s">
        <v>74</v>
      </c>
      <c r="AZ890" t="s">
        <v>74</v>
      </c>
      <c r="BA890" t="s">
        <v>74</v>
      </c>
      <c r="BB890">
        <v>727</v>
      </c>
      <c r="BC890">
        <v>747</v>
      </c>
      <c r="BD890" t="s">
        <v>74</v>
      </c>
      <c r="BE890" t="s">
        <v>5301</v>
      </c>
      <c r="BF890" t="str">
        <f>HYPERLINK("http://dx.doi.org/10.1163/156853997X00043","http://dx.doi.org/10.1163/156853997X00043")</f>
        <v>http://dx.doi.org/10.1163/156853997X00043</v>
      </c>
      <c r="BG890" t="s">
        <v>74</v>
      </c>
      <c r="BH890" t="s">
        <v>74</v>
      </c>
      <c r="BI890" t="s">
        <v>74</v>
      </c>
      <c r="BJ890" t="s">
        <v>74</v>
      </c>
      <c r="BK890" t="s">
        <v>74</v>
      </c>
      <c r="BL890" t="s">
        <v>74</v>
      </c>
      <c r="BM890" t="s">
        <v>74</v>
      </c>
      <c r="BN890" t="s">
        <v>74</v>
      </c>
      <c r="BO890" t="s">
        <v>74</v>
      </c>
      <c r="BP890" t="s">
        <v>74</v>
      </c>
      <c r="BQ890" t="s">
        <v>74</v>
      </c>
      <c r="BR890" t="s">
        <v>74</v>
      </c>
      <c r="BS890" t="s">
        <v>5302</v>
      </c>
      <c r="BT890" t="str">
        <f>HYPERLINK("https%3A%2F%2Fwww.webofscience.com%2Fwos%2Fwoscc%2Ffull-record%2FWOS:A1997XY18500004","View Full Record in Web of Science")</f>
        <v>View Full Record in Web of Science</v>
      </c>
    </row>
    <row r="891" spans="1:72" x14ac:dyDescent="0.4">
      <c r="A891" t="s">
        <v>72</v>
      </c>
      <c r="B891" t="s">
        <v>444</v>
      </c>
      <c r="C891" t="s">
        <v>74</v>
      </c>
      <c r="D891" t="s">
        <v>74</v>
      </c>
      <c r="E891" t="s">
        <v>74</v>
      </c>
      <c r="F891" t="s">
        <v>445</v>
      </c>
      <c r="G891" t="s">
        <v>74</v>
      </c>
      <c r="H891" t="s">
        <v>74</v>
      </c>
      <c r="I891" t="s">
        <v>446</v>
      </c>
      <c r="J891" t="s">
        <v>108</v>
      </c>
      <c r="K891" t="s">
        <v>74</v>
      </c>
      <c r="L891" t="s">
        <v>74</v>
      </c>
      <c r="M891" t="s">
        <v>74</v>
      </c>
      <c r="N891" t="s">
        <v>74</v>
      </c>
      <c r="O891" t="s">
        <v>74</v>
      </c>
      <c r="P891" t="s">
        <v>74</v>
      </c>
      <c r="Q891" t="s">
        <v>74</v>
      </c>
      <c r="R891" t="s">
        <v>74</v>
      </c>
      <c r="S891" t="s">
        <v>74</v>
      </c>
      <c r="T891" t="s">
        <v>74</v>
      </c>
      <c r="U891" t="s">
        <v>74</v>
      </c>
      <c r="V891" s="3" t="s">
        <v>447</v>
      </c>
      <c r="W891" t="s">
        <v>74</v>
      </c>
      <c r="X891" t="s">
        <v>74</v>
      </c>
      <c r="Y891" t="s">
        <v>74</v>
      </c>
      <c r="Z891" t="s">
        <v>74</v>
      </c>
      <c r="AA891" t="s">
        <v>448</v>
      </c>
      <c r="AB891" t="s">
        <v>449</v>
      </c>
      <c r="AC891" t="s">
        <v>74</v>
      </c>
      <c r="AD891" t="s">
        <v>74</v>
      </c>
      <c r="AE891" t="s">
        <v>74</v>
      </c>
      <c r="AF891" t="s">
        <v>74</v>
      </c>
      <c r="AG891" t="s">
        <v>74</v>
      </c>
      <c r="AH891" t="s">
        <v>74</v>
      </c>
      <c r="AI891" t="s">
        <v>74</v>
      </c>
      <c r="AJ891" t="s">
        <v>74</v>
      </c>
      <c r="AK891" t="s">
        <v>74</v>
      </c>
      <c r="AL891" t="s">
        <v>74</v>
      </c>
      <c r="AM891" t="s">
        <v>74</v>
      </c>
      <c r="AN891" t="s">
        <v>74</v>
      </c>
      <c r="AO891" t="s">
        <v>111</v>
      </c>
      <c r="AP891" t="s">
        <v>112</v>
      </c>
      <c r="AQ891" t="s">
        <v>74</v>
      </c>
      <c r="AR891" t="s">
        <v>74</v>
      </c>
      <c r="AS891" t="s">
        <v>74</v>
      </c>
      <c r="AT891" t="s">
        <v>450</v>
      </c>
      <c r="AU891">
        <v>2021</v>
      </c>
      <c r="AV891">
        <v>288</v>
      </c>
      <c r="AW891">
        <v>1947</v>
      </c>
      <c r="AX891" t="s">
        <v>74</v>
      </c>
      <c r="AY891" t="s">
        <v>74</v>
      </c>
      <c r="AZ891" t="s">
        <v>74</v>
      </c>
      <c r="BA891" t="s">
        <v>74</v>
      </c>
      <c r="BB891" t="s">
        <v>74</v>
      </c>
      <c r="BC891" t="s">
        <v>74</v>
      </c>
      <c r="BD891">
        <v>20210256</v>
      </c>
      <c r="BE891" t="s">
        <v>451</v>
      </c>
      <c r="BF891" t="str">
        <f>HYPERLINK("http://dx.doi.org/10.1098/rspb.2021.0256","http://dx.doi.org/10.1098/rspb.2021.0256")</f>
        <v>http://dx.doi.org/10.1098/rspb.2021.0256</v>
      </c>
      <c r="BG891" t="s">
        <v>74</v>
      </c>
      <c r="BH891" t="s">
        <v>74</v>
      </c>
      <c r="BI891" t="s">
        <v>74</v>
      </c>
      <c r="BJ891" t="s">
        <v>74</v>
      </c>
      <c r="BK891" t="s">
        <v>74</v>
      </c>
      <c r="BL891" t="s">
        <v>74</v>
      </c>
      <c r="BM891" t="s">
        <v>74</v>
      </c>
      <c r="BN891">
        <v>33784866</v>
      </c>
      <c r="BO891" t="s">
        <v>74</v>
      </c>
      <c r="BP891" t="s">
        <v>74</v>
      </c>
      <c r="BQ891" t="s">
        <v>74</v>
      </c>
      <c r="BR891" t="s">
        <v>74</v>
      </c>
      <c r="BS891" t="s">
        <v>452</v>
      </c>
      <c r="BT891" t="str">
        <f>HYPERLINK("https%3A%2F%2Fwww.webofscience.com%2Fwos%2Fwoscc%2Ffull-record%2FWOS:000636370000005","View Full Record in Web of Science")</f>
        <v>View Full Record in Web of Science</v>
      </c>
    </row>
    <row r="892" spans="1:72" x14ac:dyDescent="0.4">
      <c r="A892" t="s">
        <v>72</v>
      </c>
      <c r="B892" t="s">
        <v>7999</v>
      </c>
      <c r="C892" t="s">
        <v>74</v>
      </c>
      <c r="D892" t="s">
        <v>74</v>
      </c>
      <c r="E892" t="s">
        <v>74</v>
      </c>
      <c r="F892" t="s">
        <v>8000</v>
      </c>
      <c r="G892" t="s">
        <v>74</v>
      </c>
      <c r="H892" t="s">
        <v>74</v>
      </c>
      <c r="I892" t="s">
        <v>8001</v>
      </c>
      <c r="J892" t="s">
        <v>1949</v>
      </c>
      <c r="K892" t="s">
        <v>74</v>
      </c>
      <c r="L892" t="s">
        <v>74</v>
      </c>
      <c r="M892" t="s">
        <v>74</v>
      </c>
      <c r="N892" t="s">
        <v>74</v>
      </c>
      <c r="O892" t="s">
        <v>74</v>
      </c>
      <c r="P892" t="s">
        <v>74</v>
      </c>
      <c r="Q892" t="s">
        <v>74</v>
      </c>
      <c r="R892" t="s">
        <v>74</v>
      </c>
      <c r="S892" t="s">
        <v>74</v>
      </c>
      <c r="T892" t="s">
        <v>74</v>
      </c>
      <c r="U892" t="s">
        <v>74</v>
      </c>
      <c r="V892" s="3" t="s">
        <v>8002</v>
      </c>
      <c r="W892" t="s">
        <v>74</v>
      </c>
      <c r="X892" t="s">
        <v>74</v>
      </c>
      <c r="Y892" t="s">
        <v>74</v>
      </c>
      <c r="Z892" t="s">
        <v>74</v>
      </c>
      <c r="AA892" t="s">
        <v>8003</v>
      </c>
      <c r="AB892" t="s">
        <v>8004</v>
      </c>
      <c r="AC892" t="s">
        <v>74</v>
      </c>
      <c r="AD892" t="s">
        <v>74</v>
      </c>
      <c r="AE892" t="s">
        <v>74</v>
      </c>
      <c r="AF892" t="s">
        <v>74</v>
      </c>
      <c r="AG892" t="s">
        <v>74</v>
      </c>
      <c r="AH892" t="s">
        <v>74</v>
      </c>
      <c r="AI892" t="s">
        <v>74</v>
      </c>
      <c r="AJ892" t="s">
        <v>74</v>
      </c>
      <c r="AK892" t="s">
        <v>74</v>
      </c>
      <c r="AL892" t="s">
        <v>74</v>
      </c>
      <c r="AM892" t="s">
        <v>74</v>
      </c>
      <c r="AN892" t="s">
        <v>74</v>
      </c>
      <c r="AO892" t="s">
        <v>74</v>
      </c>
      <c r="AP892" t="s">
        <v>1953</v>
      </c>
      <c r="AQ892" t="s">
        <v>74</v>
      </c>
      <c r="AR892" t="s">
        <v>74</v>
      </c>
      <c r="AS892" t="s">
        <v>74</v>
      </c>
      <c r="AT892" t="s">
        <v>213</v>
      </c>
      <c r="AU892">
        <v>2020</v>
      </c>
      <c r="AV892">
        <v>11</v>
      </c>
      <c r="AW892">
        <v>11</v>
      </c>
      <c r="AX892" t="s">
        <v>74</v>
      </c>
      <c r="AY892" t="s">
        <v>74</v>
      </c>
      <c r="AZ892" t="s">
        <v>74</v>
      </c>
      <c r="BA892" t="s">
        <v>74</v>
      </c>
      <c r="BB892" t="s">
        <v>74</v>
      </c>
      <c r="BC892" t="s">
        <v>74</v>
      </c>
      <c r="BD892">
        <v>800</v>
      </c>
      <c r="BE892" t="s">
        <v>8005</v>
      </c>
      <c r="BF892" t="str">
        <f>HYPERLINK("http://dx.doi.org/10.3390/insects11110800","http://dx.doi.org/10.3390/insects11110800")</f>
        <v>http://dx.doi.org/10.3390/insects11110800</v>
      </c>
      <c r="BG892" t="s">
        <v>74</v>
      </c>
      <c r="BH892" t="s">
        <v>74</v>
      </c>
      <c r="BI892" t="s">
        <v>74</v>
      </c>
      <c r="BJ892" t="s">
        <v>74</v>
      </c>
      <c r="BK892" t="s">
        <v>74</v>
      </c>
      <c r="BL892" t="s">
        <v>74</v>
      </c>
      <c r="BM892" t="s">
        <v>74</v>
      </c>
      <c r="BN892">
        <v>33202846</v>
      </c>
      <c r="BO892" t="s">
        <v>74</v>
      </c>
      <c r="BP892" t="s">
        <v>74</v>
      </c>
      <c r="BQ892" t="s">
        <v>74</v>
      </c>
      <c r="BR892" t="s">
        <v>74</v>
      </c>
      <c r="BS892" t="s">
        <v>8006</v>
      </c>
      <c r="BT892" t="str">
        <f>HYPERLINK("https%3A%2F%2Fwww.webofscience.com%2Fwos%2Fwoscc%2Ffull-record%2FWOS:000593180700001","View Full Record in Web of Science")</f>
        <v>View Full Record in Web of Science</v>
      </c>
    </row>
    <row r="893" spans="1:72" x14ac:dyDescent="0.4">
      <c r="A893" t="s">
        <v>72</v>
      </c>
      <c r="B893" t="s">
        <v>942</v>
      </c>
      <c r="C893" t="s">
        <v>74</v>
      </c>
      <c r="D893" t="s">
        <v>74</v>
      </c>
      <c r="E893" t="s">
        <v>74</v>
      </c>
      <c r="F893" t="s">
        <v>943</v>
      </c>
      <c r="G893" t="s">
        <v>74</v>
      </c>
      <c r="H893" t="s">
        <v>74</v>
      </c>
      <c r="I893" t="s">
        <v>944</v>
      </c>
      <c r="J893" t="s">
        <v>140</v>
      </c>
      <c r="K893" t="s">
        <v>74</v>
      </c>
      <c r="L893" t="s">
        <v>74</v>
      </c>
      <c r="M893" t="s">
        <v>74</v>
      </c>
      <c r="N893" t="s">
        <v>74</v>
      </c>
      <c r="O893" t="s">
        <v>74</v>
      </c>
      <c r="P893" t="s">
        <v>74</v>
      </c>
      <c r="Q893" t="s">
        <v>74</v>
      </c>
      <c r="R893" t="s">
        <v>74</v>
      </c>
      <c r="S893" t="s">
        <v>74</v>
      </c>
      <c r="T893" t="s">
        <v>74</v>
      </c>
      <c r="U893" t="s">
        <v>74</v>
      </c>
      <c r="V893" s="3" t="s">
        <v>945</v>
      </c>
      <c r="W893" t="s">
        <v>74</v>
      </c>
      <c r="X893" t="s">
        <v>74</v>
      </c>
      <c r="Y893" t="s">
        <v>74</v>
      </c>
      <c r="Z893" t="s">
        <v>74</v>
      </c>
      <c r="AA893" t="s">
        <v>946</v>
      </c>
      <c r="AB893" t="s">
        <v>947</v>
      </c>
      <c r="AC893" t="s">
        <v>74</v>
      </c>
      <c r="AD893" t="s">
        <v>74</v>
      </c>
      <c r="AE893" t="s">
        <v>74</v>
      </c>
      <c r="AF893" t="s">
        <v>74</v>
      </c>
      <c r="AG893" t="s">
        <v>74</v>
      </c>
      <c r="AH893" t="s">
        <v>74</v>
      </c>
      <c r="AI893" t="s">
        <v>74</v>
      </c>
      <c r="AJ893" t="s">
        <v>74</v>
      </c>
      <c r="AK893" t="s">
        <v>74</v>
      </c>
      <c r="AL893" t="s">
        <v>74</v>
      </c>
      <c r="AM893" t="s">
        <v>74</v>
      </c>
      <c r="AN893" t="s">
        <v>74</v>
      </c>
      <c r="AO893" t="s">
        <v>143</v>
      </c>
      <c r="AP893" t="s">
        <v>144</v>
      </c>
      <c r="AQ893" t="s">
        <v>74</v>
      </c>
      <c r="AR893" t="s">
        <v>74</v>
      </c>
      <c r="AS893" t="s">
        <v>74</v>
      </c>
      <c r="AT893" t="s">
        <v>305</v>
      </c>
      <c r="AU893">
        <v>2020</v>
      </c>
      <c r="AV893">
        <v>170</v>
      </c>
      <c r="AW893" t="s">
        <v>74</v>
      </c>
      <c r="AX893" t="s">
        <v>74</v>
      </c>
      <c r="AY893" t="s">
        <v>74</v>
      </c>
      <c r="AZ893" t="s">
        <v>74</v>
      </c>
      <c r="BA893" t="s">
        <v>74</v>
      </c>
      <c r="BB893">
        <v>219</v>
      </c>
      <c r="BC893">
        <v>228</v>
      </c>
      <c r="BD893" t="s">
        <v>74</v>
      </c>
      <c r="BE893" t="s">
        <v>948</v>
      </c>
      <c r="BF893" t="str">
        <f>HYPERLINK("http://dx.doi.org/10.1016/j.anbehav.2020.10.008","http://dx.doi.org/10.1016/j.anbehav.2020.10.008")</f>
        <v>http://dx.doi.org/10.1016/j.anbehav.2020.10.008</v>
      </c>
      <c r="BG893" t="s">
        <v>74</v>
      </c>
      <c r="BH893" t="s">
        <v>74</v>
      </c>
      <c r="BI893" t="s">
        <v>74</v>
      </c>
      <c r="BJ893" t="s">
        <v>74</v>
      </c>
      <c r="BK893" t="s">
        <v>74</v>
      </c>
      <c r="BL893" t="s">
        <v>74</v>
      </c>
      <c r="BM893" t="s">
        <v>74</v>
      </c>
      <c r="BN893" t="s">
        <v>74</v>
      </c>
      <c r="BO893" t="s">
        <v>74</v>
      </c>
      <c r="BP893" t="s">
        <v>74</v>
      </c>
      <c r="BQ893" t="s">
        <v>74</v>
      </c>
      <c r="BR893" t="s">
        <v>74</v>
      </c>
      <c r="BS893" t="s">
        <v>949</v>
      </c>
      <c r="BT893" t="str">
        <f>HYPERLINK("https%3A%2F%2Fwww.webofscience.com%2Fwos%2Fwoscc%2Ffull-record%2FWOS:000598905300020","View Full Record in Web of Science")</f>
        <v>View Full Record in Web of Science</v>
      </c>
    </row>
    <row r="894" spans="1:72" x14ac:dyDescent="0.4">
      <c r="A894" t="s">
        <v>72</v>
      </c>
      <c r="B894" t="s">
        <v>6503</v>
      </c>
      <c r="C894" t="s">
        <v>74</v>
      </c>
      <c r="D894" t="s">
        <v>74</v>
      </c>
      <c r="E894" t="s">
        <v>74</v>
      </c>
      <c r="F894" t="s">
        <v>6503</v>
      </c>
      <c r="G894" t="s">
        <v>74</v>
      </c>
      <c r="H894" t="s">
        <v>74</v>
      </c>
      <c r="I894" t="s">
        <v>6504</v>
      </c>
      <c r="J894" t="s">
        <v>1198</v>
      </c>
      <c r="K894" t="s">
        <v>74</v>
      </c>
      <c r="L894" t="s">
        <v>74</v>
      </c>
      <c r="M894" t="s">
        <v>74</v>
      </c>
      <c r="N894" t="s">
        <v>74</v>
      </c>
      <c r="O894" t="s">
        <v>74</v>
      </c>
      <c r="P894" t="s">
        <v>74</v>
      </c>
      <c r="Q894" t="s">
        <v>74</v>
      </c>
      <c r="R894" t="s">
        <v>74</v>
      </c>
      <c r="S894" t="s">
        <v>74</v>
      </c>
      <c r="T894" t="s">
        <v>74</v>
      </c>
      <c r="U894" t="s">
        <v>74</v>
      </c>
      <c r="V894" s="3" t="s">
        <v>6505</v>
      </c>
      <c r="W894" t="s">
        <v>74</v>
      </c>
      <c r="X894" t="s">
        <v>74</v>
      </c>
      <c r="Y894" t="s">
        <v>74</v>
      </c>
      <c r="Z894" t="s">
        <v>74</v>
      </c>
      <c r="AA894" t="s">
        <v>6506</v>
      </c>
      <c r="AB894" t="s">
        <v>6507</v>
      </c>
      <c r="AC894" t="s">
        <v>74</v>
      </c>
      <c r="AD894" t="s">
        <v>74</v>
      </c>
      <c r="AE894" t="s">
        <v>74</v>
      </c>
      <c r="AF894" t="s">
        <v>74</v>
      </c>
      <c r="AG894" t="s">
        <v>74</v>
      </c>
      <c r="AH894" t="s">
        <v>74</v>
      </c>
      <c r="AI894" t="s">
        <v>74</v>
      </c>
      <c r="AJ894" t="s">
        <v>74</v>
      </c>
      <c r="AK894" t="s">
        <v>74</v>
      </c>
      <c r="AL894" t="s">
        <v>74</v>
      </c>
      <c r="AM894" t="s">
        <v>74</v>
      </c>
      <c r="AN894" t="s">
        <v>74</v>
      </c>
      <c r="AO894" t="s">
        <v>1202</v>
      </c>
      <c r="AP894" t="s">
        <v>1203</v>
      </c>
      <c r="AQ894" t="s">
        <v>74</v>
      </c>
      <c r="AR894" t="s">
        <v>74</v>
      </c>
      <c r="AS894" t="s">
        <v>74</v>
      </c>
      <c r="AT894" t="s">
        <v>102</v>
      </c>
      <c r="AU894">
        <v>2005</v>
      </c>
      <c r="AV894">
        <v>61</v>
      </c>
      <c r="AW894">
        <v>2</v>
      </c>
      <c r="AX894" t="s">
        <v>74</v>
      </c>
      <c r="AY894" t="s">
        <v>74</v>
      </c>
      <c r="AZ894" t="s">
        <v>74</v>
      </c>
      <c r="BA894" t="s">
        <v>74</v>
      </c>
      <c r="BB894">
        <v>178</v>
      </c>
      <c r="BC894">
        <v>198</v>
      </c>
      <c r="BD894" t="s">
        <v>74</v>
      </c>
      <c r="BE894" t="s">
        <v>6508</v>
      </c>
      <c r="BF894" t="str">
        <f>HYPERLINK("http://dx.doi.org/10.1655/04-38","http://dx.doi.org/10.1655/04-38")</f>
        <v>http://dx.doi.org/10.1655/04-38</v>
      </c>
      <c r="BG894" t="s">
        <v>74</v>
      </c>
      <c r="BH894" t="s">
        <v>74</v>
      </c>
      <c r="BI894" t="s">
        <v>74</v>
      </c>
      <c r="BJ894" t="s">
        <v>74</v>
      </c>
      <c r="BK894" t="s">
        <v>74</v>
      </c>
      <c r="BL894" t="s">
        <v>74</v>
      </c>
      <c r="BM894" t="s">
        <v>74</v>
      </c>
      <c r="BN894" t="s">
        <v>74</v>
      </c>
      <c r="BO894" t="s">
        <v>74</v>
      </c>
      <c r="BP894" t="s">
        <v>74</v>
      </c>
      <c r="BQ894" t="s">
        <v>74</v>
      </c>
      <c r="BR894" t="s">
        <v>74</v>
      </c>
      <c r="BS894" t="s">
        <v>6509</v>
      </c>
      <c r="BT894" t="str">
        <f>HYPERLINK("https%3A%2F%2Fwww.webofscience.com%2Fwos%2Fwoscc%2Ffull-record%2FWOS:000229100000010","View Full Record in Web of Science")</f>
        <v>View Full Record in Web of Science</v>
      </c>
    </row>
    <row r="895" spans="1:72" x14ac:dyDescent="0.4">
      <c r="A895" t="s">
        <v>72</v>
      </c>
      <c r="B895" t="s">
        <v>607</v>
      </c>
      <c r="C895" t="s">
        <v>74</v>
      </c>
      <c r="D895" t="s">
        <v>74</v>
      </c>
      <c r="E895" t="s">
        <v>74</v>
      </c>
      <c r="F895" t="s">
        <v>608</v>
      </c>
      <c r="G895" t="s">
        <v>74</v>
      </c>
      <c r="H895" t="s">
        <v>74</v>
      </c>
      <c r="I895" t="s">
        <v>609</v>
      </c>
      <c r="J895" t="s">
        <v>610</v>
      </c>
      <c r="K895" t="s">
        <v>74</v>
      </c>
      <c r="L895" t="s">
        <v>74</v>
      </c>
      <c r="M895" t="s">
        <v>74</v>
      </c>
      <c r="N895" t="s">
        <v>74</v>
      </c>
      <c r="O895" t="s">
        <v>74</v>
      </c>
      <c r="P895" t="s">
        <v>74</v>
      </c>
      <c r="Q895" t="s">
        <v>74</v>
      </c>
      <c r="R895" t="s">
        <v>74</v>
      </c>
      <c r="S895" t="s">
        <v>74</v>
      </c>
      <c r="T895" t="s">
        <v>74</v>
      </c>
      <c r="U895" t="s">
        <v>74</v>
      </c>
      <c r="V895" s="3" t="s">
        <v>611</v>
      </c>
      <c r="W895" t="s">
        <v>74</v>
      </c>
      <c r="X895" t="s">
        <v>74</v>
      </c>
      <c r="Y895" t="s">
        <v>74</v>
      </c>
      <c r="Z895" t="s">
        <v>74</v>
      </c>
      <c r="AA895" t="s">
        <v>612</v>
      </c>
      <c r="AB895" t="s">
        <v>613</v>
      </c>
      <c r="AC895" t="s">
        <v>74</v>
      </c>
      <c r="AD895" t="s">
        <v>74</v>
      </c>
      <c r="AE895" t="s">
        <v>74</v>
      </c>
      <c r="AF895" t="s">
        <v>74</v>
      </c>
      <c r="AG895" t="s">
        <v>74</v>
      </c>
      <c r="AH895" t="s">
        <v>74</v>
      </c>
      <c r="AI895" t="s">
        <v>74</v>
      </c>
      <c r="AJ895" t="s">
        <v>74</v>
      </c>
      <c r="AK895" t="s">
        <v>74</v>
      </c>
      <c r="AL895" t="s">
        <v>74</v>
      </c>
      <c r="AM895" t="s">
        <v>74</v>
      </c>
      <c r="AN895" t="s">
        <v>74</v>
      </c>
      <c r="AO895" t="s">
        <v>614</v>
      </c>
      <c r="AP895" t="s">
        <v>615</v>
      </c>
      <c r="AQ895" t="s">
        <v>74</v>
      </c>
      <c r="AR895" t="s">
        <v>74</v>
      </c>
      <c r="AS895" t="s">
        <v>74</v>
      </c>
      <c r="AT895" t="s">
        <v>352</v>
      </c>
      <c r="AU895">
        <v>2020</v>
      </c>
      <c r="AV895">
        <v>126</v>
      </c>
      <c r="AW895">
        <v>9</v>
      </c>
      <c r="AX895" t="s">
        <v>74</v>
      </c>
      <c r="AY895" t="s">
        <v>74</v>
      </c>
      <c r="AZ895" t="s">
        <v>74</v>
      </c>
      <c r="BA895" t="s">
        <v>74</v>
      </c>
      <c r="BB895">
        <v>900</v>
      </c>
      <c r="BC895">
        <v>913</v>
      </c>
      <c r="BD895" t="s">
        <v>74</v>
      </c>
      <c r="BE895" t="s">
        <v>616</v>
      </c>
      <c r="BF895" t="str">
        <f>HYPERLINK("http://dx.doi.org/10.1111/eth.13067","http://dx.doi.org/10.1111/eth.13067")</f>
        <v>http://dx.doi.org/10.1111/eth.13067</v>
      </c>
      <c r="BG895" t="s">
        <v>74</v>
      </c>
      <c r="BH895" t="s">
        <v>617</v>
      </c>
      <c r="BI895" t="s">
        <v>74</v>
      </c>
      <c r="BJ895" t="s">
        <v>74</v>
      </c>
      <c r="BK895" t="s">
        <v>74</v>
      </c>
      <c r="BL895" t="s">
        <v>74</v>
      </c>
      <c r="BM895" t="s">
        <v>74</v>
      </c>
      <c r="BN895" t="s">
        <v>74</v>
      </c>
      <c r="BO895" t="s">
        <v>74</v>
      </c>
      <c r="BP895" t="s">
        <v>74</v>
      </c>
      <c r="BQ895" t="s">
        <v>74</v>
      </c>
      <c r="BR895" t="s">
        <v>74</v>
      </c>
      <c r="BS895" t="s">
        <v>618</v>
      </c>
      <c r="BT895" t="str">
        <f>HYPERLINK("https%3A%2F%2Fwww.webofscience.com%2Fwos%2Fwoscc%2Ffull-record%2FWOS:000538660200001","View Full Record in Web of Science")</f>
        <v>View Full Record in Web of Science</v>
      </c>
    </row>
    <row r="896" spans="1:72" x14ac:dyDescent="0.4">
      <c r="A896" t="s">
        <v>72</v>
      </c>
      <c r="B896" t="s">
        <v>4315</v>
      </c>
      <c r="C896" t="s">
        <v>74</v>
      </c>
      <c r="D896" t="s">
        <v>74</v>
      </c>
      <c r="E896" t="s">
        <v>74</v>
      </c>
      <c r="F896" t="s">
        <v>4316</v>
      </c>
      <c r="G896" t="s">
        <v>74</v>
      </c>
      <c r="H896" t="s">
        <v>74</v>
      </c>
      <c r="I896" t="s">
        <v>4317</v>
      </c>
      <c r="J896" t="s">
        <v>4318</v>
      </c>
      <c r="K896" t="s">
        <v>74</v>
      </c>
      <c r="L896" t="s">
        <v>74</v>
      </c>
      <c r="M896" t="s">
        <v>74</v>
      </c>
      <c r="N896" t="s">
        <v>74</v>
      </c>
      <c r="O896" t="s">
        <v>74</v>
      </c>
      <c r="P896" t="s">
        <v>74</v>
      </c>
      <c r="Q896" t="s">
        <v>74</v>
      </c>
      <c r="R896" t="s">
        <v>74</v>
      </c>
      <c r="S896" t="s">
        <v>74</v>
      </c>
      <c r="T896" t="s">
        <v>74</v>
      </c>
      <c r="U896" t="s">
        <v>74</v>
      </c>
      <c r="V896" s="3" t="s">
        <v>4319</v>
      </c>
      <c r="W896" t="s">
        <v>74</v>
      </c>
      <c r="X896" t="s">
        <v>74</v>
      </c>
      <c r="Y896" t="s">
        <v>74</v>
      </c>
      <c r="Z896" t="s">
        <v>74</v>
      </c>
      <c r="AA896" t="s">
        <v>74</v>
      </c>
      <c r="AB896" t="s">
        <v>4320</v>
      </c>
      <c r="AC896" t="s">
        <v>74</v>
      </c>
      <c r="AD896" t="s">
        <v>74</v>
      </c>
      <c r="AE896" t="s">
        <v>74</v>
      </c>
      <c r="AF896" t="s">
        <v>74</v>
      </c>
      <c r="AG896" t="s">
        <v>74</v>
      </c>
      <c r="AH896" t="s">
        <v>74</v>
      </c>
      <c r="AI896" t="s">
        <v>74</v>
      </c>
      <c r="AJ896" t="s">
        <v>74</v>
      </c>
      <c r="AK896" t="s">
        <v>74</v>
      </c>
      <c r="AL896" t="s">
        <v>74</v>
      </c>
      <c r="AM896" t="s">
        <v>74</v>
      </c>
      <c r="AN896" t="s">
        <v>74</v>
      </c>
      <c r="AO896" t="s">
        <v>4321</v>
      </c>
      <c r="AP896" t="s">
        <v>4322</v>
      </c>
      <c r="AQ896" t="s">
        <v>74</v>
      </c>
      <c r="AR896" t="s">
        <v>74</v>
      </c>
      <c r="AS896" t="s">
        <v>74</v>
      </c>
      <c r="AT896" t="s">
        <v>204</v>
      </c>
      <c r="AU896">
        <v>2022</v>
      </c>
      <c r="AV896">
        <v>110</v>
      </c>
      <c r="AW896">
        <v>2</v>
      </c>
      <c r="AX896" t="s">
        <v>74</v>
      </c>
      <c r="AY896" t="s">
        <v>74</v>
      </c>
      <c r="AZ896" t="s">
        <v>74</v>
      </c>
      <c r="BA896" t="s">
        <v>74</v>
      </c>
      <c r="BB896">
        <v>340</v>
      </c>
      <c r="BC896">
        <v>349</v>
      </c>
      <c r="BD896" t="s">
        <v>74</v>
      </c>
      <c r="BE896" t="s">
        <v>4323</v>
      </c>
      <c r="BF896" t="str">
        <f>HYPERLINK("http://dx.doi.org/10.1643/h2021025","http://dx.doi.org/10.1643/h2021025")</f>
        <v>http://dx.doi.org/10.1643/h2021025</v>
      </c>
      <c r="BG896" t="s">
        <v>74</v>
      </c>
      <c r="BH896" t="s">
        <v>74</v>
      </c>
      <c r="BI896" t="s">
        <v>74</v>
      </c>
      <c r="BJ896" t="s">
        <v>74</v>
      </c>
      <c r="BK896" t="s">
        <v>74</v>
      </c>
      <c r="BL896" t="s">
        <v>74</v>
      </c>
      <c r="BM896" t="s">
        <v>74</v>
      </c>
      <c r="BN896" t="s">
        <v>74</v>
      </c>
      <c r="BO896" t="s">
        <v>74</v>
      </c>
      <c r="BP896" t="s">
        <v>74</v>
      </c>
      <c r="BQ896" t="s">
        <v>74</v>
      </c>
      <c r="BR896" t="s">
        <v>74</v>
      </c>
      <c r="BS896" t="s">
        <v>4324</v>
      </c>
      <c r="BT896" t="str">
        <f>HYPERLINK("https%3A%2F%2Fwww.webofscience.com%2Fwos%2Fwoscc%2Ffull-record%2FWOS:000836735000011","View Full Record in Web of Science")</f>
        <v>View Full Record in Web of Science</v>
      </c>
    </row>
    <row r="897" spans="1:72" x14ac:dyDescent="0.4">
      <c r="A897" t="s">
        <v>72</v>
      </c>
      <c r="B897" t="s">
        <v>2886</v>
      </c>
      <c r="C897" t="s">
        <v>74</v>
      </c>
      <c r="D897" t="s">
        <v>74</v>
      </c>
      <c r="E897" t="s">
        <v>74</v>
      </c>
      <c r="F897" t="s">
        <v>2887</v>
      </c>
      <c r="G897" t="s">
        <v>74</v>
      </c>
      <c r="H897" t="s">
        <v>74</v>
      </c>
      <c r="I897" t="s">
        <v>2888</v>
      </c>
      <c r="J897" t="s">
        <v>218</v>
      </c>
      <c r="K897" t="s">
        <v>74</v>
      </c>
      <c r="L897" t="s">
        <v>74</v>
      </c>
      <c r="M897" t="s">
        <v>74</v>
      </c>
      <c r="N897" t="s">
        <v>74</v>
      </c>
      <c r="O897" t="s">
        <v>74</v>
      </c>
      <c r="P897" t="s">
        <v>74</v>
      </c>
      <c r="Q897" t="s">
        <v>74</v>
      </c>
      <c r="R897" t="s">
        <v>74</v>
      </c>
      <c r="S897" t="s">
        <v>74</v>
      </c>
      <c r="T897" t="s">
        <v>74</v>
      </c>
      <c r="U897" t="s">
        <v>74</v>
      </c>
      <c r="V897" s="3" t="s">
        <v>2889</v>
      </c>
      <c r="W897" t="s">
        <v>74</v>
      </c>
      <c r="X897" t="s">
        <v>74</v>
      </c>
      <c r="Y897" t="s">
        <v>74</v>
      </c>
      <c r="Z897" t="s">
        <v>74</v>
      </c>
      <c r="AA897" t="s">
        <v>74</v>
      </c>
      <c r="AB897" t="s">
        <v>2890</v>
      </c>
      <c r="AC897" t="s">
        <v>74</v>
      </c>
      <c r="AD897" t="s">
        <v>74</v>
      </c>
      <c r="AE897" t="s">
        <v>74</v>
      </c>
      <c r="AF897" t="s">
        <v>74</v>
      </c>
      <c r="AG897" t="s">
        <v>74</v>
      </c>
      <c r="AH897" t="s">
        <v>74</v>
      </c>
      <c r="AI897" t="s">
        <v>74</v>
      </c>
      <c r="AJ897" t="s">
        <v>74</v>
      </c>
      <c r="AK897" t="s">
        <v>74</v>
      </c>
      <c r="AL897" t="s">
        <v>74</v>
      </c>
      <c r="AM897" t="s">
        <v>74</v>
      </c>
      <c r="AN897" t="s">
        <v>74</v>
      </c>
      <c r="AO897" t="s">
        <v>221</v>
      </c>
      <c r="AP897" t="s">
        <v>222</v>
      </c>
      <c r="AQ897" t="s">
        <v>74</v>
      </c>
      <c r="AR897" t="s">
        <v>74</v>
      </c>
      <c r="AS897" t="s">
        <v>74</v>
      </c>
      <c r="AT897" t="s">
        <v>964</v>
      </c>
      <c r="AU897">
        <v>2016</v>
      </c>
      <c r="AV897">
        <v>29</v>
      </c>
      <c r="AW897">
        <v>2</v>
      </c>
      <c r="AX897" t="s">
        <v>74</v>
      </c>
      <c r="AY897" t="s">
        <v>74</v>
      </c>
      <c r="AZ897" t="s">
        <v>74</v>
      </c>
      <c r="BA897" t="s">
        <v>74</v>
      </c>
      <c r="BB897">
        <v>380</v>
      </c>
      <c r="BC897">
        <v>394</v>
      </c>
      <c r="BD897" t="s">
        <v>74</v>
      </c>
      <c r="BE897" t="s">
        <v>2891</v>
      </c>
      <c r="BF897" t="str">
        <f>HYPERLINK("http://dx.doi.org/10.1111/jeb.12793","http://dx.doi.org/10.1111/jeb.12793")</f>
        <v>http://dx.doi.org/10.1111/jeb.12793</v>
      </c>
      <c r="BG897" t="s">
        <v>74</v>
      </c>
      <c r="BH897" t="s">
        <v>74</v>
      </c>
      <c r="BI897" t="s">
        <v>74</v>
      </c>
      <c r="BJ897" t="s">
        <v>74</v>
      </c>
      <c r="BK897" t="s">
        <v>74</v>
      </c>
      <c r="BL897" t="s">
        <v>74</v>
      </c>
      <c r="BM897" t="s">
        <v>74</v>
      </c>
      <c r="BN897">
        <v>26563617</v>
      </c>
      <c r="BO897" t="s">
        <v>74</v>
      </c>
      <c r="BP897" t="s">
        <v>74</v>
      </c>
      <c r="BQ897" t="s">
        <v>74</v>
      </c>
      <c r="BR897" t="s">
        <v>74</v>
      </c>
      <c r="BS897" t="s">
        <v>2892</v>
      </c>
      <c r="BT897" t="str">
        <f>HYPERLINK("https%3A%2F%2Fwww.webofscience.com%2Fwos%2Fwoscc%2Ffull-record%2FWOS:000370070500014","View Full Record in Web of Science")</f>
        <v>View Full Record in Web of Science</v>
      </c>
    </row>
    <row r="898" spans="1:72" x14ac:dyDescent="0.4">
      <c r="A898" t="s">
        <v>72</v>
      </c>
      <c r="B898" t="s">
        <v>3764</v>
      </c>
      <c r="C898" t="s">
        <v>74</v>
      </c>
      <c r="D898" t="s">
        <v>74</v>
      </c>
      <c r="E898" t="s">
        <v>74</v>
      </c>
      <c r="F898" t="s">
        <v>3764</v>
      </c>
      <c r="G898" t="s">
        <v>74</v>
      </c>
      <c r="H898" t="s">
        <v>74</v>
      </c>
      <c r="I898" t="s">
        <v>3765</v>
      </c>
      <c r="J898" t="s">
        <v>2207</v>
      </c>
      <c r="K898" t="s">
        <v>74</v>
      </c>
      <c r="L898" t="s">
        <v>74</v>
      </c>
      <c r="M898" t="s">
        <v>74</v>
      </c>
      <c r="N898" t="s">
        <v>74</v>
      </c>
      <c r="O898" t="s">
        <v>74</v>
      </c>
      <c r="P898" t="s">
        <v>74</v>
      </c>
      <c r="Q898" t="s">
        <v>74</v>
      </c>
      <c r="R898" t="s">
        <v>74</v>
      </c>
      <c r="S898" t="s">
        <v>74</v>
      </c>
      <c r="T898" t="s">
        <v>74</v>
      </c>
      <c r="U898" t="s">
        <v>74</v>
      </c>
      <c r="V898" s="3" t="s">
        <v>3766</v>
      </c>
      <c r="W898" t="s">
        <v>74</v>
      </c>
      <c r="X898" t="s">
        <v>74</v>
      </c>
      <c r="Y898" t="s">
        <v>74</v>
      </c>
      <c r="Z898" t="s">
        <v>74</v>
      </c>
      <c r="AA898" t="s">
        <v>3767</v>
      </c>
      <c r="AB898" t="s">
        <v>3768</v>
      </c>
      <c r="AC898" t="s">
        <v>74</v>
      </c>
      <c r="AD898" t="s">
        <v>74</v>
      </c>
      <c r="AE898" t="s">
        <v>74</v>
      </c>
      <c r="AF898" t="s">
        <v>74</v>
      </c>
      <c r="AG898" t="s">
        <v>74</v>
      </c>
      <c r="AH898" t="s">
        <v>74</v>
      </c>
      <c r="AI898" t="s">
        <v>74</v>
      </c>
      <c r="AJ898" t="s">
        <v>74</v>
      </c>
      <c r="AK898" t="s">
        <v>74</v>
      </c>
      <c r="AL898" t="s">
        <v>74</v>
      </c>
      <c r="AM898" t="s">
        <v>74</v>
      </c>
      <c r="AN898" t="s">
        <v>74</v>
      </c>
      <c r="AO898" t="s">
        <v>2211</v>
      </c>
      <c r="AP898" t="s">
        <v>2461</v>
      </c>
      <c r="AQ898" t="s">
        <v>74</v>
      </c>
      <c r="AR898" t="s">
        <v>74</v>
      </c>
      <c r="AS898" t="s">
        <v>74</v>
      </c>
      <c r="AT898" t="s">
        <v>213</v>
      </c>
      <c r="AU898">
        <v>2004</v>
      </c>
      <c r="AV898">
        <v>35</v>
      </c>
      <c r="AW898">
        <v>6</v>
      </c>
      <c r="AX898" t="s">
        <v>74</v>
      </c>
      <c r="AY898" t="s">
        <v>74</v>
      </c>
      <c r="AZ898" t="s">
        <v>74</v>
      </c>
      <c r="BA898" t="s">
        <v>74</v>
      </c>
      <c r="BB898">
        <v>492</v>
      </c>
      <c r="BC898">
        <v>500</v>
      </c>
      <c r="BD898" t="s">
        <v>74</v>
      </c>
      <c r="BE898" t="s">
        <v>3769</v>
      </c>
      <c r="BF898" t="str">
        <f>HYPERLINK("http://dx.doi.org/10.1111/j.0908-8857.2004.03294.x","http://dx.doi.org/10.1111/j.0908-8857.2004.03294.x")</f>
        <v>http://dx.doi.org/10.1111/j.0908-8857.2004.03294.x</v>
      </c>
      <c r="BG898" t="s">
        <v>74</v>
      </c>
      <c r="BH898" t="s">
        <v>74</v>
      </c>
      <c r="BI898" t="s">
        <v>74</v>
      </c>
      <c r="BJ898" t="s">
        <v>74</v>
      </c>
      <c r="BK898" t="s">
        <v>74</v>
      </c>
      <c r="BL898" t="s">
        <v>74</v>
      </c>
      <c r="BM898" t="s">
        <v>74</v>
      </c>
      <c r="BN898" t="s">
        <v>74</v>
      </c>
      <c r="BO898" t="s">
        <v>74</v>
      </c>
      <c r="BP898" t="s">
        <v>74</v>
      </c>
      <c r="BQ898" t="s">
        <v>74</v>
      </c>
      <c r="BR898" t="s">
        <v>74</v>
      </c>
      <c r="BS898" t="s">
        <v>3770</v>
      </c>
      <c r="BT898" t="str">
        <f>HYPERLINK("https%3A%2F%2Fwww.webofscience.com%2Fwos%2Fwoscc%2Ffull-record%2FWOS:000225224600007","View Full Record in Web of Science")</f>
        <v>View Full Record in Web of Science</v>
      </c>
    </row>
    <row r="899" spans="1:72" x14ac:dyDescent="0.4">
      <c r="A899" t="s">
        <v>72</v>
      </c>
      <c r="B899" t="s">
        <v>1671</v>
      </c>
      <c r="C899" t="s">
        <v>74</v>
      </c>
      <c r="D899" t="s">
        <v>74</v>
      </c>
      <c r="E899" t="s">
        <v>74</v>
      </c>
      <c r="F899" t="s">
        <v>1671</v>
      </c>
      <c r="G899" t="s">
        <v>74</v>
      </c>
      <c r="H899" t="s">
        <v>74</v>
      </c>
      <c r="I899" t="s">
        <v>1672</v>
      </c>
      <c r="J899" t="s">
        <v>1673</v>
      </c>
      <c r="K899" t="s">
        <v>74</v>
      </c>
      <c r="L899" t="s">
        <v>74</v>
      </c>
      <c r="M899" t="s">
        <v>74</v>
      </c>
      <c r="N899" t="s">
        <v>74</v>
      </c>
      <c r="O899" t="s">
        <v>74</v>
      </c>
      <c r="P899" t="s">
        <v>74</v>
      </c>
      <c r="Q899" t="s">
        <v>74</v>
      </c>
      <c r="R899" t="s">
        <v>74</v>
      </c>
      <c r="S899" t="s">
        <v>74</v>
      </c>
      <c r="T899" t="s">
        <v>74</v>
      </c>
      <c r="U899" t="s">
        <v>74</v>
      </c>
      <c r="V899" s="3" t="s">
        <v>1674</v>
      </c>
      <c r="W899" t="s">
        <v>74</v>
      </c>
      <c r="X899" t="s">
        <v>74</v>
      </c>
      <c r="Y899" t="s">
        <v>74</v>
      </c>
      <c r="Z899" t="s">
        <v>74</v>
      </c>
      <c r="AA899" t="s">
        <v>74</v>
      </c>
      <c r="AB899" t="s">
        <v>74</v>
      </c>
      <c r="AC899" t="s">
        <v>74</v>
      </c>
      <c r="AD899" t="s">
        <v>74</v>
      </c>
      <c r="AE899" t="s">
        <v>74</v>
      </c>
      <c r="AF899" t="s">
        <v>74</v>
      </c>
      <c r="AG899" t="s">
        <v>74</v>
      </c>
      <c r="AH899" t="s">
        <v>74</v>
      </c>
      <c r="AI899" t="s">
        <v>74</v>
      </c>
      <c r="AJ899" t="s">
        <v>74</v>
      </c>
      <c r="AK899" t="s">
        <v>74</v>
      </c>
      <c r="AL899" t="s">
        <v>74</v>
      </c>
      <c r="AM899" t="s">
        <v>74</v>
      </c>
      <c r="AN899" t="s">
        <v>74</v>
      </c>
      <c r="AO899" t="s">
        <v>1239</v>
      </c>
      <c r="AP899" t="s">
        <v>1675</v>
      </c>
      <c r="AQ899" t="s">
        <v>74</v>
      </c>
      <c r="AR899" t="s">
        <v>74</v>
      </c>
      <c r="AS899" t="s">
        <v>74</v>
      </c>
      <c r="AT899" t="s">
        <v>74</v>
      </c>
      <c r="AU899">
        <v>1984</v>
      </c>
      <c r="AV899">
        <v>62</v>
      </c>
      <c r="AW899">
        <v>6</v>
      </c>
      <c r="AX899" t="s">
        <v>74</v>
      </c>
      <c r="AY899" t="s">
        <v>74</v>
      </c>
      <c r="AZ899" t="s">
        <v>74</v>
      </c>
      <c r="BA899" t="s">
        <v>74</v>
      </c>
      <c r="BB899">
        <v>999</v>
      </c>
      <c r="BC899">
        <v>1004</v>
      </c>
      <c r="BD899" t="s">
        <v>74</v>
      </c>
      <c r="BE899" t="s">
        <v>1676</v>
      </c>
      <c r="BF899" t="str">
        <f>HYPERLINK("http://dx.doi.org/10.1139/z84-141","http://dx.doi.org/10.1139/z84-141")</f>
        <v>http://dx.doi.org/10.1139/z84-141</v>
      </c>
      <c r="BG899" t="s">
        <v>74</v>
      </c>
      <c r="BH899" t="s">
        <v>74</v>
      </c>
      <c r="BI899" t="s">
        <v>74</v>
      </c>
      <c r="BJ899" t="s">
        <v>74</v>
      </c>
      <c r="BK899" t="s">
        <v>74</v>
      </c>
      <c r="BL899" t="s">
        <v>74</v>
      </c>
      <c r="BM899" t="s">
        <v>74</v>
      </c>
      <c r="BN899" t="s">
        <v>74</v>
      </c>
      <c r="BO899" t="s">
        <v>74</v>
      </c>
      <c r="BP899" t="s">
        <v>74</v>
      </c>
      <c r="BQ899" t="s">
        <v>74</v>
      </c>
      <c r="BR899" t="s">
        <v>74</v>
      </c>
      <c r="BS899" t="s">
        <v>1677</v>
      </c>
      <c r="BT899" t="str">
        <f>HYPERLINK("https%3A%2F%2Fwww.webofscience.com%2Fwos%2Fwoscc%2Ffull-record%2FWOS:A1984TE15700001","View Full Record in Web of Science")</f>
        <v>View Full Record in Web of Science</v>
      </c>
    </row>
    <row r="900" spans="1:72" x14ac:dyDescent="0.4">
      <c r="A900" t="s">
        <v>72</v>
      </c>
      <c r="B900" t="s">
        <v>6564</v>
      </c>
      <c r="C900" t="s">
        <v>74</v>
      </c>
      <c r="D900" t="s">
        <v>74</v>
      </c>
      <c r="E900" t="s">
        <v>74</v>
      </c>
      <c r="F900" t="s">
        <v>6564</v>
      </c>
      <c r="G900" t="s">
        <v>74</v>
      </c>
      <c r="H900" t="s">
        <v>74</v>
      </c>
      <c r="I900" t="s">
        <v>6565</v>
      </c>
      <c r="J900" t="s">
        <v>344</v>
      </c>
      <c r="K900" t="s">
        <v>74</v>
      </c>
      <c r="L900" t="s">
        <v>74</v>
      </c>
      <c r="M900" t="s">
        <v>74</v>
      </c>
      <c r="N900" t="s">
        <v>74</v>
      </c>
      <c r="O900" t="s">
        <v>6566</v>
      </c>
      <c r="P900">
        <v>1996</v>
      </c>
      <c r="Q900" t="s">
        <v>6567</v>
      </c>
      <c r="R900" t="s">
        <v>74</v>
      </c>
      <c r="S900" t="s">
        <v>74</v>
      </c>
      <c r="T900" t="s">
        <v>74</v>
      </c>
      <c r="U900" t="s">
        <v>74</v>
      </c>
      <c r="V900" s="3" t="s">
        <v>6568</v>
      </c>
      <c r="W900" t="s">
        <v>74</v>
      </c>
      <c r="X900" t="s">
        <v>74</v>
      </c>
      <c r="Y900" t="s">
        <v>74</v>
      </c>
      <c r="Z900" t="s">
        <v>74</v>
      </c>
      <c r="AA900" t="s">
        <v>74</v>
      </c>
      <c r="AB900" t="s">
        <v>74</v>
      </c>
      <c r="AC900" t="s">
        <v>74</v>
      </c>
      <c r="AD900" t="s">
        <v>74</v>
      </c>
      <c r="AE900" t="s">
        <v>74</v>
      </c>
      <c r="AF900" t="s">
        <v>74</v>
      </c>
      <c r="AG900" t="s">
        <v>74</v>
      </c>
      <c r="AH900" t="s">
        <v>74</v>
      </c>
      <c r="AI900" t="s">
        <v>74</v>
      </c>
      <c r="AJ900" t="s">
        <v>74</v>
      </c>
      <c r="AK900" t="s">
        <v>74</v>
      </c>
      <c r="AL900" t="s">
        <v>74</v>
      </c>
      <c r="AM900" t="s">
        <v>74</v>
      </c>
      <c r="AN900" t="s">
        <v>74</v>
      </c>
      <c r="AO900" t="s">
        <v>346</v>
      </c>
      <c r="AP900" t="s">
        <v>6569</v>
      </c>
      <c r="AQ900" t="s">
        <v>74</v>
      </c>
      <c r="AR900" t="s">
        <v>74</v>
      </c>
      <c r="AS900" t="s">
        <v>74</v>
      </c>
      <c r="AT900" t="s">
        <v>213</v>
      </c>
      <c r="AU900">
        <v>1999</v>
      </c>
      <c r="AV900">
        <v>56</v>
      </c>
      <c r="AW900">
        <v>3</v>
      </c>
      <c r="AX900" t="s">
        <v>74</v>
      </c>
      <c r="AY900" t="s">
        <v>74</v>
      </c>
      <c r="AZ900" t="s">
        <v>74</v>
      </c>
      <c r="BA900" t="s">
        <v>74</v>
      </c>
      <c r="BB900">
        <v>285</v>
      </c>
      <c r="BC900">
        <v>305</v>
      </c>
      <c r="BD900" t="s">
        <v>74</v>
      </c>
      <c r="BE900" t="s">
        <v>6570</v>
      </c>
      <c r="BF900" t="str">
        <f>HYPERLINK("http://dx.doi.org/10.1023/A:1007517720723","http://dx.doi.org/10.1023/A:1007517720723")</f>
        <v>http://dx.doi.org/10.1023/A:1007517720723</v>
      </c>
      <c r="BG900" t="s">
        <v>74</v>
      </c>
      <c r="BH900" t="s">
        <v>74</v>
      </c>
      <c r="BI900" t="s">
        <v>74</v>
      </c>
      <c r="BJ900" t="s">
        <v>74</v>
      </c>
      <c r="BK900" t="s">
        <v>74</v>
      </c>
      <c r="BL900" t="s">
        <v>74</v>
      </c>
      <c r="BM900" t="s">
        <v>74</v>
      </c>
      <c r="BN900" t="s">
        <v>74</v>
      </c>
      <c r="BO900" t="s">
        <v>74</v>
      </c>
      <c r="BP900" t="s">
        <v>74</v>
      </c>
      <c r="BQ900" t="s">
        <v>74</v>
      </c>
      <c r="BR900" t="s">
        <v>74</v>
      </c>
      <c r="BS900" t="s">
        <v>6571</v>
      </c>
      <c r="BT900" t="str">
        <f>HYPERLINK("https%3A%2F%2Fwww.webofscience.com%2Fwos%2Fwoscc%2Ffull-record%2FWOS:000083273300002","View Full Record in Web of Science")</f>
        <v>View Full Record in Web of Science</v>
      </c>
    </row>
    <row r="901" spans="1:72" x14ac:dyDescent="0.4">
      <c r="A901" t="s">
        <v>72</v>
      </c>
      <c r="B901" t="s">
        <v>3491</v>
      </c>
      <c r="C901" t="s">
        <v>74</v>
      </c>
      <c r="D901" t="s">
        <v>74</v>
      </c>
      <c r="E901" t="s">
        <v>74</v>
      </c>
      <c r="F901" t="s">
        <v>3491</v>
      </c>
      <c r="G901" t="s">
        <v>74</v>
      </c>
      <c r="H901" t="s">
        <v>74</v>
      </c>
      <c r="I901" t="s">
        <v>3492</v>
      </c>
      <c r="J901" t="s">
        <v>140</v>
      </c>
      <c r="K901" t="s">
        <v>74</v>
      </c>
      <c r="L901" t="s">
        <v>74</v>
      </c>
      <c r="M901" t="s">
        <v>74</v>
      </c>
      <c r="N901" t="s">
        <v>74</v>
      </c>
      <c r="O901" t="s">
        <v>74</v>
      </c>
      <c r="P901" t="s">
        <v>74</v>
      </c>
      <c r="Q901" t="s">
        <v>74</v>
      </c>
      <c r="R901" t="s">
        <v>74</v>
      </c>
      <c r="S901" t="s">
        <v>74</v>
      </c>
      <c r="T901" t="s">
        <v>74</v>
      </c>
      <c r="U901" t="s">
        <v>74</v>
      </c>
      <c r="V901" s="3" t="s">
        <v>3493</v>
      </c>
      <c r="W901" t="s">
        <v>74</v>
      </c>
      <c r="X901" t="s">
        <v>74</v>
      </c>
      <c r="Y901" t="s">
        <v>74</v>
      </c>
      <c r="Z901" t="s">
        <v>74</v>
      </c>
      <c r="AA901" t="s">
        <v>74</v>
      </c>
      <c r="AB901" t="s">
        <v>74</v>
      </c>
      <c r="AC901" t="s">
        <v>74</v>
      </c>
      <c r="AD901" t="s">
        <v>74</v>
      </c>
      <c r="AE901" t="s">
        <v>74</v>
      </c>
      <c r="AF901" t="s">
        <v>74</v>
      </c>
      <c r="AG901" t="s">
        <v>74</v>
      </c>
      <c r="AH901" t="s">
        <v>74</v>
      </c>
      <c r="AI901" t="s">
        <v>74</v>
      </c>
      <c r="AJ901" t="s">
        <v>74</v>
      </c>
      <c r="AK901" t="s">
        <v>74</v>
      </c>
      <c r="AL901" t="s">
        <v>74</v>
      </c>
      <c r="AM901" t="s">
        <v>74</v>
      </c>
      <c r="AN901" t="s">
        <v>74</v>
      </c>
      <c r="AO901" t="s">
        <v>143</v>
      </c>
      <c r="AP901" t="s">
        <v>144</v>
      </c>
      <c r="AQ901" t="s">
        <v>74</v>
      </c>
      <c r="AR901" t="s">
        <v>74</v>
      </c>
      <c r="AS901" t="s">
        <v>74</v>
      </c>
      <c r="AT901" t="s">
        <v>204</v>
      </c>
      <c r="AU901">
        <v>1995</v>
      </c>
      <c r="AV901">
        <v>50</v>
      </c>
      <c r="AW901" t="s">
        <v>74</v>
      </c>
      <c r="AX901">
        <v>1</v>
      </c>
      <c r="AY901" t="s">
        <v>74</v>
      </c>
      <c r="AZ901" t="s">
        <v>74</v>
      </c>
      <c r="BA901" t="s">
        <v>74</v>
      </c>
      <c r="BB901">
        <v>267</v>
      </c>
      <c r="BC901">
        <v>272</v>
      </c>
      <c r="BD901" t="s">
        <v>74</v>
      </c>
      <c r="BE901" t="s">
        <v>3494</v>
      </c>
      <c r="BF901" t="str">
        <f>HYPERLINK("http://dx.doi.org/10.1006/anbe.1995.0239","http://dx.doi.org/10.1006/anbe.1995.0239")</f>
        <v>http://dx.doi.org/10.1006/anbe.1995.0239</v>
      </c>
      <c r="BG901" t="s">
        <v>74</v>
      </c>
      <c r="BH901" t="s">
        <v>74</v>
      </c>
      <c r="BI901" t="s">
        <v>74</v>
      </c>
      <c r="BJ901" t="s">
        <v>74</v>
      </c>
      <c r="BK901" t="s">
        <v>74</v>
      </c>
      <c r="BL901" t="s">
        <v>74</v>
      </c>
      <c r="BM901" t="s">
        <v>74</v>
      </c>
      <c r="BN901" t="s">
        <v>74</v>
      </c>
      <c r="BO901" t="s">
        <v>74</v>
      </c>
      <c r="BP901" t="s">
        <v>74</v>
      </c>
      <c r="BQ901" t="s">
        <v>74</v>
      </c>
      <c r="BR901" t="s">
        <v>74</v>
      </c>
      <c r="BS901" t="s">
        <v>3495</v>
      </c>
      <c r="BT901" t="str">
        <f>HYPERLINK("https%3A%2F%2Fwww.webofscience.com%2Fwos%2Fwoscc%2Ffull-record%2FWOS:A1995RM19000026","View Full Record in Web of Science")</f>
        <v>View Full Record in Web of Science</v>
      </c>
    </row>
    <row r="902" spans="1:72" x14ac:dyDescent="0.4">
      <c r="A902" t="s">
        <v>72</v>
      </c>
      <c r="B902" t="s">
        <v>3426</v>
      </c>
      <c r="C902" t="s">
        <v>74</v>
      </c>
      <c r="D902" t="s">
        <v>74</v>
      </c>
      <c r="E902" t="s">
        <v>74</v>
      </c>
      <c r="F902" t="s">
        <v>3426</v>
      </c>
      <c r="G902" t="s">
        <v>74</v>
      </c>
      <c r="H902" t="s">
        <v>74</v>
      </c>
      <c r="I902" t="s">
        <v>3427</v>
      </c>
      <c r="J902" t="s">
        <v>140</v>
      </c>
      <c r="K902" t="s">
        <v>74</v>
      </c>
      <c r="L902" t="s">
        <v>74</v>
      </c>
      <c r="M902" t="s">
        <v>74</v>
      </c>
      <c r="N902" t="s">
        <v>74</v>
      </c>
      <c r="O902" t="s">
        <v>74</v>
      </c>
      <c r="P902" t="s">
        <v>74</v>
      </c>
      <c r="Q902" t="s">
        <v>74</v>
      </c>
      <c r="R902" t="s">
        <v>74</v>
      </c>
      <c r="S902" t="s">
        <v>74</v>
      </c>
      <c r="T902" t="s">
        <v>74</v>
      </c>
      <c r="U902" t="s">
        <v>74</v>
      </c>
      <c r="V902" s="3" t="s">
        <v>3428</v>
      </c>
      <c r="W902" t="s">
        <v>74</v>
      </c>
      <c r="X902" t="s">
        <v>74</v>
      </c>
      <c r="Y902" t="s">
        <v>74</v>
      </c>
      <c r="Z902" t="s">
        <v>74</v>
      </c>
      <c r="AA902" t="s">
        <v>74</v>
      </c>
      <c r="AB902" t="s">
        <v>74</v>
      </c>
      <c r="AC902" t="s">
        <v>74</v>
      </c>
      <c r="AD902" t="s">
        <v>74</v>
      </c>
      <c r="AE902" t="s">
        <v>74</v>
      </c>
      <c r="AF902" t="s">
        <v>74</v>
      </c>
      <c r="AG902" t="s">
        <v>74</v>
      </c>
      <c r="AH902" t="s">
        <v>74</v>
      </c>
      <c r="AI902" t="s">
        <v>74</v>
      </c>
      <c r="AJ902" t="s">
        <v>74</v>
      </c>
      <c r="AK902" t="s">
        <v>74</v>
      </c>
      <c r="AL902" t="s">
        <v>74</v>
      </c>
      <c r="AM902" t="s">
        <v>74</v>
      </c>
      <c r="AN902" t="s">
        <v>74</v>
      </c>
      <c r="AO902" t="s">
        <v>143</v>
      </c>
      <c r="AP902" t="s">
        <v>74</v>
      </c>
      <c r="AQ902" t="s">
        <v>74</v>
      </c>
      <c r="AR902" t="s">
        <v>74</v>
      </c>
      <c r="AS902" t="s">
        <v>74</v>
      </c>
      <c r="AT902" t="s">
        <v>102</v>
      </c>
      <c r="AU902">
        <v>1995</v>
      </c>
      <c r="AV902">
        <v>49</v>
      </c>
      <c r="AW902">
        <v>6</v>
      </c>
      <c r="AX902" t="s">
        <v>74</v>
      </c>
      <c r="AY902" t="s">
        <v>74</v>
      </c>
      <c r="AZ902" t="s">
        <v>74</v>
      </c>
      <c r="BA902" t="s">
        <v>74</v>
      </c>
      <c r="BB902">
        <v>1559</v>
      </c>
      <c r="BC902">
        <v>1567</v>
      </c>
      <c r="BD902" t="s">
        <v>74</v>
      </c>
      <c r="BE902" t="s">
        <v>3429</v>
      </c>
      <c r="BF902" t="str">
        <f>HYPERLINK("http://dx.doi.org/10.1016/0003-3472(95)90077-2","http://dx.doi.org/10.1016/0003-3472(95)90077-2")</f>
        <v>http://dx.doi.org/10.1016/0003-3472(95)90077-2</v>
      </c>
      <c r="BG902" t="s">
        <v>74</v>
      </c>
      <c r="BH902" t="s">
        <v>74</v>
      </c>
      <c r="BI902" t="s">
        <v>74</v>
      </c>
      <c r="BJ902" t="s">
        <v>74</v>
      </c>
      <c r="BK902" t="s">
        <v>74</v>
      </c>
      <c r="BL902" t="s">
        <v>74</v>
      </c>
      <c r="BM902" t="s">
        <v>74</v>
      </c>
      <c r="BN902" t="s">
        <v>74</v>
      </c>
      <c r="BO902" t="s">
        <v>74</v>
      </c>
      <c r="BP902" t="s">
        <v>74</v>
      </c>
      <c r="BQ902" t="s">
        <v>74</v>
      </c>
      <c r="BR902" t="s">
        <v>74</v>
      </c>
      <c r="BS902" t="s">
        <v>3430</v>
      </c>
      <c r="BT902" t="str">
        <f>HYPERLINK("https%3A%2F%2Fwww.webofscience.com%2Fwos%2Fwoscc%2Ffull-record%2FWOS:A1995RE98700015","View Full Record in Web of Science")</f>
        <v>View Full Record in Web of Science</v>
      </c>
    </row>
    <row r="903" spans="1:72" x14ac:dyDescent="0.4">
      <c r="A903" t="s">
        <v>72</v>
      </c>
      <c r="B903" t="s">
        <v>2197</v>
      </c>
      <c r="C903" t="s">
        <v>74</v>
      </c>
      <c r="D903" t="s">
        <v>74</v>
      </c>
      <c r="E903" t="s">
        <v>74</v>
      </c>
      <c r="F903" t="s">
        <v>2198</v>
      </c>
      <c r="G903" t="s">
        <v>74</v>
      </c>
      <c r="H903" t="s">
        <v>74</v>
      </c>
      <c r="I903" t="s">
        <v>2199</v>
      </c>
      <c r="J903" t="s">
        <v>408</v>
      </c>
      <c r="K903" t="s">
        <v>74</v>
      </c>
      <c r="L903" t="s">
        <v>74</v>
      </c>
      <c r="M903" t="s">
        <v>74</v>
      </c>
      <c r="N903" t="s">
        <v>74</v>
      </c>
      <c r="O903" t="s">
        <v>74</v>
      </c>
      <c r="P903" t="s">
        <v>74</v>
      </c>
      <c r="Q903" t="s">
        <v>74</v>
      </c>
      <c r="R903" t="s">
        <v>74</v>
      </c>
      <c r="S903" t="s">
        <v>74</v>
      </c>
      <c r="T903" t="s">
        <v>74</v>
      </c>
      <c r="U903" t="s">
        <v>74</v>
      </c>
      <c r="V903" s="3" t="s">
        <v>2200</v>
      </c>
      <c r="W903" t="s">
        <v>74</v>
      </c>
      <c r="X903" t="s">
        <v>74</v>
      </c>
      <c r="Y903" t="s">
        <v>74</v>
      </c>
      <c r="Z903" t="s">
        <v>74</v>
      </c>
      <c r="AA903" t="s">
        <v>2201</v>
      </c>
      <c r="AB903" t="s">
        <v>2202</v>
      </c>
      <c r="AC903" t="s">
        <v>74</v>
      </c>
      <c r="AD903" t="s">
        <v>74</v>
      </c>
      <c r="AE903" t="s">
        <v>74</v>
      </c>
      <c r="AF903" t="s">
        <v>74</v>
      </c>
      <c r="AG903" t="s">
        <v>74</v>
      </c>
      <c r="AH903" t="s">
        <v>74</v>
      </c>
      <c r="AI903" t="s">
        <v>74</v>
      </c>
      <c r="AJ903" t="s">
        <v>74</v>
      </c>
      <c r="AK903" t="s">
        <v>74</v>
      </c>
      <c r="AL903" t="s">
        <v>74</v>
      </c>
      <c r="AM903" t="s">
        <v>74</v>
      </c>
      <c r="AN903" t="s">
        <v>74</v>
      </c>
      <c r="AO903" t="s">
        <v>412</v>
      </c>
      <c r="AP903" t="s">
        <v>413</v>
      </c>
      <c r="AQ903" t="s">
        <v>74</v>
      </c>
      <c r="AR903" t="s">
        <v>74</v>
      </c>
      <c r="AS903" t="s">
        <v>74</v>
      </c>
      <c r="AT903" t="s">
        <v>255</v>
      </c>
      <c r="AU903">
        <v>2013</v>
      </c>
      <c r="AV903">
        <v>108</v>
      </c>
      <c r="AW903">
        <v>1</v>
      </c>
      <c r="AX903" t="s">
        <v>74</v>
      </c>
      <c r="AY903" t="s">
        <v>74</v>
      </c>
      <c r="AZ903" t="s">
        <v>74</v>
      </c>
      <c r="BA903" t="s">
        <v>74</v>
      </c>
      <c r="BB903">
        <v>116</v>
      </c>
      <c r="BC903">
        <v>126</v>
      </c>
      <c r="BD903" t="s">
        <v>74</v>
      </c>
      <c r="BE903" t="s">
        <v>2203</v>
      </c>
      <c r="BF903" t="str">
        <f>HYPERLINK("http://dx.doi.org/10.1111/j.1095-8312.2012.02006.x","http://dx.doi.org/10.1111/j.1095-8312.2012.02006.x")</f>
        <v>http://dx.doi.org/10.1111/j.1095-8312.2012.02006.x</v>
      </c>
      <c r="BG903" t="s">
        <v>74</v>
      </c>
      <c r="BH903" t="s">
        <v>74</v>
      </c>
      <c r="BI903" t="s">
        <v>74</v>
      </c>
      <c r="BJ903" t="s">
        <v>74</v>
      </c>
      <c r="BK903" t="s">
        <v>74</v>
      </c>
      <c r="BL903" t="s">
        <v>74</v>
      </c>
      <c r="BM903" t="s">
        <v>74</v>
      </c>
      <c r="BN903" t="s">
        <v>74</v>
      </c>
      <c r="BO903" t="s">
        <v>74</v>
      </c>
      <c r="BP903" t="s">
        <v>74</v>
      </c>
      <c r="BQ903" t="s">
        <v>74</v>
      </c>
      <c r="BR903" t="s">
        <v>74</v>
      </c>
      <c r="BS903" t="s">
        <v>2204</v>
      </c>
      <c r="BT903" t="str">
        <f>HYPERLINK("https%3A%2F%2Fwww.webofscience.com%2Fwos%2Fwoscc%2Ffull-record%2FWOS:000312543100011","View Full Record in Web of Science")</f>
        <v>View Full Record in Web of Science</v>
      </c>
    </row>
    <row r="904" spans="1:72" x14ac:dyDescent="0.4">
      <c r="A904" t="s">
        <v>72</v>
      </c>
      <c r="B904" t="s">
        <v>7833</v>
      </c>
      <c r="C904" t="s">
        <v>74</v>
      </c>
      <c r="D904" t="s">
        <v>74</v>
      </c>
      <c r="E904" t="s">
        <v>74</v>
      </c>
      <c r="F904" t="s">
        <v>7834</v>
      </c>
      <c r="G904" t="s">
        <v>74</v>
      </c>
      <c r="H904" t="s">
        <v>74</v>
      </c>
      <c r="I904" t="s">
        <v>7835</v>
      </c>
      <c r="J904" t="s">
        <v>2207</v>
      </c>
      <c r="K904" t="s">
        <v>74</v>
      </c>
      <c r="L904" t="s">
        <v>74</v>
      </c>
      <c r="M904" t="s">
        <v>74</v>
      </c>
      <c r="N904" t="s">
        <v>74</v>
      </c>
      <c r="O904" t="s">
        <v>74</v>
      </c>
      <c r="P904" t="s">
        <v>74</v>
      </c>
      <c r="Q904" t="s">
        <v>74</v>
      </c>
      <c r="R904" t="s">
        <v>74</v>
      </c>
      <c r="S904" t="s">
        <v>74</v>
      </c>
      <c r="T904" t="s">
        <v>74</v>
      </c>
      <c r="U904" t="s">
        <v>74</v>
      </c>
      <c r="V904" s="3" t="s">
        <v>7836</v>
      </c>
      <c r="W904" t="s">
        <v>74</v>
      </c>
      <c r="X904" t="s">
        <v>74</v>
      </c>
      <c r="Y904" t="s">
        <v>74</v>
      </c>
      <c r="Z904" t="s">
        <v>74</v>
      </c>
      <c r="AA904" t="s">
        <v>7837</v>
      </c>
      <c r="AB904" t="s">
        <v>7838</v>
      </c>
      <c r="AC904" t="s">
        <v>74</v>
      </c>
      <c r="AD904" t="s">
        <v>74</v>
      </c>
      <c r="AE904" t="s">
        <v>74</v>
      </c>
      <c r="AF904" t="s">
        <v>74</v>
      </c>
      <c r="AG904" t="s">
        <v>74</v>
      </c>
      <c r="AH904" t="s">
        <v>74</v>
      </c>
      <c r="AI904" t="s">
        <v>74</v>
      </c>
      <c r="AJ904" t="s">
        <v>74</v>
      </c>
      <c r="AK904" t="s">
        <v>74</v>
      </c>
      <c r="AL904" t="s">
        <v>74</v>
      </c>
      <c r="AM904" t="s">
        <v>74</v>
      </c>
      <c r="AN904" t="s">
        <v>74</v>
      </c>
      <c r="AO904" t="s">
        <v>2211</v>
      </c>
      <c r="AP904" t="s">
        <v>2461</v>
      </c>
      <c r="AQ904" t="s">
        <v>74</v>
      </c>
      <c r="AR904" t="s">
        <v>74</v>
      </c>
      <c r="AS904" t="s">
        <v>74</v>
      </c>
      <c r="AT904" t="s">
        <v>213</v>
      </c>
      <c r="AU904">
        <v>2017</v>
      </c>
      <c r="AV904">
        <v>48</v>
      </c>
      <c r="AW904">
        <v>11</v>
      </c>
      <c r="AX904" t="s">
        <v>74</v>
      </c>
      <c r="AY904" t="s">
        <v>74</v>
      </c>
      <c r="AZ904" t="s">
        <v>74</v>
      </c>
      <c r="BA904" t="s">
        <v>74</v>
      </c>
      <c r="BB904">
        <v>1425</v>
      </c>
      <c r="BC904">
        <v>1431</v>
      </c>
      <c r="BD904" t="s">
        <v>74</v>
      </c>
      <c r="BE904" t="s">
        <v>7839</v>
      </c>
      <c r="BF904" t="str">
        <f>HYPERLINK("http://dx.doi.org/10.1111/jav.01402","http://dx.doi.org/10.1111/jav.01402")</f>
        <v>http://dx.doi.org/10.1111/jav.01402</v>
      </c>
      <c r="BG904" t="s">
        <v>74</v>
      </c>
      <c r="BH904" t="s">
        <v>74</v>
      </c>
      <c r="BI904" t="s">
        <v>74</v>
      </c>
      <c r="BJ904" t="s">
        <v>74</v>
      </c>
      <c r="BK904" t="s">
        <v>74</v>
      </c>
      <c r="BL904" t="s">
        <v>74</v>
      </c>
      <c r="BM904" t="s">
        <v>74</v>
      </c>
      <c r="BN904" t="s">
        <v>74</v>
      </c>
      <c r="BO904" t="s">
        <v>74</v>
      </c>
      <c r="BP904" t="s">
        <v>74</v>
      </c>
      <c r="BQ904" t="s">
        <v>74</v>
      </c>
      <c r="BR904" t="s">
        <v>74</v>
      </c>
      <c r="BS904" t="s">
        <v>7840</v>
      </c>
      <c r="BT904" t="str">
        <f>HYPERLINK("https%3A%2F%2Fwww.webofscience.com%2Fwos%2Fwoscc%2Ffull-record%2FWOS:000416331100009","View Full Record in Web of Science")</f>
        <v>View Full Record in Web of Science</v>
      </c>
    </row>
    <row r="905" spans="1:72" x14ac:dyDescent="0.4">
      <c r="A905" t="s">
        <v>72</v>
      </c>
      <c r="B905" t="s">
        <v>4396</v>
      </c>
      <c r="C905" t="s">
        <v>74</v>
      </c>
      <c r="D905" t="s">
        <v>74</v>
      </c>
      <c r="E905" t="s">
        <v>74</v>
      </c>
      <c r="F905" t="s">
        <v>4396</v>
      </c>
      <c r="G905" t="s">
        <v>74</v>
      </c>
      <c r="H905" t="s">
        <v>74</v>
      </c>
      <c r="I905" t="s">
        <v>4397</v>
      </c>
      <c r="J905" t="s">
        <v>77</v>
      </c>
      <c r="K905" t="s">
        <v>74</v>
      </c>
      <c r="L905" t="s">
        <v>74</v>
      </c>
      <c r="M905" t="s">
        <v>74</v>
      </c>
      <c r="N905" t="s">
        <v>74</v>
      </c>
      <c r="O905" t="s">
        <v>74</v>
      </c>
      <c r="P905" t="s">
        <v>74</v>
      </c>
      <c r="Q905" t="s">
        <v>74</v>
      </c>
      <c r="R905" t="s">
        <v>74</v>
      </c>
      <c r="S905" t="s">
        <v>74</v>
      </c>
      <c r="T905" t="s">
        <v>74</v>
      </c>
      <c r="U905" t="s">
        <v>74</v>
      </c>
      <c r="V905" s="3" t="s">
        <v>4398</v>
      </c>
      <c r="W905" t="s">
        <v>74</v>
      </c>
      <c r="X905" t="s">
        <v>74</v>
      </c>
      <c r="Y905" t="s">
        <v>74</v>
      </c>
      <c r="Z905" t="s">
        <v>74</v>
      </c>
      <c r="AA905" t="s">
        <v>74</v>
      </c>
      <c r="AB905" t="s">
        <v>74</v>
      </c>
      <c r="AC905" t="s">
        <v>74</v>
      </c>
      <c r="AD905" t="s">
        <v>74</v>
      </c>
      <c r="AE905" t="s">
        <v>74</v>
      </c>
      <c r="AF905" t="s">
        <v>74</v>
      </c>
      <c r="AG905" t="s">
        <v>74</v>
      </c>
      <c r="AH905" t="s">
        <v>74</v>
      </c>
      <c r="AI905" t="s">
        <v>74</v>
      </c>
      <c r="AJ905" t="s">
        <v>74</v>
      </c>
      <c r="AK905" t="s">
        <v>74</v>
      </c>
      <c r="AL905" t="s">
        <v>74</v>
      </c>
      <c r="AM905" t="s">
        <v>74</v>
      </c>
      <c r="AN905" t="s">
        <v>74</v>
      </c>
      <c r="AO905" t="s">
        <v>81</v>
      </c>
      <c r="AP905" t="s">
        <v>82</v>
      </c>
      <c r="AQ905" t="s">
        <v>74</v>
      </c>
      <c r="AR905" t="s">
        <v>74</v>
      </c>
      <c r="AS905" t="s">
        <v>74</v>
      </c>
      <c r="AT905" t="s">
        <v>4399</v>
      </c>
      <c r="AU905">
        <v>2003</v>
      </c>
      <c r="AV905">
        <v>140</v>
      </c>
      <c r="AW905" t="s">
        <v>74</v>
      </c>
      <c r="AX905" t="s">
        <v>4400</v>
      </c>
      <c r="AY905" t="s">
        <v>74</v>
      </c>
      <c r="AZ905" t="s">
        <v>74</v>
      </c>
      <c r="BA905" t="s">
        <v>74</v>
      </c>
      <c r="BB905">
        <v>1003</v>
      </c>
      <c r="BC905">
        <v>1019</v>
      </c>
      <c r="BD905" t="s">
        <v>74</v>
      </c>
      <c r="BE905" t="s">
        <v>4401</v>
      </c>
      <c r="BF905" t="str">
        <f>HYPERLINK("http://dx.doi.org/10.1163/156853903322589614","http://dx.doi.org/10.1163/156853903322589614")</f>
        <v>http://dx.doi.org/10.1163/156853903322589614</v>
      </c>
      <c r="BG905" t="s">
        <v>74</v>
      </c>
      <c r="BH905" t="s">
        <v>74</v>
      </c>
      <c r="BI905" t="s">
        <v>74</v>
      </c>
      <c r="BJ905" t="s">
        <v>74</v>
      </c>
      <c r="BK905" t="s">
        <v>74</v>
      </c>
      <c r="BL905" t="s">
        <v>74</v>
      </c>
      <c r="BM905" t="s">
        <v>74</v>
      </c>
      <c r="BN905" t="s">
        <v>74</v>
      </c>
      <c r="BO905" t="s">
        <v>74</v>
      </c>
      <c r="BP905" t="s">
        <v>74</v>
      </c>
      <c r="BQ905" t="s">
        <v>74</v>
      </c>
      <c r="BR905" t="s">
        <v>74</v>
      </c>
      <c r="BS905" t="s">
        <v>4402</v>
      </c>
      <c r="BT905" t="str">
        <f>HYPERLINK("https%3A%2F%2Fwww.webofscience.com%2Fwos%2Fwoscc%2Ffull-record%2FWOS:000187638300003","View Full Record in Web of Science")</f>
        <v>View Full Record in Web of Science</v>
      </c>
    </row>
    <row r="906" spans="1:72" x14ac:dyDescent="0.4">
      <c r="A906" t="s">
        <v>72</v>
      </c>
      <c r="B906" t="s">
        <v>1818</v>
      </c>
      <c r="C906" t="s">
        <v>74</v>
      </c>
      <c r="D906" t="s">
        <v>74</v>
      </c>
      <c r="E906" t="s">
        <v>74</v>
      </c>
      <c r="F906" t="s">
        <v>1819</v>
      </c>
      <c r="G906" t="s">
        <v>74</v>
      </c>
      <c r="H906" t="s">
        <v>74</v>
      </c>
      <c r="I906" t="s">
        <v>1820</v>
      </c>
      <c r="J906" t="s">
        <v>576</v>
      </c>
      <c r="K906" t="s">
        <v>74</v>
      </c>
      <c r="L906" t="s">
        <v>74</v>
      </c>
      <c r="M906" t="s">
        <v>74</v>
      </c>
      <c r="N906" t="s">
        <v>74</v>
      </c>
      <c r="O906" t="s">
        <v>74</v>
      </c>
      <c r="P906" t="s">
        <v>74</v>
      </c>
      <c r="Q906" t="s">
        <v>74</v>
      </c>
      <c r="R906" t="s">
        <v>74</v>
      </c>
      <c r="S906" t="s">
        <v>74</v>
      </c>
      <c r="T906" t="s">
        <v>74</v>
      </c>
      <c r="U906" t="s">
        <v>74</v>
      </c>
      <c r="V906" s="3" t="s">
        <v>1821</v>
      </c>
      <c r="W906" t="s">
        <v>74</v>
      </c>
      <c r="X906" t="s">
        <v>74</v>
      </c>
      <c r="Y906" t="s">
        <v>74</v>
      </c>
      <c r="Z906" t="s">
        <v>74</v>
      </c>
      <c r="AA906" t="s">
        <v>74</v>
      </c>
      <c r="AB906" t="s">
        <v>1822</v>
      </c>
      <c r="AC906" t="s">
        <v>74</v>
      </c>
      <c r="AD906" t="s">
        <v>74</v>
      </c>
      <c r="AE906" t="s">
        <v>74</v>
      </c>
      <c r="AF906" t="s">
        <v>74</v>
      </c>
      <c r="AG906" t="s">
        <v>74</v>
      </c>
      <c r="AH906" t="s">
        <v>74</v>
      </c>
      <c r="AI906" t="s">
        <v>74</v>
      </c>
      <c r="AJ906" t="s">
        <v>74</v>
      </c>
      <c r="AK906" t="s">
        <v>74</v>
      </c>
      <c r="AL906" t="s">
        <v>74</v>
      </c>
      <c r="AM906" t="s">
        <v>74</v>
      </c>
      <c r="AN906" t="s">
        <v>74</v>
      </c>
      <c r="AO906" t="s">
        <v>579</v>
      </c>
      <c r="AP906" t="s">
        <v>580</v>
      </c>
      <c r="AQ906" t="s">
        <v>74</v>
      </c>
      <c r="AR906" t="s">
        <v>74</v>
      </c>
      <c r="AS906" t="s">
        <v>74</v>
      </c>
      <c r="AT906" t="s">
        <v>633</v>
      </c>
      <c r="AU906">
        <v>2017</v>
      </c>
      <c r="AV906">
        <v>31</v>
      </c>
      <c r="AW906">
        <v>2</v>
      </c>
      <c r="AX906" t="s">
        <v>74</v>
      </c>
      <c r="AY906" t="s">
        <v>74</v>
      </c>
      <c r="AZ906" t="s">
        <v>848</v>
      </c>
      <c r="BA906" t="s">
        <v>74</v>
      </c>
      <c r="BB906">
        <v>173</v>
      </c>
      <c r="BC906">
        <v>191</v>
      </c>
      <c r="BD906" t="s">
        <v>74</v>
      </c>
      <c r="BE906" t="s">
        <v>1823</v>
      </c>
      <c r="BF906" t="str">
        <f>HYPERLINK("http://dx.doi.org/10.1007/s10682-016-9848-1","http://dx.doi.org/10.1007/s10682-016-9848-1")</f>
        <v>http://dx.doi.org/10.1007/s10682-016-9848-1</v>
      </c>
      <c r="BG906" t="s">
        <v>74</v>
      </c>
      <c r="BH906" t="s">
        <v>74</v>
      </c>
      <c r="BI906" t="s">
        <v>74</v>
      </c>
      <c r="BJ906" t="s">
        <v>74</v>
      </c>
      <c r="BK906" t="s">
        <v>74</v>
      </c>
      <c r="BL906" t="s">
        <v>74</v>
      </c>
      <c r="BM906" t="s">
        <v>74</v>
      </c>
      <c r="BN906" t="s">
        <v>74</v>
      </c>
      <c r="BO906" t="s">
        <v>74</v>
      </c>
      <c r="BP906" t="s">
        <v>74</v>
      </c>
      <c r="BQ906" t="s">
        <v>74</v>
      </c>
      <c r="BR906" t="s">
        <v>74</v>
      </c>
      <c r="BS906" t="s">
        <v>1824</v>
      </c>
      <c r="BT906" t="str">
        <f>HYPERLINK("https%3A%2F%2Fwww.webofscience.com%2Fwos%2Fwoscc%2Ffull-record%2FWOS:000397595600003","View Full Record in Web of Science")</f>
        <v>View Full Record in Web of Science</v>
      </c>
    </row>
    <row r="907" spans="1:72" x14ac:dyDescent="0.4">
      <c r="A907" t="s">
        <v>72</v>
      </c>
      <c r="B907" t="s">
        <v>8142</v>
      </c>
      <c r="C907" t="s">
        <v>74</v>
      </c>
      <c r="D907" t="s">
        <v>74</v>
      </c>
      <c r="E907" t="s">
        <v>74</v>
      </c>
      <c r="F907" t="s">
        <v>8143</v>
      </c>
      <c r="G907" t="s">
        <v>74</v>
      </c>
      <c r="H907" t="s">
        <v>74</v>
      </c>
      <c r="I907" t="s">
        <v>8144</v>
      </c>
      <c r="J907" t="s">
        <v>2017</v>
      </c>
      <c r="K907" t="s">
        <v>74</v>
      </c>
      <c r="L907" t="s">
        <v>74</v>
      </c>
      <c r="M907" t="s">
        <v>74</v>
      </c>
      <c r="N907" t="s">
        <v>74</v>
      </c>
      <c r="O907" t="s">
        <v>74</v>
      </c>
      <c r="P907" t="s">
        <v>74</v>
      </c>
      <c r="Q907" t="s">
        <v>74</v>
      </c>
      <c r="R907" t="s">
        <v>74</v>
      </c>
      <c r="S907" t="s">
        <v>74</v>
      </c>
      <c r="T907" t="s">
        <v>74</v>
      </c>
      <c r="U907" t="s">
        <v>74</v>
      </c>
      <c r="V907" s="3" t="s">
        <v>8145</v>
      </c>
      <c r="W907" t="s">
        <v>74</v>
      </c>
      <c r="X907" t="s">
        <v>74</v>
      </c>
      <c r="Y907" t="s">
        <v>74</v>
      </c>
      <c r="Z907" t="s">
        <v>74</v>
      </c>
      <c r="AA907" t="s">
        <v>74</v>
      </c>
      <c r="AB907" t="s">
        <v>1822</v>
      </c>
      <c r="AC907" t="s">
        <v>74</v>
      </c>
      <c r="AD907" t="s">
        <v>74</v>
      </c>
      <c r="AE907" t="s">
        <v>74</v>
      </c>
      <c r="AF907" t="s">
        <v>74</v>
      </c>
      <c r="AG907" t="s">
        <v>74</v>
      </c>
      <c r="AH907" t="s">
        <v>74</v>
      </c>
      <c r="AI907" t="s">
        <v>74</v>
      </c>
      <c r="AJ907" t="s">
        <v>74</v>
      </c>
      <c r="AK907" t="s">
        <v>74</v>
      </c>
      <c r="AL907" t="s">
        <v>74</v>
      </c>
      <c r="AM907" t="s">
        <v>74</v>
      </c>
      <c r="AN907" t="s">
        <v>74</v>
      </c>
      <c r="AO907" t="s">
        <v>2021</v>
      </c>
      <c r="AP907" t="s">
        <v>74</v>
      </c>
      <c r="AQ907" t="s">
        <v>74</v>
      </c>
      <c r="AR907" t="s">
        <v>74</v>
      </c>
      <c r="AS907" t="s">
        <v>74</v>
      </c>
      <c r="AT907" t="s">
        <v>8146</v>
      </c>
      <c r="AU907">
        <v>2021</v>
      </c>
      <c r="AV907">
        <v>9</v>
      </c>
      <c r="AW907" t="s">
        <v>74</v>
      </c>
      <c r="AX907" t="s">
        <v>74</v>
      </c>
      <c r="AY907" t="s">
        <v>74</v>
      </c>
      <c r="AZ907" t="s">
        <v>74</v>
      </c>
      <c r="BA907" t="s">
        <v>74</v>
      </c>
      <c r="BB907" t="s">
        <v>74</v>
      </c>
      <c r="BC907" t="s">
        <v>74</v>
      </c>
      <c r="BD907">
        <v>724712</v>
      </c>
      <c r="BE907" t="s">
        <v>8147</v>
      </c>
      <c r="BF907" t="str">
        <f>HYPERLINK("http://dx.doi.org/10.3389/fevo.2021.724712","http://dx.doi.org/10.3389/fevo.2021.724712")</f>
        <v>http://dx.doi.org/10.3389/fevo.2021.724712</v>
      </c>
      <c r="BG907" t="s">
        <v>74</v>
      </c>
      <c r="BH907" t="s">
        <v>74</v>
      </c>
      <c r="BI907" t="s">
        <v>74</v>
      </c>
      <c r="BJ907" t="s">
        <v>74</v>
      </c>
      <c r="BK907" t="s">
        <v>74</v>
      </c>
      <c r="BL907" t="s">
        <v>74</v>
      </c>
      <c r="BM907" t="s">
        <v>74</v>
      </c>
      <c r="BN907" t="s">
        <v>74</v>
      </c>
      <c r="BO907" t="s">
        <v>74</v>
      </c>
      <c r="BP907" t="s">
        <v>74</v>
      </c>
      <c r="BQ907" t="s">
        <v>74</v>
      </c>
      <c r="BR907" t="s">
        <v>74</v>
      </c>
      <c r="BS907" t="s">
        <v>8148</v>
      </c>
      <c r="BT907" t="str">
        <f>HYPERLINK("https%3A%2F%2Fwww.webofscience.com%2Fwos%2Fwoscc%2Ffull-record%2FWOS:000707224100001","View Full Record in Web of Science")</f>
        <v>View Full Record in Web of Science</v>
      </c>
    </row>
    <row r="908" spans="1:72" x14ac:dyDescent="0.4">
      <c r="A908" t="s">
        <v>72</v>
      </c>
      <c r="B908" t="s">
        <v>6897</v>
      </c>
      <c r="C908" t="s">
        <v>74</v>
      </c>
      <c r="D908" t="s">
        <v>74</v>
      </c>
      <c r="E908" t="s">
        <v>74</v>
      </c>
      <c r="F908" t="s">
        <v>6897</v>
      </c>
      <c r="G908" t="s">
        <v>74</v>
      </c>
      <c r="H908" t="s">
        <v>74</v>
      </c>
      <c r="I908" t="s">
        <v>6898</v>
      </c>
      <c r="J908" t="s">
        <v>6899</v>
      </c>
      <c r="K908" t="s">
        <v>74</v>
      </c>
      <c r="L908" t="s">
        <v>74</v>
      </c>
      <c r="M908" t="s">
        <v>74</v>
      </c>
      <c r="N908" t="s">
        <v>74</v>
      </c>
      <c r="O908" t="s">
        <v>74</v>
      </c>
      <c r="P908" t="s">
        <v>74</v>
      </c>
      <c r="Q908" t="s">
        <v>74</v>
      </c>
      <c r="R908" t="s">
        <v>74</v>
      </c>
      <c r="S908" t="s">
        <v>74</v>
      </c>
      <c r="T908" t="s">
        <v>74</v>
      </c>
      <c r="U908" t="s">
        <v>74</v>
      </c>
      <c r="V908" s="3" t="s">
        <v>6900</v>
      </c>
      <c r="W908" t="s">
        <v>74</v>
      </c>
      <c r="X908" t="s">
        <v>74</v>
      </c>
      <c r="Y908" t="s">
        <v>74</v>
      </c>
      <c r="Z908" t="s">
        <v>74</v>
      </c>
      <c r="AA908" t="s">
        <v>6901</v>
      </c>
      <c r="AB908" t="s">
        <v>6902</v>
      </c>
      <c r="AC908" t="s">
        <v>74</v>
      </c>
      <c r="AD908" t="s">
        <v>74</v>
      </c>
      <c r="AE908" t="s">
        <v>74</v>
      </c>
      <c r="AF908" t="s">
        <v>74</v>
      </c>
      <c r="AG908" t="s">
        <v>74</v>
      </c>
      <c r="AH908" t="s">
        <v>74</v>
      </c>
      <c r="AI908" t="s">
        <v>74</v>
      </c>
      <c r="AJ908" t="s">
        <v>74</v>
      </c>
      <c r="AK908" t="s">
        <v>74</v>
      </c>
      <c r="AL908" t="s">
        <v>74</v>
      </c>
      <c r="AM908" t="s">
        <v>74</v>
      </c>
      <c r="AN908" t="s">
        <v>74</v>
      </c>
      <c r="AO908" t="s">
        <v>6903</v>
      </c>
      <c r="AP908" t="s">
        <v>74</v>
      </c>
      <c r="AQ908" t="s">
        <v>74</v>
      </c>
      <c r="AR908" t="s">
        <v>74</v>
      </c>
      <c r="AS908" t="s">
        <v>74</v>
      </c>
      <c r="AT908" t="s">
        <v>145</v>
      </c>
      <c r="AU908">
        <v>1997</v>
      </c>
      <c r="AV908">
        <v>84</v>
      </c>
      <c r="AW908">
        <v>2</v>
      </c>
      <c r="AX908" t="s">
        <v>74</v>
      </c>
      <c r="AY908" t="s">
        <v>74</v>
      </c>
      <c r="AZ908" t="s">
        <v>74</v>
      </c>
      <c r="BA908" t="s">
        <v>74</v>
      </c>
      <c r="BB908">
        <v>183</v>
      </c>
      <c r="BC908">
        <v>188</v>
      </c>
      <c r="BD908" t="s">
        <v>74</v>
      </c>
      <c r="BE908" t="s">
        <v>6904</v>
      </c>
      <c r="BF908" t="str">
        <f>HYPERLINK("http://dx.doi.org/10.1046/j.1570-7458.1997.00213.x","http://dx.doi.org/10.1046/j.1570-7458.1997.00213.x")</f>
        <v>http://dx.doi.org/10.1046/j.1570-7458.1997.00213.x</v>
      </c>
      <c r="BG908" t="s">
        <v>74</v>
      </c>
      <c r="BH908" t="s">
        <v>74</v>
      </c>
      <c r="BI908" t="s">
        <v>74</v>
      </c>
      <c r="BJ908" t="s">
        <v>74</v>
      </c>
      <c r="BK908" t="s">
        <v>74</v>
      </c>
      <c r="BL908" t="s">
        <v>74</v>
      </c>
      <c r="BM908" t="s">
        <v>74</v>
      </c>
      <c r="BN908" t="s">
        <v>74</v>
      </c>
      <c r="BO908" t="s">
        <v>74</v>
      </c>
      <c r="BP908" t="s">
        <v>74</v>
      </c>
      <c r="BQ908" t="s">
        <v>74</v>
      </c>
      <c r="BR908" t="s">
        <v>74</v>
      </c>
      <c r="BS908" t="s">
        <v>6905</v>
      </c>
      <c r="BT908" t="str">
        <f>HYPERLINK("https%3A%2F%2Fwww.webofscience.com%2Fwos%2Fwoscc%2Ffull-record%2FWOS:A1997XW62800009","View Full Record in Web of Science")</f>
        <v>View Full Record in Web of Science</v>
      </c>
    </row>
    <row r="909" spans="1:72" x14ac:dyDescent="0.4">
      <c r="A909" t="s">
        <v>72</v>
      </c>
      <c r="B909" t="s">
        <v>3197</v>
      </c>
      <c r="C909" t="s">
        <v>74</v>
      </c>
      <c r="D909" t="s">
        <v>74</v>
      </c>
      <c r="E909" t="s">
        <v>74</v>
      </c>
      <c r="F909" t="s">
        <v>3198</v>
      </c>
      <c r="G909" t="s">
        <v>74</v>
      </c>
      <c r="H909" t="s">
        <v>74</v>
      </c>
      <c r="I909" t="s">
        <v>3199</v>
      </c>
      <c r="J909" t="s">
        <v>140</v>
      </c>
      <c r="K909" t="s">
        <v>74</v>
      </c>
      <c r="L909" t="s">
        <v>74</v>
      </c>
      <c r="M909" t="s">
        <v>74</v>
      </c>
      <c r="N909" t="s">
        <v>74</v>
      </c>
      <c r="O909" t="s">
        <v>74</v>
      </c>
      <c r="P909" t="s">
        <v>74</v>
      </c>
      <c r="Q909" t="s">
        <v>74</v>
      </c>
      <c r="R909" t="s">
        <v>74</v>
      </c>
      <c r="S909" t="s">
        <v>74</v>
      </c>
      <c r="T909" t="s">
        <v>74</v>
      </c>
      <c r="U909" t="s">
        <v>74</v>
      </c>
      <c r="V909" s="3" t="s">
        <v>3200</v>
      </c>
      <c r="W909" t="s">
        <v>74</v>
      </c>
      <c r="X909" t="s">
        <v>74</v>
      </c>
      <c r="Y909" t="s">
        <v>74</v>
      </c>
      <c r="Z909" t="s">
        <v>74</v>
      </c>
      <c r="AA909" t="s">
        <v>2184</v>
      </c>
      <c r="AB909" t="s">
        <v>2806</v>
      </c>
      <c r="AC909" t="s">
        <v>74</v>
      </c>
      <c r="AD909" t="s">
        <v>74</v>
      </c>
      <c r="AE909" t="s">
        <v>74</v>
      </c>
      <c r="AF909" t="s">
        <v>74</v>
      </c>
      <c r="AG909" t="s">
        <v>74</v>
      </c>
      <c r="AH909" t="s">
        <v>74</v>
      </c>
      <c r="AI909" t="s">
        <v>74</v>
      </c>
      <c r="AJ909" t="s">
        <v>74</v>
      </c>
      <c r="AK909" t="s">
        <v>74</v>
      </c>
      <c r="AL909" t="s">
        <v>74</v>
      </c>
      <c r="AM909" t="s">
        <v>74</v>
      </c>
      <c r="AN909" t="s">
        <v>74</v>
      </c>
      <c r="AO909" t="s">
        <v>143</v>
      </c>
      <c r="AP909" t="s">
        <v>144</v>
      </c>
      <c r="AQ909" t="s">
        <v>74</v>
      </c>
      <c r="AR909" t="s">
        <v>74</v>
      </c>
      <c r="AS909" t="s">
        <v>74</v>
      </c>
      <c r="AT909" t="s">
        <v>633</v>
      </c>
      <c r="AU909">
        <v>2017</v>
      </c>
      <c r="AV909">
        <v>126</v>
      </c>
      <c r="AW909" t="s">
        <v>74</v>
      </c>
      <c r="AX909" t="s">
        <v>74</v>
      </c>
      <c r="AY909" t="s">
        <v>74</v>
      </c>
      <c r="AZ909" t="s">
        <v>74</v>
      </c>
      <c r="BA909" t="s">
        <v>74</v>
      </c>
      <c r="BB909">
        <v>301</v>
      </c>
      <c r="BC909">
        <v>307</v>
      </c>
      <c r="BD909" t="s">
        <v>74</v>
      </c>
      <c r="BE909" t="s">
        <v>3201</v>
      </c>
      <c r="BF909" t="str">
        <f>HYPERLINK("http://dx.doi.org/10.1016/j.anbehav.2017.02.012","http://dx.doi.org/10.1016/j.anbehav.2017.02.012")</f>
        <v>http://dx.doi.org/10.1016/j.anbehav.2017.02.012</v>
      </c>
      <c r="BG909" t="s">
        <v>74</v>
      </c>
      <c r="BH909" t="s">
        <v>74</v>
      </c>
      <c r="BI909" t="s">
        <v>74</v>
      </c>
      <c r="BJ909" t="s">
        <v>74</v>
      </c>
      <c r="BK909" t="s">
        <v>74</v>
      </c>
      <c r="BL909" t="s">
        <v>74</v>
      </c>
      <c r="BM909" t="s">
        <v>74</v>
      </c>
      <c r="BN909" t="s">
        <v>74</v>
      </c>
      <c r="BO909" t="s">
        <v>74</v>
      </c>
      <c r="BP909" t="s">
        <v>74</v>
      </c>
      <c r="BQ909" t="s">
        <v>74</v>
      </c>
      <c r="BR909" t="s">
        <v>74</v>
      </c>
      <c r="BS909" t="s">
        <v>3202</v>
      </c>
      <c r="BT909" t="str">
        <f>HYPERLINK("https%3A%2F%2Fwww.webofscience.com%2Fwos%2Fwoscc%2Ffull-record%2FWOS:000400402700031","View Full Record in Web of Science")</f>
        <v>View Full Record in Web of Science</v>
      </c>
    </row>
    <row r="910" spans="1:72" x14ac:dyDescent="0.4">
      <c r="A910" t="s">
        <v>72</v>
      </c>
      <c r="B910" t="s">
        <v>636</v>
      </c>
      <c r="C910" t="s">
        <v>74</v>
      </c>
      <c r="D910" t="s">
        <v>74</v>
      </c>
      <c r="E910" t="s">
        <v>74</v>
      </c>
      <c r="F910" t="s">
        <v>636</v>
      </c>
      <c r="G910" t="s">
        <v>74</v>
      </c>
      <c r="H910" t="s">
        <v>74</v>
      </c>
      <c r="I910" t="s">
        <v>637</v>
      </c>
      <c r="J910" t="s">
        <v>312</v>
      </c>
      <c r="K910" t="s">
        <v>74</v>
      </c>
      <c r="L910" t="s">
        <v>74</v>
      </c>
      <c r="M910" t="s">
        <v>74</v>
      </c>
      <c r="N910" t="s">
        <v>74</v>
      </c>
      <c r="O910" t="s">
        <v>74</v>
      </c>
      <c r="P910" t="s">
        <v>74</v>
      </c>
      <c r="Q910" t="s">
        <v>74</v>
      </c>
      <c r="R910" t="s">
        <v>74</v>
      </c>
      <c r="S910" t="s">
        <v>74</v>
      </c>
      <c r="T910" t="s">
        <v>74</v>
      </c>
      <c r="U910" t="s">
        <v>74</v>
      </c>
      <c r="V910" s="3" t="s">
        <v>638</v>
      </c>
      <c r="W910" t="s">
        <v>74</v>
      </c>
      <c r="X910" t="s">
        <v>74</v>
      </c>
      <c r="Y910" t="s">
        <v>74</v>
      </c>
      <c r="Z910" t="s">
        <v>74</v>
      </c>
      <c r="AA910" t="s">
        <v>639</v>
      </c>
      <c r="AB910" t="s">
        <v>640</v>
      </c>
      <c r="AC910" t="s">
        <v>74</v>
      </c>
      <c r="AD910" t="s">
        <v>74</v>
      </c>
      <c r="AE910" t="s">
        <v>74</v>
      </c>
      <c r="AF910" t="s">
        <v>74</v>
      </c>
      <c r="AG910" t="s">
        <v>74</v>
      </c>
      <c r="AH910" t="s">
        <v>74</v>
      </c>
      <c r="AI910" t="s">
        <v>74</v>
      </c>
      <c r="AJ910" t="s">
        <v>74</v>
      </c>
      <c r="AK910" t="s">
        <v>74</v>
      </c>
      <c r="AL910" t="s">
        <v>74</v>
      </c>
      <c r="AM910" t="s">
        <v>74</v>
      </c>
      <c r="AN910" t="s">
        <v>74</v>
      </c>
      <c r="AO910" t="s">
        <v>314</v>
      </c>
      <c r="AP910" t="s">
        <v>74</v>
      </c>
      <c r="AQ910" t="s">
        <v>74</v>
      </c>
      <c r="AR910" t="s">
        <v>74</v>
      </c>
      <c r="AS910" t="s">
        <v>74</v>
      </c>
      <c r="AT910" t="s">
        <v>633</v>
      </c>
      <c r="AU910">
        <v>2001</v>
      </c>
      <c r="AV910">
        <v>157</v>
      </c>
      <c r="AW910">
        <v>4</v>
      </c>
      <c r="AX910" t="s">
        <v>74</v>
      </c>
      <c r="AY910" t="s">
        <v>74</v>
      </c>
      <c r="AZ910" t="s">
        <v>74</v>
      </c>
      <c r="BA910" t="s">
        <v>74</v>
      </c>
      <c r="BB910">
        <v>451</v>
      </c>
      <c r="BC910">
        <v>458</v>
      </c>
      <c r="BD910" t="s">
        <v>74</v>
      </c>
      <c r="BE910" t="s">
        <v>641</v>
      </c>
      <c r="BF910" t="str">
        <f>HYPERLINK("http://dx.doi.org/10.1086/319319","http://dx.doi.org/10.1086/319319")</f>
        <v>http://dx.doi.org/10.1086/319319</v>
      </c>
      <c r="BG910" t="s">
        <v>74</v>
      </c>
      <c r="BH910" t="s">
        <v>74</v>
      </c>
      <c r="BI910" t="s">
        <v>74</v>
      </c>
      <c r="BJ910" t="s">
        <v>74</v>
      </c>
      <c r="BK910" t="s">
        <v>74</v>
      </c>
      <c r="BL910" t="s">
        <v>74</v>
      </c>
      <c r="BM910" t="s">
        <v>74</v>
      </c>
      <c r="BN910">
        <v>18707253</v>
      </c>
      <c r="BO910" t="s">
        <v>74</v>
      </c>
      <c r="BP910" t="s">
        <v>74</v>
      </c>
      <c r="BQ910" t="s">
        <v>74</v>
      </c>
      <c r="BR910" t="s">
        <v>74</v>
      </c>
      <c r="BS910" t="s">
        <v>642</v>
      </c>
      <c r="BT910" t="str">
        <f>HYPERLINK("https%3A%2F%2Fwww.webofscience.com%2Fwos%2Fwoscc%2Ffull-record%2FWOS:000167830600007","View Full Record in Web of Science")</f>
        <v>View Full Record in Web of Science</v>
      </c>
    </row>
    <row r="911" spans="1:72" x14ac:dyDescent="0.4">
      <c r="A911" t="s">
        <v>72</v>
      </c>
      <c r="B911" t="s">
        <v>8156</v>
      </c>
      <c r="C911" t="s">
        <v>74</v>
      </c>
      <c r="D911" t="s">
        <v>74</v>
      </c>
      <c r="E911" t="s">
        <v>74</v>
      </c>
      <c r="F911" t="s">
        <v>8157</v>
      </c>
      <c r="G911" t="s">
        <v>74</v>
      </c>
      <c r="H911" t="s">
        <v>74</v>
      </c>
      <c r="I911" t="s">
        <v>8158</v>
      </c>
      <c r="J911" t="s">
        <v>775</v>
      </c>
      <c r="K911" t="s">
        <v>74</v>
      </c>
      <c r="L911" t="s">
        <v>74</v>
      </c>
      <c r="M911" t="s">
        <v>74</v>
      </c>
      <c r="N911" t="s">
        <v>74</v>
      </c>
      <c r="O911" t="s">
        <v>74</v>
      </c>
      <c r="P911" t="s">
        <v>74</v>
      </c>
      <c r="Q911" t="s">
        <v>74</v>
      </c>
      <c r="R911" t="s">
        <v>74</v>
      </c>
      <c r="S911" t="s">
        <v>74</v>
      </c>
      <c r="T911" t="s">
        <v>74</v>
      </c>
      <c r="U911" t="s">
        <v>74</v>
      </c>
      <c r="V911" s="3" t="s">
        <v>8159</v>
      </c>
      <c r="W911" t="s">
        <v>74</v>
      </c>
      <c r="X911" t="s">
        <v>74</v>
      </c>
      <c r="Y911" t="s">
        <v>74</v>
      </c>
      <c r="Z911" t="s">
        <v>74</v>
      </c>
      <c r="AA911" t="s">
        <v>74</v>
      </c>
      <c r="AB911" t="s">
        <v>74</v>
      </c>
      <c r="AC911" t="s">
        <v>74</v>
      </c>
      <c r="AD911" t="s">
        <v>74</v>
      </c>
      <c r="AE911" t="s">
        <v>74</v>
      </c>
      <c r="AF911" t="s">
        <v>74</v>
      </c>
      <c r="AG911" t="s">
        <v>74</v>
      </c>
      <c r="AH911" t="s">
        <v>74</v>
      </c>
      <c r="AI911" t="s">
        <v>74</v>
      </c>
      <c r="AJ911" t="s">
        <v>74</v>
      </c>
      <c r="AK911" t="s">
        <v>74</v>
      </c>
      <c r="AL911" t="s">
        <v>74</v>
      </c>
      <c r="AM911" t="s">
        <v>74</v>
      </c>
      <c r="AN911" t="s">
        <v>74</v>
      </c>
      <c r="AO911" t="s">
        <v>778</v>
      </c>
      <c r="AP911" t="s">
        <v>779</v>
      </c>
      <c r="AQ911" t="s">
        <v>74</v>
      </c>
      <c r="AR911" t="s">
        <v>74</v>
      </c>
      <c r="AS911" t="s">
        <v>74</v>
      </c>
      <c r="AT911" t="s">
        <v>102</v>
      </c>
      <c r="AU911">
        <v>2010</v>
      </c>
      <c r="AV911">
        <v>56</v>
      </c>
      <c r="AW911">
        <v>3</v>
      </c>
      <c r="AX911" t="s">
        <v>74</v>
      </c>
      <c r="AY911" t="s">
        <v>74</v>
      </c>
      <c r="AZ911" t="s">
        <v>848</v>
      </c>
      <c r="BA911" t="s">
        <v>74</v>
      </c>
      <c r="BB911">
        <v>343</v>
      </c>
      <c r="BC911">
        <v>357</v>
      </c>
      <c r="BD911" t="s">
        <v>74</v>
      </c>
      <c r="BE911" t="s">
        <v>8160</v>
      </c>
      <c r="BF911" t="str">
        <f>HYPERLINK("http://dx.doi.org/10.1093/czoolo/56.3.343","http://dx.doi.org/10.1093/czoolo/56.3.343")</f>
        <v>http://dx.doi.org/10.1093/czoolo/56.3.343</v>
      </c>
      <c r="BG911" t="s">
        <v>74</v>
      </c>
      <c r="BH911" t="s">
        <v>74</v>
      </c>
      <c r="BI911" t="s">
        <v>74</v>
      </c>
      <c r="BJ911" t="s">
        <v>74</v>
      </c>
      <c r="BK911" t="s">
        <v>74</v>
      </c>
      <c r="BL911" t="s">
        <v>74</v>
      </c>
      <c r="BM911" t="s">
        <v>74</v>
      </c>
      <c r="BN911" t="s">
        <v>74</v>
      </c>
      <c r="BO911" t="s">
        <v>74</v>
      </c>
      <c r="BP911" t="s">
        <v>74</v>
      </c>
      <c r="BQ911" t="s">
        <v>74</v>
      </c>
      <c r="BR911" t="s">
        <v>74</v>
      </c>
      <c r="BS911" t="s">
        <v>8161</v>
      </c>
      <c r="BT911" t="str">
        <f>HYPERLINK("https%3A%2F%2Fwww.webofscience.com%2Fwos%2Fwoscc%2Ffull-record%2FWOS:000278715600009","View Full Record in Web of Science")</f>
        <v>View Full Record in Web of Science</v>
      </c>
    </row>
    <row r="912" spans="1:72" x14ac:dyDescent="0.4">
      <c r="A912" t="s">
        <v>72</v>
      </c>
      <c r="B912" t="s">
        <v>3086</v>
      </c>
      <c r="C912" t="s">
        <v>74</v>
      </c>
      <c r="D912" t="s">
        <v>74</v>
      </c>
      <c r="E912" t="s">
        <v>74</v>
      </c>
      <c r="F912" t="s">
        <v>3087</v>
      </c>
      <c r="G912" t="s">
        <v>74</v>
      </c>
      <c r="H912" t="s">
        <v>74</v>
      </c>
      <c r="I912" t="s">
        <v>3088</v>
      </c>
      <c r="J912" t="s">
        <v>3089</v>
      </c>
      <c r="K912" t="s">
        <v>74</v>
      </c>
      <c r="L912" t="s">
        <v>74</v>
      </c>
      <c r="M912" t="s">
        <v>74</v>
      </c>
      <c r="N912" t="s">
        <v>74</v>
      </c>
      <c r="O912" t="s">
        <v>74</v>
      </c>
      <c r="P912" t="s">
        <v>74</v>
      </c>
      <c r="Q912" t="s">
        <v>74</v>
      </c>
      <c r="R912" t="s">
        <v>74</v>
      </c>
      <c r="S912" t="s">
        <v>74</v>
      </c>
      <c r="T912" t="s">
        <v>74</v>
      </c>
      <c r="U912" t="s">
        <v>74</v>
      </c>
      <c r="V912" s="3" t="s">
        <v>3090</v>
      </c>
      <c r="W912" t="s">
        <v>74</v>
      </c>
      <c r="X912" t="s">
        <v>74</v>
      </c>
      <c r="Y912" t="s">
        <v>74</v>
      </c>
      <c r="Z912" t="s">
        <v>74</v>
      </c>
      <c r="AA912" t="s">
        <v>3091</v>
      </c>
      <c r="AB912" t="s">
        <v>3092</v>
      </c>
      <c r="AC912" t="s">
        <v>74</v>
      </c>
      <c r="AD912" t="s">
        <v>74</v>
      </c>
      <c r="AE912" t="s">
        <v>74</v>
      </c>
      <c r="AF912" t="s">
        <v>74</v>
      </c>
      <c r="AG912" t="s">
        <v>74</v>
      </c>
      <c r="AH912" t="s">
        <v>74</v>
      </c>
      <c r="AI912" t="s">
        <v>74</v>
      </c>
      <c r="AJ912" t="s">
        <v>74</v>
      </c>
      <c r="AK912" t="s">
        <v>74</v>
      </c>
      <c r="AL912" t="s">
        <v>74</v>
      </c>
      <c r="AM912" t="s">
        <v>74</v>
      </c>
      <c r="AN912" t="s">
        <v>74</v>
      </c>
      <c r="AO912" t="s">
        <v>3093</v>
      </c>
      <c r="AP912" t="s">
        <v>3094</v>
      </c>
      <c r="AQ912" t="s">
        <v>74</v>
      </c>
      <c r="AR912" t="s">
        <v>74</v>
      </c>
      <c r="AS912" t="s">
        <v>74</v>
      </c>
      <c r="AT912" t="s">
        <v>134</v>
      </c>
      <c r="AU912">
        <v>2021</v>
      </c>
      <c r="AV912">
        <v>39</v>
      </c>
      <c r="AW912">
        <v>2</v>
      </c>
      <c r="AX912" t="s">
        <v>74</v>
      </c>
      <c r="AY912" t="s">
        <v>74</v>
      </c>
      <c r="AZ912" t="s">
        <v>74</v>
      </c>
      <c r="BA912" t="s">
        <v>74</v>
      </c>
      <c r="BB912">
        <v>179</v>
      </c>
      <c r="BC912">
        <v>189</v>
      </c>
      <c r="BD912" t="s">
        <v>74</v>
      </c>
      <c r="BE912" t="s">
        <v>3095</v>
      </c>
      <c r="BF912" t="str">
        <f>HYPERLINK("http://dx.doi.org/10.1007/s10164-021-00690-6","http://dx.doi.org/10.1007/s10164-021-00690-6")</f>
        <v>http://dx.doi.org/10.1007/s10164-021-00690-6</v>
      </c>
      <c r="BG912" t="s">
        <v>74</v>
      </c>
      <c r="BH912" t="s">
        <v>2411</v>
      </c>
      <c r="BI912" t="s">
        <v>74</v>
      </c>
      <c r="BJ912" t="s">
        <v>74</v>
      </c>
      <c r="BK912" t="s">
        <v>74</v>
      </c>
      <c r="BL912" t="s">
        <v>74</v>
      </c>
      <c r="BM912" t="s">
        <v>74</v>
      </c>
      <c r="BN912" t="s">
        <v>74</v>
      </c>
      <c r="BO912" t="s">
        <v>74</v>
      </c>
      <c r="BP912" t="s">
        <v>74</v>
      </c>
      <c r="BQ912" t="s">
        <v>74</v>
      </c>
      <c r="BR912" t="s">
        <v>74</v>
      </c>
      <c r="BS912" t="s">
        <v>3096</v>
      </c>
      <c r="BT912" t="str">
        <f>HYPERLINK("https%3A%2F%2Fwww.webofscience.com%2Fwos%2Fwoscc%2Ffull-record%2FWOS:000614674500001","View Full Record in Web of Science")</f>
        <v>View Full Record in Web of Science</v>
      </c>
    </row>
    <row r="913" spans="1:72" x14ac:dyDescent="0.4">
      <c r="A913" t="s">
        <v>72</v>
      </c>
      <c r="B913" t="s">
        <v>1663</v>
      </c>
      <c r="C913" t="s">
        <v>74</v>
      </c>
      <c r="D913" t="s">
        <v>74</v>
      </c>
      <c r="E913" t="s">
        <v>74</v>
      </c>
      <c r="F913" t="s">
        <v>1664</v>
      </c>
      <c r="G913" t="s">
        <v>74</v>
      </c>
      <c r="H913" t="s">
        <v>74</v>
      </c>
      <c r="I913" t="s">
        <v>1665</v>
      </c>
      <c r="J913" t="s">
        <v>229</v>
      </c>
      <c r="K913" t="s">
        <v>74</v>
      </c>
      <c r="L913" t="s">
        <v>74</v>
      </c>
      <c r="M913" t="s">
        <v>74</v>
      </c>
      <c r="N913" t="s">
        <v>74</v>
      </c>
      <c r="O913" t="s">
        <v>74</v>
      </c>
      <c r="P913" t="s">
        <v>74</v>
      </c>
      <c r="Q913" t="s">
        <v>74</v>
      </c>
      <c r="R913" t="s">
        <v>74</v>
      </c>
      <c r="S913" t="s">
        <v>74</v>
      </c>
      <c r="T913" t="s">
        <v>74</v>
      </c>
      <c r="U913" t="s">
        <v>74</v>
      </c>
      <c r="V913" s="3" t="s">
        <v>1666</v>
      </c>
      <c r="W913" t="s">
        <v>74</v>
      </c>
      <c r="X913" t="s">
        <v>74</v>
      </c>
      <c r="Y913" t="s">
        <v>74</v>
      </c>
      <c r="Z913" t="s">
        <v>74</v>
      </c>
      <c r="AA913" t="s">
        <v>1667</v>
      </c>
      <c r="AB913" t="s">
        <v>1668</v>
      </c>
      <c r="AC913" t="s">
        <v>74</v>
      </c>
      <c r="AD913" t="s">
        <v>74</v>
      </c>
      <c r="AE913" t="s">
        <v>74</v>
      </c>
      <c r="AF913" t="s">
        <v>74</v>
      </c>
      <c r="AG913" t="s">
        <v>74</v>
      </c>
      <c r="AH913" t="s">
        <v>74</v>
      </c>
      <c r="AI913" t="s">
        <v>74</v>
      </c>
      <c r="AJ913" t="s">
        <v>74</v>
      </c>
      <c r="AK913" t="s">
        <v>74</v>
      </c>
      <c r="AL913" t="s">
        <v>74</v>
      </c>
      <c r="AM913" t="s">
        <v>74</v>
      </c>
      <c r="AN913" t="s">
        <v>74</v>
      </c>
      <c r="AO913" t="s">
        <v>233</v>
      </c>
      <c r="AP913" t="s">
        <v>234</v>
      </c>
      <c r="AQ913" t="s">
        <v>74</v>
      </c>
      <c r="AR913" t="s">
        <v>74</v>
      </c>
      <c r="AS913" t="s">
        <v>74</v>
      </c>
      <c r="AT913" t="s">
        <v>808</v>
      </c>
      <c r="AU913">
        <v>2009</v>
      </c>
      <c r="AV913">
        <v>35</v>
      </c>
      <c r="AW913">
        <v>3</v>
      </c>
      <c r="AX913" t="s">
        <v>74</v>
      </c>
      <c r="AY913" t="s">
        <v>74</v>
      </c>
      <c r="AZ913" t="s">
        <v>74</v>
      </c>
      <c r="BA913" t="s">
        <v>74</v>
      </c>
      <c r="BB913">
        <v>274</v>
      </c>
      <c r="BC913">
        <v>283</v>
      </c>
      <c r="BD913" t="s">
        <v>74</v>
      </c>
      <c r="BE913" t="s">
        <v>1669</v>
      </c>
      <c r="BF913" t="str">
        <f>HYPERLINK("http://dx.doi.org/10.1002/ab.20305","http://dx.doi.org/10.1002/ab.20305")</f>
        <v>http://dx.doi.org/10.1002/ab.20305</v>
      </c>
      <c r="BG913" t="s">
        <v>74</v>
      </c>
      <c r="BH913" t="s">
        <v>74</v>
      </c>
      <c r="BI913" t="s">
        <v>74</v>
      </c>
      <c r="BJ913" t="s">
        <v>74</v>
      </c>
      <c r="BK913" t="s">
        <v>74</v>
      </c>
      <c r="BL913" t="s">
        <v>74</v>
      </c>
      <c r="BM913" t="s">
        <v>74</v>
      </c>
      <c r="BN913">
        <v>19291744</v>
      </c>
      <c r="BO913" t="s">
        <v>74</v>
      </c>
      <c r="BP913" t="s">
        <v>74</v>
      </c>
      <c r="BQ913" t="s">
        <v>74</v>
      </c>
      <c r="BR913" t="s">
        <v>74</v>
      </c>
      <c r="BS913" t="s">
        <v>1670</v>
      </c>
      <c r="BT913" t="str">
        <f>HYPERLINK("https%3A%2F%2Fwww.webofscience.com%2Fwos%2Fwoscc%2Ffull-record%2FWOS:000265331000006","View Full Record in Web of Science")</f>
        <v>View Full Record in Web of Science</v>
      </c>
    </row>
    <row r="914" spans="1:72" x14ac:dyDescent="0.4">
      <c r="A914" t="s">
        <v>72</v>
      </c>
      <c r="B914" t="s">
        <v>5122</v>
      </c>
      <c r="C914" t="s">
        <v>74</v>
      </c>
      <c r="D914" t="s">
        <v>74</v>
      </c>
      <c r="E914" t="s">
        <v>74</v>
      </c>
      <c r="F914" t="s">
        <v>5122</v>
      </c>
      <c r="G914" t="s">
        <v>74</v>
      </c>
      <c r="H914" t="s">
        <v>74</v>
      </c>
      <c r="I914" t="s">
        <v>5123</v>
      </c>
      <c r="J914" t="s">
        <v>2207</v>
      </c>
      <c r="K914" t="s">
        <v>74</v>
      </c>
      <c r="L914" t="s">
        <v>74</v>
      </c>
      <c r="M914" t="s">
        <v>74</v>
      </c>
      <c r="N914" t="s">
        <v>74</v>
      </c>
      <c r="O914" t="s">
        <v>74</v>
      </c>
      <c r="P914" t="s">
        <v>74</v>
      </c>
      <c r="Q914" t="s">
        <v>74</v>
      </c>
      <c r="R914" t="s">
        <v>74</v>
      </c>
      <c r="S914" t="s">
        <v>74</v>
      </c>
      <c r="T914" t="s">
        <v>74</v>
      </c>
      <c r="U914" t="s">
        <v>74</v>
      </c>
      <c r="V914" s="3" t="s">
        <v>5124</v>
      </c>
      <c r="W914" t="s">
        <v>74</v>
      </c>
      <c r="X914" t="s">
        <v>74</v>
      </c>
      <c r="Y914" t="s">
        <v>74</v>
      </c>
      <c r="Z914" t="s">
        <v>74</v>
      </c>
      <c r="AA914" t="s">
        <v>74</v>
      </c>
      <c r="AB914" t="s">
        <v>74</v>
      </c>
      <c r="AC914" t="s">
        <v>74</v>
      </c>
      <c r="AD914" t="s">
        <v>74</v>
      </c>
      <c r="AE914" t="s">
        <v>74</v>
      </c>
      <c r="AF914" t="s">
        <v>74</v>
      </c>
      <c r="AG914" t="s">
        <v>74</v>
      </c>
      <c r="AH914" t="s">
        <v>74</v>
      </c>
      <c r="AI914" t="s">
        <v>74</v>
      </c>
      <c r="AJ914" t="s">
        <v>74</v>
      </c>
      <c r="AK914" t="s">
        <v>74</v>
      </c>
      <c r="AL914" t="s">
        <v>74</v>
      </c>
      <c r="AM914" t="s">
        <v>74</v>
      </c>
      <c r="AN914" t="s">
        <v>74</v>
      </c>
      <c r="AO914" t="s">
        <v>2211</v>
      </c>
      <c r="AP914" t="s">
        <v>2461</v>
      </c>
      <c r="AQ914" t="s">
        <v>74</v>
      </c>
      <c r="AR914" t="s">
        <v>74</v>
      </c>
      <c r="AS914" t="s">
        <v>74</v>
      </c>
      <c r="AT914" t="s">
        <v>352</v>
      </c>
      <c r="AU914">
        <v>1997</v>
      </c>
      <c r="AV914">
        <v>28</v>
      </c>
      <c r="AW914">
        <v>3</v>
      </c>
      <c r="AX914" t="s">
        <v>74</v>
      </c>
      <c r="AY914" t="s">
        <v>74</v>
      </c>
      <c r="AZ914" t="s">
        <v>74</v>
      </c>
      <c r="BA914" t="s">
        <v>74</v>
      </c>
      <c r="BB914">
        <v>259</v>
      </c>
      <c r="BC914">
        <v>263</v>
      </c>
      <c r="BD914" t="s">
        <v>74</v>
      </c>
      <c r="BE914" t="s">
        <v>5125</v>
      </c>
      <c r="BF914" t="str">
        <f>HYPERLINK("http://dx.doi.org/10.2307/3676978","http://dx.doi.org/10.2307/3676978")</f>
        <v>http://dx.doi.org/10.2307/3676978</v>
      </c>
      <c r="BG914" t="s">
        <v>74</v>
      </c>
      <c r="BH914" t="s">
        <v>74</v>
      </c>
      <c r="BI914" t="s">
        <v>74</v>
      </c>
      <c r="BJ914" t="s">
        <v>74</v>
      </c>
      <c r="BK914" t="s">
        <v>74</v>
      </c>
      <c r="BL914" t="s">
        <v>74</v>
      </c>
      <c r="BM914" t="s">
        <v>74</v>
      </c>
      <c r="BN914" t="s">
        <v>74</v>
      </c>
      <c r="BO914" t="s">
        <v>74</v>
      </c>
      <c r="BP914" t="s">
        <v>74</v>
      </c>
      <c r="BQ914" t="s">
        <v>74</v>
      </c>
      <c r="BR914" t="s">
        <v>74</v>
      </c>
      <c r="BS914" t="s">
        <v>5126</v>
      </c>
      <c r="BT914" t="str">
        <f>HYPERLINK("https%3A%2F%2Fwww.webofscience.com%2Fwos%2Fwoscc%2Ffull-record%2FWOS:A1997XX48100010","View Full Record in Web of Science")</f>
        <v>View Full Record in Web of Science</v>
      </c>
    </row>
    <row r="915" spans="1:72" x14ac:dyDescent="0.4">
      <c r="A915" t="s">
        <v>72</v>
      </c>
      <c r="B915" t="s">
        <v>5234</v>
      </c>
      <c r="C915" t="s">
        <v>74</v>
      </c>
      <c r="D915" t="s">
        <v>74</v>
      </c>
      <c r="E915" t="s">
        <v>74</v>
      </c>
      <c r="F915" t="s">
        <v>5234</v>
      </c>
      <c r="G915" t="s">
        <v>74</v>
      </c>
      <c r="H915" t="s">
        <v>74</v>
      </c>
      <c r="I915" t="s">
        <v>5235</v>
      </c>
      <c r="J915" t="s">
        <v>140</v>
      </c>
      <c r="K915" t="s">
        <v>74</v>
      </c>
      <c r="L915" t="s">
        <v>74</v>
      </c>
      <c r="M915" t="s">
        <v>74</v>
      </c>
      <c r="N915" t="s">
        <v>74</v>
      </c>
      <c r="O915" t="s">
        <v>74</v>
      </c>
      <c r="P915" t="s">
        <v>74</v>
      </c>
      <c r="Q915" t="s">
        <v>74</v>
      </c>
      <c r="R915" t="s">
        <v>74</v>
      </c>
      <c r="S915" t="s">
        <v>74</v>
      </c>
      <c r="T915" t="s">
        <v>74</v>
      </c>
      <c r="U915" t="s">
        <v>74</v>
      </c>
      <c r="V915" s="3" t="s">
        <v>74</v>
      </c>
      <c r="W915" t="s">
        <v>74</v>
      </c>
      <c r="X915" t="s">
        <v>74</v>
      </c>
      <c r="Y915" t="s">
        <v>74</v>
      </c>
      <c r="Z915" t="s">
        <v>74</v>
      </c>
      <c r="AA915" t="s">
        <v>74</v>
      </c>
      <c r="AB915" t="s">
        <v>74</v>
      </c>
      <c r="AC915" t="s">
        <v>74</v>
      </c>
      <c r="AD915" t="s">
        <v>74</v>
      </c>
      <c r="AE915" t="s">
        <v>74</v>
      </c>
      <c r="AF915" t="s">
        <v>74</v>
      </c>
      <c r="AG915" t="s">
        <v>74</v>
      </c>
      <c r="AH915" t="s">
        <v>74</v>
      </c>
      <c r="AI915" t="s">
        <v>74</v>
      </c>
      <c r="AJ915" t="s">
        <v>74</v>
      </c>
      <c r="AK915" t="s">
        <v>74</v>
      </c>
      <c r="AL915" t="s">
        <v>74</v>
      </c>
      <c r="AM915" t="s">
        <v>74</v>
      </c>
      <c r="AN915" t="s">
        <v>74</v>
      </c>
      <c r="AO915" t="s">
        <v>143</v>
      </c>
      <c r="AP915" t="s">
        <v>74</v>
      </c>
      <c r="AQ915" t="s">
        <v>74</v>
      </c>
      <c r="AR915" t="s">
        <v>74</v>
      </c>
      <c r="AS915" t="s">
        <v>74</v>
      </c>
      <c r="AT915" t="s">
        <v>145</v>
      </c>
      <c r="AU915">
        <v>1992</v>
      </c>
      <c r="AV915">
        <v>44</v>
      </c>
      <c r="AW915">
        <v>2</v>
      </c>
      <c r="AX915" t="s">
        <v>74</v>
      </c>
      <c r="AY915" t="s">
        <v>74</v>
      </c>
      <c r="AZ915" t="s">
        <v>74</v>
      </c>
      <c r="BA915" t="s">
        <v>74</v>
      </c>
      <c r="BB915">
        <v>293</v>
      </c>
      <c r="BC915">
        <v>299</v>
      </c>
      <c r="BD915" t="s">
        <v>74</v>
      </c>
      <c r="BE915" t="s">
        <v>5236</v>
      </c>
      <c r="BF915" t="str">
        <f>HYPERLINK("http://dx.doi.org/10.1016/0003-3472(92)90035-8","http://dx.doi.org/10.1016/0003-3472(92)90035-8")</f>
        <v>http://dx.doi.org/10.1016/0003-3472(92)90035-8</v>
      </c>
      <c r="BG915" t="s">
        <v>74</v>
      </c>
      <c r="BH915" t="s">
        <v>74</v>
      </c>
      <c r="BI915" t="s">
        <v>74</v>
      </c>
      <c r="BJ915" t="s">
        <v>74</v>
      </c>
      <c r="BK915" t="s">
        <v>74</v>
      </c>
      <c r="BL915" t="s">
        <v>74</v>
      </c>
      <c r="BM915" t="s">
        <v>74</v>
      </c>
      <c r="BN915" t="s">
        <v>74</v>
      </c>
      <c r="BO915" t="s">
        <v>74</v>
      </c>
      <c r="BP915" t="s">
        <v>74</v>
      </c>
      <c r="BQ915" t="s">
        <v>74</v>
      </c>
      <c r="BR915" t="s">
        <v>74</v>
      </c>
      <c r="BS915" t="s">
        <v>5237</v>
      </c>
      <c r="BT915" t="str">
        <f>HYPERLINK("https%3A%2F%2Fwww.webofscience.com%2Fwos%2Fwoscc%2Ffull-record%2FWOS:A1992JK06900011","View Full Record in Web of Science")</f>
        <v>View Full Record in Web of Science</v>
      </c>
    </row>
    <row r="916" spans="1:72" x14ac:dyDescent="0.4">
      <c r="A916" t="s">
        <v>72</v>
      </c>
      <c r="B916" t="s">
        <v>8346</v>
      </c>
      <c r="C916" t="s">
        <v>74</v>
      </c>
      <c r="D916" t="s">
        <v>74</v>
      </c>
      <c r="E916" t="s">
        <v>74</v>
      </c>
      <c r="F916" t="s">
        <v>8347</v>
      </c>
      <c r="G916" t="s">
        <v>74</v>
      </c>
      <c r="H916" t="s">
        <v>74</v>
      </c>
      <c r="I916" t="s">
        <v>8348</v>
      </c>
      <c r="J916" t="s">
        <v>129</v>
      </c>
      <c r="K916" t="s">
        <v>74</v>
      </c>
      <c r="L916" t="s">
        <v>74</v>
      </c>
      <c r="M916" t="s">
        <v>74</v>
      </c>
      <c r="N916" t="s">
        <v>74</v>
      </c>
      <c r="O916" t="s">
        <v>74</v>
      </c>
      <c r="P916" t="s">
        <v>74</v>
      </c>
      <c r="Q916" t="s">
        <v>74</v>
      </c>
      <c r="R916" t="s">
        <v>74</v>
      </c>
      <c r="S916" t="s">
        <v>74</v>
      </c>
      <c r="T916" t="s">
        <v>74</v>
      </c>
      <c r="U916" t="s">
        <v>74</v>
      </c>
      <c r="V916" s="3" t="s">
        <v>8349</v>
      </c>
      <c r="W916" t="s">
        <v>74</v>
      </c>
      <c r="X916" t="s">
        <v>74</v>
      </c>
      <c r="Y916" t="s">
        <v>74</v>
      </c>
      <c r="Z916" t="s">
        <v>74</v>
      </c>
      <c r="AA916" t="s">
        <v>74</v>
      </c>
      <c r="AB916" t="s">
        <v>74</v>
      </c>
      <c r="AC916" t="s">
        <v>74</v>
      </c>
      <c r="AD916" t="s">
        <v>74</v>
      </c>
      <c r="AE916" t="s">
        <v>74</v>
      </c>
      <c r="AF916" t="s">
        <v>74</v>
      </c>
      <c r="AG916" t="s">
        <v>74</v>
      </c>
      <c r="AH916" t="s">
        <v>74</v>
      </c>
      <c r="AI916" t="s">
        <v>74</v>
      </c>
      <c r="AJ916" t="s">
        <v>74</v>
      </c>
      <c r="AK916" t="s">
        <v>74</v>
      </c>
      <c r="AL916" t="s">
        <v>74</v>
      </c>
      <c r="AM916" t="s">
        <v>74</v>
      </c>
      <c r="AN916" t="s">
        <v>74</v>
      </c>
      <c r="AO916" t="s">
        <v>132</v>
      </c>
      <c r="AP916" t="s">
        <v>74</v>
      </c>
      <c r="AQ916" t="s">
        <v>74</v>
      </c>
      <c r="AR916" t="s">
        <v>74</v>
      </c>
      <c r="AS916" t="s">
        <v>74</v>
      </c>
      <c r="AT916" t="s">
        <v>204</v>
      </c>
      <c r="AU916">
        <v>2007</v>
      </c>
      <c r="AV916">
        <v>61</v>
      </c>
      <c r="AW916">
        <v>9</v>
      </c>
      <c r="AX916" t="s">
        <v>74</v>
      </c>
      <c r="AY916" t="s">
        <v>74</v>
      </c>
      <c r="AZ916" t="s">
        <v>74</v>
      </c>
      <c r="BA916" t="s">
        <v>74</v>
      </c>
      <c r="BB916">
        <v>1359</v>
      </c>
      <c r="BC916">
        <v>1368</v>
      </c>
      <c r="BD916" t="s">
        <v>74</v>
      </c>
      <c r="BE916" t="s">
        <v>8350</v>
      </c>
      <c r="BF916" t="str">
        <f>HYPERLINK("http://dx.doi.org/10.1007/s00265-007-0366-6","http://dx.doi.org/10.1007/s00265-007-0366-6")</f>
        <v>http://dx.doi.org/10.1007/s00265-007-0366-6</v>
      </c>
      <c r="BG916" t="s">
        <v>74</v>
      </c>
      <c r="BH916" t="s">
        <v>74</v>
      </c>
      <c r="BI916" t="s">
        <v>74</v>
      </c>
      <c r="BJ916" t="s">
        <v>74</v>
      </c>
      <c r="BK916" t="s">
        <v>74</v>
      </c>
      <c r="BL916" t="s">
        <v>74</v>
      </c>
      <c r="BM916" t="s">
        <v>74</v>
      </c>
      <c r="BN916" t="s">
        <v>74</v>
      </c>
      <c r="BO916" t="s">
        <v>74</v>
      </c>
      <c r="BP916" t="s">
        <v>74</v>
      </c>
      <c r="BQ916" t="s">
        <v>74</v>
      </c>
      <c r="BR916" t="s">
        <v>74</v>
      </c>
      <c r="BS916" t="s">
        <v>8351</v>
      </c>
      <c r="BT916" t="str">
        <f>HYPERLINK("https%3A%2F%2Fwww.webofscience.com%2Fwos%2Fwoscc%2Ffull-record%2FWOS:000247256000005","View Full Record in Web of Science")</f>
        <v>View Full Record in Web of Science</v>
      </c>
    </row>
    <row r="917" spans="1:72" x14ac:dyDescent="0.4">
      <c r="A917" t="s">
        <v>72</v>
      </c>
      <c r="B917" t="s">
        <v>8373</v>
      </c>
      <c r="C917" t="s">
        <v>74</v>
      </c>
      <c r="D917" t="s">
        <v>74</v>
      </c>
      <c r="E917" t="s">
        <v>74</v>
      </c>
      <c r="F917" t="s">
        <v>8373</v>
      </c>
      <c r="G917" t="s">
        <v>74</v>
      </c>
      <c r="H917" t="s">
        <v>74</v>
      </c>
      <c r="I917" t="s">
        <v>8374</v>
      </c>
      <c r="J917" t="s">
        <v>333</v>
      </c>
      <c r="K917" t="s">
        <v>74</v>
      </c>
      <c r="L917" t="s">
        <v>74</v>
      </c>
      <c r="M917" t="s">
        <v>74</v>
      </c>
      <c r="N917" t="s">
        <v>74</v>
      </c>
      <c r="O917" t="s">
        <v>74</v>
      </c>
      <c r="P917" t="s">
        <v>74</v>
      </c>
      <c r="Q917" t="s">
        <v>74</v>
      </c>
      <c r="R917" t="s">
        <v>74</v>
      </c>
      <c r="S917" t="s">
        <v>74</v>
      </c>
      <c r="T917" t="s">
        <v>74</v>
      </c>
      <c r="U917" t="s">
        <v>74</v>
      </c>
      <c r="V917" s="3" t="s">
        <v>8375</v>
      </c>
      <c r="W917" t="s">
        <v>74</v>
      </c>
      <c r="X917" t="s">
        <v>74</v>
      </c>
      <c r="Y917" t="s">
        <v>74</v>
      </c>
      <c r="Z917" t="s">
        <v>74</v>
      </c>
      <c r="AA917" t="s">
        <v>8376</v>
      </c>
      <c r="AB917" t="s">
        <v>1934</v>
      </c>
      <c r="AC917" t="s">
        <v>74</v>
      </c>
      <c r="AD917" t="s">
        <v>74</v>
      </c>
      <c r="AE917" t="s">
        <v>74</v>
      </c>
      <c r="AF917" t="s">
        <v>74</v>
      </c>
      <c r="AG917" t="s">
        <v>74</v>
      </c>
      <c r="AH917" t="s">
        <v>74</v>
      </c>
      <c r="AI917" t="s">
        <v>74</v>
      </c>
      <c r="AJ917" t="s">
        <v>74</v>
      </c>
      <c r="AK917" t="s">
        <v>74</v>
      </c>
      <c r="AL917" t="s">
        <v>74</v>
      </c>
      <c r="AM917" t="s">
        <v>74</v>
      </c>
      <c r="AN917" t="s">
        <v>74</v>
      </c>
      <c r="AO917" t="s">
        <v>337</v>
      </c>
      <c r="AP917" t="s">
        <v>338</v>
      </c>
      <c r="AQ917" t="s">
        <v>74</v>
      </c>
      <c r="AR917" t="s">
        <v>74</v>
      </c>
      <c r="AS917" t="s">
        <v>74</v>
      </c>
      <c r="AT917" t="s">
        <v>3338</v>
      </c>
      <c r="AU917">
        <v>1996</v>
      </c>
      <c r="AV917">
        <v>7</v>
      </c>
      <c r="AW917">
        <v>2</v>
      </c>
      <c r="AX917" t="s">
        <v>74</v>
      </c>
      <c r="AY917" t="s">
        <v>74</v>
      </c>
      <c r="AZ917" t="s">
        <v>74</v>
      </c>
      <c r="BA917" t="s">
        <v>74</v>
      </c>
      <c r="BB917">
        <v>145</v>
      </c>
      <c r="BC917">
        <v>150</v>
      </c>
      <c r="BD917" t="s">
        <v>74</v>
      </c>
      <c r="BE917" t="s">
        <v>8377</v>
      </c>
      <c r="BF917" t="str">
        <f>HYPERLINK("http://dx.doi.org/10.1093/beheco/7.2.145","http://dx.doi.org/10.1093/beheco/7.2.145")</f>
        <v>http://dx.doi.org/10.1093/beheco/7.2.145</v>
      </c>
      <c r="BG917" t="s">
        <v>74</v>
      </c>
      <c r="BH917" t="s">
        <v>74</v>
      </c>
      <c r="BI917" t="s">
        <v>74</v>
      </c>
      <c r="BJ917" t="s">
        <v>74</v>
      </c>
      <c r="BK917" t="s">
        <v>74</v>
      </c>
      <c r="BL917" t="s">
        <v>74</v>
      </c>
      <c r="BM917" t="s">
        <v>74</v>
      </c>
      <c r="BN917" t="s">
        <v>74</v>
      </c>
      <c r="BO917" t="s">
        <v>74</v>
      </c>
      <c r="BP917" t="s">
        <v>74</v>
      </c>
      <c r="BQ917" t="s">
        <v>74</v>
      </c>
      <c r="BR917" t="s">
        <v>74</v>
      </c>
      <c r="BS917" t="s">
        <v>8378</v>
      </c>
      <c r="BT917" t="str">
        <f>HYPERLINK("https%3A%2F%2Fwww.webofscience.com%2Fwos%2Fwoscc%2Ffull-record%2FWOS:A1996UK92900006","View Full Record in Web of Science")</f>
        <v>View Full Record in Web of Science</v>
      </c>
    </row>
    <row r="918" spans="1:72" x14ac:dyDescent="0.4">
      <c r="A918" t="s">
        <v>72</v>
      </c>
      <c r="B918" t="s">
        <v>4262</v>
      </c>
      <c r="C918" t="s">
        <v>74</v>
      </c>
      <c r="D918" t="s">
        <v>74</v>
      </c>
      <c r="E918" t="s">
        <v>74</v>
      </c>
      <c r="F918" t="s">
        <v>4263</v>
      </c>
      <c r="G918" t="s">
        <v>74</v>
      </c>
      <c r="H918" t="s">
        <v>74</v>
      </c>
      <c r="I918" t="s">
        <v>4264</v>
      </c>
      <c r="J918" t="s">
        <v>241</v>
      </c>
      <c r="K918" t="s">
        <v>74</v>
      </c>
      <c r="L918" t="s">
        <v>74</v>
      </c>
      <c r="M918" t="s">
        <v>74</v>
      </c>
      <c r="N918" t="s">
        <v>74</v>
      </c>
      <c r="O918" t="s">
        <v>74</v>
      </c>
      <c r="P918" t="s">
        <v>74</v>
      </c>
      <c r="Q918" t="s">
        <v>74</v>
      </c>
      <c r="R918" t="s">
        <v>74</v>
      </c>
      <c r="S918" t="s">
        <v>74</v>
      </c>
      <c r="T918" t="s">
        <v>74</v>
      </c>
      <c r="U918" t="s">
        <v>74</v>
      </c>
      <c r="V918" s="3" t="s">
        <v>4265</v>
      </c>
      <c r="W918" t="s">
        <v>74</v>
      </c>
      <c r="X918" t="s">
        <v>74</v>
      </c>
      <c r="Y918" t="s">
        <v>74</v>
      </c>
      <c r="Z918" t="s">
        <v>74</v>
      </c>
      <c r="AA918" t="s">
        <v>4266</v>
      </c>
      <c r="AB918" t="s">
        <v>4267</v>
      </c>
      <c r="AC918" t="s">
        <v>74</v>
      </c>
      <c r="AD918" t="s">
        <v>74</v>
      </c>
      <c r="AE918" t="s">
        <v>74</v>
      </c>
      <c r="AF918" t="s">
        <v>74</v>
      </c>
      <c r="AG918" t="s">
        <v>74</v>
      </c>
      <c r="AH918" t="s">
        <v>74</v>
      </c>
      <c r="AI918" t="s">
        <v>74</v>
      </c>
      <c r="AJ918" t="s">
        <v>74</v>
      </c>
      <c r="AK918" t="s">
        <v>74</v>
      </c>
      <c r="AL918" t="s">
        <v>74</v>
      </c>
      <c r="AM918" t="s">
        <v>74</v>
      </c>
      <c r="AN918" t="s">
        <v>74</v>
      </c>
      <c r="AO918" t="s">
        <v>245</v>
      </c>
      <c r="AP918" t="s">
        <v>246</v>
      </c>
      <c r="AQ918" t="s">
        <v>74</v>
      </c>
      <c r="AR918" t="s">
        <v>74</v>
      </c>
      <c r="AS918" t="s">
        <v>74</v>
      </c>
      <c r="AT918" t="s">
        <v>255</v>
      </c>
      <c r="AU918">
        <v>2013</v>
      </c>
      <c r="AV918">
        <v>171</v>
      </c>
      <c r="AW918">
        <v>1</v>
      </c>
      <c r="AX918" t="s">
        <v>74</v>
      </c>
      <c r="AY918" t="s">
        <v>74</v>
      </c>
      <c r="AZ918" t="s">
        <v>74</v>
      </c>
      <c r="BA918" t="s">
        <v>74</v>
      </c>
      <c r="BB918">
        <v>105</v>
      </c>
      <c r="BC918">
        <v>113</v>
      </c>
      <c r="BD918" t="s">
        <v>74</v>
      </c>
      <c r="BE918" t="s">
        <v>4268</v>
      </c>
      <c r="BF918" t="str">
        <f>HYPERLINK("http://dx.doi.org/10.1007/s00442-012-2388-7","http://dx.doi.org/10.1007/s00442-012-2388-7")</f>
        <v>http://dx.doi.org/10.1007/s00442-012-2388-7</v>
      </c>
      <c r="BG918" t="s">
        <v>74</v>
      </c>
      <c r="BH918" t="s">
        <v>74</v>
      </c>
      <c r="BI918" t="s">
        <v>74</v>
      </c>
      <c r="BJ918" t="s">
        <v>74</v>
      </c>
      <c r="BK918" t="s">
        <v>74</v>
      </c>
      <c r="BL918" t="s">
        <v>74</v>
      </c>
      <c r="BM918" t="s">
        <v>74</v>
      </c>
      <c r="BN918">
        <v>22710614</v>
      </c>
      <c r="BO918" t="s">
        <v>74</v>
      </c>
      <c r="BP918" t="s">
        <v>74</v>
      </c>
      <c r="BQ918" t="s">
        <v>74</v>
      </c>
      <c r="BR918" t="s">
        <v>74</v>
      </c>
      <c r="BS918" t="s">
        <v>4269</v>
      </c>
      <c r="BT918" t="str">
        <f>HYPERLINK("https%3A%2F%2Fwww.webofscience.com%2Fwos%2Fwoscc%2Ffull-record%2FWOS:000313079100010","View Full Record in Web of Science")</f>
        <v>View Full Record in Web of Science</v>
      </c>
    </row>
    <row r="919" spans="1:72" x14ac:dyDescent="0.4">
      <c r="A919" t="s">
        <v>72</v>
      </c>
      <c r="B919" t="s">
        <v>6284</v>
      </c>
      <c r="C919" t="s">
        <v>74</v>
      </c>
      <c r="D919" t="s">
        <v>74</v>
      </c>
      <c r="E919" t="s">
        <v>74</v>
      </c>
      <c r="F919" t="s">
        <v>6285</v>
      </c>
      <c r="G919" t="s">
        <v>74</v>
      </c>
      <c r="H919" t="s">
        <v>74</v>
      </c>
      <c r="I919" t="s">
        <v>6286</v>
      </c>
      <c r="J919" t="s">
        <v>1656</v>
      </c>
      <c r="K919" t="s">
        <v>74</v>
      </c>
      <c r="L919" t="s">
        <v>74</v>
      </c>
      <c r="M919" t="s">
        <v>74</v>
      </c>
      <c r="N919" t="s">
        <v>74</v>
      </c>
      <c r="O919" t="s">
        <v>74</v>
      </c>
      <c r="P919" t="s">
        <v>74</v>
      </c>
      <c r="Q919" t="s">
        <v>74</v>
      </c>
      <c r="R919" t="s">
        <v>74</v>
      </c>
      <c r="S919" t="s">
        <v>74</v>
      </c>
      <c r="T919" t="s">
        <v>74</v>
      </c>
      <c r="U919" t="s">
        <v>74</v>
      </c>
      <c r="V919" s="3" t="s">
        <v>6287</v>
      </c>
      <c r="W919" t="s">
        <v>74</v>
      </c>
      <c r="X919" t="s">
        <v>74</v>
      </c>
      <c r="Y919" t="s">
        <v>74</v>
      </c>
      <c r="Z919" t="s">
        <v>74</v>
      </c>
      <c r="AA919" t="s">
        <v>74</v>
      </c>
      <c r="AB919" t="s">
        <v>74</v>
      </c>
      <c r="AC919" t="s">
        <v>74</v>
      </c>
      <c r="AD919" t="s">
        <v>74</v>
      </c>
      <c r="AE919" t="s">
        <v>74</v>
      </c>
      <c r="AF919" t="s">
        <v>74</v>
      </c>
      <c r="AG919" t="s">
        <v>74</v>
      </c>
      <c r="AH919" t="s">
        <v>74</v>
      </c>
      <c r="AI919" t="s">
        <v>74</v>
      </c>
      <c r="AJ919" t="s">
        <v>74</v>
      </c>
      <c r="AK919" t="s">
        <v>74</v>
      </c>
      <c r="AL919" t="s">
        <v>74</v>
      </c>
      <c r="AM919" t="s">
        <v>74</v>
      </c>
      <c r="AN919" t="s">
        <v>74</v>
      </c>
      <c r="AO919" t="s">
        <v>1658</v>
      </c>
      <c r="AP919" t="s">
        <v>1659</v>
      </c>
      <c r="AQ919" t="s">
        <v>74</v>
      </c>
      <c r="AR919" t="s">
        <v>74</v>
      </c>
      <c r="AS919" t="s">
        <v>74</v>
      </c>
      <c r="AT919" t="s">
        <v>6288</v>
      </c>
      <c r="AU919">
        <v>2010</v>
      </c>
      <c r="AV919" t="s">
        <v>74</v>
      </c>
      <c r="AW919">
        <v>2355</v>
      </c>
      <c r="AX919" t="s">
        <v>74</v>
      </c>
      <c r="AY919" t="s">
        <v>74</v>
      </c>
      <c r="AZ919" t="s">
        <v>74</v>
      </c>
      <c r="BA919" t="s">
        <v>74</v>
      </c>
      <c r="BB919">
        <v>56</v>
      </c>
      <c r="BC919">
        <v>68</v>
      </c>
      <c r="BD919" t="s">
        <v>74</v>
      </c>
      <c r="BE919" t="s">
        <v>74</v>
      </c>
      <c r="BF919" t="s">
        <v>74</v>
      </c>
      <c r="BG919" t="s">
        <v>74</v>
      </c>
      <c r="BH919" t="s">
        <v>74</v>
      </c>
      <c r="BI919" t="s">
        <v>74</v>
      </c>
      <c r="BJ919" t="s">
        <v>74</v>
      </c>
      <c r="BK919" t="s">
        <v>74</v>
      </c>
      <c r="BL919" t="s">
        <v>74</v>
      </c>
      <c r="BM919" t="s">
        <v>74</v>
      </c>
      <c r="BN919" t="s">
        <v>74</v>
      </c>
      <c r="BO919" t="s">
        <v>74</v>
      </c>
      <c r="BP919" t="s">
        <v>74</v>
      </c>
      <c r="BQ919" t="s">
        <v>74</v>
      </c>
      <c r="BR919" t="s">
        <v>74</v>
      </c>
      <c r="BS919" t="s">
        <v>6289</v>
      </c>
      <c r="BT919" t="str">
        <f>HYPERLINK("https%3A%2F%2Fwww.webofscience.com%2Fwos%2Fwoscc%2Ffull-record%2FWOS:000274639400003","View Full Record in Web of Science")</f>
        <v>View Full Record in Web of Science</v>
      </c>
    </row>
    <row r="920" spans="1:72" x14ac:dyDescent="0.4">
      <c r="A920" t="s">
        <v>72</v>
      </c>
      <c r="B920" t="s">
        <v>5595</v>
      </c>
      <c r="C920" t="s">
        <v>74</v>
      </c>
      <c r="D920" t="s">
        <v>74</v>
      </c>
      <c r="E920" t="s">
        <v>74</v>
      </c>
      <c r="F920" t="s">
        <v>5596</v>
      </c>
      <c r="G920" t="s">
        <v>74</v>
      </c>
      <c r="H920" t="s">
        <v>74</v>
      </c>
      <c r="I920" t="s">
        <v>5597</v>
      </c>
      <c r="J920" t="s">
        <v>1044</v>
      </c>
      <c r="K920" t="s">
        <v>74</v>
      </c>
      <c r="L920" t="s">
        <v>74</v>
      </c>
      <c r="M920" t="s">
        <v>74</v>
      </c>
      <c r="N920" t="s">
        <v>74</v>
      </c>
      <c r="O920" t="s">
        <v>74</v>
      </c>
      <c r="P920" t="s">
        <v>74</v>
      </c>
      <c r="Q920" t="s">
        <v>74</v>
      </c>
      <c r="R920" t="s">
        <v>74</v>
      </c>
      <c r="S920" t="s">
        <v>74</v>
      </c>
      <c r="T920" t="s">
        <v>74</v>
      </c>
      <c r="U920" t="s">
        <v>74</v>
      </c>
      <c r="V920" s="3" t="s">
        <v>5598</v>
      </c>
      <c r="W920" t="s">
        <v>74</v>
      </c>
      <c r="X920" t="s">
        <v>74</v>
      </c>
      <c r="Y920" t="s">
        <v>74</v>
      </c>
      <c r="Z920" t="s">
        <v>74</v>
      </c>
      <c r="AA920" t="s">
        <v>5599</v>
      </c>
      <c r="AB920" t="s">
        <v>5600</v>
      </c>
      <c r="AC920" t="s">
        <v>74</v>
      </c>
      <c r="AD920" t="s">
        <v>74</v>
      </c>
      <c r="AE920" t="s">
        <v>74</v>
      </c>
      <c r="AF920" t="s">
        <v>74</v>
      </c>
      <c r="AG920" t="s">
        <v>74</v>
      </c>
      <c r="AH920" t="s">
        <v>74</v>
      </c>
      <c r="AI920" t="s">
        <v>74</v>
      </c>
      <c r="AJ920" t="s">
        <v>74</v>
      </c>
      <c r="AK920" t="s">
        <v>74</v>
      </c>
      <c r="AL920" t="s">
        <v>74</v>
      </c>
      <c r="AM920" t="s">
        <v>74</v>
      </c>
      <c r="AN920" t="s">
        <v>74</v>
      </c>
      <c r="AO920" t="s">
        <v>1048</v>
      </c>
      <c r="AP920" t="s">
        <v>1049</v>
      </c>
      <c r="AQ920" t="s">
        <v>74</v>
      </c>
      <c r="AR920" t="s">
        <v>74</v>
      </c>
      <c r="AS920" t="s">
        <v>74</v>
      </c>
      <c r="AT920" t="s">
        <v>352</v>
      </c>
      <c r="AU920">
        <v>2015</v>
      </c>
      <c r="AV920">
        <v>24</v>
      </c>
      <c r="AW920">
        <v>18</v>
      </c>
      <c r="AX920" t="s">
        <v>74</v>
      </c>
      <c r="AY920" t="s">
        <v>74</v>
      </c>
      <c r="AZ920" t="s">
        <v>74</v>
      </c>
      <c r="BA920" t="s">
        <v>74</v>
      </c>
      <c r="BB920">
        <v>4679</v>
      </c>
      <c r="BC920">
        <v>4696</v>
      </c>
      <c r="BD920" t="s">
        <v>74</v>
      </c>
      <c r="BE920" t="s">
        <v>5601</v>
      </c>
      <c r="BF920" t="str">
        <f>HYPERLINK("http://dx.doi.org/10.1111/mec.13346","http://dx.doi.org/10.1111/mec.13346")</f>
        <v>http://dx.doi.org/10.1111/mec.13346</v>
      </c>
      <c r="BG920" t="s">
        <v>74</v>
      </c>
      <c r="BH920" t="s">
        <v>74</v>
      </c>
      <c r="BI920" t="s">
        <v>74</v>
      </c>
      <c r="BJ920" t="s">
        <v>74</v>
      </c>
      <c r="BK920" t="s">
        <v>74</v>
      </c>
      <c r="BL920" t="s">
        <v>74</v>
      </c>
      <c r="BM920" t="s">
        <v>74</v>
      </c>
      <c r="BN920">
        <v>26289828</v>
      </c>
      <c r="BO920" t="s">
        <v>74</v>
      </c>
      <c r="BP920" t="s">
        <v>74</v>
      </c>
      <c r="BQ920" t="s">
        <v>74</v>
      </c>
      <c r="BR920" t="s">
        <v>74</v>
      </c>
      <c r="BS920" t="s">
        <v>5602</v>
      </c>
      <c r="BT920" t="str">
        <f>HYPERLINK("https%3A%2F%2Fwww.webofscience.com%2Fwos%2Fwoscc%2Ffull-record%2FWOS:000361555900008","View Full Record in Web of Science")</f>
        <v>View Full Record in Web of Science</v>
      </c>
    </row>
    <row r="921" spans="1:72" x14ac:dyDescent="0.4">
      <c r="A921" t="s">
        <v>72</v>
      </c>
      <c r="B921" t="s">
        <v>1851</v>
      </c>
      <c r="C921" t="s">
        <v>74</v>
      </c>
      <c r="D921" t="s">
        <v>74</v>
      </c>
      <c r="E921" t="s">
        <v>74</v>
      </c>
      <c r="F921" t="s">
        <v>1852</v>
      </c>
      <c r="G921" t="s">
        <v>74</v>
      </c>
      <c r="H921" t="s">
        <v>74</v>
      </c>
      <c r="I921" t="s">
        <v>1853</v>
      </c>
      <c r="J921" t="s">
        <v>1854</v>
      </c>
      <c r="K921" t="s">
        <v>74</v>
      </c>
      <c r="L921" t="s">
        <v>74</v>
      </c>
      <c r="M921" t="s">
        <v>74</v>
      </c>
      <c r="N921" t="s">
        <v>74</v>
      </c>
      <c r="O921" t="s">
        <v>74</v>
      </c>
      <c r="P921" t="s">
        <v>74</v>
      </c>
      <c r="Q921" t="s">
        <v>74</v>
      </c>
      <c r="R921" t="s">
        <v>74</v>
      </c>
      <c r="S921" t="s">
        <v>74</v>
      </c>
      <c r="T921" t="s">
        <v>74</v>
      </c>
      <c r="U921" t="s">
        <v>74</v>
      </c>
      <c r="V921" s="3" t="s">
        <v>1855</v>
      </c>
      <c r="W921" t="s">
        <v>74</v>
      </c>
      <c r="X921" t="s">
        <v>74</v>
      </c>
      <c r="Y921" t="s">
        <v>74</v>
      </c>
      <c r="Z921" t="s">
        <v>74</v>
      </c>
      <c r="AA921" t="s">
        <v>1856</v>
      </c>
      <c r="AB921" t="s">
        <v>1857</v>
      </c>
      <c r="AC921" t="s">
        <v>74</v>
      </c>
      <c r="AD921" t="s">
        <v>74</v>
      </c>
      <c r="AE921" t="s">
        <v>74</v>
      </c>
      <c r="AF921" t="s">
        <v>74</v>
      </c>
      <c r="AG921" t="s">
        <v>74</v>
      </c>
      <c r="AH921" t="s">
        <v>74</v>
      </c>
      <c r="AI921" t="s">
        <v>74</v>
      </c>
      <c r="AJ921" t="s">
        <v>74</v>
      </c>
      <c r="AK921" t="s">
        <v>74</v>
      </c>
      <c r="AL921" t="s">
        <v>74</v>
      </c>
      <c r="AM921" t="s">
        <v>74</v>
      </c>
      <c r="AN921" t="s">
        <v>74</v>
      </c>
      <c r="AO921" t="s">
        <v>1858</v>
      </c>
      <c r="AP921" t="s">
        <v>1859</v>
      </c>
      <c r="AQ921" t="s">
        <v>74</v>
      </c>
      <c r="AR921" t="s">
        <v>74</v>
      </c>
      <c r="AS921" t="s">
        <v>74</v>
      </c>
      <c r="AT921" t="s">
        <v>305</v>
      </c>
      <c r="AU921">
        <v>2016</v>
      </c>
      <c r="AV921">
        <v>45</v>
      </c>
      <c r="AW921">
        <v>6</v>
      </c>
      <c r="AX921" t="s">
        <v>74</v>
      </c>
      <c r="AY921" t="s">
        <v>74</v>
      </c>
      <c r="AZ921" t="s">
        <v>74</v>
      </c>
      <c r="BA921" t="s">
        <v>74</v>
      </c>
      <c r="BB921">
        <v>658</v>
      </c>
      <c r="BC921">
        <v>664</v>
      </c>
      <c r="BD921" t="s">
        <v>74</v>
      </c>
      <c r="BE921" t="s">
        <v>1860</v>
      </c>
      <c r="BF921" t="str">
        <f>HYPERLINK("http://dx.doi.org/10.1007/s13744-016-0417-7","http://dx.doi.org/10.1007/s13744-016-0417-7")</f>
        <v>http://dx.doi.org/10.1007/s13744-016-0417-7</v>
      </c>
      <c r="BG921" t="s">
        <v>74</v>
      </c>
      <c r="BH921" t="s">
        <v>74</v>
      </c>
      <c r="BI921" t="s">
        <v>74</v>
      </c>
      <c r="BJ921" t="s">
        <v>74</v>
      </c>
      <c r="BK921" t="s">
        <v>74</v>
      </c>
      <c r="BL921" t="s">
        <v>74</v>
      </c>
      <c r="BM921" t="s">
        <v>74</v>
      </c>
      <c r="BN921">
        <v>27379758</v>
      </c>
      <c r="BO921" t="s">
        <v>74</v>
      </c>
      <c r="BP921" t="s">
        <v>74</v>
      </c>
      <c r="BQ921" t="s">
        <v>74</v>
      </c>
      <c r="BR921" t="s">
        <v>74</v>
      </c>
      <c r="BS921" t="s">
        <v>1861</v>
      </c>
      <c r="BT921" t="str">
        <f>HYPERLINK("https%3A%2F%2Fwww.webofscience.com%2Fwos%2Fwoscc%2Ffull-record%2FWOS:000389000400006","View Full Record in Web of Science")</f>
        <v>View Full Record in Web of Science</v>
      </c>
    </row>
    <row r="922" spans="1:72" x14ac:dyDescent="0.4">
      <c r="A922" t="s">
        <v>72</v>
      </c>
      <c r="B922" t="s">
        <v>1868</v>
      </c>
      <c r="C922" t="s">
        <v>74</v>
      </c>
      <c r="D922" t="s">
        <v>74</v>
      </c>
      <c r="E922" t="s">
        <v>74</v>
      </c>
      <c r="F922" t="s">
        <v>1869</v>
      </c>
      <c r="G922" t="s">
        <v>74</v>
      </c>
      <c r="H922" t="s">
        <v>74</v>
      </c>
      <c r="I922" t="s">
        <v>1870</v>
      </c>
      <c r="J922" t="s">
        <v>731</v>
      </c>
      <c r="K922" t="s">
        <v>74</v>
      </c>
      <c r="L922" t="s">
        <v>74</v>
      </c>
      <c r="M922" t="s">
        <v>74</v>
      </c>
      <c r="N922" t="s">
        <v>74</v>
      </c>
      <c r="O922" t="s">
        <v>74</v>
      </c>
      <c r="P922" t="s">
        <v>74</v>
      </c>
      <c r="Q922" t="s">
        <v>74</v>
      </c>
      <c r="R922" t="s">
        <v>74</v>
      </c>
      <c r="S922" t="s">
        <v>74</v>
      </c>
      <c r="T922" t="s">
        <v>74</v>
      </c>
      <c r="U922" t="s">
        <v>74</v>
      </c>
      <c r="V922" s="3" t="s">
        <v>1871</v>
      </c>
      <c r="W922" t="s">
        <v>74</v>
      </c>
      <c r="X922" t="s">
        <v>74</v>
      </c>
      <c r="Y922" t="s">
        <v>74</v>
      </c>
      <c r="Z922" t="s">
        <v>74</v>
      </c>
      <c r="AA922" t="s">
        <v>74</v>
      </c>
      <c r="AB922" t="s">
        <v>74</v>
      </c>
      <c r="AC922" t="s">
        <v>74</v>
      </c>
      <c r="AD922" t="s">
        <v>74</v>
      </c>
      <c r="AE922" t="s">
        <v>74</v>
      </c>
      <c r="AF922" t="s">
        <v>74</v>
      </c>
      <c r="AG922" t="s">
        <v>74</v>
      </c>
      <c r="AH922" t="s">
        <v>74</v>
      </c>
      <c r="AI922" t="s">
        <v>74</v>
      </c>
      <c r="AJ922" t="s">
        <v>74</v>
      </c>
      <c r="AK922" t="s">
        <v>74</v>
      </c>
      <c r="AL922" t="s">
        <v>74</v>
      </c>
      <c r="AM922" t="s">
        <v>74</v>
      </c>
      <c r="AN922" t="s">
        <v>74</v>
      </c>
      <c r="AO922" t="s">
        <v>733</v>
      </c>
      <c r="AP922" t="s">
        <v>734</v>
      </c>
      <c r="AQ922" t="s">
        <v>74</v>
      </c>
      <c r="AR922" t="s">
        <v>74</v>
      </c>
      <c r="AS922" t="s">
        <v>74</v>
      </c>
      <c r="AT922" t="s">
        <v>1872</v>
      </c>
      <c r="AU922">
        <v>2008</v>
      </c>
      <c r="AV922">
        <v>191</v>
      </c>
      <c r="AW922">
        <v>1</v>
      </c>
      <c r="AX922" t="s">
        <v>74</v>
      </c>
      <c r="AY922" t="s">
        <v>74</v>
      </c>
      <c r="AZ922" t="s">
        <v>74</v>
      </c>
      <c r="BA922" t="s">
        <v>74</v>
      </c>
      <c r="BB922">
        <v>77</v>
      </c>
      <c r="BC922">
        <v>87</v>
      </c>
      <c r="BD922" t="s">
        <v>74</v>
      </c>
      <c r="BE922" t="s">
        <v>1873</v>
      </c>
      <c r="BF922" t="str">
        <f>HYPERLINK("http://dx.doi.org/10.1016/j.bbr.2008.03.013","http://dx.doi.org/10.1016/j.bbr.2008.03.013")</f>
        <v>http://dx.doi.org/10.1016/j.bbr.2008.03.013</v>
      </c>
      <c r="BG922" t="s">
        <v>74</v>
      </c>
      <c r="BH922" t="s">
        <v>74</v>
      </c>
      <c r="BI922" t="s">
        <v>74</v>
      </c>
      <c r="BJ922" t="s">
        <v>74</v>
      </c>
      <c r="BK922" t="s">
        <v>74</v>
      </c>
      <c r="BL922" t="s">
        <v>74</v>
      </c>
      <c r="BM922" t="s">
        <v>74</v>
      </c>
      <c r="BN922">
        <v>18423643</v>
      </c>
      <c r="BO922" t="s">
        <v>74</v>
      </c>
      <c r="BP922" t="s">
        <v>74</v>
      </c>
      <c r="BQ922" t="s">
        <v>74</v>
      </c>
      <c r="BR922" t="s">
        <v>74</v>
      </c>
      <c r="BS922" t="s">
        <v>1874</v>
      </c>
      <c r="BT922" t="str">
        <f>HYPERLINK("https%3A%2F%2Fwww.webofscience.com%2Fwos%2Fwoscc%2Ffull-record%2FWOS:000256786700012","View Full Record in Web of Science")</f>
        <v>View Full Record in Web of Science</v>
      </c>
    </row>
    <row r="923" spans="1:72" x14ac:dyDescent="0.4">
      <c r="A923" t="s">
        <v>72</v>
      </c>
      <c r="B923" t="s">
        <v>2328</v>
      </c>
      <c r="C923" t="s">
        <v>74</v>
      </c>
      <c r="D923" t="s">
        <v>74</v>
      </c>
      <c r="E923" t="s">
        <v>74</v>
      </c>
      <c r="F923" t="s">
        <v>2329</v>
      </c>
      <c r="G923" t="s">
        <v>74</v>
      </c>
      <c r="H923" t="s">
        <v>74</v>
      </c>
      <c r="I923" t="s">
        <v>2330</v>
      </c>
      <c r="J923" t="s">
        <v>1244</v>
      </c>
      <c r="K923" t="s">
        <v>74</v>
      </c>
      <c r="L923" t="s">
        <v>74</v>
      </c>
      <c r="M923" t="s">
        <v>74</v>
      </c>
      <c r="N923" t="s">
        <v>74</v>
      </c>
      <c r="O923" t="s">
        <v>74</v>
      </c>
      <c r="P923" t="s">
        <v>74</v>
      </c>
      <c r="Q923" t="s">
        <v>74</v>
      </c>
      <c r="R923" t="s">
        <v>74</v>
      </c>
      <c r="S923" t="s">
        <v>74</v>
      </c>
      <c r="T923" t="s">
        <v>74</v>
      </c>
      <c r="U923" t="s">
        <v>74</v>
      </c>
      <c r="V923" s="3" t="s">
        <v>2331</v>
      </c>
      <c r="W923" t="s">
        <v>74</v>
      </c>
      <c r="X923" t="s">
        <v>74</v>
      </c>
      <c r="Y923" t="s">
        <v>74</v>
      </c>
      <c r="Z923" t="s">
        <v>74</v>
      </c>
      <c r="AA923" t="s">
        <v>74</v>
      </c>
      <c r="AB923" t="s">
        <v>74</v>
      </c>
      <c r="AC923" t="s">
        <v>74</v>
      </c>
      <c r="AD923" t="s">
        <v>74</v>
      </c>
      <c r="AE923" t="s">
        <v>74</v>
      </c>
      <c r="AF923" t="s">
        <v>74</v>
      </c>
      <c r="AG923" t="s">
        <v>74</v>
      </c>
      <c r="AH923" t="s">
        <v>74</v>
      </c>
      <c r="AI923" t="s">
        <v>74</v>
      </c>
      <c r="AJ923" t="s">
        <v>74</v>
      </c>
      <c r="AK923" t="s">
        <v>74</v>
      </c>
      <c r="AL923" t="s">
        <v>74</v>
      </c>
      <c r="AM923" t="s">
        <v>74</v>
      </c>
      <c r="AN923" t="s">
        <v>74</v>
      </c>
      <c r="AO923" t="s">
        <v>1246</v>
      </c>
      <c r="AP923" t="s">
        <v>74</v>
      </c>
      <c r="AQ923" t="s">
        <v>74</v>
      </c>
      <c r="AR923" t="s">
        <v>74</v>
      </c>
      <c r="AS923" t="s">
        <v>74</v>
      </c>
      <c r="AT923" t="s">
        <v>2332</v>
      </c>
      <c r="AU923">
        <v>2014</v>
      </c>
      <c r="AV923">
        <v>43</v>
      </c>
      <c r="AW923" t="s">
        <v>1276</v>
      </c>
      <c r="AX923" t="s">
        <v>74</v>
      </c>
      <c r="AY923" t="s">
        <v>74</v>
      </c>
      <c r="AZ923" t="s">
        <v>74</v>
      </c>
      <c r="BA923" t="s">
        <v>74</v>
      </c>
      <c r="BB923">
        <v>227</v>
      </c>
      <c r="BC923">
        <v>235</v>
      </c>
      <c r="BD923" t="s">
        <v>74</v>
      </c>
      <c r="BE923" t="s">
        <v>74</v>
      </c>
      <c r="BF923" t="s">
        <v>74</v>
      </c>
      <c r="BG923" t="s">
        <v>74</v>
      </c>
      <c r="BH923" t="s">
        <v>74</v>
      </c>
      <c r="BI923" t="s">
        <v>74</v>
      </c>
      <c r="BJ923" t="s">
        <v>74</v>
      </c>
      <c r="BK923" t="s">
        <v>74</v>
      </c>
      <c r="BL923" t="s">
        <v>74</v>
      </c>
      <c r="BM923" t="s">
        <v>74</v>
      </c>
      <c r="BN923" t="s">
        <v>74</v>
      </c>
      <c r="BO923" t="s">
        <v>74</v>
      </c>
      <c r="BP923" t="s">
        <v>74</v>
      </c>
      <c r="BQ923" t="s">
        <v>74</v>
      </c>
      <c r="BR923" t="s">
        <v>74</v>
      </c>
      <c r="BS923" t="s">
        <v>2333</v>
      </c>
      <c r="BT923" t="str">
        <f>HYPERLINK("https%3A%2F%2Fwww.webofscience.com%2Fwos%2Fwoscc%2Ffull-record%2FWOS:000345540300007","View Full Record in Web of Science")</f>
        <v>View Full Record in Web of Science</v>
      </c>
    </row>
    <row r="924" spans="1:72" x14ac:dyDescent="0.4">
      <c r="A924" t="s">
        <v>72</v>
      </c>
      <c r="B924" t="s">
        <v>226</v>
      </c>
      <c r="C924" t="s">
        <v>74</v>
      </c>
      <c r="D924" t="s">
        <v>74</v>
      </c>
      <c r="E924" t="s">
        <v>74</v>
      </c>
      <c r="F924" t="s">
        <v>227</v>
      </c>
      <c r="G924" t="s">
        <v>74</v>
      </c>
      <c r="H924" t="s">
        <v>74</v>
      </c>
      <c r="I924" t="s">
        <v>228</v>
      </c>
      <c r="J924" t="s">
        <v>229</v>
      </c>
      <c r="K924" t="s">
        <v>74</v>
      </c>
      <c r="L924" t="s">
        <v>74</v>
      </c>
      <c r="M924" t="s">
        <v>74</v>
      </c>
      <c r="N924" t="s">
        <v>74</v>
      </c>
      <c r="O924" t="s">
        <v>74</v>
      </c>
      <c r="P924" t="s">
        <v>74</v>
      </c>
      <c r="Q924" t="s">
        <v>74</v>
      </c>
      <c r="R924" t="s">
        <v>74</v>
      </c>
      <c r="S924" t="s">
        <v>74</v>
      </c>
      <c r="T924" t="s">
        <v>74</v>
      </c>
      <c r="U924" t="s">
        <v>74</v>
      </c>
      <c r="V924" s="3" t="s">
        <v>230</v>
      </c>
      <c r="W924" t="s">
        <v>74</v>
      </c>
      <c r="X924" t="s">
        <v>74</v>
      </c>
      <c r="Y924" t="s">
        <v>74</v>
      </c>
      <c r="Z924" t="s">
        <v>74</v>
      </c>
      <c r="AA924" t="s">
        <v>231</v>
      </c>
      <c r="AB924" t="s">
        <v>232</v>
      </c>
      <c r="AC924" t="s">
        <v>74</v>
      </c>
      <c r="AD924" t="s">
        <v>74</v>
      </c>
      <c r="AE924" t="s">
        <v>74</v>
      </c>
      <c r="AF924" t="s">
        <v>74</v>
      </c>
      <c r="AG924" t="s">
        <v>74</v>
      </c>
      <c r="AH924" t="s">
        <v>74</v>
      </c>
      <c r="AI924" t="s">
        <v>74</v>
      </c>
      <c r="AJ924" t="s">
        <v>74</v>
      </c>
      <c r="AK924" t="s">
        <v>74</v>
      </c>
      <c r="AL924" t="s">
        <v>74</v>
      </c>
      <c r="AM924" t="s">
        <v>74</v>
      </c>
      <c r="AN924" t="s">
        <v>74</v>
      </c>
      <c r="AO924" t="s">
        <v>233</v>
      </c>
      <c r="AP924" t="s">
        <v>234</v>
      </c>
      <c r="AQ924" t="s">
        <v>74</v>
      </c>
      <c r="AR924" t="s">
        <v>74</v>
      </c>
      <c r="AS924" t="s">
        <v>74</v>
      </c>
      <c r="AT924" t="s">
        <v>204</v>
      </c>
      <c r="AU924">
        <v>2021</v>
      </c>
      <c r="AV924">
        <v>47</v>
      </c>
      <c r="AW924">
        <v>4</v>
      </c>
      <c r="AX924" t="s">
        <v>74</v>
      </c>
      <c r="AY924" t="s">
        <v>74</v>
      </c>
      <c r="AZ924" t="s">
        <v>74</v>
      </c>
      <c r="BA924" t="s">
        <v>74</v>
      </c>
      <c r="BB924">
        <v>430</v>
      </c>
      <c r="BC924">
        <v>438</v>
      </c>
      <c r="BD924" t="s">
        <v>74</v>
      </c>
      <c r="BE924" t="s">
        <v>235</v>
      </c>
      <c r="BF924" t="str">
        <f>HYPERLINK("http://dx.doi.org/10.1002/ab.21961","http://dx.doi.org/10.1002/ab.21961")</f>
        <v>http://dx.doi.org/10.1002/ab.21961</v>
      </c>
      <c r="BG924" t="s">
        <v>74</v>
      </c>
      <c r="BH924" t="s">
        <v>236</v>
      </c>
      <c r="BI924" t="s">
        <v>74</v>
      </c>
      <c r="BJ924" t="s">
        <v>74</v>
      </c>
      <c r="BK924" t="s">
        <v>74</v>
      </c>
      <c r="BL924" t="s">
        <v>74</v>
      </c>
      <c r="BM924" t="s">
        <v>74</v>
      </c>
      <c r="BN924">
        <v>33682154</v>
      </c>
      <c r="BO924" t="s">
        <v>74</v>
      </c>
      <c r="BP924" t="s">
        <v>74</v>
      </c>
      <c r="BQ924" t="s">
        <v>74</v>
      </c>
      <c r="BR924" t="s">
        <v>74</v>
      </c>
      <c r="BS924" t="s">
        <v>237</v>
      </c>
      <c r="BT924" t="str">
        <f>HYPERLINK("https%3A%2F%2Fwww.webofscience.com%2Fwos%2Fwoscc%2Ffull-record%2FWOS:000625980800001","View Full Record in Web of Science")</f>
        <v>View Full Record in Web of Science</v>
      </c>
    </row>
    <row r="925" spans="1:72" x14ac:dyDescent="0.4">
      <c r="A925" t="s">
        <v>72</v>
      </c>
      <c r="B925" t="s">
        <v>3843</v>
      </c>
      <c r="C925" t="s">
        <v>74</v>
      </c>
      <c r="D925" t="s">
        <v>74</v>
      </c>
      <c r="E925" t="s">
        <v>74</v>
      </c>
      <c r="F925" t="s">
        <v>3844</v>
      </c>
      <c r="G925" t="s">
        <v>74</v>
      </c>
      <c r="H925" t="s">
        <v>74</v>
      </c>
      <c r="I925" t="s">
        <v>3845</v>
      </c>
      <c r="J925" t="s">
        <v>3846</v>
      </c>
      <c r="K925" t="s">
        <v>74</v>
      </c>
      <c r="L925" t="s">
        <v>74</v>
      </c>
      <c r="M925" t="s">
        <v>74</v>
      </c>
      <c r="N925" t="s">
        <v>74</v>
      </c>
      <c r="O925" t="s">
        <v>74</v>
      </c>
      <c r="P925" t="s">
        <v>74</v>
      </c>
      <c r="Q925" t="s">
        <v>74</v>
      </c>
      <c r="R925" t="s">
        <v>74</v>
      </c>
      <c r="S925" t="s">
        <v>74</v>
      </c>
      <c r="T925" t="s">
        <v>74</v>
      </c>
      <c r="U925" t="s">
        <v>74</v>
      </c>
      <c r="V925" s="3" t="s">
        <v>3847</v>
      </c>
      <c r="W925" t="s">
        <v>74</v>
      </c>
      <c r="X925" t="s">
        <v>74</v>
      </c>
      <c r="Y925" t="s">
        <v>74</v>
      </c>
      <c r="Z925" t="s">
        <v>74</v>
      </c>
      <c r="AA925" t="s">
        <v>231</v>
      </c>
      <c r="AB925" t="s">
        <v>3848</v>
      </c>
      <c r="AC925" t="s">
        <v>74</v>
      </c>
      <c r="AD925" t="s">
        <v>74</v>
      </c>
      <c r="AE925" t="s">
        <v>74</v>
      </c>
      <c r="AF925" t="s">
        <v>74</v>
      </c>
      <c r="AG925" t="s">
        <v>74</v>
      </c>
      <c r="AH925" t="s">
        <v>74</v>
      </c>
      <c r="AI925" t="s">
        <v>74</v>
      </c>
      <c r="AJ925" t="s">
        <v>74</v>
      </c>
      <c r="AK925" t="s">
        <v>74</v>
      </c>
      <c r="AL925" t="s">
        <v>74</v>
      </c>
      <c r="AM925" t="s">
        <v>74</v>
      </c>
      <c r="AN925" t="s">
        <v>74</v>
      </c>
      <c r="AO925" t="s">
        <v>3849</v>
      </c>
      <c r="AP925" t="s">
        <v>3850</v>
      </c>
      <c r="AQ925" t="s">
        <v>74</v>
      </c>
      <c r="AR925" t="s">
        <v>74</v>
      </c>
      <c r="AS925" t="s">
        <v>74</v>
      </c>
      <c r="AT925" t="s">
        <v>102</v>
      </c>
      <c r="AU925">
        <v>2019</v>
      </c>
      <c r="AV925">
        <v>14</v>
      </c>
      <c r="AW925">
        <v>1</v>
      </c>
      <c r="AX925" t="s">
        <v>74</v>
      </c>
      <c r="AY925" t="s">
        <v>74</v>
      </c>
      <c r="AZ925" t="s">
        <v>74</v>
      </c>
      <c r="BA925" t="s">
        <v>74</v>
      </c>
      <c r="BB925">
        <v>35</v>
      </c>
      <c r="BC925">
        <v>41</v>
      </c>
      <c r="BD925" t="s">
        <v>74</v>
      </c>
      <c r="BE925" t="s">
        <v>3851</v>
      </c>
      <c r="BF925" t="str">
        <f>HYPERLINK("http://dx.doi.org/10.13128/Acta_Herpetol-24651","http://dx.doi.org/10.13128/Acta_Herpetol-24651")</f>
        <v>http://dx.doi.org/10.13128/Acta_Herpetol-24651</v>
      </c>
      <c r="BG925" t="s">
        <v>74</v>
      </c>
      <c r="BH925" t="s">
        <v>74</v>
      </c>
      <c r="BI925" t="s">
        <v>74</v>
      </c>
      <c r="BJ925" t="s">
        <v>74</v>
      </c>
      <c r="BK925" t="s">
        <v>74</v>
      </c>
      <c r="BL925" t="s">
        <v>74</v>
      </c>
      <c r="BM925" t="s">
        <v>74</v>
      </c>
      <c r="BN925" t="s">
        <v>74</v>
      </c>
      <c r="BO925" t="s">
        <v>74</v>
      </c>
      <c r="BP925" t="s">
        <v>74</v>
      </c>
      <c r="BQ925" t="s">
        <v>74</v>
      </c>
      <c r="BR925" t="s">
        <v>74</v>
      </c>
      <c r="BS925" t="s">
        <v>3852</v>
      </c>
      <c r="BT925" t="str">
        <f>HYPERLINK("https%3A%2F%2Fwww.webofscience.com%2Fwos%2Fwoscc%2Ffull-record%2FWOS:000482630700005","View Full Record in Web of Science")</f>
        <v>View Full Record in Web of Science</v>
      </c>
    </row>
    <row r="926" spans="1:72" x14ac:dyDescent="0.4">
      <c r="A926" t="s">
        <v>72</v>
      </c>
      <c r="B926" t="s">
        <v>7982</v>
      </c>
      <c r="C926" t="s">
        <v>74</v>
      </c>
      <c r="D926" t="s">
        <v>74</v>
      </c>
      <c r="E926" t="s">
        <v>74</v>
      </c>
      <c r="F926" t="s">
        <v>7982</v>
      </c>
      <c r="G926" t="s">
        <v>74</v>
      </c>
      <c r="H926" t="s">
        <v>74</v>
      </c>
      <c r="I926" t="s">
        <v>7983</v>
      </c>
      <c r="J926" t="s">
        <v>530</v>
      </c>
      <c r="K926" t="s">
        <v>74</v>
      </c>
      <c r="L926" t="s">
        <v>74</v>
      </c>
      <c r="M926" t="s">
        <v>74</v>
      </c>
      <c r="N926" t="s">
        <v>74</v>
      </c>
      <c r="O926" t="s">
        <v>74</v>
      </c>
      <c r="P926" t="s">
        <v>74</v>
      </c>
      <c r="Q926" t="s">
        <v>74</v>
      </c>
      <c r="R926" t="s">
        <v>74</v>
      </c>
      <c r="S926" t="s">
        <v>74</v>
      </c>
      <c r="T926" t="s">
        <v>74</v>
      </c>
      <c r="U926" t="s">
        <v>74</v>
      </c>
      <c r="V926" s="3" t="s">
        <v>7984</v>
      </c>
      <c r="W926" t="s">
        <v>74</v>
      </c>
      <c r="X926" t="s">
        <v>74</v>
      </c>
      <c r="Y926" t="s">
        <v>74</v>
      </c>
      <c r="Z926" t="s">
        <v>74</v>
      </c>
      <c r="AA926" t="s">
        <v>7985</v>
      </c>
      <c r="AB926" t="s">
        <v>7986</v>
      </c>
      <c r="AC926" t="s">
        <v>74</v>
      </c>
      <c r="AD926" t="s">
        <v>74</v>
      </c>
      <c r="AE926" t="s">
        <v>74</v>
      </c>
      <c r="AF926" t="s">
        <v>74</v>
      </c>
      <c r="AG926" t="s">
        <v>74</v>
      </c>
      <c r="AH926" t="s">
        <v>74</v>
      </c>
      <c r="AI926" t="s">
        <v>74</v>
      </c>
      <c r="AJ926" t="s">
        <v>74</v>
      </c>
      <c r="AK926" t="s">
        <v>74</v>
      </c>
      <c r="AL926" t="s">
        <v>74</v>
      </c>
      <c r="AM926" t="s">
        <v>74</v>
      </c>
      <c r="AN926" t="s">
        <v>74</v>
      </c>
      <c r="AO926" t="s">
        <v>532</v>
      </c>
      <c r="AP926" t="s">
        <v>74</v>
      </c>
      <c r="AQ926" t="s">
        <v>74</v>
      </c>
      <c r="AR926" t="s">
        <v>74</v>
      </c>
      <c r="AS926" t="s">
        <v>74</v>
      </c>
      <c r="AT926" t="s">
        <v>964</v>
      </c>
      <c r="AU926">
        <v>2005</v>
      </c>
      <c r="AV926">
        <v>146</v>
      </c>
      <c r="AW926">
        <v>3</v>
      </c>
      <c r="AX926" t="s">
        <v>74</v>
      </c>
      <c r="AY926" t="s">
        <v>74</v>
      </c>
      <c r="AZ926" t="s">
        <v>74</v>
      </c>
      <c r="BA926" t="s">
        <v>74</v>
      </c>
      <c r="BB926">
        <v>435</v>
      </c>
      <c r="BC926">
        <v>443</v>
      </c>
      <c r="BD926" t="s">
        <v>74</v>
      </c>
      <c r="BE926" t="s">
        <v>7987</v>
      </c>
      <c r="BF926" t="str">
        <f>HYPERLINK("http://dx.doi.org/10.1007/s00227-004-1462-z","http://dx.doi.org/10.1007/s00227-004-1462-z")</f>
        <v>http://dx.doi.org/10.1007/s00227-004-1462-z</v>
      </c>
      <c r="BG926" t="s">
        <v>74</v>
      </c>
      <c r="BH926" t="s">
        <v>74</v>
      </c>
      <c r="BI926" t="s">
        <v>74</v>
      </c>
      <c r="BJ926" t="s">
        <v>74</v>
      </c>
      <c r="BK926" t="s">
        <v>74</v>
      </c>
      <c r="BL926" t="s">
        <v>74</v>
      </c>
      <c r="BM926" t="s">
        <v>74</v>
      </c>
      <c r="BN926" t="s">
        <v>74</v>
      </c>
      <c r="BO926" t="s">
        <v>74</v>
      </c>
      <c r="BP926" t="s">
        <v>74</v>
      </c>
      <c r="BQ926" t="s">
        <v>74</v>
      </c>
      <c r="BR926" t="s">
        <v>74</v>
      </c>
      <c r="BS926" t="s">
        <v>7988</v>
      </c>
      <c r="BT926" t="str">
        <f>HYPERLINK("https%3A%2F%2Fwww.webofscience.com%2Fwos%2Fwoscc%2Ffull-record%2FWOS:000226810300002","View Full Record in Web of Science")</f>
        <v>View Full Record in Web of Science</v>
      </c>
    </row>
    <row r="927" spans="1:72" x14ac:dyDescent="0.4">
      <c r="A927" t="s">
        <v>72</v>
      </c>
      <c r="B927" t="s">
        <v>4783</v>
      </c>
      <c r="C927" t="s">
        <v>74</v>
      </c>
      <c r="D927" t="s">
        <v>74</v>
      </c>
      <c r="E927" t="s">
        <v>74</v>
      </c>
      <c r="F927" t="s">
        <v>4784</v>
      </c>
      <c r="G927" t="s">
        <v>74</v>
      </c>
      <c r="H927" t="s">
        <v>74</v>
      </c>
      <c r="I927" t="s">
        <v>4785</v>
      </c>
      <c r="J927" t="s">
        <v>1601</v>
      </c>
      <c r="K927" t="s">
        <v>74</v>
      </c>
      <c r="L927" t="s">
        <v>74</v>
      </c>
      <c r="M927" t="s">
        <v>74</v>
      </c>
      <c r="N927" t="s">
        <v>74</v>
      </c>
      <c r="O927" t="s">
        <v>74</v>
      </c>
      <c r="P927" t="s">
        <v>74</v>
      </c>
      <c r="Q927" t="s">
        <v>74</v>
      </c>
      <c r="R927" t="s">
        <v>74</v>
      </c>
      <c r="S927" t="s">
        <v>74</v>
      </c>
      <c r="T927" t="s">
        <v>74</v>
      </c>
      <c r="U927" t="s">
        <v>74</v>
      </c>
      <c r="V927" s="3" t="s">
        <v>4786</v>
      </c>
      <c r="W927" t="s">
        <v>74</v>
      </c>
      <c r="X927" t="s">
        <v>74</v>
      </c>
      <c r="Y927" t="s">
        <v>74</v>
      </c>
      <c r="Z927" t="s">
        <v>74</v>
      </c>
      <c r="AA927" t="s">
        <v>74</v>
      </c>
      <c r="AB927" t="s">
        <v>74</v>
      </c>
      <c r="AC927" t="s">
        <v>74</v>
      </c>
      <c r="AD927" t="s">
        <v>74</v>
      </c>
      <c r="AE927" t="s">
        <v>74</v>
      </c>
      <c r="AF927" t="s">
        <v>74</v>
      </c>
      <c r="AG927" t="s">
        <v>74</v>
      </c>
      <c r="AH927" t="s">
        <v>74</v>
      </c>
      <c r="AI927" t="s">
        <v>74</v>
      </c>
      <c r="AJ927" t="s">
        <v>74</v>
      </c>
      <c r="AK927" t="s">
        <v>74</v>
      </c>
      <c r="AL927" t="s">
        <v>74</v>
      </c>
      <c r="AM927" t="s">
        <v>74</v>
      </c>
      <c r="AN927" t="s">
        <v>74</v>
      </c>
      <c r="AO927" t="s">
        <v>1603</v>
      </c>
      <c r="AP927" t="s">
        <v>74</v>
      </c>
      <c r="AQ927" t="s">
        <v>74</v>
      </c>
      <c r="AR927" t="s">
        <v>74</v>
      </c>
      <c r="AS927" t="s">
        <v>74</v>
      </c>
      <c r="AT927" t="s">
        <v>352</v>
      </c>
      <c r="AU927">
        <v>2006</v>
      </c>
      <c r="AV927">
        <v>113</v>
      </c>
      <c r="AW927">
        <v>3</v>
      </c>
      <c r="AX927" t="s">
        <v>74</v>
      </c>
      <c r="AY927" t="s">
        <v>74</v>
      </c>
      <c r="AZ927" t="s">
        <v>74</v>
      </c>
      <c r="BA927" t="s">
        <v>74</v>
      </c>
      <c r="BB927">
        <v>675</v>
      </c>
      <c r="BC927">
        <v>691</v>
      </c>
      <c r="BD927" t="s">
        <v>74</v>
      </c>
      <c r="BE927" t="s">
        <v>4787</v>
      </c>
      <c r="BF927" t="str">
        <f>HYPERLINK("http://dx.doi.org/10.5962/bhl.part.80367","http://dx.doi.org/10.5962/bhl.part.80367")</f>
        <v>http://dx.doi.org/10.5962/bhl.part.80367</v>
      </c>
      <c r="BG927" t="s">
        <v>74</v>
      </c>
      <c r="BH927" t="s">
        <v>74</v>
      </c>
      <c r="BI927" t="s">
        <v>74</v>
      </c>
      <c r="BJ927" t="s">
        <v>74</v>
      </c>
      <c r="BK927" t="s">
        <v>74</v>
      </c>
      <c r="BL927" t="s">
        <v>74</v>
      </c>
      <c r="BM927" t="s">
        <v>74</v>
      </c>
      <c r="BN927" t="s">
        <v>74</v>
      </c>
      <c r="BO927" t="s">
        <v>74</v>
      </c>
      <c r="BP927" t="s">
        <v>74</v>
      </c>
      <c r="BQ927" t="s">
        <v>74</v>
      </c>
      <c r="BR927" t="s">
        <v>74</v>
      </c>
      <c r="BS927" t="s">
        <v>4788</v>
      </c>
      <c r="BT927" t="str">
        <f>HYPERLINK("https%3A%2F%2Fwww.webofscience.com%2Fwos%2Fwoscc%2Ffull-record%2FWOS:000241077500009","View Full Record in Web of Science")</f>
        <v>View Full Record in Web of Science</v>
      </c>
    </row>
    <row r="928" spans="1:72" x14ac:dyDescent="0.4">
      <c r="A928" t="s">
        <v>72</v>
      </c>
      <c r="B928" t="s">
        <v>3244</v>
      </c>
      <c r="C928" t="s">
        <v>74</v>
      </c>
      <c r="D928" t="s">
        <v>74</v>
      </c>
      <c r="E928" t="s">
        <v>74</v>
      </c>
      <c r="F928" t="s">
        <v>3245</v>
      </c>
      <c r="G928" t="s">
        <v>74</v>
      </c>
      <c r="H928" t="s">
        <v>74</v>
      </c>
      <c r="I928" t="s">
        <v>3246</v>
      </c>
      <c r="J928" t="s">
        <v>610</v>
      </c>
      <c r="K928" t="s">
        <v>74</v>
      </c>
      <c r="L928" t="s">
        <v>74</v>
      </c>
      <c r="M928" t="s">
        <v>74</v>
      </c>
      <c r="N928" t="s">
        <v>74</v>
      </c>
      <c r="O928" t="s">
        <v>74</v>
      </c>
      <c r="P928" t="s">
        <v>74</v>
      </c>
      <c r="Q928" t="s">
        <v>74</v>
      </c>
      <c r="R928" t="s">
        <v>74</v>
      </c>
      <c r="S928" t="s">
        <v>74</v>
      </c>
      <c r="T928" t="s">
        <v>74</v>
      </c>
      <c r="U928" t="s">
        <v>74</v>
      </c>
      <c r="V928" s="3" t="s">
        <v>3247</v>
      </c>
      <c r="W928" t="s">
        <v>74</v>
      </c>
      <c r="X928" t="s">
        <v>74</v>
      </c>
      <c r="Y928" t="s">
        <v>74</v>
      </c>
      <c r="Z928" t="s">
        <v>74</v>
      </c>
      <c r="AA928" t="s">
        <v>3248</v>
      </c>
      <c r="AB928" t="s">
        <v>3249</v>
      </c>
      <c r="AC928" t="s">
        <v>74</v>
      </c>
      <c r="AD928" t="s">
        <v>74</v>
      </c>
      <c r="AE928" t="s">
        <v>74</v>
      </c>
      <c r="AF928" t="s">
        <v>74</v>
      </c>
      <c r="AG928" t="s">
        <v>74</v>
      </c>
      <c r="AH928" t="s">
        <v>74</v>
      </c>
      <c r="AI928" t="s">
        <v>74</v>
      </c>
      <c r="AJ928" t="s">
        <v>74</v>
      </c>
      <c r="AK928" t="s">
        <v>74</v>
      </c>
      <c r="AL928" t="s">
        <v>74</v>
      </c>
      <c r="AM928" t="s">
        <v>74</v>
      </c>
      <c r="AN928" t="s">
        <v>74</v>
      </c>
      <c r="AO928" t="s">
        <v>614</v>
      </c>
      <c r="AP928" t="s">
        <v>615</v>
      </c>
      <c r="AQ928" t="s">
        <v>74</v>
      </c>
      <c r="AR928" t="s">
        <v>74</v>
      </c>
      <c r="AS928" t="s">
        <v>74</v>
      </c>
      <c r="AT928" t="s">
        <v>145</v>
      </c>
      <c r="AU928">
        <v>2017</v>
      </c>
      <c r="AV928">
        <v>123</v>
      </c>
      <c r="AW928">
        <v>8</v>
      </c>
      <c r="AX928" t="s">
        <v>74</v>
      </c>
      <c r="AY928" t="s">
        <v>74</v>
      </c>
      <c r="AZ928" t="s">
        <v>74</v>
      </c>
      <c r="BA928" t="s">
        <v>74</v>
      </c>
      <c r="BB928">
        <v>560</v>
      </c>
      <c r="BC928">
        <v>570</v>
      </c>
      <c r="BD928" t="s">
        <v>74</v>
      </c>
      <c r="BE928" t="s">
        <v>3250</v>
      </c>
      <c r="BF928" t="str">
        <f>HYPERLINK("http://dx.doi.org/10.1111/eth.12630","http://dx.doi.org/10.1111/eth.12630")</f>
        <v>http://dx.doi.org/10.1111/eth.12630</v>
      </c>
      <c r="BG928" t="s">
        <v>74</v>
      </c>
      <c r="BH928" t="s">
        <v>74</v>
      </c>
      <c r="BI928" t="s">
        <v>74</v>
      </c>
      <c r="BJ928" t="s">
        <v>74</v>
      </c>
      <c r="BK928" t="s">
        <v>74</v>
      </c>
      <c r="BL928" t="s">
        <v>74</v>
      </c>
      <c r="BM928" t="s">
        <v>74</v>
      </c>
      <c r="BN928" t="s">
        <v>74</v>
      </c>
      <c r="BO928" t="s">
        <v>74</v>
      </c>
      <c r="BP928" t="s">
        <v>74</v>
      </c>
      <c r="BQ928" t="s">
        <v>74</v>
      </c>
      <c r="BR928" t="s">
        <v>74</v>
      </c>
      <c r="BS928" t="s">
        <v>3251</v>
      </c>
      <c r="BT928" t="str">
        <f>HYPERLINK("https%3A%2F%2Fwww.webofscience.com%2Fwos%2Fwoscc%2Ffull-record%2FWOS:000404616400008","View Full Record in Web of Science")</f>
        <v>View Full Record in Web of Science</v>
      </c>
    </row>
    <row r="929" spans="1:72" x14ac:dyDescent="0.4">
      <c r="A929" t="s">
        <v>72</v>
      </c>
      <c r="B929" t="s">
        <v>6160</v>
      </c>
      <c r="C929" t="s">
        <v>74</v>
      </c>
      <c r="D929" t="s">
        <v>74</v>
      </c>
      <c r="E929" t="s">
        <v>74</v>
      </c>
      <c r="F929" t="s">
        <v>6161</v>
      </c>
      <c r="G929" t="s">
        <v>74</v>
      </c>
      <c r="H929" t="s">
        <v>74</v>
      </c>
      <c r="I929" t="s">
        <v>6162</v>
      </c>
      <c r="J929" t="s">
        <v>1656</v>
      </c>
      <c r="K929" t="s">
        <v>74</v>
      </c>
      <c r="L929" t="s">
        <v>74</v>
      </c>
      <c r="M929" t="s">
        <v>74</v>
      </c>
      <c r="N929" t="s">
        <v>74</v>
      </c>
      <c r="O929" t="s">
        <v>74</v>
      </c>
      <c r="P929" t="s">
        <v>74</v>
      </c>
      <c r="Q929" t="s">
        <v>74</v>
      </c>
      <c r="R929" t="s">
        <v>74</v>
      </c>
      <c r="S929" t="s">
        <v>74</v>
      </c>
      <c r="T929" t="s">
        <v>74</v>
      </c>
      <c r="U929" t="s">
        <v>74</v>
      </c>
      <c r="V929" s="3" t="s">
        <v>6163</v>
      </c>
      <c r="W929" t="s">
        <v>74</v>
      </c>
      <c r="X929" t="s">
        <v>74</v>
      </c>
      <c r="Y929" t="s">
        <v>74</v>
      </c>
      <c r="Z929" t="s">
        <v>74</v>
      </c>
      <c r="AA929" t="s">
        <v>6164</v>
      </c>
      <c r="AB929" t="s">
        <v>6165</v>
      </c>
      <c r="AC929" t="s">
        <v>74</v>
      </c>
      <c r="AD929" t="s">
        <v>74</v>
      </c>
      <c r="AE929" t="s">
        <v>74</v>
      </c>
      <c r="AF929" t="s">
        <v>74</v>
      </c>
      <c r="AG929" t="s">
        <v>74</v>
      </c>
      <c r="AH929" t="s">
        <v>74</v>
      </c>
      <c r="AI929" t="s">
        <v>74</v>
      </c>
      <c r="AJ929" t="s">
        <v>74</v>
      </c>
      <c r="AK929" t="s">
        <v>74</v>
      </c>
      <c r="AL929" t="s">
        <v>74</v>
      </c>
      <c r="AM929" t="s">
        <v>74</v>
      </c>
      <c r="AN929" t="s">
        <v>74</v>
      </c>
      <c r="AO929" t="s">
        <v>1658</v>
      </c>
      <c r="AP929" t="s">
        <v>1659</v>
      </c>
      <c r="AQ929" t="s">
        <v>74</v>
      </c>
      <c r="AR929" t="s">
        <v>74</v>
      </c>
      <c r="AS929" t="s">
        <v>74</v>
      </c>
      <c r="AT929" t="s">
        <v>4913</v>
      </c>
      <c r="AU929">
        <v>2019</v>
      </c>
      <c r="AV929">
        <v>4555</v>
      </c>
      <c r="AW929">
        <v>2</v>
      </c>
      <c r="AX929" t="s">
        <v>74</v>
      </c>
      <c r="AY929" t="s">
        <v>74</v>
      </c>
      <c r="AZ929" t="s">
        <v>74</v>
      </c>
      <c r="BA929" t="s">
        <v>74</v>
      </c>
      <c r="BB929">
        <v>283</v>
      </c>
      <c r="BC929">
        <v>286</v>
      </c>
      <c r="BD929" t="s">
        <v>74</v>
      </c>
      <c r="BE929" t="s">
        <v>6166</v>
      </c>
      <c r="BF929" t="str">
        <f>HYPERLINK("http://dx.doi.org/10.11646/zootaxa.4555.2.10","http://dx.doi.org/10.11646/zootaxa.4555.2.10")</f>
        <v>http://dx.doi.org/10.11646/zootaxa.4555.2.10</v>
      </c>
      <c r="BG929" t="s">
        <v>74</v>
      </c>
      <c r="BH929" t="s">
        <v>74</v>
      </c>
      <c r="BI929" t="s">
        <v>74</v>
      </c>
      <c r="BJ929" t="s">
        <v>74</v>
      </c>
      <c r="BK929" t="s">
        <v>74</v>
      </c>
      <c r="BL929" t="s">
        <v>74</v>
      </c>
      <c r="BM929" t="s">
        <v>74</v>
      </c>
      <c r="BN929">
        <v>30790965</v>
      </c>
      <c r="BO929" t="s">
        <v>74</v>
      </c>
      <c r="BP929" t="s">
        <v>74</v>
      </c>
      <c r="BQ929" t="s">
        <v>74</v>
      </c>
      <c r="BR929" t="s">
        <v>74</v>
      </c>
      <c r="BS929" t="s">
        <v>6167</v>
      </c>
      <c r="BT929" t="str">
        <f>HYPERLINK("https%3A%2F%2Fwww.webofscience.com%2Fwos%2Fwoscc%2Ffull-record%2FWOS:000458428100010","View Full Record in Web of Science")</f>
        <v>View Full Record in Web of Science</v>
      </c>
    </row>
    <row r="930" spans="1:72" x14ac:dyDescent="0.4">
      <c r="A930" t="s">
        <v>72</v>
      </c>
      <c r="B930" t="s">
        <v>7686</v>
      </c>
      <c r="C930" t="s">
        <v>74</v>
      </c>
      <c r="D930" t="s">
        <v>74</v>
      </c>
      <c r="E930" t="s">
        <v>74</v>
      </c>
      <c r="F930" t="s">
        <v>7687</v>
      </c>
      <c r="G930" t="s">
        <v>74</v>
      </c>
      <c r="H930" t="s">
        <v>74</v>
      </c>
      <c r="I930" t="s">
        <v>7688</v>
      </c>
      <c r="J930" t="s">
        <v>1541</v>
      </c>
      <c r="K930" t="s">
        <v>74</v>
      </c>
      <c r="L930" t="s">
        <v>74</v>
      </c>
      <c r="M930" t="s">
        <v>74</v>
      </c>
      <c r="N930" t="s">
        <v>74</v>
      </c>
      <c r="O930" t="s">
        <v>74</v>
      </c>
      <c r="P930" t="s">
        <v>74</v>
      </c>
      <c r="Q930" t="s">
        <v>74</v>
      </c>
      <c r="R930" t="s">
        <v>74</v>
      </c>
      <c r="S930" t="s">
        <v>74</v>
      </c>
      <c r="T930" t="s">
        <v>74</v>
      </c>
      <c r="U930" t="s">
        <v>74</v>
      </c>
      <c r="V930" s="3" t="s">
        <v>7689</v>
      </c>
      <c r="W930" t="s">
        <v>74</v>
      </c>
      <c r="X930" t="s">
        <v>74</v>
      </c>
      <c r="Y930" t="s">
        <v>74</v>
      </c>
      <c r="Z930" t="s">
        <v>74</v>
      </c>
      <c r="AA930" t="s">
        <v>7690</v>
      </c>
      <c r="AB930" t="s">
        <v>7691</v>
      </c>
      <c r="AC930" t="s">
        <v>74</v>
      </c>
      <c r="AD930" t="s">
        <v>74</v>
      </c>
      <c r="AE930" t="s">
        <v>74</v>
      </c>
      <c r="AF930" t="s">
        <v>74</v>
      </c>
      <c r="AG930" t="s">
        <v>74</v>
      </c>
      <c r="AH930" t="s">
        <v>74</v>
      </c>
      <c r="AI930" t="s">
        <v>74</v>
      </c>
      <c r="AJ930" t="s">
        <v>74</v>
      </c>
      <c r="AK930" t="s">
        <v>74</v>
      </c>
      <c r="AL930" t="s">
        <v>74</v>
      </c>
      <c r="AM930" t="s">
        <v>74</v>
      </c>
      <c r="AN930" t="s">
        <v>74</v>
      </c>
      <c r="AO930" t="s">
        <v>1543</v>
      </c>
      <c r="AP930" t="s">
        <v>1544</v>
      </c>
      <c r="AQ930" t="s">
        <v>74</v>
      </c>
      <c r="AR930" t="s">
        <v>74</v>
      </c>
      <c r="AS930" t="s">
        <v>74</v>
      </c>
      <c r="AT930" t="s">
        <v>213</v>
      </c>
      <c r="AU930">
        <v>2016</v>
      </c>
      <c r="AV930">
        <v>97</v>
      </c>
      <c r="AW930">
        <v>11</v>
      </c>
      <c r="AX930" t="s">
        <v>74</v>
      </c>
      <c r="AY930" t="s">
        <v>74</v>
      </c>
      <c r="AZ930" t="s">
        <v>74</v>
      </c>
      <c r="BA930" t="s">
        <v>74</v>
      </c>
      <c r="BB930">
        <v>3110</v>
      </c>
      <c r="BC930">
        <v>3118</v>
      </c>
      <c r="BD930" t="s">
        <v>74</v>
      </c>
      <c r="BE930" t="s">
        <v>7692</v>
      </c>
      <c r="BF930" t="str">
        <f>HYPERLINK("http://dx.doi.org/10.1002/ecy.1565","http://dx.doi.org/10.1002/ecy.1565")</f>
        <v>http://dx.doi.org/10.1002/ecy.1565</v>
      </c>
      <c r="BG930" t="s">
        <v>74</v>
      </c>
      <c r="BH930" t="s">
        <v>74</v>
      </c>
      <c r="BI930" t="s">
        <v>74</v>
      </c>
      <c r="BJ930" t="s">
        <v>74</v>
      </c>
      <c r="BK930" t="s">
        <v>74</v>
      </c>
      <c r="BL930" t="s">
        <v>74</v>
      </c>
      <c r="BM930" t="s">
        <v>74</v>
      </c>
      <c r="BN930">
        <v>27870050</v>
      </c>
      <c r="BO930" t="s">
        <v>74</v>
      </c>
      <c r="BP930" t="s">
        <v>74</v>
      </c>
      <c r="BQ930" t="s">
        <v>74</v>
      </c>
      <c r="BR930" t="s">
        <v>74</v>
      </c>
      <c r="BS930" t="s">
        <v>7693</v>
      </c>
      <c r="BT930" t="str">
        <f>HYPERLINK("https%3A%2F%2Fwww.webofscience.com%2Fwos%2Fwoscc%2Ffull-record%2FWOS:000387228200021","View Full Record in Web of Science")</f>
        <v>View Full Record in Web of Science</v>
      </c>
    </row>
    <row r="931" spans="1:72" x14ac:dyDescent="0.4">
      <c r="A931" t="s">
        <v>72</v>
      </c>
      <c r="B931" t="s">
        <v>4932</v>
      </c>
      <c r="C931" t="s">
        <v>74</v>
      </c>
      <c r="D931" t="s">
        <v>74</v>
      </c>
      <c r="E931" t="s">
        <v>74</v>
      </c>
      <c r="F931" t="s">
        <v>4932</v>
      </c>
      <c r="G931" t="s">
        <v>74</v>
      </c>
      <c r="H931" t="s">
        <v>74</v>
      </c>
      <c r="I931" t="s">
        <v>4933</v>
      </c>
      <c r="J931" t="s">
        <v>4934</v>
      </c>
      <c r="K931" t="s">
        <v>74</v>
      </c>
      <c r="L931" t="s">
        <v>74</v>
      </c>
      <c r="M931" t="s">
        <v>74</v>
      </c>
      <c r="N931" t="s">
        <v>74</v>
      </c>
      <c r="O931" t="s">
        <v>74</v>
      </c>
      <c r="P931" t="s">
        <v>74</v>
      </c>
      <c r="Q931" t="s">
        <v>74</v>
      </c>
      <c r="R931" t="s">
        <v>74</v>
      </c>
      <c r="S931" t="s">
        <v>74</v>
      </c>
      <c r="T931" t="s">
        <v>74</v>
      </c>
      <c r="U931" t="s">
        <v>74</v>
      </c>
      <c r="V931" s="3" t="s">
        <v>4935</v>
      </c>
      <c r="W931" t="s">
        <v>74</v>
      </c>
      <c r="X931" t="s">
        <v>74</v>
      </c>
      <c r="Y931" t="s">
        <v>74</v>
      </c>
      <c r="Z931" t="s">
        <v>74</v>
      </c>
      <c r="AA931" t="s">
        <v>74</v>
      </c>
      <c r="AB931" t="s">
        <v>74</v>
      </c>
      <c r="AC931" t="s">
        <v>74</v>
      </c>
      <c r="AD931" t="s">
        <v>74</v>
      </c>
      <c r="AE931" t="s">
        <v>74</v>
      </c>
      <c r="AF931" t="s">
        <v>74</v>
      </c>
      <c r="AG931" t="s">
        <v>74</v>
      </c>
      <c r="AH931" t="s">
        <v>74</v>
      </c>
      <c r="AI931" t="s">
        <v>74</v>
      </c>
      <c r="AJ931" t="s">
        <v>74</v>
      </c>
      <c r="AK931" t="s">
        <v>74</v>
      </c>
      <c r="AL931" t="s">
        <v>74</v>
      </c>
      <c r="AM931" t="s">
        <v>74</v>
      </c>
      <c r="AN931" t="s">
        <v>74</v>
      </c>
      <c r="AO931" t="s">
        <v>4936</v>
      </c>
      <c r="AP931" t="s">
        <v>74</v>
      </c>
      <c r="AQ931" t="s">
        <v>74</v>
      </c>
      <c r="AR931" t="s">
        <v>74</v>
      </c>
      <c r="AS931" t="s">
        <v>74</v>
      </c>
      <c r="AT931" t="s">
        <v>633</v>
      </c>
      <c r="AU931">
        <v>1995</v>
      </c>
      <c r="AV931">
        <v>71</v>
      </c>
      <c r="AW931">
        <v>2</v>
      </c>
      <c r="AX931" t="s">
        <v>74</v>
      </c>
      <c r="AY931" t="s">
        <v>74</v>
      </c>
      <c r="AZ931" t="s">
        <v>74</v>
      </c>
      <c r="BA931" t="s">
        <v>74</v>
      </c>
      <c r="BB931">
        <v>113</v>
      </c>
      <c r="BC931">
        <v>120</v>
      </c>
      <c r="BD931" t="s">
        <v>74</v>
      </c>
      <c r="BE931" t="s">
        <v>74</v>
      </c>
      <c r="BF931" t="s">
        <v>74</v>
      </c>
      <c r="BG931" t="s">
        <v>74</v>
      </c>
      <c r="BH931" t="s">
        <v>74</v>
      </c>
      <c r="BI931" t="s">
        <v>74</v>
      </c>
      <c r="BJ931" t="s">
        <v>74</v>
      </c>
      <c r="BK931" t="s">
        <v>74</v>
      </c>
      <c r="BL931" t="s">
        <v>74</v>
      </c>
      <c r="BM931" t="s">
        <v>74</v>
      </c>
      <c r="BN931" t="s">
        <v>74</v>
      </c>
      <c r="BO931" t="s">
        <v>74</v>
      </c>
      <c r="BP931" t="s">
        <v>74</v>
      </c>
      <c r="BQ931" t="s">
        <v>74</v>
      </c>
      <c r="BR931" t="s">
        <v>74</v>
      </c>
      <c r="BS931" t="s">
        <v>4937</v>
      </c>
      <c r="BT931" t="str">
        <f>HYPERLINK("https%3A%2F%2Fwww.webofscience.com%2Fwos%2Fwoscc%2Ffull-record%2FWOS:A1995TA18200008","View Full Record in Web of Science")</f>
        <v>View Full Record in Web of Science</v>
      </c>
    </row>
    <row r="932" spans="1:72" x14ac:dyDescent="0.4">
      <c r="A932" t="s">
        <v>72</v>
      </c>
      <c r="B932" t="s">
        <v>8311</v>
      </c>
      <c r="C932" t="s">
        <v>74</v>
      </c>
      <c r="D932" t="s">
        <v>74</v>
      </c>
      <c r="E932" t="s">
        <v>74</v>
      </c>
      <c r="F932" t="s">
        <v>8312</v>
      </c>
      <c r="G932" t="s">
        <v>74</v>
      </c>
      <c r="H932" t="s">
        <v>74</v>
      </c>
      <c r="I932" t="s">
        <v>8313</v>
      </c>
      <c r="J932" t="s">
        <v>654</v>
      </c>
      <c r="K932" t="s">
        <v>74</v>
      </c>
      <c r="L932" t="s">
        <v>74</v>
      </c>
      <c r="M932" t="s">
        <v>74</v>
      </c>
      <c r="N932" t="s">
        <v>74</v>
      </c>
      <c r="O932" t="s">
        <v>74</v>
      </c>
      <c r="P932" t="s">
        <v>74</v>
      </c>
      <c r="Q932" t="s">
        <v>74</v>
      </c>
      <c r="R932" t="s">
        <v>74</v>
      </c>
      <c r="S932" t="s">
        <v>74</v>
      </c>
      <c r="T932" t="s">
        <v>74</v>
      </c>
      <c r="U932" t="s">
        <v>74</v>
      </c>
      <c r="V932" s="3" t="s">
        <v>8314</v>
      </c>
      <c r="W932" t="s">
        <v>74</v>
      </c>
      <c r="X932" t="s">
        <v>74</v>
      </c>
      <c r="Y932" t="s">
        <v>74</v>
      </c>
      <c r="Z932" t="s">
        <v>74</v>
      </c>
      <c r="AA932" t="s">
        <v>74</v>
      </c>
      <c r="AB932" t="s">
        <v>74</v>
      </c>
      <c r="AC932" t="s">
        <v>74</v>
      </c>
      <c r="AD932" t="s">
        <v>74</v>
      </c>
      <c r="AE932" t="s">
        <v>74</v>
      </c>
      <c r="AF932" t="s">
        <v>74</v>
      </c>
      <c r="AG932" t="s">
        <v>74</v>
      </c>
      <c r="AH932" t="s">
        <v>74</v>
      </c>
      <c r="AI932" t="s">
        <v>74</v>
      </c>
      <c r="AJ932" t="s">
        <v>74</v>
      </c>
      <c r="AK932" t="s">
        <v>74</v>
      </c>
      <c r="AL932" t="s">
        <v>74</v>
      </c>
      <c r="AM932" t="s">
        <v>74</v>
      </c>
      <c r="AN932" t="s">
        <v>74</v>
      </c>
      <c r="AO932" t="s">
        <v>658</v>
      </c>
      <c r="AP932" t="s">
        <v>74</v>
      </c>
      <c r="AQ932" t="s">
        <v>74</v>
      </c>
      <c r="AR932" t="s">
        <v>74</v>
      </c>
      <c r="AS932" t="s">
        <v>74</v>
      </c>
      <c r="AT932" t="s">
        <v>255</v>
      </c>
      <c r="AU932">
        <v>2024</v>
      </c>
      <c r="AV932">
        <v>14</v>
      </c>
      <c r="AW932">
        <v>1</v>
      </c>
      <c r="AX932" t="s">
        <v>74</v>
      </c>
      <c r="AY932" t="s">
        <v>74</v>
      </c>
      <c r="AZ932" t="s">
        <v>74</v>
      </c>
      <c r="BA932" t="s">
        <v>74</v>
      </c>
      <c r="BB932" t="s">
        <v>74</v>
      </c>
      <c r="BC932" t="s">
        <v>74</v>
      </c>
      <c r="BD932" t="s">
        <v>8315</v>
      </c>
      <c r="BE932" t="s">
        <v>8316</v>
      </c>
      <c r="BF932" t="str">
        <f>HYPERLINK("http://dx.doi.org/10.1002/ece3.10851","http://dx.doi.org/10.1002/ece3.10851")</f>
        <v>http://dx.doi.org/10.1002/ece3.10851</v>
      </c>
      <c r="BG932" t="s">
        <v>74</v>
      </c>
      <c r="BH932" t="s">
        <v>74</v>
      </c>
      <c r="BI932" t="s">
        <v>74</v>
      </c>
      <c r="BJ932" t="s">
        <v>74</v>
      </c>
      <c r="BK932" t="s">
        <v>74</v>
      </c>
      <c r="BL932" t="s">
        <v>74</v>
      </c>
      <c r="BM932" t="s">
        <v>74</v>
      </c>
      <c r="BN932">
        <v>38274864</v>
      </c>
      <c r="BO932" t="s">
        <v>74</v>
      </c>
      <c r="BP932" t="s">
        <v>74</v>
      </c>
      <c r="BQ932" t="s">
        <v>74</v>
      </c>
      <c r="BR932" t="s">
        <v>74</v>
      </c>
      <c r="BS932" t="s">
        <v>8317</v>
      </c>
      <c r="BT932" t="str">
        <f>HYPERLINK("https%3A%2F%2Fwww.webofscience.com%2Fwos%2Fwoscc%2Ffull-record%2FWOS:001148034400001","View Full Record in Web of Science")</f>
        <v>View Full Record in Web of Science</v>
      </c>
    </row>
    <row r="933" spans="1:72" x14ac:dyDescent="0.4">
      <c r="A933" t="s">
        <v>72</v>
      </c>
      <c r="B933" t="s">
        <v>1777</v>
      </c>
      <c r="C933" t="s">
        <v>74</v>
      </c>
      <c r="D933" t="s">
        <v>74</v>
      </c>
      <c r="E933" t="s">
        <v>74</v>
      </c>
      <c r="F933" t="s">
        <v>1778</v>
      </c>
      <c r="G933" t="s">
        <v>74</v>
      </c>
      <c r="H933" t="s">
        <v>74</v>
      </c>
      <c r="I933" t="s">
        <v>1779</v>
      </c>
      <c r="J933" t="s">
        <v>140</v>
      </c>
      <c r="K933" t="s">
        <v>74</v>
      </c>
      <c r="L933" t="s">
        <v>74</v>
      </c>
      <c r="M933" t="s">
        <v>74</v>
      </c>
      <c r="N933" t="s">
        <v>74</v>
      </c>
      <c r="O933" t="s">
        <v>74</v>
      </c>
      <c r="P933" t="s">
        <v>74</v>
      </c>
      <c r="Q933" t="s">
        <v>74</v>
      </c>
      <c r="R933" t="s">
        <v>74</v>
      </c>
      <c r="S933" t="s">
        <v>74</v>
      </c>
      <c r="T933" t="s">
        <v>74</v>
      </c>
      <c r="U933" t="s">
        <v>74</v>
      </c>
      <c r="V933" s="3" t="s">
        <v>1780</v>
      </c>
      <c r="W933" t="s">
        <v>74</v>
      </c>
      <c r="X933" t="s">
        <v>74</v>
      </c>
      <c r="Y933" t="s">
        <v>74</v>
      </c>
      <c r="Z933" t="s">
        <v>74</v>
      </c>
      <c r="AA933" t="s">
        <v>1781</v>
      </c>
      <c r="AB933" t="s">
        <v>1782</v>
      </c>
      <c r="AC933" t="s">
        <v>74</v>
      </c>
      <c r="AD933" t="s">
        <v>74</v>
      </c>
      <c r="AE933" t="s">
        <v>74</v>
      </c>
      <c r="AF933" t="s">
        <v>74</v>
      </c>
      <c r="AG933" t="s">
        <v>74</v>
      </c>
      <c r="AH933" t="s">
        <v>74</v>
      </c>
      <c r="AI933" t="s">
        <v>74</v>
      </c>
      <c r="AJ933" t="s">
        <v>74</v>
      </c>
      <c r="AK933" t="s">
        <v>74</v>
      </c>
      <c r="AL933" t="s">
        <v>74</v>
      </c>
      <c r="AM933" t="s">
        <v>74</v>
      </c>
      <c r="AN933" t="s">
        <v>74</v>
      </c>
      <c r="AO933" t="s">
        <v>143</v>
      </c>
      <c r="AP933" t="s">
        <v>144</v>
      </c>
      <c r="AQ933" t="s">
        <v>74</v>
      </c>
      <c r="AR933" t="s">
        <v>74</v>
      </c>
      <c r="AS933" t="s">
        <v>74</v>
      </c>
      <c r="AT933" t="s">
        <v>213</v>
      </c>
      <c r="AU933">
        <v>2018</v>
      </c>
      <c r="AV933">
        <v>145</v>
      </c>
      <c r="AW933" t="s">
        <v>74</v>
      </c>
      <c r="AX933" t="s">
        <v>74</v>
      </c>
      <c r="AY933" t="s">
        <v>74</v>
      </c>
      <c r="AZ933" t="s">
        <v>74</v>
      </c>
      <c r="BA933" t="s">
        <v>74</v>
      </c>
      <c r="BB933">
        <v>29</v>
      </c>
      <c r="BC933">
        <v>37</v>
      </c>
      <c r="BD933" t="s">
        <v>74</v>
      </c>
      <c r="BE933" t="s">
        <v>1783</v>
      </c>
      <c r="BF933" t="str">
        <f>HYPERLINK("http://dx.doi.org/10.1016/j.anbehav.2018.08.015","http://dx.doi.org/10.1016/j.anbehav.2018.08.015")</f>
        <v>http://dx.doi.org/10.1016/j.anbehav.2018.08.015</v>
      </c>
      <c r="BG933" t="s">
        <v>74</v>
      </c>
      <c r="BH933" t="s">
        <v>74</v>
      </c>
      <c r="BI933" t="s">
        <v>74</v>
      </c>
      <c r="BJ933" t="s">
        <v>74</v>
      </c>
      <c r="BK933" t="s">
        <v>74</v>
      </c>
      <c r="BL933" t="s">
        <v>74</v>
      </c>
      <c r="BM933" t="s">
        <v>74</v>
      </c>
      <c r="BN933" t="s">
        <v>74</v>
      </c>
      <c r="BO933" t="s">
        <v>74</v>
      </c>
      <c r="BP933" t="s">
        <v>74</v>
      </c>
      <c r="BQ933" t="s">
        <v>74</v>
      </c>
      <c r="BR933" t="s">
        <v>74</v>
      </c>
      <c r="BS933" t="s">
        <v>1784</v>
      </c>
      <c r="BT933" t="str">
        <f>HYPERLINK("https%3A%2F%2Fwww.webofscience.com%2Fwos%2Fwoscc%2Ffull-record%2FWOS:000449696600003","View Full Record in Web of Science")</f>
        <v>View Full Record in Web of Science</v>
      </c>
    </row>
    <row r="934" spans="1:72" x14ac:dyDescent="0.4">
      <c r="A934" t="s">
        <v>72</v>
      </c>
      <c r="B934" t="s">
        <v>4803</v>
      </c>
      <c r="C934" t="s">
        <v>74</v>
      </c>
      <c r="D934" t="s">
        <v>74</v>
      </c>
      <c r="E934" t="s">
        <v>74</v>
      </c>
      <c r="F934" t="s">
        <v>4804</v>
      </c>
      <c r="G934" t="s">
        <v>74</v>
      </c>
      <c r="H934" t="s">
        <v>74</v>
      </c>
      <c r="I934" t="s">
        <v>4805</v>
      </c>
      <c r="J934" t="s">
        <v>3089</v>
      </c>
      <c r="K934" t="s">
        <v>74</v>
      </c>
      <c r="L934" t="s">
        <v>74</v>
      </c>
      <c r="M934" t="s">
        <v>74</v>
      </c>
      <c r="N934" t="s">
        <v>74</v>
      </c>
      <c r="O934" t="s">
        <v>74</v>
      </c>
      <c r="P934" t="s">
        <v>74</v>
      </c>
      <c r="Q934" t="s">
        <v>74</v>
      </c>
      <c r="R934" t="s">
        <v>74</v>
      </c>
      <c r="S934" t="s">
        <v>74</v>
      </c>
      <c r="T934" t="s">
        <v>74</v>
      </c>
      <c r="U934" t="s">
        <v>74</v>
      </c>
      <c r="V934" s="3" t="s">
        <v>4806</v>
      </c>
      <c r="W934" t="s">
        <v>74</v>
      </c>
      <c r="X934" t="s">
        <v>74</v>
      </c>
      <c r="Y934" t="s">
        <v>74</v>
      </c>
      <c r="Z934" t="s">
        <v>74</v>
      </c>
      <c r="AA934" t="s">
        <v>4807</v>
      </c>
      <c r="AB934" t="s">
        <v>4808</v>
      </c>
      <c r="AC934" t="s">
        <v>74</v>
      </c>
      <c r="AD934" t="s">
        <v>74</v>
      </c>
      <c r="AE934" t="s">
        <v>74</v>
      </c>
      <c r="AF934" t="s">
        <v>74</v>
      </c>
      <c r="AG934" t="s">
        <v>74</v>
      </c>
      <c r="AH934" t="s">
        <v>74</v>
      </c>
      <c r="AI934" t="s">
        <v>74</v>
      </c>
      <c r="AJ934" t="s">
        <v>74</v>
      </c>
      <c r="AK934" t="s">
        <v>74</v>
      </c>
      <c r="AL934" t="s">
        <v>74</v>
      </c>
      <c r="AM934" t="s">
        <v>74</v>
      </c>
      <c r="AN934" t="s">
        <v>74</v>
      </c>
      <c r="AO934" t="s">
        <v>3093</v>
      </c>
      <c r="AP934" t="s">
        <v>3094</v>
      </c>
      <c r="AQ934" t="s">
        <v>74</v>
      </c>
      <c r="AR934" t="s">
        <v>74</v>
      </c>
      <c r="AS934" t="s">
        <v>74</v>
      </c>
      <c r="AT934" t="s">
        <v>134</v>
      </c>
      <c r="AU934">
        <v>2010</v>
      </c>
      <c r="AV934">
        <v>28</v>
      </c>
      <c r="AW934">
        <v>2</v>
      </c>
      <c r="AX934" t="s">
        <v>74</v>
      </c>
      <c r="AY934" t="s">
        <v>74</v>
      </c>
      <c r="AZ934" t="s">
        <v>74</v>
      </c>
      <c r="BA934" t="s">
        <v>74</v>
      </c>
      <c r="BB934">
        <v>273</v>
      </c>
      <c r="BC934">
        <v>286</v>
      </c>
      <c r="BD934" t="s">
        <v>74</v>
      </c>
      <c r="BE934" t="s">
        <v>4809</v>
      </c>
      <c r="BF934" t="str">
        <f>HYPERLINK("http://dx.doi.org/10.1007/s10164-009-0181-9","http://dx.doi.org/10.1007/s10164-009-0181-9")</f>
        <v>http://dx.doi.org/10.1007/s10164-009-0181-9</v>
      </c>
      <c r="BG934" t="s">
        <v>74</v>
      </c>
      <c r="BH934" t="s">
        <v>74</v>
      </c>
      <c r="BI934" t="s">
        <v>74</v>
      </c>
      <c r="BJ934" t="s">
        <v>74</v>
      </c>
      <c r="BK934" t="s">
        <v>74</v>
      </c>
      <c r="BL934" t="s">
        <v>74</v>
      </c>
      <c r="BM934" t="s">
        <v>74</v>
      </c>
      <c r="BN934" t="s">
        <v>74</v>
      </c>
      <c r="BO934" t="s">
        <v>74</v>
      </c>
      <c r="BP934" t="s">
        <v>74</v>
      </c>
      <c r="BQ934" t="s">
        <v>74</v>
      </c>
      <c r="BR934" t="s">
        <v>74</v>
      </c>
      <c r="BS934" t="s">
        <v>4810</v>
      </c>
      <c r="BT934" t="str">
        <f>HYPERLINK("https%3A%2F%2Fwww.webofscience.com%2Fwos%2Fwoscc%2Ffull-record%2FWOS:000277469300009","View Full Record in Web of Science")</f>
        <v>View Full Record in Web of Science</v>
      </c>
    </row>
    <row r="935" spans="1:72" x14ac:dyDescent="0.4">
      <c r="A935" t="s">
        <v>72</v>
      </c>
      <c r="B935" t="s">
        <v>8480</v>
      </c>
      <c r="C935" t="s">
        <v>74</v>
      </c>
      <c r="D935" t="s">
        <v>74</v>
      </c>
      <c r="E935" t="s">
        <v>74</v>
      </c>
      <c r="F935" t="s">
        <v>8480</v>
      </c>
      <c r="G935" t="s">
        <v>74</v>
      </c>
      <c r="H935" t="s">
        <v>74</v>
      </c>
      <c r="I935" t="s">
        <v>8481</v>
      </c>
      <c r="J935" t="s">
        <v>1755</v>
      </c>
      <c r="K935" t="s">
        <v>74</v>
      </c>
      <c r="L935" t="s">
        <v>74</v>
      </c>
      <c r="M935" t="s">
        <v>74</v>
      </c>
      <c r="N935" t="s">
        <v>74</v>
      </c>
      <c r="O935" t="s">
        <v>74</v>
      </c>
      <c r="P935" t="s">
        <v>74</v>
      </c>
      <c r="Q935" t="s">
        <v>74</v>
      </c>
      <c r="R935" t="s">
        <v>74</v>
      </c>
      <c r="S935" t="s">
        <v>74</v>
      </c>
      <c r="T935" t="s">
        <v>74</v>
      </c>
      <c r="U935" t="s">
        <v>74</v>
      </c>
      <c r="V935" s="3" t="s">
        <v>8482</v>
      </c>
      <c r="W935" t="s">
        <v>74</v>
      </c>
      <c r="X935" t="s">
        <v>74</v>
      </c>
      <c r="Y935" t="s">
        <v>74</v>
      </c>
      <c r="Z935" t="s">
        <v>74</v>
      </c>
      <c r="AA935" t="s">
        <v>74</v>
      </c>
      <c r="AB935" t="s">
        <v>74</v>
      </c>
      <c r="AC935" t="s">
        <v>74</v>
      </c>
      <c r="AD935" t="s">
        <v>74</v>
      </c>
      <c r="AE935" t="s">
        <v>74</v>
      </c>
      <c r="AF935" t="s">
        <v>74</v>
      </c>
      <c r="AG935" t="s">
        <v>74</v>
      </c>
      <c r="AH935" t="s">
        <v>74</v>
      </c>
      <c r="AI935" t="s">
        <v>74</v>
      </c>
      <c r="AJ935" t="s">
        <v>74</v>
      </c>
      <c r="AK935" t="s">
        <v>74</v>
      </c>
      <c r="AL935" t="s">
        <v>74</v>
      </c>
      <c r="AM935" t="s">
        <v>74</v>
      </c>
      <c r="AN935" t="s">
        <v>74</v>
      </c>
      <c r="AO935" t="s">
        <v>1759</v>
      </c>
      <c r="AP935" t="s">
        <v>1760</v>
      </c>
      <c r="AQ935" t="s">
        <v>74</v>
      </c>
      <c r="AR935" t="s">
        <v>74</v>
      </c>
      <c r="AS935" t="s">
        <v>74</v>
      </c>
      <c r="AT935" t="s">
        <v>352</v>
      </c>
      <c r="AU935">
        <v>2001</v>
      </c>
      <c r="AV935">
        <v>14</v>
      </c>
      <c r="AW935">
        <v>5</v>
      </c>
      <c r="AX935" t="s">
        <v>74</v>
      </c>
      <c r="AY935" t="s">
        <v>74</v>
      </c>
      <c r="AZ935" t="s">
        <v>74</v>
      </c>
      <c r="BA935" t="s">
        <v>74</v>
      </c>
      <c r="BB935">
        <v>607</v>
      </c>
      <c r="BC935">
        <v>620</v>
      </c>
      <c r="BD935" t="s">
        <v>74</v>
      </c>
      <c r="BE935" t="s">
        <v>8483</v>
      </c>
      <c r="BF935" t="str">
        <f>HYPERLINK("http://dx.doi.org/10.1023/A:1012223217250","http://dx.doi.org/10.1023/A:1012223217250")</f>
        <v>http://dx.doi.org/10.1023/A:1012223217250</v>
      </c>
      <c r="BG935" t="s">
        <v>74</v>
      </c>
      <c r="BH935" t="s">
        <v>74</v>
      </c>
      <c r="BI935" t="s">
        <v>74</v>
      </c>
      <c r="BJ935" t="s">
        <v>74</v>
      </c>
      <c r="BK935" t="s">
        <v>74</v>
      </c>
      <c r="BL935" t="s">
        <v>74</v>
      </c>
      <c r="BM935" t="s">
        <v>74</v>
      </c>
      <c r="BN935" t="s">
        <v>74</v>
      </c>
      <c r="BO935" t="s">
        <v>74</v>
      </c>
      <c r="BP935" t="s">
        <v>74</v>
      </c>
      <c r="BQ935" t="s">
        <v>74</v>
      </c>
      <c r="BR935" t="s">
        <v>74</v>
      </c>
      <c r="BS935" t="s">
        <v>8484</v>
      </c>
      <c r="BT935" t="str">
        <f>HYPERLINK("https%3A%2F%2Fwww.webofscience.com%2Fwos%2Fwoscc%2Ffull-record%2FWOS:000172302200004","View Full Record in Web of Science")</f>
        <v>View Full Record in Web of Science</v>
      </c>
    </row>
    <row r="936" spans="1:72" x14ac:dyDescent="0.4">
      <c r="A936" t="s">
        <v>72</v>
      </c>
      <c r="B936" t="s">
        <v>1508</v>
      </c>
      <c r="C936" t="s">
        <v>74</v>
      </c>
      <c r="D936" t="s">
        <v>74</v>
      </c>
      <c r="E936" t="s">
        <v>74</v>
      </c>
      <c r="F936" t="s">
        <v>1509</v>
      </c>
      <c r="G936" t="s">
        <v>74</v>
      </c>
      <c r="H936" t="s">
        <v>74</v>
      </c>
      <c r="I936" t="s">
        <v>1510</v>
      </c>
      <c r="J936" t="s">
        <v>140</v>
      </c>
      <c r="K936" t="s">
        <v>74</v>
      </c>
      <c r="L936" t="s">
        <v>74</v>
      </c>
      <c r="M936" t="s">
        <v>74</v>
      </c>
      <c r="N936" t="s">
        <v>74</v>
      </c>
      <c r="O936" t="s">
        <v>74</v>
      </c>
      <c r="P936" t="s">
        <v>74</v>
      </c>
      <c r="Q936" t="s">
        <v>74</v>
      </c>
      <c r="R936" t="s">
        <v>74</v>
      </c>
      <c r="S936" t="s">
        <v>74</v>
      </c>
      <c r="T936" t="s">
        <v>74</v>
      </c>
      <c r="U936" t="s">
        <v>74</v>
      </c>
      <c r="V936" s="3" t="s">
        <v>1511</v>
      </c>
      <c r="W936" t="s">
        <v>74</v>
      </c>
      <c r="X936" t="s">
        <v>74</v>
      </c>
      <c r="Y936" t="s">
        <v>74</v>
      </c>
      <c r="Z936" t="s">
        <v>74</v>
      </c>
      <c r="AA936" t="s">
        <v>1512</v>
      </c>
      <c r="AB936" t="s">
        <v>1513</v>
      </c>
      <c r="AC936" t="s">
        <v>74</v>
      </c>
      <c r="AD936" t="s">
        <v>74</v>
      </c>
      <c r="AE936" t="s">
        <v>74</v>
      </c>
      <c r="AF936" t="s">
        <v>74</v>
      </c>
      <c r="AG936" t="s">
        <v>74</v>
      </c>
      <c r="AH936" t="s">
        <v>74</v>
      </c>
      <c r="AI936" t="s">
        <v>74</v>
      </c>
      <c r="AJ936" t="s">
        <v>74</v>
      </c>
      <c r="AK936" t="s">
        <v>74</v>
      </c>
      <c r="AL936" t="s">
        <v>74</v>
      </c>
      <c r="AM936" t="s">
        <v>74</v>
      </c>
      <c r="AN936" t="s">
        <v>74</v>
      </c>
      <c r="AO936" t="s">
        <v>143</v>
      </c>
      <c r="AP936" t="s">
        <v>144</v>
      </c>
      <c r="AQ936" t="s">
        <v>74</v>
      </c>
      <c r="AR936" t="s">
        <v>74</v>
      </c>
      <c r="AS936" t="s">
        <v>74</v>
      </c>
      <c r="AT936" t="s">
        <v>175</v>
      </c>
      <c r="AU936">
        <v>2008</v>
      </c>
      <c r="AV936">
        <v>76</v>
      </c>
      <c r="AW936" t="s">
        <v>74</v>
      </c>
      <c r="AX936">
        <v>4</v>
      </c>
      <c r="AY936" t="s">
        <v>74</v>
      </c>
      <c r="AZ936" t="s">
        <v>74</v>
      </c>
      <c r="BA936" t="s">
        <v>74</v>
      </c>
      <c r="BB936">
        <v>1357</v>
      </c>
      <c r="BC936">
        <v>1364</v>
      </c>
      <c r="BD936" t="s">
        <v>74</v>
      </c>
      <c r="BE936" t="s">
        <v>1514</v>
      </c>
      <c r="BF936" t="str">
        <f>HYPERLINK("http://dx.doi.org/10.1016/j.anbehav.2008.04.024","http://dx.doi.org/10.1016/j.anbehav.2008.04.024")</f>
        <v>http://dx.doi.org/10.1016/j.anbehav.2008.04.024</v>
      </c>
      <c r="BG936" t="s">
        <v>74</v>
      </c>
      <c r="BH936" t="s">
        <v>74</v>
      </c>
      <c r="BI936" t="s">
        <v>74</v>
      </c>
      <c r="BJ936" t="s">
        <v>74</v>
      </c>
      <c r="BK936" t="s">
        <v>74</v>
      </c>
      <c r="BL936" t="s">
        <v>74</v>
      </c>
      <c r="BM936" t="s">
        <v>74</v>
      </c>
      <c r="BN936" t="s">
        <v>74</v>
      </c>
      <c r="BO936" t="s">
        <v>74</v>
      </c>
      <c r="BP936" t="s">
        <v>74</v>
      </c>
      <c r="BQ936" t="s">
        <v>74</v>
      </c>
      <c r="BR936" t="s">
        <v>74</v>
      </c>
      <c r="BS936" t="s">
        <v>1515</v>
      </c>
      <c r="BT936" t="str">
        <f>HYPERLINK("https%3A%2F%2Fwww.webofscience.com%2Fwos%2Fwoscc%2Ffull-record%2FWOS:000260118000026","View Full Record in Web of Science")</f>
        <v>View Full Record in Web of Science</v>
      </c>
    </row>
    <row r="937" spans="1:72" x14ac:dyDescent="0.4">
      <c r="A937" t="s">
        <v>72</v>
      </c>
      <c r="B937" t="s">
        <v>4089</v>
      </c>
      <c r="C937" t="s">
        <v>74</v>
      </c>
      <c r="D937" t="s">
        <v>74</v>
      </c>
      <c r="E937" t="s">
        <v>74</v>
      </c>
      <c r="F937" t="s">
        <v>4090</v>
      </c>
      <c r="G937" t="s">
        <v>74</v>
      </c>
      <c r="H937" t="s">
        <v>74</v>
      </c>
      <c r="I937" t="s">
        <v>4091</v>
      </c>
      <c r="J937" t="s">
        <v>140</v>
      </c>
      <c r="K937" t="s">
        <v>74</v>
      </c>
      <c r="L937" t="s">
        <v>74</v>
      </c>
      <c r="M937" t="s">
        <v>74</v>
      </c>
      <c r="N937" t="s">
        <v>74</v>
      </c>
      <c r="O937" t="s">
        <v>74</v>
      </c>
      <c r="P937" t="s">
        <v>74</v>
      </c>
      <c r="Q937" t="s">
        <v>74</v>
      </c>
      <c r="R937" t="s">
        <v>74</v>
      </c>
      <c r="S937" t="s">
        <v>74</v>
      </c>
      <c r="T937" t="s">
        <v>74</v>
      </c>
      <c r="U937" t="s">
        <v>74</v>
      </c>
      <c r="V937" s="3" t="s">
        <v>4092</v>
      </c>
      <c r="W937" t="s">
        <v>74</v>
      </c>
      <c r="X937" t="s">
        <v>74</v>
      </c>
      <c r="Y937" t="s">
        <v>74</v>
      </c>
      <c r="Z937" t="s">
        <v>74</v>
      </c>
      <c r="AA937" t="s">
        <v>2989</v>
      </c>
      <c r="AB937" t="s">
        <v>4093</v>
      </c>
      <c r="AC937" t="s">
        <v>74</v>
      </c>
      <c r="AD937" t="s">
        <v>74</v>
      </c>
      <c r="AE937" t="s">
        <v>74</v>
      </c>
      <c r="AF937" t="s">
        <v>74</v>
      </c>
      <c r="AG937" t="s">
        <v>74</v>
      </c>
      <c r="AH937" t="s">
        <v>74</v>
      </c>
      <c r="AI937" t="s">
        <v>74</v>
      </c>
      <c r="AJ937" t="s">
        <v>74</v>
      </c>
      <c r="AK937" t="s">
        <v>74</v>
      </c>
      <c r="AL937" t="s">
        <v>74</v>
      </c>
      <c r="AM937" t="s">
        <v>74</v>
      </c>
      <c r="AN937" t="s">
        <v>74</v>
      </c>
      <c r="AO937" t="s">
        <v>143</v>
      </c>
      <c r="AP937" t="s">
        <v>144</v>
      </c>
      <c r="AQ937" t="s">
        <v>74</v>
      </c>
      <c r="AR937" t="s">
        <v>74</v>
      </c>
      <c r="AS937" t="s">
        <v>74</v>
      </c>
      <c r="AT937" t="s">
        <v>213</v>
      </c>
      <c r="AU937">
        <v>2013</v>
      </c>
      <c r="AV937">
        <v>86</v>
      </c>
      <c r="AW937">
        <v>5</v>
      </c>
      <c r="AX937" t="s">
        <v>74</v>
      </c>
      <c r="AY937" t="s">
        <v>74</v>
      </c>
      <c r="AZ937" t="s">
        <v>74</v>
      </c>
      <c r="BA937" t="s">
        <v>74</v>
      </c>
      <c r="BB937">
        <v>923</v>
      </c>
      <c r="BC937">
        <v>931</v>
      </c>
      <c r="BD937" t="s">
        <v>74</v>
      </c>
      <c r="BE937" t="s">
        <v>4094</v>
      </c>
      <c r="BF937" t="str">
        <f>HYPERLINK("http://dx.doi.org/10.1016/j.anbehav.2013.08.008","http://dx.doi.org/10.1016/j.anbehav.2013.08.008")</f>
        <v>http://dx.doi.org/10.1016/j.anbehav.2013.08.008</v>
      </c>
      <c r="BG937" t="s">
        <v>74</v>
      </c>
      <c r="BH937" t="s">
        <v>74</v>
      </c>
      <c r="BI937" t="s">
        <v>74</v>
      </c>
      <c r="BJ937" t="s">
        <v>74</v>
      </c>
      <c r="BK937" t="s">
        <v>74</v>
      </c>
      <c r="BL937" t="s">
        <v>74</v>
      </c>
      <c r="BM937" t="s">
        <v>74</v>
      </c>
      <c r="BN937" t="s">
        <v>74</v>
      </c>
      <c r="BO937" t="s">
        <v>74</v>
      </c>
      <c r="BP937" t="s">
        <v>74</v>
      </c>
      <c r="BQ937" t="s">
        <v>74</v>
      </c>
      <c r="BR937" t="s">
        <v>74</v>
      </c>
      <c r="BS937" t="s">
        <v>4095</v>
      </c>
      <c r="BT937" t="str">
        <f>HYPERLINK("https%3A%2F%2Fwww.webofscience.com%2Fwos%2Fwoscc%2Ffull-record%2FWOS:000326272200011","View Full Record in Web of Science")</f>
        <v>View Full Record in Web of Science</v>
      </c>
    </row>
    <row r="938" spans="1:72" x14ac:dyDescent="0.4">
      <c r="A938" t="s">
        <v>72</v>
      </c>
      <c r="B938" t="s">
        <v>4471</v>
      </c>
      <c r="C938" t="s">
        <v>74</v>
      </c>
      <c r="D938" t="s">
        <v>74</v>
      </c>
      <c r="E938" t="s">
        <v>74</v>
      </c>
      <c r="F938" t="s">
        <v>4471</v>
      </c>
      <c r="G938" t="s">
        <v>74</v>
      </c>
      <c r="H938" t="s">
        <v>74</v>
      </c>
      <c r="I938" t="s">
        <v>4472</v>
      </c>
      <c r="J938" t="s">
        <v>4473</v>
      </c>
      <c r="K938" t="s">
        <v>74</v>
      </c>
      <c r="L938" t="s">
        <v>74</v>
      </c>
      <c r="M938" t="s">
        <v>74</v>
      </c>
      <c r="N938" t="s">
        <v>74</v>
      </c>
      <c r="O938" t="s">
        <v>74</v>
      </c>
      <c r="P938" t="s">
        <v>74</v>
      </c>
      <c r="Q938" t="s">
        <v>74</v>
      </c>
      <c r="R938" t="s">
        <v>74</v>
      </c>
      <c r="S938" t="s">
        <v>74</v>
      </c>
      <c r="T938" t="s">
        <v>74</v>
      </c>
      <c r="U938" t="s">
        <v>74</v>
      </c>
      <c r="V938" s="3" t="s">
        <v>4474</v>
      </c>
      <c r="W938" t="s">
        <v>74</v>
      </c>
      <c r="X938" t="s">
        <v>74</v>
      </c>
      <c r="Y938" t="s">
        <v>74</v>
      </c>
      <c r="Z938" t="s">
        <v>74</v>
      </c>
      <c r="AA938" t="s">
        <v>74</v>
      </c>
      <c r="AB938" t="s">
        <v>74</v>
      </c>
      <c r="AC938" t="s">
        <v>74</v>
      </c>
      <c r="AD938" t="s">
        <v>74</v>
      </c>
      <c r="AE938" t="s">
        <v>74</v>
      </c>
      <c r="AF938" t="s">
        <v>74</v>
      </c>
      <c r="AG938" t="s">
        <v>74</v>
      </c>
      <c r="AH938" t="s">
        <v>74</v>
      </c>
      <c r="AI938" t="s">
        <v>74</v>
      </c>
      <c r="AJ938" t="s">
        <v>74</v>
      </c>
      <c r="AK938" t="s">
        <v>74</v>
      </c>
      <c r="AL938" t="s">
        <v>74</v>
      </c>
      <c r="AM938" t="s">
        <v>74</v>
      </c>
      <c r="AN938" t="s">
        <v>74</v>
      </c>
      <c r="AO938" t="s">
        <v>818</v>
      </c>
      <c r="AP938" t="s">
        <v>74</v>
      </c>
      <c r="AQ938" t="s">
        <v>74</v>
      </c>
      <c r="AR938" t="s">
        <v>74</v>
      </c>
      <c r="AS938" t="s">
        <v>74</v>
      </c>
      <c r="AT938" t="s">
        <v>74</v>
      </c>
      <c r="AU938">
        <v>1995</v>
      </c>
      <c r="AV938">
        <v>99</v>
      </c>
      <c r="AW938">
        <v>2</v>
      </c>
      <c r="AX938" t="s">
        <v>74</v>
      </c>
      <c r="AY938" t="s">
        <v>74</v>
      </c>
      <c r="AZ938" t="s">
        <v>74</v>
      </c>
      <c r="BA938" t="s">
        <v>74</v>
      </c>
      <c r="BB938">
        <v>113</v>
      </c>
      <c r="BC938">
        <v>120</v>
      </c>
      <c r="BD938" t="s">
        <v>74</v>
      </c>
      <c r="BE938" t="s">
        <v>74</v>
      </c>
      <c r="BF938" t="s">
        <v>74</v>
      </c>
      <c r="BG938" t="s">
        <v>74</v>
      </c>
      <c r="BH938" t="s">
        <v>74</v>
      </c>
      <c r="BI938" t="s">
        <v>74</v>
      </c>
      <c r="BJ938" t="s">
        <v>74</v>
      </c>
      <c r="BK938" t="s">
        <v>74</v>
      </c>
      <c r="BL938" t="s">
        <v>74</v>
      </c>
      <c r="BM938" t="s">
        <v>74</v>
      </c>
      <c r="BN938" t="s">
        <v>74</v>
      </c>
      <c r="BO938" t="s">
        <v>74</v>
      </c>
      <c r="BP938" t="s">
        <v>74</v>
      </c>
      <c r="BQ938" t="s">
        <v>74</v>
      </c>
      <c r="BR938" t="s">
        <v>74</v>
      </c>
      <c r="BS938" t="s">
        <v>4475</v>
      </c>
      <c r="BT938" t="str">
        <f>HYPERLINK("https%3A%2F%2Fwww.webofscience.com%2Fwos%2Fwoscc%2Ffull-record%2FWOS:A1995UA71800003","View Full Record in Web of Science")</f>
        <v>View Full Record in Web of Science</v>
      </c>
    </row>
    <row r="939" spans="1:72" x14ac:dyDescent="0.4">
      <c r="A939" t="s">
        <v>72</v>
      </c>
      <c r="B939" t="s">
        <v>6580</v>
      </c>
      <c r="C939" t="s">
        <v>74</v>
      </c>
      <c r="D939" t="s">
        <v>74</v>
      </c>
      <c r="E939" t="s">
        <v>74</v>
      </c>
      <c r="F939" t="s">
        <v>6580</v>
      </c>
      <c r="G939" t="s">
        <v>74</v>
      </c>
      <c r="H939" t="s">
        <v>74</v>
      </c>
      <c r="I939" t="s">
        <v>6581</v>
      </c>
      <c r="J939" t="s">
        <v>77</v>
      </c>
      <c r="K939" t="s">
        <v>74</v>
      </c>
      <c r="L939" t="s">
        <v>74</v>
      </c>
      <c r="M939" t="s">
        <v>74</v>
      </c>
      <c r="N939" t="s">
        <v>74</v>
      </c>
      <c r="O939" t="s">
        <v>74</v>
      </c>
      <c r="P939" t="s">
        <v>74</v>
      </c>
      <c r="Q939" t="s">
        <v>74</v>
      </c>
      <c r="R939" t="s">
        <v>74</v>
      </c>
      <c r="S939" t="s">
        <v>74</v>
      </c>
      <c r="T939" t="s">
        <v>74</v>
      </c>
      <c r="U939" t="s">
        <v>74</v>
      </c>
      <c r="V939" s="3" t="s">
        <v>6582</v>
      </c>
      <c r="W939" t="s">
        <v>74</v>
      </c>
      <c r="X939" t="s">
        <v>74</v>
      </c>
      <c r="Y939" t="s">
        <v>74</v>
      </c>
      <c r="Z939" t="s">
        <v>74</v>
      </c>
      <c r="AA939" t="s">
        <v>74</v>
      </c>
      <c r="AB939" t="s">
        <v>74</v>
      </c>
      <c r="AC939" t="s">
        <v>74</v>
      </c>
      <c r="AD939" t="s">
        <v>74</v>
      </c>
      <c r="AE939" t="s">
        <v>74</v>
      </c>
      <c r="AF939" t="s">
        <v>74</v>
      </c>
      <c r="AG939" t="s">
        <v>74</v>
      </c>
      <c r="AH939" t="s">
        <v>74</v>
      </c>
      <c r="AI939" t="s">
        <v>74</v>
      </c>
      <c r="AJ939" t="s">
        <v>74</v>
      </c>
      <c r="AK939" t="s">
        <v>74</v>
      </c>
      <c r="AL939" t="s">
        <v>74</v>
      </c>
      <c r="AM939" t="s">
        <v>74</v>
      </c>
      <c r="AN939" t="s">
        <v>74</v>
      </c>
      <c r="AO939" t="s">
        <v>81</v>
      </c>
      <c r="AP939" t="s">
        <v>82</v>
      </c>
      <c r="AQ939" t="s">
        <v>74</v>
      </c>
      <c r="AR939" t="s">
        <v>74</v>
      </c>
      <c r="AS939" t="s">
        <v>74</v>
      </c>
      <c r="AT939" t="s">
        <v>213</v>
      </c>
      <c r="AU939">
        <v>1988</v>
      </c>
      <c r="AV939">
        <v>107</v>
      </c>
      <c r="AW939" t="s">
        <v>74</v>
      </c>
      <c r="AX939" t="s">
        <v>548</v>
      </c>
      <c r="AY939" t="s">
        <v>74</v>
      </c>
      <c r="AZ939" t="s">
        <v>74</v>
      </c>
      <c r="BA939" t="s">
        <v>74</v>
      </c>
      <c r="BB939">
        <v>107</v>
      </c>
      <c r="BC939">
        <v>121</v>
      </c>
      <c r="BD939" t="s">
        <v>74</v>
      </c>
      <c r="BE939" t="s">
        <v>6583</v>
      </c>
      <c r="BF939" t="str">
        <f>HYPERLINK("http://dx.doi.org/10.1163/156853988X00223","http://dx.doi.org/10.1163/156853988X00223")</f>
        <v>http://dx.doi.org/10.1163/156853988X00223</v>
      </c>
      <c r="BG939" t="s">
        <v>74</v>
      </c>
      <c r="BH939" t="s">
        <v>74</v>
      </c>
      <c r="BI939" t="s">
        <v>74</v>
      </c>
      <c r="BJ939" t="s">
        <v>74</v>
      </c>
      <c r="BK939" t="s">
        <v>74</v>
      </c>
      <c r="BL939" t="s">
        <v>74</v>
      </c>
      <c r="BM939" t="s">
        <v>74</v>
      </c>
      <c r="BN939" t="s">
        <v>74</v>
      </c>
      <c r="BO939" t="s">
        <v>74</v>
      </c>
      <c r="BP939" t="s">
        <v>74</v>
      </c>
      <c r="BQ939" t="s">
        <v>74</v>
      </c>
      <c r="BR939" t="s">
        <v>74</v>
      </c>
      <c r="BS939" t="s">
        <v>6584</v>
      </c>
      <c r="BT939" t="str">
        <f>HYPERLINK("https%3A%2F%2Fwww.webofscience.com%2Fwos%2Fwoscc%2Ffull-record%2FWOS:A1988R479600008","View Full Record in Web of Science")</f>
        <v>View Full Record in Web of Science</v>
      </c>
    </row>
    <row r="940" spans="1:72" x14ac:dyDescent="0.4">
      <c r="A940" t="s">
        <v>72</v>
      </c>
      <c r="B940" t="s">
        <v>8444</v>
      </c>
      <c r="C940" t="s">
        <v>74</v>
      </c>
      <c r="D940" t="s">
        <v>74</v>
      </c>
      <c r="E940" t="s">
        <v>74</v>
      </c>
      <c r="F940" t="s">
        <v>8445</v>
      </c>
      <c r="G940" t="s">
        <v>74</v>
      </c>
      <c r="H940" t="s">
        <v>74</v>
      </c>
      <c r="I940" t="s">
        <v>8446</v>
      </c>
      <c r="J940" t="s">
        <v>3332</v>
      </c>
      <c r="K940" t="s">
        <v>74</v>
      </c>
      <c r="L940" t="s">
        <v>74</v>
      </c>
      <c r="M940" t="s">
        <v>74</v>
      </c>
      <c r="N940" t="s">
        <v>74</v>
      </c>
      <c r="O940" t="s">
        <v>74</v>
      </c>
      <c r="P940" t="s">
        <v>74</v>
      </c>
      <c r="Q940" t="s">
        <v>74</v>
      </c>
      <c r="R940" t="s">
        <v>74</v>
      </c>
      <c r="S940" t="s">
        <v>74</v>
      </c>
      <c r="T940" t="s">
        <v>74</v>
      </c>
      <c r="U940" t="s">
        <v>74</v>
      </c>
      <c r="V940" s="3" t="s">
        <v>8447</v>
      </c>
      <c r="W940" t="s">
        <v>74</v>
      </c>
      <c r="X940" t="s">
        <v>74</v>
      </c>
      <c r="Y940" t="s">
        <v>74</v>
      </c>
      <c r="Z940" t="s">
        <v>74</v>
      </c>
      <c r="AA940" t="s">
        <v>8448</v>
      </c>
      <c r="AB940" t="s">
        <v>8449</v>
      </c>
      <c r="AC940" t="s">
        <v>74</v>
      </c>
      <c r="AD940" t="s">
        <v>74</v>
      </c>
      <c r="AE940" t="s">
        <v>74</v>
      </c>
      <c r="AF940" t="s">
        <v>74</v>
      </c>
      <c r="AG940" t="s">
        <v>74</v>
      </c>
      <c r="AH940" t="s">
        <v>74</v>
      </c>
      <c r="AI940" t="s">
        <v>74</v>
      </c>
      <c r="AJ940" t="s">
        <v>74</v>
      </c>
      <c r="AK940" t="s">
        <v>74</v>
      </c>
      <c r="AL940" t="s">
        <v>74</v>
      </c>
      <c r="AM940" t="s">
        <v>74</v>
      </c>
      <c r="AN940" t="s">
        <v>74</v>
      </c>
      <c r="AO940" t="s">
        <v>3336</v>
      </c>
      <c r="AP940" t="s">
        <v>3337</v>
      </c>
      <c r="AQ940" t="s">
        <v>74</v>
      </c>
      <c r="AR940" t="s">
        <v>74</v>
      </c>
      <c r="AS940" t="s">
        <v>74</v>
      </c>
      <c r="AT940" t="s">
        <v>3338</v>
      </c>
      <c r="AU940">
        <v>2010</v>
      </c>
      <c r="AV940">
        <v>45</v>
      </c>
      <c r="AW940">
        <v>1</v>
      </c>
      <c r="AX940" t="s">
        <v>74</v>
      </c>
      <c r="AY940" t="s">
        <v>74</v>
      </c>
      <c r="AZ940" t="s">
        <v>74</v>
      </c>
      <c r="BA940" t="s">
        <v>74</v>
      </c>
      <c r="BB940">
        <v>91</v>
      </c>
      <c r="BC940">
        <v>97</v>
      </c>
      <c r="BD940" t="s">
        <v>74</v>
      </c>
      <c r="BE940" t="s">
        <v>8450</v>
      </c>
      <c r="BF940" t="str">
        <f>HYPERLINK("http://dx.doi.org/10.3161/000164510X516146","http://dx.doi.org/10.3161/000164510X516146")</f>
        <v>http://dx.doi.org/10.3161/000164510X516146</v>
      </c>
      <c r="BG940" t="s">
        <v>74</v>
      </c>
      <c r="BH940" t="s">
        <v>74</v>
      </c>
      <c r="BI940" t="s">
        <v>74</v>
      </c>
      <c r="BJ940" t="s">
        <v>74</v>
      </c>
      <c r="BK940" t="s">
        <v>74</v>
      </c>
      <c r="BL940" t="s">
        <v>74</v>
      </c>
      <c r="BM940" t="s">
        <v>74</v>
      </c>
      <c r="BN940" t="s">
        <v>74</v>
      </c>
      <c r="BO940" t="s">
        <v>74</v>
      </c>
      <c r="BP940" t="s">
        <v>74</v>
      </c>
      <c r="BQ940" t="s">
        <v>74</v>
      </c>
      <c r="BR940" t="s">
        <v>74</v>
      </c>
      <c r="BS940" t="s">
        <v>8451</v>
      </c>
      <c r="BT940" t="str">
        <f>HYPERLINK("https%3A%2F%2Fwww.webofscience.com%2Fwos%2Fwoscc%2Ffull-record%2FWOS:000280387600010","View Full Record in Web of Science")</f>
        <v>View Full Record in Web of Science</v>
      </c>
    </row>
    <row r="941" spans="1:72" x14ac:dyDescent="0.4">
      <c r="A941" t="s">
        <v>72</v>
      </c>
      <c r="B941" t="s">
        <v>6676</v>
      </c>
      <c r="C941" t="s">
        <v>74</v>
      </c>
      <c r="D941" t="s">
        <v>74</v>
      </c>
      <c r="E941" t="s">
        <v>74</v>
      </c>
      <c r="F941" t="s">
        <v>6677</v>
      </c>
      <c r="G941" t="s">
        <v>74</v>
      </c>
      <c r="H941" t="s">
        <v>74</v>
      </c>
      <c r="I941" t="s">
        <v>6678</v>
      </c>
      <c r="J941" t="s">
        <v>140</v>
      </c>
      <c r="K941" t="s">
        <v>74</v>
      </c>
      <c r="L941" t="s">
        <v>74</v>
      </c>
      <c r="M941" t="s">
        <v>74</v>
      </c>
      <c r="N941" t="s">
        <v>74</v>
      </c>
      <c r="O941" t="s">
        <v>74</v>
      </c>
      <c r="P941" t="s">
        <v>74</v>
      </c>
      <c r="Q941" t="s">
        <v>74</v>
      </c>
      <c r="R941" t="s">
        <v>74</v>
      </c>
      <c r="S941" t="s">
        <v>74</v>
      </c>
      <c r="T941" t="s">
        <v>74</v>
      </c>
      <c r="U941" t="s">
        <v>74</v>
      </c>
      <c r="V941" s="3" t="s">
        <v>6679</v>
      </c>
      <c r="W941" t="s">
        <v>74</v>
      </c>
      <c r="X941" t="s">
        <v>74</v>
      </c>
      <c r="Y941" t="s">
        <v>74</v>
      </c>
      <c r="Z941" t="s">
        <v>74</v>
      </c>
      <c r="AA941" t="s">
        <v>6680</v>
      </c>
      <c r="AB941" t="s">
        <v>6681</v>
      </c>
      <c r="AC941" t="s">
        <v>74</v>
      </c>
      <c r="AD941" t="s">
        <v>74</v>
      </c>
      <c r="AE941" t="s">
        <v>74</v>
      </c>
      <c r="AF941" t="s">
        <v>74</v>
      </c>
      <c r="AG941" t="s">
        <v>74</v>
      </c>
      <c r="AH941" t="s">
        <v>74</v>
      </c>
      <c r="AI941" t="s">
        <v>74</v>
      </c>
      <c r="AJ941" t="s">
        <v>74</v>
      </c>
      <c r="AK941" t="s">
        <v>74</v>
      </c>
      <c r="AL941" t="s">
        <v>74</v>
      </c>
      <c r="AM941" t="s">
        <v>74</v>
      </c>
      <c r="AN941" t="s">
        <v>74</v>
      </c>
      <c r="AO941" t="s">
        <v>143</v>
      </c>
      <c r="AP941" t="s">
        <v>144</v>
      </c>
      <c r="AQ941" t="s">
        <v>74</v>
      </c>
      <c r="AR941" t="s">
        <v>74</v>
      </c>
      <c r="AS941" t="s">
        <v>74</v>
      </c>
      <c r="AT941" t="s">
        <v>204</v>
      </c>
      <c r="AU941">
        <v>2015</v>
      </c>
      <c r="AV941">
        <v>105</v>
      </c>
      <c r="AW941" t="s">
        <v>74</v>
      </c>
      <c r="AX941" t="s">
        <v>74</v>
      </c>
      <c r="AY941" t="s">
        <v>74</v>
      </c>
      <c r="AZ941" t="s">
        <v>74</v>
      </c>
      <c r="BA941" t="s">
        <v>74</v>
      </c>
      <c r="BB941">
        <v>201</v>
      </c>
      <c r="BC941">
        <v>209</v>
      </c>
      <c r="BD941" t="s">
        <v>74</v>
      </c>
      <c r="BE941" t="s">
        <v>6682</v>
      </c>
      <c r="BF941" t="str">
        <f>HYPERLINK("http://dx.doi.org/10.1016/j.anbehav.2015.04.024","http://dx.doi.org/10.1016/j.anbehav.2015.04.024")</f>
        <v>http://dx.doi.org/10.1016/j.anbehav.2015.04.024</v>
      </c>
      <c r="BG941" t="s">
        <v>74</v>
      </c>
      <c r="BH941" t="s">
        <v>74</v>
      </c>
      <c r="BI941" t="s">
        <v>74</v>
      </c>
      <c r="BJ941" t="s">
        <v>74</v>
      </c>
      <c r="BK941" t="s">
        <v>74</v>
      </c>
      <c r="BL941" t="s">
        <v>74</v>
      </c>
      <c r="BM941" t="s">
        <v>74</v>
      </c>
      <c r="BN941" t="s">
        <v>74</v>
      </c>
      <c r="BO941" t="s">
        <v>74</v>
      </c>
      <c r="BP941" t="s">
        <v>74</v>
      </c>
      <c r="BQ941" t="s">
        <v>74</v>
      </c>
      <c r="BR941" t="s">
        <v>74</v>
      </c>
      <c r="BS941" t="s">
        <v>6683</v>
      </c>
      <c r="BT941" t="str">
        <f>HYPERLINK("https%3A%2F%2Fwww.webofscience.com%2Fwos%2Fwoscc%2Ffull-record%2FWOS:000356611200022","View Full Record in Web of Science")</f>
        <v>View Full Record in Web of Science</v>
      </c>
    </row>
    <row r="942" spans="1:72" x14ac:dyDescent="0.4">
      <c r="A942" t="s">
        <v>72</v>
      </c>
      <c r="B942" t="s">
        <v>1501</v>
      </c>
      <c r="C942" t="s">
        <v>74</v>
      </c>
      <c r="D942" t="s">
        <v>74</v>
      </c>
      <c r="E942" t="s">
        <v>74</v>
      </c>
      <c r="F942" t="s">
        <v>1502</v>
      </c>
      <c r="G942" t="s">
        <v>74</v>
      </c>
      <c r="H942" t="s">
        <v>74</v>
      </c>
      <c r="I942" t="s">
        <v>1503</v>
      </c>
      <c r="J942" t="s">
        <v>814</v>
      </c>
      <c r="K942" t="s">
        <v>74</v>
      </c>
      <c r="L942" t="s">
        <v>74</v>
      </c>
      <c r="M942" t="s">
        <v>74</v>
      </c>
      <c r="N942" t="s">
        <v>74</v>
      </c>
      <c r="O942" t="s">
        <v>74</v>
      </c>
      <c r="P942" t="s">
        <v>74</v>
      </c>
      <c r="Q942" t="s">
        <v>74</v>
      </c>
      <c r="R942" t="s">
        <v>74</v>
      </c>
      <c r="S942" t="s">
        <v>74</v>
      </c>
      <c r="T942" t="s">
        <v>74</v>
      </c>
      <c r="U942" t="s">
        <v>74</v>
      </c>
      <c r="V942" s="3" t="s">
        <v>1504</v>
      </c>
      <c r="W942" t="s">
        <v>74</v>
      </c>
      <c r="X942" t="s">
        <v>74</v>
      </c>
      <c r="Y942" t="s">
        <v>74</v>
      </c>
      <c r="Z942" t="s">
        <v>74</v>
      </c>
      <c r="AA942" t="s">
        <v>74</v>
      </c>
      <c r="AB942" t="s">
        <v>74</v>
      </c>
      <c r="AC942" t="s">
        <v>74</v>
      </c>
      <c r="AD942" t="s">
        <v>74</v>
      </c>
      <c r="AE942" t="s">
        <v>74</v>
      </c>
      <c r="AF942" t="s">
        <v>74</v>
      </c>
      <c r="AG942" t="s">
        <v>74</v>
      </c>
      <c r="AH942" t="s">
        <v>74</v>
      </c>
      <c r="AI942" t="s">
        <v>74</v>
      </c>
      <c r="AJ942" t="s">
        <v>74</v>
      </c>
      <c r="AK942" t="s">
        <v>74</v>
      </c>
      <c r="AL942" t="s">
        <v>74</v>
      </c>
      <c r="AM942" t="s">
        <v>74</v>
      </c>
      <c r="AN942" t="s">
        <v>74</v>
      </c>
      <c r="AO942" t="s">
        <v>818</v>
      </c>
      <c r="AP942" t="s">
        <v>1505</v>
      </c>
      <c r="AQ942" t="s">
        <v>74</v>
      </c>
      <c r="AR942" t="s">
        <v>74</v>
      </c>
      <c r="AS942" t="s">
        <v>74</v>
      </c>
      <c r="AT942" t="s">
        <v>102</v>
      </c>
      <c r="AU942">
        <v>2017</v>
      </c>
      <c r="AV942">
        <v>122</v>
      </c>
      <c r="AW942" t="s">
        <v>74</v>
      </c>
      <c r="AX942" t="s">
        <v>74</v>
      </c>
      <c r="AY942" t="s">
        <v>74</v>
      </c>
      <c r="AZ942" t="s">
        <v>74</v>
      </c>
      <c r="BA942" t="s">
        <v>74</v>
      </c>
      <c r="BB942">
        <v>115</v>
      </c>
      <c r="BC942">
        <v>125</v>
      </c>
      <c r="BD942" t="s">
        <v>74</v>
      </c>
      <c r="BE942" t="s">
        <v>1506</v>
      </c>
      <c r="BF942" t="str">
        <f>HYPERLINK("http://dx.doi.org/10.1016/j.zool.2017.05.002","http://dx.doi.org/10.1016/j.zool.2017.05.002")</f>
        <v>http://dx.doi.org/10.1016/j.zool.2017.05.002</v>
      </c>
      <c r="BG942" t="s">
        <v>74</v>
      </c>
      <c r="BH942" t="s">
        <v>74</v>
      </c>
      <c r="BI942" t="s">
        <v>74</v>
      </c>
      <c r="BJ942" t="s">
        <v>74</v>
      </c>
      <c r="BK942" t="s">
        <v>74</v>
      </c>
      <c r="BL942" t="s">
        <v>74</v>
      </c>
      <c r="BM942" t="s">
        <v>74</v>
      </c>
      <c r="BN942">
        <v>28546067</v>
      </c>
      <c r="BO942" t="s">
        <v>74</v>
      </c>
      <c r="BP942" t="s">
        <v>74</v>
      </c>
      <c r="BQ942" t="s">
        <v>74</v>
      </c>
      <c r="BR942" t="s">
        <v>74</v>
      </c>
      <c r="BS942" t="s">
        <v>1507</v>
      </c>
      <c r="BT942" t="str">
        <f>HYPERLINK("https%3A%2F%2Fwww.webofscience.com%2Fwos%2Fwoscc%2Ffull-record%2FWOS:000404310700015","View Full Record in Web of Science")</f>
        <v>View Full Record in Web of Science</v>
      </c>
    </row>
    <row r="943" spans="1:72" x14ac:dyDescent="0.4">
      <c r="A943" t="s">
        <v>72</v>
      </c>
      <c r="B943" t="s">
        <v>6061</v>
      </c>
      <c r="C943" t="s">
        <v>74</v>
      </c>
      <c r="D943" t="s">
        <v>74</v>
      </c>
      <c r="E943" t="s">
        <v>74</v>
      </c>
      <c r="F943" t="s">
        <v>6062</v>
      </c>
      <c r="G943" t="s">
        <v>74</v>
      </c>
      <c r="H943" t="s">
        <v>74</v>
      </c>
      <c r="I943" t="s">
        <v>6063</v>
      </c>
      <c r="J943" t="s">
        <v>576</v>
      </c>
      <c r="K943" t="s">
        <v>74</v>
      </c>
      <c r="L943" t="s">
        <v>74</v>
      </c>
      <c r="M943" t="s">
        <v>74</v>
      </c>
      <c r="N943" t="s">
        <v>74</v>
      </c>
      <c r="O943" t="s">
        <v>74</v>
      </c>
      <c r="P943" t="s">
        <v>74</v>
      </c>
      <c r="Q943" t="s">
        <v>74</v>
      </c>
      <c r="R943" t="s">
        <v>74</v>
      </c>
      <c r="S943" t="s">
        <v>74</v>
      </c>
      <c r="T943" t="s">
        <v>74</v>
      </c>
      <c r="U943" t="s">
        <v>74</v>
      </c>
      <c r="V943" s="3" t="s">
        <v>6064</v>
      </c>
      <c r="W943" t="s">
        <v>74</v>
      </c>
      <c r="X943" t="s">
        <v>74</v>
      </c>
      <c r="Y943" t="s">
        <v>74</v>
      </c>
      <c r="Z943" t="s">
        <v>74</v>
      </c>
      <c r="AA943" t="s">
        <v>74</v>
      </c>
      <c r="AB943" t="s">
        <v>6065</v>
      </c>
      <c r="AC943" t="s">
        <v>74</v>
      </c>
      <c r="AD943" t="s">
        <v>74</v>
      </c>
      <c r="AE943" t="s">
        <v>74</v>
      </c>
      <c r="AF943" t="s">
        <v>74</v>
      </c>
      <c r="AG943" t="s">
        <v>74</v>
      </c>
      <c r="AH943" t="s">
        <v>74</v>
      </c>
      <c r="AI943" t="s">
        <v>74</v>
      </c>
      <c r="AJ943" t="s">
        <v>74</v>
      </c>
      <c r="AK943" t="s">
        <v>74</v>
      </c>
      <c r="AL943" t="s">
        <v>74</v>
      </c>
      <c r="AM943" t="s">
        <v>74</v>
      </c>
      <c r="AN943" t="s">
        <v>74</v>
      </c>
      <c r="AO943" t="s">
        <v>579</v>
      </c>
      <c r="AP943" t="s">
        <v>580</v>
      </c>
      <c r="AQ943" t="s">
        <v>74</v>
      </c>
      <c r="AR943" t="s">
        <v>74</v>
      </c>
      <c r="AS943" t="s">
        <v>74</v>
      </c>
      <c r="AT943" t="s">
        <v>123</v>
      </c>
      <c r="AU943">
        <v>2015</v>
      </c>
      <c r="AV943">
        <v>29</v>
      </c>
      <c r="AW943">
        <v>2</v>
      </c>
      <c r="AX943" t="s">
        <v>74</v>
      </c>
      <c r="AY943" t="s">
        <v>74</v>
      </c>
      <c r="AZ943" t="s">
        <v>74</v>
      </c>
      <c r="BA943" t="s">
        <v>74</v>
      </c>
      <c r="BB943">
        <v>217</v>
      </c>
      <c r="BC943">
        <v>227</v>
      </c>
      <c r="BD943" t="s">
        <v>74</v>
      </c>
      <c r="BE943" t="s">
        <v>6066</v>
      </c>
      <c r="BF943" t="str">
        <f>HYPERLINK("http://dx.doi.org/10.1007/s10682-014-9744-5","http://dx.doi.org/10.1007/s10682-014-9744-5")</f>
        <v>http://dx.doi.org/10.1007/s10682-014-9744-5</v>
      </c>
      <c r="BG943" t="s">
        <v>74</v>
      </c>
      <c r="BH943" t="s">
        <v>74</v>
      </c>
      <c r="BI943" t="s">
        <v>74</v>
      </c>
      <c r="BJ943" t="s">
        <v>74</v>
      </c>
      <c r="BK943" t="s">
        <v>74</v>
      </c>
      <c r="BL943" t="s">
        <v>74</v>
      </c>
      <c r="BM943" t="s">
        <v>74</v>
      </c>
      <c r="BN943" t="s">
        <v>74</v>
      </c>
      <c r="BO943" t="s">
        <v>74</v>
      </c>
      <c r="BP943" t="s">
        <v>74</v>
      </c>
      <c r="BQ943" t="s">
        <v>74</v>
      </c>
      <c r="BR943" t="s">
        <v>74</v>
      </c>
      <c r="BS943" t="s">
        <v>6067</v>
      </c>
      <c r="BT943" t="str">
        <f>HYPERLINK("https%3A%2F%2Fwww.webofscience.com%2Fwos%2Fwoscc%2Ffull-record%2FWOS:000349964700002","View Full Record in Web of Science")</f>
        <v>View Full Record in Web of Science</v>
      </c>
    </row>
    <row r="944" spans="1:72" x14ac:dyDescent="0.4">
      <c r="A944" t="s">
        <v>72</v>
      </c>
      <c r="B944" t="s">
        <v>6015</v>
      </c>
      <c r="C944" t="s">
        <v>74</v>
      </c>
      <c r="D944" t="s">
        <v>74</v>
      </c>
      <c r="E944" t="s">
        <v>74</v>
      </c>
      <c r="F944" t="s">
        <v>6015</v>
      </c>
      <c r="G944" t="s">
        <v>74</v>
      </c>
      <c r="H944" t="s">
        <v>74</v>
      </c>
      <c r="I944" t="s">
        <v>6016</v>
      </c>
      <c r="J944" t="s">
        <v>4655</v>
      </c>
      <c r="K944" t="s">
        <v>74</v>
      </c>
      <c r="L944" t="s">
        <v>74</v>
      </c>
      <c r="M944" t="s">
        <v>74</v>
      </c>
      <c r="N944" t="s">
        <v>74</v>
      </c>
      <c r="O944" t="s">
        <v>74</v>
      </c>
      <c r="P944" t="s">
        <v>74</v>
      </c>
      <c r="Q944" t="s">
        <v>74</v>
      </c>
      <c r="R944" t="s">
        <v>74</v>
      </c>
      <c r="S944" t="s">
        <v>74</v>
      </c>
      <c r="T944" t="s">
        <v>74</v>
      </c>
      <c r="U944" t="s">
        <v>74</v>
      </c>
      <c r="V944" s="3" t="s">
        <v>6017</v>
      </c>
      <c r="W944" t="s">
        <v>74</v>
      </c>
      <c r="X944" t="s">
        <v>74</v>
      </c>
      <c r="Y944" t="s">
        <v>74</v>
      </c>
      <c r="Z944" t="s">
        <v>74</v>
      </c>
      <c r="AA944" t="s">
        <v>74</v>
      </c>
      <c r="AB944" t="s">
        <v>74</v>
      </c>
      <c r="AC944" t="s">
        <v>74</v>
      </c>
      <c r="AD944" t="s">
        <v>74</v>
      </c>
      <c r="AE944" t="s">
        <v>74</v>
      </c>
      <c r="AF944" t="s">
        <v>74</v>
      </c>
      <c r="AG944" t="s">
        <v>74</v>
      </c>
      <c r="AH944" t="s">
        <v>74</v>
      </c>
      <c r="AI944" t="s">
        <v>74</v>
      </c>
      <c r="AJ944" t="s">
        <v>74</v>
      </c>
      <c r="AK944" t="s">
        <v>74</v>
      </c>
      <c r="AL944" t="s">
        <v>74</v>
      </c>
      <c r="AM944" t="s">
        <v>74</v>
      </c>
      <c r="AN944" t="s">
        <v>74</v>
      </c>
      <c r="AO944" t="s">
        <v>4657</v>
      </c>
      <c r="AP944" t="s">
        <v>74</v>
      </c>
      <c r="AQ944" t="s">
        <v>74</v>
      </c>
      <c r="AR944" t="s">
        <v>74</v>
      </c>
      <c r="AS944" t="s">
        <v>74</v>
      </c>
      <c r="AT944" t="s">
        <v>102</v>
      </c>
      <c r="AU944">
        <v>1991</v>
      </c>
      <c r="AV944">
        <v>103</v>
      </c>
      <c r="AW944">
        <v>2</v>
      </c>
      <c r="AX944" t="s">
        <v>74</v>
      </c>
      <c r="AY944" t="s">
        <v>74</v>
      </c>
      <c r="AZ944" t="s">
        <v>74</v>
      </c>
      <c r="BA944" t="s">
        <v>74</v>
      </c>
      <c r="BB944">
        <v>190</v>
      </c>
      <c r="BC944">
        <v>203</v>
      </c>
      <c r="BD944" t="s">
        <v>74</v>
      </c>
      <c r="BE944" t="s">
        <v>74</v>
      </c>
      <c r="BF944" t="s">
        <v>74</v>
      </c>
      <c r="BG944" t="s">
        <v>74</v>
      </c>
      <c r="BH944" t="s">
        <v>74</v>
      </c>
      <c r="BI944" t="s">
        <v>74</v>
      </c>
      <c r="BJ944" t="s">
        <v>74</v>
      </c>
      <c r="BK944" t="s">
        <v>74</v>
      </c>
      <c r="BL944" t="s">
        <v>74</v>
      </c>
      <c r="BM944" t="s">
        <v>74</v>
      </c>
      <c r="BN944" t="s">
        <v>74</v>
      </c>
      <c r="BO944" t="s">
        <v>74</v>
      </c>
      <c r="BP944" t="s">
        <v>74</v>
      </c>
      <c r="BQ944" t="s">
        <v>74</v>
      </c>
      <c r="BR944" t="s">
        <v>74</v>
      </c>
      <c r="BS944" t="s">
        <v>6018</v>
      </c>
      <c r="BT944" t="str">
        <f>HYPERLINK("https%3A%2F%2Fwww.webofscience.com%2Fwos%2Fwoscc%2Ffull-record%2FWOS:A1991FP90500003","View Full Record in Web of Science")</f>
        <v>View Full Record in Web of Science</v>
      </c>
    </row>
    <row r="945" spans="1:72" x14ac:dyDescent="0.4">
      <c r="A945" t="s">
        <v>72</v>
      </c>
      <c r="B945" t="s">
        <v>4740</v>
      </c>
      <c r="C945" t="s">
        <v>74</v>
      </c>
      <c r="D945" t="s">
        <v>74</v>
      </c>
      <c r="E945" t="s">
        <v>74</v>
      </c>
      <c r="F945" t="s">
        <v>4741</v>
      </c>
      <c r="G945" t="s">
        <v>74</v>
      </c>
      <c r="H945" t="s">
        <v>74</v>
      </c>
      <c r="I945" t="s">
        <v>4742</v>
      </c>
      <c r="J945" t="s">
        <v>691</v>
      </c>
      <c r="K945" t="s">
        <v>74</v>
      </c>
      <c r="L945" t="s">
        <v>74</v>
      </c>
      <c r="M945" t="s">
        <v>74</v>
      </c>
      <c r="N945" t="s">
        <v>74</v>
      </c>
      <c r="O945" t="s">
        <v>74</v>
      </c>
      <c r="P945" t="s">
        <v>74</v>
      </c>
      <c r="Q945" t="s">
        <v>74</v>
      </c>
      <c r="R945" t="s">
        <v>74</v>
      </c>
      <c r="S945" t="s">
        <v>74</v>
      </c>
      <c r="T945" t="s">
        <v>74</v>
      </c>
      <c r="U945" t="s">
        <v>74</v>
      </c>
      <c r="V945" s="3" t="s">
        <v>4743</v>
      </c>
      <c r="W945" t="s">
        <v>74</v>
      </c>
      <c r="X945" t="s">
        <v>74</v>
      </c>
      <c r="Y945" t="s">
        <v>74</v>
      </c>
      <c r="Z945" t="s">
        <v>74</v>
      </c>
      <c r="AA945" t="s">
        <v>74</v>
      </c>
      <c r="AB945" t="s">
        <v>74</v>
      </c>
      <c r="AC945" t="s">
        <v>74</v>
      </c>
      <c r="AD945" t="s">
        <v>74</v>
      </c>
      <c r="AE945" t="s">
        <v>74</v>
      </c>
      <c r="AF945" t="s">
        <v>74</v>
      </c>
      <c r="AG945" t="s">
        <v>74</v>
      </c>
      <c r="AH945" t="s">
        <v>74</v>
      </c>
      <c r="AI945" t="s">
        <v>74</v>
      </c>
      <c r="AJ945" t="s">
        <v>74</v>
      </c>
      <c r="AK945" t="s">
        <v>74</v>
      </c>
      <c r="AL945" t="s">
        <v>74</v>
      </c>
      <c r="AM945" t="s">
        <v>74</v>
      </c>
      <c r="AN945" t="s">
        <v>74</v>
      </c>
      <c r="AO945" t="s">
        <v>695</v>
      </c>
      <c r="AP945" t="s">
        <v>74</v>
      </c>
      <c r="AQ945" t="s">
        <v>74</v>
      </c>
      <c r="AR945" t="s">
        <v>74</v>
      </c>
      <c r="AS945" t="s">
        <v>74</v>
      </c>
      <c r="AT945" t="s">
        <v>4744</v>
      </c>
      <c r="AU945">
        <v>2016</v>
      </c>
      <c r="AV945">
        <v>163</v>
      </c>
      <c r="AW945" t="s">
        <v>74</v>
      </c>
      <c r="AX945" t="s">
        <v>74</v>
      </c>
      <c r="AY945" t="s">
        <v>74</v>
      </c>
      <c r="AZ945" t="s">
        <v>74</v>
      </c>
      <c r="BA945" t="s">
        <v>74</v>
      </c>
      <c r="BB945">
        <v>70</v>
      </c>
      <c r="BC945">
        <v>80</v>
      </c>
      <c r="BD945" t="s">
        <v>74</v>
      </c>
      <c r="BE945" t="s">
        <v>4745</v>
      </c>
      <c r="BF945" t="str">
        <f>HYPERLINK("http://dx.doi.org/10.1016/j.physbeh.2016.04.039","http://dx.doi.org/10.1016/j.physbeh.2016.04.039")</f>
        <v>http://dx.doi.org/10.1016/j.physbeh.2016.04.039</v>
      </c>
      <c r="BG945" t="s">
        <v>74</v>
      </c>
      <c r="BH945" t="s">
        <v>74</v>
      </c>
      <c r="BI945" t="s">
        <v>74</v>
      </c>
      <c r="BJ945" t="s">
        <v>74</v>
      </c>
      <c r="BK945" t="s">
        <v>74</v>
      </c>
      <c r="BL945" t="s">
        <v>74</v>
      </c>
      <c r="BM945" t="s">
        <v>74</v>
      </c>
      <c r="BN945">
        <v>27137079</v>
      </c>
      <c r="BO945" t="s">
        <v>74</v>
      </c>
      <c r="BP945" t="s">
        <v>74</v>
      </c>
      <c r="BQ945" t="s">
        <v>74</v>
      </c>
      <c r="BR945" t="s">
        <v>74</v>
      </c>
      <c r="BS945" t="s">
        <v>4746</v>
      </c>
      <c r="BT945" t="str">
        <f>HYPERLINK("https%3A%2F%2Fwww.webofscience.com%2Fwos%2Fwoscc%2Ffull-record%2FWOS:000380597400010","View Full Record in Web of Science")</f>
        <v>View Full Record in Web of Science</v>
      </c>
    </row>
    <row r="946" spans="1:72" x14ac:dyDescent="0.4">
      <c r="A946" t="s">
        <v>72</v>
      </c>
      <c r="B946" t="s">
        <v>4740</v>
      </c>
      <c r="C946" t="s">
        <v>74</v>
      </c>
      <c r="D946" t="s">
        <v>74</v>
      </c>
      <c r="E946" t="s">
        <v>74</v>
      </c>
      <c r="F946" t="s">
        <v>4741</v>
      </c>
      <c r="G946" t="s">
        <v>74</v>
      </c>
      <c r="H946" t="s">
        <v>74</v>
      </c>
      <c r="I946" t="s">
        <v>6585</v>
      </c>
      <c r="J946" t="s">
        <v>6042</v>
      </c>
      <c r="K946" t="s">
        <v>74</v>
      </c>
      <c r="L946" t="s">
        <v>74</v>
      </c>
      <c r="M946" t="s">
        <v>74</v>
      </c>
      <c r="N946" t="s">
        <v>74</v>
      </c>
      <c r="O946" t="s">
        <v>74</v>
      </c>
      <c r="P946" t="s">
        <v>74</v>
      </c>
      <c r="Q946" t="s">
        <v>74</v>
      </c>
      <c r="R946" t="s">
        <v>74</v>
      </c>
      <c r="S946" t="s">
        <v>74</v>
      </c>
      <c r="T946" t="s">
        <v>74</v>
      </c>
      <c r="U946" t="s">
        <v>74</v>
      </c>
      <c r="V946" s="3" t="s">
        <v>6586</v>
      </c>
      <c r="W946" t="s">
        <v>74</v>
      </c>
      <c r="X946" t="s">
        <v>74</v>
      </c>
      <c r="Y946" t="s">
        <v>74</v>
      </c>
      <c r="Z946" t="s">
        <v>74</v>
      </c>
      <c r="AA946" t="s">
        <v>74</v>
      </c>
      <c r="AB946" t="s">
        <v>274</v>
      </c>
      <c r="AC946" t="s">
        <v>74</v>
      </c>
      <c r="AD946" t="s">
        <v>74</v>
      </c>
      <c r="AE946" t="s">
        <v>74</v>
      </c>
      <c r="AF946" t="s">
        <v>74</v>
      </c>
      <c r="AG946" t="s">
        <v>74</v>
      </c>
      <c r="AH946" t="s">
        <v>74</v>
      </c>
      <c r="AI946" t="s">
        <v>74</v>
      </c>
      <c r="AJ946" t="s">
        <v>74</v>
      </c>
      <c r="AK946" t="s">
        <v>74</v>
      </c>
      <c r="AL946" t="s">
        <v>74</v>
      </c>
      <c r="AM946" t="s">
        <v>74</v>
      </c>
      <c r="AN946" t="s">
        <v>74</v>
      </c>
      <c r="AO946" t="s">
        <v>6045</v>
      </c>
      <c r="AP946" t="s">
        <v>74</v>
      </c>
      <c r="AQ946" t="s">
        <v>74</v>
      </c>
      <c r="AR946" t="s">
        <v>74</v>
      </c>
      <c r="AS946" t="s">
        <v>74</v>
      </c>
      <c r="AT946" t="s">
        <v>175</v>
      </c>
      <c r="AU946">
        <v>2017</v>
      </c>
      <c r="AV946">
        <v>327</v>
      </c>
      <c r="AW946">
        <v>8</v>
      </c>
      <c r="AX946" t="s">
        <v>74</v>
      </c>
      <c r="AY946" t="s">
        <v>74</v>
      </c>
      <c r="AZ946" t="s">
        <v>74</v>
      </c>
      <c r="BA946" t="s">
        <v>74</v>
      </c>
      <c r="BB946">
        <v>481</v>
      </c>
      <c r="BC946">
        <v>492</v>
      </c>
      <c r="BD946" t="s">
        <v>74</v>
      </c>
      <c r="BE946" t="s">
        <v>6587</v>
      </c>
      <c r="BF946" t="str">
        <f>HYPERLINK("http://dx.doi.org/10.1002/jez.2133","http://dx.doi.org/10.1002/jez.2133")</f>
        <v>http://dx.doi.org/10.1002/jez.2133</v>
      </c>
      <c r="BG946" t="s">
        <v>74</v>
      </c>
      <c r="BH946" t="s">
        <v>74</v>
      </c>
      <c r="BI946" t="s">
        <v>74</v>
      </c>
      <c r="BJ946" t="s">
        <v>74</v>
      </c>
      <c r="BK946" t="s">
        <v>74</v>
      </c>
      <c r="BL946" t="s">
        <v>74</v>
      </c>
      <c r="BM946" t="s">
        <v>74</v>
      </c>
      <c r="BN946">
        <v>29356435</v>
      </c>
      <c r="BO946" t="s">
        <v>74</v>
      </c>
      <c r="BP946" t="s">
        <v>74</v>
      </c>
      <c r="BQ946" t="s">
        <v>74</v>
      </c>
      <c r="BR946" t="s">
        <v>74</v>
      </c>
      <c r="BS946" t="s">
        <v>6588</v>
      </c>
      <c r="BT946" t="str">
        <f>HYPERLINK("https%3A%2F%2Fwww.webofscience.com%2Fwos%2Fwoscc%2Ffull-record%2FWOS:000422728900001","View Full Record in Web of Science")</f>
        <v>View Full Record in Web of Science</v>
      </c>
    </row>
    <row r="947" spans="1:72" x14ac:dyDescent="0.4">
      <c r="A947" t="s">
        <v>72</v>
      </c>
      <c r="B947" t="s">
        <v>1793</v>
      </c>
      <c r="C947" t="s">
        <v>74</v>
      </c>
      <c r="D947" t="s">
        <v>74</v>
      </c>
      <c r="E947" t="s">
        <v>74</v>
      </c>
      <c r="F947" t="s">
        <v>1793</v>
      </c>
      <c r="G947" t="s">
        <v>74</v>
      </c>
      <c r="H947" t="s">
        <v>74</v>
      </c>
      <c r="I947" t="s">
        <v>1794</v>
      </c>
      <c r="J947" t="s">
        <v>108</v>
      </c>
      <c r="K947" t="s">
        <v>74</v>
      </c>
      <c r="L947" t="s">
        <v>74</v>
      </c>
      <c r="M947" t="s">
        <v>74</v>
      </c>
      <c r="N947" t="s">
        <v>74</v>
      </c>
      <c r="O947" t="s">
        <v>74</v>
      </c>
      <c r="P947" t="s">
        <v>74</v>
      </c>
      <c r="Q947" t="s">
        <v>74</v>
      </c>
      <c r="R947" t="s">
        <v>74</v>
      </c>
      <c r="S947" t="s">
        <v>74</v>
      </c>
      <c r="T947" t="s">
        <v>74</v>
      </c>
      <c r="U947" t="s">
        <v>74</v>
      </c>
      <c r="V947" s="3" t="s">
        <v>1795</v>
      </c>
      <c r="W947" t="s">
        <v>74</v>
      </c>
      <c r="X947" t="s">
        <v>74</v>
      </c>
      <c r="Y947" t="s">
        <v>74</v>
      </c>
      <c r="Z947" t="s">
        <v>74</v>
      </c>
      <c r="AA947" t="s">
        <v>1106</v>
      </c>
      <c r="AB947" t="s">
        <v>1796</v>
      </c>
      <c r="AC947" t="s">
        <v>74</v>
      </c>
      <c r="AD947" t="s">
        <v>74</v>
      </c>
      <c r="AE947" t="s">
        <v>74</v>
      </c>
      <c r="AF947" t="s">
        <v>74</v>
      </c>
      <c r="AG947" t="s">
        <v>74</v>
      </c>
      <c r="AH947" t="s">
        <v>74</v>
      </c>
      <c r="AI947" t="s">
        <v>74</v>
      </c>
      <c r="AJ947" t="s">
        <v>74</v>
      </c>
      <c r="AK947" t="s">
        <v>74</v>
      </c>
      <c r="AL947" t="s">
        <v>74</v>
      </c>
      <c r="AM947" t="s">
        <v>74</v>
      </c>
      <c r="AN947" t="s">
        <v>74</v>
      </c>
      <c r="AO947" t="s">
        <v>111</v>
      </c>
      <c r="AP947" t="s">
        <v>112</v>
      </c>
      <c r="AQ947" t="s">
        <v>74</v>
      </c>
      <c r="AR947" t="s">
        <v>74</v>
      </c>
      <c r="AS947" t="s">
        <v>74</v>
      </c>
      <c r="AT947" t="s">
        <v>1797</v>
      </c>
      <c r="AU947">
        <v>2004</v>
      </c>
      <c r="AV947">
        <v>271</v>
      </c>
      <c r="AW947">
        <v>1546</v>
      </c>
      <c r="AX947" t="s">
        <v>74</v>
      </c>
      <c r="AY947" t="s">
        <v>74</v>
      </c>
      <c r="AZ947" t="s">
        <v>74</v>
      </c>
      <c r="BA947" t="s">
        <v>74</v>
      </c>
      <c r="BB947">
        <v>1345</v>
      </c>
      <c r="BC947">
        <v>1353</v>
      </c>
      <c r="BD947" t="s">
        <v>74</v>
      </c>
      <c r="BE947" t="s">
        <v>1798</v>
      </c>
      <c r="BF947" t="str">
        <f>HYPERLINK("http://dx.doi.org/10.1098/rspb.2004.2737","http://dx.doi.org/10.1098/rspb.2004.2737")</f>
        <v>http://dx.doi.org/10.1098/rspb.2004.2737</v>
      </c>
      <c r="BG947" t="s">
        <v>74</v>
      </c>
      <c r="BH947" t="s">
        <v>74</v>
      </c>
      <c r="BI947" t="s">
        <v>74</v>
      </c>
      <c r="BJ947" t="s">
        <v>74</v>
      </c>
      <c r="BK947" t="s">
        <v>74</v>
      </c>
      <c r="BL947" t="s">
        <v>74</v>
      </c>
      <c r="BM947" t="s">
        <v>74</v>
      </c>
      <c r="BN947">
        <v>15306332</v>
      </c>
      <c r="BO947" t="s">
        <v>74</v>
      </c>
      <c r="BP947" t="s">
        <v>74</v>
      </c>
      <c r="BQ947" t="s">
        <v>74</v>
      </c>
      <c r="BR947" t="s">
        <v>74</v>
      </c>
      <c r="BS947" t="s">
        <v>1799</v>
      </c>
      <c r="BT947" t="str">
        <f>HYPERLINK("https%3A%2F%2Fwww.webofscience.com%2Fwos%2Fwoscc%2Ffull-record%2FWOS:000222576500004","View Full Record in Web of Science")</f>
        <v>View Full Record in Web of Science</v>
      </c>
    </row>
    <row r="948" spans="1:72" x14ac:dyDescent="0.4">
      <c r="A948" t="s">
        <v>72</v>
      </c>
      <c r="B948" t="s">
        <v>698</v>
      </c>
      <c r="C948" t="s">
        <v>74</v>
      </c>
      <c r="D948" t="s">
        <v>74</v>
      </c>
      <c r="E948" t="s">
        <v>74</v>
      </c>
      <c r="F948" t="s">
        <v>699</v>
      </c>
      <c r="G948" t="s">
        <v>74</v>
      </c>
      <c r="H948" t="s">
        <v>74</v>
      </c>
      <c r="I948" t="s">
        <v>700</v>
      </c>
      <c r="J948" t="s">
        <v>701</v>
      </c>
      <c r="K948" t="s">
        <v>74</v>
      </c>
      <c r="L948" t="s">
        <v>74</v>
      </c>
      <c r="M948" t="s">
        <v>74</v>
      </c>
      <c r="N948" t="s">
        <v>74</v>
      </c>
      <c r="O948" t="s">
        <v>74</v>
      </c>
      <c r="P948" t="s">
        <v>74</v>
      </c>
      <c r="Q948" t="s">
        <v>74</v>
      </c>
      <c r="R948" t="s">
        <v>74</v>
      </c>
      <c r="S948" t="s">
        <v>74</v>
      </c>
      <c r="T948" t="s">
        <v>74</v>
      </c>
      <c r="U948" t="s">
        <v>74</v>
      </c>
      <c r="V948" s="3" t="s">
        <v>702</v>
      </c>
      <c r="W948" t="s">
        <v>74</v>
      </c>
      <c r="X948" t="s">
        <v>74</v>
      </c>
      <c r="Y948" t="s">
        <v>74</v>
      </c>
      <c r="Z948" t="s">
        <v>74</v>
      </c>
      <c r="AA948" t="s">
        <v>74</v>
      </c>
      <c r="AB948" t="s">
        <v>74</v>
      </c>
      <c r="AC948" t="s">
        <v>74</v>
      </c>
      <c r="AD948" t="s">
        <v>74</v>
      </c>
      <c r="AE948" t="s">
        <v>74</v>
      </c>
      <c r="AF948" t="s">
        <v>74</v>
      </c>
      <c r="AG948" t="s">
        <v>74</v>
      </c>
      <c r="AH948" t="s">
        <v>74</v>
      </c>
      <c r="AI948" t="s">
        <v>74</v>
      </c>
      <c r="AJ948" t="s">
        <v>74</v>
      </c>
      <c r="AK948" t="s">
        <v>74</v>
      </c>
      <c r="AL948" t="s">
        <v>74</v>
      </c>
      <c r="AM948" t="s">
        <v>74</v>
      </c>
      <c r="AN948" t="s">
        <v>74</v>
      </c>
      <c r="AO948" t="s">
        <v>703</v>
      </c>
      <c r="AP948" t="s">
        <v>704</v>
      </c>
      <c r="AQ948" t="s">
        <v>74</v>
      </c>
      <c r="AR948" t="s">
        <v>74</v>
      </c>
      <c r="AS948" t="s">
        <v>74</v>
      </c>
      <c r="AT948" t="s">
        <v>74</v>
      </c>
      <c r="AU948">
        <v>2009</v>
      </c>
      <c r="AV948">
        <v>55</v>
      </c>
      <c r="AW948">
        <v>4</v>
      </c>
      <c r="AX948" t="s">
        <v>74</v>
      </c>
      <c r="AY948" t="s">
        <v>74</v>
      </c>
      <c r="AZ948" t="s">
        <v>74</v>
      </c>
      <c r="BA948" t="s">
        <v>74</v>
      </c>
      <c r="BB948">
        <v>359</v>
      </c>
      <c r="BC948">
        <v>367</v>
      </c>
      <c r="BD948" t="s">
        <v>74</v>
      </c>
      <c r="BE948" t="s">
        <v>705</v>
      </c>
      <c r="BF948" t="str">
        <f>HYPERLINK("http://dx.doi.org/10.1560/IJEE.55.4.359","http://dx.doi.org/10.1560/IJEE.55.4.359")</f>
        <v>http://dx.doi.org/10.1560/IJEE.55.4.359</v>
      </c>
      <c r="BG948" t="s">
        <v>74</v>
      </c>
      <c r="BH948" t="s">
        <v>74</v>
      </c>
      <c r="BI948" t="s">
        <v>74</v>
      </c>
      <c r="BJ948" t="s">
        <v>74</v>
      </c>
      <c r="BK948" t="s">
        <v>74</v>
      </c>
      <c r="BL948" t="s">
        <v>74</v>
      </c>
      <c r="BM948" t="s">
        <v>74</v>
      </c>
      <c r="BN948" t="s">
        <v>74</v>
      </c>
      <c r="BO948" t="s">
        <v>74</v>
      </c>
      <c r="BP948" t="s">
        <v>74</v>
      </c>
      <c r="BQ948" t="s">
        <v>74</v>
      </c>
      <c r="BR948" t="s">
        <v>74</v>
      </c>
      <c r="BS948" t="s">
        <v>706</v>
      </c>
      <c r="BT948" t="str">
        <f>HYPERLINK("https%3A%2F%2Fwww.webofscience.com%2Fwos%2Fwoscc%2Ffull-record%2FWOS:000281916500005","View Full Record in Web of Science")</f>
        <v>View Full Record in Web of Science</v>
      </c>
    </row>
    <row r="949" spans="1:72" x14ac:dyDescent="0.4">
      <c r="A949" t="s">
        <v>72</v>
      </c>
      <c r="B949" t="s">
        <v>8465</v>
      </c>
      <c r="C949" t="s">
        <v>74</v>
      </c>
      <c r="D949" t="s">
        <v>74</v>
      </c>
      <c r="E949" t="s">
        <v>74</v>
      </c>
      <c r="F949" t="s">
        <v>8466</v>
      </c>
      <c r="G949" t="s">
        <v>74</v>
      </c>
      <c r="H949" t="s">
        <v>74</v>
      </c>
      <c r="I949" t="s">
        <v>8467</v>
      </c>
      <c r="J949" t="s">
        <v>8468</v>
      </c>
      <c r="K949" t="s">
        <v>74</v>
      </c>
      <c r="L949" t="s">
        <v>74</v>
      </c>
      <c r="M949" t="s">
        <v>74</v>
      </c>
      <c r="N949" t="s">
        <v>74</v>
      </c>
      <c r="O949" t="s">
        <v>74</v>
      </c>
      <c r="P949" t="s">
        <v>74</v>
      </c>
      <c r="Q949" t="s">
        <v>74</v>
      </c>
      <c r="R949" t="s">
        <v>74</v>
      </c>
      <c r="S949" t="s">
        <v>74</v>
      </c>
      <c r="T949" t="s">
        <v>74</v>
      </c>
      <c r="U949" t="s">
        <v>74</v>
      </c>
      <c r="V949" s="3" t="s">
        <v>8469</v>
      </c>
      <c r="W949" t="s">
        <v>74</v>
      </c>
      <c r="X949" t="s">
        <v>74</v>
      </c>
      <c r="Y949" t="s">
        <v>74</v>
      </c>
      <c r="Z949" t="s">
        <v>74</v>
      </c>
      <c r="AA949" t="s">
        <v>74</v>
      </c>
      <c r="AB949" t="s">
        <v>74</v>
      </c>
      <c r="AC949" t="s">
        <v>74</v>
      </c>
      <c r="AD949" t="s">
        <v>74</v>
      </c>
      <c r="AE949" t="s">
        <v>74</v>
      </c>
      <c r="AF949" t="s">
        <v>74</v>
      </c>
      <c r="AG949" t="s">
        <v>74</v>
      </c>
      <c r="AH949" t="s">
        <v>74</v>
      </c>
      <c r="AI949" t="s">
        <v>74</v>
      </c>
      <c r="AJ949" t="s">
        <v>74</v>
      </c>
      <c r="AK949" t="s">
        <v>74</v>
      </c>
      <c r="AL949" t="s">
        <v>74</v>
      </c>
      <c r="AM949" t="s">
        <v>74</v>
      </c>
      <c r="AN949" t="s">
        <v>74</v>
      </c>
      <c r="AO949" t="s">
        <v>8470</v>
      </c>
      <c r="AP949" t="s">
        <v>74</v>
      </c>
      <c r="AQ949" t="s">
        <v>74</v>
      </c>
      <c r="AR949" t="s">
        <v>74</v>
      </c>
      <c r="AS949" t="s">
        <v>74</v>
      </c>
      <c r="AT949" t="s">
        <v>352</v>
      </c>
      <c r="AU949">
        <v>2016</v>
      </c>
      <c r="AV949">
        <v>23</v>
      </c>
      <c r="AW949" t="s">
        <v>74</v>
      </c>
      <c r="AX949" t="s">
        <v>74</v>
      </c>
      <c r="AY949" t="s">
        <v>74</v>
      </c>
      <c r="AZ949" t="s">
        <v>74</v>
      </c>
      <c r="BA949" t="s">
        <v>74</v>
      </c>
      <c r="BB949">
        <v>41</v>
      </c>
      <c r="BC949">
        <v>59</v>
      </c>
      <c r="BD949" t="s">
        <v>74</v>
      </c>
      <c r="BE949" t="s">
        <v>74</v>
      </c>
      <c r="BF949" t="s">
        <v>74</v>
      </c>
      <c r="BG949" t="s">
        <v>74</v>
      </c>
      <c r="BH949" t="s">
        <v>74</v>
      </c>
      <c r="BI949" t="s">
        <v>74</v>
      </c>
      <c r="BJ949" t="s">
        <v>74</v>
      </c>
      <c r="BK949" t="s">
        <v>74</v>
      </c>
      <c r="BL949" t="s">
        <v>74</v>
      </c>
      <c r="BM949" t="s">
        <v>74</v>
      </c>
      <c r="BN949" t="s">
        <v>74</v>
      </c>
      <c r="BO949" t="s">
        <v>74</v>
      </c>
      <c r="BP949" t="s">
        <v>74</v>
      </c>
      <c r="BQ949" t="s">
        <v>74</v>
      </c>
      <c r="BR949" t="s">
        <v>74</v>
      </c>
      <c r="BS949" t="s">
        <v>8471</v>
      </c>
      <c r="BT949" t="str">
        <f>HYPERLINK("https%3A%2F%2Fwww.webofscience.com%2Fwos%2Fwoscc%2Ffull-record%2FWOS:000383924400005","View Full Record in Web of Science")</f>
        <v>View Full Record in Web of Science</v>
      </c>
    </row>
    <row r="950" spans="1:72" x14ac:dyDescent="0.4">
      <c r="A950" t="s">
        <v>72</v>
      </c>
      <c r="B950" t="s">
        <v>5978</v>
      </c>
      <c r="C950" t="s">
        <v>74</v>
      </c>
      <c r="D950" t="s">
        <v>74</v>
      </c>
      <c r="E950" t="s">
        <v>74</v>
      </c>
      <c r="F950" t="s">
        <v>5979</v>
      </c>
      <c r="G950" t="s">
        <v>74</v>
      </c>
      <c r="H950" t="s">
        <v>74</v>
      </c>
      <c r="I950" t="s">
        <v>5980</v>
      </c>
      <c r="J950" t="s">
        <v>108</v>
      </c>
      <c r="K950" t="s">
        <v>74</v>
      </c>
      <c r="L950" t="s">
        <v>74</v>
      </c>
      <c r="M950" t="s">
        <v>74</v>
      </c>
      <c r="N950" t="s">
        <v>74</v>
      </c>
      <c r="O950" t="s">
        <v>74</v>
      </c>
      <c r="P950" t="s">
        <v>74</v>
      </c>
      <c r="Q950" t="s">
        <v>74</v>
      </c>
      <c r="R950" t="s">
        <v>74</v>
      </c>
      <c r="S950" t="s">
        <v>74</v>
      </c>
      <c r="T950" t="s">
        <v>74</v>
      </c>
      <c r="U950" t="s">
        <v>74</v>
      </c>
      <c r="V950" s="3" t="s">
        <v>5981</v>
      </c>
      <c r="W950" t="s">
        <v>74</v>
      </c>
      <c r="X950" t="s">
        <v>74</v>
      </c>
      <c r="Y950" t="s">
        <v>74</v>
      </c>
      <c r="Z950" t="s">
        <v>74</v>
      </c>
      <c r="AA950" t="s">
        <v>5982</v>
      </c>
      <c r="AB950" t="s">
        <v>5983</v>
      </c>
      <c r="AC950" t="s">
        <v>74</v>
      </c>
      <c r="AD950" t="s">
        <v>74</v>
      </c>
      <c r="AE950" t="s">
        <v>74</v>
      </c>
      <c r="AF950" t="s">
        <v>74</v>
      </c>
      <c r="AG950" t="s">
        <v>74</v>
      </c>
      <c r="AH950" t="s">
        <v>74</v>
      </c>
      <c r="AI950" t="s">
        <v>74</v>
      </c>
      <c r="AJ950" t="s">
        <v>74</v>
      </c>
      <c r="AK950" t="s">
        <v>74</v>
      </c>
      <c r="AL950" t="s">
        <v>74</v>
      </c>
      <c r="AM950" t="s">
        <v>74</v>
      </c>
      <c r="AN950" t="s">
        <v>74</v>
      </c>
      <c r="AO950" t="s">
        <v>111</v>
      </c>
      <c r="AP950" t="s">
        <v>112</v>
      </c>
      <c r="AQ950" t="s">
        <v>74</v>
      </c>
      <c r="AR950" t="s">
        <v>74</v>
      </c>
      <c r="AS950" t="s">
        <v>74</v>
      </c>
      <c r="AT950" t="s">
        <v>5984</v>
      </c>
      <c r="AU950">
        <v>2016</v>
      </c>
      <c r="AV950">
        <v>283</v>
      </c>
      <c r="AW950">
        <v>1830</v>
      </c>
      <c r="AX950" t="s">
        <v>74</v>
      </c>
      <c r="AY950" t="s">
        <v>74</v>
      </c>
      <c r="AZ950" t="s">
        <v>74</v>
      </c>
      <c r="BA950" t="s">
        <v>74</v>
      </c>
      <c r="BB950" t="s">
        <v>74</v>
      </c>
      <c r="BC950" t="s">
        <v>74</v>
      </c>
      <c r="BD950">
        <v>20160172</v>
      </c>
      <c r="BE950" t="s">
        <v>5985</v>
      </c>
      <c r="BF950" t="str">
        <f>HYPERLINK("http://dx.doi.org/10.1098/rspb.2016.0172","http://dx.doi.org/10.1098/rspb.2016.0172")</f>
        <v>http://dx.doi.org/10.1098/rspb.2016.0172</v>
      </c>
      <c r="BG950" t="s">
        <v>74</v>
      </c>
      <c r="BH950" t="s">
        <v>74</v>
      </c>
      <c r="BI950" t="s">
        <v>74</v>
      </c>
      <c r="BJ950" t="s">
        <v>74</v>
      </c>
      <c r="BK950" t="s">
        <v>74</v>
      </c>
      <c r="BL950" t="s">
        <v>74</v>
      </c>
      <c r="BM950" t="s">
        <v>74</v>
      </c>
      <c r="BN950">
        <v>27147097</v>
      </c>
      <c r="BO950" t="s">
        <v>74</v>
      </c>
      <c r="BP950" t="s">
        <v>74</v>
      </c>
      <c r="BQ950" t="s">
        <v>74</v>
      </c>
      <c r="BR950" t="s">
        <v>74</v>
      </c>
      <c r="BS950" t="s">
        <v>5986</v>
      </c>
      <c r="BT950" t="str">
        <f>HYPERLINK("https%3A%2F%2Fwww.webofscience.com%2Fwos%2Fwoscc%2Ffull-record%2FWOS:000376158800013","View Full Record in Web of Science")</f>
        <v>View Full Record in Web of Science</v>
      </c>
    </row>
    <row r="951" spans="1:72" x14ac:dyDescent="0.4">
      <c r="A951" t="s">
        <v>72</v>
      </c>
      <c r="B951" t="s">
        <v>4719</v>
      </c>
      <c r="C951" t="s">
        <v>74</v>
      </c>
      <c r="D951" t="s">
        <v>74</v>
      </c>
      <c r="E951" t="s">
        <v>74</v>
      </c>
      <c r="F951" t="s">
        <v>4719</v>
      </c>
      <c r="G951" t="s">
        <v>74</v>
      </c>
      <c r="H951" t="s">
        <v>74</v>
      </c>
      <c r="I951" t="s">
        <v>4720</v>
      </c>
      <c r="J951" t="s">
        <v>129</v>
      </c>
      <c r="K951" t="s">
        <v>74</v>
      </c>
      <c r="L951" t="s">
        <v>74</v>
      </c>
      <c r="M951" t="s">
        <v>74</v>
      </c>
      <c r="N951" t="s">
        <v>74</v>
      </c>
      <c r="O951" t="s">
        <v>74</v>
      </c>
      <c r="P951" t="s">
        <v>74</v>
      </c>
      <c r="Q951" t="s">
        <v>74</v>
      </c>
      <c r="R951" t="s">
        <v>74</v>
      </c>
      <c r="S951" t="s">
        <v>74</v>
      </c>
      <c r="T951" t="s">
        <v>74</v>
      </c>
      <c r="U951" t="s">
        <v>74</v>
      </c>
      <c r="V951" s="3" t="s">
        <v>4721</v>
      </c>
      <c r="W951" t="s">
        <v>74</v>
      </c>
      <c r="X951" t="s">
        <v>74</v>
      </c>
      <c r="Y951" t="s">
        <v>74</v>
      </c>
      <c r="Z951" t="s">
        <v>74</v>
      </c>
      <c r="AA951" t="s">
        <v>4722</v>
      </c>
      <c r="AB951" t="s">
        <v>4723</v>
      </c>
      <c r="AC951" t="s">
        <v>74</v>
      </c>
      <c r="AD951" t="s">
        <v>74</v>
      </c>
      <c r="AE951" t="s">
        <v>74</v>
      </c>
      <c r="AF951" t="s">
        <v>74</v>
      </c>
      <c r="AG951" t="s">
        <v>74</v>
      </c>
      <c r="AH951" t="s">
        <v>74</v>
      </c>
      <c r="AI951" t="s">
        <v>74</v>
      </c>
      <c r="AJ951" t="s">
        <v>74</v>
      </c>
      <c r="AK951" t="s">
        <v>74</v>
      </c>
      <c r="AL951" t="s">
        <v>74</v>
      </c>
      <c r="AM951" t="s">
        <v>74</v>
      </c>
      <c r="AN951" t="s">
        <v>74</v>
      </c>
      <c r="AO951" t="s">
        <v>132</v>
      </c>
      <c r="AP951" t="s">
        <v>133</v>
      </c>
      <c r="AQ951" t="s">
        <v>74</v>
      </c>
      <c r="AR951" t="s">
        <v>74</v>
      </c>
      <c r="AS951" t="s">
        <v>74</v>
      </c>
      <c r="AT951" t="s">
        <v>123</v>
      </c>
      <c r="AU951">
        <v>2005</v>
      </c>
      <c r="AV951">
        <v>57</v>
      </c>
      <c r="AW951">
        <v>5</v>
      </c>
      <c r="AX951" t="s">
        <v>74</v>
      </c>
      <c r="AY951" t="s">
        <v>74</v>
      </c>
      <c r="AZ951" t="s">
        <v>74</v>
      </c>
      <c r="BA951" t="s">
        <v>74</v>
      </c>
      <c r="BB951">
        <v>465</v>
      </c>
      <c r="BC951">
        <v>469</v>
      </c>
      <c r="BD951" t="s">
        <v>74</v>
      </c>
      <c r="BE951" t="s">
        <v>4724</v>
      </c>
      <c r="BF951" t="str">
        <f>HYPERLINK("http://dx.doi.org/10.1007/s00265-004-0873-7","http://dx.doi.org/10.1007/s00265-004-0873-7")</f>
        <v>http://dx.doi.org/10.1007/s00265-004-0873-7</v>
      </c>
      <c r="BG951" t="s">
        <v>74</v>
      </c>
      <c r="BH951" t="s">
        <v>74</v>
      </c>
      <c r="BI951" t="s">
        <v>74</v>
      </c>
      <c r="BJ951" t="s">
        <v>74</v>
      </c>
      <c r="BK951" t="s">
        <v>74</v>
      </c>
      <c r="BL951" t="s">
        <v>74</v>
      </c>
      <c r="BM951" t="s">
        <v>74</v>
      </c>
      <c r="BN951" t="s">
        <v>74</v>
      </c>
      <c r="BO951" t="s">
        <v>74</v>
      </c>
      <c r="BP951" t="s">
        <v>74</v>
      </c>
      <c r="BQ951" t="s">
        <v>74</v>
      </c>
      <c r="BR951" t="s">
        <v>74</v>
      </c>
      <c r="BS951" t="s">
        <v>4725</v>
      </c>
      <c r="BT951" t="str">
        <f>HYPERLINK("https%3A%2F%2Fwww.webofscience.com%2Fwos%2Fwoscc%2Ffull-record%2FWOS:000227366700008","View Full Record in Web of Science")</f>
        <v>View Full Record in Web of Science</v>
      </c>
    </row>
    <row r="952" spans="1:72" x14ac:dyDescent="0.4">
      <c r="A952" t="s">
        <v>72</v>
      </c>
      <c r="B952" t="s">
        <v>5071</v>
      </c>
      <c r="C952" t="s">
        <v>74</v>
      </c>
      <c r="D952" t="s">
        <v>74</v>
      </c>
      <c r="E952" t="s">
        <v>74</v>
      </c>
      <c r="F952" t="s">
        <v>5071</v>
      </c>
      <c r="G952" t="s">
        <v>74</v>
      </c>
      <c r="H952" t="s">
        <v>74</v>
      </c>
      <c r="I952" t="s">
        <v>5072</v>
      </c>
      <c r="J952" t="s">
        <v>610</v>
      </c>
      <c r="K952" t="s">
        <v>74</v>
      </c>
      <c r="L952" t="s">
        <v>74</v>
      </c>
      <c r="M952" t="s">
        <v>74</v>
      </c>
      <c r="N952" t="s">
        <v>74</v>
      </c>
      <c r="O952" t="s">
        <v>5073</v>
      </c>
      <c r="P952" t="s">
        <v>5074</v>
      </c>
      <c r="Q952" t="s">
        <v>5075</v>
      </c>
      <c r="R952" t="s">
        <v>5076</v>
      </c>
      <c r="S952" t="s">
        <v>74</v>
      </c>
      <c r="T952" t="s">
        <v>74</v>
      </c>
      <c r="U952" t="s">
        <v>74</v>
      </c>
      <c r="V952" s="3" t="s">
        <v>5077</v>
      </c>
      <c r="W952" t="s">
        <v>74</v>
      </c>
      <c r="X952" t="s">
        <v>74</v>
      </c>
      <c r="Y952" t="s">
        <v>74</v>
      </c>
      <c r="Z952" t="s">
        <v>74</v>
      </c>
      <c r="AA952" t="s">
        <v>74</v>
      </c>
      <c r="AB952" t="s">
        <v>74</v>
      </c>
      <c r="AC952" t="s">
        <v>74</v>
      </c>
      <c r="AD952" t="s">
        <v>74</v>
      </c>
      <c r="AE952" t="s">
        <v>74</v>
      </c>
      <c r="AF952" t="s">
        <v>74</v>
      </c>
      <c r="AG952" t="s">
        <v>74</v>
      </c>
      <c r="AH952" t="s">
        <v>74</v>
      </c>
      <c r="AI952" t="s">
        <v>74</v>
      </c>
      <c r="AJ952" t="s">
        <v>74</v>
      </c>
      <c r="AK952" t="s">
        <v>74</v>
      </c>
      <c r="AL952" t="s">
        <v>74</v>
      </c>
      <c r="AM952" t="s">
        <v>74</v>
      </c>
      <c r="AN952" t="s">
        <v>74</v>
      </c>
      <c r="AO952" t="s">
        <v>614</v>
      </c>
      <c r="AP952" t="s">
        <v>615</v>
      </c>
      <c r="AQ952" t="s">
        <v>74</v>
      </c>
      <c r="AR952" t="s">
        <v>74</v>
      </c>
      <c r="AS952" t="s">
        <v>74</v>
      </c>
      <c r="AT952" t="s">
        <v>255</v>
      </c>
      <c r="AU952">
        <v>2005</v>
      </c>
      <c r="AV952">
        <v>111</v>
      </c>
      <c r="AW952">
        <v>1</v>
      </c>
      <c r="AX952" t="s">
        <v>74</v>
      </c>
      <c r="AY952" t="s">
        <v>74</v>
      </c>
      <c r="AZ952" t="s">
        <v>74</v>
      </c>
      <c r="BA952" t="s">
        <v>74</v>
      </c>
      <c r="BB952">
        <v>25</v>
      </c>
      <c r="BC952">
        <v>50</v>
      </c>
      <c r="BD952" t="s">
        <v>74</v>
      </c>
      <c r="BE952" t="s">
        <v>5078</v>
      </c>
      <c r="BF952" t="str">
        <f>HYPERLINK("http://dx.doi.org/10.1111/j.1439-0310.2004.01054.x","http://dx.doi.org/10.1111/j.1439-0310.2004.01054.x")</f>
        <v>http://dx.doi.org/10.1111/j.1439-0310.2004.01054.x</v>
      </c>
      <c r="BG952" t="s">
        <v>74</v>
      </c>
      <c r="BH952" t="s">
        <v>74</v>
      </c>
      <c r="BI952" t="s">
        <v>74</v>
      </c>
      <c r="BJ952" t="s">
        <v>74</v>
      </c>
      <c r="BK952" t="s">
        <v>74</v>
      </c>
      <c r="BL952" t="s">
        <v>74</v>
      </c>
      <c r="BM952" t="s">
        <v>74</v>
      </c>
      <c r="BN952" t="s">
        <v>74</v>
      </c>
      <c r="BO952" t="s">
        <v>74</v>
      </c>
      <c r="BP952" t="s">
        <v>74</v>
      </c>
      <c r="BQ952" t="s">
        <v>74</v>
      </c>
      <c r="BR952" t="s">
        <v>74</v>
      </c>
      <c r="BS952" t="s">
        <v>5079</v>
      </c>
      <c r="BT952" t="str">
        <f>HYPERLINK("https%3A%2F%2Fwww.webofscience.com%2Fwos%2Fwoscc%2Ffull-record%2FWOS:000226377200002","View Full Record in Web of Science")</f>
        <v>View Full Record in Web of Science</v>
      </c>
    </row>
    <row r="953" spans="1:72" x14ac:dyDescent="0.4">
      <c r="A953" t="s">
        <v>72</v>
      </c>
      <c r="B953" t="s">
        <v>2765</v>
      </c>
      <c r="C953" t="s">
        <v>74</v>
      </c>
      <c r="D953" t="s">
        <v>74</v>
      </c>
      <c r="E953" t="s">
        <v>74</v>
      </c>
      <c r="F953" t="s">
        <v>2766</v>
      </c>
      <c r="G953" t="s">
        <v>74</v>
      </c>
      <c r="H953" t="s">
        <v>74</v>
      </c>
      <c r="I953" t="s">
        <v>2767</v>
      </c>
      <c r="J953" t="s">
        <v>691</v>
      </c>
      <c r="K953" t="s">
        <v>74</v>
      </c>
      <c r="L953" t="s">
        <v>74</v>
      </c>
      <c r="M953" t="s">
        <v>74</v>
      </c>
      <c r="N953" t="s">
        <v>74</v>
      </c>
      <c r="O953" t="s">
        <v>74</v>
      </c>
      <c r="P953" t="s">
        <v>74</v>
      </c>
      <c r="Q953" t="s">
        <v>74</v>
      </c>
      <c r="R953" t="s">
        <v>74</v>
      </c>
      <c r="S953" t="s">
        <v>74</v>
      </c>
      <c r="T953" t="s">
        <v>74</v>
      </c>
      <c r="U953" t="s">
        <v>74</v>
      </c>
      <c r="V953" s="3" t="s">
        <v>2768</v>
      </c>
      <c r="W953" t="s">
        <v>74</v>
      </c>
      <c r="X953" t="s">
        <v>74</v>
      </c>
      <c r="Y953" t="s">
        <v>74</v>
      </c>
      <c r="Z953" t="s">
        <v>74</v>
      </c>
      <c r="AA953" t="s">
        <v>74</v>
      </c>
      <c r="AB953" t="s">
        <v>74</v>
      </c>
      <c r="AC953" t="s">
        <v>74</v>
      </c>
      <c r="AD953" t="s">
        <v>74</v>
      </c>
      <c r="AE953" t="s">
        <v>74</v>
      </c>
      <c r="AF953" t="s">
        <v>74</v>
      </c>
      <c r="AG953" t="s">
        <v>74</v>
      </c>
      <c r="AH953" t="s">
        <v>74</v>
      </c>
      <c r="AI953" t="s">
        <v>74</v>
      </c>
      <c r="AJ953" t="s">
        <v>74</v>
      </c>
      <c r="AK953" t="s">
        <v>74</v>
      </c>
      <c r="AL953" t="s">
        <v>74</v>
      </c>
      <c r="AM953" t="s">
        <v>74</v>
      </c>
      <c r="AN953" t="s">
        <v>74</v>
      </c>
      <c r="AO953" t="s">
        <v>695</v>
      </c>
      <c r="AP953" t="s">
        <v>74</v>
      </c>
      <c r="AQ953" t="s">
        <v>74</v>
      </c>
      <c r="AR953" t="s">
        <v>74</v>
      </c>
      <c r="AS953" t="s">
        <v>74</v>
      </c>
      <c r="AT953" t="s">
        <v>1146</v>
      </c>
      <c r="AU953">
        <v>2015</v>
      </c>
      <c r="AV953">
        <v>147</v>
      </c>
      <c r="AW953" t="s">
        <v>74</v>
      </c>
      <c r="AX953" t="s">
        <v>74</v>
      </c>
      <c r="AY953" t="s">
        <v>74</v>
      </c>
      <c r="AZ953" t="s">
        <v>74</v>
      </c>
      <c r="BA953" t="s">
        <v>74</v>
      </c>
      <c r="BB953">
        <v>245</v>
      </c>
      <c r="BC953">
        <v>254</v>
      </c>
      <c r="BD953" t="s">
        <v>74</v>
      </c>
      <c r="BE953" t="s">
        <v>2769</v>
      </c>
      <c r="BF953" t="str">
        <f>HYPERLINK("http://dx.doi.org/10.1016/j.physbeh.2015.04.051","http://dx.doi.org/10.1016/j.physbeh.2015.04.051")</f>
        <v>http://dx.doi.org/10.1016/j.physbeh.2015.04.051</v>
      </c>
      <c r="BG953" t="s">
        <v>74</v>
      </c>
      <c r="BH953" t="s">
        <v>74</v>
      </c>
      <c r="BI953" t="s">
        <v>74</v>
      </c>
      <c r="BJ953" t="s">
        <v>74</v>
      </c>
      <c r="BK953" t="s">
        <v>74</v>
      </c>
      <c r="BL953" t="s">
        <v>74</v>
      </c>
      <c r="BM953" t="s">
        <v>74</v>
      </c>
      <c r="BN953">
        <v>25936819</v>
      </c>
      <c r="BO953" t="s">
        <v>74</v>
      </c>
      <c r="BP953" t="s">
        <v>74</v>
      </c>
      <c r="BQ953" t="s">
        <v>74</v>
      </c>
      <c r="BR953" t="s">
        <v>74</v>
      </c>
      <c r="BS953" t="s">
        <v>2770</v>
      </c>
      <c r="BT953" t="str">
        <f>HYPERLINK("https%3A%2F%2Fwww.webofscience.com%2Fwos%2Fwoscc%2Ffull-record%2FWOS:000356737100034","View Full Record in Web of Science")</f>
        <v>View Full Record in Web of Science</v>
      </c>
    </row>
    <row r="954" spans="1:72" x14ac:dyDescent="0.4">
      <c r="A954" t="s">
        <v>72</v>
      </c>
      <c r="B954" t="s">
        <v>7075</v>
      </c>
      <c r="C954" t="s">
        <v>74</v>
      </c>
      <c r="D954" t="s">
        <v>74</v>
      </c>
      <c r="E954" t="s">
        <v>74</v>
      </c>
      <c r="F954" t="s">
        <v>7075</v>
      </c>
      <c r="G954" t="s">
        <v>74</v>
      </c>
      <c r="H954" t="s">
        <v>74</v>
      </c>
      <c r="I954" t="s">
        <v>7076</v>
      </c>
      <c r="J954" t="s">
        <v>5577</v>
      </c>
      <c r="K954" t="s">
        <v>74</v>
      </c>
      <c r="L954" t="s">
        <v>74</v>
      </c>
      <c r="M954" t="s">
        <v>74</v>
      </c>
      <c r="N954" t="s">
        <v>74</v>
      </c>
      <c r="O954" t="s">
        <v>74</v>
      </c>
      <c r="P954" t="s">
        <v>74</v>
      </c>
      <c r="Q954" t="s">
        <v>74</v>
      </c>
      <c r="R954" t="s">
        <v>74</v>
      </c>
      <c r="S954" t="s">
        <v>74</v>
      </c>
      <c r="T954" t="s">
        <v>74</v>
      </c>
      <c r="U954" t="s">
        <v>74</v>
      </c>
      <c r="V954" s="3" t="s">
        <v>7077</v>
      </c>
      <c r="W954" t="s">
        <v>74</v>
      </c>
      <c r="X954" t="s">
        <v>74</v>
      </c>
      <c r="Y954" t="s">
        <v>74</v>
      </c>
      <c r="Z954" t="s">
        <v>74</v>
      </c>
      <c r="AA954" t="s">
        <v>74</v>
      </c>
      <c r="AB954" t="s">
        <v>74</v>
      </c>
      <c r="AC954" t="s">
        <v>74</v>
      </c>
      <c r="AD954" t="s">
        <v>74</v>
      </c>
      <c r="AE954" t="s">
        <v>74</v>
      </c>
      <c r="AF954" t="s">
        <v>74</v>
      </c>
      <c r="AG954" t="s">
        <v>74</v>
      </c>
      <c r="AH954" t="s">
        <v>74</v>
      </c>
      <c r="AI954" t="s">
        <v>74</v>
      </c>
      <c r="AJ954" t="s">
        <v>74</v>
      </c>
      <c r="AK954" t="s">
        <v>74</v>
      </c>
      <c r="AL954" t="s">
        <v>74</v>
      </c>
      <c r="AM954" t="s">
        <v>74</v>
      </c>
      <c r="AN954" t="s">
        <v>74</v>
      </c>
      <c r="AO954" t="s">
        <v>5579</v>
      </c>
      <c r="AP954" t="s">
        <v>74</v>
      </c>
      <c r="AQ954" t="s">
        <v>74</v>
      </c>
      <c r="AR954" t="s">
        <v>74</v>
      </c>
      <c r="AS954" t="s">
        <v>74</v>
      </c>
      <c r="AT954" t="s">
        <v>204</v>
      </c>
      <c r="AU954">
        <v>1998</v>
      </c>
      <c r="AV954">
        <v>77</v>
      </c>
      <c r="AW954">
        <v>7</v>
      </c>
      <c r="AX954" t="s">
        <v>74</v>
      </c>
      <c r="AY954" t="s">
        <v>74</v>
      </c>
      <c r="AZ954" t="s">
        <v>74</v>
      </c>
      <c r="BA954" t="s">
        <v>74</v>
      </c>
      <c r="BB954">
        <v>809</v>
      </c>
      <c r="BC954">
        <v>817</v>
      </c>
      <c r="BD954" t="s">
        <v>74</v>
      </c>
      <c r="BE954" t="s">
        <v>74</v>
      </c>
      <c r="BF954" t="s">
        <v>74</v>
      </c>
      <c r="BG954" t="s">
        <v>74</v>
      </c>
      <c r="BH954" t="s">
        <v>74</v>
      </c>
      <c r="BI954" t="s">
        <v>74</v>
      </c>
      <c r="BJ954" t="s">
        <v>74</v>
      </c>
      <c r="BK954" t="s">
        <v>74</v>
      </c>
      <c r="BL954" t="s">
        <v>74</v>
      </c>
      <c r="BM954" t="s">
        <v>74</v>
      </c>
      <c r="BN954" t="s">
        <v>74</v>
      </c>
      <c r="BO954" t="s">
        <v>74</v>
      </c>
      <c r="BP954" t="s">
        <v>74</v>
      </c>
      <c r="BQ954" t="s">
        <v>74</v>
      </c>
      <c r="BR954" t="s">
        <v>74</v>
      </c>
      <c r="BS954" t="s">
        <v>7078</v>
      </c>
      <c r="BT954" t="str">
        <f>HYPERLINK("https%3A%2F%2Fwww.webofscience.com%2Fwos%2Fwoscc%2Ffull-record%2FWOS:000075812800006","View Full Record in Web of Science")</f>
        <v>View Full Record in Web of Science</v>
      </c>
    </row>
    <row r="955" spans="1:72" x14ac:dyDescent="0.4">
      <c r="A955" t="s">
        <v>72</v>
      </c>
      <c r="B955" t="s">
        <v>5281</v>
      </c>
      <c r="C955" t="s">
        <v>74</v>
      </c>
      <c r="D955" t="s">
        <v>74</v>
      </c>
      <c r="E955" t="s">
        <v>74</v>
      </c>
      <c r="F955" t="s">
        <v>5282</v>
      </c>
      <c r="G955" t="s">
        <v>74</v>
      </c>
      <c r="H955" t="s">
        <v>74</v>
      </c>
      <c r="I955" t="s">
        <v>5283</v>
      </c>
      <c r="J955" t="s">
        <v>171</v>
      </c>
      <c r="K955" t="s">
        <v>74</v>
      </c>
      <c r="L955" t="s">
        <v>74</v>
      </c>
      <c r="M955" t="s">
        <v>74</v>
      </c>
      <c r="N955" t="s">
        <v>74</v>
      </c>
      <c r="O955" t="s">
        <v>74</v>
      </c>
      <c r="P955" t="s">
        <v>74</v>
      </c>
      <c r="Q955" t="s">
        <v>74</v>
      </c>
      <c r="R955" t="s">
        <v>74</v>
      </c>
      <c r="S955" t="s">
        <v>74</v>
      </c>
      <c r="T955" t="s">
        <v>74</v>
      </c>
      <c r="U955" t="s">
        <v>74</v>
      </c>
      <c r="V955" s="3" t="s">
        <v>5284</v>
      </c>
      <c r="W955" t="s">
        <v>74</v>
      </c>
      <c r="X955" t="s">
        <v>74</v>
      </c>
      <c r="Y955" t="s">
        <v>74</v>
      </c>
      <c r="Z955" t="s">
        <v>74</v>
      </c>
      <c r="AA955" t="s">
        <v>5285</v>
      </c>
      <c r="AB955" t="s">
        <v>5286</v>
      </c>
      <c r="AC955" t="s">
        <v>74</v>
      </c>
      <c r="AD955" t="s">
        <v>74</v>
      </c>
      <c r="AE955" t="s">
        <v>74</v>
      </c>
      <c r="AF955" t="s">
        <v>74</v>
      </c>
      <c r="AG955" t="s">
        <v>74</v>
      </c>
      <c r="AH955" t="s">
        <v>74</v>
      </c>
      <c r="AI955" t="s">
        <v>74</v>
      </c>
      <c r="AJ955" t="s">
        <v>74</v>
      </c>
      <c r="AK955" t="s">
        <v>74</v>
      </c>
      <c r="AL955" t="s">
        <v>74</v>
      </c>
      <c r="AM955" t="s">
        <v>74</v>
      </c>
      <c r="AN955" t="s">
        <v>74</v>
      </c>
      <c r="AO955" t="s">
        <v>173</v>
      </c>
      <c r="AP955" t="s">
        <v>174</v>
      </c>
      <c r="AQ955" t="s">
        <v>74</v>
      </c>
      <c r="AR955" t="s">
        <v>74</v>
      </c>
      <c r="AS955" t="s">
        <v>74</v>
      </c>
      <c r="AT955" t="s">
        <v>305</v>
      </c>
      <c r="AU955">
        <v>2009</v>
      </c>
      <c r="AV955">
        <v>63</v>
      </c>
      <c r="AW955">
        <v>12</v>
      </c>
      <c r="AX955" t="s">
        <v>74</v>
      </c>
      <c r="AY955" t="s">
        <v>74</v>
      </c>
      <c r="AZ955" t="s">
        <v>74</v>
      </c>
      <c r="BA955" t="s">
        <v>74</v>
      </c>
      <c r="BB955">
        <v>3106</v>
      </c>
      <c r="BC955">
        <v>3113</v>
      </c>
      <c r="BD955" t="s">
        <v>74</v>
      </c>
      <c r="BE955" t="s">
        <v>5287</v>
      </c>
      <c r="BF955" t="str">
        <f>HYPERLINK("http://dx.doi.org/10.1111/j.1558-5646.2009.00833.x","http://dx.doi.org/10.1111/j.1558-5646.2009.00833.x")</f>
        <v>http://dx.doi.org/10.1111/j.1558-5646.2009.00833.x</v>
      </c>
      <c r="BG955" t="s">
        <v>74</v>
      </c>
      <c r="BH955" t="s">
        <v>74</v>
      </c>
      <c r="BI955" t="s">
        <v>74</v>
      </c>
      <c r="BJ955" t="s">
        <v>74</v>
      </c>
      <c r="BK955" t="s">
        <v>74</v>
      </c>
      <c r="BL955" t="s">
        <v>74</v>
      </c>
      <c r="BM955" t="s">
        <v>74</v>
      </c>
      <c r="BN955">
        <v>19744121</v>
      </c>
      <c r="BO955" t="s">
        <v>74</v>
      </c>
      <c r="BP955" t="s">
        <v>74</v>
      </c>
      <c r="BQ955" t="s">
        <v>74</v>
      </c>
      <c r="BR955" t="s">
        <v>74</v>
      </c>
      <c r="BS955" t="s">
        <v>5288</v>
      </c>
      <c r="BT955" t="str">
        <f>HYPERLINK("https%3A%2F%2Fwww.webofscience.com%2Fwos%2Fwoscc%2Ffull-record%2FWOS:000271973600007","View Full Record in Web of Science")</f>
        <v>View Full Record in Web of Science</v>
      </c>
    </row>
    <row r="956" spans="1:72" x14ac:dyDescent="0.4">
      <c r="A956" t="s">
        <v>72</v>
      </c>
      <c r="B956" t="s">
        <v>7960</v>
      </c>
      <c r="C956" t="s">
        <v>74</v>
      </c>
      <c r="D956" t="s">
        <v>74</v>
      </c>
      <c r="E956" t="s">
        <v>74</v>
      </c>
      <c r="F956" t="s">
        <v>7961</v>
      </c>
      <c r="G956" t="s">
        <v>74</v>
      </c>
      <c r="H956" t="s">
        <v>74</v>
      </c>
      <c r="I956" t="s">
        <v>7962</v>
      </c>
      <c r="J956" t="s">
        <v>2847</v>
      </c>
      <c r="K956" t="s">
        <v>74</v>
      </c>
      <c r="L956" t="s">
        <v>74</v>
      </c>
      <c r="M956" t="s">
        <v>74</v>
      </c>
      <c r="N956" t="s">
        <v>74</v>
      </c>
      <c r="O956" t="s">
        <v>74</v>
      </c>
      <c r="P956" t="s">
        <v>74</v>
      </c>
      <c r="Q956" t="s">
        <v>74</v>
      </c>
      <c r="R956" t="s">
        <v>74</v>
      </c>
      <c r="S956" t="s">
        <v>74</v>
      </c>
      <c r="T956" t="s">
        <v>74</v>
      </c>
      <c r="U956" t="s">
        <v>74</v>
      </c>
      <c r="V956" s="3" t="s">
        <v>7963</v>
      </c>
      <c r="W956" t="s">
        <v>74</v>
      </c>
      <c r="X956" t="s">
        <v>74</v>
      </c>
      <c r="Y956" t="s">
        <v>74</v>
      </c>
      <c r="Z956" t="s">
        <v>74</v>
      </c>
      <c r="AA956" t="s">
        <v>74</v>
      </c>
      <c r="AB956" t="s">
        <v>74</v>
      </c>
      <c r="AC956" t="s">
        <v>74</v>
      </c>
      <c r="AD956" t="s">
        <v>74</v>
      </c>
      <c r="AE956" t="s">
        <v>74</v>
      </c>
      <c r="AF956" t="s">
        <v>74</v>
      </c>
      <c r="AG956" t="s">
        <v>74</v>
      </c>
      <c r="AH956" t="s">
        <v>74</v>
      </c>
      <c r="AI956" t="s">
        <v>74</v>
      </c>
      <c r="AJ956" t="s">
        <v>74</v>
      </c>
      <c r="AK956" t="s">
        <v>74</v>
      </c>
      <c r="AL956" t="s">
        <v>74</v>
      </c>
      <c r="AM956" t="s">
        <v>74</v>
      </c>
      <c r="AN956" t="s">
        <v>74</v>
      </c>
      <c r="AO956" t="s">
        <v>2849</v>
      </c>
      <c r="AP956" t="s">
        <v>2850</v>
      </c>
      <c r="AQ956" t="s">
        <v>74</v>
      </c>
      <c r="AR956" t="s">
        <v>74</v>
      </c>
      <c r="AS956" t="s">
        <v>74</v>
      </c>
      <c r="AT956" t="s">
        <v>1013</v>
      </c>
      <c r="AU956">
        <v>2020</v>
      </c>
      <c r="AV956">
        <v>530</v>
      </c>
      <c r="AW956" t="s">
        <v>74</v>
      </c>
      <c r="AX956" t="s">
        <v>74</v>
      </c>
      <c r="AY956" t="s">
        <v>74</v>
      </c>
      <c r="AZ956" t="s">
        <v>74</v>
      </c>
      <c r="BA956" t="s">
        <v>74</v>
      </c>
      <c r="BB956" t="s">
        <v>74</v>
      </c>
      <c r="BC956" t="s">
        <v>74</v>
      </c>
      <c r="BD956">
        <v>151430</v>
      </c>
      <c r="BE956" t="s">
        <v>7964</v>
      </c>
      <c r="BF956" t="str">
        <f>HYPERLINK("http://dx.doi.org/10.1016/j.jembe.2020.151430","http://dx.doi.org/10.1016/j.jembe.2020.151430")</f>
        <v>http://dx.doi.org/10.1016/j.jembe.2020.151430</v>
      </c>
      <c r="BG956" t="s">
        <v>74</v>
      </c>
      <c r="BH956" t="s">
        <v>74</v>
      </c>
      <c r="BI956" t="s">
        <v>74</v>
      </c>
      <c r="BJ956" t="s">
        <v>74</v>
      </c>
      <c r="BK956" t="s">
        <v>74</v>
      </c>
      <c r="BL956" t="s">
        <v>74</v>
      </c>
      <c r="BM956" t="s">
        <v>74</v>
      </c>
      <c r="BN956" t="s">
        <v>74</v>
      </c>
      <c r="BO956" t="s">
        <v>74</v>
      </c>
      <c r="BP956" t="s">
        <v>74</v>
      </c>
      <c r="BQ956" t="s">
        <v>74</v>
      </c>
      <c r="BR956" t="s">
        <v>74</v>
      </c>
      <c r="BS956" t="s">
        <v>7965</v>
      </c>
      <c r="BT956" t="str">
        <f>HYPERLINK("https%3A%2F%2Fwww.webofscience.com%2Fwos%2Fwoscc%2Ffull-record%2FWOS:000562582100021","View Full Record in Web of Science")</f>
        <v>View Full Record in Web of Science</v>
      </c>
    </row>
    <row r="957" spans="1:72" x14ac:dyDescent="0.4">
      <c r="A957" t="s">
        <v>72</v>
      </c>
      <c r="B957" t="s">
        <v>2948</v>
      </c>
      <c r="C957" t="s">
        <v>74</v>
      </c>
      <c r="D957" t="s">
        <v>74</v>
      </c>
      <c r="E957" t="s">
        <v>74</v>
      </c>
      <c r="F957" t="s">
        <v>2948</v>
      </c>
      <c r="G957" t="s">
        <v>74</v>
      </c>
      <c r="H957" t="s">
        <v>74</v>
      </c>
      <c r="I957" t="s">
        <v>2949</v>
      </c>
      <c r="J957" t="s">
        <v>140</v>
      </c>
      <c r="K957" t="s">
        <v>74</v>
      </c>
      <c r="L957" t="s">
        <v>74</v>
      </c>
      <c r="M957" t="s">
        <v>74</v>
      </c>
      <c r="N957" t="s">
        <v>74</v>
      </c>
      <c r="O957" t="s">
        <v>74</v>
      </c>
      <c r="P957" t="s">
        <v>74</v>
      </c>
      <c r="Q957" t="s">
        <v>74</v>
      </c>
      <c r="R957" t="s">
        <v>74</v>
      </c>
      <c r="S957" t="s">
        <v>74</v>
      </c>
      <c r="T957" t="s">
        <v>74</v>
      </c>
      <c r="U957" t="s">
        <v>74</v>
      </c>
      <c r="V957" s="3" t="s">
        <v>2950</v>
      </c>
      <c r="W957" t="s">
        <v>74</v>
      </c>
      <c r="X957" t="s">
        <v>74</v>
      </c>
      <c r="Y957" t="s">
        <v>74</v>
      </c>
      <c r="Z957" t="s">
        <v>74</v>
      </c>
      <c r="AA957" t="s">
        <v>2951</v>
      </c>
      <c r="AB957" t="s">
        <v>2952</v>
      </c>
      <c r="AC957" t="s">
        <v>74</v>
      </c>
      <c r="AD957" t="s">
        <v>74</v>
      </c>
      <c r="AE957" t="s">
        <v>74</v>
      </c>
      <c r="AF957" t="s">
        <v>74</v>
      </c>
      <c r="AG957" t="s">
        <v>74</v>
      </c>
      <c r="AH957" t="s">
        <v>74</v>
      </c>
      <c r="AI957" t="s">
        <v>74</v>
      </c>
      <c r="AJ957" t="s">
        <v>74</v>
      </c>
      <c r="AK957" t="s">
        <v>74</v>
      </c>
      <c r="AL957" t="s">
        <v>74</v>
      </c>
      <c r="AM957" t="s">
        <v>74</v>
      </c>
      <c r="AN957" t="s">
        <v>74</v>
      </c>
      <c r="AO957" t="s">
        <v>143</v>
      </c>
      <c r="AP957" t="s">
        <v>74</v>
      </c>
      <c r="AQ957" t="s">
        <v>74</v>
      </c>
      <c r="AR957" t="s">
        <v>74</v>
      </c>
      <c r="AS957" t="s">
        <v>74</v>
      </c>
      <c r="AT957" t="s">
        <v>145</v>
      </c>
      <c r="AU957">
        <v>2004</v>
      </c>
      <c r="AV957">
        <v>68</v>
      </c>
      <c r="AW957" t="s">
        <v>74</v>
      </c>
      <c r="AX957">
        <v>2</v>
      </c>
      <c r="AY957" t="s">
        <v>74</v>
      </c>
      <c r="AZ957" t="s">
        <v>74</v>
      </c>
      <c r="BA957" t="s">
        <v>74</v>
      </c>
      <c r="BB957">
        <v>273</v>
      </c>
      <c r="BC957">
        <v>282</v>
      </c>
      <c r="BD957" t="s">
        <v>74</v>
      </c>
      <c r="BE957" t="s">
        <v>2953</v>
      </c>
      <c r="BF957" t="str">
        <f>HYPERLINK("http://dx.doi.org/10.1016/j.anbehav.2003.11.010","http://dx.doi.org/10.1016/j.anbehav.2003.11.010")</f>
        <v>http://dx.doi.org/10.1016/j.anbehav.2003.11.010</v>
      </c>
      <c r="BG957" t="s">
        <v>74</v>
      </c>
      <c r="BH957" t="s">
        <v>74</v>
      </c>
      <c r="BI957" t="s">
        <v>74</v>
      </c>
      <c r="BJ957" t="s">
        <v>74</v>
      </c>
      <c r="BK957" t="s">
        <v>74</v>
      </c>
      <c r="BL957" t="s">
        <v>74</v>
      </c>
      <c r="BM957" t="s">
        <v>74</v>
      </c>
      <c r="BN957" t="s">
        <v>74</v>
      </c>
      <c r="BO957" t="s">
        <v>74</v>
      </c>
      <c r="BP957" t="s">
        <v>74</v>
      </c>
      <c r="BQ957" t="s">
        <v>74</v>
      </c>
      <c r="BR957" t="s">
        <v>74</v>
      </c>
      <c r="BS957" t="s">
        <v>2954</v>
      </c>
      <c r="BT957" t="str">
        <f>HYPERLINK("https%3A%2F%2Fwww.webofscience.com%2Fwos%2Fwoscc%2Ffull-record%2FWOS:000223614300006","View Full Record in Web of Science")</f>
        <v>View Full Record in Web of Science</v>
      </c>
    </row>
    <row r="958" spans="1:72" x14ac:dyDescent="0.4">
      <c r="A958" t="s">
        <v>72</v>
      </c>
      <c r="B958" t="s">
        <v>5348</v>
      </c>
      <c r="C958" t="s">
        <v>74</v>
      </c>
      <c r="D958" t="s">
        <v>74</v>
      </c>
      <c r="E958" t="s">
        <v>74</v>
      </c>
      <c r="F958" t="s">
        <v>5348</v>
      </c>
      <c r="G958" t="s">
        <v>74</v>
      </c>
      <c r="H958" t="s">
        <v>74</v>
      </c>
      <c r="I958" t="s">
        <v>5349</v>
      </c>
      <c r="J958" t="s">
        <v>129</v>
      </c>
      <c r="K958" t="s">
        <v>74</v>
      </c>
      <c r="L958" t="s">
        <v>74</v>
      </c>
      <c r="M958" t="s">
        <v>74</v>
      </c>
      <c r="N958" t="s">
        <v>74</v>
      </c>
      <c r="O958" t="s">
        <v>74</v>
      </c>
      <c r="P958" t="s">
        <v>74</v>
      </c>
      <c r="Q958" t="s">
        <v>74</v>
      </c>
      <c r="R958" t="s">
        <v>74</v>
      </c>
      <c r="S958" t="s">
        <v>74</v>
      </c>
      <c r="T958" t="s">
        <v>74</v>
      </c>
      <c r="U958" t="s">
        <v>74</v>
      </c>
      <c r="V958" s="3" t="s">
        <v>5350</v>
      </c>
      <c r="W958" t="s">
        <v>74</v>
      </c>
      <c r="X958" t="s">
        <v>74</v>
      </c>
      <c r="Y958" t="s">
        <v>74</v>
      </c>
      <c r="Z958" t="s">
        <v>74</v>
      </c>
      <c r="AA958" t="s">
        <v>5351</v>
      </c>
      <c r="AB958" t="s">
        <v>5352</v>
      </c>
      <c r="AC958" t="s">
        <v>74</v>
      </c>
      <c r="AD958" t="s">
        <v>74</v>
      </c>
      <c r="AE958" t="s">
        <v>74</v>
      </c>
      <c r="AF958" t="s">
        <v>74</v>
      </c>
      <c r="AG958" t="s">
        <v>74</v>
      </c>
      <c r="AH958" t="s">
        <v>74</v>
      </c>
      <c r="AI958" t="s">
        <v>74</v>
      </c>
      <c r="AJ958" t="s">
        <v>74</v>
      </c>
      <c r="AK958" t="s">
        <v>74</v>
      </c>
      <c r="AL958" t="s">
        <v>74</v>
      </c>
      <c r="AM958" t="s">
        <v>74</v>
      </c>
      <c r="AN958" t="s">
        <v>74</v>
      </c>
      <c r="AO958" t="s">
        <v>132</v>
      </c>
      <c r="AP958" t="s">
        <v>133</v>
      </c>
      <c r="AQ958" t="s">
        <v>74</v>
      </c>
      <c r="AR958" t="s">
        <v>74</v>
      </c>
      <c r="AS958" t="s">
        <v>74</v>
      </c>
      <c r="AT958" t="s">
        <v>123</v>
      </c>
      <c r="AU958">
        <v>2006</v>
      </c>
      <c r="AV958">
        <v>59</v>
      </c>
      <c r="AW958">
        <v>5</v>
      </c>
      <c r="AX958" t="s">
        <v>74</v>
      </c>
      <c r="AY958" t="s">
        <v>74</v>
      </c>
      <c r="AZ958" t="s">
        <v>74</v>
      </c>
      <c r="BA958" t="s">
        <v>74</v>
      </c>
      <c r="BB958">
        <v>651</v>
      </c>
      <c r="BC958">
        <v>656</v>
      </c>
      <c r="BD958" t="s">
        <v>74</v>
      </c>
      <c r="BE958" t="s">
        <v>5353</v>
      </c>
      <c r="BF958" t="str">
        <f>HYPERLINK("http://dx.doi.org/10.1007/s00265-005-0092-x","http://dx.doi.org/10.1007/s00265-005-0092-x")</f>
        <v>http://dx.doi.org/10.1007/s00265-005-0092-x</v>
      </c>
      <c r="BG958" t="s">
        <v>74</v>
      </c>
      <c r="BH958" t="s">
        <v>74</v>
      </c>
      <c r="BI958" t="s">
        <v>74</v>
      </c>
      <c r="BJ958" t="s">
        <v>74</v>
      </c>
      <c r="BK958" t="s">
        <v>74</v>
      </c>
      <c r="BL958" t="s">
        <v>74</v>
      </c>
      <c r="BM958" t="s">
        <v>74</v>
      </c>
      <c r="BN958" t="s">
        <v>74</v>
      </c>
      <c r="BO958" t="s">
        <v>74</v>
      </c>
      <c r="BP958" t="s">
        <v>74</v>
      </c>
      <c r="BQ958" t="s">
        <v>74</v>
      </c>
      <c r="BR958" t="s">
        <v>74</v>
      </c>
      <c r="BS958" t="s">
        <v>5354</v>
      </c>
      <c r="BT958" t="str">
        <f>HYPERLINK("https%3A%2F%2Fwww.webofscience.com%2Fwos%2Fwoscc%2Ffull-record%2FWOS:000235219700008","View Full Record in Web of Science")</f>
        <v>View Full Record in Web of Science</v>
      </c>
    </row>
    <row r="959" spans="1:72" x14ac:dyDescent="0.4">
      <c r="A959" t="s">
        <v>72</v>
      </c>
      <c r="B959" t="s">
        <v>5760</v>
      </c>
      <c r="C959" t="s">
        <v>74</v>
      </c>
      <c r="D959" t="s">
        <v>74</v>
      </c>
      <c r="E959" t="s">
        <v>74</v>
      </c>
      <c r="F959" t="s">
        <v>5760</v>
      </c>
      <c r="G959" t="s">
        <v>74</v>
      </c>
      <c r="H959" t="s">
        <v>74</v>
      </c>
      <c r="I959" t="s">
        <v>5761</v>
      </c>
      <c r="J959" t="s">
        <v>4655</v>
      </c>
      <c r="K959" t="s">
        <v>74</v>
      </c>
      <c r="L959" t="s">
        <v>74</v>
      </c>
      <c r="M959" t="s">
        <v>74</v>
      </c>
      <c r="N959" t="s">
        <v>74</v>
      </c>
      <c r="O959" t="s">
        <v>74</v>
      </c>
      <c r="P959" t="s">
        <v>74</v>
      </c>
      <c r="Q959" t="s">
        <v>74</v>
      </c>
      <c r="R959" t="s">
        <v>74</v>
      </c>
      <c r="S959" t="s">
        <v>74</v>
      </c>
      <c r="T959" t="s">
        <v>74</v>
      </c>
      <c r="U959" t="s">
        <v>74</v>
      </c>
      <c r="V959" s="3" t="s">
        <v>5762</v>
      </c>
      <c r="W959" t="s">
        <v>74</v>
      </c>
      <c r="X959" t="s">
        <v>74</v>
      </c>
      <c r="Y959" t="s">
        <v>74</v>
      </c>
      <c r="Z959" t="s">
        <v>74</v>
      </c>
      <c r="AA959" t="s">
        <v>74</v>
      </c>
      <c r="AB959" t="s">
        <v>74</v>
      </c>
      <c r="AC959" t="s">
        <v>74</v>
      </c>
      <c r="AD959" t="s">
        <v>74</v>
      </c>
      <c r="AE959" t="s">
        <v>74</v>
      </c>
      <c r="AF959" t="s">
        <v>74</v>
      </c>
      <c r="AG959" t="s">
        <v>74</v>
      </c>
      <c r="AH959" t="s">
        <v>74</v>
      </c>
      <c r="AI959" t="s">
        <v>74</v>
      </c>
      <c r="AJ959" t="s">
        <v>74</v>
      </c>
      <c r="AK959" t="s">
        <v>74</v>
      </c>
      <c r="AL959" t="s">
        <v>74</v>
      </c>
      <c r="AM959" t="s">
        <v>74</v>
      </c>
      <c r="AN959" t="s">
        <v>74</v>
      </c>
      <c r="AO959" t="s">
        <v>4657</v>
      </c>
      <c r="AP959" t="s">
        <v>74</v>
      </c>
      <c r="AQ959" t="s">
        <v>74</v>
      </c>
      <c r="AR959" t="s">
        <v>74</v>
      </c>
      <c r="AS959" t="s">
        <v>74</v>
      </c>
      <c r="AT959" t="s">
        <v>305</v>
      </c>
      <c r="AU959">
        <v>1986</v>
      </c>
      <c r="AV959">
        <v>98</v>
      </c>
      <c r="AW959">
        <v>4</v>
      </c>
      <c r="AX959" t="s">
        <v>74</v>
      </c>
      <c r="AY959" t="s">
        <v>74</v>
      </c>
      <c r="AZ959" t="s">
        <v>74</v>
      </c>
      <c r="BA959" t="s">
        <v>74</v>
      </c>
      <c r="BB959">
        <v>571</v>
      </c>
      <c r="BC959">
        <v>580</v>
      </c>
      <c r="BD959" t="s">
        <v>74</v>
      </c>
      <c r="BE959" t="s">
        <v>74</v>
      </c>
      <c r="BF959" t="s">
        <v>74</v>
      </c>
      <c r="BG959" t="s">
        <v>74</v>
      </c>
      <c r="BH959" t="s">
        <v>74</v>
      </c>
      <c r="BI959" t="s">
        <v>74</v>
      </c>
      <c r="BJ959" t="s">
        <v>74</v>
      </c>
      <c r="BK959" t="s">
        <v>74</v>
      </c>
      <c r="BL959" t="s">
        <v>74</v>
      </c>
      <c r="BM959" t="s">
        <v>74</v>
      </c>
      <c r="BN959" t="s">
        <v>74</v>
      </c>
      <c r="BO959" t="s">
        <v>74</v>
      </c>
      <c r="BP959" t="s">
        <v>74</v>
      </c>
      <c r="BQ959" t="s">
        <v>74</v>
      </c>
      <c r="BR959" t="s">
        <v>74</v>
      </c>
      <c r="BS959" t="s">
        <v>5763</v>
      </c>
      <c r="BT959" t="str">
        <f>HYPERLINK("https%3A%2F%2Fwww.webofscience.com%2Fwos%2Fwoscc%2Ffull-record%2FWOS:A1986F283900007","View Full Record in Web of Science")</f>
        <v>View Full Record in Web of Science</v>
      </c>
    </row>
    <row r="960" spans="1:72" x14ac:dyDescent="0.4">
      <c r="A960" t="s">
        <v>72</v>
      </c>
      <c r="B960" t="s">
        <v>7303</v>
      </c>
      <c r="C960" t="s">
        <v>74</v>
      </c>
      <c r="D960" t="s">
        <v>74</v>
      </c>
      <c r="E960" t="s">
        <v>74</v>
      </c>
      <c r="F960" t="s">
        <v>7304</v>
      </c>
      <c r="G960" t="s">
        <v>74</v>
      </c>
      <c r="H960" t="s">
        <v>74</v>
      </c>
      <c r="I960" t="s">
        <v>7305</v>
      </c>
      <c r="J960" t="s">
        <v>4114</v>
      </c>
      <c r="K960" t="s">
        <v>74</v>
      </c>
      <c r="L960" t="s">
        <v>74</v>
      </c>
      <c r="M960" t="s">
        <v>74</v>
      </c>
      <c r="N960" t="s">
        <v>74</v>
      </c>
      <c r="O960" t="s">
        <v>74</v>
      </c>
      <c r="P960" t="s">
        <v>74</v>
      </c>
      <c r="Q960" t="s">
        <v>74</v>
      </c>
      <c r="R960" t="s">
        <v>74</v>
      </c>
      <c r="S960" t="s">
        <v>74</v>
      </c>
      <c r="T960" t="s">
        <v>74</v>
      </c>
      <c r="U960" t="s">
        <v>74</v>
      </c>
      <c r="V960" s="3" t="s">
        <v>7306</v>
      </c>
      <c r="W960" t="s">
        <v>74</v>
      </c>
      <c r="X960" t="s">
        <v>74</v>
      </c>
      <c r="Y960" t="s">
        <v>74</v>
      </c>
      <c r="Z960" t="s">
        <v>74</v>
      </c>
      <c r="AA960" t="s">
        <v>7307</v>
      </c>
      <c r="AB960" t="s">
        <v>7308</v>
      </c>
      <c r="AC960" t="s">
        <v>74</v>
      </c>
      <c r="AD960" t="s">
        <v>74</v>
      </c>
      <c r="AE960" t="s">
        <v>74</v>
      </c>
      <c r="AF960" t="s">
        <v>74</v>
      </c>
      <c r="AG960" t="s">
        <v>74</v>
      </c>
      <c r="AH960" t="s">
        <v>74</v>
      </c>
      <c r="AI960" t="s">
        <v>74</v>
      </c>
      <c r="AJ960" t="s">
        <v>74</v>
      </c>
      <c r="AK960" t="s">
        <v>74</v>
      </c>
      <c r="AL960" t="s">
        <v>74</v>
      </c>
      <c r="AM960" t="s">
        <v>74</v>
      </c>
      <c r="AN960" t="s">
        <v>74</v>
      </c>
      <c r="AO960" t="s">
        <v>4116</v>
      </c>
      <c r="AP960" t="s">
        <v>4117</v>
      </c>
      <c r="AQ960" t="s">
        <v>74</v>
      </c>
      <c r="AR960" t="s">
        <v>74</v>
      </c>
      <c r="AS960" t="s">
        <v>74</v>
      </c>
      <c r="AT960" t="s">
        <v>145</v>
      </c>
      <c r="AU960">
        <v>2016</v>
      </c>
      <c r="AV960">
        <v>41</v>
      </c>
      <c r="AW960">
        <v>4</v>
      </c>
      <c r="AX960" t="s">
        <v>74</v>
      </c>
      <c r="AY960" t="s">
        <v>74</v>
      </c>
      <c r="AZ960" t="s">
        <v>74</v>
      </c>
      <c r="BA960" t="s">
        <v>74</v>
      </c>
      <c r="BB960">
        <v>451</v>
      </c>
      <c r="BC960">
        <v>458</v>
      </c>
      <c r="BD960" t="s">
        <v>74</v>
      </c>
      <c r="BE960" t="s">
        <v>7309</v>
      </c>
      <c r="BF960" t="str">
        <f>HYPERLINK("http://dx.doi.org/10.1111/een.12315","http://dx.doi.org/10.1111/een.12315")</f>
        <v>http://dx.doi.org/10.1111/een.12315</v>
      </c>
      <c r="BG960" t="s">
        <v>74</v>
      </c>
      <c r="BH960" t="s">
        <v>74</v>
      </c>
      <c r="BI960" t="s">
        <v>74</v>
      </c>
      <c r="BJ960" t="s">
        <v>74</v>
      </c>
      <c r="BK960" t="s">
        <v>74</v>
      </c>
      <c r="BL960" t="s">
        <v>74</v>
      </c>
      <c r="BM960" t="s">
        <v>74</v>
      </c>
      <c r="BN960" t="s">
        <v>74</v>
      </c>
      <c r="BO960" t="s">
        <v>74</v>
      </c>
      <c r="BP960" t="s">
        <v>74</v>
      </c>
      <c r="BQ960" t="s">
        <v>74</v>
      </c>
      <c r="BR960" t="s">
        <v>74</v>
      </c>
      <c r="BS960" t="s">
        <v>7310</v>
      </c>
      <c r="BT960" t="str">
        <f>HYPERLINK("https%3A%2F%2Fwww.webofscience.com%2Fwos%2Fwoscc%2Ffull-record%2FWOS:000379942700010","View Full Record in Web of Science")</f>
        <v>View Full Record in Web of Science</v>
      </c>
    </row>
    <row r="961" spans="1:72" x14ac:dyDescent="0.4">
      <c r="A961" t="s">
        <v>72</v>
      </c>
      <c r="B961" t="s">
        <v>3159</v>
      </c>
      <c r="C961" t="s">
        <v>74</v>
      </c>
      <c r="D961" t="s">
        <v>74</v>
      </c>
      <c r="E961" t="s">
        <v>74</v>
      </c>
      <c r="F961" t="s">
        <v>3160</v>
      </c>
      <c r="G961" t="s">
        <v>74</v>
      </c>
      <c r="H961" t="s">
        <v>74</v>
      </c>
      <c r="I961" t="s">
        <v>3161</v>
      </c>
      <c r="J961" t="s">
        <v>201</v>
      </c>
      <c r="K961" t="s">
        <v>74</v>
      </c>
      <c r="L961" t="s">
        <v>74</v>
      </c>
      <c r="M961" t="s">
        <v>74</v>
      </c>
      <c r="N961" t="s">
        <v>74</v>
      </c>
      <c r="O961" t="s">
        <v>74</v>
      </c>
      <c r="P961" t="s">
        <v>74</v>
      </c>
      <c r="Q961" t="s">
        <v>74</v>
      </c>
      <c r="R961" t="s">
        <v>74</v>
      </c>
      <c r="S961" t="s">
        <v>74</v>
      </c>
      <c r="T961" t="s">
        <v>74</v>
      </c>
      <c r="U961" t="s">
        <v>74</v>
      </c>
      <c r="V961" s="3" t="s">
        <v>3162</v>
      </c>
      <c r="W961" t="s">
        <v>74</v>
      </c>
      <c r="X961" t="s">
        <v>74</v>
      </c>
      <c r="Y961" t="s">
        <v>74</v>
      </c>
      <c r="Z961" t="s">
        <v>74</v>
      </c>
      <c r="AA961" t="s">
        <v>3163</v>
      </c>
      <c r="AB961" t="s">
        <v>3164</v>
      </c>
      <c r="AC961" t="s">
        <v>74</v>
      </c>
      <c r="AD961" t="s">
        <v>74</v>
      </c>
      <c r="AE961" t="s">
        <v>74</v>
      </c>
      <c r="AF961" t="s">
        <v>74</v>
      </c>
      <c r="AG961" t="s">
        <v>74</v>
      </c>
      <c r="AH961" t="s">
        <v>74</v>
      </c>
      <c r="AI961" t="s">
        <v>74</v>
      </c>
      <c r="AJ961" t="s">
        <v>74</v>
      </c>
      <c r="AK961" t="s">
        <v>74</v>
      </c>
      <c r="AL961" t="s">
        <v>74</v>
      </c>
      <c r="AM961" t="s">
        <v>74</v>
      </c>
      <c r="AN961" t="s">
        <v>74</v>
      </c>
      <c r="AO961" t="s">
        <v>203</v>
      </c>
      <c r="AP961" t="s">
        <v>1192</v>
      </c>
      <c r="AQ961" t="s">
        <v>74</v>
      </c>
      <c r="AR961" t="s">
        <v>74</v>
      </c>
      <c r="AS961" t="s">
        <v>74</v>
      </c>
      <c r="AT961" t="s">
        <v>123</v>
      </c>
      <c r="AU961">
        <v>2015</v>
      </c>
      <c r="AV961">
        <v>86</v>
      </c>
      <c r="AW961">
        <v>3</v>
      </c>
      <c r="AX961" t="s">
        <v>74</v>
      </c>
      <c r="AY961" t="s">
        <v>74</v>
      </c>
      <c r="AZ961" t="s">
        <v>74</v>
      </c>
      <c r="BA961" t="s">
        <v>74</v>
      </c>
      <c r="BB961">
        <v>1109</v>
      </c>
      <c r="BC961">
        <v>1120</v>
      </c>
      <c r="BD961" t="s">
        <v>74</v>
      </c>
      <c r="BE961" t="s">
        <v>3165</v>
      </c>
      <c r="BF961" t="str">
        <f>HYPERLINK("http://dx.doi.org/10.1111/jfb.12618","http://dx.doi.org/10.1111/jfb.12618")</f>
        <v>http://dx.doi.org/10.1111/jfb.12618</v>
      </c>
      <c r="BG961" t="s">
        <v>74</v>
      </c>
      <c r="BH961" t="s">
        <v>74</v>
      </c>
      <c r="BI961" t="s">
        <v>74</v>
      </c>
      <c r="BJ961" t="s">
        <v>74</v>
      </c>
      <c r="BK961" t="s">
        <v>74</v>
      </c>
      <c r="BL961" t="s">
        <v>74</v>
      </c>
      <c r="BM961" t="s">
        <v>74</v>
      </c>
      <c r="BN961">
        <v>25619403</v>
      </c>
      <c r="BO961" t="s">
        <v>74</v>
      </c>
      <c r="BP961" t="s">
        <v>74</v>
      </c>
      <c r="BQ961" t="s">
        <v>74</v>
      </c>
      <c r="BR961" t="s">
        <v>74</v>
      </c>
      <c r="BS961" t="s">
        <v>3166</v>
      </c>
      <c r="BT961" t="str">
        <f>HYPERLINK("https%3A%2F%2Fwww.webofscience.com%2Fwos%2Fwoscc%2Ffull-record%2FWOS:000351356700014","View Full Record in Web of Science")</f>
        <v>View Full Record in Web of Science</v>
      </c>
    </row>
    <row r="962" spans="1:72" x14ac:dyDescent="0.4">
      <c r="A962" t="s">
        <v>72</v>
      </c>
      <c r="B962" t="s">
        <v>4927</v>
      </c>
      <c r="C962" t="s">
        <v>74</v>
      </c>
      <c r="D962" t="s">
        <v>74</v>
      </c>
      <c r="E962" t="s">
        <v>74</v>
      </c>
      <c r="F962" t="s">
        <v>4927</v>
      </c>
      <c r="G962" t="s">
        <v>74</v>
      </c>
      <c r="H962" t="s">
        <v>74</v>
      </c>
      <c r="I962" t="s">
        <v>4928</v>
      </c>
      <c r="J962" t="s">
        <v>140</v>
      </c>
      <c r="K962" t="s">
        <v>74</v>
      </c>
      <c r="L962" t="s">
        <v>74</v>
      </c>
      <c r="M962" t="s">
        <v>74</v>
      </c>
      <c r="N962" t="s">
        <v>74</v>
      </c>
      <c r="O962" t="s">
        <v>74</v>
      </c>
      <c r="P962" t="s">
        <v>74</v>
      </c>
      <c r="Q962" t="s">
        <v>74</v>
      </c>
      <c r="R962" t="s">
        <v>74</v>
      </c>
      <c r="S962" t="s">
        <v>74</v>
      </c>
      <c r="T962" t="s">
        <v>74</v>
      </c>
      <c r="U962" t="s">
        <v>74</v>
      </c>
      <c r="V962" s="3" t="s">
        <v>4929</v>
      </c>
      <c r="W962" t="s">
        <v>74</v>
      </c>
      <c r="X962" t="s">
        <v>74</v>
      </c>
      <c r="Y962" t="s">
        <v>74</v>
      </c>
      <c r="Z962" t="s">
        <v>74</v>
      </c>
      <c r="AA962" t="s">
        <v>74</v>
      </c>
      <c r="AB962" t="s">
        <v>74</v>
      </c>
      <c r="AC962" t="s">
        <v>74</v>
      </c>
      <c r="AD962" t="s">
        <v>74</v>
      </c>
      <c r="AE962" t="s">
        <v>74</v>
      </c>
      <c r="AF962" t="s">
        <v>74</v>
      </c>
      <c r="AG962" t="s">
        <v>74</v>
      </c>
      <c r="AH962" t="s">
        <v>74</v>
      </c>
      <c r="AI962" t="s">
        <v>74</v>
      </c>
      <c r="AJ962" t="s">
        <v>74</v>
      </c>
      <c r="AK962" t="s">
        <v>74</v>
      </c>
      <c r="AL962" t="s">
        <v>74</v>
      </c>
      <c r="AM962" t="s">
        <v>74</v>
      </c>
      <c r="AN962" t="s">
        <v>74</v>
      </c>
      <c r="AO962" t="s">
        <v>143</v>
      </c>
      <c r="AP962" t="s">
        <v>144</v>
      </c>
      <c r="AQ962" t="s">
        <v>74</v>
      </c>
      <c r="AR962" t="s">
        <v>74</v>
      </c>
      <c r="AS962" t="s">
        <v>74</v>
      </c>
      <c r="AT962" t="s">
        <v>74</v>
      </c>
      <c r="AU962">
        <v>1978</v>
      </c>
      <c r="AV962">
        <v>26</v>
      </c>
      <c r="AW962" t="s">
        <v>213</v>
      </c>
      <c r="AX962" t="s">
        <v>74</v>
      </c>
      <c r="AY962" t="s">
        <v>74</v>
      </c>
      <c r="AZ962" t="s">
        <v>74</v>
      </c>
      <c r="BA962" t="s">
        <v>74</v>
      </c>
      <c r="BB962">
        <v>1120</v>
      </c>
      <c r="BC962">
        <v>1125</v>
      </c>
      <c r="BD962" t="s">
        <v>74</v>
      </c>
      <c r="BE962" t="s">
        <v>4930</v>
      </c>
      <c r="BF962" t="str">
        <f>HYPERLINK("http://dx.doi.org/10.1016/0003-3472(78)90101-X","http://dx.doi.org/10.1016/0003-3472(78)90101-X")</f>
        <v>http://dx.doi.org/10.1016/0003-3472(78)90101-X</v>
      </c>
      <c r="BG962" t="s">
        <v>74</v>
      </c>
      <c r="BH962" t="s">
        <v>74</v>
      </c>
      <c r="BI962" t="s">
        <v>74</v>
      </c>
      <c r="BJ962" t="s">
        <v>74</v>
      </c>
      <c r="BK962" t="s">
        <v>74</v>
      </c>
      <c r="BL962" t="s">
        <v>74</v>
      </c>
      <c r="BM962" t="s">
        <v>74</v>
      </c>
      <c r="BN962" t="s">
        <v>74</v>
      </c>
      <c r="BO962" t="s">
        <v>74</v>
      </c>
      <c r="BP962" t="s">
        <v>74</v>
      </c>
      <c r="BQ962" t="s">
        <v>74</v>
      </c>
      <c r="BR962" t="s">
        <v>74</v>
      </c>
      <c r="BS962" t="s">
        <v>4931</v>
      </c>
      <c r="BT962" t="str">
        <f>HYPERLINK("https%3A%2F%2Fwww.webofscience.com%2Fwos%2Fwoscc%2Ffull-record%2FWOS:A1978GD83400017","View Full Record in Web of Science")</f>
        <v>View Full Record in Web of Science</v>
      </c>
    </row>
    <row r="963" spans="1:72" x14ac:dyDescent="0.4">
      <c r="A963" t="s">
        <v>72</v>
      </c>
      <c r="B963" t="s">
        <v>1310</v>
      </c>
      <c r="C963" t="s">
        <v>74</v>
      </c>
      <c r="D963" t="s">
        <v>74</v>
      </c>
      <c r="E963" t="s">
        <v>74</v>
      </c>
      <c r="F963" t="s">
        <v>1311</v>
      </c>
      <c r="G963" t="s">
        <v>74</v>
      </c>
      <c r="H963" t="s">
        <v>74</v>
      </c>
      <c r="I963" t="s">
        <v>1312</v>
      </c>
      <c r="J963" t="s">
        <v>140</v>
      </c>
      <c r="K963" t="s">
        <v>74</v>
      </c>
      <c r="L963" t="s">
        <v>74</v>
      </c>
      <c r="M963" t="s">
        <v>74</v>
      </c>
      <c r="N963" t="s">
        <v>74</v>
      </c>
      <c r="O963" t="s">
        <v>74</v>
      </c>
      <c r="P963" t="s">
        <v>74</v>
      </c>
      <c r="Q963" t="s">
        <v>74</v>
      </c>
      <c r="R963" t="s">
        <v>74</v>
      </c>
      <c r="S963" t="s">
        <v>74</v>
      </c>
      <c r="T963" t="s">
        <v>74</v>
      </c>
      <c r="U963" t="s">
        <v>74</v>
      </c>
      <c r="V963" s="3" t="s">
        <v>1313</v>
      </c>
      <c r="W963" t="s">
        <v>74</v>
      </c>
      <c r="X963" t="s">
        <v>74</v>
      </c>
      <c r="Y963" t="s">
        <v>74</v>
      </c>
      <c r="Z963" t="s">
        <v>74</v>
      </c>
      <c r="AA963" t="s">
        <v>74</v>
      </c>
      <c r="AB963" t="s">
        <v>74</v>
      </c>
      <c r="AC963" t="s">
        <v>74</v>
      </c>
      <c r="AD963" t="s">
        <v>74</v>
      </c>
      <c r="AE963" t="s">
        <v>74</v>
      </c>
      <c r="AF963" t="s">
        <v>74</v>
      </c>
      <c r="AG963" t="s">
        <v>74</v>
      </c>
      <c r="AH963" t="s">
        <v>74</v>
      </c>
      <c r="AI963" t="s">
        <v>74</v>
      </c>
      <c r="AJ963" t="s">
        <v>74</v>
      </c>
      <c r="AK963" t="s">
        <v>74</v>
      </c>
      <c r="AL963" t="s">
        <v>74</v>
      </c>
      <c r="AM963" t="s">
        <v>74</v>
      </c>
      <c r="AN963" t="s">
        <v>74</v>
      </c>
      <c r="AO963" t="s">
        <v>143</v>
      </c>
      <c r="AP963" t="s">
        <v>74</v>
      </c>
      <c r="AQ963" t="s">
        <v>74</v>
      </c>
      <c r="AR963" t="s">
        <v>74</v>
      </c>
      <c r="AS963" t="s">
        <v>74</v>
      </c>
      <c r="AT963" t="s">
        <v>633</v>
      </c>
      <c r="AU963">
        <v>2011</v>
      </c>
      <c r="AV963">
        <v>81</v>
      </c>
      <c r="AW963">
        <v>4</v>
      </c>
      <c r="AX963" t="s">
        <v>74</v>
      </c>
      <c r="AY963" t="s">
        <v>74</v>
      </c>
      <c r="AZ963" t="s">
        <v>74</v>
      </c>
      <c r="BA963" t="s">
        <v>74</v>
      </c>
      <c r="BB963">
        <v>825</v>
      </c>
      <c r="BC963">
        <v>829</v>
      </c>
      <c r="BD963" t="s">
        <v>74</v>
      </c>
      <c r="BE963" t="s">
        <v>1314</v>
      </c>
      <c r="BF963" t="str">
        <f>HYPERLINK("http://dx.doi.org/10.1016/j.anbehav.2011.01.017","http://dx.doi.org/10.1016/j.anbehav.2011.01.017")</f>
        <v>http://dx.doi.org/10.1016/j.anbehav.2011.01.017</v>
      </c>
      <c r="BG963" t="s">
        <v>74</v>
      </c>
      <c r="BH963" t="s">
        <v>74</v>
      </c>
      <c r="BI963" t="s">
        <v>74</v>
      </c>
      <c r="BJ963" t="s">
        <v>74</v>
      </c>
      <c r="BK963" t="s">
        <v>74</v>
      </c>
      <c r="BL963" t="s">
        <v>74</v>
      </c>
      <c r="BM963" t="s">
        <v>74</v>
      </c>
      <c r="BN963" t="s">
        <v>74</v>
      </c>
      <c r="BO963" t="s">
        <v>74</v>
      </c>
      <c r="BP963" t="s">
        <v>74</v>
      </c>
      <c r="BQ963" t="s">
        <v>74</v>
      </c>
      <c r="BR963" t="s">
        <v>74</v>
      </c>
      <c r="BS963" t="s">
        <v>1315</v>
      </c>
      <c r="BT963" t="str">
        <f>HYPERLINK("https%3A%2F%2Fwww.webofscience.com%2Fwos%2Fwoscc%2Ffull-record%2FWOS:000288651200019","View Full Record in Web of Science")</f>
        <v>View Full Record in Web of Science</v>
      </c>
    </row>
    <row r="964" spans="1:72" x14ac:dyDescent="0.4">
      <c r="A964" t="s">
        <v>72</v>
      </c>
      <c r="B964" t="s">
        <v>5857</v>
      </c>
      <c r="C964" t="s">
        <v>74</v>
      </c>
      <c r="D964" t="s">
        <v>74</v>
      </c>
      <c r="E964" t="s">
        <v>74</v>
      </c>
      <c r="F964" t="s">
        <v>5858</v>
      </c>
      <c r="G964" t="s">
        <v>74</v>
      </c>
      <c r="H964" t="s">
        <v>74</v>
      </c>
      <c r="I964" t="s">
        <v>5859</v>
      </c>
      <c r="J964" t="s">
        <v>509</v>
      </c>
      <c r="K964" t="s">
        <v>74</v>
      </c>
      <c r="L964" t="s">
        <v>74</v>
      </c>
      <c r="M964" t="s">
        <v>74</v>
      </c>
      <c r="N964" t="s">
        <v>74</v>
      </c>
      <c r="O964" t="s">
        <v>74</v>
      </c>
      <c r="P964" t="s">
        <v>74</v>
      </c>
      <c r="Q964" t="s">
        <v>74</v>
      </c>
      <c r="R964" t="s">
        <v>74</v>
      </c>
      <c r="S964" t="s">
        <v>74</v>
      </c>
      <c r="T964" t="s">
        <v>74</v>
      </c>
      <c r="U964" t="s">
        <v>74</v>
      </c>
      <c r="V964" s="3" t="s">
        <v>5860</v>
      </c>
      <c r="W964" t="s">
        <v>74</v>
      </c>
      <c r="X964" t="s">
        <v>74</v>
      </c>
      <c r="Y964" t="s">
        <v>74</v>
      </c>
      <c r="Z964" t="s">
        <v>74</v>
      </c>
      <c r="AA964" t="s">
        <v>5861</v>
      </c>
      <c r="AB964" t="s">
        <v>5862</v>
      </c>
      <c r="AC964" t="s">
        <v>74</v>
      </c>
      <c r="AD964" t="s">
        <v>74</v>
      </c>
      <c r="AE964" t="s">
        <v>74</v>
      </c>
      <c r="AF964" t="s">
        <v>74</v>
      </c>
      <c r="AG964" t="s">
        <v>74</v>
      </c>
      <c r="AH964" t="s">
        <v>74</v>
      </c>
      <c r="AI964" t="s">
        <v>74</v>
      </c>
      <c r="AJ964" t="s">
        <v>74</v>
      </c>
      <c r="AK964" t="s">
        <v>74</v>
      </c>
      <c r="AL964" t="s">
        <v>74</v>
      </c>
      <c r="AM964" t="s">
        <v>74</v>
      </c>
      <c r="AN964" t="s">
        <v>74</v>
      </c>
      <c r="AO964" t="s">
        <v>511</v>
      </c>
      <c r="AP964" t="s">
        <v>512</v>
      </c>
      <c r="AQ964" t="s">
        <v>74</v>
      </c>
      <c r="AR964" t="s">
        <v>74</v>
      </c>
      <c r="AS964" t="s">
        <v>74</v>
      </c>
      <c r="AT964" t="s">
        <v>352</v>
      </c>
      <c r="AU964">
        <v>2008</v>
      </c>
      <c r="AV964">
        <v>54</v>
      </c>
      <c r="AW964">
        <v>4</v>
      </c>
      <c r="AX964" t="s">
        <v>74</v>
      </c>
      <c r="AY964" t="s">
        <v>74</v>
      </c>
      <c r="AZ964" t="s">
        <v>74</v>
      </c>
      <c r="BA964" t="s">
        <v>74</v>
      </c>
      <c r="BB964">
        <v>549</v>
      </c>
      <c r="BC964">
        <v>556</v>
      </c>
      <c r="BD964" t="s">
        <v>74</v>
      </c>
      <c r="BE964" t="s">
        <v>5863</v>
      </c>
      <c r="BF964" t="str">
        <f>HYPERLINK("http://dx.doi.org/10.1016/j.yhbeh.2008.05.018","http://dx.doi.org/10.1016/j.yhbeh.2008.05.018")</f>
        <v>http://dx.doi.org/10.1016/j.yhbeh.2008.05.018</v>
      </c>
      <c r="BG964" t="s">
        <v>74</v>
      </c>
      <c r="BH964" t="s">
        <v>74</v>
      </c>
      <c r="BI964" t="s">
        <v>74</v>
      </c>
      <c r="BJ964" t="s">
        <v>74</v>
      </c>
      <c r="BK964" t="s">
        <v>74</v>
      </c>
      <c r="BL964" t="s">
        <v>74</v>
      </c>
      <c r="BM964" t="s">
        <v>74</v>
      </c>
      <c r="BN964">
        <v>18586039</v>
      </c>
      <c r="BO964" t="s">
        <v>74</v>
      </c>
      <c r="BP964" t="s">
        <v>74</v>
      </c>
      <c r="BQ964" t="s">
        <v>74</v>
      </c>
      <c r="BR964" t="s">
        <v>74</v>
      </c>
      <c r="BS964" t="s">
        <v>5864</v>
      </c>
      <c r="BT964" t="str">
        <f>HYPERLINK("https%3A%2F%2Fwww.webofscience.com%2Fwos%2Fwoscc%2Ffull-record%2FWOS:000259159200011","View Full Record in Web of Science")</f>
        <v>View Full Record in Web of Science</v>
      </c>
    </row>
    <row r="965" spans="1:72" x14ac:dyDescent="0.4">
      <c r="A965" t="s">
        <v>72</v>
      </c>
      <c r="B965" t="s">
        <v>5127</v>
      </c>
      <c r="C965" t="s">
        <v>74</v>
      </c>
      <c r="D965" t="s">
        <v>74</v>
      </c>
      <c r="E965" t="s">
        <v>74</v>
      </c>
      <c r="F965" t="s">
        <v>5127</v>
      </c>
      <c r="G965" t="s">
        <v>74</v>
      </c>
      <c r="H965" t="s">
        <v>74</v>
      </c>
      <c r="I965" t="s">
        <v>5128</v>
      </c>
      <c r="J965" t="s">
        <v>5129</v>
      </c>
      <c r="K965" t="s">
        <v>74</v>
      </c>
      <c r="L965" t="s">
        <v>74</v>
      </c>
      <c r="M965" t="s">
        <v>74</v>
      </c>
      <c r="N965" t="s">
        <v>74</v>
      </c>
      <c r="O965" t="s">
        <v>74</v>
      </c>
      <c r="P965" t="s">
        <v>74</v>
      </c>
      <c r="Q965" t="s">
        <v>74</v>
      </c>
      <c r="R965" t="s">
        <v>74</v>
      </c>
      <c r="S965" t="s">
        <v>74</v>
      </c>
      <c r="T965" t="s">
        <v>74</v>
      </c>
      <c r="U965" t="s">
        <v>74</v>
      </c>
      <c r="V965" s="3" t="s">
        <v>5130</v>
      </c>
      <c r="W965" t="s">
        <v>74</v>
      </c>
      <c r="X965" t="s">
        <v>74</v>
      </c>
      <c r="Y965" t="s">
        <v>74</v>
      </c>
      <c r="Z965" t="s">
        <v>74</v>
      </c>
      <c r="AA965" t="s">
        <v>74</v>
      </c>
      <c r="AB965" t="s">
        <v>74</v>
      </c>
      <c r="AC965" t="s">
        <v>74</v>
      </c>
      <c r="AD965" t="s">
        <v>74</v>
      </c>
      <c r="AE965" t="s">
        <v>74</v>
      </c>
      <c r="AF965" t="s">
        <v>74</v>
      </c>
      <c r="AG965" t="s">
        <v>74</v>
      </c>
      <c r="AH965" t="s">
        <v>74</v>
      </c>
      <c r="AI965" t="s">
        <v>74</v>
      </c>
      <c r="AJ965" t="s">
        <v>74</v>
      </c>
      <c r="AK965" t="s">
        <v>74</v>
      </c>
      <c r="AL965" t="s">
        <v>74</v>
      </c>
      <c r="AM965" t="s">
        <v>74</v>
      </c>
      <c r="AN965" t="s">
        <v>74</v>
      </c>
      <c r="AO965" t="s">
        <v>5131</v>
      </c>
      <c r="AP965" t="s">
        <v>5132</v>
      </c>
      <c r="AQ965" t="s">
        <v>74</v>
      </c>
      <c r="AR965" t="s">
        <v>74</v>
      </c>
      <c r="AS965" t="s">
        <v>74</v>
      </c>
      <c r="AT965" t="s">
        <v>74</v>
      </c>
      <c r="AU965">
        <v>1993</v>
      </c>
      <c r="AV965">
        <v>81</v>
      </c>
      <c r="AW965">
        <v>1</v>
      </c>
      <c r="AX965" t="s">
        <v>74</v>
      </c>
      <c r="AY965" t="s">
        <v>74</v>
      </c>
      <c r="AZ965" t="s">
        <v>74</v>
      </c>
      <c r="BA965" t="s">
        <v>74</v>
      </c>
      <c r="BB965">
        <v>35</v>
      </c>
      <c r="BC965">
        <v>41</v>
      </c>
      <c r="BD965" t="s">
        <v>74</v>
      </c>
      <c r="BE965" t="s">
        <v>74</v>
      </c>
      <c r="BF965" t="s">
        <v>74</v>
      </c>
      <c r="BG965" t="s">
        <v>74</v>
      </c>
      <c r="BH965" t="s">
        <v>74</v>
      </c>
      <c r="BI965" t="s">
        <v>74</v>
      </c>
      <c r="BJ965" t="s">
        <v>74</v>
      </c>
      <c r="BK965" t="s">
        <v>74</v>
      </c>
      <c r="BL965" t="s">
        <v>74</v>
      </c>
      <c r="BM965" t="s">
        <v>74</v>
      </c>
      <c r="BN965" t="s">
        <v>74</v>
      </c>
      <c r="BO965" t="s">
        <v>74</v>
      </c>
      <c r="BP965" t="s">
        <v>74</v>
      </c>
      <c r="BQ965" t="s">
        <v>74</v>
      </c>
      <c r="BR965" t="s">
        <v>74</v>
      </c>
      <c r="BS965" t="s">
        <v>5133</v>
      </c>
      <c r="BT965" t="str">
        <f>HYPERLINK("https%3A%2F%2Fwww.webofscience.com%2Fwos%2Fwoscc%2Ffull-record%2FWOS:A1993LV04800007","View Full Record in Web of Science")</f>
        <v>View Full Record in Web of Science</v>
      </c>
    </row>
    <row r="966" spans="1:72" x14ac:dyDescent="0.4">
      <c r="A966" t="s">
        <v>72</v>
      </c>
      <c r="B966" t="s">
        <v>3310</v>
      </c>
      <c r="C966" t="s">
        <v>74</v>
      </c>
      <c r="D966" t="s">
        <v>74</v>
      </c>
      <c r="E966" t="s">
        <v>74</v>
      </c>
      <c r="F966" t="s">
        <v>3310</v>
      </c>
      <c r="G966" t="s">
        <v>74</v>
      </c>
      <c r="H966" t="s">
        <v>74</v>
      </c>
      <c r="I966" t="s">
        <v>3311</v>
      </c>
      <c r="J966" t="s">
        <v>108</v>
      </c>
      <c r="K966" t="s">
        <v>74</v>
      </c>
      <c r="L966" t="s">
        <v>74</v>
      </c>
      <c r="M966" t="s">
        <v>74</v>
      </c>
      <c r="N966" t="s">
        <v>74</v>
      </c>
      <c r="O966" t="s">
        <v>74</v>
      </c>
      <c r="P966" t="s">
        <v>74</v>
      </c>
      <c r="Q966" t="s">
        <v>74</v>
      </c>
      <c r="R966" t="s">
        <v>74</v>
      </c>
      <c r="S966" t="s">
        <v>74</v>
      </c>
      <c r="T966" t="s">
        <v>74</v>
      </c>
      <c r="U966" t="s">
        <v>74</v>
      </c>
      <c r="V966" s="3" t="s">
        <v>3312</v>
      </c>
      <c r="W966" t="s">
        <v>74</v>
      </c>
      <c r="X966" t="s">
        <v>74</v>
      </c>
      <c r="Y966" t="s">
        <v>74</v>
      </c>
      <c r="Z966" t="s">
        <v>74</v>
      </c>
      <c r="AA966" t="s">
        <v>74</v>
      </c>
      <c r="AB966" t="s">
        <v>74</v>
      </c>
      <c r="AC966" t="s">
        <v>74</v>
      </c>
      <c r="AD966" t="s">
        <v>74</v>
      </c>
      <c r="AE966" t="s">
        <v>74</v>
      </c>
      <c r="AF966" t="s">
        <v>74</v>
      </c>
      <c r="AG966" t="s">
        <v>74</v>
      </c>
      <c r="AH966" t="s">
        <v>74</v>
      </c>
      <c r="AI966" t="s">
        <v>74</v>
      </c>
      <c r="AJ966" t="s">
        <v>74</v>
      </c>
      <c r="AK966" t="s">
        <v>74</v>
      </c>
      <c r="AL966" t="s">
        <v>74</v>
      </c>
      <c r="AM966" t="s">
        <v>74</v>
      </c>
      <c r="AN966" t="s">
        <v>74</v>
      </c>
      <c r="AO966" t="s">
        <v>111</v>
      </c>
      <c r="AP966" t="s">
        <v>112</v>
      </c>
      <c r="AQ966" t="s">
        <v>74</v>
      </c>
      <c r="AR966" t="s">
        <v>74</v>
      </c>
      <c r="AS966" t="s">
        <v>74</v>
      </c>
      <c r="AT966" t="s">
        <v>3313</v>
      </c>
      <c r="AU966">
        <v>1999</v>
      </c>
      <c r="AV966">
        <v>266</v>
      </c>
      <c r="AW966">
        <v>1422</v>
      </c>
      <c r="AX966" t="s">
        <v>74</v>
      </c>
      <c r="AY966" t="s">
        <v>74</v>
      </c>
      <c r="AZ966" t="s">
        <v>74</v>
      </c>
      <c r="BA966" t="s">
        <v>74</v>
      </c>
      <c r="BB966">
        <v>917</v>
      </c>
      <c r="BC966">
        <v>921</v>
      </c>
      <c r="BD966" t="s">
        <v>74</v>
      </c>
      <c r="BE966" t="s">
        <v>3314</v>
      </c>
      <c r="BF966" t="str">
        <f>HYPERLINK("http://dx.doi.org/10.1098/rspb.1999.0724","http://dx.doi.org/10.1098/rspb.1999.0724")</f>
        <v>http://dx.doi.org/10.1098/rspb.1999.0724</v>
      </c>
      <c r="BG966" t="s">
        <v>74</v>
      </c>
      <c r="BH966" t="s">
        <v>74</v>
      </c>
      <c r="BI966" t="s">
        <v>74</v>
      </c>
      <c r="BJ966" t="s">
        <v>74</v>
      </c>
      <c r="BK966" t="s">
        <v>74</v>
      </c>
      <c r="BL966" t="s">
        <v>74</v>
      </c>
      <c r="BM966" t="s">
        <v>74</v>
      </c>
      <c r="BN966" t="s">
        <v>74</v>
      </c>
      <c r="BO966" t="s">
        <v>74</v>
      </c>
      <c r="BP966" t="s">
        <v>74</v>
      </c>
      <c r="BQ966" t="s">
        <v>74</v>
      </c>
      <c r="BR966" t="s">
        <v>74</v>
      </c>
      <c r="BS966" t="s">
        <v>3315</v>
      </c>
      <c r="BT966" t="str">
        <f>HYPERLINK("https%3A%2F%2Fwww.webofscience.com%2Fwos%2Fwoscc%2Ffull-record%2FWOS:000080290100008","View Full Record in Web of Science")</f>
        <v>View Full Record in Web of Science</v>
      </c>
    </row>
    <row r="967" spans="1:72" x14ac:dyDescent="0.4">
      <c r="A967" t="s">
        <v>72</v>
      </c>
      <c r="B967" t="s">
        <v>1278</v>
      </c>
      <c r="C967" t="s">
        <v>74</v>
      </c>
      <c r="D967" t="s">
        <v>74</v>
      </c>
      <c r="E967" t="s">
        <v>74</v>
      </c>
      <c r="F967" t="s">
        <v>1278</v>
      </c>
      <c r="G967" t="s">
        <v>74</v>
      </c>
      <c r="H967" t="s">
        <v>74</v>
      </c>
      <c r="I967" t="s">
        <v>1279</v>
      </c>
      <c r="J967" t="s">
        <v>171</v>
      </c>
      <c r="K967" t="s">
        <v>74</v>
      </c>
      <c r="L967" t="s">
        <v>74</v>
      </c>
      <c r="M967" t="s">
        <v>74</v>
      </c>
      <c r="N967" t="s">
        <v>74</v>
      </c>
      <c r="O967" t="s">
        <v>74</v>
      </c>
      <c r="P967" t="s">
        <v>74</v>
      </c>
      <c r="Q967" t="s">
        <v>74</v>
      </c>
      <c r="R967" t="s">
        <v>74</v>
      </c>
      <c r="S967" t="s">
        <v>74</v>
      </c>
      <c r="T967" t="s">
        <v>74</v>
      </c>
      <c r="U967" t="s">
        <v>74</v>
      </c>
      <c r="V967" s="3" t="s">
        <v>1280</v>
      </c>
      <c r="W967" t="s">
        <v>74</v>
      </c>
      <c r="X967" t="s">
        <v>74</v>
      </c>
      <c r="Y967" t="s">
        <v>74</v>
      </c>
      <c r="Z967" t="s">
        <v>74</v>
      </c>
      <c r="AA967" t="s">
        <v>74</v>
      </c>
      <c r="AB967" t="s">
        <v>74</v>
      </c>
      <c r="AC967" t="s">
        <v>74</v>
      </c>
      <c r="AD967" t="s">
        <v>74</v>
      </c>
      <c r="AE967" t="s">
        <v>74</v>
      </c>
      <c r="AF967" t="s">
        <v>74</v>
      </c>
      <c r="AG967" t="s">
        <v>74</v>
      </c>
      <c r="AH967" t="s">
        <v>74</v>
      </c>
      <c r="AI967" t="s">
        <v>74</v>
      </c>
      <c r="AJ967" t="s">
        <v>74</v>
      </c>
      <c r="AK967" t="s">
        <v>74</v>
      </c>
      <c r="AL967" t="s">
        <v>74</v>
      </c>
      <c r="AM967" t="s">
        <v>74</v>
      </c>
      <c r="AN967" t="s">
        <v>74</v>
      </c>
      <c r="AO967" t="s">
        <v>173</v>
      </c>
      <c r="AP967" t="s">
        <v>74</v>
      </c>
      <c r="AQ967" t="s">
        <v>74</v>
      </c>
      <c r="AR967" t="s">
        <v>74</v>
      </c>
      <c r="AS967" t="s">
        <v>74</v>
      </c>
      <c r="AT967" t="s">
        <v>102</v>
      </c>
      <c r="AU967">
        <v>1991</v>
      </c>
      <c r="AV967">
        <v>45</v>
      </c>
      <c r="AW967">
        <v>4</v>
      </c>
      <c r="AX967" t="s">
        <v>74</v>
      </c>
      <c r="AY967" t="s">
        <v>74</v>
      </c>
      <c r="AZ967" t="s">
        <v>74</v>
      </c>
      <c r="BA967" t="s">
        <v>74</v>
      </c>
      <c r="BB967">
        <v>910</v>
      </c>
      <c r="BC967">
        <v>917</v>
      </c>
      <c r="BD967" t="s">
        <v>74</v>
      </c>
      <c r="BE967" t="s">
        <v>1281</v>
      </c>
      <c r="BF967" t="str">
        <f>HYPERLINK("http://dx.doi.org/10.2307/2409698","http://dx.doi.org/10.2307/2409698")</f>
        <v>http://dx.doi.org/10.2307/2409698</v>
      </c>
      <c r="BG967" t="s">
        <v>74</v>
      </c>
      <c r="BH967" t="s">
        <v>74</v>
      </c>
      <c r="BI967" t="s">
        <v>74</v>
      </c>
      <c r="BJ967" t="s">
        <v>74</v>
      </c>
      <c r="BK967" t="s">
        <v>74</v>
      </c>
      <c r="BL967" t="s">
        <v>74</v>
      </c>
      <c r="BM967" t="s">
        <v>74</v>
      </c>
      <c r="BN967">
        <v>28564056</v>
      </c>
      <c r="BO967" t="s">
        <v>74</v>
      </c>
      <c r="BP967" t="s">
        <v>74</v>
      </c>
      <c r="BQ967" t="s">
        <v>74</v>
      </c>
      <c r="BR967" t="s">
        <v>74</v>
      </c>
      <c r="BS967" t="s">
        <v>1282</v>
      </c>
      <c r="BT967" t="str">
        <f>HYPERLINK("https%3A%2F%2Fwww.webofscience.com%2Fwos%2Fwoscc%2Ffull-record%2FWOS:A1991FW83600008","View Full Record in Web of Science")</f>
        <v>View Full Record in Web of Science</v>
      </c>
    </row>
    <row r="968" spans="1:72" x14ac:dyDescent="0.4">
      <c r="A968" t="s">
        <v>72</v>
      </c>
      <c r="B968" t="s">
        <v>7317</v>
      </c>
      <c r="C968" t="s">
        <v>74</v>
      </c>
      <c r="D968" t="s">
        <v>74</v>
      </c>
      <c r="E968" t="s">
        <v>74</v>
      </c>
      <c r="F968" t="s">
        <v>7318</v>
      </c>
      <c r="G968" t="s">
        <v>74</v>
      </c>
      <c r="H968" t="s">
        <v>74</v>
      </c>
      <c r="I968" t="s">
        <v>7319</v>
      </c>
      <c r="J968" t="s">
        <v>140</v>
      </c>
      <c r="K968" t="s">
        <v>74</v>
      </c>
      <c r="L968" t="s">
        <v>74</v>
      </c>
      <c r="M968" t="s">
        <v>74</v>
      </c>
      <c r="N968" t="s">
        <v>74</v>
      </c>
      <c r="O968" t="s">
        <v>74</v>
      </c>
      <c r="P968" t="s">
        <v>74</v>
      </c>
      <c r="Q968" t="s">
        <v>74</v>
      </c>
      <c r="R968" t="s">
        <v>74</v>
      </c>
      <c r="S968" t="s">
        <v>74</v>
      </c>
      <c r="T968" t="s">
        <v>74</v>
      </c>
      <c r="U968" t="s">
        <v>74</v>
      </c>
      <c r="V968" s="3" t="s">
        <v>7320</v>
      </c>
      <c r="W968" t="s">
        <v>74</v>
      </c>
      <c r="X968" t="s">
        <v>74</v>
      </c>
      <c r="Y968" t="s">
        <v>74</v>
      </c>
      <c r="Z968" t="s">
        <v>74</v>
      </c>
      <c r="AA968" t="s">
        <v>7321</v>
      </c>
      <c r="AB968" t="s">
        <v>7322</v>
      </c>
      <c r="AC968" t="s">
        <v>74</v>
      </c>
      <c r="AD968" t="s">
        <v>74</v>
      </c>
      <c r="AE968" t="s">
        <v>74</v>
      </c>
      <c r="AF968" t="s">
        <v>74</v>
      </c>
      <c r="AG968" t="s">
        <v>74</v>
      </c>
      <c r="AH968" t="s">
        <v>74</v>
      </c>
      <c r="AI968" t="s">
        <v>74</v>
      </c>
      <c r="AJ968" t="s">
        <v>74</v>
      </c>
      <c r="AK968" t="s">
        <v>74</v>
      </c>
      <c r="AL968" t="s">
        <v>74</v>
      </c>
      <c r="AM968" t="s">
        <v>74</v>
      </c>
      <c r="AN968" t="s">
        <v>74</v>
      </c>
      <c r="AO968" t="s">
        <v>143</v>
      </c>
      <c r="AP968" t="s">
        <v>144</v>
      </c>
      <c r="AQ968" t="s">
        <v>74</v>
      </c>
      <c r="AR968" t="s">
        <v>74</v>
      </c>
      <c r="AS968" t="s">
        <v>74</v>
      </c>
      <c r="AT968" t="s">
        <v>134</v>
      </c>
      <c r="AU968">
        <v>2019</v>
      </c>
      <c r="AV968">
        <v>151</v>
      </c>
      <c r="AW968" t="s">
        <v>74</v>
      </c>
      <c r="AX968" t="s">
        <v>74</v>
      </c>
      <c r="AY968" t="s">
        <v>74</v>
      </c>
      <c r="AZ968" t="s">
        <v>74</v>
      </c>
      <c r="BA968" t="s">
        <v>74</v>
      </c>
      <c r="BB968">
        <v>185</v>
      </c>
      <c r="BC968">
        <v>193</v>
      </c>
      <c r="BD968" t="s">
        <v>74</v>
      </c>
      <c r="BE968" t="s">
        <v>7323</v>
      </c>
      <c r="BF968" t="str">
        <f>HYPERLINK("http://dx.doi.org/10.1016/j.anbehav.2019.02.002","http://dx.doi.org/10.1016/j.anbehav.2019.02.002")</f>
        <v>http://dx.doi.org/10.1016/j.anbehav.2019.02.002</v>
      </c>
      <c r="BG968" t="s">
        <v>74</v>
      </c>
      <c r="BH968" t="s">
        <v>74</v>
      </c>
      <c r="BI968" t="s">
        <v>74</v>
      </c>
      <c r="BJ968" t="s">
        <v>74</v>
      </c>
      <c r="BK968" t="s">
        <v>74</v>
      </c>
      <c r="BL968" t="s">
        <v>74</v>
      </c>
      <c r="BM968" t="s">
        <v>74</v>
      </c>
      <c r="BN968" t="s">
        <v>74</v>
      </c>
      <c r="BO968" t="s">
        <v>74</v>
      </c>
      <c r="BP968" t="s">
        <v>74</v>
      </c>
      <c r="BQ968" t="s">
        <v>74</v>
      </c>
      <c r="BR968" t="s">
        <v>74</v>
      </c>
      <c r="BS968" t="s">
        <v>7324</v>
      </c>
      <c r="BT968" t="str">
        <f>HYPERLINK("https%3A%2F%2Fwww.webofscience.com%2Fwos%2Fwoscc%2Ffull-record%2FWOS:000467013300018","View Full Record in Web of Science")</f>
        <v>View Full Record in Web of Science</v>
      </c>
    </row>
    <row r="969" spans="1:72" x14ac:dyDescent="0.4">
      <c r="A969" t="s">
        <v>72</v>
      </c>
      <c r="B969" t="s">
        <v>7517</v>
      </c>
      <c r="C969" t="s">
        <v>74</v>
      </c>
      <c r="D969" t="s">
        <v>74</v>
      </c>
      <c r="E969" t="s">
        <v>74</v>
      </c>
      <c r="F969" t="s">
        <v>7517</v>
      </c>
      <c r="G969" t="s">
        <v>74</v>
      </c>
      <c r="H969" t="s">
        <v>74</v>
      </c>
      <c r="I969" t="s">
        <v>7518</v>
      </c>
      <c r="J969" t="s">
        <v>509</v>
      </c>
      <c r="K969" t="s">
        <v>74</v>
      </c>
      <c r="L969" t="s">
        <v>74</v>
      </c>
      <c r="M969" t="s">
        <v>74</v>
      </c>
      <c r="N969" t="s">
        <v>74</v>
      </c>
      <c r="O969" t="s">
        <v>74</v>
      </c>
      <c r="P969" t="s">
        <v>74</v>
      </c>
      <c r="Q969" t="s">
        <v>74</v>
      </c>
      <c r="R969" t="s">
        <v>74</v>
      </c>
      <c r="S969" t="s">
        <v>74</v>
      </c>
      <c r="T969" t="s">
        <v>74</v>
      </c>
      <c r="U969" t="s">
        <v>74</v>
      </c>
      <c r="V969" s="3" t="s">
        <v>7519</v>
      </c>
      <c r="W969" t="s">
        <v>74</v>
      </c>
      <c r="X969" t="s">
        <v>74</v>
      </c>
      <c r="Y969" t="s">
        <v>74</v>
      </c>
      <c r="Z969" t="s">
        <v>74</v>
      </c>
      <c r="AA969" t="s">
        <v>74</v>
      </c>
      <c r="AB969" t="s">
        <v>74</v>
      </c>
      <c r="AC969" t="s">
        <v>74</v>
      </c>
      <c r="AD969" t="s">
        <v>74</v>
      </c>
      <c r="AE969" t="s">
        <v>74</v>
      </c>
      <c r="AF969" t="s">
        <v>74</v>
      </c>
      <c r="AG969" t="s">
        <v>74</v>
      </c>
      <c r="AH969" t="s">
        <v>74</v>
      </c>
      <c r="AI969" t="s">
        <v>74</v>
      </c>
      <c r="AJ969" t="s">
        <v>74</v>
      </c>
      <c r="AK969" t="s">
        <v>74</v>
      </c>
      <c r="AL969" t="s">
        <v>74</v>
      </c>
      <c r="AM969" t="s">
        <v>74</v>
      </c>
      <c r="AN969" t="s">
        <v>74</v>
      </c>
      <c r="AO969" t="s">
        <v>511</v>
      </c>
      <c r="AP969" t="s">
        <v>512</v>
      </c>
      <c r="AQ969" t="s">
        <v>74</v>
      </c>
      <c r="AR969" t="s">
        <v>74</v>
      </c>
      <c r="AS969" t="s">
        <v>74</v>
      </c>
      <c r="AT969" t="s">
        <v>145</v>
      </c>
      <c r="AU969">
        <v>1999</v>
      </c>
      <c r="AV969">
        <v>36</v>
      </c>
      <c r="AW969">
        <v>1</v>
      </c>
      <c r="AX969" t="s">
        <v>74</v>
      </c>
      <c r="AY969" t="s">
        <v>74</v>
      </c>
      <c r="AZ969" t="s">
        <v>74</v>
      </c>
      <c r="BA969" t="s">
        <v>74</v>
      </c>
      <c r="BB969">
        <v>39</v>
      </c>
      <c r="BC969">
        <v>52</v>
      </c>
      <c r="BD969" t="s">
        <v>74</v>
      </c>
      <c r="BE969" t="s">
        <v>7520</v>
      </c>
      <c r="BF969" t="str">
        <f>HYPERLINK("http://dx.doi.org/10.1006/hbeh.1999.1523","http://dx.doi.org/10.1006/hbeh.1999.1523")</f>
        <v>http://dx.doi.org/10.1006/hbeh.1999.1523</v>
      </c>
      <c r="BG969" t="s">
        <v>74</v>
      </c>
      <c r="BH969" t="s">
        <v>74</v>
      </c>
      <c r="BI969" t="s">
        <v>74</v>
      </c>
      <c r="BJ969" t="s">
        <v>74</v>
      </c>
      <c r="BK969" t="s">
        <v>74</v>
      </c>
      <c r="BL969" t="s">
        <v>74</v>
      </c>
      <c r="BM969" t="s">
        <v>74</v>
      </c>
      <c r="BN969">
        <v>10433885</v>
      </c>
      <c r="BO969" t="s">
        <v>74</v>
      </c>
      <c r="BP969" t="s">
        <v>74</v>
      </c>
      <c r="BQ969" t="s">
        <v>74</v>
      </c>
      <c r="BR969" t="s">
        <v>74</v>
      </c>
      <c r="BS969" t="s">
        <v>7521</v>
      </c>
      <c r="BT969" t="str">
        <f>HYPERLINK("https%3A%2F%2Fwww.webofscience.com%2Fwos%2Fwoscc%2Ffull-record%2FWOS:000082107300004","View Full Record in Web of Science")</f>
        <v>View Full Record in Web of Science</v>
      </c>
    </row>
    <row r="970" spans="1:72" x14ac:dyDescent="0.4">
      <c r="A970" t="s">
        <v>72</v>
      </c>
      <c r="B970" t="s">
        <v>438</v>
      </c>
      <c r="C970" t="s">
        <v>74</v>
      </c>
      <c r="D970" t="s">
        <v>74</v>
      </c>
      <c r="E970" t="s">
        <v>74</v>
      </c>
      <c r="F970" t="s">
        <v>438</v>
      </c>
      <c r="G970" t="s">
        <v>74</v>
      </c>
      <c r="H970" t="s">
        <v>74</v>
      </c>
      <c r="I970" t="s">
        <v>439</v>
      </c>
      <c r="J970" t="s">
        <v>229</v>
      </c>
      <c r="K970" t="s">
        <v>74</v>
      </c>
      <c r="L970" t="s">
        <v>74</v>
      </c>
      <c r="M970" t="s">
        <v>74</v>
      </c>
      <c r="N970" t="s">
        <v>74</v>
      </c>
      <c r="O970" t="s">
        <v>74</v>
      </c>
      <c r="P970" t="s">
        <v>74</v>
      </c>
      <c r="Q970" t="s">
        <v>74</v>
      </c>
      <c r="R970" t="s">
        <v>74</v>
      </c>
      <c r="S970" t="s">
        <v>74</v>
      </c>
      <c r="T970" t="s">
        <v>74</v>
      </c>
      <c r="U970" t="s">
        <v>74</v>
      </c>
      <c r="V970" s="3" t="s">
        <v>440</v>
      </c>
      <c r="W970" t="s">
        <v>74</v>
      </c>
      <c r="X970" t="s">
        <v>74</v>
      </c>
      <c r="Y970" t="s">
        <v>74</v>
      </c>
      <c r="Z970" t="s">
        <v>74</v>
      </c>
      <c r="AA970" t="s">
        <v>74</v>
      </c>
      <c r="AB970" t="s">
        <v>441</v>
      </c>
      <c r="AC970" t="s">
        <v>74</v>
      </c>
      <c r="AD970" t="s">
        <v>74</v>
      </c>
      <c r="AE970" t="s">
        <v>74</v>
      </c>
      <c r="AF970" t="s">
        <v>74</v>
      </c>
      <c r="AG970" t="s">
        <v>74</v>
      </c>
      <c r="AH970" t="s">
        <v>74</v>
      </c>
      <c r="AI970" t="s">
        <v>74</v>
      </c>
      <c r="AJ970" t="s">
        <v>74</v>
      </c>
      <c r="AK970" t="s">
        <v>74</v>
      </c>
      <c r="AL970" t="s">
        <v>74</v>
      </c>
      <c r="AM970" t="s">
        <v>74</v>
      </c>
      <c r="AN970" t="s">
        <v>74</v>
      </c>
      <c r="AO970" t="s">
        <v>233</v>
      </c>
      <c r="AP970" t="s">
        <v>234</v>
      </c>
      <c r="AQ970" t="s">
        <v>74</v>
      </c>
      <c r="AR970" t="s">
        <v>74</v>
      </c>
      <c r="AS970" t="s">
        <v>74</v>
      </c>
      <c r="AT970" t="s">
        <v>74</v>
      </c>
      <c r="AU970">
        <v>2005</v>
      </c>
      <c r="AV970">
        <v>31</v>
      </c>
      <c r="AW970">
        <v>3</v>
      </c>
      <c r="AX970" t="s">
        <v>74</v>
      </c>
      <c r="AY970" t="s">
        <v>74</v>
      </c>
      <c r="AZ970" t="s">
        <v>74</v>
      </c>
      <c r="BA970" t="s">
        <v>74</v>
      </c>
      <c r="BB970">
        <v>271</v>
      </c>
      <c r="BC970">
        <v>282</v>
      </c>
      <c r="BD970" t="s">
        <v>74</v>
      </c>
      <c r="BE970" t="s">
        <v>442</v>
      </c>
      <c r="BF970" t="str">
        <f>HYPERLINK("http://dx.doi.org/10.1002/ab.20071","http://dx.doi.org/10.1002/ab.20071")</f>
        <v>http://dx.doi.org/10.1002/ab.20071</v>
      </c>
      <c r="BG970" t="s">
        <v>74</v>
      </c>
      <c r="BH970" t="s">
        <v>74</v>
      </c>
      <c r="BI970" t="s">
        <v>74</v>
      </c>
      <c r="BJ970" t="s">
        <v>74</v>
      </c>
      <c r="BK970" t="s">
        <v>74</v>
      </c>
      <c r="BL970" t="s">
        <v>74</v>
      </c>
      <c r="BM970" t="s">
        <v>74</v>
      </c>
      <c r="BN970" t="s">
        <v>74</v>
      </c>
      <c r="BO970" t="s">
        <v>74</v>
      </c>
      <c r="BP970" t="s">
        <v>74</v>
      </c>
      <c r="BQ970" t="s">
        <v>74</v>
      </c>
      <c r="BR970" t="s">
        <v>74</v>
      </c>
      <c r="BS970" t="s">
        <v>443</v>
      </c>
      <c r="BT970" t="str">
        <f>HYPERLINK("https%3A%2F%2Fwww.webofscience.com%2Fwos%2Fwoscc%2Ffull-record%2FWOS:000227894100006","View Full Record in Web of Science")</f>
        <v>View Full Record in Web of Science</v>
      </c>
    </row>
    <row r="971" spans="1:72" x14ac:dyDescent="0.4">
      <c r="A971" t="s">
        <v>72</v>
      </c>
      <c r="B971" t="s">
        <v>2529</v>
      </c>
      <c r="C971" t="s">
        <v>74</v>
      </c>
      <c r="D971" t="s">
        <v>74</v>
      </c>
      <c r="E971" t="s">
        <v>74</v>
      </c>
      <c r="F971" t="s">
        <v>2529</v>
      </c>
      <c r="G971" t="s">
        <v>74</v>
      </c>
      <c r="H971" t="s">
        <v>74</v>
      </c>
      <c r="I971" t="s">
        <v>2530</v>
      </c>
      <c r="J971" t="s">
        <v>108</v>
      </c>
      <c r="K971" t="s">
        <v>74</v>
      </c>
      <c r="L971" t="s">
        <v>74</v>
      </c>
      <c r="M971" t="s">
        <v>74</v>
      </c>
      <c r="N971" t="s">
        <v>74</v>
      </c>
      <c r="O971" t="s">
        <v>74</v>
      </c>
      <c r="P971" t="s">
        <v>74</v>
      </c>
      <c r="Q971" t="s">
        <v>74</v>
      </c>
      <c r="R971" t="s">
        <v>74</v>
      </c>
      <c r="S971" t="s">
        <v>74</v>
      </c>
      <c r="T971" t="s">
        <v>74</v>
      </c>
      <c r="U971" t="s">
        <v>74</v>
      </c>
      <c r="V971" s="3" t="s">
        <v>2531</v>
      </c>
      <c r="W971" t="s">
        <v>74</v>
      </c>
      <c r="X971" t="s">
        <v>74</v>
      </c>
      <c r="Y971" t="s">
        <v>74</v>
      </c>
      <c r="Z971" t="s">
        <v>74</v>
      </c>
      <c r="AA971" t="s">
        <v>74</v>
      </c>
      <c r="AB971" t="s">
        <v>74</v>
      </c>
      <c r="AC971" t="s">
        <v>74</v>
      </c>
      <c r="AD971" t="s">
        <v>74</v>
      </c>
      <c r="AE971" t="s">
        <v>74</v>
      </c>
      <c r="AF971" t="s">
        <v>74</v>
      </c>
      <c r="AG971" t="s">
        <v>74</v>
      </c>
      <c r="AH971" t="s">
        <v>74</v>
      </c>
      <c r="AI971" t="s">
        <v>74</v>
      </c>
      <c r="AJ971" t="s">
        <v>74</v>
      </c>
      <c r="AK971" t="s">
        <v>74</v>
      </c>
      <c r="AL971" t="s">
        <v>74</v>
      </c>
      <c r="AM971" t="s">
        <v>74</v>
      </c>
      <c r="AN971" t="s">
        <v>74</v>
      </c>
      <c r="AO971" t="s">
        <v>111</v>
      </c>
      <c r="AP971" t="s">
        <v>112</v>
      </c>
      <c r="AQ971" t="s">
        <v>74</v>
      </c>
      <c r="AR971" t="s">
        <v>74</v>
      </c>
      <c r="AS971" t="s">
        <v>74</v>
      </c>
      <c r="AT971" t="s">
        <v>1210</v>
      </c>
      <c r="AU971">
        <v>2002</v>
      </c>
      <c r="AV971">
        <v>269</v>
      </c>
      <c r="AW971">
        <v>1509</v>
      </c>
      <c r="AX971" t="s">
        <v>74</v>
      </c>
      <c r="AY971" t="s">
        <v>74</v>
      </c>
      <c r="AZ971" t="s">
        <v>74</v>
      </c>
      <c r="BA971" t="s">
        <v>74</v>
      </c>
      <c r="BB971">
        <v>2495</v>
      </c>
      <c r="BC971">
        <v>2502</v>
      </c>
      <c r="BD971" t="s">
        <v>74</v>
      </c>
      <c r="BE971" t="s">
        <v>2532</v>
      </c>
      <c r="BF971" t="str">
        <f>HYPERLINK("http://dx.doi.org/10.1098/rspb.2002.2188","http://dx.doi.org/10.1098/rspb.2002.2188")</f>
        <v>http://dx.doi.org/10.1098/rspb.2002.2188</v>
      </c>
      <c r="BG971" t="s">
        <v>74</v>
      </c>
      <c r="BH971" t="s">
        <v>74</v>
      </c>
      <c r="BI971" t="s">
        <v>74</v>
      </c>
      <c r="BJ971" t="s">
        <v>74</v>
      </c>
      <c r="BK971" t="s">
        <v>74</v>
      </c>
      <c r="BL971" t="s">
        <v>74</v>
      </c>
      <c r="BM971" t="s">
        <v>74</v>
      </c>
      <c r="BN971">
        <v>12573062</v>
      </c>
      <c r="BO971" t="s">
        <v>74</v>
      </c>
      <c r="BP971" t="s">
        <v>74</v>
      </c>
      <c r="BQ971" t="s">
        <v>74</v>
      </c>
      <c r="BR971" t="s">
        <v>74</v>
      </c>
      <c r="BS971" t="s">
        <v>2533</v>
      </c>
      <c r="BT971" t="str">
        <f>HYPERLINK("https%3A%2F%2Fwww.webofscience.com%2Fwos%2Fwoscc%2Ffull-record%2FWOS:000180221100001","View Full Record in Web of Science")</f>
        <v>View Full Record in Web of Science</v>
      </c>
    </row>
    <row r="972" spans="1:72" x14ac:dyDescent="0.4">
      <c r="A972" t="s">
        <v>72</v>
      </c>
      <c r="B972" t="s">
        <v>2092</v>
      </c>
      <c r="C972" t="s">
        <v>74</v>
      </c>
      <c r="D972" t="s">
        <v>74</v>
      </c>
      <c r="E972" t="s">
        <v>74</v>
      </c>
      <c r="F972" t="s">
        <v>2093</v>
      </c>
      <c r="G972" t="s">
        <v>74</v>
      </c>
      <c r="H972" t="s">
        <v>74</v>
      </c>
      <c r="I972" t="s">
        <v>2094</v>
      </c>
      <c r="J972" t="s">
        <v>1743</v>
      </c>
      <c r="K972" t="s">
        <v>74</v>
      </c>
      <c r="L972" t="s">
        <v>74</v>
      </c>
      <c r="M972" t="s">
        <v>74</v>
      </c>
      <c r="N972" t="s">
        <v>74</v>
      </c>
      <c r="O972" t="s">
        <v>74</v>
      </c>
      <c r="P972" t="s">
        <v>74</v>
      </c>
      <c r="Q972" t="s">
        <v>74</v>
      </c>
      <c r="R972" t="s">
        <v>74</v>
      </c>
      <c r="S972" t="s">
        <v>74</v>
      </c>
      <c r="T972" t="s">
        <v>74</v>
      </c>
      <c r="U972" t="s">
        <v>74</v>
      </c>
      <c r="V972" s="3" t="s">
        <v>2095</v>
      </c>
      <c r="W972" t="s">
        <v>74</v>
      </c>
      <c r="X972" t="s">
        <v>74</v>
      </c>
      <c r="Y972" t="s">
        <v>74</v>
      </c>
      <c r="Z972" t="s">
        <v>74</v>
      </c>
      <c r="AA972" t="s">
        <v>2096</v>
      </c>
      <c r="AB972" t="s">
        <v>2097</v>
      </c>
      <c r="AC972" t="s">
        <v>74</v>
      </c>
      <c r="AD972" t="s">
        <v>74</v>
      </c>
      <c r="AE972" t="s">
        <v>74</v>
      </c>
      <c r="AF972" t="s">
        <v>74</v>
      </c>
      <c r="AG972" t="s">
        <v>74</v>
      </c>
      <c r="AH972" t="s">
        <v>74</v>
      </c>
      <c r="AI972" t="s">
        <v>74</v>
      </c>
      <c r="AJ972" t="s">
        <v>74</v>
      </c>
      <c r="AK972" t="s">
        <v>74</v>
      </c>
      <c r="AL972" t="s">
        <v>74</v>
      </c>
      <c r="AM972" t="s">
        <v>74</v>
      </c>
      <c r="AN972" t="s">
        <v>74</v>
      </c>
      <c r="AO972" t="s">
        <v>1746</v>
      </c>
      <c r="AP972" t="s">
        <v>74</v>
      </c>
      <c r="AQ972" t="s">
        <v>74</v>
      </c>
      <c r="AR972" t="s">
        <v>74</v>
      </c>
      <c r="AS972" t="s">
        <v>74</v>
      </c>
      <c r="AT972" t="s">
        <v>633</v>
      </c>
      <c r="AU972">
        <v>2023</v>
      </c>
      <c r="AV972">
        <v>40</v>
      </c>
      <c r="AW972">
        <v>2</v>
      </c>
      <c r="AX972" t="s">
        <v>74</v>
      </c>
      <c r="AY972" t="s">
        <v>74</v>
      </c>
      <c r="AZ972" t="s">
        <v>74</v>
      </c>
      <c r="BA972" t="s">
        <v>74</v>
      </c>
      <c r="BB972">
        <v>168</v>
      </c>
      <c r="BC972">
        <v>174</v>
      </c>
      <c r="BD972" t="s">
        <v>74</v>
      </c>
      <c r="BE972" t="s">
        <v>2098</v>
      </c>
      <c r="BF972" t="str">
        <f>HYPERLINK("http://dx.doi.org/10.2108/zs220088","http://dx.doi.org/10.2108/zs220088")</f>
        <v>http://dx.doi.org/10.2108/zs220088</v>
      </c>
      <c r="BG972" t="s">
        <v>74</v>
      </c>
      <c r="BH972" t="s">
        <v>74</v>
      </c>
      <c r="BI972" t="s">
        <v>74</v>
      </c>
      <c r="BJ972" t="s">
        <v>74</v>
      </c>
      <c r="BK972" t="s">
        <v>74</v>
      </c>
      <c r="BL972" t="s">
        <v>74</v>
      </c>
      <c r="BM972" t="s">
        <v>74</v>
      </c>
      <c r="BN972">
        <v>37042696</v>
      </c>
      <c r="BO972" t="s">
        <v>74</v>
      </c>
      <c r="BP972" t="s">
        <v>74</v>
      </c>
      <c r="BQ972" t="s">
        <v>74</v>
      </c>
      <c r="BR972" t="s">
        <v>74</v>
      </c>
      <c r="BS972" t="s">
        <v>2099</v>
      </c>
      <c r="BT972" t="str">
        <f>HYPERLINK("https%3A%2F%2Fwww.webofscience.com%2Fwos%2Fwoscc%2Ffull-record%2FWOS:000963816400010","View Full Record in Web of Science")</f>
        <v>View Full Record in Web of Science</v>
      </c>
    </row>
    <row r="973" spans="1:72" x14ac:dyDescent="0.4">
      <c r="A973" t="s">
        <v>72</v>
      </c>
      <c r="B973" t="s">
        <v>7311</v>
      </c>
      <c r="C973" t="s">
        <v>74</v>
      </c>
      <c r="D973" t="s">
        <v>74</v>
      </c>
      <c r="E973" t="s">
        <v>74</v>
      </c>
      <c r="F973" t="s">
        <v>7312</v>
      </c>
      <c r="G973" t="s">
        <v>74</v>
      </c>
      <c r="H973" t="s">
        <v>74</v>
      </c>
      <c r="I973" t="s">
        <v>7313</v>
      </c>
      <c r="J973" t="s">
        <v>1526</v>
      </c>
      <c r="K973" t="s">
        <v>74</v>
      </c>
      <c r="L973" t="s">
        <v>74</v>
      </c>
      <c r="M973" t="s">
        <v>74</v>
      </c>
      <c r="N973" t="s">
        <v>74</v>
      </c>
      <c r="O973" t="s">
        <v>74</v>
      </c>
      <c r="P973" t="s">
        <v>74</v>
      </c>
      <c r="Q973" t="s">
        <v>74</v>
      </c>
      <c r="R973" t="s">
        <v>74</v>
      </c>
      <c r="S973" t="s">
        <v>74</v>
      </c>
      <c r="T973" t="s">
        <v>74</v>
      </c>
      <c r="U973" t="s">
        <v>74</v>
      </c>
      <c r="V973" s="3" t="s">
        <v>7314</v>
      </c>
      <c r="W973" t="s">
        <v>74</v>
      </c>
      <c r="X973" t="s">
        <v>74</v>
      </c>
      <c r="Y973" t="s">
        <v>74</v>
      </c>
      <c r="Z973" t="s">
        <v>74</v>
      </c>
      <c r="AA973" t="s">
        <v>74</v>
      </c>
      <c r="AB973" t="s">
        <v>74</v>
      </c>
      <c r="AC973" t="s">
        <v>74</v>
      </c>
      <c r="AD973" t="s">
        <v>74</v>
      </c>
      <c r="AE973" t="s">
        <v>74</v>
      </c>
      <c r="AF973" t="s">
        <v>74</v>
      </c>
      <c r="AG973" t="s">
        <v>74</v>
      </c>
      <c r="AH973" t="s">
        <v>74</v>
      </c>
      <c r="AI973" t="s">
        <v>74</v>
      </c>
      <c r="AJ973" t="s">
        <v>74</v>
      </c>
      <c r="AK973" t="s">
        <v>74</v>
      </c>
      <c r="AL973" t="s">
        <v>74</v>
      </c>
      <c r="AM973" t="s">
        <v>74</v>
      </c>
      <c r="AN973" t="s">
        <v>74</v>
      </c>
      <c r="AO973" t="s">
        <v>1528</v>
      </c>
      <c r="AP973" t="s">
        <v>74</v>
      </c>
      <c r="AQ973" t="s">
        <v>74</v>
      </c>
      <c r="AR973" t="s">
        <v>74</v>
      </c>
      <c r="AS973" t="s">
        <v>74</v>
      </c>
      <c r="AT973" t="s">
        <v>134</v>
      </c>
      <c r="AU973">
        <v>2007</v>
      </c>
      <c r="AV973">
        <v>109</v>
      </c>
      <c r="AW973">
        <v>2</v>
      </c>
      <c r="AX973" t="s">
        <v>74</v>
      </c>
      <c r="AY973" t="s">
        <v>74</v>
      </c>
      <c r="AZ973" t="s">
        <v>74</v>
      </c>
      <c r="BA973" t="s">
        <v>74</v>
      </c>
      <c r="BB973">
        <v>475</v>
      </c>
      <c r="BC973">
        <v>480</v>
      </c>
      <c r="BD973" t="s">
        <v>74</v>
      </c>
      <c r="BE973" t="s">
        <v>7315</v>
      </c>
      <c r="BF973" t="str">
        <f>HYPERLINK("http://dx.doi.org/10.1650/0010-5422(2007)109[475:WFNTDB]2.0.CO;2","http://dx.doi.org/10.1650/0010-5422(2007)109[475:WFNTDB]2.0.CO;2")</f>
        <v>http://dx.doi.org/10.1650/0010-5422(2007)109[475:WFNTDB]2.0.CO;2</v>
      </c>
      <c r="BG973" t="s">
        <v>74</v>
      </c>
      <c r="BH973" t="s">
        <v>74</v>
      </c>
      <c r="BI973" t="s">
        <v>74</v>
      </c>
      <c r="BJ973" t="s">
        <v>74</v>
      </c>
      <c r="BK973" t="s">
        <v>74</v>
      </c>
      <c r="BL973" t="s">
        <v>74</v>
      </c>
      <c r="BM973" t="s">
        <v>74</v>
      </c>
      <c r="BN973" t="s">
        <v>74</v>
      </c>
      <c r="BO973" t="s">
        <v>74</v>
      </c>
      <c r="BP973" t="s">
        <v>74</v>
      </c>
      <c r="BQ973" t="s">
        <v>74</v>
      </c>
      <c r="BR973" t="s">
        <v>74</v>
      </c>
      <c r="BS973" t="s">
        <v>7316</v>
      </c>
      <c r="BT973" t="str">
        <f>HYPERLINK("https%3A%2F%2Fwww.webofscience.com%2Fwos%2Fwoscc%2Ffull-record%2FWOS:000246603900024","View Full Record in Web of Science")</f>
        <v>View Full Record in Web of Science</v>
      </c>
    </row>
    <row r="974" spans="1:72" x14ac:dyDescent="0.4">
      <c r="A974" t="s">
        <v>72</v>
      </c>
      <c r="B974" t="s">
        <v>745</v>
      </c>
      <c r="C974" t="s">
        <v>74</v>
      </c>
      <c r="D974" t="s">
        <v>74</v>
      </c>
      <c r="E974" t="s">
        <v>74</v>
      </c>
      <c r="F974" t="s">
        <v>746</v>
      </c>
      <c r="G974" t="s">
        <v>74</v>
      </c>
      <c r="H974" t="s">
        <v>74</v>
      </c>
      <c r="I974" t="s">
        <v>747</v>
      </c>
      <c r="J974" t="s">
        <v>748</v>
      </c>
      <c r="K974" t="s">
        <v>74</v>
      </c>
      <c r="L974" t="s">
        <v>74</v>
      </c>
      <c r="M974" t="s">
        <v>74</v>
      </c>
      <c r="N974" t="s">
        <v>74</v>
      </c>
      <c r="O974" t="s">
        <v>74</v>
      </c>
      <c r="P974" t="s">
        <v>74</v>
      </c>
      <c r="Q974" t="s">
        <v>74</v>
      </c>
      <c r="R974" t="s">
        <v>74</v>
      </c>
      <c r="S974" t="s">
        <v>74</v>
      </c>
      <c r="T974" t="s">
        <v>74</v>
      </c>
      <c r="U974" t="s">
        <v>74</v>
      </c>
      <c r="V974" s="3" t="s">
        <v>749</v>
      </c>
      <c r="W974" t="s">
        <v>74</v>
      </c>
      <c r="X974" t="s">
        <v>74</v>
      </c>
      <c r="Y974" t="s">
        <v>74</v>
      </c>
      <c r="Z974" t="s">
        <v>74</v>
      </c>
      <c r="AA974" t="s">
        <v>74</v>
      </c>
      <c r="AB974" t="s">
        <v>74</v>
      </c>
      <c r="AC974" t="s">
        <v>74</v>
      </c>
      <c r="AD974" t="s">
        <v>74</v>
      </c>
      <c r="AE974" t="s">
        <v>74</v>
      </c>
      <c r="AF974" t="s">
        <v>74</v>
      </c>
      <c r="AG974" t="s">
        <v>74</v>
      </c>
      <c r="AH974" t="s">
        <v>74</v>
      </c>
      <c r="AI974" t="s">
        <v>74</v>
      </c>
      <c r="AJ974" t="s">
        <v>74</v>
      </c>
      <c r="AK974" t="s">
        <v>74</v>
      </c>
      <c r="AL974" t="s">
        <v>74</v>
      </c>
      <c r="AM974" t="s">
        <v>74</v>
      </c>
      <c r="AN974" t="s">
        <v>74</v>
      </c>
      <c r="AO974" t="s">
        <v>750</v>
      </c>
      <c r="AP974" t="s">
        <v>74</v>
      </c>
      <c r="AQ974" t="s">
        <v>74</v>
      </c>
      <c r="AR974" t="s">
        <v>74</v>
      </c>
      <c r="AS974" t="s">
        <v>74</v>
      </c>
      <c r="AT974" t="s">
        <v>255</v>
      </c>
      <c r="AU974">
        <v>2022</v>
      </c>
      <c r="AV974">
        <v>21</v>
      </c>
      <c r="AW974">
        <v>1</v>
      </c>
      <c r="AX974" t="s">
        <v>74</v>
      </c>
      <c r="AY974" t="s">
        <v>74</v>
      </c>
      <c r="AZ974" t="s">
        <v>74</v>
      </c>
      <c r="BA974" t="s">
        <v>74</v>
      </c>
      <c r="BB974">
        <v>45</v>
      </c>
      <c r="BC974">
        <v>52</v>
      </c>
      <c r="BD974" t="s">
        <v>74</v>
      </c>
      <c r="BE974" t="s">
        <v>74</v>
      </c>
      <c r="BF974" t="s">
        <v>74</v>
      </c>
      <c r="BG974" t="s">
        <v>74</v>
      </c>
      <c r="BH974" t="s">
        <v>74</v>
      </c>
      <c r="BI974" t="s">
        <v>74</v>
      </c>
      <c r="BJ974" t="s">
        <v>74</v>
      </c>
      <c r="BK974" t="s">
        <v>74</v>
      </c>
      <c r="BL974" t="s">
        <v>74</v>
      </c>
      <c r="BM974" t="s">
        <v>74</v>
      </c>
      <c r="BN974" t="s">
        <v>74</v>
      </c>
      <c r="BO974" t="s">
        <v>74</v>
      </c>
      <c r="BP974" t="s">
        <v>74</v>
      </c>
      <c r="BQ974" t="s">
        <v>74</v>
      </c>
      <c r="BR974" t="s">
        <v>74</v>
      </c>
      <c r="BS974" t="s">
        <v>751</v>
      </c>
      <c r="BT974" t="str">
        <f>HYPERLINK("https%3A%2F%2Fwww.webofscience.com%2Fwos%2Fwoscc%2Ffull-record%2FWOS:000752459100006","View Full Record in Web of Science")</f>
        <v>View Full Record in Web of Science</v>
      </c>
    </row>
    <row r="975" spans="1:72" x14ac:dyDescent="0.4">
      <c r="A975" t="s">
        <v>72</v>
      </c>
      <c r="B975" t="s">
        <v>1946</v>
      </c>
      <c r="C975" t="s">
        <v>74</v>
      </c>
      <c r="D975" t="s">
        <v>74</v>
      </c>
      <c r="E975" t="s">
        <v>74</v>
      </c>
      <c r="F975" t="s">
        <v>1947</v>
      </c>
      <c r="G975" t="s">
        <v>74</v>
      </c>
      <c r="H975" t="s">
        <v>74</v>
      </c>
      <c r="I975" t="s">
        <v>1948</v>
      </c>
      <c r="J975" t="s">
        <v>1949</v>
      </c>
      <c r="K975" t="s">
        <v>74</v>
      </c>
      <c r="L975" t="s">
        <v>74</v>
      </c>
      <c r="M975" t="s">
        <v>74</v>
      </c>
      <c r="N975" t="s">
        <v>74</v>
      </c>
      <c r="O975" t="s">
        <v>74</v>
      </c>
      <c r="P975" t="s">
        <v>74</v>
      </c>
      <c r="Q975" t="s">
        <v>74</v>
      </c>
      <c r="R975" t="s">
        <v>74</v>
      </c>
      <c r="S975" t="s">
        <v>74</v>
      </c>
      <c r="T975" t="s">
        <v>74</v>
      </c>
      <c r="U975" t="s">
        <v>74</v>
      </c>
      <c r="V975" s="3" t="s">
        <v>1950</v>
      </c>
      <c r="W975" t="s">
        <v>74</v>
      </c>
      <c r="X975" t="s">
        <v>74</v>
      </c>
      <c r="Y975" t="s">
        <v>74</v>
      </c>
      <c r="Z975" t="s">
        <v>74</v>
      </c>
      <c r="AA975" t="s">
        <v>1951</v>
      </c>
      <c r="AB975" t="s">
        <v>1952</v>
      </c>
      <c r="AC975" t="s">
        <v>74</v>
      </c>
      <c r="AD975" t="s">
        <v>74</v>
      </c>
      <c r="AE975" t="s">
        <v>74</v>
      </c>
      <c r="AF975" t="s">
        <v>74</v>
      </c>
      <c r="AG975" t="s">
        <v>74</v>
      </c>
      <c r="AH975" t="s">
        <v>74</v>
      </c>
      <c r="AI975" t="s">
        <v>74</v>
      </c>
      <c r="AJ975" t="s">
        <v>74</v>
      </c>
      <c r="AK975" t="s">
        <v>74</v>
      </c>
      <c r="AL975" t="s">
        <v>74</v>
      </c>
      <c r="AM975" t="s">
        <v>74</v>
      </c>
      <c r="AN975" t="s">
        <v>74</v>
      </c>
      <c r="AO975" t="s">
        <v>74</v>
      </c>
      <c r="AP975" t="s">
        <v>1953</v>
      </c>
      <c r="AQ975" t="s">
        <v>74</v>
      </c>
      <c r="AR975" t="s">
        <v>74</v>
      </c>
      <c r="AS975" t="s">
        <v>74</v>
      </c>
      <c r="AT975" t="s">
        <v>123</v>
      </c>
      <c r="AU975">
        <v>2023</v>
      </c>
      <c r="AV975">
        <v>14</v>
      </c>
      <c r="AW975">
        <v>3</v>
      </c>
      <c r="AX975" t="s">
        <v>74</v>
      </c>
      <c r="AY975" t="s">
        <v>74</v>
      </c>
      <c r="AZ975" t="s">
        <v>74</v>
      </c>
      <c r="BA975" t="s">
        <v>74</v>
      </c>
      <c r="BB975" t="s">
        <v>74</v>
      </c>
      <c r="BC975" t="s">
        <v>74</v>
      </c>
      <c r="BD975">
        <v>227</v>
      </c>
      <c r="BE975" t="s">
        <v>1954</v>
      </c>
      <c r="BF975" t="str">
        <f>HYPERLINK("http://dx.doi.org/10.3390/insects14030227","http://dx.doi.org/10.3390/insects14030227")</f>
        <v>http://dx.doi.org/10.3390/insects14030227</v>
      </c>
      <c r="BG975" t="s">
        <v>74</v>
      </c>
      <c r="BH975" t="s">
        <v>74</v>
      </c>
      <c r="BI975" t="s">
        <v>74</v>
      </c>
      <c r="BJ975" t="s">
        <v>74</v>
      </c>
      <c r="BK975" t="s">
        <v>74</v>
      </c>
      <c r="BL975" t="s">
        <v>74</v>
      </c>
      <c r="BM975" t="s">
        <v>74</v>
      </c>
      <c r="BN975">
        <v>36975912</v>
      </c>
      <c r="BO975" t="s">
        <v>74</v>
      </c>
      <c r="BP975" t="s">
        <v>74</v>
      </c>
      <c r="BQ975" t="s">
        <v>74</v>
      </c>
      <c r="BR975" t="s">
        <v>74</v>
      </c>
      <c r="BS975" t="s">
        <v>1955</v>
      </c>
      <c r="BT975" t="str">
        <f>HYPERLINK("https%3A%2F%2Fwww.webofscience.com%2Fwos%2Fwoscc%2Ffull-record%2FWOS:000955456800001","View Full Record in Web of Science")</f>
        <v>View Full Record in Web of Science</v>
      </c>
    </row>
    <row r="976" spans="1:72" x14ac:dyDescent="0.4">
      <c r="A976" t="s">
        <v>72</v>
      </c>
      <c r="B976" t="s">
        <v>8058</v>
      </c>
      <c r="C976" t="s">
        <v>74</v>
      </c>
      <c r="D976" t="s">
        <v>74</v>
      </c>
      <c r="E976" t="s">
        <v>74</v>
      </c>
      <c r="F976" t="s">
        <v>8058</v>
      </c>
      <c r="G976" t="s">
        <v>74</v>
      </c>
      <c r="H976" t="s">
        <v>74</v>
      </c>
      <c r="I976" t="s">
        <v>8059</v>
      </c>
      <c r="J976" t="s">
        <v>8060</v>
      </c>
      <c r="K976" t="s">
        <v>74</v>
      </c>
      <c r="L976" t="s">
        <v>74</v>
      </c>
      <c r="M976" t="s">
        <v>74</v>
      </c>
      <c r="N976" t="s">
        <v>74</v>
      </c>
      <c r="O976" t="s">
        <v>74</v>
      </c>
      <c r="P976" t="s">
        <v>74</v>
      </c>
      <c r="Q976" t="s">
        <v>74</v>
      </c>
      <c r="R976" t="s">
        <v>74</v>
      </c>
      <c r="S976" t="s">
        <v>74</v>
      </c>
      <c r="T976" t="s">
        <v>74</v>
      </c>
      <c r="U976" t="s">
        <v>74</v>
      </c>
      <c r="V976" s="3" t="s">
        <v>8061</v>
      </c>
      <c r="W976" t="s">
        <v>74</v>
      </c>
      <c r="X976" t="s">
        <v>74</v>
      </c>
      <c r="Y976" t="s">
        <v>74</v>
      </c>
      <c r="Z976" t="s">
        <v>74</v>
      </c>
      <c r="AA976" t="s">
        <v>74</v>
      </c>
      <c r="AB976" t="s">
        <v>74</v>
      </c>
      <c r="AC976" t="s">
        <v>74</v>
      </c>
      <c r="AD976" t="s">
        <v>74</v>
      </c>
      <c r="AE976" t="s">
        <v>74</v>
      </c>
      <c r="AF976" t="s">
        <v>74</v>
      </c>
      <c r="AG976" t="s">
        <v>74</v>
      </c>
      <c r="AH976" t="s">
        <v>74</v>
      </c>
      <c r="AI976" t="s">
        <v>74</v>
      </c>
      <c r="AJ976" t="s">
        <v>74</v>
      </c>
      <c r="AK976" t="s">
        <v>74</v>
      </c>
      <c r="AL976" t="s">
        <v>74</v>
      </c>
      <c r="AM976" t="s">
        <v>74</v>
      </c>
      <c r="AN976" t="s">
        <v>74</v>
      </c>
      <c r="AO976" t="s">
        <v>8062</v>
      </c>
      <c r="AP976" t="s">
        <v>74</v>
      </c>
      <c r="AQ976" t="s">
        <v>74</v>
      </c>
      <c r="AR976" t="s">
        <v>74</v>
      </c>
      <c r="AS976" t="s">
        <v>74</v>
      </c>
      <c r="AT976" t="s">
        <v>352</v>
      </c>
      <c r="AU976">
        <v>2002</v>
      </c>
      <c r="AV976">
        <v>104</v>
      </c>
      <c r="AW976">
        <v>3</v>
      </c>
      <c r="AX976" t="s">
        <v>74</v>
      </c>
      <c r="AY976" t="s">
        <v>74</v>
      </c>
      <c r="AZ976" t="s">
        <v>74</v>
      </c>
      <c r="BA976" t="s">
        <v>74</v>
      </c>
      <c r="BB976">
        <v>353</v>
      </c>
      <c r="BC976">
        <v>360</v>
      </c>
      <c r="BD976" t="s">
        <v>74</v>
      </c>
      <c r="BE976" t="s">
        <v>74</v>
      </c>
      <c r="BF976" t="s">
        <v>74</v>
      </c>
      <c r="BG976" t="s">
        <v>74</v>
      </c>
      <c r="BH976" t="s">
        <v>74</v>
      </c>
      <c r="BI976" t="s">
        <v>74</v>
      </c>
      <c r="BJ976" t="s">
        <v>74</v>
      </c>
      <c r="BK976" t="s">
        <v>74</v>
      </c>
      <c r="BL976" t="s">
        <v>74</v>
      </c>
      <c r="BM976" t="s">
        <v>74</v>
      </c>
      <c r="BN976" t="s">
        <v>74</v>
      </c>
      <c r="BO976" t="s">
        <v>74</v>
      </c>
      <c r="BP976" t="s">
        <v>74</v>
      </c>
      <c r="BQ976" t="s">
        <v>74</v>
      </c>
      <c r="BR976" t="s">
        <v>74</v>
      </c>
      <c r="BS976" t="s">
        <v>8063</v>
      </c>
      <c r="BT976" t="str">
        <f>HYPERLINK("https%3A%2F%2Fwww.webofscience.com%2Fwos%2Fwoscc%2Ffull-record%2FWOS:000179601800016","View Full Record in Web of Science")</f>
        <v>View Full Record in Web of Science</v>
      </c>
    </row>
    <row r="977" spans="1:72" x14ac:dyDescent="0.4">
      <c r="A977" t="s">
        <v>72</v>
      </c>
      <c r="B977" t="s">
        <v>1707</v>
      </c>
      <c r="C977" t="s">
        <v>74</v>
      </c>
      <c r="D977" t="s">
        <v>74</v>
      </c>
      <c r="E977" t="s">
        <v>74</v>
      </c>
      <c r="F977" t="s">
        <v>1708</v>
      </c>
      <c r="G977" t="s">
        <v>74</v>
      </c>
      <c r="H977" t="s">
        <v>74</v>
      </c>
      <c r="I977" t="s">
        <v>1709</v>
      </c>
      <c r="J977" t="s">
        <v>119</v>
      </c>
      <c r="K977" t="s">
        <v>74</v>
      </c>
      <c r="L977" t="s">
        <v>74</v>
      </c>
      <c r="M977" t="s">
        <v>74</v>
      </c>
      <c r="N977" t="s">
        <v>74</v>
      </c>
      <c r="O977" t="s">
        <v>74</v>
      </c>
      <c r="P977" t="s">
        <v>74</v>
      </c>
      <c r="Q977" t="s">
        <v>74</v>
      </c>
      <c r="R977" t="s">
        <v>74</v>
      </c>
      <c r="S977" t="s">
        <v>74</v>
      </c>
      <c r="T977" t="s">
        <v>74</v>
      </c>
      <c r="U977" t="s">
        <v>74</v>
      </c>
      <c r="V977" s="3" t="s">
        <v>1710</v>
      </c>
      <c r="W977" t="s">
        <v>74</v>
      </c>
      <c r="X977" t="s">
        <v>74</v>
      </c>
      <c r="Y977" t="s">
        <v>74</v>
      </c>
      <c r="Z977" t="s">
        <v>74</v>
      </c>
      <c r="AA977" t="s">
        <v>379</v>
      </c>
      <c r="AB977" t="s">
        <v>74</v>
      </c>
      <c r="AC977" t="s">
        <v>74</v>
      </c>
      <c r="AD977" t="s">
        <v>74</v>
      </c>
      <c r="AE977" t="s">
        <v>74</v>
      </c>
      <c r="AF977" t="s">
        <v>74</v>
      </c>
      <c r="AG977" t="s">
        <v>74</v>
      </c>
      <c r="AH977" t="s">
        <v>74</v>
      </c>
      <c r="AI977" t="s">
        <v>74</v>
      </c>
      <c r="AJ977" t="s">
        <v>74</v>
      </c>
      <c r="AK977" t="s">
        <v>74</v>
      </c>
      <c r="AL977" t="s">
        <v>74</v>
      </c>
      <c r="AM977" t="s">
        <v>74</v>
      </c>
      <c r="AN977" t="s">
        <v>74</v>
      </c>
      <c r="AO977" t="s">
        <v>121</v>
      </c>
      <c r="AP977" t="s">
        <v>122</v>
      </c>
      <c r="AQ977" t="s">
        <v>74</v>
      </c>
      <c r="AR977" t="s">
        <v>74</v>
      </c>
      <c r="AS977" t="s">
        <v>74</v>
      </c>
      <c r="AT977" t="s">
        <v>255</v>
      </c>
      <c r="AU977">
        <v>2020</v>
      </c>
      <c r="AV977">
        <v>170</v>
      </c>
      <c r="AW977" t="s">
        <v>74</v>
      </c>
      <c r="AX977" t="s">
        <v>74</v>
      </c>
      <c r="AY977" t="s">
        <v>74</v>
      </c>
      <c r="AZ977" t="s">
        <v>74</v>
      </c>
      <c r="BA977" t="s">
        <v>74</v>
      </c>
      <c r="BB977" t="s">
        <v>74</v>
      </c>
      <c r="BC977" t="s">
        <v>74</v>
      </c>
      <c r="BD977">
        <v>104013</v>
      </c>
      <c r="BE977" t="s">
        <v>1711</v>
      </c>
      <c r="BF977" t="str">
        <f>HYPERLINK("http://dx.doi.org/10.1016/j.beproc.2019.104013","http://dx.doi.org/10.1016/j.beproc.2019.104013")</f>
        <v>http://dx.doi.org/10.1016/j.beproc.2019.104013</v>
      </c>
      <c r="BG977" t="s">
        <v>74</v>
      </c>
      <c r="BH977" t="s">
        <v>74</v>
      </c>
      <c r="BI977" t="s">
        <v>74</v>
      </c>
      <c r="BJ977" t="s">
        <v>74</v>
      </c>
      <c r="BK977" t="s">
        <v>74</v>
      </c>
      <c r="BL977" t="s">
        <v>74</v>
      </c>
      <c r="BM977" t="s">
        <v>74</v>
      </c>
      <c r="BN977">
        <v>31751600</v>
      </c>
      <c r="BO977" t="s">
        <v>74</v>
      </c>
      <c r="BP977" t="s">
        <v>74</v>
      </c>
      <c r="BQ977" t="s">
        <v>74</v>
      </c>
      <c r="BR977" t="s">
        <v>74</v>
      </c>
      <c r="BS977" t="s">
        <v>1712</v>
      </c>
      <c r="BT977" t="str">
        <f>HYPERLINK("https%3A%2F%2Fwww.webofscience.com%2Fwos%2Fwoscc%2Ffull-record%2FWOS:000519226600012","View Full Record in Web of Science")</f>
        <v>View Full Record in Web of Science</v>
      </c>
    </row>
    <row r="978" spans="1:72" x14ac:dyDescent="0.4">
      <c r="A978" t="s">
        <v>72</v>
      </c>
      <c r="B978" t="s">
        <v>189</v>
      </c>
      <c r="C978" t="s">
        <v>74</v>
      </c>
      <c r="D978" t="s">
        <v>74</v>
      </c>
      <c r="E978" t="s">
        <v>74</v>
      </c>
      <c r="F978" t="s">
        <v>190</v>
      </c>
      <c r="G978" t="s">
        <v>74</v>
      </c>
      <c r="H978" t="s">
        <v>74</v>
      </c>
      <c r="I978" t="s">
        <v>191</v>
      </c>
      <c r="J978" t="s">
        <v>192</v>
      </c>
      <c r="K978" t="s">
        <v>74</v>
      </c>
      <c r="L978" t="s">
        <v>74</v>
      </c>
      <c r="M978" t="s">
        <v>74</v>
      </c>
      <c r="N978" t="s">
        <v>74</v>
      </c>
      <c r="O978" t="s">
        <v>74</v>
      </c>
      <c r="P978" t="s">
        <v>74</v>
      </c>
      <c r="Q978" t="s">
        <v>74</v>
      </c>
      <c r="R978" t="s">
        <v>74</v>
      </c>
      <c r="S978" t="s">
        <v>74</v>
      </c>
      <c r="T978" t="s">
        <v>74</v>
      </c>
      <c r="U978" t="s">
        <v>74</v>
      </c>
      <c r="V978" s="3" t="s">
        <v>193</v>
      </c>
      <c r="W978" t="s">
        <v>74</v>
      </c>
      <c r="X978" t="s">
        <v>74</v>
      </c>
      <c r="Y978" t="s">
        <v>74</v>
      </c>
      <c r="Z978" t="s">
        <v>74</v>
      </c>
      <c r="AA978" t="s">
        <v>163</v>
      </c>
      <c r="AB978" t="s">
        <v>194</v>
      </c>
      <c r="AC978" t="s">
        <v>74</v>
      </c>
      <c r="AD978" t="s">
        <v>74</v>
      </c>
      <c r="AE978" t="s">
        <v>74</v>
      </c>
      <c r="AF978" t="s">
        <v>74</v>
      </c>
      <c r="AG978" t="s">
        <v>74</v>
      </c>
      <c r="AH978" t="s">
        <v>74</v>
      </c>
      <c r="AI978" t="s">
        <v>74</v>
      </c>
      <c r="AJ978" t="s">
        <v>74</v>
      </c>
      <c r="AK978" t="s">
        <v>74</v>
      </c>
      <c r="AL978" t="s">
        <v>74</v>
      </c>
      <c r="AM978" t="s">
        <v>74</v>
      </c>
      <c r="AN978" t="s">
        <v>74</v>
      </c>
      <c r="AO978" t="s">
        <v>195</v>
      </c>
      <c r="AP978" t="s">
        <v>196</v>
      </c>
      <c r="AQ978" t="s">
        <v>74</v>
      </c>
      <c r="AR978" t="s">
        <v>74</v>
      </c>
      <c r="AS978" t="s">
        <v>74</v>
      </c>
      <c r="AT978" t="s">
        <v>134</v>
      </c>
      <c r="AU978">
        <v>2017</v>
      </c>
      <c r="AV978">
        <v>791</v>
      </c>
      <c r="AW978">
        <v>1</v>
      </c>
      <c r="AX978" t="s">
        <v>74</v>
      </c>
      <c r="AY978" t="s">
        <v>74</v>
      </c>
      <c r="AZ978" t="s">
        <v>74</v>
      </c>
      <c r="BA978" t="s">
        <v>74</v>
      </c>
      <c r="BB978">
        <v>237</v>
      </c>
      <c r="BC978">
        <v>245</v>
      </c>
      <c r="BD978" t="s">
        <v>74</v>
      </c>
      <c r="BE978" t="s">
        <v>197</v>
      </c>
      <c r="BF978" t="str">
        <f>HYPERLINK("http://dx.doi.org/10.1007/s10750-016-2889-1","http://dx.doi.org/10.1007/s10750-016-2889-1")</f>
        <v>http://dx.doi.org/10.1007/s10750-016-2889-1</v>
      </c>
      <c r="BG978" t="s">
        <v>74</v>
      </c>
      <c r="BH978" t="s">
        <v>74</v>
      </c>
      <c r="BI978" t="s">
        <v>74</v>
      </c>
      <c r="BJ978" t="s">
        <v>74</v>
      </c>
      <c r="BK978" t="s">
        <v>74</v>
      </c>
      <c r="BL978" t="s">
        <v>74</v>
      </c>
      <c r="BM978" t="s">
        <v>74</v>
      </c>
      <c r="BN978" t="s">
        <v>74</v>
      </c>
      <c r="BO978" t="s">
        <v>74</v>
      </c>
      <c r="BP978" t="s">
        <v>74</v>
      </c>
      <c r="BQ978" t="s">
        <v>74</v>
      </c>
      <c r="BR978" t="s">
        <v>74</v>
      </c>
      <c r="BS978" t="s">
        <v>198</v>
      </c>
      <c r="BT978" t="str">
        <f>HYPERLINK("https%3A%2F%2Fwww.webofscience.com%2Fwos%2Fwoscc%2Ffull-record%2FWOS:000396043800017","View Full Record in Web of Science")</f>
        <v>View Full Record in Web of Science</v>
      </c>
    </row>
    <row r="979" spans="1:72" x14ac:dyDescent="0.4">
      <c r="A979" t="s">
        <v>72</v>
      </c>
      <c r="B979" t="s">
        <v>4227</v>
      </c>
      <c r="C979" t="s">
        <v>74</v>
      </c>
      <c r="D979" t="s">
        <v>74</v>
      </c>
      <c r="E979" t="s">
        <v>74</v>
      </c>
      <c r="F979" t="s">
        <v>4227</v>
      </c>
      <c r="G979" t="s">
        <v>74</v>
      </c>
      <c r="H979" t="s">
        <v>74</v>
      </c>
      <c r="I979" t="s">
        <v>4228</v>
      </c>
      <c r="J979" t="s">
        <v>77</v>
      </c>
      <c r="K979" t="s">
        <v>74</v>
      </c>
      <c r="L979" t="s">
        <v>74</v>
      </c>
      <c r="M979" t="s">
        <v>74</v>
      </c>
      <c r="N979" t="s">
        <v>74</v>
      </c>
      <c r="O979" t="s">
        <v>74</v>
      </c>
      <c r="P979" t="s">
        <v>74</v>
      </c>
      <c r="Q979" t="s">
        <v>74</v>
      </c>
      <c r="R979" t="s">
        <v>74</v>
      </c>
      <c r="S979" t="s">
        <v>74</v>
      </c>
      <c r="T979" t="s">
        <v>74</v>
      </c>
      <c r="U979" t="s">
        <v>74</v>
      </c>
      <c r="V979" s="3" t="s">
        <v>4229</v>
      </c>
      <c r="W979" t="s">
        <v>74</v>
      </c>
      <c r="X979" t="s">
        <v>74</v>
      </c>
      <c r="Y979" t="s">
        <v>74</v>
      </c>
      <c r="Z979" t="s">
        <v>74</v>
      </c>
      <c r="AA979" t="s">
        <v>74</v>
      </c>
      <c r="AB979" t="s">
        <v>74</v>
      </c>
      <c r="AC979" t="s">
        <v>74</v>
      </c>
      <c r="AD979" t="s">
        <v>74</v>
      </c>
      <c r="AE979" t="s">
        <v>74</v>
      </c>
      <c r="AF979" t="s">
        <v>74</v>
      </c>
      <c r="AG979" t="s">
        <v>74</v>
      </c>
      <c r="AH979" t="s">
        <v>74</v>
      </c>
      <c r="AI979" t="s">
        <v>74</v>
      </c>
      <c r="AJ979" t="s">
        <v>74</v>
      </c>
      <c r="AK979" t="s">
        <v>74</v>
      </c>
      <c r="AL979" t="s">
        <v>74</v>
      </c>
      <c r="AM979" t="s">
        <v>74</v>
      </c>
      <c r="AN979" t="s">
        <v>74</v>
      </c>
      <c r="AO979" t="s">
        <v>81</v>
      </c>
      <c r="AP979" t="s">
        <v>82</v>
      </c>
      <c r="AQ979" t="s">
        <v>74</v>
      </c>
      <c r="AR979" t="s">
        <v>74</v>
      </c>
      <c r="AS979" t="s">
        <v>74</v>
      </c>
      <c r="AT979" t="s">
        <v>74</v>
      </c>
      <c r="AU979">
        <v>1978</v>
      </c>
      <c r="AV979">
        <v>64</v>
      </c>
      <c r="AW979" t="s">
        <v>74</v>
      </c>
      <c r="AX979" t="s">
        <v>1276</v>
      </c>
      <c r="AY979" t="s">
        <v>74</v>
      </c>
      <c r="AZ979" t="s">
        <v>74</v>
      </c>
      <c r="BA979" t="s">
        <v>74</v>
      </c>
      <c r="BB979">
        <v>271</v>
      </c>
      <c r="BC979">
        <v>297</v>
      </c>
      <c r="BD979" t="s">
        <v>74</v>
      </c>
      <c r="BE979" t="s">
        <v>4230</v>
      </c>
      <c r="BF979" t="str">
        <f>HYPERLINK("http://dx.doi.org/10.1163/156853978X00062","http://dx.doi.org/10.1163/156853978X00062")</f>
        <v>http://dx.doi.org/10.1163/156853978X00062</v>
      </c>
      <c r="BG979" t="s">
        <v>74</v>
      </c>
      <c r="BH979" t="s">
        <v>74</v>
      </c>
      <c r="BI979" t="s">
        <v>74</v>
      </c>
      <c r="BJ979" t="s">
        <v>74</v>
      </c>
      <c r="BK979" t="s">
        <v>74</v>
      </c>
      <c r="BL979" t="s">
        <v>74</v>
      </c>
      <c r="BM979" t="s">
        <v>74</v>
      </c>
      <c r="BN979">
        <v>566542</v>
      </c>
      <c r="BO979" t="s">
        <v>74</v>
      </c>
      <c r="BP979" t="s">
        <v>74</v>
      </c>
      <c r="BQ979" t="s">
        <v>74</v>
      </c>
      <c r="BR979" t="s">
        <v>74</v>
      </c>
      <c r="BS979" t="s">
        <v>4231</v>
      </c>
      <c r="BT979" t="str">
        <f>HYPERLINK("https%3A%2F%2Fwww.webofscience.com%2Fwos%2Fwoscc%2Ffull-record%2FWOS:A1978EY03400006","View Full Record in Web of Science")</f>
        <v>View Full Record in Web of Science</v>
      </c>
    </row>
    <row r="980" spans="1:72" x14ac:dyDescent="0.4">
      <c r="A980" t="s">
        <v>72</v>
      </c>
      <c r="B980" t="s">
        <v>5555</v>
      </c>
      <c r="C980" t="s">
        <v>74</v>
      </c>
      <c r="D980" t="s">
        <v>74</v>
      </c>
      <c r="E980" t="s">
        <v>74</v>
      </c>
      <c r="F980" t="s">
        <v>5556</v>
      </c>
      <c r="G980" t="s">
        <v>74</v>
      </c>
      <c r="H980" t="s">
        <v>74</v>
      </c>
      <c r="I980" t="s">
        <v>5557</v>
      </c>
      <c r="J980" t="s">
        <v>576</v>
      </c>
      <c r="K980" t="s">
        <v>74</v>
      </c>
      <c r="L980" t="s">
        <v>74</v>
      </c>
      <c r="M980" t="s">
        <v>74</v>
      </c>
      <c r="N980" t="s">
        <v>74</v>
      </c>
      <c r="O980" t="s">
        <v>74</v>
      </c>
      <c r="P980" t="s">
        <v>74</v>
      </c>
      <c r="Q980" t="s">
        <v>74</v>
      </c>
      <c r="R980" t="s">
        <v>74</v>
      </c>
      <c r="S980" t="s">
        <v>74</v>
      </c>
      <c r="T980" t="s">
        <v>74</v>
      </c>
      <c r="U980" t="s">
        <v>74</v>
      </c>
      <c r="V980" s="3" t="s">
        <v>5558</v>
      </c>
      <c r="W980" t="s">
        <v>74</v>
      </c>
      <c r="X980" t="s">
        <v>74</v>
      </c>
      <c r="Y980" t="s">
        <v>74</v>
      </c>
      <c r="Z980" t="s">
        <v>74</v>
      </c>
      <c r="AA980" t="s">
        <v>5559</v>
      </c>
      <c r="AB980" t="s">
        <v>5560</v>
      </c>
      <c r="AC980" t="s">
        <v>74</v>
      </c>
      <c r="AD980" t="s">
        <v>74</v>
      </c>
      <c r="AE980" t="s">
        <v>74</v>
      </c>
      <c r="AF980" t="s">
        <v>74</v>
      </c>
      <c r="AG980" t="s">
        <v>74</v>
      </c>
      <c r="AH980" t="s">
        <v>74</v>
      </c>
      <c r="AI980" t="s">
        <v>74</v>
      </c>
      <c r="AJ980" t="s">
        <v>74</v>
      </c>
      <c r="AK980" t="s">
        <v>74</v>
      </c>
      <c r="AL980" t="s">
        <v>74</v>
      </c>
      <c r="AM980" t="s">
        <v>74</v>
      </c>
      <c r="AN980" t="s">
        <v>74</v>
      </c>
      <c r="AO980" t="s">
        <v>579</v>
      </c>
      <c r="AP980" t="s">
        <v>580</v>
      </c>
      <c r="AQ980" t="s">
        <v>74</v>
      </c>
      <c r="AR980" t="s">
        <v>74</v>
      </c>
      <c r="AS980" t="s">
        <v>74</v>
      </c>
      <c r="AT980" t="s">
        <v>213</v>
      </c>
      <c r="AU980">
        <v>2009</v>
      </c>
      <c r="AV980">
        <v>23</v>
      </c>
      <c r="AW980">
        <v>6</v>
      </c>
      <c r="AX980" t="s">
        <v>74</v>
      </c>
      <c r="AY980" t="s">
        <v>74</v>
      </c>
      <c r="AZ980" t="s">
        <v>74</v>
      </c>
      <c r="BA980" t="s">
        <v>74</v>
      </c>
      <c r="BB980">
        <v>943</v>
      </c>
      <c r="BC980">
        <v>961</v>
      </c>
      <c r="BD980" t="s">
        <v>74</v>
      </c>
      <c r="BE980" t="s">
        <v>5561</v>
      </c>
      <c r="BF980" t="str">
        <f>HYPERLINK("http://dx.doi.org/10.1007/s10682-008-9283-z","http://dx.doi.org/10.1007/s10682-008-9283-z")</f>
        <v>http://dx.doi.org/10.1007/s10682-008-9283-z</v>
      </c>
      <c r="BG980" t="s">
        <v>74</v>
      </c>
      <c r="BH980" t="s">
        <v>74</v>
      </c>
      <c r="BI980" t="s">
        <v>74</v>
      </c>
      <c r="BJ980" t="s">
        <v>74</v>
      </c>
      <c r="BK980" t="s">
        <v>74</v>
      </c>
      <c r="BL980" t="s">
        <v>74</v>
      </c>
      <c r="BM980" t="s">
        <v>74</v>
      </c>
      <c r="BN980" t="s">
        <v>74</v>
      </c>
      <c r="BO980" t="s">
        <v>74</v>
      </c>
      <c r="BP980" t="s">
        <v>74</v>
      </c>
      <c r="BQ980" t="s">
        <v>74</v>
      </c>
      <c r="BR980" t="s">
        <v>74</v>
      </c>
      <c r="BS980" t="s">
        <v>5562</v>
      </c>
      <c r="BT980" t="str">
        <f>HYPERLINK("https%3A%2F%2Fwww.webofscience.com%2Fwos%2Fwoscc%2Ffull-record%2FWOS:000271949700009","View Full Record in Web of Science")</f>
        <v>View Full Record in Web of Science</v>
      </c>
    </row>
    <row r="981" spans="1:72" x14ac:dyDescent="0.4">
      <c r="A981" t="s">
        <v>72</v>
      </c>
      <c r="B981" t="s">
        <v>2420</v>
      </c>
      <c r="C981" t="s">
        <v>74</v>
      </c>
      <c r="D981" t="s">
        <v>74</v>
      </c>
      <c r="E981" t="s">
        <v>74</v>
      </c>
      <c r="F981" t="s">
        <v>2420</v>
      </c>
      <c r="G981" t="s">
        <v>74</v>
      </c>
      <c r="H981" t="s">
        <v>74</v>
      </c>
      <c r="I981" t="s">
        <v>2421</v>
      </c>
      <c r="J981" t="s">
        <v>2422</v>
      </c>
      <c r="K981" t="s">
        <v>74</v>
      </c>
      <c r="L981" t="s">
        <v>74</v>
      </c>
      <c r="M981" t="s">
        <v>74</v>
      </c>
      <c r="N981" t="s">
        <v>74</v>
      </c>
      <c r="O981" t="s">
        <v>74</v>
      </c>
      <c r="P981" t="s">
        <v>74</v>
      </c>
      <c r="Q981" t="s">
        <v>74</v>
      </c>
      <c r="R981" t="s">
        <v>74</v>
      </c>
      <c r="S981" t="s">
        <v>74</v>
      </c>
      <c r="T981" t="s">
        <v>74</v>
      </c>
      <c r="U981" t="s">
        <v>74</v>
      </c>
      <c r="V981" s="3" t="s">
        <v>2423</v>
      </c>
      <c r="W981" t="s">
        <v>74</v>
      </c>
      <c r="X981" t="s">
        <v>74</v>
      </c>
      <c r="Y981" t="s">
        <v>74</v>
      </c>
      <c r="Z981" t="s">
        <v>74</v>
      </c>
      <c r="AA981" t="s">
        <v>2424</v>
      </c>
      <c r="AB981" t="s">
        <v>2425</v>
      </c>
      <c r="AC981" t="s">
        <v>74</v>
      </c>
      <c r="AD981" t="s">
        <v>74</v>
      </c>
      <c r="AE981" t="s">
        <v>74</v>
      </c>
      <c r="AF981" t="s">
        <v>74</v>
      </c>
      <c r="AG981" t="s">
        <v>74</v>
      </c>
      <c r="AH981" t="s">
        <v>74</v>
      </c>
      <c r="AI981" t="s">
        <v>74</v>
      </c>
      <c r="AJ981" t="s">
        <v>74</v>
      </c>
      <c r="AK981" t="s">
        <v>74</v>
      </c>
      <c r="AL981" t="s">
        <v>74</v>
      </c>
      <c r="AM981" t="s">
        <v>74</v>
      </c>
      <c r="AN981" t="s">
        <v>74</v>
      </c>
      <c r="AO981" t="s">
        <v>2426</v>
      </c>
      <c r="AP981" t="s">
        <v>74</v>
      </c>
      <c r="AQ981" t="s">
        <v>74</v>
      </c>
      <c r="AR981" t="s">
        <v>74</v>
      </c>
      <c r="AS981" t="s">
        <v>74</v>
      </c>
      <c r="AT981" t="s">
        <v>134</v>
      </c>
      <c r="AU981">
        <v>2006</v>
      </c>
      <c r="AV981">
        <v>31</v>
      </c>
      <c r="AW981">
        <v>4</v>
      </c>
      <c r="AX981" t="s">
        <v>74</v>
      </c>
      <c r="AY981" t="s">
        <v>74</v>
      </c>
      <c r="AZ981" t="s">
        <v>74</v>
      </c>
      <c r="BA981" t="s">
        <v>74</v>
      </c>
      <c r="BB981">
        <v>362</v>
      </c>
      <c r="BC981">
        <v>369</v>
      </c>
      <c r="BD981" t="s">
        <v>74</v>
      </c>
      <c r="BE981" t="s">
        <v>2427</v>
      </c>
      <c r="BF981" t="str">
        <f>HYPERLINK("http://dx.doi.org/10.1016/j.jtherbio.2006.01.008","http://dx.doi.org/10.1016/j.jtherbio.2006.01.008")</f>
        <v>http://dx.doi.org/10.1016/j.jtherbio.2006.01.008</v>
      </c>
      <c r="BG981" t="s">
        <v>74</v>
      </c>
      <c r="BH981" t="s">
        <v>74</v>
      </c>
      <c r="BI981" t="s">
        <v>74</v>
      </c>
      <c r="BJ981" t="s">
        <v>74</v>
      </c>
      <c r="BK981" t="s">
        <v>74</v>
      </c>
      <c r="BL981" t="s">
        <v>74</v>
      </c>
      <c r="BM981" t="s">
        <v>74</v>
      </c>
      <c r="BN981" t="s">
        <v>74</v>
      </c>
      <c r="BO981" t="s">
        <v>74</v>
      </c>
      <c r="BP981" t="s">
        <v>74</v>
      </c>
      <c r="BQ981" t="s">
        <v>74</v>
      </c>
      <c r="BR981" t="s">
        <v>74</v>
      </c>
      <c r="BS981" t="s">
        <v>2428</v>
      </c>
      <c r="BT981" t="str">
        <f>HYPERLINK("https%3A%2F%2Fwww.webofscience.com%2Fwos%2Fwoscc%2Ffull-record%2FWOS:000237171000013","View Full Record in Web of Science")</f>
        <v>View Full Record in Web of Science</v>
      </c>
    </row>
    <row r="982" spans="1:72" x14ac:dyDescent="0.4">
      <c r="A982" t="s">
        <v>72</v>
      </c>
      <c r="B982" t="s">
        <v>5425</v>
      </c>
      <c r="C982" t="s">
        <v>74</v>
      </c>
      <c r="D982" t="s">
        <v>74</v>
      </c>
      <c r="E982" t="s">
        <v>74</v>
      </c>
      <c r="F982" t="s">
        <v>5426</v>
      </c>
      <c r="G982" t="s">
        <v>74</v>
      </c>
      <c r="H982" t="s">
        <v>74</v>
      </c>
      <c r="I982" t="s">
        <v>5427</v>
      </c>
      <c r="J982" t="s">
        <v>5428</v>
      </c>
      <c r="K982" t="s">
        <v>74</v>
      </c>
      <c r="L982" t="s">
        <v>74</v>
      </c>
      <c r="M982" t="s">
        <v>74</v>
      </c>
      <c r="N982" t="s">
        <v>74</v>
      </c>
      <c r="O982" t="s">
        <v>74</v>
      </c>
      <c r="P982" t="s">
        <v>74</v>
      </c>
      <c r="Q982" t="s">
        <v>74</v>
      </c>
      <c r="R982" t="s">
        <v>74</v>
      </c>
      <c r="S982" t="s">
        <v>74</v>
      </c>
      <c r="T982" t="s">
        <v>74</v>
      </c>
      <c r="U982" t="s">
        <v>74</v>
      </c>
      <c r="V982" s="3" t="s">
        <v>5429</v>
      </c>
      <c r="W982" t="s">
        <v>74</v>
      </c>
      <c r="X982" t="s">
        <v>74</v>
      </c>
      <c r="Y982" t="s">
        <v>74</v>
      </c>
      <c r="Z982" t="s">
        <v>74</v>
      </c>
      <c r="AA982" t="s">
        <v>4828</v>
      </c>
      <c r="AB982" t="s">
        <v>4829</v>
      </c>
      <c r="AC982" t="s">
        <v>74</v>
      </c>
      <c r="AD982" t="s">
        <v>74</v>
      </c>
      <c r="AE982" t="s">
        <v>74</v>
      </c>
      <c r="AF982" t="s">
        <v>74</v>
      </c>
      <c r="AG982" t="s">
        <v>74</v>
      </c>
      <c r="AH982" t="s">
        <v>74</v>
      </c>
      <c r="AI982" t="s">
        <v>74</v>
      </c>
      <c r="AJ982" t="s">
        <v>74</v>
      </c>
      <c r="AK982" t="s">
        <v>74</v>
      </c>
      <c r="AL982" t="s">
        <v>74</v>
      </c>
      <c r="AM982" t="s">
        <v>74</v>
      </c>
      <c r="AN982" t="s">
        <v>74</v>
      </c>
      <c r="AO982" t="s">
        <v>5430</v>
      </c>
      <c r="AP982" t="s">
        <v>5431</v>
      </c>
      <c r="AQ982" t="s">
        <v>74</v>
      </c>
      <c r="AR982" t="s">
        <v>74</v>
      </c>
      <c r="AS982" t="s">
        <v>74</v>
      </c>
      <c r="AT982" t="s">
        <v>352</v>
      </c>
      <c r="AU982">
        <v>2002</v>
      </c>
      <c r="AV982">
        <v>3</v>
      </c>
      <c r="AW982">
        <v>3</v>
      </c>
      <c r="AX982" t="s">
        <v>74</v>
      </c>
      <c r="AY982" t="s">
        <v>74</v>
      </c>
      <c r="AZ982" t="s">
        <v>74</v>
      </c>
      <c r="BA982" t="s">
        <v>74</v>
      </c>
      <c r="BB982">
        <v>213</v>
      </c>
      <c r="BC982">
        <v>224</v>
      </c>
      <c r="BD982" t="s">
        <v>74</v>
      </c>
      <c r="BE982" t="s">
        <v>5432</v>
      </c>
      <c r="BF982" t="str">
        <f>HYPERLINK("http://dx.doi.org/10.1046/j.1467-2979.2002.00088.x","http://dx.doi.org/10.1046/j.1467-2979.2002.00088.x")</f>
        <v>http://dx.doi.org/10.1046/j.1467-2979.2002.00088.x</v>
      </c>
      <c r="BG982" t="s">
        <v>74</v>
      </c>
      <c r="BH982" t="s">
        <v>74</v>
      </c>
      <c r="BI982" t="s">
        <v>74</v>
      </c>
      <c r="BJ982" t="s">
        <v>74</v>
      </c>
      <c r="BK982" t="s">
        <v>74</v>
      </c>
      <c r="BL982" t="s">
        <v>74</v>
      </c>
      <c r="BM982" t="s">
        <v>74</v>
      </c>
      <c r="BN982" t="s">
        <v>74</v>
      </c>
      <c r="BO982" t="s">
        <v>74</v>
      </c>
      <c r="BP982" t="s">
        <v>74</v>
      </c>
      <c r="BQ982" t="s">
        <v>74</v>
      </c>
      <c r="BR982" t="s">
        <v>74</v>
      </c>
      <c r="BS982" t="s">
        <v>5433</v>
      </c>
      <c r="BT982" t="str">
        <f>HYPERLINK("https%3A%2F%2Fwww.webofscience.com%2Fwos%2Fwoscc%2Ffull-record%2FWOS:000208993800007","View Full Record in Web of Science")</f>
        <v>View Full Record in Web of Science</v>
      </c>
    </row>
    <row r="983" spans="1:72" x14ac:dyDescent="0.4">
      <c r="A983" t="s">
        <v>72</v>
      </c>
      <c r="B983" t="s">
        <v>1249</v>
      </c>
      <c r="C983" t="s">
        <v>74</v>
      </c>
      <c r="D983" t="s">
        <v>74</v>
      </c>
      <c r="E983" t="s">
        <v>74</v>
      </c>
      <c r="F983" t="s">
        <v>1249</v>
      </c>
      <c r="G983" t="s">
        <v>74</v>
      </c>
      <c r="H983" t="s">
        <v>74</v>
      </c>
      <c r="I983" t="s">
        <v>1250</v>
      </c>
      <c r="J983" t="s">
        <v>108</v>
      </c>
      <c r="K983" t="s">
        <v>74</v>
      </c>
      <c r="L983" t="s">
        <v>74</v>
      </c>
      <c r="M983" t="s">
        <v>74</v>
      </c>
      <c r="N983" t="s">
        <v>74</v>
      </c>
      <c r="O983" t="s">
        <v>74</v>
      </c>
      <c r="P983" t="s">
        <v>74</v>
      </c>
      <c r="Q983" t="s">
        <v>74</v>
      </c>
      <c r="R983" t="s">
        <v>74</v>
      </c>
      <c r="S983" t="s">
        <v>74</v>
      </c>
      <c r="T983" t="s">
        <v>74</v>
      </c>
      <c r="U983" t="s">
        <v>74</v>
      </c>
      <c r="V983" s="3" t="s">
        <v>1251</v>
      </c>
      <c r="W983" t="s">
        <v>74</v>
      </c>
      <c r="X983" t="s">
        <v>74</v>
      </c>
      <c r="Y983" t="s">
        <v>74</v>
      </c>
      <c r="Z983" t="s">
        <v>74</v>
      </c>
      <c r="AA983" t="s">
        <v>1252</v>
      </c>
      <c r="AB983" t="s">
        <v>74</v>
      </c>
      <c r="AC983" t="s">
        <v>74</v>
      </c>
      <c r="AD983" t="s">
        <v>74</v>
      </c>
      <c r="AE983" t="s">
        <v>74</v>
      </c>
      <c r="AF983" t="s">
        <v>74</v>
      </c>
      <c r="AG983" t="s">
        <v>74</v>
      </c>
      <c r="AH983" t="s">
        <v>74</v>
      </c>
      <c r="AI983" t="s">
        <v>74</v>
      </c>
      <c r="AJ983" t="s">
        <v>74</v>
      </c>
      <c r="AK983" t="s">
        <v>74</v>
      </c>
      <c r="AL983" t="s">
        <v>74</v>
      </c>
      <c r="AM983" t="s">
        <v>74</v>
      </c>
      <c r="AN983" t="s">
        <v>74</v>
      </c>
      <c r="AO983" t="s">
        <v>111</v>
      </c>
      <c r="AP983" t="s">
        <v>74</v>
      </c>
      <c r="AQ983" t="s">
        <v>74</v>
      </c>
      <c r="AR983" t="s">
        <v>74</v>
      </c>
      <c r="AS983" t="s">
        <v>74</v>
      </c>
      <c r="AT983" t="s">
        <v>1253</v>
      </c>
      <c r="AU983">
        <v>2004</v>
      </c>
      <c r="AV983">
        <v>271</v>
      </c>
      <c r="AW983">
        <v>1548</v>
      </c>
      <c r="AX983" t="s">
        <v>74</v>
      </c>
      <c r="AY983" t="s">
        <v>74</v>
      </c>
      <c r="AZ983" t="s">
        <v>74</v>
      </c>
      <c r="BA983" t="s">
        <v>74</v>
      </c>
      <c r="BB983">
        <v>1577</v>
      </c>
      <c r="BC983">
        <v>1584</v>
      </c>
      <c r="BD983" t="s">
        <v>74</v>
      </c>
      <c r="BE983" t="s">
        <v>1254</v>
      </c>
      <c r="BF983" t="str">
        <f>HYPERLINK("http://dx.doi.org/10.1098/rspb.2004.2781","http://dx.doi.org/10.1098/rspb.2004.2781")</f>
        <v>http://dx.doi.org/10.1098/rspb.2004.2781</v>
      </c>
      <c r="BG983" t="s">
        <v>74</v>
      </c>
      <c r="BH983" t="s">
        <v>74</v>
      </c>
      <c r="BI983" t="s">
        <v>74</v>
      </c>
      <c r="BJ983" t="s">
        <v>74</v>
      </c>
      <c r="BK983" t="s">
        <v>74</v>
      </c>
      <c r="BL983" t="s">
        <v>74</v>
      </c>
      <c r="BM983" t="s">
        <v>74</v>
      </c>
      <c r="BN983">
        <v>15306303</v>
      </c>
      <c r="BO983" t="s">
        <v>74</v>
      </c>
      <c r="BP983" t="s">
        <v>74</v>
      </c>
      <c r="BQ983" t="s">
        <v>74</v>
      </c>
      <c r="BR983" t="s">
        <v>74</v>
      </c>
      <c r="BS983" t="s">
        <v>1255</v>
      </c>
      <c r="BT983" t="str">
        <f>HYPERLINK("https%3A%2F%2Fwww.webofscience.com%2Fwos%2Fwoscc%2Ffull-record%2FWOS:000222995100005","View Full Record in Web of Science")</f>
        <v>View Full Record in Web of Science</v>
      </c>
    </row>
    <row r="984" spans="1:72" x14ac:dyDescent="0.4">
      <c r="A984" t="s">
        <v>72</v>
      </c>
      <c r="B984" t="s">
        <v>8539</v>
      </c>
      <c r="C984" t="s">
        <v>74</v>
      </c>
      <c r="D984" t="s">
        <v>74</v>
      </c>
      <c r="E984" t="s">
        <v>74</v>
      </c>
      <c r="F984" t="s">
        <v>8540</v>
      </c>
      <c r="G984" t="s">
        <v>74</v>
      </c>
      <c r="H984" t="s">
        <v>74</v>
      </c>
      <c r="I984" t="s">
        <v>8541</v>
      </c>
      <c r="J984" t="s">
        <v>171</v>
      </c>
      <c r="K984" t="s">
        <v>74</v>
      </c>
      <c r="L984" t="s">
        <v>74</v>
      </c>
      <c r="M984" t="s">
        <v>74</v>
      </c>
      <c r="N984" t="s">
        <v>74</v>
      </c>
      <c r="O984" t="s">
        <v>74</v>
      </c>
      <c r="P984" t="s">
        <v>74</v>
      </c>
      <c r="Q984" t="s">
        <v>74</v>
      </c>
      <c r="R984" t="s">
        <v>74</v>
      </c>
      <c r="S984" t="s">
        <v>74</v>
      </c>
      <c r="T984" t="s">
        <v>74</v>
      </c>
      <c r="U984" t="s">
        <v>74</v>
      </c>
      <c r="V984" s="3" t="s">
        <v>8542</v>
      </c>
      <c r="W984" t="s">
        <v>74</v>
      </c>
      <c r="X984" t="s">
        <v>74</v>
      </c>
      <c r="Y984" t="s">
        <v>74</v>
      </c>
      <c r="Z984" t="s">
        <v>74</v>
      </c>
      <c r="AA984" t="s">
        <v>74</v>
      </c>
      <c r="AB984" t="s">
        <v>322</v>
      </c>
      <c r="AC984" t="s">
        <v>74</v>
      </c>
      <c r="AD984" t="s">
        <v>74</v>
      </c>
      <c r="AE984" t="s">
        <v>74</v>
      </c>
      <c r="AF984" t="s">
        <v>74</v>
      </c>
      <c r="AG984" t="s">
        <v>74</v>
      </c>
      <c r="AH984" t="s">
        <v>74</v>
      </c>
      <c r="AI984" t="s">
        <v>74</v>
      </c>
      <c r="AJ984" t="s">
        <v>74</v>
      </c>
      <c r="AK984" t="s">
        <v>74</v>
      </c>
      <c r="AL984" t="s">
        <v>74</v>
      </c>
      <c r="AM984" t="s">
        <v>74</v>
      </c>
      <c r="AN984" t="s">
        <v>74</v>
      </c>
      <c r="AO984" t="s">
        <v>173</v>
      </c>
      <c r="AP984" t="s">
        <v>174</v>
      </c>
      <c r="AQ984" t="s">
        <v>74</v>
      </c>
      <c r="AR984" t="s">
        <v>74</v>
      </c>
      <c r="AS984" t="s">
        <v>74</v>
      </c>
      <c r="AT984" t="s">
        <v>204</v>
      </c>
      <c r="AU984">
        <v>2006</v>
      </c>
      <c r="AV984">
        <v>60</v>
      </c>
      <c r="AW984">
        <v>7</v>
      </c>
      <c r="AX984" t="s">
        <v>74</v>
      </c>
      <c r="AY984" t="s">
        <v>74</v>
      </c>
      <c r="AZ984" t="s">
        <v>74</v>
      </c>
      <c r="BA984" t="s">
        <v>74</v>
      </c>
      <c r="BB984">
        <v>1476</v>
      </c>
      <c r="BC984">
        <v>1485</v>
      </c>
      <c r="BD984" t="s">
        <v>74</v>
      </c>
      <c r="BE984" t="s">
        <v>8543</v>
      </c>
      <c r="BF984" t="str">
        <f>HYPERLINK("http://dx.doi.org/10.1111/j.0014-3820.2006.tb01226.x","http://dx.doi.org/10.1111/j.0014-3820.2006.tb01226.x")</f>
        <v>http://dx.doi.org/10.1111/j.0014-3820.2006.tb01226.x</v>
      </c>
      <c r="BG984" t="s">
        <v>74</v>
      </c>
      <c r="BH984" t="s">
        <v>74</v>
      </c>
      <c r="BI984" t="s">
        <v>74</v>
      </c>
      <c r="BJ984" t="s">
        <v>74</v>
      </c>
      <c r="BK984" t="s">
        <v>74</v>
      </c>
      <c r="BL984" t="s">
        <v>74</v>
      </c>
      <c r="BM984" t="s">
        <v>74</v>
      </c>
      <c r="BN984">
        <v>16929664</v>
      </c>
      <c r="BO984" t="s">
        <v>74</v>
      </c>
      <c r="BP984" t="s">
        <v>74</v>
      </c>
      <c r="BQ984" t="s">
        <v>74</v>
      </c>
      <c r="BR984" t="s">
        <v>74</v>
      </c>
      <c r="BS984" t="s">
        <v>8544</v>
      </c>
      <c r="BT984" t="str">
        <f>HYPERLINK("https%3A%2F%2Fwww.webofscience.com%2Fwos%2Fwoscc%2Ffull-record%2FWOS:000239682300015","View Full Record in Web of Science")</f>
        <v>View Full Record in Web of Science</v>
      </c>
    </row>
    <row r="985" spans="1:72" x14ac:dyDescent="0.4">
      <c r="A985" t="s">
        <v>72</v>
      </c>
      <c r="B985" t="s">
        <v>4537</v>
      </c>
      <c r="C985" t="s">
        <v>74</v>
      </c>
      <c r="D985" t="s">
        <v>74</v>
      </c>
      <c r="E985" t="s">
        <v>74</v>
      </c>
      <c r="F985" t="s">
        <v>4538</v>
      </c>
      <c r="G985" t="s">
        <v>74</v>
      </c>
      <c r="H985" t="s">
        <v>74</v>
      </c>
      <c r="I985" t="s">
        <v>4539</v>
      </c>
      <c r="J985" t="s">
        <v>4540</v>
      </c>
      <c r="K985" t="s">
        <v>74</v>
      </c>
      <c r="L985" t="s">
        <v>74</v>
      </c>
      <c r="M985" t="s">
        <v>74</v>
      </c>
      <c r="N985" t="s">
        <v>74</v>
      </c>
      <c r="O985" t="s">
        <v>74</v>
      </c>
      <c r="P985" t="s">
        <v>74</v>
      </c>
      <c r="Q985" t="s">
        <v>74</v>
      </c>
      <c r="R985" t="s">
        <v>74</v>
      </c>
      <c r="S985" t="s">
        <v>74</v>
      </c>
      <c r="T985" t="s">
        <v>74</v>
      </c>
      <c r="U985" t="s">
        <v>74</v>
      </c>
      <c r="V985" s="3" t="s">
        <v>4541</v>
      </c>
      <c r="W985" t="s">
        <v>74</v>
      </c>
      <c r="X985" t="s">
        <v>74</v>
      </c>
      <c r="Y985" t="s">
        <v>74</v>
      </c>
      <c r="Z985" t="s">
        <v>74</v>
      </c>
      <c r="AA985" t="s">
        <v>4542</v>
      </c>
      <c r="AB985" t="s">
        <v>4543</v>
      </c>
      <c r="AC985" t="s">
        <v>74</v>
      </c>
      <c r="AD985" t="s">
        <v>74</v>
      </c>
      <c r="AE985" t="s">
        <v>74</v>
      </c>
      <c r="AF985" t="s">
        <v>74</v>
      </c>
      <c r="AG985" t="s">
        <v>74</v>
      </c>
      <c r="AH985" t="s">
        <v>74</v>
      </c>
      <c r="AI985" t="s">
        <v>74</v>
      </c>
      <c r="AJ985" t="s">
        <v>74</v>
      </c>
      <c r="AK985" t="s">
        <v>74</v>
      </c>
      <c r="AL985" t="s">
        <v>74</v>
      </c>
      <c r="AM985" t="s">
        <v>74</v>
      </c>
      <c r="AN985" t="s">
        <v>74</v>
      </c>
      <c r="AO985" t="s">
        <v>4544</v>
      </c>
      <c r="AP985" t="s">
        <v>4545</v>
      </c>
      <c r="AQ985" t="s">
        <v>74</v>
      </c>
      <c r="AR985" t="s">
        <v>74</v>
      </c>
      <c r="AS985" t="s">
        <v>74</v>
      </c>
      <c r="AT985" t="s">
        <v>102</v>
      </c>
      <c r="AU985">
        <v>2016</v>
      </c>
      <c r="AV985">
        <v>99</v>
      </c>
      <c r="AW985" t="s">
        <v>74</v>
      </c>
      <c r="AX985" t="s">
        <v>74</v>
      </c>
      <c r="AY985" t="s">
        <v>74</v>
      </c>
      <c r="AZ985">
        <v>1</v>
      </c>
      <c r="BA985" t="s">
        <v>74</v>
      </c>
      <c r="BB985">
        <v>192</v>
      </c>
      <c r="BC985">
        <v>199</v>
      </c>
      <c r="BD985" t="s">
        <v>74</v>
      </c>
      <c r="BE985" t="s">
        <v>4546</v>
      </c>
      <c r="BF985" t="str">
        <f>HYPERLINK("http://dx.doi.org/10.1653/024.099.sp123","http://dx.doi.org/10.1653/024.099.sp123")</f>
        <v>http://dx.doi.org/10.1653/024.099.sp123</v>
      </c>
      <c r="BG985" t="s">
        <v>74</v>
      </c>
      <c r="BH985" t="s">
        <v>74</v>
      </c>
      <c r="BI985" t="s">
        <v>74</v>
      </c>
      <c r="BJ985" t="s">
        <v>74</v>
      </c>
      <c r="BK985" t="s">
        <v>74</v>
      </c>
      <c r="BL985" t="s">
        <v>74</v>
      </c>
      <c r="BM985" t="s">
        <v>74</v>
      </c>
      <c r="BN985" t="s">
        <v>74</v>
      </c>
      <c r="BO985" t="s">
        <v>74</v>
      </c>
      <c r="BP985" t="s">
        <v>74</v>
      </c>
      <c r="BQ985" t="s">
        <v>74</v>
      </c>
      <c r="BR985" t="s">
        <v>74</v>
      </c>
      <c r="BS985" t="s">
        <v>4547</v>
      </c>
      <c r="BT985" t="str">
        <f>HYPERLINK("https%3A%2F%2Fwww.webofscience.com%2Fwos%2Fwoscc%2Ffull-record%2FWOS:000382249300022","View Full Record in Web of Science")</f>
        <v>View Full Record in Web of Science</v>
      </c>
    </row>
    <row r="986" spans="1:72" x14ac:dyDescent="0.4">
      <c r="A986" t="s">
        <v>72</v>
      </c>
      <c r="B986" t="s">
        <v>2919</v>
      </c>
      <c r="C986" t="s">
        <v>74</v>
      </c>
      <c r="D986" t="s">
        <v>74</v>
      </c>
      <c r="E986" t="s">
        <v>74</v>
      </c>
      <c r="F986" t="s">
        <v>2920</v>
      </c>
      <c r="G986" t="s">
        <v>74</v>
      </c>
      <c r="H986" t="s">
        <v>74</v>
      </c>
      <c r="I986" t="s">
        <v>2921</v>
      </c>
      <c r="J986" t="s">
        <v>408</v>
      </c>
      <c r="K986" t="s">
        <v>74</v>
      </c>
      <c r="L986" t="s">
        <v>74</v>
      </c>
      <c r="M986" t="s">
        <v>74</v>
      </c>
      <c r="N986" t="s">
        <v>74</v>
      </c>
      <c r="O986" t="s">
        <v>74</v>
      </c>
      <c r="P986" t="s">
        <v>74</v>
      </c>
      <c r="Q986" t="s">
        <v>74</v>
      </c>
      <c r="R986" t="s">
        <v>74</v>
      </c>
      <c r="S986" t="s">
        <v>74</v>
      </c>
      <c r="T986" t="s">
        <v>74</v>
      </c>
      <c r="U986" t="s">
        <v>74</v>
      </c>
      <c r="V986" s="3" t="s">
        <v>2922</v>
      </c>
      <c r="W986" t="s">
        <v>74</v>
      </c>
      <c r="X986" t="s">
        <v>74</v>
      </c>
      <c r="Y986" t="s">
        <v>74</v>
      </c>
      <c r="Z986" t="s">
        <v>74</v>
      </c>
      <c r="AA986" t="s">
        <v>2923</v>
      </c>
      <c r="AB986" t="s">
        <v>2924</v>
      </c>
      <c r="AC986" t="s">
        <v>74</v>
      </c>
      <c r="AD986" t="s">
        <v>74</v>
      </c>
      <c r="AE986" t="s">
        <v>74</v>
      </c>
      <c r="AF986" t="s">
        <v>74</v>
      </c>
      <c r="AG986" t="s">
        <v>74</v>
      </c>
      <c r="AH986" t="s">
        <v>74</v>
      </c>
      <c r="AI986" t="s">
        <v>74</v>
      </c>
      <c r="AJ986" t="s">
        <v>74</v>
      </c>
      <c r="AK986" t="s">
        <v>74</v>
      </c>
      <c r="AL986" t="s">
        <v>74</v>
      </c>
      <c r="AM986" t="s">
        <v>74</v>
      </c>
      <c r="AN986" t="s">
        <v>74</v>
      </c>
      <c r="AO986" t="s">
        <v>412</v>
      </c>
      <c r="AP986" t="s">
        <v>413</v>
      </c>
      <c r="AQ986" t="s">
        <v>74</v>
      </c>
      <c r="AR986" t="s">
        <v>74</v>
      </c>
      <c r="AS986" t="s">
        <v>74</v>
      </c>
      <c r="AT986" t="s">
        <v>769</v>
      </c>
      <c r="AU986">
        <v>2017</v>
      </c>
      <c r="AV986">
        <v>120</v>
      </c>
      <c r="AW986">
        <v>2</v>
      </c>
      <c r="AX986" t="s">
        <v>74</v>
      </c>
      <c r="AY986" t="s">
        <v>74</v>
      </c>
      <c r="AZ986" t="s">
        <v>74</v>
      </c>
      <c r="BA986" t="s">
        <v>74</v>
      </c>
      <c r="BB986">
        <v>396</v>
      </c>
      <c r="BC986">
        <v>409</v>
      </c>
      <c r="BD986" t="s">
        <v>74</v>
      </c>
      <c r="BE986" t="s">
        <v>74</v>
      </c>
      <c r="BF986" t="s">
        <v>74</v>
      </c>
      <c r="BG986" t="s">
        <v>74</v>
      </c>
      <c r="BH986" t="s">
        <v>74</v>
      </c>
      <c r="BI986" t="s">
        <v>74</v>
      </c>
      <c r="BJ986" t="s">
        <v>74</v>
      </c>
      <c r="BK986" t="s">
        <v>74</v>
      </c>
      <c r="BL986" t="s">
        <v>74</v>
      </c>
      <c r="BM986" t="s">
        <v>74</v>
      </c>
      <c r="BN986" t="s">
        <v>74</v>
      </c>
      <c r="BO986" t="s">
        <v>74</v>
      </c>
      <c r="BP986" t="s">
        <v>74</v>
      </c>
      <c r="BQ986" t="s">
        <v>74</v>
      </c>
      <c r="BR986" t="s">
        <v>74</v>
      </c>
      <c r="BS986" t="s">
        <v>2925</v>
      </c>
      <c r="BT986" t="str">
        <f>HYPERLINK("https%3A%2F%2Fwww.webofscience.com%2Fwos%2Fwoscc%2Ffull-record%2FWOS:000400944500010","View Full Record in Web of Science")</f>
        <v>View Full Record in Web of Science</v>
      </c>
    </row>
    <row r="987" spans="1:72" x14ac:dyDescent="0.4">
      <c r="A987" t="s">
        <v>72</v>
      </c>
      <c r="B987" t="s">
        <v>5529</v>
      </c>
      <c r="C987" t="s">
        <v>74</v>
      </c>
      <c r="D987" t="s">
        <v>74</v>
      </c>
      <c r="E987" t="s">
        <v>74</v>
      </c>
      <c r="F987" t="s">
        <v>5530</v>
      </c>
      <c r="G987" t="s">
        <v>74</v>
      </c>
      <c r="H987" t="s">
        <v>74</v>
      </c>
      <c r="I987" t="s">
        <v>5531</v>
      </c>
      <c r="J987" t="s">
        <v>576</v>
      </c>
      <c r="K987" t="s">
        <v>74</v>
      </c>
      <c r="L987" t="s">
        <v>74</v>
      </c>
      <c r="M987" t="s">
        <v>74</v>
      </c>
      <c r="N987" t="s">
        <v>74</v>
      </c>
      <c r="O987" t="s">
        <v>74</v>
      </c>
      <c r="P987" t="s">
        <v>74</v>
      </c>
      <c r="Q987" t="s">
        <v>74</v>
      </c>
      <c r="R987" t="s">
        <v>74</v>
      </c>
      <c r="S987" t="s">
        <v>74</v>
      </c>
      <c r="T987" t="s">
        <v>74</v>
      </c>
      <c r="U987" t="s">
        <v>74</v>
      </c>
      <c r="V987" s="3" t="s">
        <v>5532</v>
      </c>
      <c r="W987" t="s">
        <v>74</v>
      </c>
      <c r="X987" t="s">
        <v>74</v>
      </c>
      <c r="Y987" t="s">
        <v>74</v>
      </c>
      <c r="Z987" t="s">
        <v>74</v>
      </c>
      <c r="AA987" t="s">
        <v>5533</v>
      </c>
      <c r="AB987" t="s">
        <v>5534</v>
      </c>
      <c r="AC987" t="s">
        <v>74</v>
      </c>
      <c r="AD987" t="s">
        <v>74</v>
      </c>
      <c r="AE987" t="s">
        <v>74</v>
      </c>
      <c r="AF987" t="s">
        <v>74</v>
      </c>
      <c r="AG987" t="s">
        <v>74</v>
      </c>
      <c r="AH987" t="s">
        <v>74</v>
      </c>
      <c r="AI987" t="s">
        <v>74</v>
      </c>
      <c r="AJ987" t="s">
        <v>74</v>
      </c>
      <c r="AK987" t="s">
        <v>74</v>
      </c>
      <c r="AL987" t="s">
        <v>74</v>
      </c>
      <c r="AM987" t="s">
        <v>74</v>
      </c>
      <c r="AN987" t="s">
        <v>74</v>
      </c>
      <c r="AO987" t="s">
        <v>579</v>
      </c>
      <c r="AP987" t="s">
        <v>580</v>
      </c>
      <c r="AQ987" t="s">
        <v>74</v>
      </c>
      <c r="AR987" t="s">
        <v>74</v>
      </c>
      <c r="AS987" t="s">
        <v>74</v>
      </c>
      <c r="AT987" t="s">
        <v>213</v>
      </c>
      <c r="AU987">
        <v>2012</v>
      </c>
      <c r="AV987">
        <v>26</v>
      </c>
      <c r="AW987">
        <v>6</v>
      </c>
      <c r="AX987" t="s">
        <v>74</v>
      </c>
      <c r="AY987" t="s">
        <v>74</v>
      </c>
      <c r="AZ987" t="s">
        <v>74</v>
      </c>
      <c r="BA987" t="s">
        <v>74</v>
      </c>
      <c r="BB987">
        <v>1277</v>
      </c>
      <c r="BC987">
        <v>1291</v>
      </c>
      <c r="BD987" t="s">
        <v>74</v>
      </c>
      <c r="BE987" t="s">
        <v>5535</v>
      </c>
      <c r="BF987" t="str">
        <f>HYPERLINK("http://dx.doi.org/10.1007/s10682-011-9551-1","http://dx.doi.org/10.1007/s10682-011-9551-1")</f>
        <v>http://dx.doi.org/10.1007/s10682-011-9551-1</v>
      </c>
      <c r="BG987" t="s">
        <v>74</v>
      </c>
      <c r="BH987" t="s">
        <v>74</v>
      </c>
      <c r="BI987" t="s">
        <v>74</v>
      </c>
      <c r="BJ987" t="s">
        <v>74</v>
      </c>
      <c r="BK987" t="s">
        <v>74</v>
      </c>
      <c r="BL987" t="s">
        <v>74</v>
      </c>
      <c r="BM987" t="s">
        <v>74</v>
      </c>
      <c r="BN987" t="s">
        <v>74</v>
      </c>
      <c r="BO987" t="s">
        <v>74</v>
      </c>
      <c r="BP987" t="s">
        <v>74</v>
      </c>
      <c r="BQ987" t="s">
        <v>74</v>
      </c>
      <c r="BR987" t="s">
        <v>74</v>
      </c>
      <c r="BS987" t="s">
        <v>5536</v>
      </c>
      <c r="BT987" t="str">
        <f>HYPERLINK("https%3A%2F%2Fwww.webofscience.com%2Fwos%2Fwoscc%2Ffull-record%2FWOS:000309869600001","View Full Record in Web of Science")</f>
        <v>View Full Record in Web of Science</v>
      </c>
    </row>
    <row r="988" spans="1:72" x14ac:dyDescent="0.4">
      <c r="A988" t="s">
        <v>72</v>
      </c>
      <c r="B988" t="s">
        <v>1985</v>
      </c>
      <c r="C988" t="s">
        <v>74</v>
      </c>
      <c r="D988" t="s">
        <v>74</v>
      </c>
      <c r="E988" t="s">
        <v>74</v>
      </c>
      <c r="F988" t="s">
        <v>1986</v>
      </c>
      <c r="G988" t="s">
        <v>74</v>
      </c>
      <c r="H988" t="s">
        <v>74</v>
      </c>
      <c r="I988" t="s">
        <v>1987</v>
      </c>
      <c r="J988" t="s">
        <v>88</v>
      </c>
      <c r="K988" t="s">
        <v>74</v>
      </c>
      <c r="L988" t="s">
        <v>74</v>
      </c>
      <c r="M988" t="s">
        <v>74</v>
      </c>
      <c r="N988" t="s">
        <v>74</v>
      </c>
      <c r="O988" t="s">
        <v>74</v>
      </c>
      <c r="P988" t="s">
        <v>74</v>
      </c>
      <c r="Q988" t="s">
        <v>74</v>
      </c>
      <c r="R988" t="s">
        <v>74</v>
      </c>
      <c r="S988" t="s">
        <v>74</v>
      </c>
      <c r="T988" t="s">
        <v>74</v>
      </c>
      <c r="U988" t="s">
        <v>74</v>
      </c>
      <c r="V988" s="3" t="s">
        <v>1988</v>
      </c>
      <c r="W988" t="s">
        <v>74</v>
      </c>
      <c r="X988" t="s">
        <v>74</v>
      </c>
      <c r="Y988" t="s">
        <v>74</v>
      </c>
      <c r="Z988" t="s">
        <v>74</v>
      </c>
      <c r="AA988" t="s">
        <v>1989</v>
      </c>
      <c r="AB988" t="s">
        <v>1990</v>
      </c>
      <c r="AC988" t="s">
        <v>74</v>
      </c>
      <c r="AD988" t="s">
        <v>74</v>
      </c>
      <c r="AE988" t="s">
        <v>74</v>
      </c>
      <c r="AF988" t="s">
        <v>74</v>
      </c>
      <c r="AG988" t="s">
        <v>74</v>
      </c>
      <c r="AH988" t="s">
        <v>74</v>
      </c>
      <c r="AI988" t="s">
        <v>74</v>
      </c>
      <c r="AJ988" t="s">
        <v>74</v>
      </c>
      <c r="AK988" t="s">
        <v>74</v>
      </c>
      <c r="AL988" t="s">
        <v>74</v>
      </c>
      <c r="AM988" t="s">
        <v>74</v>
      </c>
      <c r="AN988" t="s">
        <v>74</v>
      </c>
      <c r="AO988" t="s">
        <v>91</v>
      </c>
      <c r="AP988" t="s">
        <v>74</v>
      </c>
      <c r="AQ988" t="s">
        <v>74</v>
      </c>
      <c r="AR988" t="s">
        <v>74</v>
      </c>
      <c r="AS988" t="s">
        <v>74</v>
      </c>
      <c r="AT988" t="s">
        <v>93</v>
      </c>
      <c r="AU988">
        <v>2012</v>
      </c>
      <c r="AV988">
        <v>8</v>
      </c>
      <c r="AW988">
        <v>2</v>
      </c>
      <c r="AX988" t="s">
        <v>74</v>
      </c>
      <c r="AY988" t="s">
        <v>74</v>
      </c>
      <c r="AZ988" t="s">
        <v>74</v>
      </c>
      <c r="BA988" t="s">
        <v>74</v>
      </c>
      <c r="BB988">
        <v>167</v>
      </c>
      <c r="BC988">
        <v>170</v>
      </c>
      <c r="BD988" t="s">
        <v>74</v>
      </c>
      <c r="BE988" t="s">
        <v>1991</v>
      </c>
      <c r="BF988" t="str">
        <f>HYPERLINK("http://dx.doi.org/10.1098/rsbl.2011.0914","http://dx.doi.org/10.1098/rsbl.2011.0914")</f>
        <v>http://dx.doi.org/10.1098/rsbl.2011.0914</v>
      </c>
      <c r="BG988" t="s">
        <v>74</v>
      </c>
      <c r="BH988" t="s">
        <v>74</v>
      </c>
      <c r="BI988" t="s">
        <v>74</v>
      </c>
      <c r="BJ988" t="s">
        <v>74</v>
      </c>
      <c r="BK988" t="s">
        <v>74</v>
      </c>
      <c r="BL988" t="s">
        <v>74</v>
      </c>
      <c r="BM988" t="s">
        <v>74</v>
      </c>
      <c r="BN988">
        <v>22072281</v>
      </c>
      <c r="BO988" t="s">
        <v>74</v>
      </c>
      <c r="BP988" t="s">
        <v>74</v>
      </c>
      <c r="BQ988" t="s">
        <v>74</v>
      </c>
      <c r="BR988" t="s">
        <v>74</v>
      </c>
      <c r="BS988" t="s">
        <v>1992</v>
      </c>
      <c r="BT988" t="str">
        <f>HYPERLINK("https%3A%2F%2Fwww.webofscience.com%2Fwos%2Fwoscc%2Ffull-record%2FWOS:000301304000003","View Full Record in Web of Science")</f>
        <v>View Full Record in Web of Science</v>
      </c>
    </row>
    <row r="989" spans="1:72" x14ac:dyDescent="0.4">
      <c r="A989" t="s">
        <v>72</v>
      </c>
      <c r="B989" t="s">
        <v>543</v>
      </c>
      <c r="C989" t="s">
        <v>74</v>
      </c>
      <c r="D989" t="s">
        <v>74</v>
      </c>
      <c r="E989" t="s">
        <v>74</v>
      </c>
      <c r="F989" t="s">
        <v>543</v>
      </c>
      <c r="G989" t="s">
        <v>74</v>
      </c>
      <c r="H989" t="s">
        <v>74</v>
      </c>
      <c r="I989" t="s">
        <v>544</v>
      </c>
      <c r="J989" t="s">
        <v>545</v>
      </c>
      <c r="K989" t="s">
        <v>74</v>
      </c>
      <c r="L989" t="s">
        <v>74</v>
      </c>
      <c r="M989" t="s">
        <v>74</v>
      </c>
      <c r="N989" t="s">
        <v>74</v>
      </c>
      <c r="O989" t="s">
        <v>74</v>
      </c>
      <c r="P989" t="s">
        <v>74</v>
      </c>
      <c r="Q989" t="s">
        <v>74</v>
      </c>
      <c r="R989" t="s">
        <v>74</v>
      </c>
      <c r="S989" t="s">
        <v>74</v>
      </c>
      <c r="T989" t="s">
        <v>74</v>
      </c>
      <c r="U989" t="s">
        <v>74</v>
      </c>
      <c r="V989" s="3" t="s">
        <v>546</v>
      </c>
      <c r="W989" t="s">
        <v>74</v>
      </c>
      <c r="X989" t="s">
        <v>74</v>
      </c>
      <c r="Y989" t="s">
        <v>74</v>
      </c>
      <c r="Z989" t="s">
        <v>74</v>
      </c>
      <c r="AA989" t="s">
        <v>74</v>
      </c>
      <c r="AB989" t="s">
        <v>74</v>
      </c>
      <c r="AC989" t="s">
        <v>74</v>
      </c>
      <c r="AD989" t="s">
        <v>74</v>
      </c>
      <c r="AE989" t="s">
        <v>74</v>
      </c>
      <c r="AF989" t="s">
        <v>74</v>
      </c>
      <c r="AG989" t="s">
        <v>74</v>
      </c>
      <c r="AH989" t="s">
        <v>74</v>
      </c>
      <c r="AI989" t="s">
        <v>74</v>
      </c>
      <c r="AJ989" t="s">
        <v>74</v>
      </c>
      <c r="AK989" t="s">
        <v>74</v>
      </c>
      <c r="AL989" t="s">
        <v>74</v>
      </c>
      <c r="AM989" t="s">
        <v>74</v>
      </c>
      <c r="AN989" t="s">
        <v>74</v>
      </c>
      <c r="AO989" t="s">
        <v>547</v>
      </c>
      <c r="AP989" t="s">
        <v>74</v>
      </c>
      <c r="AQ989" t="s">
        <v>74</v>
      </c>
      <c r="AR989" t="s">
        <v>74</v>
      </c>
      <c r="AS989" t="s">
        <v>74</v>
      </c>
      <c r="AT989" t="s">
        <v>305</v>
      </c>
      <c r="AU989">
        <v>1996</v>
      </c>
      <c r="AV989">
        <v>235</v>
      </c>
      <c r="AW989" t="s">
        <v>548</v>
      </c>
      <c r="AX989" t="s">
        <v>74</v>
      </c>
      <c r="AY989" t="s">
        <v>74</v>
      </c>
      <c r="AZ989" t="s">
        <v>74</v>
      </c>
      <c r="BA989" t="s">
        <v>74</v>
      </c>
      <c r="BB989">
        <v>77</v>
      </c>
      <c r="BC989">
        <v>88</v>
      </c>
      <c r="BD989" t="s">
        <v>74</v>
      </c>
      <c r="BE989" t="s">
        <v>74</v>
      </c>
      <c r="BF989" t="s">
        <v>74</v>
      </c>
      <c r="BG989" t="s">
        <v>74</v>
      </c>
      <c r="BH989" t="s">
        <v>74</v>
      </c>
      <c r="BI989" t="s">
        <v>74</v>
      </c>
      <c r="BJ989" t="s">
        <v>74</v>
      </c>
      <c r="BK989" t="s">
        <v>74</v>
      </c>
      <c r="BL989" t="s">
        <v>74</v>
      </c>
      <c r="BM989" t="s">
        <v>74</v>
      </c>
      <c r="BN989" t="s">
        <v>74</v>
      </c>
      <c r="BO989" t="s">
        <v>74</v>
      </c>
      <c r="BP989" t="s">
        <v>74</v>
      </c>
      <c r="BQ989" t="s">
        <v>74</v>
      </c>
      <c r="BR989" t="s">
        <v>74</v>
      </c>
      <c r="BS989" t="s">
        <v>549</v>
      </c>
      <c r="BT989" t="str">
        <f>HYPERLINK("https%3A%2F%2Fwww.webofscience.com%2Fwos%2Fwoscc%2Ffull-record%2FWOS:A1996WG04900005","View Full Record in Web of Science")</f>
        <v>View Full Record in Web of Science</v>
      </c>
    </row>
    <row r="990" spans="1:72" x14ac:dyDescent="0.4">
      <c r="A990" t="s">
        <v>72</v>
      </c>
      <c r="B990" t="s">
        <v>4747</v>
      </c>
      <c r="C990" t="s">
        <v>74</v>
      </c>
      <c r="D990" t="s">
        <v>74</v>
      </c>
      <c r="E990" t="s">
        <v>74</v>
      </c>
      <c r="F990" t="s">
        <v>4748</v>
      </c>
      <c r="G990" t="s">
        <v>74</v>
      </c>
      <c r="H990" t="s">
        <v>74</v>
      </c>
      <c r="I990" t="s">
        <v>4749</v>
      </c>
      <c r="J990" t="s">
        <v>1044</v>
      </c>
      <c r="K990" t="s">
        <v>74</v>
      </c>
      <c r="L990" t="s">
        <v>74</v>
      </c>
      <c r="M990" t="s">
        <v>74</v>
      </c>
      <c r="N990" t="s">
        <v>74</v>
      </c>
      <c r="O990" t="s">
        <v>74</v>
      </c>
      <c r="P990" t="s">
        <v>74</v>
      </c>
      <c r="Q990" t="s">
        <v>74</v>
      </c>
      <c r="R990" t="s">
        <v>74</v>
      </c>
      <c r="S990" t="s">
        <v>74</v>
      </c>
      <c r="T990" t="s">
        <v>74</v>
      </c>
      <c r="U990" t="s">
        <v>74</v>
      </c>
      <c r="V990" s="3" t="s">
        <v>4750</v>
      </c>
      <c r="W990" t="s">
        <v>74</v>
      </c>
      <c r="X990" t="s">
        <v>74</v>
      </c>
      <c r="Y990" t="s">
        <v>74</v>
      </c>
      <c r="Z990" t="s">
        <v>74</v>
      </c>
      <c r="AA990" t="s">
        <v>4751</v>
      </c>
      <c r="AB990" t="s">
        <v>4752</v>
      </c>
      <c r="AC990" t="s">
        <v>74</v>
      </c>
      <c r="AD990" t="s">
        <v>74</v>
      </c>
      <c r="AE990" t="s">
        <v>74</v>
      </c>
      <c r="AF990" t="s">
        <v>74</v>
      </c>
      <c r="AG990" t="s">
        <v>74</v>
      </c>
      <c r="AH990" t="s">
        <v>74</v>
      </c>
      <c r="AI990" t="s">
        <v>74</v>
      </c>
      <c r="AJ990" t="s">
        <v>74</v>
      </c>
      <c r="AK990" t="s">
        <v>74</v>
      </c>
      <c r="AL990" t="s">
        <v>74</v>
      </c>
      <c r="AM990" t="s">
        <v>74</v>
      </c>
      <c r="AN990" t="s">
        <v>74</v>
      </c>
      <c r="AO990" t="s">
        <v>1048</v>
      </c>
      <c r="AP990" t="s">
        <v>1049</v>
      </c>
      <c r="AQ990" t="s">
        <v>74</v>
      </c>
      <c r="AR990" t="s">
        <v>74</v>
      </c>
      <c r="AS990" t="s">
        <v>74</v>
      </c>
      <c r="AT990" t="s">
        <v>633</v>
      </c>
      <c r="AU990">
        <v>2023</v>
      </c>
      <c r="AV990">
        <v>32</v>
      </c>
      <c r="AW990">
        <v>7</v>
      </c>
      <c r="AX990" t="s">
        <v>74</v>
      </c>
      <c r="AY990" t="s">
        <v>74</v>
      </c>
      <c r="AZ990" t="s">
        <v>74</v>
      </c>
      <c r="BA990" t="s">
        <v>74</v>
      </c>
      <c r="BB990">
        <v>1656</v>
      </c>
      <c r="BC990">
        <v>1672</v>
      </c>
      <c r="BD990" t="s">
        <v>74</v>
      </c>
      <c r="BE990" t="s">
        <v>4753</v>
      </c>
      <c r="BF990" t="str">
        <f>HYPERLINK("http://dx.doi.org/10.1111/mec.16831","http://dx.doi.org/10.1111/mec.16831")</f>
        <v>http://dx.doi.org/10.1111/mec.16831</v>
      </c>
      <c r="BG990" t="s">
        <v>74</v>
      </c>
      <c r="BH990" t="s">
        <v>3048</v>
      </c>
      <c r="BI990" t="s">
        <v>74</v>
      </c>
      <c r="BJ990" t="s">
        <v>74</v>
      </c>
      <c r="BK990" t="s">
        <v>74</v>
      </c>
      <c r="BL990" t="s">
        <v>74</v>
      </c>
      <c r="BM990" t="s">
        <v>74</v>
      </c>
      <c r="BN990">
        <v>36560895</v>
      </c>
      <c r="BO990" t="s">
        <v>74</v>
      </c>
      <c r="BP990" t="s">
        <v>74</v>
      </c>
      <c r="BQ990" t="s">
        <v>74</v>
      </c>
      <c r="BR990" t="s">
        <v>74</v>
      </c>
      <c r="BS990" t="s">
        <v>4754</v>
      </c>
      <c r="BT990" t="str">
        <f>HYPERLINK("https%3A%2F%2Fwww.webofscience.com%2Fwos%2Fwoscc%2Ffull-record%2FWOS:000913280100001","View Full Record in Web of Science")</f>
        <v>View Full Record in Web of Science</v>
      </c>
    </row>
    <row r="991" spans="1:72" x14ac:dyDescent="0.4">
      <c r="A991" t="s">
        <v>72</v>
      </c>
      <c r="B991" t="s">
        <v>6616</v>
      </c>
      <c r="C991" t="s">
        <v>74</v>
      </c>
      <c r="D991" t="s">
        <v>74</v>
      </c>
      <c r="E991" t="s">
        <v>74</v>
      </c>
      <c r="F991" t="s">
        <v>6617</v>
      </c>
      <c r="G991" t="s">
        <v>74</v>
      </c>
      <c r="H991" t="s">
        <v>74</v>
      </c>
      <c r="I991" t="s">
        <v>6618</v>
      </c>
      <c r="J991" t="s">
        <v>5474</v>
      </c>
      <c r="K991" t="s">
        <v>74</v>
      </c>
      <c r="L991" t="s">
        <v>74</v>
      </c>
      <c r="M991" t="s">
        <v>74</v>
      </c>
      <c r="N991" t="s">
        <v>74</v>
      </c>
      <c r="O991" t="s">
        <v>74</v>
      </c>
      <c r="P991" t="s">
        <v>74</v>
      </c>
      <c r="Q991" t="s">
        <v>74</v>
      </c>
      <c r="R991" t="s">
        <v>74</v>
      </c>
      <c r="S991" t="s">
        <v>74</v>
      </c>
      <c r="T991" t="s">
        <v>74</v>
      </c>
      <c r="U991" t="s">
        <v>74</v>
      </c>
      <c r="V991" s="3" t="s">
        <v>6619</v>
      </c>
      <c r="W991" t="s">
        <v>74</v>
      </c>
      <c r="X991" t="s">
        <v>74</v>
      </c>
      <c r="Y991" t="s">
        <v>74</v>
      </c>
      <c r="Z991" t="s">
        <v>74</v>
      </c>
      <c r="AA991" t="s">
        <v>6620</v>
      </c>
      <c r="AB991" t="s">
        <v>6621</v>
      </c>
      <c r="AC991" t="s">
        <v>74</v>
      </c>
      <c r="AD991" t="s">
        <v>74</v>
      </c>
      <c r="AE991" t="s">
        <v>74</v>
      </c>
      <c r="AF991" t="s">
        <v>74</v>
      </c>
      <c r="AG991" t="s">
        <v>74</v>
      </c>
      <c r="AH991" t="s">
        <v>74</v>
      </c>
      <c r="AI991" t="s">
        <v>74</v>
      </c>
      <c r="AJ991" t="s">
        <v>74</v>
      </c>
      <c r="AK991" t="s">
        <v>74</v>
      </c>
      <c r="AL991" t="s">
        <v>74</v>
      </c>
      <c r="AM991" t="s">
        <v>74</v>
      </c>
      <c r="AN991" t="s">
        <v>74</v>
      </c>
      <c r="AO991" t="s">
        <v>5478</v>
      </c>
      <c r="AP991" t="s">
        <v>74</v>
      </c>
      <c r="AQ991" t="s">
        <v>74</v>
      </c>
      <c r="AR991" t="s">
        <v>74</v>
      </c>
      <c r="AS991" t="s">
        <v>74</v>
      </c>
      <c r="AT991" t="s">
        <v>6622</v>
      </c>
      <c r="AU991">
        <v>2013</v>
      </c>
      <c r="AV991">
        <v>68</v>
      </c>
      <c r="AW991" t="s">
        <v>74</v>
      </c>
      <c r="AX991" t="s">
        <v>74</v>
      </c>
      <c r="AY991" t="s">
        <v>74</v>
      </c>
      <c r="AZ991" t="s">
        <v>74</v>
      </c>
      <c r="BA991" t="s">
        <v>74</v>
      </c>
      <c r="BB991">
        <v>1</v>
      </c>
      <c r="BC991">
        <v>26</v>
      </c>
      <c r="BD991" t="s">
        <v>74</v>
      </c>
      <c r="BE991" t="s">
        <v>6623</v>
      </c>
      <c r="BF991" t="str">
        <f>HYPERLINK("http://dx.doi.org/10.5852/ejt.2013.68","http://dx.doi.org/10.5852/ejt.2013.68")</f>
        <v>http://dx.doi.org/10.5852/ejt.2013.68</v>
      </c>
      <c r="BG991" t="s">
        <v>74</v>
      </c>
      <c r="BH991" t="s">
        <v>74</v>
      </c>
      <c r="BI991" t="s">
        <v>74</v>
      </c>
      <c r="BJ991" t="s">
        <v>74</v>
      </c>
      <c r="BK991" t="s">
        <v>74</v>
      </c>
      <c r="BL991" t="s">
        <v>74</v>
      </c>
      <c r="BM991" t="s">
        <v>74</v>
      </c>
      <c r="BN991" t="s">
        <v>74</v>
      </c>
      <c r="BO991" t="s">
        <v>74</v>
      </c>
      <c r="BP991" t="s">
        <v>74</v>
      </c>
      <c r="BQ991" t="s">
        <v>74</v>
      </c>
      <c r="BR991" t="s">
        <v>74</v>
      </c>
      <c r="BS991" t="s">
        <v>6624</v>
      </c>
      <c r="BT991" t="str">
        <f>HYPERLINK("https%3A%2F%2Fwww.webofscience.com%2Fwos%2Fwoscc%2Ffull-record%2FWOS:000333018600001","View Full Record in Web of Science")</f>
        <v>View Full Record in Web of Science</v>
      </c>
    </row>
    <row r="992" spans="1:72" x14ac:dyDescent="0.4">
      <c r="A992" t="s">
        <v>72</v>
      </c>
      <c r="B992" t="s">
        <v>5471</v>
      </c>
      <c r="C992" t="s">
        <v>74</v>
      </c>
      <c r="D992" t="s">
        <v>74</v>
      </c>
      <c r="E992" t="s">
        <v>74</v>
      </c>
      <c r="F992" t="s">
        <v>5472</v>
      </c>
      <c r="G992" t="s">
        <v>74</v>
      </c>
      <c r="H992" t="s">
        <v>74</v>
      </c>
      <c r="I992" t="s">
        <v>5473</v>
      </c>
      <c r="J992" t="s">
        <v>5474</v>
      </c>
      <c r="K992" t="s">
        <v>74</v>
      </c>
      <c r="L992" t="s">
        <v>74</v>
      </c>
      <c r="M992" t="s">
        <v>74</v>
      </c>
      <c r="N992" t="s">
        <v>74</v>
      </c>
      <c r="O992" t="s">
        <v>74</v>
      </c>
      <c r="P992" t="s">
        <v>74</v>
      </c>
      <c r="Q992" t="s">
        <v>74</v>
      </c>
      <c r="R992" t="s">
        <v>74</v>
      </c>
      <c r="S992" t="s">
        <v>74</v>
      </c>
      <c r="T992" t="s">
        <v>74</v>
      </c>
      <c r="U992" t="s">
        <v>74</v>
      </c>
      <c r="V992" s="3" t="s">
        <v>5475</v>
      </c>
      <c r="W992" t="s">
        <v>74</v>
      </c>
      <c r="X992" t="s">
        <v>74</v>
      </c>
      <c r="Y992" t="s">
        <v>74</v>
      </c>
      <c r="Z992" t="s">
        <v>74</v>
      </c>
      <c r="AA992" t="s">
        <v>5476</v>
      </c>
      <c r="AB992" t="s">
        <v>5477</v>
      </c>
      <c r="AC992" t="s">
        <v>74</v>
      </c>
      <c r="AD992" t="s">
        <v>74</v>
      </c>
      <c r="AE992" t="s">
        <v>74</v>
      </c>
      <c r="AF992" t="s">
        <v>74</v>
      </c>
      <c r="AG992" t="s">
        <v>74</v>
      </c>
      <c r="AH992" t="s">
        <v>74</v>
      </c>
      <c r="AI992" t="s">
        <v>74</v>
      </c>
      <c r="AJ992" t="s">
        <v>74</v>
      </c>
      <c r="AK992" t="s">
        <v>74</v>
      </c>
      <c r="AL992" t="s">
        <v>74</v>
      </c>
      <c r="AM992" t="s">
        <v>74</v>
      </c>
      <c r="AN992" t="s">
        <v>74</v>
      </c>
      <c r="AO992" t="s">
        <v>5478</v>
      </c>
      <c r="AP992" t="s">
        <v>74</v>
      </c>
      <c r="AQ992" t="s">
        <v>74</v>
      </c>
      <c r="AR992" t="s">
        <v>74</v>
      </c>
      <c r="AS992" t="s">
        <v>74</v>
      </c>
      <c r="AT992" t="s">
        <v>5479</v>
      </c>
      <c r="AU992">
        <v>2020</v>
      </c>
      <c r="AV992">
        <v>600</v>
      </c>
      <c r="AW992" t="s">
        <v>74</v>
      </c>
      <c r="AX992" t="s">
        <v>74</v>
      </c>
      <c r="AY992" t="s">
        <v>74</v>
      </c>
      <c r="AZ992" t="s">
        <v>74</v>
      </c>
      <c r="BA992" t="s">
        <v>74</v>
      </c>
      <c r="BB992" t="s">
        <v>74</v>
      </c>
      <c r="BC992" t="s">
        <v>74</v>
      </c>
      <c r="BD992" t="s">
        <v>74</v>
      </c>
      <c r="BE992" t="s">
        <v>5480</v>
      </c>
      <c r="BF992" t="str">
        <f>HYPERLINK("http://dx.doi.org/10.5852/ejt.2020.600","http://dx.doi.org/10.5852/ejt.2020.600")</f>
        <v>http://dx.doi.org/10.5852/ejt.2020.600</v>
      </c>
      <c r="BG992" t="s">
        <v>74</v>
      </c>
      <c r="BH992" t="s">
        <v>74</v>
      </c>
      <c r="BI992" t="s">
        <v>74</v>
      </c>
      <c r="BJ992" t="s">
        <v>74</v>
      </c>
      <c r="BK992" t="s">
        <v>74</v>
      </c>
      <c r="BL992" t="s">
        <v>74</v>
      </c>
      <c r="BM992" t="s">
        <v>74</v>
      </c>
      <c r="BN992" t="s">
        <v>74</v>
      </c>
      <c r="BO992" t="s">
        <v>74</v>
      </c>
      <c r="BP992" t="s">
        <v>74</v>
      </c>
      <c r="BQ992" t="s">
        <v>74</v>
      </c>
      <c r="BR992" t="s">
        <v>74</v>
      </c>
      <c r="BS992" t="s">
        <v>5481</v>
      </c>
      <c r="BT992" t="str">
        <f>HYPERLINK("https%3A%2F%2Fwww.webofscience.com%2Fwos%2Fwoscc%2Ffull-record%2FWOS:000512655700001","View Full Record in Web of Science")</f>
        <v>View Full Record in Web of Science</v>
      </c>
    </row>
    <row r="993" spans="1:72" x14ac:dyDescent="0.4">
      <c r="A993" t="s">
        <v>72</v>
      </c>
      <c r="B993" t="s">
        <v>3329</v>
      </c>
      <c r="C993" t="s">
        <v>74</v>
      </c>
      <c r="D993" t="s">
        <v>74</v>
      </c>
      <c r="E993" t="s">
        <v>74</v>
      </c>
      <c r="F993" t="s">
        <v>3330</v>
      </c>
      <c r="G993" t="s">
        <v>74</v>
      </c>
      <c r="H993" t="s">
        <v>74</v>
      </c>
      <c r="I993" t="s">
        <v>3331</v>
      </c>
      <c r="J993" t="s">
        <v>3332</v>
      </c>
      <c r="K993" t="s">
        <v>74</v>
      </c>
      <c r="L993" t="s">
        <v>74</v>
      </c>
      <c r="M993" t="s">
        <v>74</v>
      </c>
      <c r="N993" t="s">
        <v>74</v>
      </c>
      <c r="O993" t="s">
        <v>74</v>
      </c>
      <c r="P993" t="s">
        <v>74</v>
      </c>
      <c r="Q993" t="s">
        <v>74</v>
      </c>
      <c r="R993" t="s">
        <v>74</v>
      </c>
      <c r="S993" t="s">
        <v>74</v>
      </c>
      <c r="T993" t="s">
        <v>74</v>
      </c>
      <c r="U993" t="s">
        <v>74</v>
      </c>
      <c r="V993" s="3" t="s">
        <v>3333</v>
      </c>
      <c r="W993" t="s">
        <v>74</v>
      </c>
      <c r="X993" t="s">
        <v>74</v>
      </c>
      <c r="Y993" t="s">
        <v>74</v>
      </c>
      <c r="Z993" t="s">
        <v>74</v>
      </c>
      <c r="AA993" t="s">
        <v>3334</v>
      </c>
      <c r="AB993" t="s">
        <v>3335</v>
      </c>
      <c r="AC993" t="s">
        <v>74</v>
      </c>
      <c r="AD993" t="s">
        <v>74</v>
      </c>
      <c r="AE993" t="s">
        <v>74</v>
      </c>
      <c r="AF993" t="s">
        <v>74</v>
      </c>
      <c r="AG993" t="s">
        <v>74</v>
      </c>
      <c r="AH993" t="s">
        <v>74</v>
      </c>
      <c r="AI993" t="s">
        <v>74</v>
      </c>
      <c r="AJ993" t="s">
        <v>74</v>
      </c>
      <c r="AK993" t="s">
        <v>74</v>
      </c>
      <c r="AL993" t="s">
        <v>74</v>
      </c>
      <c r="AM993" t="s">
        <v>74</v>
      </c>
      <c r="AN993" t="s">
        <v>74</v>
      </c>
      <c r="AO993" t="s">
        <v>3336</v>
      </c>
      <c r="AP993" t="s">
        <v>3337</v>
      </c>
      <c r="AQ993" t="s">
        <v>74</v>
      </c>
      <c r="AR993" t="s">
        <v>74</v>
      </c>
      <c r="AS993" t="s">
        <v>74</v>
      </c>
      <c r="AT993" t="s">
        <v>3338</v>
      </c>
      <c r="AU993">
        <v>2010</v>
      </c>
      <c r="AV993">
        <v>45</v>
      </c>
      <c r="AW993">
        <v>1</v>
      </c>
      <c r="AX993" t="s">
        <v>74</v>
      </c>
      <c r="AY993" t="s">
        <v>74</v>
      </c>
      <c r="AZ993" t="s">
        <v>74</v>
      </c>
      <c r="BA993" t="s">
        <v>74</v>
      </c>
      <c r="BB993">
        <v>98</v>
      </c>
      <c r="BC993">
        <v>104</v>
      </c>
      <c r="BD993" t="s">
        <v>74</v>
      </c>
      <c r="BE993" t="s">
        <v>3339</v>
      </c>
      <c r="BF993" t="str">
        <f>HYPERLINK("http://dx.doi.org/10.3161/000164510X516137","http://dx.doi.org/10.3161/000164510X516137")</f>
        <v>http://dx.doi.org/10.3161/000164510X516137</v>
      </c>
      <c r="BG993" t="s">
        <v>74</v>
      </c>
      <c r="BH993" t="s">
        <v>74</v>
      </c>
      <c r="BI993" t="s">
        <v>74</v>
      </c>
      <c r="BJ993" t="s">
        <v>74</v>
      </c>
      <c r="BK993" t="s">
        <v>74</v>
      </c>
      <c r="BL993" t="s">
        <v>74</v>
      </c>
      <c r="BM993" t="s">
        <v>74</v>
      </c>
      <c r="BN993" t="s">
        <v>74</v>
      </c>
      <c r="BO993" t="s">
        <v>74</v>
      </c>
      <c r="BP993" t="s">
        <v>74</v>
      </c>
      <c r="BQ993" t="s">
        <v>74</v>
      </c>
      <c r="BR993" t="s">
        <v>74</v>
      </c>
      <c r="BS993" t="s">
        <v>3340</v>
      </c>
      <c r="BT993" t="str">
        <f>HYPERLINK("https%3A%2F%2Fwww.webofscience.com%2Fwos%2Fwoscc%2Ffull-record%2FWOS:000280387600011","View Full Record in Web of Science")</f>
        <v>View Full Record in Web of Science</v>
      </c>
    </row>
    <row r="994" spans="1:72" x14ac:dyDescent="0.4">
      <c r="A994" t="s">
        <v>72</v>
      </c>
      <c r="B994" t="s">
        <v>1593</v>
      </c>
      <c r="C994" t="s">
        <v>74</v>
      </c>
      <c r="D994" t="s">
        <v>74</v>
      </c>
      <c r="E994" t="s">
        <v>74</v>
      </c>
      <c r="F994" t="s">
        <v>1593</v>
      </c>
      <c r="G994" t="s">
        <v>74</v>
      </c>
      <c r="H994" t="s">
        <v>74</v>
      </c>
      <c r="I994" t="s">
        <v>1594</v>
      </c>
      <c r="J994" t="s">
        <v>77</v>
      </c>
      <c r="K994" t="s">
        <v>74</v>
      </c>
      <c r="L994" t="s">
        <v>74</v>
      </c>
      <c r="M994" t="s">
        <v>74</v>
      </c>
      <c r="N994" t="s">
        <v>74</v>
      </c>
      <c r="O994" t="s">
        <v>74</v>
      </c>
      <c r="P994" t="s">
        <v>74</v>
      </c>
      <c r="Q994" t="s">
        <v>74</v>
      </c>
      <c r="R994" t="s">
        <v>74</v>
      </c>
      <c r="S994" t="s">
        <v>74</v>
      </c>
      <c r="T994" t="s">
        <v>74</v>
      </c>
      <c r="U994" t="s">
        <v>74</v>
      </c>
      <c r="V994" s="3" t="s">
        <v>1595</v>
      </c>
      <c r="W994" t="s">
        <v>74</v>
      </c>
      <c r="X994" t="s">
        <v>74</v>
      </c>
      <c r="Y994" t="s">
        <v>74</v>
      </c>
      <c r="Z994" t="s">
        <v>74</v>
      </c>
      <c r="AA994" t="s">
        <v>1596</v>
      </c>
      <c r="AB994" t="s">
        <v>262</v>
      </c>
      <c r="AC994" t="s">
        <v>74</v>
      </c>
      <c r="AD994" t="s">
        <v>74</v>
      </c>
      <c r="AE994" t="s">
        <v>74</v>
      </c>
      <c r="AF994" t="s">
        <v>74</v>
      </c>
      <c r="AG994" t="s">
        <v>74</v>
      </c>
      <c r="AH994" t="s">
        <v>74</v>
      </c>
      <c r="AI994" t="s">
        <v>74</v>
      </c>
      <c r="AJ994" t="s">
        <v>74</v>
      </c>
      <c r="AK994" t="s">
        <v>74</v>
      </c>
      <c r="AL994" t="s">
        <v>74</v>
      </c>
      <c r="AM994" t="s">
        <v>74</v>
      </c>
      <c r="AN994" t="s">
        <v>74</v>
      </c>
      <c r="AO994" t="s">
        <v>81</v>
      </c>
      <c r="AP994" t="s">
        <v>82</v>
      </c>
      <c r="AQ994" t="s">
        <v>74</v>
      </c>
      <c r="AR994" t="s">
        <v>74</v>
      </c>
      <c r="AS994" t="s">
        <v>74</v>
      </c>
      <c r="AT994" t="s">
        <v>123</v>
      </c>
      <c r="AU994">
        <v>2005</v>
      </c>
      <c r="AV994">
        <v>142</v>
      </c>
      <c r="AW994" t="s">
        <v>74</v>
      </c>
      <c r="AX994">
        <v>3</v>
      </c>
      <c r="AY994" t="s">
        <v>74</v>
      </c>
      <c r="AZ994" t="s">
        <v>74</v>
      </c>
      <c r="BA994" t="s">
        <v>74</v>
      </c>
      <c r="BB994">
        <v>329</v>
      </c>
      <c r="BC994">
        <v>350</v>
      </c>
      <c r="BD994" t="s">
        <v>74</v>
      </c>
      <c r="BE994" t="s">
        <v>1597</v>
      </c>
      <c r="BF994" t="str">
        <f>HYPERLINK("http://dx.doi.org/10.1163/1568539053778265","http://dx.doi.org/10.1163/1568539053778265")</f>
        <v>http://dx.doi.org/10.1163/1568539053778265</v>
      </c>
      <c r="BG994" t="s">
        <v>74</v>
      </c>
      <c r="BH994" t="s">
        <v>74</v>
      </c>
      <c r="BI994" t="s">
        <v>74</v>
      </c>
      <c r="BJ994" t="s">
        <v>74</v>
      </c>
      <c r="BK994" t="s">
        <v>74</v>
      </c>
      <c r="BL994" t="s">
        <v>74</v>
      </c>
      <c r="BM994" t="s">
        <v>74</v>
      </c>
      <c r="BN994" t="s">
        <v>74</v>
      </c>
      <c r="BO994" t="s">
        <v>74</v>
      </c>
      <c r="BP994" t="s">
        <v>74</v>
      </c>
      <c r="BQ994" t="s">
        <v>74</v>
      </c>
      <c r="BR994" t="s">
        <v>74</v>
      </c>
      <c r="BS994" t="s">
        <v>1598</v>
      </c>
      <c r="BT994" t="str">
        <f>HYPERLINK("https%3A%2F%2Fwww.webofscience.com%2Fwos%2Fwoscc%2Ffull-record%2FWOS:000230357500004","View Full Record in Web of Science")</f>
        <v>View Full Record in Web of Science</v>
      </c>
    </row>
    <row r="995" spans="1:72" x14ac:dyDescent="0.4">
      <c r="A995" t="s">
        <v>72</v>
      </c>
      <c r="B995" t="s">
        <v>3125</v>
      </c>
      <c r="C995" t="s">
        <v>74</v>
      </c>
      <c r="D995" t="s">
        <v>74</v>
      </c>
      <c r="E995" t="s">
        <v>74</v>
      </c>
      <c r="F995" t="s">
        <v>3126</v>
      </c>
      <c r="G995" t="s">
        <v>74</v>
      </c>
      <c r="H995" t="s">
        <v>74</v>
      </c>
      <c r="I995" t="s">
        <v>3127</v>
      </c>
      <c r="J995" t="s">
        <v>3128</v>
      </c>
      <c r="K995" t="s">
        <v>74</v>
      </c>
      <c r="L995" t="s">
        <v>74</v>
      </c>
      <c r="M995" t="s">
        <v>74</v>
      </c>
      <c r="N995" t="s">
        <v>74</v>
      </c>
      <c r="O995" t="s">
        <v>74</v>
      </c>
      <c r="P995" t="s">
        <v>74</v>
      </c>
      <c r="Q995" t="s">
        <v>74</v>
      </c>
      <c r="R995" t="s">
        <v>74</v>
      </c>
      <c r="S995" t="s">
        <v>74</v>
      </c>
      <c r="T995" t="s">
        <v>74</v>
      </c>
      <c r="U995" t="s">
        <v>74</v>
      </c>
      <c r="V995" s="3" t="s">
        <v>3129</v>
      </c>
      <c r="W995" t="s">
        <v>74</v>
      </c>
      <c r="X995" t="s">
        <v>74</v>
      </c>
      <c r="Y995" t="s">
        <v>74</v>
      </c>
      <c r="Z995" t="s">
        <v>74</v>
      </c>
      <c r="AA995" t="s">
        <v>74</v>
      </c>
      <c r="AB995" t="s">
        <v>74</v>
      </c>
      <c r="AC995" t="s">
        <v>74</v>
      </c>
      <c r="AD995" t="s">
        <v>74</v>
      </c>
      <c r="AE995" t="s">
        <v>74</v>
      </c>
      <c r="AF995" t="s">
        <v>74</v>
      </c>
      <c r="AG995" t="s">
        <v>74</v>
      </c>
      <c r="AH995" t="s">
        <v>74</v>
      </c>
      <c r="AI995" t="s">
        <v>74</v>
      </c>
      <c r="AJ995" t="s">
        <v>74</v>
      </c>
      <c r="AK995" t="s">
        <v>74</v>
      </c>
      <c r="AL995" t="s">
        <v>74</v>
      </c>
      <c r="AM995" t="s">
        <v>74</v>
      </c>
      <c r="AN995" t="s">
        <v>74</v>
      </c>
      <c r="AO995" t="s">
        <v>3130</v>
      </c>
      <c r="AP995" t="s">
        <v>3131</v>
      </c>
      <c r="AQ995" t="s">
        <v>74</v>
      </c>
      <c r="AR995" t="s">
        <v>74</v>
      </c>
      <c r="AS995" t="s">
        <v>74</v>
      </c>
      <c r="AT995" t="s">
        <v>74</v>
      </c>
      <c r="AU995">
        <v>2016</v>
      </c>
      <c r="AV995">
        <v>37</v>
      </c>
      <c r="AW995">
        <v>3</v>
      </c>
      <c r="AX995" t="s">
        <v>74</v>
      </c>
      <c r="AY995" t="s">
        <v>74</v>
      </c>
      <c r="AZ995" t="s">
        <v>74</v>
      </c>
      <c r="BA995" t="s">
        <v>74</v>
      </c>
      <c r="BB995">
        <v>283</v>
      </c>
      <c r="BC995">
        <v>290</v>
      </c>
      <c r="BD995" t="s">
        <v>74</v>
      </c>
      <c r="BE995" t="s">
        <v>3132</v>
      </c>
      <c r="BF995" t="str">
        <f>HYPERLINK("http://dx.doi.org/10.1163/15685381-00003055","http://dx.doi.org/10.1163/15685381-00003055")</f>
        <v>http://dx.doi.org/10.1163/15685381-00003055</v>
      </c>
      <c r="BG995" t="s">
        <v>74</v>
      </c>
      <c r="BH995" t="s">
        <v>74</v>
      </c>
      <c r="BI995" t="s">
        <v>74</v>
      </c>
      <c r="BJ995" t="s">
        <v>74</v>
      </c>
      <c r="BK995" t="s">
        <v>74</v>
      </c>
      <c r="BL995" t="s">
        <v>74</v>
      </c>
      <c r="BM995" t="s">
        <v>74</v>
      </c>
      <c r="BN995" t="s">
        <v>74</v>
      </c>
      <c r="BO995" t="s">
        <v>74</v>
      </c>
      <c r="BP995" t="s">
        <v>74</v>
      </c>
      <c r="BQ995" t="s">
        <v>74</v>
      </c>
      <c r="BR995" t="s">
        <v>74</v>
      </c>
      <c r="BS995" t="s">
        <v>3133</v>
      </c>
      <c r="BT995" t="str">
        <f>HYPERLINK("https%3A%2F%2Fwww.webofscience.com%2Fwos%2Fwoscc%2Ffull-record%2FWOS:000384414500004","View Full Record in Web of Science")</f>
        <v>View Full Record in Web of Science</v>
      </c>
    </row>
    <row r="996" spans="1:72" x14ac:dyDescent="0.4">
      <c r="A996" t="s">
        <v>72</v>
      </c>
      <c r="B996" t="s">
        <v>6537</v>
      </c>
      <c r="C996" t="s">
        <v>74</v>
      </c>
      <c r="D996" t="s">
        <v>74</v>
      </c>
      <c r="E996" t="s">
        <v>74</v>
      </c>
      <c r="F996" t="s">
        <v>6537</v>
      </c>
      <c r="G996" t="s">
        <v>74</v>
      </c>
      <c r="H996" t="s">
        <v>74</v>
      </c>
      <c r="I996" t="s">
        <v>6538</v>
      </c>
      <c r="J996" t="s">
        <v>129</v>
      </c>
      <c r="K996" t="s">
        <v>74</v>
      </c>
      <c r="L996" t="s">
        <v>74</v>
      </c>
      <c r="M996" t="s">
        <v>74</v>
      </c>
      <c r="N996" t="s">
        <v>74</v>
      </c>
      <c r="O996" t="s">
        <v>74</v>
      </c>
      <c r="P996" t="s">
        <v>74</v>
      </c>
      <c r="Q996" t="s">
        <v>74</v>
      </c>
      <c r="R996" t="s">
        <v>74</v>
      </c>
      <c r="S996" t="s">
        <v>74</v>
      </c>
      <c r="T996" t="s">
        <v>74</v>
      </c>
      <c r="U996" t="s">
        <v>74</v>
      </c>
      <c r="V996" s="3" t="s">
        <v>6539</v>
      </c>
      <c r="W996" t="s">
        <v>74</v>
      </c>
      <c r="X996" t="s">
        <v>74</v>
      </c>
      <c r="Y996" t="s">
        <v>74</v>
      </c>
      <c r="Z996" t="s">
        <v>74</v>
      </c>
      <c r="AA996" t="s">
        <v>74</v>
      </c>
      <c r="AB996" t="s">
        <v>74</v>
      </c>
      <c r="AC996" t="s">
        <v>74</v>
      </c>
      <c r="AD996" t="s">
        <v>74</v>
      </c>
      <c r="AE996" t="s">
        <v>74</v>
      </c>
      <c r="AF996" t="s">
        <v>74</v>
      </c>
      <c r="AG996" t="s">
        <v>74</v>
      </c>
      <c r="AH996" t="s">
        <v>74</v>
      </c>
      <c r="AI996" t="s">
        <v>74</v>
      </c>
      <c r="AJ996" t="s">
        <v>74</v>
      </c>
      <c r="AK996" t="s">
        <v>74</v>
      </c>
      <c r="AL996" t="s">
        <v>74</v>
      </c>
      <c r="AM996" t="s">
        <v>74</v>
      </c>
      <c r="AN996" t="s">
        <v>74</v>
      </c>
      <c r="AO996" t="s">
        <v>132</v>
      </c>
      <c r="AP996" t="s">
        <v>74</v>
      </c>
      <c r="AQ996" t="s">
        <v>74</v>
      </c>
      <c r="AR996" t="s">
        <v>74</v>
      </c>
      <c r="AS996" t="s">
        <v>74</v>
      </c>
      <c r="AT996" t="s">
        <v>204</v>
      </c>
      <c r="AU996">
        <v>1992</v>
      </c>
      <c r="AV996">
        <v>31</v>
      </c>
      <c r="AW996">
        <v>1</v>
      </c>
      <c r="AX996" t="s">
        <v>74</v>
      </c>
      <c r="AY996" t="s">
        <v>74</v>
      </c>
      <c r="AZ996" t="s">
        <v>74</v>
      </c>
      <c r="BA996" t="s">
        <v>74</v>
      </c>
      <c r="BB996">
        <v>27</v>
      </c>
      <c r="BC996">
        <v>33</v>
      </c>
      <c r="BD996" t="s">
        <v>74</v>
      </c>
      <c r="BE996" t="s">
        <v>6540</v>
      </c>
      <c r="BF996" t="str">
        <f>HYPERLINK("http://dx.doi.org/10.1007/BF00167813","http://dx.doi.org/10.1007/BF00167813")</f>
        <v>http://dx.doi.org/10.1007/BF00167813</v>
      </c>
      <c r="BG996" t="s">
        <v>74</v>
      </c>
      <c r="BH996" t="s">
        <v>74</v>
      </c>
      <c r="BI996" t="s">
        <v>74</v>
      </c>
      <c r="BJ996" t="s">
        <v>74</v>
      </c>
      <c r="BK996" t="s">
        <v>74</v>
      </c>
      <c r="BL996" t="s">
        <v>74</v>
      </c>
      <c r="BM996" t="s">
        <v>74</v>
      </c>
      <c r="BN996" t="s">
        <v>74</v>
      </c>
      <c r="BO996" t="s">
        <v>74</v>
      </c>
      <c r="BP996" t="s">
        <v>74</v>
      </c>
      <c r="BQ996" t="s">
        <v>74</v>
      </c>
      <c r="BR996" t="s">
        <v>74</v>
      </c>
      <c r="BS996" t="s">
        <v>6541</v>
      </c>
      <c r="BT996" t="str">
        <f>HYPERLINK("https%3A%2F%2Fwww.webofscience.com%2Fwos%2Fwoscc%2Ffull-record%2FWOS:A1992JE29600004","View Full Record in Web of Science")</f>
        <v>View Full Record in Web of Science</v>
      </c>
    </row>
    <row r="997" spans="1:72" x14ac:dyDescent="0.4">
      <c r="A997" t="s">
        <v>72</v>
      </c>
      <c r="B997" t="s">
        <v>6117</v>
      </c>
      <c r="C997" t="s">
        <v>74</v>
      </c>
      <c r="D997" t="s">
        <v>74</v>
      </c>
      <c r="E997" t="s">
        <v>74</v>
      </c>
      <c r="F997" t="s">
        <v>6117</v>
      </c>
      <c r="G997" t="s">
        <v>74</v>
      </c>
      <c r="H997" t="s">
        <v>74</v>
      </c>
      <c r="I997" t="s">
        <v>6118</v>
      </c>
      <c r="J997" t="s">
        <v>431</v>
      </c>
      <c r="K997" t="s">
        <v>74</v>
      </c>
      <c r="L997" t="s">
        <v>74</v>
      </c>
      <c r="M997" t="s">
        <v>74</v>
      </c>
      <c r="N997" t="s">
        <v>74</v>
      </c>
      <c r="O997" t="s">
        <v>74</v>
      </c>
      <c r="P997" t="s">
        <v>74</v>
      </c>
      <c r="Q997" t="s">
        <v>74</v>
      </c>
      <c r="R997" t="s">
        <v>74</v>
      </c>
      <c r="S997" t="s">
        <v>74</v>
      </c>
      <c r="T997" t="s">
        <v>74</v>
      </c>
      <c r="U997" t="s">
        <v>74</v>
      </c>
      <c r="V997" s="3" t="s">
        <v>6119</v>
      </c>
      <c r="W997" t="s">
        <v>74</v>
      </c>
      <c r="X997" t="s">
        <v>74</v>
      </c>
      <c r="Y997" t="s">
        <v>74</v>
      </c>
      <c r="Z997" t="s">
        <v>74</v>
      </c>
      <c r="AA997" t="s">
        <v>74</v>
      </c>
      <c r="AB997" t="s">
        <v>74</v>
      </c>
      <c r="AC997" t="s">
        <v>74</v>
      </c>
      <c r="AD997" t="s">
        <v>74</v>
      </c>
      <c r="AE997" t="s">
        <v>74</v>
      </c>
      <c r="AF997" t="s">
        <v>74</v>
      </c>
      <c r="AG997" t="s">
        <v>74</v>
      </c>
      <c r="AH997" t="s">
        <v>74</v>
      </c>
      <c r="AI997" t="s">
        <v>74</v>
      </c>
      <c r="AJ997" t="s">
        <v>74</v>
      </c>
      <c r="AK997" t="s">
        <v>74</v>
      </c>
      <c r="AL997" t="s">
        <v>74</v>
      </c>
      <c r="AM997" t="s">
        <v>74</v>
      </c>
      <c r="AN997" t="s">
        <v>74</v>
      </c>
      <c r="AO997" t="s">
        <v>74</v>
      </c>
      <c r="AP997" t="s">
        <v>435</v>
      </c>
      <c r="AQ997" t="s">
        <v>74</v>
      </c>
      <c r="AR997" t="s">
        <v>74</v>
      </c>
      <c r="AS997" t="s">
        <v>74</v>
      </c>
      <c r="AT997" t="s">
        <v>175</v>
      </c>
      <c r="AU997">
        <v>1987</v>
      </c>
      <c r="AV997">
        <v>104</v>
      </c>
      <c r="AW997">
        <v>4</v>
      </c>
      <c r="AX997" t="s">
        <v>74</v>
      </c>
      <c r="AY997" t="s">
        <v>74</v>
      </c>
      <c r="AZ997" t="s">
        <v>74</v>
      </c>
      <c r="BA997" t="s">
        <v>74</v>
      </c>
      <c r="BB997">
        <v>717</v>
      </c>
      <c r="BC997">
        <v>723</v>
      </c>
      <c r="BD997" t="s">
        <v>74</v>
      </c>
      <c r="BE997" t="s">
        <v>6120</v>
      </c>
      <c r="BF997" t="str">
        <f>HYPERLINK("http://dx.doi.org/10.1093/auk/104.4.717","http://dx.doi.org/10.1093/auk/104.4.717")</f>
        <v>http://dx.doi.org/10.1093/auk/104.4.717</v>
      </c>
      <c r="BG997" t="s">
        <v>74</v>
      </c>
      <c r="BH997" t="s">
        <v>74</v>
      </c>
      <c r="BI997" t="s">
        <v>74</v>
      </c>
      <c r="BJ997" t="s">
        <v>74</v>
      </c>
      <c r="BK997" t="s">
        <v>74</v>
      </c>
      <c r="BL997" t="s">
        <v>74</v>
      </c>
      <c r="BM997" t="s">
        <v>74</v>
      </c>
      <c r="BN997" t="s">
        <v>74</v>
      </c>
      <c r="BO997" t="s">
        <v>74</v>
      </c>
      <c r="BP997" t="s">
        <v>74</v>
      </c>
      <c r="BQ997" t="s">
        <v>74</v>
      </c>
      <c r="BR997" t="s">
        <v>74</v>
      </c>
      <c r="BS997" t="s">
        <v>6121</v>
      </c>
      <c r="BT997" t="str">
        <f>HYPERLINK("https%3A%2F%2Fwww.webofscience.com%2Fwos%2Fwoscc%2Ffull-record%2FWOS:A1987K764400015","View Full Record in Web of Science")</f>
        <v>View Full Record in Web of Science</v>
      </c>
    </row>
    <row r="998" spans="1:72" x14ac:dyDescent="0.4">
      <c r="A998" t="s">
        <v>72</v>
      </c>
      <c r="B998" t="s">
        <v>7212</v>
      </c>
      <c r="C998" t="s">
        <v>74</v>
      </c>
      <c r="D998" t="s">
        <v>74</v>
      </c>
      <c r="E998" t="s">
        <v>74</v>
      </c>
      <c r="F998" t="s">
        <v>7213</v>
      </c>
      <c r="G998" t="s">
        <v>74</v>
      </c>
      <c r="H998" t="s">
        <v>74</v>
      </c>
      <c r="I998" t="s">
        <v>7214</v>
      </c>
      <c r="J998" t="s">
        <v>333</v>
      </c>
      <c r="K998" t="s">
        <v>74</v>
      </c>
      <c r="L998" t="s">
        <v>74</v>
      </c>
      <c r="M998" t="s">
        <v>74</v>
      </c>
      <c r="N998" t="s">
        <v>74</v>
      </c>
      <c r="O998" t="s">
        <v>74</v>
      </c>
      <c r="P998" t="s">
        <v>74</v>
      </c>
      <c r="Q998" t="s">
        <v>74</v>
      </c>
      <c r="R998" t="s">
        <v>74</v>
      </c>
      <c r="S998" t="s">
        <v>74</v>
      </c>
      <c r="T998" t="s">
        <v>74</v>
      </c>
      <c r="U998" t="s">
        <v>74</v>
      </c>
      <c r="V998" s="3" t="s">
        <v>7215</v>
      </c>
      <c r="W998" t="s">
        <v>74</v>
      </c>
      <c r="X998" t="s">
        <v>74</v>
      </c>
      <c r="Y998" t="s">
        <v>74</v>
      </c>
      <c r="Z998" t="s">
        <v>74</v>
      </c>
      <c r="AA998" t="s">
        <v>7216</v>
      </c>
      <c r="AB998" t="s">
        <v>7217</v>
      </c>
      <c r="AC998" t="s">
        <v>74</v>
      </c>
      <c r="AD998" t="s">
        <v>74</v>
      </c>
      <c r="AE998" t="s">
        <v>74</v>
      </c>
      <c r="AF998" t="s">
        <v>74</v>
      </c>
      <c r="AG998" t="s">
        <v>74</v>
      </c>
      <c r="AH998" t="s">
        <v>74</v>
      </c>
      <c r="AI998" t="s">
        <v>74</v>
      </c>
      <c r="AJ998" t="s">
        <v>74</v>
      </c>
      <c r="AK998" t="s">
        <v>74</v>
      </c>
      <c r="AL998" t="s">
        <v>74</v>
      </c>
      <c r="AM998" t="s">
        <v>74</v>
      </c>
      <c r="AN998" t="s">
        <v>74</v>
      </c>
      <c r="AO998" t="s">
        <v>337</v>
      </c>
      <c r="AP998" t="s">
        <v>338</v>
      </c>
      <c r="AQ998" t="s">
        <v>74</v>
      </c>
      <c r="AR998" t="s">
        <v>74</v>
      </c>
      <c r="AS998" t="s">
        <v>74</v>
      </c>
      <c r="AT998" t="s">
        <v>1038</v>
      </c>
      <c r="AU998">
        <v>2016</v>
      </c>
      <c r="AV998">
        <v>27</v>
      </c>
      <c r="AW998">
        <v>2</v>
      </c>
      <c r="AX998" t="s">
        <v>74</v>
      </c>
      <c r="AY998" t="s">
        <v>74</v>
      </c>
      <c r="AZ998" t="s">
        <v>74</v>
      </c>
      <c r="BA998" t="s">
        <v>74</v>
      </c>
      <c r="BB998">
        <v>677</v>
      </c>
      <c r="BC998">
        <v>684</v>
      </c>
      <c r="BD998" t="s">
        <v>74</v>
      </c>
      <c r="BE998" t="s">
        <v>7218</v>
      </c>
      <c r="BF998" t="str">
        <f>HYPERLINK("http://dx.doi.org/10.1093/beheco/arv206","http://dx.doi.org/10.1093/beheco/arv206")</f>
        <v>http://dx.doi.org/10.1093/beheco/arv206</v>
      </c>
      <c r="BG998" t="s">
        <v>74</v>
      </c>
      <c r="BH998" t="s">
        <v>74</v>
      </c>
      <c r="BI998" t="s">
        <v>74</v>
      </c>
      <c r="BJ998" t="s">
        <v>74</v>
      </c>
      <c r="BK998" t="s">
        <v>74</v>
      </c>
      <c r="BL998" t="s">
        <v>74</v>
      </c>
      <c r="BM998" t="s">
        <v>74</v>
      </c>
      <c r="BN998" t="s">
        <v>74</v>
      </c>
      <c r="BO998" t="s">
        <v>74</v>
      </c>
      <c r="BP998" t="s">
        <v>74</v>
      </c>
      <c r="BQ998" t="s">
        <v>74</v>
      </c>
      <c r="BR998" t="s">
        <v>74</v>
      </c>
      <c r="BS998" t="s">
        <v>7219</v>
      </c>
      <c r="BT998" t="str">
        <f>HYPERLINK("https%3A%2F%2Fwww.webofscience.com%2Fwos%2Fwoscc%2Ffull-record%2FWOS:000375398800043","View Full Record in Web of Science")</f>
        <v>View Full Record in Web of Science</v>
      </c>
    </row>
    <row r="999" spans="1:72" x14ac:dyDescent="0.4">
      <c r="A999" t="s">
        <v>72</v>
      </c>
      <c r="B999" t="s">
        <v>1771</v>
      </c>
      <c r="C999" t="s">
        <v>74</v>
      </c>
      <c r="D999" t="s">
        <v>74</v>
      </c>
      <c r="E999" t="s">
        <v>74</v>
      </c>
      <c r="F999" t="s">
        <v>1771</v>
      </c>
      <c r="G999" t="s">
        <v>74</v>
      </c>
      <c r="H999" t="s">
        <v>74</v>
      </c>
      <c r="I999" t="s">
        <v>1772</v>
      </c>
      <c r="J999" t="s">
        <v>509</v>
      </c>
      <c r="K999" t="s">
        <v>74</v>
      </c>
      <c r="L999" t="s">
        <v>74</v>
      </c>
      <c r="M999" t="s">
        <v>74</v>
      </c>
      <c r="N999" t="s">
        <v>74</v>
      </c>
      <c r="O999" t="s">
        <v>74</v>
      </c>
      <c r="P999" t="s">
        <v>74</v>
      </c>
      <c r="Q999" t="s">
        <v>74</v>
      </c>
      <c r="R999" t="s">
        <v>74</v>
      </c>
      <c r="S999" t="s">
        <v>74</v>
      </c>
      <c r="T999" t="s">
        <v>74</v>
      </c>
      <c r="U999" t="s">
        <v>74</v>
      </c>
      <c r="V999" s="3" t="s">
        <v>1773</v>
      </c>
      <c r="W999" t="s">
        <v>74</v>
      </c>
      <c r="X999" t="s">
        <v>74</v>
      </c>
      <c r="Y999" t="s">
        <v>74</v>
      </c>
      <c r="Z999" t="s">
        <v>74</v>
      </c>
      <c r="AA999" t="s">
        <v>74</v>
      </c>
      <c r="AB999" t="s">
        <v>1774</v>
      </c>
      <c r="AC999" t="s">
        <v>74</v>
      </c>
      <c r="AD999" t="s">
        <v>74</v>
      </c>
      <c r="AE999" t="s">
        <v>74</v>
      </c>
      <c r="AF999" t="s">
        <v>74</v>
      </c>
      <c r="AG999" t="s">
        <v>74</v>
      </c>
      <c r="AH999" t="s">
        <v>74</v>
      </c>
      <c r="AI999" t="s">
        <v>74</v>
      </c>
      <c r="AJ999" t="s">
        <v>74</v>
      </c>
      <c r="AK999" t="s">
        <v>74</v>
      </c>
      <c r="AL999" t="s">
        <v>74</v>
      </c>
      <c r="AM999" t="s">
        <v>74</v>
      </c>
      <c r="AN999" t="s">
        <v>74</v>
      </c>
      <c r="AO999" t="s">
        <v>511</v>
      </c>
      <c r="AP999" t="s">
        <v>74</v>
      </c>
      <c r="AQ999" t="s">
        <v>74</v>
      </c>
      <c r="AR999" t="s">
        <v>74</v>
      </c>
      <c r="AS999" t="s">
        <v>74</v>
      </c>
      <c r="AT999" t="s">
        <v>123</v>
      </c>
      <c r="AU999">
        <v>1994</v>
      </c>
      <c r="AV999">
        <v>28</v>
      </c>
      <c r="AW999">
        <v>1</v>
      </c>
      <c r="AX999" t="s">
        <v>74</v>
      </c>
      <c r="AY999" t="s">
        <v>74</v>
      </c>
      <c r="AZ999" t="s">
        <v>74</v>
      </c>
      <c r="BA999" t="s">
        <v>74</v>
      </c>
      <c r="BB999">
        <v>29</v>
      </c>
      <c r="BC999">
        <v>40</v>
      </c>
      <c r="BD999" t="s">
        <v>74</v>
      </c>
      <c r="BE999" t="s">
        <v>1775</v>
      </c>
      <c r="BF999" t="str">
        <f>HYPERLINK("http://dx.doi.org/10.1006/hbeh.1994.1003","http://dx.doi.org/10.1006/hbeh.1994.1003")</f>
        <v>http://dx.doi.org/10.1006/hbeh.1994.1003</v>
      </c>
      <c r="BG999" t="s">
        <v>74</v>
      </c>
      <c r="BH999" t="s">
        <v>74</v>
      </c>
      <c r="BI999" t="s">
        <v>74</v>
      </c>
      <c r="BJ999" t="s">
        <v>74</v>
      </c>
      <c r="BK999" t="s">
        <v>74</v>
      </c>
      <c r="BL999" t="s">
        <v>74</v>
      </c>
      <c r="BM999" t="s">
        <v>74</v>
      </c>
      <c r="BN999">
        <v>8034280</v>
      </c>
      <c r="BO999" t="s">
        <v>74</v>
      </c>
      <c r="BP999" t="s">
        <v>74</v>
      </c>
      <c r="BQ999" t="s">
        <v>74</v>
      </c>
      <c r="BR999" t="s">
        <v>74</v>
      </c>
      <c r="BS999" t="s">
        <v>1776</v>
      </c>
      <c r="BT999" t="str">
        <f>HYPERLINK("https%3A%2F%2Fwww.webofscience.com%2Fwos%2Fwoscc%2Ffull-record%2FWOS:A1994NG07100003","View Full Record in Web of Science")</f>
        <v>View Full Record in Web of Science</v>
      </c>
    </row>
    <row r="1000" spans="1:72" x14ac:dyDescent="0.4">
      <c r="A1000" t="s">
        <v>72</v>
      </c>
      <c r="B1000" t="s">
        <v>1771</v>
      </c>
      <c r="C1000" t="s">
        <v>74</v>
      </c>
      <c r="D1000" t="s">
        <v>74</v>
      </c>
      <c r="E1000" t="s">
        <v>74</v>
      </c>
      <c r="F1000" t="s">
        <v>1771</v>
      </c>
      <c r="G1000" t="s">
        <v>74</v>
      </c>
      <c r="H1000" t="s">
        <v>74</v>
      </c>
      <c r="I1000" t="s">
        <v>6183</v>
      </c>
      <c r="J1000" t="s">
        <v>1574</v>
      </c>
      <c r="K1000" t="s">
        <v>74</v>
      </c>
      <c r="L1000" t="s">
        <v>74</v>
      </c>
      <c r="M1000" t="s">
        <v>74</v>
      </c>
      <c r="N1000" t="s">
        <v>74</v>
      </c>
      <c r="O1000" t="s">
        <v>74</v>
      </c>
      <c r="P1000" t="s">
        <v>74</v>
      </c>
      <c r="Q1000" t="s">
        <v>74</v>
      </c>
      <c r="R1000" t="s">
        <v>74</v>
      </c>
      <c r="S1000" t="s">
        <v>74</v>
      </c>
      <c r="T1000" t="s">
        <v>74</v>
      </c>
      <c r="U1000" t="s">
        <v>74</v>
      </c>
      <c r="V1000" s="3" t="s">
        <v>6184</v>
      </c>
      <c r="W1000" t="s">
        <v>74</v>
      </c>
      <c r="X1000" t="s">
        <v>74</v>
      </c>
      <c r="Y1000" t="s">
        <v>74</v>
      </c>
      <c r="Z1000" t="s">
        <v>74</v>
      </c>
      <c r="AA1000" t="s">
        <v>74</v>
      </c>
      <c r="AB1000" t="s">
        <v>1774</v>
      </c>
      <c r="AC1000" t="s">
        <v>74</v>
      </c>
      <c r="AD1000" t="s">
        <v>74</v>
      </c>
      <c r="AE1000" t="s">
        <v>74</v>
      </c>
      <c r="AF1000" t="s">
        <v>74</v>
      </c>
      <c r="AG1000" t="s">
        <v>74</v>
      </c>
      <c r="AH1000" t="s">
        <v>74</v>
      </c>
      <c r="AI1000" t="s">
        <v>74</v>
      </c>
      <c r="AJ1000" t="s">
        <v>74</v>
      </c>
      <c r="AK1000" t="s">
        <v>74</v>
      </c>
      <c r="AL1000" t="s">
        <v>74</v>
      </c>
      <c r="AM1000" t="s">
        <v>74</v>
      </c>
      <c r="AN1000" t="s">
        <v>74</v>
      </c>
      <c r="AO1000" t="s">
        <v>1576</v>
      </c>
      <c r="AP1000" t="s">
        <v>74</v>
      </c>
      <c r="AQ1000" t="s">
        <v>74</v>
      </c>
      <c r="AR1000" t="s">
        <v>74</v>
      </c>
      <c r="AS1000" t="s">
        <v>74</v>
      </c>
      <c r="AT1000" t="s">
        <v>102</v>
      </c>
      <c r="AU1000">
        <v>1995</v>
      </c>
      <c r="AV1000">
        <v>45</v>
      </c>
      <c r="AW1000">
        <v>6</v>
      </c>
      <c r="AX1000" t="s">
        <v>74</v>
      </c>
      <c r="AY1000" t="s">
        <v>74</v>
      </c>
      <c r="AZ1000" t="s">
        <v>74</v>
      </c>
      <c r="BA1000" t="s">
        <v>74</v>
      </c>
      <c r="BB1000">
        <v>339</v>
      </c>
      <c r="BC1000">
        <v>349</v>
      </c>
      <c r="BD1000" t="s">
        <v>74</v>
      </c>
      <c r="BE1000" t="s">
        <v>6185</v>
      </c>
      <c r="BF1000" t="str">
        <f>HYPERLINK("http://dx.doi.org/10.1159/000113561","http://dx.doi.org/10.1159/000113561")</f>
        <v>http://dx.doi.org/10.1159/000113561</v>
      </c>
      <c r="BG1000" t="s">
        <v>74</v>
      </c>
      <c r="BH1000" t="s">
        <v>74</v>
      </c>
      <c r="BI1000" t="s">
        <v>74</v>
      </c>
      <c r="BJ1000" t="s">
        <v>74</v>
      </c>
      <c r="BK1000" t="s">
        <v>74</v>
      </c>
      <c r="BL1000" t="s">
        <v>74</v>
      </c>
      <c r="BM1000" t="s">
        <v>74</v>
      </c>
      <c r="BN1000">
        <v>7663963</v>
      </c>
      <c r="BO1000" t="s">
        <v>74</v>
      </c>
      <c r="BP1000" t="s">
        <v>74</v>
      </c>
      <c r="BQ1000" t="s">
        <v>74</v>
      </c>
      <c r="BR1000" t="s">
        <v>74</v>
      </c>
      <c r="BS1000" t="s">
        <v>6186</v>
      </c>
      <c r="BT1000" t="str">
        <f>HYPERLINK("https%3A%2F%2Fwww.webofscience.com%2Fwos%2Fwoscc%2Ffull-record%2FWOS:A1995RE13000004","View Full Record in Web of Science")</f>
        <v>View Full Record in Web of Science</v>
      </c>
    </row>
    <row r="1001" spans="1:72" x14ac:dyDescent="0.4">
      <c r="A1001" t="s">
        <v>72</v>
      </c>
      <c r="B1001" t="s">
        <v>5303</v>
      </c>
      <c r="C1001" t="s">
        <v>74</v>
      </c>
      <c r="D1001" t="s">
        <v>74</v>
      </c>
      <c r="E1001" t="s">
        <v>74</v>
      </c>
      <c r="F1001" t="s">
        <v>5303</v>
      </c>
      <c r="G1001" t="s">
        <v>74</v>
      </c>
      <c r="H1001" t="s">
        <v>74</v>
      </c>
      <c r="I1001" t="s">
        <v>5304</v>
      </c>
      <c r="J1001" t="s">
        <v>129</v>
      </c>
      <c r="K1001" t="s">
        <v>74</v>
      </c>
      <c r="L1001" t="s">
        <v>74</v>
      </c>
      <c r="M1001" t="s">
        <v>74</v>
      </c>
      <c r="N1001" t="s">
        <v>74</v>
      </c>
      <c r="O1001" t="s">
        <v>74</v>
      </c>
      <c r="P1001" t="s">
        <v>74</v>
      </c>
      <c r="Q1001" t="s">
        <v>74</v>
      </c>
      <c r="R1001" t="s">
        <v>74</v>
      </c>
      <c r="S1001" t="s">
        <v>74</v>
      </c>
      <c r="T1001" t="s">
        <v>74</v>
      </c>
      <c r="U1001" t="s">
        <v>74</v>
      </c>
      <c r="V1001" s="3" t="s">
        <v>5305</v>
      </c>
      <c r="W1001" t="s">
        <v>74</v>
      </c>
      <c r="X1001" t="s">
        <v>74</v>
      </c>
      <c r="Y1001" t="s">
        <v>74</v>
      </c>
      <c r="Z1001" t="s">
        <v>74</v>
      </c>
      <c r="AA1001" t="s">
        <v>74</v>
      </c>
      <c r="AB1001" t="s">
        <v>74</v>
      </c>
      <c r="AC1001" t="s">
        <v>74</v>
      </c>
      <c r="AD1001" t="s">
        <v>74</v>
      </c>
      <c r="AE1001" t="s">
        <v>74</v>
      </c>
      <c r="AF1001" t="s">
        <v>74</v>
      </c>
      <c r="AG1001" t="s">
        <v>74</v>
      </c>
      <c r="AH1001" t="s">
        <v>74</v>
      </c>
      <c r="AI1001" t="s">
        <v>74</v>
      </c>
      <c r="AJ1001" t="s">
        <v>74</v>
      </c>
      <c r="AK1001" t="s">
        <v>74</v>
      </c>
      <c r="AL1001" t="s">
        <v>74</v>
      </c>
      <c r="AM1001" t="s">
        <v>74</v>
      </c>
      <c r="AN1001" t="s">
        <v>74</v>
      </c>
      <c r="AO1001" t="s">
        <v>132</v>
      </c>
      <c r="AP1001" t="s">
        <v>133</v>
      </c>
      <c r="AQ1001" t="s">
        <v>74</v>
      </c>
      <c r="AR1001" t="s">
        <v>74</v>
      </c>
      <c r="AS1001" t="s">
        <v>74</v>
      </c>
      <c r="AT1001" t="s">
        <v>175</v>
      </c>
      <c r="AU1001">
        <v>1995</v>
      </c>
      <c r="AV1001">
        <v>37</v>
      </c>
      <c r="AW1001">
        <v>4</v>
      </c>
      <c r="AX1001" t="s">
        <v>74</v>
      </c>
      <c r="AY1001" t="s">
        <v>74</v>
      </c>
      <c r="AZ1001" t="s">
        <v>74</v>
      </c>
      <c r="BA1001" t="s">
        <v>74</v>
      </c>
      <c r="BB1001">
        <v>275</v>
      </c>
      <c r="BC1001">
        <v>282</v>
      </c>
      <c r="BD1001" t="s">
        <v>74</v>
      </c>
      <c r="BE1001" t="s">
        <v>5306</v>
      </c>
      <c r="BF1001" t="str">
        <f>HYPERLINK("http://dx.doi.org/10.1007/BF00177407","http://dx.doi.org/10.1007/BF00177407")</f>
        <v>http://dx.doi.org/10.1007/BF00177407</v>
      </c>
      <c r="BG1001" t="s">
        <v>74</v>
      </c>
      <c r="BH1001" t="s">
        <v>74</v>
      </c>
      <c r="BI1001" t="s">
        <v>74</v>
      </c>
      <c r="BJ1001" t="s">
        <v>74</v>
      </c>
      <c r="BK1001" t="s">
        <v>74</v>
      </c>
      <c r="BL1001" t="s">
        <v>74</v>
      </c>
      <c r="BM1001" t="s">
        <v>74</v>
      </c>
      <c r="BN1001" t="s">
        <v>74</v>
      </c>
      <c r="BO1001" t="s">
        <v>74</v>
      </c>
      <c r="BP1001" t="s">
        <v>74</v>
      </c>
      <c r="BQ1001" t="s">
        <v>74</v>
      </c>
      <c r="BR1001" t="s">
        <v>74</v>
      </c>
      <c r="BS1001" t="s">
        <v>5307</v>
      </c>
      <c r="BT1001" t="str">
        <f>HYPERLINK("https%3A%2F%2Fwww.webofscience.com%2Fwos%2Fwoscc%2Ffull-record%2FWOS:A1995TC81600008","View Full Record in Web of Science")</f>
        <v>View Full Record in Web of Science</v>
      </c>
    </row>
    <row r="1002" spans="1:72" x14ac:dyDescent="0.4">
      <c r="A1002" t="s">
        <v>72</v>
      </c>
      <c r="B1002" t="s">
        <v>349</v>
      </c>
      <c r="C1002" t="s">
        <v>74</v>
      </c>
      <c r="D1002" t="s">
        <v>74</v>
      </c>
      <c r="E1002" t="s">
        <v>74</v>
      </c>
      <c r="F1002" t="s">
        <v>349</v>
      </c>
      <c r="G1002" t="s">
        <v>74</v>
      </c>
      <c r="H1002" t="s">
        <v>74</v>
      </c>
      <c r="I1002" t="s">
        <v>350</v>
      </c>
      <c r="J1002" t="s">
        <v>201</v>
      </c>
      <c r="K1002" t="s">
        <v>74</v>
      </c>
      <c r="L1002" t="s">
        <v>74</v>
      </c>
      <c r="M1002" t="s">
        <v>74</v>
      </c>
      <c r="N1002" t="s">
        <v>74</v>
      </c>
      <c r="O1002" t="s">
        <v>74</v>
      </c>
      <c r="P1002" t="s">
        <v>74</v>
      </c>
      <c r="Q1002" t="s">
        <v>74</v>
      </c>
      <c r="R1002" t="s">
        <v>74</v>
      </c>
      <c r="S1002" t="s">
        <v>74</v>
      </c>
      <c r="T1002" t="s">
        <v>74</v>
      </c>
      <c r="U1002" t="s">
        <v>74</v>
      </c>
      <c r="V1002" s="3" t="s">
        <v>351</v>
      </c>
      <c r="W1002" t="s">
        <v>74</v>
      </c>
      <c r="X1002" t="s">
        <v>74</v>
      </c>
      <c r="Y1002" t="s">
        <v>74</v>
      </c>
      <c r="Z1002" t="s">
        <v>74</v>
      </c>
      <c r="AA1002" t="s">
        <v>74</v>
      </c>
      <c r="AB1002" t="s">
        <v>74</v>
      </c>
      <c r="AC1002" t="s">
        <v>74</v>
      </c>
      <c r="AD1002" t="s">
        <v>74</v>
      </c>
      <c r="AE1002" t="s">
        <v>74</v>
      </c>
      <c r="AF1002" t="s">
        <v>74</v>
      </c>
      <c r="AG1002" t="s">
        <v>74</v>
      </c>
      <c r="AH1002" t="s">
        <v>74</v>
      </c>
      <c r="AI1002" t="s">
        <v>74</v>
      </c>
      <c r="AJ1002" t="s">
        <v>74</v>
      </c>
      <c r="AK1002" t="s">
        <v>74</v>
      </c>
      <c r="AL1002" t="s">
        <v>74</v>
      </c>
      <c r="AM1002" t="s">
        <v>74</v>
      </c>
      <c r="AN1002" t="s">
        <v>74</v>
      </c>
      <c r="AO1002" t="s">
        <v>203</v>
      </c>
      <c r="AP1002" t="s">
        <v>74</v>
      </c>
      <c r="AQ1002" t="s">
        <v>74</v>
      </c>
      <c r="AR1002" t="s">
        <v>74</v>
      </c>
      <c r="AS1002" t="s">
        <v>74</v>
      </c>
      <c r="AT1002" t="s">
        <v>352</v>
      </c>
      <c r="AU1002">
        <v>2002</v>
      </c>
      <c r="AV1002">
        <v>61</v>
      </c>
      <c r="AW1002">
        <v>3</v>
      </c>
      <c r="AX1002" t="s">
        <v>74</v>
      </c>
      <c r="AY1002" t="s">
        <v>74</v>
      </c>
      <c r="AZ1002" t="s">
        <v>74</v>
      </c>
      <c r="BA1002" t="s">
        <v>74</v>
      </c>
      <c r="BB1002">
        <v>606</v>
      </c>
      <c r="BC1002">
        <v>614</v>
      </c>
      <c r="BD1002" t="s">
        <v>74</v>
      </c>
      <c r="BE1002" t="s">
        <v>353</v>
      </c>
      <c r="BF1002" t="str">
        <f>HYPERLINK("http://dx.doi.org/10.1006/jfbi.2002.2084","http://dx.doi.org/10.1006/jfbi.2002.2084")</f>
        <v>http://dx.doi.org/10.1006/jfbi.2002.2084</v>
      </c>
      <c r="BG1002" t="s">
        <v>74</v>
      </c>
      <c r="BH1002" t="s">
        <v>74</v>
      </c>
      <c r="BI1002" t="s">
        <v>74</v>
      </c>
      <c r="BJ1002" t="s">
        <v>74</v>
      </c>
      <c r="BK1002" t="s">
        <v>74</v>
      </c>
      <c r="BL1002" t="s">
        <v>74</v>
      </c>
      <c r="BM1002" t="s">
        <v>74</v>
      </c>
      <c r="BN1002" t="s">
        <v>74</v>
      </c>
      <c r="BO1002" t="s">
        <v>74</v>
      </c>
      <c r="BP1002" t="s">
        <v>74</v>
      </c>
      <c r="BQ1002" t="s">
        <v>74</v>
      </c>
      <c r="BR1002" t="s">
        <v>74</v>
      </c>
      <c r="BS1002" t="s">
        <v>354</v>
      </c>
      <c r="BT1002" t="str">
        <f>HYPERLINK("https%3A%2F%2Fwww.webofscience.com%2Fwos%2Fwoscc%2Ffull-record%2FWOS:000179168400007","View Full Record in Web of Science")</f>
        <v>View Full Record in Web of Science</v>
      </c>
    </row>
    <row r="1003" spans="1:72" x14ac:dyDescent="0.4">
      <c r="A1003" t="s">
        <v>72</v>
      </c>
      <c r="B1003" t="s">
        <v>4061</v>
      </c>
      <c r="C1003" t="s">
        <v>74</v>
      </c>
      <c r="D1003" t="s">
        <v>74</v>
      </c>
      <c r="E1003" t="s">
        <v>74</v>
      </c>
      <c r="F1003" t="s">
        <v>4062</v>
      </c>
      <c r="G1003" t="s">
        <v>74</v>
      </c>
      <c r="H1003" t="s">
        <v>74</v>
      </c>
      <c r="I1003" t="s">
        <v>4063</v>
      </c>
      <c r="J1003" t="s">
        <v>4064</v>
      </c>
      <c r="K1003" t="s">
        <v>74</v>
      </c>
      <c r="L1003" t="s">
        <v>74</v>
      </c>
      <c r="M1003" t="s">
        <v>74</v>
      </c>
      <c r="N1003" t="s">
        <v>74</v>
      </c>
      <c r="O1003" t="s">
        <v>74</v>
      </c>
      <c r="P1003" t="s">
        <v>74</v>
      </c>
      <c r="Q1003" t="s">
        <v>74</v>
      </c>
      <c r="R1003" t="s">
        <v>74</v>
      </c>
      <c r="S1003" t="s">
        <v>74</v>
      </c>
      <c r="T1003" t="s">
        <v>74</v>
      </c>
      <c r="U1003" t="s">
        <v>74</v>
      </c>
      <c r="V1003" s="3" t="s">
        <v>4065</v>
      </c>
      <c r="W1003" t="s">
        <v>74</v>
      </c>
      <c r="X1003" t="s">
        <v>74</v>
      </c>
      <c r="Y1003" t="s">
        <v>74</v>
      </c>
      <c r="Z1003" t="s">
        <v>74</v>
      </c>
      <c r="AA1003" t="s">
        <v>4066</v>
      </c>
      <c r="AB1003" t="s">
        <v>4067</v>
      </c>
      <c r="AC1003" t="s">
        <v>74</v>
      </c>
      <c r="AD1003" t="s">
        <v>74</v>
      </c>
      <c r="AE1003" t="s">
        <v>74</v>
      </c>
      <c r="AF1003" t="s">
        <v>74</v>
      </c>
      <c r="AG1003" t="s">
        <v>74</v>
      </c>
      <c r="AH1003" t="s">
        <v>74</v>
      </c>
      <c r="AI1003" t="s">
        <v>74</v>
      </c>
      <c r="AJ1003" t="s">
        <v>74</v>
      </c>
      <c r="AK1003" t="s">
        <v>74</v>
      </c>
      <c r="AL1003" t="s">
        <v>74</v>
      </c>
      <c r="AM1003" t="s">
        <v>74</v>
      </c>
      <c r="AN1003" t="s">
        <v>74</v>
      </c>
      <c r="AO1003" t="s">
        <v>4068</v>
      </c>
      <c r="AP1003" t="s">
        <v>4069</v>
      </c>
      <c r="AQ1003" t="s">
        <v>74</v>
      </c>
      <c r="AR1003" t="s">
        <v>74</v>
      </c>
      <c r="AS1003" t="s">
        <v>74</v>
      </c>
      <c r="AT1003" t="s">
        <v>4070</v>
      </c>
      <c r="AU1003">
        <v>2007</v>
      </c>
      <c r="AV1003">
        <v>17</v>
      </c>
      <c r="AW1003">
        <v>22</v>
      </c>
      <c r="AX1003" t="s">
        <v>74</v>
      </c>
      <c r="AY1003" t="s">
        <v>74</v>
      </c>
      <c r="AZ1003" t="s">
        <v>74</v>
      </c>
      <c r="BA1003" t="s">
        <v>74</v>
      </c>
      <c r="BB1003">
        <v>1943</v>
      </c>
      <c r="BC1003">
        <v>1947</v>
      </c>
      <c r="BD1003" t="s">
        <v>74</v>
      </c>
      <c r="BE1003" t="s">
        <v>4071</v>
      </c>
      <c r="BF1003" t="str">
        <f>HYPERLINK("http://dx.doi.org/10.1016/j.cub.2007.09.038","http://dx.doi.org/10.1016/j.cub.2007.09.038")</f>
        <v>http://dx.doi.org/10.1016/j.cub.2007.09.038</v>
      </c>
      <c r="BG1003" t="s">
        <v>74</v>
      </c>
      <c r="BH1003" t="s">
        <v>74</v>
      </c>
      <c r="BI1003" t="s">
        <v>74</v>
      </c>
      <c r="BJ1003" t="s">
        <v>74</v>
      </c>
      <c r="BK1003" t="s">
        <v>74</v>
      </c>
      <c r="BL1003" t="s">
        <v>74</v>
      </c>
      <c r="BM1003" t="s">
        <v>74</v>
      </c>
      <c r="BN1003">
        <v>17935996</v>
      </c>
      <c r="BO1003" t="s">
        <v>74</v>
      </c>
      <c r="BP1003" t="s">
        <v>74</v>
      </c>
      <c r="BQ1003" t="s">
        <v>74</v>
      </c>
      <c r="BR1003" t="s">
        <v>74</v>
      </c>
      <c r="BS1003" t="s">
        <v>4072</v>
      </c>
      <c r="BT1003" t="str">
        <f>HYPERLINK("https%3A%2F%2Fwww.webofscience.com%2Fwos%2Fwoscc%2Ffull-record%2FWOS:000251274300027","View Full Record in Web of Science")</f>
        <v>View Full Record in Web of Science</v>
      </c>
    </row>
    <row r="1004" spans="1:72" x14ac:dyDescent="0.4">
      <c r="A1004" t="s">
        <v>72</v>
      </c>
      <c r="B1004" t="s">
        <v>3997</v>
      </c>
      <c r="C1004" t="s">
        <v>74</v>
      </c>
      <c r="D1004" t="s">
        <v>74</v>
      </c>
      <c r="E1004" t="s">
        <v>74</v>
      </c>
      <c r="F1004" t="s">
        <v>3998</v>
      </c>
      <c r="G1004" t="s">
        <v>74</v>
      </c>
      <c r="H1004" t="s">
        <v>74</v>
      </c>
      <c r="I1004" t="s">
        <v>3999</v>
      </c>
      <c r="J1004" t="s">
        <v>1112</v>
      </c>
      <c r="K1004" t="s">
        <v>74</v>
      </c>
      <c r="L1004" t="s">
        <v>74</v>
      </c>
      <c r="M1004" t="s">
        <v>74</v>
      </c>
      <c r="N1004" t="s">
        <v>74</v>
      </c>
      <c r="O1004" t="s">
        <v>74</v>
      </c>
      <c r="P1004" t="s">
        <v>74</v>
      </c>
      <c r="Q1004" t="s">
        <v>74</v>
      </c>
      <c r="R1004" t="s">
        <v>74</v>
      </c>
      <c r="S1004" t="s">
        <v>74</v>
      </c>
      <c r="T1004" t="s">
        <v>74</v>
      </c>
      <c r="U1004" t="s">
        <v>74</v>
      </c>
      <c r="V1004" s="3" t="s">
        <v>4000</v>
      </c>
      <c r="W1004" t="s">
        <v>74</v>
      </c>
      <c r="X1004" t="s">
        <v>74</v>
      </c>
      <c r="Y1004" t="s">
        <v>74</v>
      </c>
      <c r="Z1004" t="s">
        <v>74</v>
      </c>
      <c r="AA1004" t="s">
        <v>4001</v>
      </c>
      <c r="AB1004" t="s">
        <v>4002</v>
      </c>
      <c r="AC1004" t="s">
        <v>74</v>
      </c>
      <c r="AD1004" t="s">
        <v>74</v>
      </c>
      <c r="AE1004" t="s">
        <v>74</v>
      </c>
      <c r="AF1004" t="s">
        <v>74</v>
      </c>
      <c r="AG1004" t="s">
        <v>74</v>
      </c>
      <c r="AH1004" t="s">
        <v>74</v>
      </c>
      <c r="AI1004" t="s">
        <v>74</v>
      </c>
      <c r="AJ1004" t="s">
        <v>74</v>
      </c>
      <c r="AK1004" t="s">
        <v>74</v>
      </c>
      <c r="AL1004" t="s">
        <v>74</v>
      </c>
      <c r="AM1004" t="s">
        <v>74</v>
      </c>
      <c r="AN1004" t="s">
        <v>74</v>
      </c>
      <c r="AO1004" t="s">
        <v>1114</v>
      </c>
      <c r="AP1004" t="s">
        <v>1115</v>
      </c>
      <c r="AQ1004" t="s">
        <v>74</v>
      </c>
      <c r="AR1004" t="s">
        <v>74</v>
      </c>
      <c r="AS1004" t="s">
        <v>74</v>
      </c>
      <c r="AT1004" t="s">
        <v>134</v>
      </c>
      <c r="AU1004">
        <v>2023</v>
      </c>
      <c r="AV1004">
        <v>262</v>
      </c>
      <c r="AW1004" t="s">
        <v>74</v>
      </c>
      <c r="AX1004" t="s">
        <v>74</v>
      </c>
      <c r="AY1004" t="s">
        <v>74</v>
      </c>
      <c r="AZ1004" t="s">
        <v>74</v>
      </c>
      <c r="BA1004" t="s">
        <v>74</v>
      </c>
      <c r="BB1004" t="s">
        <v>74</v>
      </c>
      <c r="BC1004" t="s">
        <v>74</v>
      </c>
      <c r="BD1004">
        <v>105903</v>
      </c>
      <c r="BE1004" t="s">
        <v>4003</v>
      </c>
      <c r="BF1004" t="str">
        <f>HYPERLINK("http://dx.doi.org/10.1016/j.applanim.2023.105903","http://dx.doi.org/10.1016/j.applanim.2023.105903")</f>
        <v>http://dx.doi.org/10.1016/j.applanim.2023.105903</v>
      </c>
      <c r="BG1004" t="s">
        <v>74</v>
      </c>
      <c r="BH1004" t="s">
        <v>4004</v>
      </c>
      <c r="BI1004" t="s">
        <v>74</v>
      </c>
      <c r="BJ1004" t="s">
        <v>74</v>
      </c>
      <c r="BK1004" t="s">
        <v>74</v>
      </c>
      <c r="BL1004" t="s">
        <v>74</v>
      </c>
      <c r="BM1004" t="s">
        <v>74</v>
      </c>
      <c r="BN1004" t="s">
        <v>74</v>
      </c>
      <c r="BO1004" t="s">
        <v>74</v>
      </c>
      <c r="BP1004" t="s">
        <v>74</v>
      </c>
      <c r="BQ1004" t="s">
        <v>74</v>
      </c>
      <c r="BR1004" t="s">
        <v>74</v>
      </c>
      <c r="BS1004" t="s">
        <v>4005</v>
      </c>
      <c r="BT1004" t="str">
        <f>HYPERLINK("https%3A%2F%2Fwww.webofscience.com%2Fwos%2Fwoscc%2Ffull-record%2FWOS:000964957600001","View Full Record in Web of Science")</f>
        <v>View Full Record in Web of Science</v>
      </c>
    </row>
    <row r="1005" spans="1:72" x14ac:dyDescent="0.4">
      <c r="A1005" t="s">
        <v>72</v>
      </c>
      <c r="B1005" t="s">
        <v>6276</v>
      </c>
      <c r="C1005" t="s">
        <v>74</v>
      </c>
      <c r="D1005" t="s">
        <v>74</v>
      </c>
      <c r="E1005" t="s">
        <v>74</v>
      </c>
      <c r="F1005" t="s">
        <v>6276</v>
      </c>
      <c r="G1005" t="s">
        <v>74</v>
      </c>
      <c r="H1005" t="s">
        <v>74</v>
      </c>
      <c r="I1005" t="s">
        <v>6277</v>
      </c>
      <c r="J1005" t="s">
        <v>6278</v>
      </c>
      <c r="K1005" t="s">
        <v>74</v>
      </c>
      <c r="L1005" t="s">
        <v>74</v>
      </c>
      <c r="M1005" t="s">
        <v>74</v>
      </c>
      <c r="N1005" t="s">
        <v>74</v>
      </c>
      <c r="O1005" t="s">
        <v>74</v>
      </c>
      <c r="P1005" t="s">
        <v>74</v>
      </c>
      <c r="Q1005" t="s">
        <v>74</v>
      </c>
      <c r="R1005" t="s">
        <v>74</v>
      </c>
      <c r="S1005" t="s">
        <v>74</v>
      </c>
      <c r="T1005" t="s">
        <v>74</v>
      </c>
      <c r="U1005" t="s">
        <v>74</v>
      </c>
      <c r="V1005" s="3" t="s">
        <v>6279</v>
      </c>
      <c r="W1005" t="s">
        <v>74</v>
      </c>
      <c r="X1005" t="s">
        <v>74</v>
      </c>
      <c r="Y1005" t="s">
        <v>74</v>
      </c>
      <c r="Z1005" t="s">
        <v>74</v>
      </c>
      <c r="AA1005" t="s">
        <v>74</v>
      </c>
      <c r="AB1005" t="s">
        <v>74</v>
      </c>
      <c r="AC1005" t="s">
        <v>74</v>
      </c>
      <c r="AD1005" t="s">
        <v>74</v>
      </c>
      <c r="AE1005" t="s">
        <v>74</v>
      </c>
      <c r="AF1005" t="s">
        <v>74</v>
      </c>
      <c r="AG1005" t="s">
        <v>74</v>
      </c>
      <c r="AH1005" t="s">
        <v>74</v>
      </c>
      <c r="AI1005" t="s">
        <v>74</v>
      </c>
      <c r="AJ1005" t="s">
        <v>74</v>
      </c>
      <c r="AK1005" t="s">
        <v>74</v>
      </c>
      <c r="AL1005" t="s">
        <v>74</v>
      </c>
      <c r="AM1005" t="s">
        <v>74</v>
      </c>
      <c r="AN1005" t="s">
        <v>74</v>
      </c>
      <c r="AO1005" t="s">
        <v>6280</v>
      </c>
      <c r="AP1005" t="s">
        <v>6281</v>
      </c>
      <c r="AQ1005" t="s">
        <v>74</v>
      </c>
      <c r="AR1005" t="s">
        <v>74</v>
      </c>
      <c r="AS1005" t="s">
        <v>74</v>
      </c>
      <c r="AT1005" t="s">
        <v>145</v>
      </c>
      <c r="AU1005">
        <v>1989</v>
      </c>
      <c r="AV1005">
        <v>46</v>
      </c>
      <c r="AW1005">
        <v>8</v>
      </c>
      <c r="AX1005" t="s">
        <v>74</v>
      </c>
      <c r="AY1005" t="s">
        <v>74</v>
      </c>
      <c r="AZ1005" t="s">
        <v>74</v>
      </c>
      <c r="BA1005" t="s">
        <v>74</v>
      </c>
      <c r="BB1005">
        <v>1406</v>
      </c>
      <c r="BC1005">
        <v>1414</v>
      </c>
      <c r="BD1005" t="s">
        <v>74</v>
      </c>
      <c r="BE1005" t="s">
        <v>6282</v>
      </c>
      <c r="BF1005" t="str">
        <f>HYPERLINK("http://dx.doi.org/10.1139/f89-180","http://dx.doi.org/10.1139/f89-180")</f>
        <v>http://dx.doi.org/10.1139/f89-180</v>
      </c>
      <c r="BG1005" t="s">
        <v>74</v>
      </c>
      <c r="BH1005" t="s">
        <v>74</v>
      </c>
      <c r="BI1005" t="s">
        <v>74</v>
      </c>
      <c r="BJ1005" t="s">
        <v>74</v>
      </c>
      <c r="BK1005" t="s">
        <v>74</v>
      </c>
      <c r="BL1005" t="s">
        <v>74</v>
      </c>
      <c r="BM1005" t="s">
        <v>74</v>
      </c>
      <c r="BN1005" t="s">
        <v>74</v>
      </c>
      <c r="BO1005" t="s">
        <v>74</v>
      </c>
      <c r="BP1005" t="s">
        <v>74</v>
      </c>
      <c r="BQ1005" t="s">
        <v>74</v>
      </c>
      <c r="BR1005" t="s">
        <v>74</v>
      </c>
      <c r="BS1005" t="s">
        <v>6283</v>
      </c>
      <c r="BT1005" t="str">
        <f>HYPERLINK("https%3A%2F%2Fwww.webofscience.com%2Fwos%2Fwoscc%2Ffull-record%2FWOS:A1989AJ57000018","View Full Record in Web of Science")</f>
        <v>View Full Record in Web of Science</v>
      </c>
    </row>
    <row r="1006" spans="1:72" x14ac:dyDescent="0.4">
      <c r="A1006" t="s">
        <v>72</v>
      </c>
      <c r="B1006" t="s">
        <v>8092</v>
      </c>
      <c r="C1006" t="s">
        <v>74</v>
      </c>
      <c r="D1006" t="s">
        <v>74</v>
      </c>
      <c r="E1006" t="s">
        <v>74</v>
      </c>
      <c r="F1006" t="s">
        <v>8093</v>
      </c>
      <c r="G1006" t="s">
        <v>74</v>
      </c>
      <c r="H1006" t="s">
        <v>74</v>
      </c>
      <c r="I1006" t="s">
        <v>8094</v>
      </c>
      <c r="J1006" t="s">
        <v>3353</v>
      </c>
      <c r="K1006" t="s">
        <v>74</v>
      </c>
      <c r="L1006" t="s">
        <v>74</v>
      </c>
      <c r="M1006" t="s">
        <v>74</v>
      </c>
      <c r="N1006" t="s">
        <v>74</v>
      </c>
      <c r="O1006" t="s">
        <v>74</v>
      </c>
      <c r="P1006" t="s">
        <v>74</v>
      </c>
      <c r="Q1006" t="s">
        <v>74</v>
      </c>
      <c r="R1006" t="s">
        <v>74</v>
      </c>
      <c r="S1006" t="s">
        <v>74</v>
      </c>
      <c r="T1006" t="s">
        <v>74</v>
      </c>
      <c r="U1006" t="s">
        <v>74</v>
      </c>
      <c r="V1006" s="3" t="s">
        <v>8095</v>
      </c>
      <c r="W1006" t="s">
        <v>74</v>
      </c>
      <c r="X1006" t="s">
        <v>74</v>
      </c>
      <c r="Y1006" t="s">
        <v>74</v>
      </c>
      <c r="Z1006" t="s">
        <v>74</v>
      </c>
      <c r="AA1006" t="s">
        <v>8096</v>
      </c>
      <c r="AB1006" t="s">
        <v>8097</v>
      </c>
      <c r="AC1006" t="s">
        <v>74</v>
      </c>
      <c r="AD1006" t="s">
        <v>74</v>
      </c>
      <c r="AE1006" t="s">
        <v>74</v>
      </c>
      <c r="AF1006" t="s">
        <v>74</v>
      </c>
      <c r="AG1006" t="s">
        <v>74</v>
      </c>
      <c r="AH1006" t="s">
        <v>74</v>
      </c>
      <c r="AI1006" t="s">
        <v>74</v>
      </c>
      <c r="AJ1006" t="s">
        <v>74</v>
      </c>
      <c r="AK1006" t="s">
        <v>74</v>
      </c>
      <c r="AL1006" t="s">
        <v>74</v>
      </c>
      <c r="AM1006" t="s">
        <v>74</v>
      </c>
      <c r="AN1006" t="s">
        <v>74</v>
      </c>
      <c r="AO1006" t="s">
        <v>3357</v>
      </c>
      <c r="AP1006" t="s">
        <v>3358</v>
      </c>
      <c r="AQ1006" t="s">
        <v>74</v>
      </c>
      <c r="AR1006" t="s">
        <v>74</v>
      </c>
      <c r="AS1006" t="s">
        <v>74</v>
      </c>
      <c r="AT1006" t="s">
        <v>134</v>
      </c>
      <c r="AU1006">
        <v>2024</v>
      </c>
      <c r="AV1006">
        <v>49</v>
      </c>
      <c r="AW1006">
        <v>5</v>
      </c>
      <c r="AX1006" t="s">
        <v>74</v>
      </c>
      <c r="AY1006" t="s">
        <v>74</v>
      </c>
      <c r="AZ1006" t="s">
        <v>74</v>
      </c>
      <c r="BA1006" t="s">
        <v>74</v>
      </c>
      <c r="BB1006" t="s">
        <v>74</v>
      </c>
      <c r="BC1006" t="s">
        <v>74</v>
      </c>
      <c r="BD1006" t="s">
        <v>8098</v>
      </c>
      <c r="BE1006" t="s">
        <v>8099</v>
      </c>
      <c r="BF1006" t="str">
        <f>HYPERLINK("http://dx.doi.org/10.1111/aec.13523","http://dx.doi.org/10.1111/aec.13523")</f>
        <v>http://dx.doi.org/10.1111/aec.13523</v>
      </c>
      <c r="BG1006" t="s">
        <v>74</v>
      </c>
      <c r="BH1006" t="s">
        <v>74</v>
      </c>
      <c r="BI1006" t="s">
        <v>74</v>
      </c>
      <c r="BJ1006" t="s">
        <v>74</v>
      </c>
      <c r="BK1006" t="s">
        <v>74</v>
      </c>
      <c r="BL1006" t="s">
        <v>74</v>
      </c>
      <c r="BM1006" t="s">
        <v>74</v>
      </c>
      <c r="BN1006" t="s">
        <v>74</v>
      </c>
      <c r="BO1006" t="s">
        <v>74</v>
      </c>
      <c r="BP1006" t="s">
        <v>74</v>
      </c>
      <c r="BQ1006" t="s">
        <v>74</v>
      </c>
      <c r="BR1006" t="s">
        <v>74</v>
      </c>
      <c r="BS1006" t="s">
        <v>8100</v>
      </c>
      <c r="BT1006" t="str">
        <f>HYPERLINK("https%3A%2F%2Fwww.webofscience.com%2Fwos%2Fwoscc%2Ffull-record%2FWOS:001223578900001","View Full Record in Web of Science")</f>
        <v>View Full Record in Web of Science</v>
      </c>
    </row>
    <row r="1007" spans="1:72" x14ac:dyDescent="0.4">
      <c r="A1007" t="s">
        <v>72</v>
      </c>
      <c r="B1007" t="s">
        <v>3341</v>
      </c>
      <c r="C1007" t="s">
        <v>74</v>
      </c>
      <c r="D1007" t="s">
        <v>74</v>
      </c>
      <c r="E1007" t="s">
        <v>74</v>
      </c>
      <c r="F1007" t="s">
        <v>3342</v>
      </c>
      <c r="G1007" t="s">
        <v>74</v>
      </c>
      <c r="H1007" t="s">
        <v>74</v>
      </c>
      <c r="I1007" t="s">
        <v>3343</v>
      </c>
      <c r="J1007" t="s">
        <v>1437</v>
      </c>
      <c r="K1007" t="s">
        <v>74</v>
      </c>
      <c r="L1007" t="s">
        <v>74</v>
      </c>
      <c r="M1007" t="s">
        <v>74</v>
      </c>
      <c r="N1007" t="s">
        <v>74</v>
      </c>
      <c r="O1007" t="s">
        <v>74</v>
      </c>
      <c r="P1007" t="s">
        <v>74</v>
      </c>
      <c r="Q1007" t="s">
        <v>74</v>
      </c>
      <c r="R1007" t="s">
        <v>74</v>
      </c>
      <c r="S1007" t="s">
        <v>74</v>
      </c>
      <c r="T1007" t="s">
        <v>74</v>
      </c>
      <c r="U1007" t="s">
        <v>74</v>
      </c>
      <c r="V1007" s="3" t="s">
        <v>3344</v>
      </c>
      <c r="W1007" t="s">
        <v>74</v>
      </c>
      <c r="X1007" t="s">
        <v>74</v>
      </c>
      <c r="Y1007" t="s">
        <v>74</v>
      </c>
      <c r="Z1007" t="s">
        <v>74</v>
      </c>
      <c r="AA1007" t="s">
        <v>3345</v>
      </c>
      <c r="AB1007" t="s">
        <v>3346</v>
      </c>
      <c r="AC1007" t="s">
        <v>74</v>
      </c>
      <c r="AD1007" t="s">
        <v>74</v>
      </c>
      <c r="AE1007" t="s">
        <v>74</v>
      </c>
      <c r="AF1007" t="s">
        <v>74</v>
      </c>
      <c r="AG1007" t="s">
        <v>74</v>
      </c>
      <c r="AH1007" t="s">
        <v>74</v>
      </c>
      <c r="AI1007" t="s">
        <v>74</v>
      </c>
      <c r="AJ1007" t="s">
        <v>74</v>
      </c>
      <c r="AK1007" t="s">
        <v>74</v>
      </c>
      <c r="AL1007" t="s">
        <v>74</v>
      </c>
      <c r="AM1007" t="s">
        <v>74</v>
      </c>
      <c r="AN1007" t="s">
        <v>74</v>
      </c>
      <c r="AO1007" t="s">
        <v>1440</v>
      </c>
      <c r="AP1007" t="s">
        <v>3347</v>
      </c>
      <c r="AQ1007" t="s">
        <v>74</v>
      </c>
      <c r="AR1007" t="s">
        <v>74</v>
      </c>
      <c r="AS1007" t="s">
        <v>74</v>
      </c>
      <c r="AT1007" t="s">
        <v>255</v>
      </c>
      <c r="AU1007">
        <v>2019</v>
      </c>
      <c r="AV1007">
        <v>122</v>
      </c>
      <c r="AW1007">
        <v>1</v>
      </c>
      <c r="AX1007" t="s">
        <v>74</v>
      </c>
      <c r="AY1007" t="s">
        <v>74</v>
      </c>
      <c r="AZ1007" t="s">
        <v>74</v>
      </c>
      <c r="BA1007" t="s">
        <v>74</v>
      </c>
      <c r="BB1007">
        <v>81</v>
      </c>
      <c r="BC1007">
        <v>92</v>
      </c>
      <c r="BD1007" t="s">
        <v>74</v>
      </c>
      <c r="BE1007" t="s">
        <v>3348</v>
      </c>
      <c r="BF1007" t="str">
        <f>HYPERLINK("http://dx.doi.org/10.1038/s41437-018-0076-z","http://dx.doi.org/10.1038/s41437-018-0076-z")</f>
        <v>http://dx.doi.org/10.1038/s41437-018-0076-z</v>
      </c>
      <c r="BG1007" t="s">
        <v>74</v>
      </c>
      <c r="BH1007" t="s">
        <v>74</v>
      </c>
      <c r="BI1007" t="s">
        <v>74</v>
      </c>
      <c r="BJ1007" t="s">
        <v>74</v>
      </c>
      <c r="BK1007" t="s">
        <v>74</v>
      </c>
      <c r="BL1007" t="s">
        <v>74</v>
      </c>
      <c r="BM1007" t="s">
        <v>74</v>
      </c>
      <c r="BN1007">
        <v>29713090</v>
      </c>
      <c r="BO1007" t="s">
        <v>74</v>
      </c>
      <c r="BP1007" t="s">
        <v>74</v>
      </c>
      <c r="BQ1007" t="s">
        <v>74</v>
      </c>
      <c r="BR1007" t="s">
        <v>74</v>
      </c>
      <c r="BS1007" t="s">
        <v>3349</v>
      </c>
      <c r="BT1007" t="str">
        <f>HYPERLINK("https%3A%2F%2Fwww.webofscience.com%2Fwos%2Fwoscc%2Ffull-record%2FWOS:000452620900007","View Full Record in Web of Science")</f>
        <v>View Full Record in Web of Science</v>
      </c>
    </row>
    <row r="1008" spans="1:72" x14ac:dyDescent="0.4">
      <c r="A1008" t="s">
        <v>72</v>
      </c>
      <c r="B1008" t="s">
        <v>3538</v>
      </c>
      <c r="C1008" t="s">
        <v>74</v>
      </c>
      <c r="D1008" t="s">
        <v>74</v>
      </c>
      <c r="E1008" t="s">
        <v>74</v>
      </c>
      <c r="F1008" t="s">
        <v>3539</v>
      </c>
      <c r="G1008" t="s">
        <v>74</v>
      </c>
      <c r="H1008" t="s">
        <v>74</v>
      </c>
      <c r="I1008" t="s">
        <v>3540</v>
      </c>
      <c r="J1008" t="s">
        <v>2042</v>
      </c>
      <c r="K1008" t="s">
        <v>74</v>
      </c>
      <c r="L1008" t="s">
        <v>74</v>
      </c>
      <c r="M1008" t="s">
        <v>74</v>
      </c>
      <c r="N1008" t="s">
        <v>74</v>
      </c>
      <c r="O1008" t="s">
        <v>74</v>
      </c>
      <c r="P1008" t="s">
        <v>74</v>
      </c>
      <c r="Q1008" t="s">
        <v>74</v>
      </c>
      <c r="R1008" t="s">
        <v>74</v>
      </c>
      <c r="S1008" t="s">
        <v>74</v>
      </c>
      <c r="T1008" t="s">
        <v>74</v>
      </c>
      <c r="U1008" t="s">
        <v>74</v>
      </c>
      <c r="V1008" s="3" t="s">
        <v>3541</v>
      </c>
      <c r="W1008" t="s">
        <v>74</v>
      </c>
      <c r="X1008" t="s">
        <v>74</v>
      </c>
      <c r="Y1008" t="s">
        <v>74</v>
      </c>
      <c r="Z1008" t="s">
        <v>74</v>
      </c>
      <c r="AA1008" t="s">
        <v>74</v>
      </c>
      <c r="AB1008" t="s">
        <v>74</v>
      </c>
      <c r="AC1008" t="s">
        <v>74</v>
      </c>
      <c r="AD1008" t="s">
        <v>74</v>
      </c>
      <c r="AE1008" t="s">
        <v>74</v>
      </c>
      <c r="AF1008" t="s">
        <v>74</v>
      </c>
      <c r="AG1008" t="s">
        <v>74</v>
      </c>
      <c r="AH1008" t="s">
        <v>74</v>
      </c>
      <c r="AI1008" t="s">
        <v>74</v>
      </c>
      <c r="AJ1008" t="s">
        <v>74</v>
      </c>
      <c r="AK1008" t="s">
        <v>74</v>
      </c>
      <c r="AL1008" t="s">
        <v>74</v>
      </c>
      <c r="AM1008" t="s">
        <v>74</v>
      </c>
      <c r="AN1008" t="s">
        <v>74</v>
      </c>
      <c r="AO1008" t="s">
        <v>2045</v>
      </c>
      <c r="AP1008" t="s">
        <v>2046</v>
      </c>
      <c r="AQ1008" t="s">
        <v>74</v>
      </c>
      <c r="AR1008" t="s">
        <v>74</v>
      </c>
      <c r="AS1008" t="s">
        <v>74</v>
      </c>
      <c r="AT1008" t="s">
        <v>964</v>
      </c>
      <c r="AU1008">
        <v>2007</v>
      </c>
      <c r="AV1008">
        <v>54</v>
      </c>
      <c r="AW1008">
        <v>1</v>
      </c>
      <c r="AX1008" t="s">
        <v>74</v>
      </c>
      <c r="AY1008" t="s">
        <v>74</v>
      </c>
      <c r="AZ1008" t="s">
        <v>74</v>
      </c>
      <c r="BA1008" t="s">
        <v>74</v>
      </c>
      <c r="BB1008">
        <v>55</v>
      </c>
      <c r="BC1008">
        <v>60</v>
      </c>
      <c r="BD1008" t="s">
        <v>74</v>
      </c>
      <c r="BE1008" t="s">
        <v>3542</v>
      </c>
      <c r="BF1008" t="str">
        <f>HYPERLINK("http://dx.doi.org/10.1007/s10228-006-0374-y","http://dx.doi.org/10.1007/s10228-006-0374-y")</f>
        <v>http://dx.doi.org/10.1007/s10228-006-0374-y</v>
      </c>
      <c r="BG1008" t="s">
        <v>74</v>
      </c>
      <c r="BH1008" t="s">
        <v>74</v>
      </c>
      <c r="BI1008" t="s">
        <v>74</v>
      </c>
      <c r="BJ1008" t="s">
        <v>74</v>
      </c>
      <c r="BK1008" t="s">
        <v>74</v>
      </c>
      <c r="BL1008" t="s">
        <v>74</v>
      </c>
      <c r="BM1008" t="s">
        <v>74</v>
      </c>
      <c r="BN1008" t="s">
        <v>74</v>
      </c>
      <c r="BO1008" t="s">
        <v>74</v>
      </c>
      <c r="BP1008" t="s">
        <v>74</v>
      </c>
      <c r="BQ1008" t="s">
        <v>74</v>
      </c>
      <c r="BR1008" t="s">
        <v>74</v>
      </c>
      <c r="BS1008" t="s">
        <v>3543</v>
      </c>
      <c r="BT1008" t="str">
        <f>HYPERLINK("https%3A%2F%2Fwww.webofscience.com%2Fwos%2Fwoscc%2Ffull-record%2FWOS:000244724300008","View Full Record in Web of Science")</f>
        <v>View Full Record in Web of Science</v>
      </c>
    </row>
    <row r="1009" spans="1:72" x14ac:dyDescent="0.4">
      <c r="A1009" t="s">
        <v>72</v>
      </c>
      <c r="B1009" t="s">
        <v>6210</v>
      </c>
      <c r="C1009" t="s">
        <v>74</v>
      </c>
      <c r="D1009" t="s">
        <v>74</v>
      </c>
      <c r="E1009" t="s">
        <v>74</v>
      </c>
      <c r="F1009" t="s">
        <v>6211</v>
      </c>
      <c r="G1009" t="s">
        <v>74</v>
      </c>
      <c r="H1009" t="s">
        <v>74</v>
      </c>
      <c r="I1009" t="s">
        <v>6212</v>
      </c>
      <c r="J1009" t="s">
        <v>5357</v>
      </c>
      <c r="K1009" t="s">
        <v>74</v>
      </c>
      <c r="L1009" t="s">
        <v>74</v>
      </c>
      <c r="M1009" t="s">
        <v>74</v>
      </c>
      <c r="N1009" t="s">
        <v>74</v>
      </c>
      <c r="O1009" t="s">
        <v>74</v>
      </c>
      <c r="P1009" t="s">
        <v>74</v>
      </c>
      <c r="Q1009" t="s">
        <v>74</v>
      </c>
      <c r="R1009" t="s">
        <v>74</v>
      </c>
      <c r="S1009" t="s">
        <v>74</v>
      </c>
      <c r="T1009" t="s">
        <v>74</v>
      </c>
      <c r="U1009" t="s">
        <v>74</v>
      </c>
      <c r="V1009" s="3" t="s">
        <v>6213</v>
      </c>
      <c r="W1009" t="s">
        <v>74</v>
      </c>
      <c r="X1009" t="s">
        <v>74</v>
      </c>
      <c r="Y1009" t="s">
        <v>74</v>
      </c>
      <c r="Z1009" t="s">
        <v>74</v>
      </c>
      <c r="AA1009" t="s">
        <v>74</v>
      </c>
      <c r="AB1009" t="s">
        <v>6214</v>
      </c>
      <c r="AC1009" t="s">
        <v>74</v>
      </c>
      <c r="AD1009" t="s">
        <v>74</v>
      </c>
      <c r="AE1009" t="s">
        <v>74</v>
      </c>
      <c r="AF1009" t="s">
        <v>74</v>
      </c>
      <c r="AG1009" t="s">
        <v>74</v>
      </c>
      <c r="AH1009" t="s">
        <v>74</v>
      </c>
      <c r="AI1009" t="s">
        <v>74</v>
      </c>
      <c r="AJ1009" t="s">
        <v>74</v>
      </c>
      <c r="AK1009" t="s">
        <v>74</v>
      </c>
      <c r="AL1009" t="s">
        <v>74</v>
      </c>
      <c r="AM1009" t="s">
        <v>74</v>
      </c>
      <c r="AN1009" t="s">
        <v>74</v>
      </c>
      <c r="AO1009" t="s">
        <v>5359</v>
      </c>
      <c r="AP1009" t="s">
        <v>5360</v>
      </c>
      <c r="AQ1009" t="s">
        <v>74</v>
      </c>
      <c r="AR1009" t="s">
        <v>74</v>
      </c>
      <c r="AS1009" t="s">
        <v>74</v>
      </c>
      <c r="AT1009" t="s">
        <v>964</v>
      </c>
      <c r="AU1009">
        <v>2013</v>
      </c>
      <c r="AV1009">
        <v>31</v>
      </c>
      <c r="AW1009">
        <v>1</v>
      </c>
      <c r="AX1009" t="s">
        <v>74</v>
      </c>
      <c r="AY1009" t="s">
        <v>74</v>
      </c>
      <c r="AZ1009" t="s">
        <v>74</v>
      </c>
      <c r="BA1009" t="s">
        <v>74</v>
      </c>
      <c r="BB1009">
        <v>25</v>
      </c>
      <c r="BC1009">
        <v>37</v>
      </c>
      <c r="BD1009" t="s">
        <v>74</v>
      </c>
      <c r="BE1009" t="s">
        <v>6215</v>
      </c>
      <c r="BF1009" t="str">
        <f>HYPERLINK("http://dx.doi.org/10.4003/006.031.0114","http://dx.doi.org/10.4003/006.031.0114")</f>
        <v>http://dx.doi.org/10.4003/006.031.0114</v>
      </c>
      <c r="BG1009" t="s">
        <v>74</v>
      </c>
      <c r="BH1009" t="s">
        <v>74</v>
      </c>
      <c r="BI1009" t="s">
        <v>74</v>
      </c>
      <c r="BJ1009" t="s">
        <v>74</v>
      </c>
      <c r="BK1009" t="s">
        <v>74</v>
      </c>
      <c r="BL1009" t="s">
        <v>74</v>
      </c>
      <c r="BM1009" t="s">
        <v>74</v>
      </c>
      <c r="BN1009" t="s">
        <v>74</v>
      </c>
      <c r="BO1009" t="s">
        <v>74</v>
      </c>
      <c r="BP1009" t="s">
        <v>74</v>
      </c>
      <c r="BQ1009" t="s">
        <v>74</v>
      </c>
      <c r="BR1009" t="s">
        <v>74</v>
      </c>
      <c r="BS1009" t="s">
        <v>6216</v>
      </c>
      <c r="BT1009" t="str">
        <f>HYPERLINK("https%3A%2F%2Fwww.webofscience.com%2Fwos%2Fwoscc%2Ffull-record%2FWOS:000338769900003","View Full Record in Web of Science")</f>
        <v>View Full Record in Web of Science</v>
      </c>
    </row>
    <row r="1010" spans="1:72" x14ac:dyDescent="0.4">
      <c r="A1010" t="s">
        <v>72</v>
      </c>
      <c r="B1010" t="s">
        <v>4414</v>
      </c>
      <c r="C1010" t="s">
        <v>74</v>
      </c>
      <c r="D1010" t="s">
        <v>74</v>
      </c>
      <c r="E1010" t="s">
        <v>74</v>
      </c>
      <c r="F1010" t="s">
        <v>4415</v>
      </c>
      <c r="G1010" t="s">
        <v>74</v>
      </c>
      <c r="H1010" t="s">
        <v>74</v>
      </c>
      <c r="I1010" t="s">
        <v>4416</v>
      </c>
      <c r="J1010" t="s">
        <v>4417</v>
      </c>
      <c r="K1010" t="s">
        <v>74</v>
      </c>
      <c r="L1010" t="s">
        <v>74</v>
      </c>
      <c r="M1010" t="s">
        <v>74</v>
      </c>
      <c r="N1010" t="s">
        <v>74</v>
      </c>
      <c r="O1010" t="s">
        <v>74</v>
      </c>
      <c r="P1010" t="s">
        <v>74</v>
      </c>
      <c r="Q1010" t="s">
        <v>74</v>
      </c>
      <c r="R1010" t="s">
        <v>74</v>
      </c>
      <c r="S1010" t="s">
        <v>74</v>
      </c>
      <c r="T1010" t="s">
        <v>74</v>
      </c>
      <c r="U1010" t="s">
        <v>74</v>
      </c>
      <c r="V1010" s="3" t="s">
        <v>4418</v>
      </c>
      <c r="W1010" t="s">
        <v>74</v>
      </c>
      <c r="X1010" t="s">
        <v>74</v>
      </c>
      <c r="Y1010" t="s">
        <v>74</v>
      </c>
      <c r="Z1010" t="s">
        <v>74</v>
      </c>
      <c r="AA1010" t="s">
        <v>4419</v>
      </c>
      <c r="AB1010" t="s">
        <v>4420</v>
      </c>
      <c r="AC1010" t="s">
        <v>74</v>
      </c>
      <c r="AD1010" t="s">
        <v>74</v>
      </c>
      <c r="AE1010" t="s">
        <v>74</v>
      </c>
      <c r="AF1010" t="s">
        <v>74</v>
      </c>
      <c r="AG1010" t="s">
        <v>74</v>
      </c>
      <c r="AH1010" t="s">
        <v>74</v>
      </c>
      <c r="AI1010" t="s">
        <v>74</v>
      </c>
      <c r="AJ1010" t="s">
        <v>74</v>
      </c>
      <c r="AK1010" t="s">
        <v>74</v>
      </c>
      <c r="AL1010" t="s">
        <v>74</v>
      </c>
      <c r="AM1010" t="s">
        <v>74</v>
      </c>
      <c r="AN1010" t="s">
        <v>74</v>
      </c>
      <c r="AO1010" t="s">
        <v>4421</v>
      </c>
      <c r="AP1010" t="s">
        <v>4422</v>
      </c>
      <c r="AQ1010" t="s">
        <v>74</v>
      </c>
      <c r="AR1010" t="s">
        <v>74</v>
      </c>
      <c r="AS1010" t="s">
        <v>74</v>
      </c>
      <c r="AT1010" t="s">
        <v>305</v>
      </c>
      <c r="AU1010">
        <v>2022</v>
      </c>
      <c r="AV1010">
        <v>25</v>
      </c>
      <c r="AW1010">
        <v>4</v>
      </c>
      <c r="AX1010" t="s">
        <v>74</v>
      </c>
      <c r="AY1010" t="s">
        <v>74</v>
      </c>
      <c r="AZ1010" t="s">
        <v>74</v>
      </c>
      <c r="BA1010" t="s">
        <v>74</v>
      </c>
      <c r="BB1010" t="s">
        <v>74</v>
      </c>
      <c r="BC1010" t="s">
        <v>74</v>
      </c>
      <c r="BD1010" t="s">
        <v>4423</v>
      </c>
      <c r="BE1010" t="s">
        <v>4424</v>
      </c>
      <c r="BF1010" t="str">
        <f>HYPERLINK("http://dx.doi.org/10.1111/ens.12529","http://dx.doi.org/10.1111/ens.12529")</f>
        <v>http://dx.doi.org/10.1111/ens.12529</v>
      </c>
      <c r="BG1010" t="s">
        <v>74</v>
      </c>
      <c r="BH1010" t="s">
        <v>74</v>
      </c>
      <c r="BI1010" t="s">
        <v>74</v>
      </c>
      <c r="BJ1010" t="s">
        <v>74</v>
      </c>
      <c r="BK1010" t="s">
        <v>74</v>
      </c>
      <c r="BL1010" t="s">
        <v>74</v>
      </c>
      <c r="BM1010" t="s">
        <v>74</v>
      </c>
      <c r="BN1010" t="s">
        <v>74</v>
      </c>
      <c r="BO1010" t="s">
        <v>74</v>
      </c>
      <c r="BP1010" t="s">
        <v>74</v>
      </c>
      <c r="BQ1010" t="s">
        <v>74</v>
      </c>
      <c r="BR1010" t="s">
        <v>74</v>
      </c>
      <c r="BS1010" t="s">
        <v>4425</v>
      </c>
      <c r="BT1010" t="str">
        <f>HYPERLINK("https%3A%2F%2Fwww.webofscience.com%2Fwos%2Fwoscc%2Ffull-record%2FWOS:000888062100001","View Full Record in Web of Science")</f>
        <v>View Full Record in Web of Science</v>
      </c>
    </row>
    <row r="1011" spans="1:72" x14ac:dyDescent="0.4">
      <c r="A1011" t="s">
        <v>72</v>
      </c>
      <c r="B1011" t="s">
        <v>550</v>
      </c>
      <c r="C1011" t="s">
        <v>74</v>
      </c>
      <c r="D1011" t="s">
        <v>74</v>
      </c>
      <c r="E1011" t="s">
        <v>74</v>
      </c>
      <c r="F1011" t="s">
        <v>551</v>
      </c>
      <c r="G1011" t="s">
        <v>74</v>
      </c>
      <c r="H1011" t="s">
        <v>74</v>
      </c>
      <c r="I1011" t="s">
        <v>552</v>
      </c>
      <c r="J1011" t="s">
        <v>553</v>
      </c>
      <c r="K1011" t="s">
        <v>74</v>
      </c>
      <c r="L1011" t="s">
        <v>74</v>
      </c>
      <c r="M1011" t="s">
        <v>74</v>
      </c>
      <c r="N1011" t="s">
        <v>74</v>
      </c>
      <c r="O1011" t="s">
        <v>74</v>
      </c>
      <c r="P1011" t="s">
        <v>74</v>
      </c>
      <c r="Q1011" t="s">
        <v>74</v>
      </c>
      <c r="R1011" t="s">
        <v>74</v>
      </c>
      <c r="S1011" t="s">
        <v>74</v>
      </c>
      <c r="T1011" t="s">
        <v>74</v>
      </c>
      <c r="U1011" t="s">
        <v>74</v>
      </c>
      <c r="V1011" s="3" t="s">
        <v>554</v>
      </c>
      <c r="W1011" t="s">
        <v>74</v>
      </c>
      <c r="X1011" t="s">
        <v>74</v>
      </c>
      <c r="Y1011" t="s">
        <v>74</v>
      </c>
      <c r="Z1011" t="s">
        <v>74</v>
      </c>
      <c r="AA1011" t="s">
        <v>74</v>
      </c>
      <c r="AB1011" t="s">
        <v>74</v>
      </c>
      <c r="AC1011" t="s">
        <v>74</v>
      </c>
      <c r="AD1011" t="s">
        <v>74</v>
      </c>
      <c r="AE1011" t="s">
        <v>74</v>
      </c>
      <c r="AF1011" t="s">
        <v>74</v>
      </c>
      <c r="AG1011" t="s">
        <v>74</v>
      </c>
      <c r="AH1011" t="s">
        <v>74</v>
      </c>
      <c r="AI1011" t="s">
        <v>74</v>
      </c>
      <c r="AJ1011" t="s">
        <v>74</v>
      </c>
      <c r="AK1011" t="s">
        <v>74</v>
      </c>
      <c r="AL1011" t="s">
        <v>74</v>
      </c>
      <c r="AM1011" t="s">
        <v>74</v>
      </c>
      <c r="AN1011" t="s">
        <v>74</v>
      </c>
      <c r="AO1011" t="s">
        <v>555</v>
      </c>
      <c r="AP1011" t="s">
        <v>556</v>
      </c>
      <c r="AQ1011" t="s">
        <v>74</v>
      </c>
      <c r="AR1011" t="s">
        <v>74</v>
      </c>
      <c r="AS1011" t="s">
        <v>74</v>
      </c>
      <c r="AT1011" t="s">
        <v>74</v>
      </c>
      <c r="AU1011">
        <v>2017</v>
      </c>
      <c r="AV1011">
        <v>30</v>
      </c>
      <c r="AW1011">
        <v>3</v>
      </c>
      <c r="AX1011" t="s">
        <v>74</v>
      </c>
      <c r="AY1011" t="s">
        <v>74</v>
      </c>
      <c r="AZ1011" t="s">
        <v>74</v>
      </c>
      <c r="BA1011" t="s">
        <v>74</v>
      </c>
      <c r="BB1011">
        <v>110</v>
      </c>
      <c r="BC1011">
        <v>124</v>
      </c>
      <c r="BD1011" t="s">
        <v>74</v>
      </c>
      <c r="BE1011" t="s">
        <v>557</v>
      </c>
      <c r="BF1011" t="str">
        <f>HYPERLINK("http://dx.doi.org/10.1080/03946975.2017.1345471","http://dx.doi.org/10.1080/03946975.2017.1345471")</f>
        <v>http://dx.doi.org/10.1080/03946975.2017.1345471</v>
      </c>
      <c r="BG1011" t="s">
        <v>74</v>
      </c>
      <c r="BH1011" t="s">
        <v>74</v>
      </c>
      <c r="BI1011" t="s">
        <v>74</v>
      </c>
      <c r="BJ1011" t="s">
        <v>74</v>
      </c>
      <c r="BK1011" t="s">
        <v>74</v>
      </c>
      <c r="BL1011" t="s">
        <v>74</v>
      </c>
      <c r="BM1011" t="s">
        <v>74</v>
      </c>
      <c r="BN1011" t="s">
        <v>74</v>
      </c>
      <c r="BO1011" t="s">
        <v>74</v>
      </c>
      <c r="BP1011" t="s">
        <v>74</v>
      </c>
      <c r="BQ1011" t="s">
        <v>74</v>
      </c>
      <c r="BR1011" t="s">
        <v>74</v>
      </c>
      <c r="BS1011" t="s">
        <v>558</v>
      </c>
      <c r="BT1011" t="str">
        <f>HYPERLINK("https%3A%2F%2Fwww.webofscience.com%2Fwos%2Fwoscc%2Ffull-record%2FWOS:000407553100002","View Full Record in Web of Science")</f>
        <v>View Full Record in Web of Science</v>
      </c>
    </row>
    <row r="1012" spans="1:72" x14ac:dyDescent="0.4">
      <c r="A1012" t="s">
        <v>72</v>
      </c>
      <c r="B1012" t="s">
        <v>1339</v>
      </c>
      <c r="C1012" t="s">
        <v>74</v>
      </c>
      <c r="D1012" t="s">
        <v>74</v>
      </c>
      <c r="E1012" t="s">
        <v>74</v>
      </c>
      <c r="F1012" t="s">
        <v>1339</v>
      </c>
      <c r="G1012" t="s">
        <v>74</v>
      </c>
      <c r="H1012" t="s">
        <v>74</v>
      </c>
      <c r="I1012" t="s">
        <v>1340</v>
      </c>
      <c r="J1012" t="s">
        <v>1341</v>
      </c>
      <c r="K1012" t="s">
        <v>74</v>
      </c>
      <c r="L1012" t="s">
        <v>74</v>
      </c>
      <c r="M1012" t="s">
        <v>74</v>
      </c>
      <c r="N1012" t="s">
        <v>74</v>
      </c>
      <c r="O1012" t="s">
        <v>74</v>
      </c>
      <c r="P1012" t="s">
        <v>74</v>
      </c>
      <c r="Q1012" t="s">
        <v>74</v>
      </c>
      <c r="R1012" t="s">
        <v>74</v>
      </c>
      <c r="S1012" t="s">
        <v>74</v>
      </c>
      <c r="T1012" t="s">
        <v>74</v>
      </c>
      <c r="U1012" t="s">
        <v>74</v>
      </c>
      <c r="V1012" s="3" t="s">
        <v>1342</v>
      </c>
      <c r="W1012" t="s">
        <v>74</v>
      </c>
      <c r="X1012" t="s">
        <v>74</v>
      </c>
      <c r="Y1012" t="s">
        <v>74</v>
      </c>
      <c r="Z1012" t="s">
        <v>74</v>
      </c>
      <c r="AA1012" t="s">
        <v>74</v>
      </c>
      <c r="AB1012" t="s">
        <v>74</v>
      </c>
      <c r="AC1012" t="s">
        <v>74</v>
      </c>
      <c r="AD1012" t="s">
        <v>74</v>
      </c>
      <c r="AE1012" t="s">
        <v>74</v>
      </c>
      <c r="AF1012" t="s">
        <v>74</v>
      </c>
      <c r="AG1012" t="s">
        <v>74</v>
      </c>
      <c r="AH1012" t="s">
        <v>74</v>
      </c>
      <c r="AI1012" t="s">
        <v>74</v>
      </c>
      <c r="AJ1012" t="s">
        <v>74</v>
      </c>
      <c r="AK1012" t="s">
        <v>74</v>
      </c>
      <c r="AL1012" t="s">
        <v>74</v>
      </c>
      <c r="AM1012" t="s">
        <v>74</v>
      </c>
      <c r="AN1012" t="s">
        <v>74</v>
      </c>
      <c r="AO1012" t="s">
        <v>1343</v>
      </c>
      <c r="AP1012" t="s">
        <v>74</v>
      </c>
      <c r="AQ1012" t="s">
        <v>74</v>
      </c>
      <c r="AR1012" t="s">
        <v>74</v>
      </c>
      <c r="AS1012" t="s">
        <v>74</v>
      </c>
      <c r="AT1012" t="s">
        <v>123</v>
      </c>
      <c r="AU1012">
        <v>1996</v>
      </c>
      <c r="AV1012">
        <v>42</v>
      </c>
      <c r="AW1012">
        <v>3</v>
      </c>
      <c r="AX1012" t="s">
        <v>74</v>
      </c>
      <c r="AY1012" t="s">
        <v>74</v>
      </c>
      <c r="AZ1012" t="s">
        <v>74</v>
      </c>
      <c r="BA1012" t="s">
        <v>74</v>
      </c>
      <c r="BB1012">
        <v>287</v>
      </c>
      <c r="BC1012">
        <v>294</v>
      </c>
      <c r="BD1012" t="s">
        <v>74</v>
      </c>
      <c r="BE1012" t="s">
        <v>1344</v>
      </c>
      <c r="BF1012" t="str">
        <f>HYPERLINK("http://dx.doi.org/10.1016/0022-1910(95)00115-8","http://dx.doi.org/10.1016/0022-1910(95)00115-8")</f>
        <v>http://dx.doi.org/10.1016/0022-1910(95)00115-8</v>
      </c>
      <c r="BG1012" t="s">
        <v>74</v>
      </c>
      <c r="BH1012" t="s">
        <v>74</v>
      </c>
      <c r="BI1012" t="s">
        <v>74</v>
      </c>
      <c r="BJ1012" t="s">
        <v>74</v>
      </c>
      <c r="BK1012" t="s">
        <v>74</v>
      </c>
      <c r="BL1012" t="s">
        <v>74</v>
      </c>
      <c r="BM1012" t="s">
        <v>74</v>
      </c>
      <c r="BN1012" t="s">
        <v>74</v>
      </c>
      <c r="BO1012" t="s">
        <v>74</v>
      </c>
      <c r="BP1012" t="s">
        <v>74</v>
      </c>
      <c r="BQ1012" t="s">
        <v>74</v>
      </c>
      <c r="BR1012" t="s">
        <v>74</v>
      </c>
      <c r="BS1012" t="s">
        <v>1345</v>
      </c>
      <c r="BT1012" t="str">
        <f>HYPERLINK("https%3A%2F%2Fwww.webofscience.com%2Fwos%2Fwoscc%2Ffull-record%2FWOS:A1996TZ11300012","View Full Record in Web of Science")</f>
        <v>View Full Record in Web of Science</v>
      </c>
    </row>
    <row r="1013" spans="1:72" x14ac:dyDescent="0.4">
      <c r="A1013" t="s">
        <v>72</v>
      </c>
      <c r="B1013" t="s">
        <v>7184</v>
      </c>
      <c r="C1013" t="s">
        <v>74</v>
      </c>
      <c r="D1013" t="s">
        <v>74</v>
      </c>
      <c r="E1013" t="s">
        <v>74</v>
      </c>
      <c r="F1013" t="s">
        <v>7185</v>
      </c>
      <c r="G1013" t="s">
        <v>74</v>
      </c>
      <c r="H1013" t="s">
        <v>74</v>
      </c>
      <c r="I1013" t="s">
        <v>7186</v>
      </c>
      <c r="J1013" t="s">
        <v>1341</v>
      </c>
      <c r="K1013" t="s">
        <v>74</v>
      </c>
      <c r="L1013" t="s">
        <v>74</v>
      </c>
      <c r="M1013" t="s">
        <v>74</v>
      </c>
      <c r="N1013" t="s">
        <v>74</v>
      </c>
      <c r="O1013" t="s">
        <v>74</v>
      </c>
      <c r="P1013" t="s">
        <v>74</v>
      </c>
      <c r="Q1013" t="s">
        <v>74</v>
      </c>
      <c r="R1013" t="s">
        <v>74</v>
      </c>
      <c r="S1013" t="s">
        <v>74</v>
      </c>
      <c r="T1013" t="s">
        <v>74</v>
      </c>
      <c r="U1013" t="s">
        <v>74</v>
      </c>
      <c r="V1013" s="3" t="s">
        <v>7187</v>
      </c>
      <c r="W1013" t="s">
        <v>74</v>
      </c>
      <c r="X1013" t="s">
        <v>74</v>
      </c>
      <c r="Y1013" t="s">
        <v>74</v>
      </c>
      <c r="Z1013" t="s">
        <v>74</v>
      </c>
      <c r="AA1013" t="s">
        <v>74</v>
      </c>
      <c r="AB1013" t="s">
        <v>74</v>
      </c>
      <c r="AC1013" t="s">
        <v>74</v>
      </c>
      <c r="AD1013" t="s">
        <v>74</v>
      </c>
      <c r="AE1013" t="s">
        <v>74</v>
      </c>
      <c r="AF1013" t="s">
        <v>74</v>
      </c>
      <c r="AG1013" t="s">
        <v>74</v>
      </c>
      <c r="AH1013" t="s">
        <v>74</v>
      </c>
      <c r="AI1013" t="s">
        <v>74</v>
      </c>
      <c r="AJ1013" t="s">
        <v>74</v>
      </c>
      <c r="AK1013" t="s">
        <v>74</v>
      </c>
      <c r="AL1013" t="s">
        <v>74</v>
      </c>
      <c r="AM1013" t="s">
        <v>74</v>
      </c>
      <c r="AN1013" t="s">
        <v>74</v>
      </c>
      <c r="AO1013" t="s">
        <v>1343</v>
      </c>
      <c r="AP1013" t="s">
        <v>3686</v>
      </c>
      <c r="AQ1013" t="s">
        <v>74</v>
      </c>
      <c r="AR1013" t="s">
        <v>74</v>
      </c>
      <c r="AS1013" t="s">
        <v>74</v>
      </c>
      <c r="AT1013" t="s">
        <v>145</v>
      </c>
      <c r="AU1013">
        <v>2012</v>
      </c>
      <c r="AV1013">
        <v>58</v>
      </c>
      <c r="AW1013">
        <v>8</v>
      </c>
      <c r="AX1013" t="s">
        <v>74</v>
      </c>
      <c r="AY1013" t="s">
        <v>74</v>
      </c>
      <c r="AZ1013" t="s">
        <v>74</v>
      </c>
      <c r="BA1013" t="s">
        <v>74</v>
      </c>
      <c r="BB1013">
        <v>1060</v>
      </c>
      <c r="BC1013">
        <v>1071</v>
      </c>
      <c r="BD1013" t="s">
        <v>74</v>
      </c>
      <c r="BE1013" t="s">
        <v>7188</v>
      </c>
      <c r="BF1013" t="str">
        <f>HYPERLINK("http://dx.doi.org/10.1016/j.jinsphys.2012.04.005","http://dx.doi.org/10.1016/j.jinsphys.2012.04.005")</f>
        <v>http://dx.doi.org/10.1016/j.jinsphys.2012.04.005</v>
      </c>
      <c r="BG1013" t="s">
        <v>74</v>
      </c>
      <c r="BH1013" t="s">
        <v>74</v>
      </c>
      <c r="BI1013" t="s">
        <v>74</v>
      </c>
      <c r="BJ1013" t="s">
        <v>74</v>
      </c>
      <c r="BK1013" t="s">
        <v>74</v>
      </c>
      <c r="BL1013" t="s">
        <v>74</v>
      </c>
      <c r="BM1013" t="s">
        <v>74</v>
      </c>
      <c r="BN1013">
        <v>22546561</v>
      </c>
      <c r="BO1013" t="s">
        <v>74</v>
      </c>
      <c r="BP1013" t="s">
        <v>74</v>
      </c>
      <c r="BQ1013" t="s">
        <v>74</v>
      </c>
      <c r="BR1013" t="s">
        <v>74</v>
      </c>
      <c r="BS1013" t="s">
        <v>7189</v>
      </c>
      <c r="BT1013" t="str">
        <f>HYPERLINK("https%3A%2F%2Fwww.webofscience.com%2Fwos%2Fwoscc%2Ffull-record%2FWOS:000307154600004","View Full Record in Web of Science")</f>
        <v>View Full Record in Web of Science</v>
      </c>
    </row>
    <row r="1014" spans="1:72" x14ac:dyDescent="0.4">
      <c r="A1014" t="s">
        <v>72</v>
      </c>
      <c r="B1014" t="s">
        <v>677</v>
      </c>
      <c r="C1014" t="s">
        <v>74</v>
      </c>
      <c r="D1014" t="s">
        <v>74</v>
      </c>
      <c r="E1014" t="s">
        <v>74</v>
      </c>
      <c r="F1014" t="s">
        <v>677</v>
      </c>
      <c r="G1014" t="s">
        <v>74</v>
      </c>
      <c r="H1014" t="s">
        <v>74</v>
      </c>
      <c r="I1014" t="s">
        <v>678</v>
      </c>
      <c r="J1014" t="s">
        <v>509</v>
      </c>
      <c r="K1014" t="s">
        <v>74</v>
      </c>
      <c r="L1014" t="s">
        <v>74</v>
      </c>
      <c r="M1014" t="s">
        <v>74</v>
      </c>
      <c r="N1014" t="s">
        <v>74</v>
      </c>
      <c r="O1014" t="s">
        <v>74</v>
      </c>
      <c r="P1014" t="s">
        <v>74</v>
      </c>
      <c r="Q1014" t="s">
        <v>74</v>
      </c>
      <c r="R1014" t="s">
        <v>74</v>
      </c>
      <c r="S1014" t="s">
        <v>74</v>
      </c>
      <c r="T1014" t="s">
        <v>74</v>
      </c>
      <c r="U1014" t="s">
        <v>74</v>
      </c>
      <c r="V1014" s="3" t="s">
        <v>679</v>
      </c>
      <c r="W1014" t="s">
        <v>74</v>
      </c>
      <c r="X1014" t="s">
        <v>74</v>
      </c>
      <c r="Y1014" t="s">
        <v>74</v>
      </c>
      <c r="Z1014" t="s">
        <v>74</v>
      </c>
      <c r="AA1014" t="s">
        <v>74</v>
      </c>
      <c r="AB1014" t="s">
        <v>74</v>
      </c>
      <c r="AC1014" t="s">
        <v>74</v>
      </c>
      <c r="AD1014" t="s">
        <v>74</v>
      </c>
      <c r="AE1014" t="s">
        <v>74</v>
      </c>
      <c r="AF1014" t="s">
        <v>74</v>
      </c>
      <c r="AG1014" t="s">
        <v>74</v>
      </c>
      <c r="AH1014" t="s">
        <v>74</v>
      </c>
      <c r="AI1014" t="s">
        <v>74</v>
      </c>
      <c r="AJ1014" t="s">
        <v>74</v>
      </c>
      <c r="AK1014" t="s">
        <v>74</v>
      </c>
      <c r="AL1014" t="s">
        <v>74</v>
      </c>
      <c r="AM1014" t="s">
        <v>74</v>
      </c>
      <c r="AN1014" t="s">
        <v>74</v>
      </c>
      <c r="AO1014" t="s">
        <v>511</v>
      </c>
      <c r="AP1014" t="s">
        <v>512</v>
      </c>
      <c r="AQ1014" t="s">
        <v>74</v>
      </c>
      <c r="AR1014" t="s">
        <v>74</v>
      </c>
      <c r="AS1014" t="s">
        <v>74</v>
      </c>
      <c r="AT1014" t="s">
        <v>102</v>
      </c>
      <c r="AU1014">
        <v>1987</v>
      </c>
      <c r="AV1014">
        <v>21</v>
      </c>
      <c r="AW1014">
        <v>2</v>
      </c>
      <c r="AX1014" t="s">
        <v>74</v>
      </c>
      <c r="AY1014" t="s">
        <v>74</v>
      </c>
      <c r="AZ1014" t="s">
        <v>74</v>
      </c>
      <c r="BA1014" t="s">
        <v>74</v>
      </c>
      <c r="BB1014">
        <v>234</v>
      </c>
      <c r="BC1014">
        <v>244</v>
      </c>
      <c r="BD1014" t="s">
        <v>74</v>
      </c>
      <c r="BE1014" t="s">
        <v>680</v>
      </c>
      <c r="BF1014" t="str">
        <f>HYPERLINK("http://dx.doi.org/10.1016/0018-506X(87)90048-1","http://dx.doi.org/10.1016/0018-506X(87)90048-1")</f>
        <v>http://dx.doi.org/10.1016/0018-506X(87)90048-1</v>
      </c>
      <c r="BG1014" t="s">
        <v>74</v>
      </c>
      <c r="BH1014" t="s">
        <v>74</v>
      </c>
      <c r="BI1014" t="s">
        <v>74</v>
      </c>
      <c r="BJ1014" t="s">
        <v>74</v>
      </c>
      <c r="BK1014" t="s">
        <v>74</v>
      </c>
      <c r="BL1014" t="s">
        <v>74</v>
      </c>
      <c r="BM1014" t="s">
        <v>74</v>
      </c>
      <c r="BN1014">
        <v>3610060</v>
      </c>
      <c r="BO1014" t="s">
        <v>74</v>
      </c>
      <c r="BP1014" t="s">
        <v>74</v>
      </c>
      <c r="BQ1014" t="s">
        <v>74</v>
      </c>
      <c r="BR1014" t="s">
        <v>74</v>
      </c>
      <c r="BS1014" t="s">
        <v>681</v>
      </c>
      <c r="BT1014" t="str">
        <f>HYPERLINK("https%3A%2F%2Fwww.webofscience.com%2Fwos%2Fwoscc%2Ffull-record%2FWOS:A1987H984200009","View Full Record in Web of Science")</f>
        <v>View Full Record in Web of Science</v>
      </c>
    </row>
    <row r="1015" spans="1:72" x14ac:dyDescent="0.4">
      <c r="A1015" t="s">
        <v>72</v>
      </c>
      <c r="B1015" t="s">
        <v>978</v>
      </c>
      <c r="C1015" t="s">
        <v>74</v>
      </c>
      <c r="D1015" t="s">
        <v>74</v>
      </c>
      <c r="E1015" t="s">
        <v>74</v>
      </c>
      <c r="F1015" t="s">
        <v>978</v>
      </c>
      <c r="G1015" t="s">
        <v>74</v>
      </c>
      <c r="H1015" t="s">
        <v>74</v>
      </c>
      <c r="I1015" t="s">
        <v>979</v>
      </c>
      <c r="J1015" t="s">
        <v>691</v>
      </c>
      <c r="K1015" t="s">
        <v>74</v>
      </c>
      <c r="L1015" t="s">
        <v>74</v>
      </c>
      <c r="M1015" t="s">
        <v>74</v>
      </c>
      <c r="N1015" t="s">
        <v>74</v>
      </c>
      <c r="O1015" t="s">
        <v>74</v>
      </c>
      <c r="P1015" t="s">
        <v>74</v>
      </c>
      <c r="Q1015" t="s">
        <v>74</v>
      </c>
      <c r="R1015" t="s">
        <v>74</v>
      </c>
      <c r="S1015" t="s">
        <v>74</v>
      </c>
      <c r="T1015" t="s">
        <v>74</v>
      </c>
      <c r="U1015" t="s">
        <v>74</v>
      </c>
      <c r="V1015" s="3" t="s">
        <v>980</v>
      </c>
      <c r="W1015" t="s">
        <v>74</v>
      </c>
      <c r="X1015" t="s">
        <v>74</v>
      </c>
      <c r="Y1015" t="s">
        <v>74</v>
      </c>
      <c r="Z1015" t="s">
        <v>74</v>
      </c>
      <c r="AA1015" t="s">
        <v>74</v>
      </c>
      <c r="AB1015" t="s">
        <v>74</v>
      </c>
      <c r="AC1015" t="s">
        <v>74</v>
      </c>
      <c r="AD1015" t="s">
        <v>74</v>
      </c>
      <c r="AE1015" t="s">
        <v>74</v>
      </c>
      <c r="AF1015" t="s">
        <v>74</v>
      </c>
      <c r="AG1015" t="s">
        <v>74</v>
      </c>
      <c r="AH1015" t="s">
        <v>74</v>
      </c>
      <c r="AI1015" t="s">
        <v>74</v>
      </c>
      <c r="AJ1015" t="s">
        <v>74</v>
      </c>
      <c r="AK1015" t="s">
        <v>74</v>
      </c>
      <c r="AL1015" t="s">
        <v>74</v>
      </c>
      <c r="AM1015" t="s">
        <v>74</v>
      </c>
      <c r="AN1015" t="s">
        <v>74</v>
      </c>
      <c r="AO1015" t="s">
        <v>695</v>
      </c>
      <c r="AP1015" t="s">
        <v>981</v>
      </c>
      <c r="AQ1015" t="s">
        <v>74</v>
      </c>
      <c r="AR1015" t="s">
        <v>74</v>
      </c>
      <c r="AS1015" t="s">
        <v>74</v>
      </c>
      <c r="AT1015" t="s">
        <v>74</v>
      </c>
      <c r="AU1015">
        <v>1984</v>
      </c>
      <c r="AV1015">
        <v>32</v>
      </c>
      <c r="AW1015">
        <v>4</v>
      </c>
      <c r="AX1015" t="s">
        <v>74</v>
      </c>
      <c r="AY1015" t="s">
        <v>74</v>
      </c>
      <c r="AZ1015" t="s">
        <v>74</v>
      </c>
      <c r="BA1015" t="s">
        <v>74</v>
      </c>
      <c r="BB1015">
        <v>541</v>
      </c>
      <c r="BC1015">
        <v>546</v>
      </c>
      <c r="BD1015" t="s">
        <v>74</v>
      </c>
      <c r="BE1015" t="s">
        <v>982</v>
      </c>
      <c r="BF1015" t="str">
        <f>HYPERLINK("http://dx.doi.org/10.1016/0031-9384(84)90307-X","http://dx.doi.org/10.1016/0031-9384(84)90307-X")</f>
        <v>http://dx.doi.org/10.1016/0031-9384(84)90307-X</v>
      </c>
      <c r="BG1015" t="s">
        <v>74</v>
      </c>
      <c r="BH1015" t="s">
        <v>74</v>
      </c>
      <c r="BI1015" t="s">
        <v>74</v>
      </c>
      <c r="BJ1015" t="s">
        <v>74</v>
      </c>
      <c r="BK1015" t="s">
        <v>74</v>
      </c>
      <c r="BL1015" t="s">
        <v>74</v>
      </c>
      <c r="BM1015" t="s">
        <v>74</v>
      </c>
      <c r="BN1015">
        <v>6541348</v>
      </c>
      <c r="BO1015" t="s">
        <v>74</v>
      </c>
      <c r="BP1015" t="s">
        <v>74</v>
      </c>
      <c r="BQ1015" t="s">
        <v>74</v>
      </c>
      <c r="BR1015" t="s">
        <v>74</v>
      </c>
      <c r="BS1015" t="s">
        <v>983</v>
      </c>
      <c r="BT1015" t="str">
        <f>HYPERLINK("https%3A%2F%2Fwww.webofscience.com%2Fwos%2Fwoscc%2Ffull-record%2FWOS:A1984SV55800004","View Full Record in Web of Science")</f>
        <v>View Full Record in Web of Science</v>
      </c>
    </row>
    <row r="1016" spans="1:72" x14ac:dyDescent="0.4">
      <c r="A1016" t="s">
        <v>72</v>
      </c>
      <c r="B1016" t="s">
        <v>3232</v>
      </c>
      <c r="C1016" t="s">
        <v>74</v>
      </c>
      <c r="D1016" t="s">
        <v>74</v>
      </c>
      <c r="E1016" t="s">
        <v>74</v>
      </c>
      <c r="F1016" t="s">
        <v>3232</v>
      </c>
      <c r="G1016" t="s">
        <v>74</v>
      </c>
      <c r="H1016" t="s">
        <v>74</v>
      </c>
      <c r="I1016" t="s">
        <v>3233</v>
      </c>
      <c r="J1016" t="s">
        <v>1126</v>
      </c>
      <c r="K1016" t="s">
        <v>74</v>
      </c>
      <c r="L1016" t="s">
        <v>74</v>
      </c>
      <c r="M1016" t="s">
        <v>74</v>
      </c>
      <c r="N1016" t="s">
        <v>74</v>
      </c>
      <c r="O1016" t="s">
        <v>74</v>
      </c>
      <c r="P1016" t="s">
        <v>74</v>
      </c>
      <c r="Q1016" t="s">
        <v>74</v>
      </c>
      <c r="R1016" t="s">
        <v>74</v>
      </c>
      <c r="S1016" t="s">
        <v>74</v>
      </c>
      <c r="T1016" t="s">
        <v>74</v>
      </c>
      <c r="U1016" t="s">
        <v>74</v>
      </c>
      <c r="V1016" s="3" t="s">
        <v>3234</v>
      </c>
      <c r="W1016" t="s">
        <v>74</v>
      </c>
      <c r="X1016" t="s">
        <v>74</v>
      </c>
      <c r="Y1016" t="s">
        <v>74</v>
      </c>
      <c r="Z1016" t="s">
        <v>74</v>
      </c>
      <c r="AA1016" t="s">
        <v>74</v>
      </c>
      <c r="AB1016" t="s">
        <v>74</v>
      </c>
      <c r="AC1016" t="s">
        <v>74</v>
      </c>
      <c r="AD1016" t="s">
        <v>74</v>
      </c>
      <c r="AE1016" t="s">
        <v>74</v>
      </c>
      <c r="AF1016" t="s">
        <v>74</v>
      </c>
      <c r="AG1016" t="s">
        <v>74</v>
      </c>
      <c r="AH1016" t="s">
        <v>74</v>
      </c>
      <c r="AI1016" t="s">
        <v>74</v>
      </c>
      <c r="AJ1016" t="s">
        <v>74</v>
      </c>
      <c r="AK1016" t="s">
        <v>74</v>
      </c>
      <c r="AL1016" t="s">
        <v>74</v>
      </c>
      <c r="AM1016" t="s">
        <v>74</v>
      </c>
      <c r="AN1016" t="s">
        <v>74</v>
      </c>
      <c r="AO1016" t="s">
        <v>1128</v>
      </c>
      <c r="AP1016" t="s">
        <v>1129</v>
      </c>
      <c r="AQ1016" t="s">
        <v>74</v>
      </c>
      <c r="AR1016" t="s">
        <v>74</v>
      </c>
      <c r="AS1016" t="s">
        <v>74</v>
      </c>
      <c r="AT1016" t="s">
        <v>1146</v>
      </c>
      <c r="AU1016">
        <v>1991</v>
      </c>
      <c r="AV1016" t="s">
        <v>74</v>
      </c>
      <c r="AW1016">
        <v>3</v>
      </c>
      <c r="AX1016" t="s">
        <v>74</v>
      </c>
      <c r="AY1016" t="s">
        <v>74</v>
      </c>
      <c r="AZ1016" t="s">
        <v>74</v>
      </c>
      <c r="BA1016" t="s">
        <v>74</v>
      </c>
      <c r="BB1016">
        <v>800</v>
      </c>
      <c r="BC1016">
        <v>809</v>
      </c>
      <c r="BD1016" t="s">
        <v>74</v>
      </c>
      <c r="BE1016" t="s">
        <v>74</v>
      </c>
      <c r="BF1016" t="s">
        <v>74</v>
      </c>
      <c r="BG1016" t="s">
        <v>74</v>
      </c>
      <c r="BH1016" t="s">
        <v>74</v>
      </c>
      <c r="BI1016" t="s">
        <v>74</v>
      </c>
      <c r="BJ1016" t="s">
        <v>74</v>
      </c>
      <c r="BK1016" t="s">
        <v>74</v>
      </c>
      <c r="BL1016" t="s">
        <v>74</v>
      </c>
      <c r="BM1016" t="s">
        <v>74</v>
      </c>
      <c r="BN1016" t="s">
        <v>74</v>
      </c>
      <c r="BO1016" t="s">
        <v>74</v>
      </c>
      <c r="BP1016" t="s">
        <v>74</v>
      </c>
      <c r="BQ1016" t="s">
        <v>74</v>
      </c>
      <c r="BR1016" t="s">
        <v>74</v>
      </c>
      <c r="BS1016" t="s">
        <v>3235</v>
      </c>
      <c r="BT1016" t="str">
        <f>HYPERLINK("https%3A%2F%2Fwww.webofscience.com%2Fwos%2Fwoscc%2Ffull-record%2FWOS:A1991FZ81200023","View Full Record in Web of Science")</f>
        <v>View Full Record in Web of Science</v>
      </c>
    </row>
    <row r="1017" spans="1:72" x14ac:dyDescent="0.4">
      <c r="A1017" t="s">
        <v>72</v>
      </c>
      <c r="B1017" t="s">
        <v>3275</v>
      </c>
      <c r="C1017" t="s">
        <v>74</v>
      </c>
      <c r="D1017" t="s">
        <v>74</v>
      </c>
      <c r="E1017" t="s">
        <v>74</v>
      </c>
      <c r="F1017" t="s">
        <v>3276</v>
      </c>
      <c r="G1017" t="s">
        <v>74</v>
      </c>
      <c r="H1017" t="s">
        <v>74</v>
      </c>
      <c r="I1017" t="s">
        <v>3277</v>
      </c>
      <c r="J1017" t="s">
        <v>610</v>
      </c>
      <c r="K1017" t="s">
        <v>74</v>
      </c>
      <c r="L1017" t="s">
        <v>74</v>
      </c>
      <c r="M1017" t="s">
        <v>74</v>
      </c>
      <c r="N1017" t="s">
        <v>74</v>
      </c>
      <c r="O1017" t="s">
        <v>74</v>
      </c>
      <c r="P1017" t="s">
        <v>74</v>
      </c>
      <c r="Q1017" t="s">
        <v>74</v>
      </c>
      <c r="R1017" t="s">
        <v>74</v>
      </c>
      <c r="S1017" t="s">
        <v>74</v>
      </c>
      <c r="T1017" t="s">
        <v>74</v>
      </c>
      <c r="U1017" t="s">
        <v>74</v>
      </c>
      <c r="V1017" s="3" t="s">
        <v>3278</v>
      </c>
      <c r="W1017" t="s">
        <v>74</v>
      </c>
      <c r="X1017" t="s">
        <v>74</v>
      </c>
      <c r="Y1017" t="s">
        <v>74</v>
      </c>
      <c r="Z1017" t="s">
        <v>74</v>
      </c>
      <c r="AA1017" t="s">
        <v>74</v>
      </c>
      <c r="AB1017" t="s">
        <v>3279</v>
      </c>
      <c r="AC1017" t="s">
        <v>74</v>
      </c>
      <c r="AD1017" t="s">
        <v>74</v>
      </c>
      <c r="AE1017" t="s">
        <v>74</v>
      </c>
      <c r="AF1017" t="s">
        <v>74</v>
      </c>
      <c r="AG1017" t="s">
        <v>74</v>
      </c>
      <c r="AH1017" t="s">
        <v>74</v>
      </c>
      <c r="AI1017" t="s">
        <v>74</v>
      </c>
      <c r="AJ1017" t="s">
        <v>74</v>
      </c>
      <c r="AK1017" t="s">
        <v>74</v>
      </c>
      <c r="AL1017" t="s">
        <v>74</v>
      </c>
      <c r="AM1017" t="s">
        <v>74</v>
      </c>
      <c r="AN1017" t="s">
        <v>74</v>
      </c>
      <c r="AO1017" t="s">
        <v>614</v>
      </c>
      <c r="AP1017" t="s">
        <v>615</v>
      </c>
      <c r="AQ1017" t="s">
        <v>74</v>
      </c>
      <c r="AR1017" t="s">
        <v>74</v>
      </c>
      <c r="AS1017" t="s">
        <v>74</v>
      </c>
      <c r="AT1017" t="s">
        <v>213</v>
      </c>
      <c r="AU1017">
        <v>2016</v>
      </c>
      <c r="AV1017">
        <v>122</v>
      </c>
      <c r="AW1017">
        <v>11</v>
      </c>
      <c r="AX1017" t="s">
        <v>74</v>
      </c>
      <c r="AY1017" t="s">
        <v>74</v>
      </c>
      <c r="AZ1017" t="s">
        <v>74</v>
      </c>
      <c r="BA1017" t="s">
        <v>74</v>
      </c>
      <c r="BB1017">
        <v>892</v>
      </c>
      <c r="BC1017">
        <v>901</v>
      </c>
      <c r="BD1017" t="s">
        <v>74</v>
      </c>
      <c r="BE1017" t="s">
        <v>3280</v>
      </c>
      <c r="BF1017" t="str">
        <f>HYPERLINK("http://dx.doi.org/10.1111/eth.12534","http://dx.doi.org/10.1111/eth.12534")</f>
        <v>http://dx.doi.org/10.1111/eth.12534</v>
      </c>
      <c r="BG1017" t="s">
        <v>74</v>
      </c>
      <c r="BH1017" t="s">
        <v>74</v>
      </c>
      <c r="BI1017" t="s">
        <v>74</v>
      </c>
      <c r="BJ1017" t="s">
        <v>74</v>
      </c>
      <c r="BK1017" t="s">
        <v>74</v>
      </c>
      <c r="BL1017" t="s">
        <v>74</v>
      </c>
      <c r="BM1017" t="s">
        <v>74</v>
      </c>
      <c r="BN1017" t="s">
        <v>74</v>
      </c>
      <c r="BO1017" t="s">
        <v>74</v>
      </c>
      <c r="BP1017" t="s">
        <v>74</v>
      </c>
      <c r="BQ1017" t="s">
        <v>74</v>
      </c>
      <c r="BR1017" t="s">
        <v>74</v>
      </c>
      <c r="BS1017" t="s">
        <v>3281</v>
      </c>
      <c r="BT1017" t="str">
        <f>HYPERLINK("https%3A%2F%2Fwww.webofscience.com%2Fwos%2Fwoscc%2Ffull-record%2FWOS:000385572700005","View Full Record in Web of Science")</f>
        <v>View Full Record in Web of Science</v>
      </c>
    </row>
    <row r="1018" spans="1:72" x14ac:dyDescent="0.4">
      <c r="A1018" t="s">
        <v>72</v>
      </c>
      <c r="B1018" t="s">
        <v>3697</v>
      </c>
      <c r="C1018" t="s">
        <v>74</v>
      </c>
      <c r="D1018" t="s">
        <v>74</v>
      </c>
      <c r="E1018" t="s">
        <v>74</v>
      </c>
      <c r="F1018" t="s">
        <v>3698</v>
      </c>
      <c r="G1018" t="s">
        <v>74</v>
      </c>
      <c r="H1018" t="s">
        <v>74</v>
      </c>
      <c r="I1018" t="s">
        <v>3699</v>
      </c>
      <c r="J1018" t="s">
        <v>140</v>
      </c>
      <c r="K1018" t="s">
        <v>74</v>
      </c>
      <c r="L1018" t="s">
        <v>74</v>
      </c>
      <c r="M1018" t="s">
        <v>74</v>
      </c>
      <c r="N1018" t="s">
        <v>74</v>
      </c>
      <c r="O1018" t="s">
        <v>74</v>
      </c>
      <c r="P1018" t="s">
        <v>74</v>
      </c>
      <c r="Q1018" t="s">
        <v>74</v>
      </c>
      <c r="R1018" t="s">
        <v>74</v>
      </c>
      <c r="S1018" t="s">
        <v>74</v>
      </c>
      <c r="T1018" t="s">
        <v>74</v>
      </c>
      <c r="U1018" t="s">
        <v>74</v>
      </c>
      <c r="V1018" s="3" t="s">
        <v>3700</v>
      </c>
      <c r="W1018" t="s">
        <v>74</v>
      </c>
      <c r="X1018" t="s">
        <v>74</v>
      </c>
      <c r="Y1018" t="s">
        <v>74</v>
      </c>
      <c r="Z1018" t="s">
        <v>74</v>
      </c>
      <c r="AA1018" t="s">
        <v>74</v>
      </c>
      <c r="AB1018" t="s">
        <v>74</v>
      </c>
      <c r="AC1018" t="s">
        <v>74</v>
      </c>
      <c r="AD1018" t="s">
        <v>74</v>
      </c>
      <c r="AE1018" t="s">
        <v>74</v>
      </c>
      <c r="AF1018" t="s">
        <v>74</v>
      </c>
      <c r="AG1018" t="s">
        <v>74</v>
      </c>
      <c r="AH1018" t="s">
        <v>74</v>
      </c>
      <c r="AI1018" t="s">
        <v>74</v>
      </c>
      <c r="AJ1018" t="s">
        <v>74</v>
      </c>
      <c r="AK1018" t="s">
        <v>74</v>
      </c>
      <c r="AL1018" t="s">
        <v>74</v>
      </c>
      <c r="AM1018" t="s">
        <v>74</v>
      </c>
      <c r="AN1018" t="s">
        <v>74</v>
      </c>
      <c r="AO1018" t="s">
        <v>143</v>
      </c>
      <c r="AP1018" t="s">
        <v>144</v>
      </c>
      <c r="AQ1018" t="s">
        <v>74</v>
      </c>
      <c r="AR1018" t="s">
        <v>74</v>
      </c>
      <c r="AS1018" t="s">
        <v>74</v>
      </c>
      <c r="AT1018" t="s">
        <v>204</v>
      </c>
      <c r="AU1018">
        <v>2014</v>
      </c>
      <c r="AV1018">
        <v>93</v>
      </c>
      <c r="AW1018" t="s">
        <v>74</v>
      </c>
      <c r="AX1018" t="s">
        <v>74</v>
      </c>
      <c r="AY1018" t="s">
        <v>74</v>
      </c>
      <c r="AZ1018" t="s">
        <v>74</v>
      </c>
      <c r="BA1018" t="s">
        <v>74</v>
      </c>
      <c r="BB1018">
        <v>267</v>
      </c>
      <c r="BC1018">
        <v>278</v>
      </c>
      <c r="BD1018" t="s">
        <v>74</v>
      </c>
      <c r="BE1018" t="s">
        <v>3701</v>
      </c>
      <c r="BF1018" t="str">
        <f>HYPERLINK("http://dx.doi.org/10.1016/j.anbehav.2014.05.005","http://dx.doi.org/10.1016/j.anbehav.2014.05.005")</f>
        <v>http://dx.doi.org/10.1016/j.anbehav.2014.05.005</v>
      </c>
      <c r="BG1018" t="s">
        <v>74</v>
      </c>
      <c r="BH1018" t="s">
        <v>74</v>
      </c>
      <c r="BI1018" t="s">
        <v>74</v>
      </c>
      <c r="BJ1018" t="s">
        <v>74</v>
      </c>
      <c r="BK1018" t="s">
        <v>74</v>
      </c>
      <c r="BL1018" t="s">
        <v>74</v>
      </c>
      <c r="BM1018" t="s">
        <v>74</v>
      </c>
      <c r="BN1018" t="s">
        <v>74</v>
      </c>
      <c r="BO1018" t="s">
        <v>74</v>
      </c>
      <c r="BP1018" t="s">
        <v>74</v>
      </c>
      <c r="BQ1018" t="s">
        <v>74</v>
      </c>
      <c r="BR1018" t="s">
        <v>74</v>
      </c>
      <c r="BS1018" t="s">
        <v>3702</v>
      </c>
      <c r="BT1018" t="str">
        <f>HYPERLINK("https%3A%2F%2Fwww.webofscience.com%2Fwos%2Fwoscc%2Ffull-record%2FWOS:000338712900033","View Full Record in Web of Science")</f>
        <v>View Full Record in Web of Science</v>
      </c>
    </row>
    <row r="1019" spans="1:72" x14ac:dyDescent="0.4">
      <c r="A1019" t="s">
        <v>72</v>
      </c>
      <c r="B1019" t="s">
        <v>7489</v>
      </c>
      <c r="C1019" t="s">
        <v>74</v>
      </c>
      <c r="D1019" t="s">
        <v>74</v>
      </c>
      <c r="E1019" t="s">
        <v>74</v>
      </c>
      <c r="F1019" t="s">
        <v>7490</v>
      </c>
      <c r="G1019" t="s">
        <v>74</v>
      </c>
      <c r="H1019" t="s">
        <v>74</v>
      </c>
      <c r="I1019" t="s">
        <v>7491</v>
      </c>
      <c r="J1019" t="s">
        <v>333</v>
      </c>
      <c r="K1019" t="s">
        <v>74</v>
      </c>
      <c r="L1019" t="s">
        <v>74</v>
      </c>
      <c r="M1019" t="s">
        <v>74</v>
      </c>
      <c r="N1019" t="s">
        <v>74</v>
      </c>
      <c r="O1019" t="s">
        <v>74</v>
      </c>
      <c r="P1019" t="s">
        <v>74</v>
      </c>
      <c r="Q1019" t="s">
        <v>74</v>
      </c>
      <c r="R1019" t="s">
        <v>74</v>
      </c>
      <c r="S1019" t="s">
        <v>74</v>
      </c>
      <c r="T1019" t="s">
        <v>74</v>
      </c>
      <c r="U1019" t="s">
        <v>74</v>
      </c>
      <c r="V1019" s="3" t="s">
        <v>7492</v>
      </c>
      <c r="W1019" t="s">
        <v>74</v>
      </c>
      <c r="X1019" t="s">
        <v>74</v>
      </c>
      <c r="Y1019" t="s">
        <v>74</v>
      </c>
      <c r="Z1019" t="s">
        <v>74</v>
      </c>
      <c r="AA1019" t="s">
        <v>74</v>
      </c>
      <c r="AB1019" t="s">
        <v>74</v>
      </c>
      <c r="AC1019" t="s">
        <v>74</v>
      </c>
      <c r="AD1019" t="s">
        <v>74</v>
      </c>
      <c r="AE1019" t="s">
        <v>74</v>
      </c>
      <c r="AF1019" t="s">
        <v>74</v>
      </c>
      <c r="AG1019" t="s">
        <v>74</v>
      </c>
      <c r="AH1019" t="s">
        <v>74</v>
      </c>
      <c r="AI1019" t="s">
        <v>74</v>
      </c>
      <c r="AJ1019" t="s">
        <v>74</v>
      </c>
      <c r="AK1019" t="s">
        <v>74</v>
      </c>
      <c r="AL1019" t="s">
        <v>74</v>
      </c>
      <c r="AM1019" t="s">
        <v>74</v>
      </c>
      <c r="AN1019" t="s">
        <v>74</v>
      </c>
      <c r="AO1019" t="s">
        <v>337</v>
      </c>
      <c r="AP1019" t="s">
        <v>338</v>
      </c>
      <c r="AQ1019" t="s">
        <v>74</v>
      </c>
      <c r="AR1019" t="s">
        <v>74</v>
      </c>
      <c r="AS1019" t="s">
        <v>74</v>
      </c>
      <c r="AT1019" t="s">
        <v>339</v>
      </c>
      <c r="AU1019">
        <v>2013</v>
      </c>
      <c r="AV1019">
        <v>24</v>
      </c>
      <c r="AW1019">
        <v>4</v>
      </c>
      <c r="AX1019" t="s">
        <v>74</v>
      </c>
      <c r="AY1019" t="s">
        <v>74</v>
      </c>
      <c r="AZ1019" t="s">
        <v>74</v>
      </c>
      <c r="BA1019" t="s">
        <v>74</v>
      </c>
      <c r="BB1019">
        <v>955</v>
      </c>
      <c r="BC1019">
        <v>967</v>
      </c>
      <c r="BD1019" t="s">
        <v>74</v>
      </c>
      <c r="BE1019" t="s">
        <v>7493</v>
      </c>
      <c r="BF1019" t="str">
        <f>HYPERLINK("http://dx.doi.org/10.1093/beheco/art011","http://dx.doi.org/10.1093/beheco/art011")</f>
        <v>http://dx.doi.org/10.1093/beheco/art011</v>
      </c>
      <c r="BG1019" t="s">
        <v>74</v>
      </c>
      <c r="BH1019" t="s">
        <v>74</v>
      </c>
      <c r="BI1019" t="s">
        <v>74</v>
      </c>
      <c r="BJ1019" t="s">
        <v>74</v>
      </c>
      <c r="BK1019" t="s">
        <v>74</v>
      </c>
      <c r="BL1019" t="s">
        <v>74</v>
      </c>
      <c r="BM1019" t="s">
        <v>74</v>
      </c>
      <c r="BN1019" t="s">
        <v>74</v>
      </c>
      <c r="BO1019" t="s">
        <v>74</v>
      </c>
      <c r="BP1019" t="s">
        <v>74</v>
      </c>
      <c r="BQ1019" t="s">
        <v>74</v>
      </c>
      <c r="BR1019" t="s">
        <v>74</v>
      </c>
      <c r="BS1019" t="s">
        <v>7494</v>
      </c>
      <c r="BT1019" t="str">
        <f>HYPERLINK("https%3A%2F%2Fwww.webofscience.com%2Fwos%2Fwoscc%2Ffull-record%2FWOS:000320409900027","View Full Record in Web of Science")</f>
        <v>View Full Record in Web of Science</v>
      </c>
    </row>
    <row r="1020" spans="1:72" x14ac:dyDescent="0.4">
      <c r="A1020" t="s">
        <v>72</v>
      </c>
      <c r="B1020" t="s">
        <v>4870</v>
      </c>
      <c r="C1020" t="s">
        <v>74</v>
      </c>
      <c r="D1020" t="s">
        <v>74</v>
      </c>
      <c r="E1020" t="s">
        <v>74</v>
      </c>
      <c r="F1020" t="s">
        <v>4871</v>
      </c>
      <c r="G1020" t="s">
        <v>74</v>
      </c>
      <c r="H1020" t="s">
        <v>74</v>
      </c>
      <c r="I1020" t="s">
        <v>4872</v>
      </c>
      <c r="J1020" t="s">
        <v>763</v>
      </c>
      <c r="K1020" t="s">
        <v>74</v>
      </c>
      <c r="L1020" t="s">
        <v>74</v>
      </c>
      <c r="M1020" t="s">
        <v>74</v>
      </c>
      <c r="N1020" t="s">
        <v>74</v>
      </c>
      <c r="O1020" t="s">
        <v>74</v>
      </c>
      <c r="P1020" t="s">
        <v>74</v>
      </c>
      <c r="Q1020" t="s">
        <v>74</v>
      </c>
      <c r="R1020" t="s">
        <v>74</v>
      </c>
      <c r="S1020" t="s">
        <v>74</v>
      </c>
      <c r="T1020" t="s">
        <v>74</v>
      </c>
      <c r="U1020" t="s">
        <v>74</v>
      </c>
      <c r="V1020" s="3" t="s">
        <v>4873</v>
      </c>
      <c r="W1020" t="s">
        <v>74</v>
      </c>
      <c r="X1020" t="s">
        <v>74</v>
      </c>
      <c r="Y1020" t="s">
        <v>74</v>
      </c>
      <c r="Z1020" t="s">
        <v>74</v>
      </c>
      <c r="AA1020" t="s">
        <v>4874</v>
      </c>
      <c r="AB1020" t="s">
        <v>4875</v>
      </c>
      <c r="AC1020" t="s">
        <v>74</v>
      </c>
      <c r="AD1020" t="s">
        <v>74</v>
      </c>
      <c r="AE1020" t="s">
        <v>74</v>
      </c>
      <c r="AF1020" t="s">
        <v>74</v>
      </c>
      <c r="AG1020" t="s">
        <v>74</v>
      </c>
      <c r="AH1020" t="s">
        <v>74</v>
      </c>
      <c r="AI1020" t="s">
        <v>74</v>
      </c>
      <c r="AJ1020" t="s">
        <v>74</v>
      </c>
      <c r="AK1020" t="s">
        <v>74</v>
      </c>
      <c r="AL1020" t="s">
        <v>74</v>
      </c>
      <c r="AM1020" t="s">
        <v>74</v>
      </c>
      <c r="AN1020" t="s">
        <v>74</v>
      </c>
      <c r="AO1020" t="s">
        <v>767</v>
      </c>
      <c r="AP1020" t="s">
        <v>74</v>
      </c>
      <c r="AQ1020" t="s">
        <v>74</v>
      </c>
      <c r="AR1020" t="s">
        <v>74</v>
      </c>
      <c r="AS1020" t="s">
        <v>74</v>
      </c>
      <c r="AT1020" t="s">
        <v>134</v>
      </c>
      <c r="AU1020">
        <v>2013</v>
      </c>
      <c r="AV1020">
        <v>216</v>
      </c>
      <c r="AW1020">
        <v>9</v>
      </c>
      <c r="AX1020" t="s">
        <v>74</v>
      </c>
      <c r="AY1020" t="s">
        <v>74</v>
      </c>
      <c r="AZ1020" t="s">
        <v>74</v>
      </c>
      <c r="BA1020" t="s">
        <v>74</v>
      </c>
      <c r="BB1020">
        <v>1744</v>
      </c>
      <c r="BC1020">
        <v>1756</v>
      </c>
      <c r="BD1020" t="s">
        <v>74</v>
      </c>
      <c r="BE1020" t="s">
        <v>4876</v>
      </c>
      <c r="BF1020" t="str">
        <f>HYPERLINK("http://dx.doi.org/10.1242/jeb.071118","http://dx.doi.org/10.1242/jeb.071118")</f>
        <v>http://dx.doi.org/10.1242/jeb.071118</v>
      </c>
      <c r="BG1020" t="s">
        <v>74</v>
      </c>
      <c r="BH1020" t="s">
        <v>74</v>
      </c>
      <c r="BI1020" t="s">
        <v>74</v>
      </c>
      <c r="BJ1020" t="s">
        <v>74</v>
      </c>
      <c r="BK1020" t="s">
        <v>74</v>
      </c>
      <c r="BL1020" t="s">
        <v>74</v>
      </c>
      <c r="BM1020" t="s">
        <v>74</v>
      </c>
      <c r="BN1020">
        <v>23348952</v>
      </c>
      <c r="BO1020" t="s">
        <v>74</v>
      </c>
      <c r="BP1020" t="s">
        <v>74</v>
      </c>
      <c r="BQ1020" t="s">
        <v>74</v>
      </c>
      <c r="BR1020" t="s">
        <v>74</v>
      </c>
      <c r="BS1020" t="s">
        <v>4877</v>
      </c>
      <c r="BT1020" t="str">
        <f>HYPERLINK("https%3A%2F%2Fwww.webofscience.com%2Fwos%2Fwoscc%2Ffull-record%2FWOS:000317722700033","View Full Record in Web of Science")</f>
        <v>View Full Record in Web of Science</v>
      </c>
    </row>
    <row r="1021" spans="1:72" x14ac:dyDescent="0.4">
      <c r="A1021" t="s">
        <v>72</v>
      </c>
      <c r="B1021" t="s">
        <v>821</v>
      </c>
      <c r="C1021" t="s">
        <v>74</v>
      </c>
      <c r="D1021" t="s">
        <v>74</v>
      </c>
      <c r="E1021" t="s">
        <v>74</v>
      </c>
      <c r="F1021" t="s">
        <v>822</v>
      </c>
      <c r="G1021" t="s">
        <v>74</v>
      </c>
      <c r="H1021" t="s">
        <v>74</v>
      </c>
      <c r="I1021" t="s">
        <v>823</v>
      </c>
      <c r="J1021" t="s">
        <v>824</v>
      </c>
      <c r="K1021" t="s">
        <v>74</v>
      </c>
      <c r="L1021" t="s">
        <v>74</v>
      </c>
      <c r="M1021" t="s">
        <v>74</v>
      </c>
      <c r="N1021" t="s">
        <v>74</v>
      </c>
      <c r="O1021" t="s">
        <v>74</v>
      </c>
      <c r="P1021" t="s">
        <v>74</v>
      </c>
      <c r="Q1021" t="s">
        <v>74</v>
      </c>
      <c r="R1021" t="s">
        <v>74</v>
      </c>
      <c r="S1021" t="s">
        <v>74</v>
      </c>
      <c r="T1021" t="s">
        <v>74</v>
      </c>
      <c r="U1021" t="s">
        <v>74</v>
      </c>
      <c r="V1021" s="3" t="s">
        <v>825</v>
      </c>
      <c r="W1021" t="s">
        <v>74</v>
      </c>
      <c r="X1021" t="s">
        <v>74</v>
      </c>
      <c r="Y1021" t="s">
        <v>74</v>
      </c>
      <c r="Z1021" t="s">
        <v>74</v>
      </c>
      <c r="AA1021" t="s">
        <v>826</v>
      </c>
      <c r="AB1021" t="s">
        <v>827</v>
      </c>
      <c r="AC1021" t="s">
        <v>74</v>
      </c>
      <c r="AD1021" t="s">
        <v>74</v>
      </c>
      <c r="AE1021" t="s">
        <v>74</v>
      </c>
      <c r="AF1021" t="s">
        <v>74</v>
      </c>
      <c r="AG1021" t="s">
        <v>74</v>
      </c>
      <c r="AH1021" t="s">
        <v>74</v>
      </c>
      <c r="AI1021" t="s">
        <v>74</v>
      </c>
      <c r="AJ1021" t="s">
        <v>74</v>
      </c>
      <c r="AK1021" t="s">
        <v>74</v>
      </c>
      <c r="AL1021" t="s">
        <v>74</v>
      </c>
      <c r="AM1021" t="s">
        <v>74</v>
      </c>
      <c r="AN1021" t="s">
        <v>74</v>
      </c>
      <c r="AO1021" t="s">
        <v>828</v>
      </c>
      <c r="AP1021" t="s">
        <v>829</v>
      </c>
      <c r="AQ1021" t="s">
        <v>74</v>
      </c>
      <c r="AR1021" t="s">
        <v>74</v>
      </c>
      <c r="AS1021" t="s">
        <v>74</v>
      </c>
      <c r="AT1021" t="s">
        <v>352</v>
      </c>
      <c r="AU1021">
        <v>2017</v>
      </c>
      <c r="AV1021">
        <v>86</v>
      </c>
      <c r="AW1021">
        <v>5</v>
      </c>
      <c r="AX1021" t="s">
        <v>74</v>
      </c>
      <c r="AY1021" t="s">
        <v>74</v>
      </c>
      <c r="AZ1021" t="s">
        <v>74</v>
      </c>
      <c r="BA1021" t="s">
        <v>74</v>
      </c>
      <c r="BB1021">
        <v>1074</v>
      </c>
      <c r="BC1021">
        <v>1081</v>
      </c>
      <c r="BD1021" t="s">
        <v>74</v>
      </c>
      <c r="BE1021" t="s">
        <v>830</v>
      </c>
      <c r="BF1021" t="str">
        <f>HYPERLINK("http://dx.doi.org/10.1111/1365-2656.12690","http://dx.doi.org/10.1111/1365-2656.12690")</f>
        <v>http://dx.doi.org/10.1111/1365-2656.12690</v>
      </c>
      <c r="BG1021" t="s">
        <v>74</v>
      </c>
      <c r="BH1021" t="s">
        <v>74</v>
      </c>
      <c r="BI1021" t="s">
        <v>74</v>
      </c>
      <c r="BJ1021" t="s">
        <v>74</v>
      </c>
      <c r="BK1021" t="s">
        <v>74</v>
      </c>
      <c r="BL1021" t="s">
        <v>74</v>
      </c>
      <c r="BM1021" t="s">
        <v>74</v>
      </c>
      <c r="BN1021">
        <v>28502084</v>
      </c>
      <c r="BO1021" t="s">
        <v>74</v>
      </c>
      <c r="BP1021" t="s">
        <v>74</v>
      </c>
      <c r="BQ1021" t="s">
        <v>74</v>
      </c>
      <c r="BR1021" t="s">
        <v>74</v>
      </c>
      <c r="BS1021" t="s">
        <v>831</v>
      </c>
      <c r="BT1021" t="str">
        <f>HYPERLINK("https%3A%2F%2Fwww.webofscience.com%2Fwos%2Fwoscc%2Ffull-record%2FWOS:000407320500010","View Full Record in Web of Science")</f>
        <v>View Full Record in Web of Science</v>
      </c>
    </row>
    <row r="1022" spans="1:72" x14ac:dyDescent="0.4">
      <c r="A1022" t="s">
        <v>72</v>
      </c>
      <c r="B1022" t="s">
        <v>5895</v>
      </c>
      <c r="C1022" t="s">
        <v>74</v>
      </c>
      <c r="D1022" t="s">
        <v>74</v>
      </c>
      <c r="E1022" t="s">
        <v>74</v>
      </c>
      <c r="F1022" t="s">
        <v>5895</v>
      </c>
      <c r="G1022" t="s">
        <v>74</v>
      </c>
      <c r="H1022" t="s">
        <v>74</v>
      </c>
      <c r="I1022" t="s">
        <v>5896</v>
      </c>
      <c r="J1022" t="s">
        <v>5897</v>
      </c>
      <c r="K1022" t="s">
        <v>74</v>
      </c>
      <c r="L1022" t="s">
        <v>74</v>
      </c>
      <c r="M1022" t="s">
        <v>74</v>
      </c>
      <c r="N1022" t="s">
        <v>74</v>
      </c>
      <c r="O1022" t="s">
        <v>74</v>
      </c>
      <c r="P1022" t="s">
        <v>74</v>
      </c>
      <c r="Q1022" t="s">
        <v>74</v>
      </c>
      <c r="R1022" t="s">
        <v>74</v>
      </c>
      <c r="S1022" t="s">
        <v>74</v>
      </c>
      <c r="T1022" t="s">
        <v>74</v>
      </c>
      <c r="U1022" t="s">
        <v>74</v>
      </c>
      <c r="V1022" s="3" t="s">
        <v>5898</v>
      </c>
      <c r="W1022" t="s">
        <v>74</v>
      </c>
      <c r="X1022" t="s">
        <v>74</v>
      </c>
      <c r="Y1022" t="s">
        <v>74</v>
      </c>
      <c r="Z1022" t="s">
        <v>74</v>
      </c>
      <c r="AA1022" t="s">
        <v>74</v>
      </c>
      <c r="AB1022" t="s">
        <v>74</v>
      </c>
      <c r="AC1022" t="s">
        <v>74</v>
      </c>
      <c r="AD1022" t="s">
        <v>74</v>
      </c>
      <c r="AE1022" t="s">
        <v>74</v>
      </c>
      <c r="AF1022" t="s">
        <v>74</v>
      </c>
      <c r="AG1022" t="s">
        <v>74</v>
      </c>
      <c r="AH1022" t="s">
        <v>74</v>
      </c>
      <c r="AI1022" t="s">
        <v>74</v>
      </c>
      <c r="AJ1022" t="s">
        <v>74</v>
      </c>
      <c r="AK1022" t="s">
        <v>74</v>
      </c>
      <c r="AL1022" t="s">
        <v>74</v>
      </c>
      <c r="AM1022" t="s">
        <v>74</v>
      </c>
      <c r="AN1022" t="s">
        <v>74</v>
      </c>
      <c r="AO1022" t="s">
        <v>5899</v>
      </c>
      <c r="AP1022" t="s">
        <v>5900</v>
      </c>
      <c r="AQ1022" t="s">
        <v>74</v>
      </c>
      <c r="AR1022" t="s">
        <v>74</v>
      </c>
      <c r="AS1022" t="s">
        <v>74</v>
      </c>
      <c r="AT1022" t="s">
        <v>175</v>
      </c>
      <c r="AU1022">
        <v>1988</v>
      </c>
      <c r="AV1022">
        <v>61</v>
      </c>
      <c r="AW1022">
        <v>4</v>
      </c>
      <c r="AX1022" t="s">
        <v>74</v>
      </c>
      <c r="AY1022" t="s">
        <v>74</v>
      </c>
      <c r="AZ1022" t="s">
        <v>74</v>
      </c>
      <c r="BA1022" t="s">
        <v>74</v>
      </c>
      <c r="BB1022">
        <v>388</v>
      </c>
      <c r="BC1022">
        <v>395</v>
      </c>
      <c r="BD1022" t="s">
        <v>74</v>
      </c>
      <c r="BE1022" t="s">
        <v>74</v>
      </c>
      <c r="BF1022" t="s">
        <v>74</v>
      </c>
      <c r="BG1022" t="s">
        <v>74</v>
      </c>
      <c r="BH1022" t="s">
        <v>74</v>
      </c>
      <c r="BI1022" t="s">
        <v>74</v>
      </c>
      <c r="BJ1022" t="s">
        <v>74</v>
      </c>
      <c r="BK1022" t="s">
        <v>74</v>
      </c>
      <c r="BL1022" t="s">
        <v>74</v>
      </c>
      <c r="BM1022" t="s">
        <v>74</v>
      </c>
      <c r="BN1022" t="s">
        <v>74</v>
      </c>
      <c r="BO1022" t="s">
        <v>74</v>
      </c>
      <c r="BP1022" t="s">
        <v>74</v>
      </c>
      <c r="BQ1022" t="s">
        <v>74</v>
      </c>
      <c r="BR1022" t="s">
        <v>74</v>
      </c>
      <c r="BS1022" t="s">
        <v>5901</v>
      </c>
      <c r="BT1022" t="str">
        <f>HYPERLINK("https%3A%2F%2Fwww.webofscience.com%2Fwos%2Fwoscc%2Ffull-record%2FWOS:A1988T891300004","View Full Record in Web of Science")</f>
        <v>View Full Record in Web of Science</v>
      </c>
    </row>
    <row r="1023" spans="1:72" x14ac:dyDescent="0.4">
      <c r="A1023" t="s">
        <v>72</v>
      </c>
      <c r="B1023" t="s">
        <v>8266</v>
      </c>
      <c r="C1023" t="s">
        <v>74</v>
      </c>
      <c r="D1023" t="s">
        <v>74</v>
      </c>
      <c r="E1023" t="s">
        <v>74</v>
      </c>
      <c r="F1023" t="s">
        <v>8267</v>
      </c>
      <c r="G1023" t="s">
        <v>74</v>
      </c>
      <c r="H1023" t="s">
        <v>74</v>
      </c>
      <c r="I1023" t="s">
        <v>8268</v>
      </c>
      <c r="J1023" t="s">
        <v>8269</v>
      </c>
      <c r="K1023" t="s">
        <v>74</v>
      </c>
      <c r="L1023" t="s">
        <v>74</v>
      </c>
      <c r="M1023" t="s">
        <v>74</v>
      </c>
      <c r="N1023" t="s">
        <v>74</v>
      </c>
      <c r="O1023" t="s">
        <v>74</v>
      </c>
      <c r="P1023" t="s">
        <v>74</v>
      </c>
      <c r="Q1023" t="s">
        <v>74</v>
      </c>
      <c r="R1023" t="s">
        <v>74</v>
      </c>
      <c r="S1023" t="s">
        <v>74</v>
      </c>
      <c r="T1023" t="s">
        <v>74</v>
      </c>
      <c r="U1023" t="s">
        <v>74</v>
      </c>
      <c r="V1023" s="3" t="s">
        <v>8270</v>
      </c>
      <c r="W1023" t="s">
        <v>74</v>
      </c>
      <c r="X1023" t="s">
        <v>74</v>
      </c>
      <c r="Y1023" t="s">
        <v>74</v>
      </c>
      <c r="Z1023" t="s">
        <v>74</v>
      </c>
      <c r="AA1023" t="s">
        <v>8271</v>
      </c>
      <c r="AB1023" t="s">
        <v>8272</v>
      </c>
      <c r="AC1023" t="s">
        <v>74</v>
      </c>
      <c r="AD1023" t="s">
        <v>74</v>
      </c>
      <c r="AE1023" t="s">
        <v>74</v>
      </c>
      <c r="AF1023" t="s">
        <v>74</v>
      </c>
      <c r="AG1023" t="s">
        <v>74</v>
      </c>
      <c r="AH1023" t="s">
        <v>74</v>
      </c>
      <c r="AI1023" t="s">
        <v>74</v>
      </c>
      <c r="AJ1023" t="s">
        <v>74</v>
      </c>
      <c r="AK1023" t="s">
        <v>74</v>
      </c>
      <c r="AL1023" t="s">
        <v>74</v>
      </c>
      <c r="AM1023" t="s">
        <v>74</v>
      </c>
      <c r="AN1023" t="s">
        <v>74</v>
      </c>
      <c r="AO1023" t="s">
        <v>8273</v>
      </c>
      <c r="AP1023" t="s">
        <v>74</v>
      </c>
      <c r="AQ1023" t="s">
        <v>74</v>
      </c>
      <c r="AR1023" t="s">
        <v>74</v>
      </c>
      <c r="AS1023" t="s">
        <v>74</v>
      </c>
      <c r="AT1023" t="s">
        <v>1090</v>
      </c>
      <c r="AU1023">
        <v>2014</v>
      </c>
      <c r="AV1023">
        <v>78</v>
      </c>
      <c r="AW1023" t="s">
        <v>74</v>
      </c>
      <c r="AX1023" t="s">
        <v>74</v>
      </c>
      <c r="AY1023" t="s">
        <v>74</v>
      </c>
      <c r="AZ1023" t="s">
        <v>74</v>
      </c>
      <c r="BA1023" t="s">
        <v>74</v>
      </c>
      <c r="BB1023" t="s">
        <v>74</v>
      </c>
      <c r="BC1023" t="s">
        <v>74</v>
      </c>
      <c r="BD1023" t="s">
        <v>74</v>
      </c>
      <c r="BE1023" t="s">
        <v>8274</v>
      </c>
      <c r="BF1023" t="str">
        <f>HYPERLINK("http://dx.doi.org/10.1399/eps.2013.1","http://dx.doi.org/10.1399/eps.2013.1")</f>
        <v>http://dx.doi.org/10.1399/eps.2013.1</v>
      </c>
      <c r="BG1023" t="s">
        <v>74</v>
      </c>
      <c r="BH1023" t="s">
        <v>74</v>
      </c>
      <c r="BI1023" t="s">
        <v>74</v>
      </c>
      <c r="BJ1023" t="s">
        <v>74</v>
      </c>
      <c r="BK1023" t="s">
        <v>74</v>
      </c>
      <c r="BL1023" t="s">
        <v>74</v>
      </c>
      <c r="BM1023" t="s">
        <v>74</v>
      </c>
      <c r="BN1023" t="s">
        <v>74</v>
      </c>
      <c r="BO1023" t="s">
        <v>74</v>
      </c>
      <c r="BP1023" t="s">
        <v>74</v>
      </c>
      <c r="BQ1023" t="s">
        <v>74</v>
      </c>
      <c r="BR1023" t="s">
        <v>74</v>
      </c>
      <c r="BS1023" t="s">
        <v>8275</v>
      </c>
      <c r="BT1023" t="str">
        <f>HYPERLINK("https%3A%2F%2Fwww.webofscience.com%2Fwos%2Fwoscc%2Ffull-record%2FWOS:000343648600001","View Full Record in Web of Science")</f>
        <v>View Full Record in Web of Science</v>
      </c>
    </row>
    <row r="1024" spans="1:72" x14ac:dyDescent="0.4">
      <c r="A1024" t="s">
        <v>72</v>
      </c>
      <c r="B1024" t="s">
        <v>2464</v>
      </c>
      <c r="C1024" t="s">
        <v>74</v>
      </c>
      <c r="D1024" t="s">
        <v>74</v>
      </c>
      <c r="E1024" t="s">
        <v>74</v>
      </c>
      <c r="F1024" t="s">
        <v>2464</v>
      </c>
      <c r="G1024" t="s">
        <v>74</v>
      </c>
      <c r="H1024" t="s">
        <v>74</v>
      </c>
      <c r="I1024" t="s">
        <v>2465</v>
      </c>
      <c r="J1024" t="s">
        <v>2466</v>
      </c>
      <c r="K1024" t="s">
        <v>74</v>
      </c>
      <c r="L1024" t="s">
        <v>74</v>
      </c>
      <c r="M1024" t="s">
        <v>74</v>
      </c>
      <c r="N1024" t="s">
        <v>74</v>
      </c>
      <c r="O1024" t="s">
        <v>74</v>
      </c>
      <c r="P1024" t="s">
        <v>74</v>
      </c>
      <c r="Q1024" t="s">
        <v>74</v>
      </c>
      <c r="R1024" t="s">
        <v>74</v>
      </c>
      <c r="S1024" t="s">
        <v>74</v>
      </c>
      <c r="T1024" t="s">
        <v>74</v>
      </c>
      <c r="U1024" t="s">
        <v>74</v>
      </c>
      <c r="V1024" s="3" t="s">
        <v>2467</v>
      </c>
      <c r="W1024" t="s">
        <v>74</v>
      </c>
      <c r="X1024" t="s">
        <v>74</v>
      </c>
      <c r="Y1024" t="s">
        <v>74</v>
      </c>
      <c r="Z1024" t="s">
        <v>74</v>
      </c>
      <c r="AA1024" t="s">
        <v>2468</v>
      </c>
      <c r="AB1024" t="s">
        <v>2469</v>
      </c>
      <c r="AC1024" t="s">
        <v>74</v>
      </c>
      <c r="AD1024" t="s">
        <v>74</v>
      </c>
      <c r="AE1024" t="s">
        <v>74</v>
      </c>
      <c r="AF1024" t="s">
        <v>74</v>
      </c>
      <c r="AG1024" t="s">
        <v>74</v>
      </c>
      <c r="AH1024" t="s">
        <v>74</v>
      </c>
      <c r="AI1024" t="s">
        <v>74</v>
      </c>
      <c r="AJ1024" t="s">
        <v>74</v>
      </c>
      <c r="AK1024" t="s">
        <v>74</v>
      </c>
      <c r="AL1024" t="s">
        <v>74</v>
      </c>
      <c r="AM1024" t="s">
        <v>74</v>
      </c>
      <c r="AN1024" t="s">
        <v>74</v>
      </c>
      <c r="AO1024" t="s">
        <v>2470</v>
      </c>
      <c r="AP1024" t="s">
        <v>2471</v>
      </c>
      <c r="AQ1024" t="s">
        <v>74</v>
      </c>
      <c r="AR1024" t="s">
        <v>74</v>
      </c>
      <c r="AS1024" t="s">
        <v>74</v>
      </c>
      <c r="AT1024" t="s">
        <v>204</v>
      </c>
      <c r="AU1024">
        <v>2005</v>
      </c>
      <c r="AV1024">
        <v>83</v>
      </c>
      <c r="AW1024">
        <v>7</v>
      </c>
      <c r="AX1024" t="s">
        <v>74</v>
      </c>
      <c r="AY1024" t="s">
        <v>74</v>
      </c>
      <c r="AZ1024" t="s">
        <v>74</v>
      </c>
      <c r="BA1024" t="s">
        <v>74</v>
      </c>
      <c r="BB1024">
        <v>1664</v>
      </c>
      <c r="BC1024">
        <v>1672</v>
      </c>
      <c r="BD1024" t="s">
        <v>74</v>
      </c>
      <c r="BE1024" t="s">
        <v>74</v>
      </c>
      <c r="BF1024" t="s">
        <v>74</v>
      </c>
      <c r="BG1024" t="s">
        <v>74</v>
      </c>
      <c r="BH1024" t="s">
        <v>74</v>
      </c>
      <c r="BI1024" t="s">
        <v>74</v>
      </c>
      <c r="BJ1024" t="s">
        <v>74</v>
      </c>
      <c r="BK1024" t="s">
        <v>74</v>
      </c>
      <c r="BL1024" t="s">
        <v>74</v>
      </c>
      <c r="BM1024" t="s">
        <v>74</v>
      </c>
      <c r="BN1024">
        <v>15956475</v>
      </c>
      <c r="BO1024" t="s">
        <v>74</v>
      </c>
      <c r="BP1024" t="s">
        <v>74</v>
      </c>
      <c r="BQ1024" t="s">
        <v>74</v>
      </c>
      <c r="BR1024" t="s">
        <v>74</v>
      </c>
      <c r="BS1024" t="s">
        <v>2472</v>
      </c>
      <c r="BT1024" t="str">
        <f>HYPERLINK("https%3A%2F%2Fwww.webofscience.com%2Fwos%2Fwoscc%2Ffull-record%2FWOS:000235847500021","View Full Record in Web of Science")</f>
        <v>View Full Record in Web of Science</v>
      </c>
    </row>
    <row r="1025" spans="1:72" x14ac:dyDescent="0.4">
      <c r="A1025" t="s">
        <v>72</v>
      </c>
      <c r="B1025" t="s">
        <v>5063</v>
      </c>
      <c r="C1025" t="s">
        <v>74</v>
      </c>
      <c r="D1025" t="s">
        <v>74</v>
      </c>
      <c r="E1025" t="s">
        <v>74</v>
      </c>
      <c r="F1025" t="s">
        <v>5063</v>
      </c>
      <c r="G1025" t="s">
        <v>74</v>
      </c>
      <c r="H1025" t="s">
        <v>74</v>
      </c>
      <c r="I1025" t="s">
        <v>5064</v>
      </c>
      <c r="J1025" t="s">
        <v>5065</v>
      </c>
      <c r="K1025" t="s">
        <v>74</v>
      </c>
      <c r="L1025" t="s">
        <v>74</v>
      </c>
      <c r="M1025" t="s">
        <v>74</v>
      </c>
      <c r="N1025" t="s">
        <v>74</v>
      </c>
      <c r="O1025" t="s">
        <v>74</v>
      </c>
      <c r="P1025" t="s">
        <v>74</v>
      </c>
      <c r="Q1025" t="s">
        <v>74</v>
      </c>
      <c r="R1025" t="s">
        <v>74</v>
      </c>
      <c r="S1025" t="s">
        <v>74</v>
      </c>
      <c r="T1025" t="s">
        <v>74</v>
      </c>
      <c r="U1025" t="s">
        <v>74</v>
      </c>
      <c r="V1025" s="3" t="s">
        <v>5066</v>
      </c>
      <c r="W1025" t="s">
        <v>74</v>
      </c>
      <c r="X1025" t="s">
        <v>74</v>
      </c>
      <c r="Y1025" t="s">
        <v>74</v>
      </c>
      <c r="Z1025" t="s">
        <v>74</v>
      </c>
      <c r="AA1025" t="s">
        <v>5067</v>
      </c>
      <c r="AB1025" t="s">
        <v>74</v>
      </c>
      <c r="AC1025" t="s">
        <v>74</v>
      </c>
      <c r="AD1025" t="s">
        <v>74</v>
      </c>
      <c r="AE1025" t="s">
        <v>74</v>
      </c>
      <c r="AF1025" t="s">
        <v>74</v>
      </c>
      <c r="AG1025" t="s">
        <v>74</v>
      </c>
      <c r="AH1025" t="s">
        <v>74</v>
      </c>
      <c r="AI1025" t="s">
        <v>74</v>
      </c>
      <c r="AJ1025" t="s">
        <v>74</v>
      </c>
      <c r="AK1025" t="s">
        <v>74</v>
      </c>
      <c r="AL1025" t="s">
        <v>74</v>
      </c>
      <c r="AM1025" t="s">
        <v>74</v>
      </c>
      <c r="AN1025" t="s">
        <v>74</v>
      </c>
      <c r="AO1025" t="s">
        <v>5068</v>
      </c>
      <c r="AP1025" t="s">
        <v>74</v>
      </c>
      <c r="AQ1025" t="s">
        <v>74</v>
      </c>
      <c r="AR1025" t="s">
        <v>74</v>
      </c>
      <c r="AS1025" t="s">
        <v>74</v>
      </c>
      <c r="AT1025" t="s">
        <v>74</v>
      </c>
      <c r="AU1025">
        <v>1979</v>
      </c>
      <c r="AV1025">
        <v>6</v>
      </c>
      <c r="AW1025">
        <v>2</v>
      </c>
      <c r="AX1025" t="s">
        <v>74</v>
      </c>
      <c r="AY1025" t="s">
        <v>74</v>
      </c>
      <c r="AZ1025" t="s">
        <v>74</v>
      </c>
      <c r="BA1025" t="s">
        <v>74</v>
      </c>
      <c r="BB1025">
        <v>83</v>
      </c>
      <c r="BC1025">
        <v>93</v>
      </c>
      <c r="BD1025" t="s">
        <v>74</v>
      </c>
      <c r="BE1025" t="s">
        <v>5069</v>
      </c>
      <c r="BF1025" t="str">
        <f>HYPERLINK("http://dx.doi.org/10.1080/10236247909378556","http://dx.doi.org/10.1080/10236247909378556")</f>
        <v>http://dx.doi.org/10.1080/10236247909378556</v>
      </c>
      <c r="BG1025" t="s">
        <v>74</v>
      </c>
      <c r="BH1025" t="s">
        <v>74</v>
      </c>
      <c r="BI1025" t="s">
        <v>74</v>
      </c>
      <c r="BJ1025" t="s">
        <v>74</v>
      </c>
      <c r="BK1025" t="s">
        <v>74</v>
      </c>
      <c r="BL1025" t="s">
        <v>74</v>
      </c>
      <c r="BM1025" t="s">
        <v>74</v>
      </c>
      <c r="BN1025" t="s">
        <v>74</v>
      </c>
      <c r="BO1025" t="s">
        <v>74</v>
      </c>
      <c r="BP1025" t="s">
        <v>74</v>
      </c>
      <c r="BQ1025" t="s">
        <v>74</v>
      </c>
      <c r="BR1025" t="s">
        <v>74</v>
      </c>
      <c r="BS1025" t="s">
        <v>5070</v>
      </c>
      <c r="BT1025" t="str">
        <f>HYPERLINK("https%3A%2F%2Fwww.webofscience.com%2Fwos%2Fwoscc%2Ffull-record%2FWOS:A1979HB35100001","View Full Record in Web of Science")</f>
        <v>View Full Record in Web of Science</v>
      </c>
    </row>
    <row r="1026" spans="1:72" x14ac:dyDescent="0.4">
      <c r="A1026" t="s">
        <v>72</v>
      </c>
      <c r="B1026" t="s">
        <v>599</v>
      </c>
      <c r="C1026" t="s">
        <v>74</v>
      </c>
      <c r="D1026" t="s">
        <v>74</v>
      </c>
      <c r="E1026" t="s">
        <v>74</v>
      </c>
      <c r="F1026" t="s">
        <v>600</v>
      </c>
      <c r="G1026" t="s">
        <v>74</v>
      </c>
      <c r="H1026" t="s">
        <v>74</v>
      </c>
      <c r="I1026" t="s">
        <v>601</v>
      </c>
      <c r="J1026" t="s">
        <v>602</v>
      </c>
      <c r="K1026" t="s">
        <v>74</v>
      </c>
      <c r="L1026" t="s">
        <v>74</v>
      </c>
      <c r="M1026" t="s">
        <v>74</v>
      </c>
      <c r="N1026" t="s">
        <v>74</v>
      </c>
      <c r="O1026" t="s">
        <v>74</v>
      </c>
      <c r="P1026" t="s">
        <v>74</v>
      </c>
      <c r="Q1026" t="s">
        <v>74</v>
      </c>
      <c r="R1026" t="s">
        <v>74</v>
      </c>
      <c r="S1026" t="s">
        <v>74</v>
      </c>
      <c r="T1026" t="s">
        <v>74</v>
      </c>
      <c r="U1026" t="s">
        <v>74</v>
      </c>
      <c r="V1026" s="3" t="s">
        <v>603</v>
      </c>
      <c r="W1026" t="s">
        <v>74</v>
      </c>
      <c r="X1026" t="s">
        <v>74</v>
      </c>
      <c r="Y1026" t="s">
        <v>74</v>
      </c>
      <c r="Z1026" t="s">
        <v>74</v>
      </c>
      <c r="AA1026" t="s">
        <v>604</v>
      </c>
      <c r="AB1026" t="s">
        <v>74</v>
      </c>
      <c r="AC1026" t="s">
        <v>74</v>
      </c>
      <c r="AD1026" t="s">
        <v>74</v>
      </c>
      <c r="AE1026" t="s">
        <v>74</v>
      </c>
      <c r="AF1026" t="s">
        <v>74</v>
      </c>
      <c r="AG1026" t="s">
        <v>74</v>
      </c>
      <c r="AH1026" t="s">
        <v>74</v>
      </c>
      <c r="AI1026" t="s">
        <v>74</v>
      </c>
      <c r="AJ1026" t="s">
        <v>74</v>
      </c>
      <c r="AK1026" t="s">
        <v>74</v>
      </c>
      <c r="AL1026" t="s">
        <v>74</v>
      </c>
      <c r="AM1026" t="s">
        <v>74</v>
      </c>
      <c r="AN1026" t="s">
        <v>74</v>
      </c>
      <c r="AO1026" t="s">
        <v>605</v>
      </c>
      <c r="AP1026" t="s">
        <v>74</v>
      </c>
      <c r="AQ1026" t="s">
        <v>74</v>
      </c>
      <c r="AR1026" t="s">
        <v>74</v>
      </c>
      <c r="AS1026" t="s">
        <v>74</v>
      </c>
      <c r="AT1026" t="s">
        <v>74</v>
      </c>
      <c r="AU1026">
        <v>2011</v>
      </c>
      <c r="AV1026">
        <v>63</v>
      </c>
      <c r="AW1026" t="s">
        <v>74</v>
      </c>
      <c r="AX1026" t="s">
        <v>74</v>
      </c>
      <c r="AY1026" t="s">
        <v>74</v>
      </c>
      <c r="AZ1026" t="s">
        <v>74</v>
      </c>
      <c r="BA1026" t="s">
        <v>74</v>
      </c>
      <c r="BB1026" t="s">
        <v>74</v>
      </c>
      <c r="BC1026" t="s">
        <v>74</v>
      </c>
      <c r="BD1026">
        <v>532</v>
      </c>
      <c r="BE1026" t="s">
        <v>74</v>
      </c>
      <c r="BF1026" t="s">
        <v>74</v>
      </c>
      <c r="BG1026" t="s">
        <v>74</v>
      </c>
      <c r="BH1026" t="s">
        <v>74</v>
      </c>
      <c r="BI1026" t="s">
        <v>74</v>
      </c>
      <c r="BJ1026" t="s">
        <v>74</v>
      </c>
      <c r="BK1026" t="s">
        <v>74</v>
      </c>
      <c r="BL1026" t="s">
        <v>74</v>
      </c>
      <c r="BM1026" t="s">
        <v>74</v>
      </c>
      <c r="BN1026" t="s">
        <v>74</v>
      </c>
      <c r="BO1026" t="s">
        <v>74</v>
      </c>
      <c r="BP1026" t="s">
        <v>74</v>
      </c>
      <c r="BQ1026" t="s">
        <v>74</v>
      </c>
      <c r="BR1026" t="s">
        <v>74</v>
      </c>
      <c r="BS1026" t="s">
        <v>606</v>
      </c>
      <c r="BT1026" t="str">
        <f>HYPERLINK("https%3A%2F%2Fwww.webofscience.com%2Fwos%2Fwoscc%2Ffull-record%2FWOS:000296494000001","View Full Record in Web of Science")</f>
        <v>View Full Record in Web of Science</v>
      </c>
    </row>
    <row r="1027" spans="1:72" x14ac:dyDescent="0.4">
      <c r="A1027" t="s">
        <v>72</v>
      </c>
      <c r="B1027" t="s">
        <v>4943</v>
      </c>
      <c r="C1027" t="s">
        <v>74</v>
      </c>
      <c r="D1027" t="s">
        <v>74</v>
      </c>
      <c r="E1027" t="s">
        <v>74</v>
      </c>
      <c r="F1027" t="s">
        <v>4944</v>
      </c>
      <c r="G1027" t="s">
        <v>74</v>
      </c>
      <c r="H1027" t="s">
        <v>74</v>
      </c>
      <c r="I1027" t="s">
        <v>4945</v>
      </c>
      <c r="J1027" t="s">
        <v>129</v>
      </c>
      <c r="K1027" t="s">
        <v>74</v>
      </c>
      <c r="L1027" t="s">
        <v>74</v>
      </c>
      <c r="M1027" t="s">
        <v>74</v>
      </c>
      <c r="N1027" t="s">
        <v>74</v>
      </c>
      <c r="O1027" t="s">
        <v>74</v>
      </c>
      <c r="P1027" t="s">
        <v>74</v>
      </c>
      <c r="Q1027" t="s">
        <v>74</v>
      </c>
      <c r="R1027" t="s">
        <v>74</v>
      </c>
      <c r="S1027" t="s">
        <v>74</v>
      </c>
      <c r="T1027" t="s">
        <v>74</v>
      </c>
      <c r="U1027" t="s">
        <v>74</v>
      </c>
      <c r="V1027" s="3" t="s">
        <v>4946</v>
      </c>
      <c r="W1027" t="s">
        <v>74</v>
      </c>
      <c r="X1027" t="s">
        <v>74</v>
      </c>
      <c r="Y1027" t="s">
        <v>74</v>
      </c>
      <c r="Z1027" t="s">
        <v>74</v>
      </c>
      <c r="AA1027" t="s">
        <v>74</v>
      </c>
      <c r="AB1027" t="s">
        <v>74</v>
      </c>
      <c r="AC1027" t="s">
        <v>74</v>
      </c>
      <c r="AD1027" t="s">
        <v>74</v>
      </c>
      <c r="AE1027" t="s">
        <v>74</v>
      </c>
      <c r="AF1027" t="s">
        <v>74</v>
      </c>
      <c r="AG1027" t="s">
        <v>74</v>
      </c>
      <c r="AH1027" t="s">
        <v>74</v>
      </c>
      <c r="AI1027" t="s">
        <v>74</v>
      </c>
      <c r="AJ1027" t="s">
        <v>74</v>
      </c>
      <c r="AK1027" t="s">
        <v>74</v>
      </c>
      <c r="AL1027" t="s">
        <v>74</v>
      </c>
      <c r="AM1027" t="s">
        <v>74</v>
      </c>
      <c r="AN1027" t="s">
        <v>74</v>
      </c>
      <c r="AO1027" t="s">
        <v>132</v>
      </c>
      <c r="AP1027" t="s">
        <v>133</v>
      </c>
      <c r="AQ1027" t="s">
        <v>74</v>
      </c>
      <c r="AR1027" t="s">
        <v>74</v>
      </c>
      <c r="AS1027" t="s">
        <v>74</v>
      </c>
      <c r="AT1027" t="s">
        <v>305</v>
      </c>
      <c r="AU1027">
        <v>2009</v>
      </c>
      <c r="AV1027">
        <v>64</v>
      </c>
      <c r="AW1027">
        <v>2</v>
      </c>
      <c r="AX1027" t="s">
        <v>74</v>
      </c>
      <c r="AY1027" t="s">
        <v>74</v>
      </c>
      <c r="AZ1027" t="s">
        <v>74</v>
      </c>
      <c r="BA1027" t="s">
        <v>74</v>
      </c>
      <c r="BB1027">
        <v>225</v>
      </c>
      <c r="BC1027">
        <v>236</v>
      </c>
      <c r="BD1027" t="s">
        <v>74</v>
      </c>
      <c r="BE1027" t="s">
        <v>4947</v>
      </c>
      <c r="BF1027" t="str">
        <f>HYPERLINK("http://dx.doi.org/10.1007/s00265-009-0839-x","http://dx.doi.org/10.1007/s00265-009-0839-x")</f>
        <v>http://dx.doi.org/10.1007/s00265-009-0839-x</v>
      </c>
      <c r="BG1027" t="s">
        <v>74</v>
      </c>
      <c r="BH1027" t="s">
        <v>74</v>
      </c>
      <c r="BI1027" t="s">
        <v>74</v>
      </c>
      <c r="BJ1027" t="s">
        <v>74</v>
      </c>
      <c r="BK1027" t="s">
        <v>74</v>
      </c>
      <c r="BL1027" t="s">
        <v>74</v>
      </c>
      <c r="BM1027" t="s">
        <v>74</v>
      </c>
      <c r="BN1027" t="s">
        <v>74</v>
      </c>
      <c r="BO1027" t="s">
        <v>74</v>
      </c>
      <c r="BP1027" t="s">
        <v>74</v>
      </c>
      <c r="BQ1027" t="s">
        <v>74</v>
      </c>
      <c r="BR1027" t="s">
        <v>74</v>
      </c>
      <c r="BS1027" t="s">
        <v>4948</v>
      </c>
      <c r="BT1027" t="str">
        <f>HYPERLINK("https%3A%2F%2Fwww.webofscience.com%2Fwos%2Fwoscc%2Ffull-record%2FWOS:000271978300008","View Full Record in Web of Science")</f>
        <v>View Full Record in Web of Science</v>
      </c>
    </row>
    <row r="1028" spans="1:72" x14ac:dyDescent="0.4">
      <c r="A1028" t="s">
        <v>72</v>
      </c>
      <c r="B1028" t="s">
        <v>991</v>
      </c>
      <c r="C1028" t="s">
        <v>74</v>
      </c>
      <c r="D1028" t="s">
        <v>74</v>
      </c>
      <c r="E1028" t="s">
        <v>74</v>
      </c>
      <c r="F1028" t="s">
        <v>992</v>
      </c>
      <c r="G1028" t="s">
        <v>74</v>
      </c>
      <c r="H1028" t="s">
        <v>74</v>
      </c>
      <c r="I1028" t="s">
        <v>993</v>
      </c>
      <c r="J1028" t="s">
        <v>775</v>
      </c>
      <c r="K1028" t="s">
        <v>74</v>
      </c>
      <c r="L1028" t="s">
        <v>74</v>
      </c>
      <c r="M1028" t="s">
        <v>74</v>
      </c>
      <c r="N1028" t="s">
        <v>74</v>
      </c>
      <c r="O1028" t="s">
        <v>74</v>
      </c>
      <c r="P1028" t="s">
        <v>74</v>
      </c>
      <c r="Q1028" t="s">
        <v>74</v>
      </c>
      <c r="R1028" t="s">
        <v>74</v>
      </c>
      <c r="S1028" t="s">
        <v>74</v>
      </c>
      <c r="T1028" t="s">
        <v>74</v>
      </c>
      <c r="U1028" t="s">
        <v>74</v>
      </c>
      <c r="V1028" s="3" t="s">
        <v>994</v>
      </c>
      <c r="W1028" t="s">
        <v>74</v>
      </c>
      <c r="X1028" t="s">
        <v>74</v>
      </c>
      <c r="Y1028" t="s">
        <v>74</v>
      </c>
      <c r="Z1028" t="s">
        <v>74</v>
      </c>
      <c r="AA1028" t="s">
        <v>995</v>
      </c>
      <c r="AB1028" t="s">
        <v>996</v>
      </c>
      <c r="AC1028" t="s">
        <v>74</v>
      </c>
      <c r="AD1028" t="s">
        <v>74</v>
      </c>
      <c r="AE1028" t="s">
        <v>74</v>
      </c>
      <c r="AF1028" t="s">
        <v>74</v>
      </c>
      <c r="AG1028" t="s">
        <v>74</v>
      </c>
      <c r="AH1028" t="s">
        <v>74</v>
      </c>
      <c r="AI1028" t="s">
        <v>74</v>
      </c>
      <c r="AJ1028" t="s">
        <v>74</v>
      </c>
      <c r="AK1028" t="s">
        <v>74</v>
      </c>
      <c r="AL1028" t="s">
        <v>74</v>
      </c>
      <c r="AM1028" t="s">
        <v>74</v>
      </c>
      <c r="AN1028" t="s">
        <v>74</v>
      </c>
      <c r="AO1028" t="s">
        <v>778</v>
      </c>
      <c r="AP1028" t="s">
        <v>779</v>
      </c>
      <c r="AQ1028" t="s">
        <v>74</v>
      </c>
      <c r="AR1028" t="s">
        <v>74</v>
      </c>
      <c r="AS1028" t="s">
        <v>74</v>
      </c>
      <c r="AT1028" t="s">
        <v>964</v>
      </c>
      <c r="AU1028">
        <v>2018</v>
      </c>
      <c r="AV1028">
        <v>64</v>
      </c>
      <c r="AW1028">
        <v>1</v>
      </c>
      <c r="AX1028" t="s">
        <v>74</v>
      </c>
      <c r="AY1028" t="s">
        <v>74</v>
      </c>
      <c r="AZ1028" t="s">
        <v>74</v>
      </c>
      <c r="BA1028" t="s">
        <v>74</v>
      </c>
      <c r="BB1028">
        <v>115</v>
      </c>
      <c r="BC1028">
        <v>123</v>
      </c>
      <c r="BD1028" t="s">
        <v>74</v>
      </c>
      <c r="BE1028" t="s">
        <v>997</v>
      </c>
      <c r="BF1028" t="str">
        <f>HYPERLINK("http://dx.doi.org/10.1093/cz/zox070","http://dx.doi.org/10.1093/cz/zox070")</f>
        <v>http://dx.doi.org/10.1093/cz/zox070</v>
      </c>
      <c r="BG1028" t="s">
        <v>74</v>
      </c>
      <c r="BH1028" t="s">
        <v>74</v>
      </c>
      <c r="BI1028" t="s">
        <v>74</v>
      </c>
      <c r="BJ1028" t="s">
        <v>74</v>
      </c>
      <c r="BK1028" t="s">
        <v>74</v>
      </c>
      <c r="BL1028" t="s">
        <v>74</v>
      </c>
      <c r="BM1028" t="s">
        <v>74</v>
      </c>
      <c r="BN1028">
        <v>29492044</v>
      </c>
      <c r="BO1028" t="s">
        <v>74</v>
      </c>
      <c r="BP1028" t="s">
        <v>74</v>
      </c>
      <c r="BQ1028" t="s">
        <v>74</v>
      </c>
      <c r="BR1028" t="s">
        <v>74</v>
      </c>
      <c r="BS1028" t="s">
        <v>998</v>
      </c>
      <c r="BT1028" t="str">
        <f>HYPERLINK("https%3A%2F%2Fwww.webofscience.com%2Fwos%2Fwoscc%2Ffull-record%2FWOS:000425719000012","View Full Record in Web of Science")</f>
        <v>View Full Record in Web of Science</v>
      </c>
    </row>
    <row r="1029" spans="1:72" x14ac:dyDescent="0.4">
      <c r="A1029" t="s">
        <v>72</v>
      </c>
      <c r="B1029" t="s">
        <v>4578</v>
      </c>
      <c r="C1029" t="s">
        <v>74</v>
      </c>
      <c r="D1029" t="s">
        <v>74</v>
      </c>
      <c r="E1029" t="s">
        <v>74</v>
      </c>
      <c r="F1029" t="s">
        <v>4579</v>
      </c>
      <c r="G1029" t="s">
        <v>74</v>
      </c>
      <c r="H1029" t="s">
        <v>74</v>
      </c>
      <c r="I1029" t="s">
        <v>4580</v>
      </c>
      <c r="J1029" t="s">
        <v>333</v>
      </c>
      <c r="K1029" t="s">
        <v>74</v>
      </c>
      <c r="L1029" t="s">
        <v>74</v>
      </c>
      <c r="M1029" t="s">
        <v>74</v>
      </c>
      <c r="N1029" t="s">
        <v>74</v>
      </c>
      <c r="O1029" t="s">
        <v>74</v>
      </c>
      <c r="P1029" t="s">
        <v>74</v>
      </c>
      <c r="Q1029" t="s">
        <v>74</v>
      </c>
      <c r="R1029" t="s">
        <v>74</v>
      </c>
      <c r="S1029" t="s">
        <v>74</v>
      </c>
      <c r="T1029" t="s">
        <v>74</v>
      </c>
      <c r="U1029" t="s">
        <v>74</v>
      </c>
      <c r="V1029" s="3" t="s">
        <v>4581</v>
      </c>
      <c r="W1029" t="s">
        <v>74</v>
      </c>
      <c r="X1029" t="s">
        <v>74</v>
      </c>
      <c r="Y1029" t="s">
        <v>74</v>
      </c>
      <c r="Z1029" t="s">
        <v>74</v>
      </c>
      <c r="AA1029" t="s">
        <v>995</v>
      </c>
      <c r="AB1029" t="s">
        <v>4582</v>
      </c>
      <c r="AC1029" t="s">
        <v>74</v>
      </c>
      <c r="AD1029" t="s">
        <v>74</v>
      </c>
      <c r="AE1029" t="s">
        <v>74</v>
      </c>
      <c r="AF1029" t="s">
        <v>74</v>
      </c>
      <c r="AG1029" t="s">
        <v>74</v>
      </c>
      <c r="AH1029" t="s">
        <v>74</v>
      </c>
      <c r="AI1029" t="s">
        <v>74</v>
      </c>
      <c r="AJ1029" t="s">
        <v>74</v>
      </c>
      <c r="AK1029" t="s">
        <v>74</v>
      </c>
      <c r="AL1029" t="s">
        <v>74</v>
      </c>
      <c r="AM1029" t="s">
        <v>74</v>
      </c>
      <c r="AN1029" t="s">
        <v>74</v>
      </c>
      <c r="AO1029" t="s">
        <v>337</v>
      </c>
      <c r="AP1029" t="s">
        <v>338</v>
      </c>
      <c r="AQ1029" t="s">
        <v>74</v>
      </c>
      <c r="AR1029" t="s">
        <v>74</v>
      </c>
      <c r="AS1029" t="s">
        <v>74</v>
      </c>
      <c r="AT1029" t="s">
        <v>1038</v>
      </c>
      <c r="AU1029">
        <v>2015</v>
      </c>
      <c r="AV1029">
        <v>26</v>
      </c>
      <c r="AW1029">
        <v>2</v>
      </c>
      <c r="AX1029" t="s">
        <v>74</v>
      </c>
      <c r="AY1029" t="s">
        <v>74</v>
      </c>
      <c r="AZ1029" t="s">
        <v>74</v>
      </c>
      <c r="BA1029" t="s">
        <v>74</v>
      </c>
      <c r="BB1029">
        <v>609</v>
      </c>
      <c r="BC1029">
        <v>616</v>
      </c>
      <c r="BD1029" t="s">
        <v>74</v>
      </c>
      <c r="BE1029" t="s">
        <v>4583</v>
      </c>
      <c r="BF1029" t="str">
        <f>HYPERLINK("http://dx.doi.org/10.1093/beheco/aru242","http://dx.doi.org/10.1093/beheco/aru242")</f>
        <v>http://dx.doi.org/10.1093/beheco/aru242</v>
      </c>
      <c r="BG1029" t="s">
        <v>74</v>
      </c>
      <c r="BH1029" t="s">
        <v>74</v>
      </c>
      <c r="BI1029" t="s">
        <v>74</v>
      </c>
      <c r="BJ1029" t="s">
        <v>74</v>
      </c>
      <c r="BK1029" t="s">
        <v>74</v>
      </c>
      <c r="BL1029" t="s">
        <v>74</v>
      </c>
      <c r="BM1029" t="s">
        <v>74</v>
      </c>
      <c r="BN1029" t="s">
        <v>74</v>
      </c>
      <c r="BO1029" t="s">
        <v>74</v>
      </c>
      <c r="BP1029" t="s">
        <v>74</v>
      </c>
      <c r="BQ1029" t="s">
        <v>74</v>
      </c>
      <c r="BR1029" t="s">
        <v>74</v>
      </c>
      <c r="BS1029" t="s">
        <v>4584</v>
      </c>
      <c r="BT1029" t="str">
        <f>HYPERLINK("https%3A%2F%2Fwww.webofscience.com%2Fwos%2Fwoscc%2Ffull-record%2FWOS:000352271800043","View Full Record in Web of Science")</f>
        <v>View Full Record in Web of Science</v>
      </c>
    </row>
    <row r="1030" spans="1:72" x14ac:dyDescent="0.4">
      <c r="A1030" t="s">
        <v>72</v>
      </c>
      <c r="B1030" t="s">
        <v>8576</v>
      </c>
      <c r="C1030" t="s">
        <v>74</v>
      </c>
      <c r="D1030" t="s">
        <v>74</v>
      </c>
      <c r="E1030" t="s">
        <v>74</v>
      </c>
      <c r="F1030" t="s">
        <v>8577</v>
      </c>
      <c r="G1030" t="s">
        <v>74</v>
      </c>
      <c r="H1030" t="s">
        <v>74</v>
      </c>
      <c r="I1030" t="s">
        <v>8578</v>
      </c>
      <c r="J1030" t="s">
        <v>420</v>
      </c>
      <c r="K1030" t="s">
        <v>74</v>
      </c>
      <c r="L1030" t="s">
        <v>74</v>
      </c>
      <c r="M1030" t="s">
        <v>74</v>
      </c>
      <c r="N1030" t="s">
        <v>74</v>
      </c>
      <c r="O1030" t="s">
        <v>74</v>
      </c>
      <c r="P1030" t="s">
        <v>74</v>
      </c>
      <c r="Q1030" t="s">
        <v>74</v>
      </c>
      <c r="R1030" t="s">
        <v>74</v>
      </c>
      <c r="S1030" t="s">
        <v>74</v>
      </c>
      <c r="T1030" t="s">
        <v>74</v>
      </c>
      <c r="U1030" t="s">
        <v>74</v>
      </c>
      <c r="V1030" s="3" t="s">
        <v>8579</v>
      </c>
      <c r="W1030" t="s">
        <v>74</v>
      </c>
      <c r="X1030" t="s">
        <v>74</v>
      </c>
      <c r="Y1030" t="s">
        <v>74</v>
      </c>
      <c r="Z1030" t="s">
        <v>74</v>
      </c>
      <c r="AA1030" t="s">
        <v>74</v>
      </c>
      <c r="AB1030" t="s">
        <v>8580</v>
      </c>
      <c r="AC1030" t="s">
        <v>74</v>
      </c>
      <c r="AD1030" t="s">
        <v>74</v>
      </c>
      <c r="AE1030" t="s">
        <v>74</v>
      </c>
      <c r="AF1030" t="s">
        <v>74</v>
      </c>
      <c r="AG1030" t="s">
        <v>74</v>
      </c>
      <c r="AH1030" t="s">
        <v>74</v>
      </c>
      <c r="AI1030" t="s">
        <v>74</v>
      </c>
      <c r="AJ1030" t="s">
        <v>74</v>
      </c>
      <c r="AK1030" t="s">
        <v>74</v>
      </c>
      <c r="AL1030" t="s">
        <v>74</v>
      </c>
      <c r="AM1030" t="s">
        <v>74</v>
      </c>
      <c r="AN1030" t="s">
        <v>74</v>
      </c>
      <c r="AO1030" t="s">
        <v>424</v>
      </c>
      <c r="AP1030" t="s">
        <v>74</v>
      </c>
      <c r="AQ1030" t="s">
        <v>74</v>
      </c>
      <c r="AR1030" t="s">
        <v>74</v>
      </c>
      <c r="AS1030" t="s">
        <v>74</v>
      </c>
      <c r="AT1030" t="s">
        <v>8581</v>
      </c>
      <c r="AU1030">
        <v>2015</v>
      </c>
      <c r="AV1030">
        <v>15</v>
      </c>
      <c r="AW1030" t="s">
        <v>74</v>
      </c>
      <c r="AX1030" t="s">
        <v>74</v>
      </c>
      <c r="AY1030" t="s">
        <v>74</v>
      </c>
      <c r="AZ1030" t="s">
        <v>74</v>
      </c>
      <c r="BA1030" t="s">
        <v>74</v>
      </c>
      <c r="BB1030" t="s">
        <v>74</v>
      </c>
      <c r="BC1030" t="s">
        <v>74</v>
      </c>
      <c r="BD1030">
        <v>200</v>
      </c>
      <c r="BE1030" t="s">
        <v>8582</v>
      </c>
      <c r="BF1030" t="str">
        <f>HYPERLINK("http://dx.doi.org/10.1186/s12862-015-0481-3","http://dx.doi.org/10.1186/s12862-015-0481-3")</f>
        <v>http://dx.doi.org/10.1186/s12862-015-0481-3</v>
      </c>
      <c r="BG1030" t="s">
        <v>74</v>
      </c>
      <c r="BH1030" t="s">
        <v>74</v>
      </c>
      <c r="BI1030" t="s">
        <v>74</v>
      </c>
      <c r="BJ1030" t="s">
        <v>74</v>
      </c>
      <c r="BK1030" t="s">
        <v>74</v>
      </c>
      <c r="BL1030" t="s">
        <v>74</v>
      </c>
      <c r="BM1030" t="s">
        <v>74</v>
      </c>
      <c r="BN1030">
        <v>26385337</v>
      </c>
      <c r="BO1030" t="s">
        <v>74</v>
      </c>
      <c r="BP1030" t="s">
        <v>74</v>
      </c>
      <c r="BQ1030" t="s">
        <v>74</v>
      </c>
      <c r="BR1030" t="s">
        <v>74</v>
      </c>
      <c r="BS1030" t="s">
        <v>8583</v>
      </c>
      <c r="BT1030" t="str">
        <f>HYPERLINK("https%3A%2F%2Fwww.webofscience.com%2Fwos%2Fwoscc%2Ffull-record%2FWOS:000361510800001","View Full Record in Web of Science")</f>
        <v>View Full Record in Web of Science</v>
      </c>
    </row>
    <row r="1031" spans="1:72" x14ac:dyDescent="0.4">
      <c r="A1031" t="s">
        <v>72</v>
      </c>
      <c r="B1031" t="s">
        <v>5718</v>
      </c>
      <c r="C1031" t="s">
        <v>74</v>
      </c>
      <c r="D1031" t="s">
        <v>74</v>
      </c>
      <c r="E1031" t="s">
        <v>74</v>
      </c>
      <c r="F1031" t="s">
        <v>5719</v>
      </c>
      <c r="G1031" t="s">
        <v>74</v>
      </c>
      <c r="H1031" t="s">
        <v>74</v>
      </c>
      <c r="I1031" t="s">
        <v>5720</v>
      </c>
      <c r="J1031" t="s">
        <v>99</v>
      </c>
      <c r="K1031" t="s">
        <v>74</v>
      </c>
      <c r="L1031" t="s">
        <v>74</v>
      </c>
      <c r="M1031" t="s">
        <v>74</v>
      </c>
      <c r="N1031" t="s">
        <v>74</v>
      </c>
      <c r="O1031" t="s">
        <v>74</v>
      </c>
      <c r="P1031" t="s">
        <v>74</v>
      </c>
      <c r="Q1031" t="s">
        <v>74</v>
      </c>
      <c r="R1031" t="s">
        <v>74</v>
      </c>
      <c r="S1031" t="s">
        <v>74</v>
      </c>
      <c r="T1031" t="s">
        <v>74</v>
      </c>
      <c r="U1031" t="s">
        <v>74</v>
      </c>
      <c r="V1031" s="3" t="s">
        <v>5721</v>
      </c>
      <c r="W1031" t="s">
        <v>74</v>
      </c>
      <c r="X1031" t="s">
        <v>74</v>
      </c>
      <c r="Y1031" t="s">
        <v>74</v>
      </c>
      <c r="Z1031" t="s">
        <v>74</v>
      </c>
      <c r="AA1031" t="s">
        <v>74</v>
      </c>
      <c r="AB1031" t="s">
        <v>5722</v>
      </c>
      <c r="AC1031" t="s">
        <v>74</v>
      </c>
      <c r="AD1031" t="s">
        <v>74</v>
      </c>
      <c r="AE1031" t="s">
        <v>74</v>
      </c>
      <c r="AF1031" t="s">
        <v>74</v>
      </c>
      <c r="AG1031" t="s">
        <v>74</v>
      </c>
      <c r="AH1031" t="s">
        <v>74</v>
      </c>
      <c r="AI1031" t="s">
        <v>74</v>
      </c>
      <c r="AJ1031" t="s">
        <v>74</v>
      </c>
      <c r="AK1031" t="s">
        <v>74</v>
      </c>
      <c r="AL1031" t="s">
        <v>74</v>
      </c>
      <c r="AM1031" t="s">
        <v>74</v>
      </c>
      <c r="AN1031" t="s">
        <v>74</v>
      </c>
      <c r="AO1031" t="s">
        <v>101</v>
      </c>
      <c r="AP1031" t="s">
        <v>1218</v>
      </c>
      <c r="AQ1031" t="s">
        <v>74</v>
      </c>
      <c r="AR1031" t="s">
        <v>74</v>
      </c>
      <c r="AS1031" t="s">
        <v>74</v>
      </c>
      <c r="AT1031" t="s">
        <v>123</v>
      </c>
      <c r="AU1031">
        <v>2018</v>
      </c>
      <c r="AV1031">
        <v>130</v>
      </c>
      <c r="AW1031">
        <v>1</v>
      </c>
      <c r="AX1031" t="s">
        <v>74</v>
      </c>
      <c r="AY1031" t="s">
        <v>74</v>
      </c>
      <c r="AZ1031" t="s">
        <v>74</v>
      </c>
      <c r="BA1031" t="s">
        <v>74</v>
      </c>
      <c r="BB1031">
        <v>286</v>
      </c>
      <c r="BC1031">
        <v>296</v>
      </c>
      <c r="BD1031" t="s">
        <v>74</v>
      </c>
      <c r="BE1031" t="s">
        <v>74</v>
      </c>
      <c r="BF1031" t="s">
        <v>74</v>
      </c>
      <c r="BG1031" t="s">
        <v>74</v>
      </c>
      <c r="BH1031" t="s">
        <v>74</v>
      </c>
      <c r="BI1031" t="s">
        <v>74</v>
      </c>
      <c r="BJ1031" t="s">
        <v>74</v>
      </c>
      <c r="BK1031" t="s">
        <v>74</v>
      </c>
      <c r="BL1031" t="s">
        <v>74</v>
      </c>
      <c r="BM1031" t="s">
        <v>74</v>
      </c>
      <c r="BN1031" t="s">
        <v>74</v>
      </c>
      <c r="BO1031" t="s">
        <v>74</v>
      </c>
      <c r="BP1031" t="s">
        <v>74</v>
      </c>
      <c r="BQ1031" t="s">
        <v>74</v>
      </c>
      <c r="BR1031" t="s">
        <v>74</v>
      </c>
      <c r="BS1031" t="s">
        <v>5723</v>
      </c>
      <c r="BT1031" t="str">
        <f>HYPERLINK("https%3A%2F%2Fwww.webofscience.com%2Fwos%2Fwoscc%2Ffull-record%2FWOS:000430954100023","View Full Record in Web of Science")</f>
        <v>View Full Record in Web of Science</v>
      </c>
    </row>
    <row r="1032" spans="1:72" x14ac:dyDescent="0.4">
      <c r="A1032" t="s">
        <v>72</v>
      </c>
      <c r="B1032" t="s">
        <v>714</v>
      </c>
      <c r="C1032" t="s">
        <v>74</v>
      </c>
      <c r="D1032" t="s">
        <v>74</v>
      </c>
      <c r="E1032" t="s">
        <v>74</v>
      </c>
      <c r="F1032" t="s">
        <v>715</v>
      </c>
      <c r="G1032" t="s">
        <v>74</v>
      </c>
      <c r="H1032" t="s">
        <v>74</v>
      </c>
      <c r="I1032" t="s">
        <v>716</v>
      </c>
      <c r="J1032" t="s">
        <v>456</v>
      </c>
      <c r="K1032" t="s">
        <v>74</v>
      </c>
      <c r="L1032" t="s">
        <v>74</v>
      </c>
      <c r="M1032" t="s">
        <v>74</v>
      </c>
      <c r="N1032" t="s">
        <v>74</v>
      </c>
      <c r="O1032" t="s">
        <v>74</v>
      </c>
      <c r="P1032" t="s">
        <v>74</v>
      </c>
      <c r="Q1032" t="s">
        <v>74</v>
      </c>
      <c r="R1032" t="s">
        <v>74</v>
      </c>
      <c r="S1032" t="s">
        <v>74</v>
      </c>
      <c r="T1032" t="s">
        <v>74</v>
      </c>
      <c r="U1032" t="s">
        <v>74</v>
      </c>
      <c r="V1032" s="3" t="s">
        <v>717</v>
      </c>
      <c r="W1032" t="s">
        <v>74</v>
      </c>
      <c r="X1032" t="s">
        <v>74</v>
      </c>
      <c r="Y1032" t="s">
        <v>74</v>
      </c>
      <c r="Z1032" t="s">
        <v>74</v>
      </c>
      <c r="AA1032" t="s">
        <v>718</v>
      </c>
      <c r="AB1032" t="s">
        <v>719</v>
      </c>
      <c r="AC1032" t="s">
        <v>74</v>
      </c>
      <c r="AD1032" t="s">
        <v>74</v>
      </c>
      <c r="AE1032" t="s">
        <v>74</v>
      </c>
      <c r="AF1032" t="s">
        <v>74</v>
      </c>
      <c r="AG1032" t="s">
        <v>74</v>
      </c>
      <c r="AH1032" t="s">
        <v>74</v>
      </c>
      <c r="AI1032" t="s">
        <v>74</v>
      </c>
      <c r="AJ1032" t="s">
        <v>74</v>
      </c>
      <c r="AK1032" t="s">
        <v>74</v>
      </c>
      <c r="AL1032" t="s">
        <v>74</v>
      </c>
      <c r="AM1032" t="s">
        <v>74</v>
      </c>
      <c r="AN1032" t="s">
        <v>74</v>
      </c>
      <c r="AO1032" t="s">
        <v>460</v>
      </c>
      <c r="AP1032" t="s">
        <v>461</v>
      </c>
      <c r="AQ1032" t="s">
        <v>74</v>
      </c>
      <c r="AR1032" t="s">
        <v>74</v>
      </c>
      <c r="AS1032" t="s">
        <v>74</v>
      </c>
      <c r="AT1032" t="s">
        <v>633</v>
      </c>
      <c r="AU1032">
        <v>2018</v>
      </c>
      <c r="AV1032">
        <v>304</v>
      </c>
      <c r="AW1032">
        <v>4</v>
      </c>
      <c r="AX1032" t="s">
        <v>74</v>
      </c>
      <c r="AY1032" t="s">
        <v>74</v>
      </c>
      <c r="AZ1032" t="s">
        <v>74</v>
      </c>
      <c r="BA1032" t="s">
        <v>74</v>
      </c>
      <c r="BB1032">
        <v>260</v>
      </c>
      <c r="BC1032">
        <v>267</v>
      </c>
      <c r="BD1032" t="s">
        <v>74</v>
      </c>
      <c r="BE1032" t="s">
        <v>720</v>
      </c>
      <c r="BF1032" t="str">
        <f>HYPERLINK("http://dx.doi.org/10.1111/jzo.12524","http://dx.doi.org/10.1111/jzo.12524")</f>
        <v>http://dx.doi.org/10.1111/jzo.12524</v>
      </c>
      <c r="BG1032" t="s">
        <v>74</v>
      </c>
      <c r="BH1032" t="s">
        <v>74</v>
      </c>
      <c r="BI1032" t="s">
        <v>74</v>
      </c>
      <c r="BJ1032" t="s">
        <v>74</v>
      </c>
      <c r="BK1032" t="s">
        <v>74</v>
      </c>
      <c r="BL1032" t="s">
        <v>74</v>
      </c>
      <c r="BM1032" t="s">
        <v>74</v>
      </c>
      <c r="BN1032" t="s">
        <v>74</v>
      </c>
      <c r="BO1032" t="s">
        <v>74</v>
      </c>
      <c r="BP1032" t="s">
        <v>74</v>
      </c>
      <c r="BQ1032" t="s">
        <v>74</v>
      </c>
      <c r="BR1032" t="s">
        <v>74</v>
      </c>
      <c r="BS1032" t="s">
        <v>721</v>
      </c>
      <c r="BT1032" t="str">
        <f>HYPERLINK("https%3A%2F%2Fwww.webofscience.com%2Fwos%2Fwoscc%2Ffull-record%2FWOS:000429420900005","View Full Record in Web of Science")</f>
        <v>View Full Record in Web of Science</v>
      </c>
    </row>
    <row r="1033" spans="1:72" x14ac:dyDescent="0.4">
      <c r="A1033" t="s">
        <v>72</v>
      </c>
      <c r="B1033" t="s">
        <v>4325</v>
      </c>
      <c r="C1033" t="s">
        <v>74</v>
      </c>
      <c r="D1033" t="s">
        <v>74</v>
      </c>
      <c r="E1033" t="s">
        <v>74</v>
      </c>
      <c r="F1033" t="s">
        <v>4326</v>
      </c>
      <c r="G1033" t="s">
        <v>74</v>
      </c>
      <c r="H1033" t="s">
        <v>74</v>
      </c>
      <c r="I1033" t="s">
        <v>4327</v>
      </c>
      <c r="J1033" t="s">
        <v>1673</v>
      </c>
      <c r="K1033" t="s">
        <v>74</v>
      </c>
      <c r="L1033" t="s">
        <v>74</v>
      </c>
      <c r="M1033" t="s">
        <v>74</v>
      </c>
      <c r="N1033" t="s">
        <v>74</v>
      </c>
      <c r="O1033" t="s">
        <v>74</v>
      </c>
      <c r="P1033" t="s">
        <v>74</v>
      </c>
      <c r="Q1033" t="s">
        <v>74</v>
      </c>
      <c r="R1033" t="s">
        <v>74</v>
      </c>
      <c r="S1033" t="s">
        <v>74</v>
      </c>
      <c r="T1033" t="s">
        <v>74</v>
      </c>
      <c r="U1033" t="s">
        <v>74</v>
      </c>
      <c r="V1033" s="3" t="s">
        <v>4328</v>
      </c>
      <c r="W1033" t="s">
        <v>74</v>
      </c>
      <c r="X1033" t="s">
        <v>74</v>
      </c>
      <c r="Y1033" t="s">
        <v>74</v>
      </c>
      <c r="Z1033" t="s">
        <v>74</v>
      </c>
      <c r="AA1033" t="s">
        <v>74</v>
      </c>
      <c r="AB1033" t="s">
        <v>74</v>
      </c>
      <c r="AC1033" t="s">
        <v>74</v>
      </c>
      <c r="AD1033" t="s">
        <v>74</v>
      </c>
      <c r="AE1033" t="s">
        <v>74</v>
      </c>
      <c r="AF1033" t="s">
        <v>74</v>
      </c>
      <c r="AG1033" t="s">
        <v>74</v>
      </c>
      <c r="AH1033" t="s">
        <v>74</v>
      </c>
      <c r="AI1033" t="s">
        <v>74</v>
      </c>
      <c r="AJ1033" t="s">
        <v>74</v>
      </c>
      <c r="AK1033" t="s">
        <v>74</v>
      </c>
      <c r="AL1033" t="s">
        <v>74</v>
      </c>
      <c r="AM1033" t="s">
        <v>74</v>
      </c>
      <c r="AN1033" t="s">
        <v>74</v>
      </c>
      <c r="AO1033" t="s">
        <v>1239</v>
      </c>
      <c r="AP1033" t="s">
        <v>1675</v>
      </c>
      <c r="AQ1033" t="s">
        <v>74</v>
      </c>
      <c r="AR1033" t="s">
        <v>74</v>
      </c>
      <c r="AS1033" t="s">
        <v>74</v>
      </c>
      <c r="AT1033" t="s">
        <v>213</v>
      </c>
      <c r="AU1033">
        <v>2022</v>
      </c>
      <c r="AV1033">
        <v>100</v>
      </c>
      <c r="AW1033">
        <v>11</v>
      </c>
      <c r="AX1033" t="s">
        <v>74</v>
      </c>
      <c r="AY1033" t="s">
        <v>74</v>
      </c>
      <c r="AZ1033" t="s">
        <v>74</v>
      </c>
      <c r="BA1033" t="s">
        <v>74</v>
      </c>
      <c r="BB1033">
        <v>747</v>
      </c>
      <c r="BC1033">
        <v>756</v>
      </c>
      <c r="BD1033" t="s">
        <v>74</v>
      </c>
      <c r="BE1033" t="s">
        <v>4329</v>
      </c>
      <c r="BF1033" t="str">
        <f>HYPERLINK("http://dx.doi.org/10.1139/cjz-2022-0064747","http://dx.doi.org/10.1139/cjz-2022-0064747")</f>
        <v>http://dx.doi.org/10.1139/cjz-2022-0064747</v>
      </c>
      <c r="BG1033" t="s">
        <v>74</v>
      </c>
      <c r="BH1033" t="s">
        <v>74</v>
      </c>
      <c r="BI1033" t="s">
        <v>74</v>
      </c>
      <c r="BJ1033" t="s">
        <v>74</v>
      </c>
      <c r="BK1033" t="s">
        <v>74</v>
      </c>
      <c r="BL1033" t="s">
        <v>74</v>
      </c>
      <c r="BM1033" t="s">
        <v>74</v>
      </c>
      <c r="BN1033" t="s">
        <v>74</v>
      </c>
      <c r="BO1033" t="s">
        <v>74</v>
      </c>
      <c r="BP1033" t="s">
        <v>74</v>
      </c>
      <c r="BQ1033" t="s">
        <v>74</v>
      </c>
      <c r="BR1033" t="s">
        <v>74</v>
      </c>
      <c r="BS1033" t="s">
        <v>4330</v>
      </c>
      <c r="BT1033" t="str">
        <f>HYPERLINK("https%3A%2F%2Fwww.webofscience.com%2Fwos%2Fwoscc%2Ffull-record%2FWOS:000879975200002","View Full Record in Web of Science")</f>
        <v>View Full Record in Web of Science</v>
      </c>
    </row>
    <row r="1034" spans="1:72" x14ac:dyDescent="0.4">
      <c r="A1034" t="s">
        <v>72</v>
      </c>
      <c r="B1034" t="s">
        <v>4325</v>
      </c>
      <c r="C1034" t="s">
        <v>74</v>
      </c>
      <c r="D1034" t="s">
        <v>74</v>
      </c>
      <c r="E1034" t="s">
        <v>74</v>
      </c>
      <c r="F1034" t="s">
        <v>4326</v>
      </c>
      <c r="G1034" t="s">
        <v>74</v>
      </c>
      <c r="H1034" t="s">
        <v>74</v>
      </c>
      <c r="I1034" t="s">
        <v>4337</v>
      </c>
      <c r="J1034" t="s">
        <v>1673</v>
      </c>
      <c r="K1034" t="s">
        <v>74</v>
      </c>
      <c r="L1034" t="s">
        <v>74</v>
      </c>
      <c r="M1034" t="s">
        <v>74</v>
      </c>
      <c r="N1034" t="s">
        <v>74</v>
      </c>
      <c r="O1034" t="s">
        <v>74</v>
      </c>
      <c r="P1034" t="s">
        <v>74</v>
      </c>
      <c r="Q1034" t="s">
        <v>74</v>
      </c>
      <c r="R1034" t="s">
        <v>74</v>
      </c>
      <c r="S1034" t="s">
        <v>74</v>
      </c>
      <c r="T1034" t="s">
        <v>74</v>
      </c>
      <c r="U1034" t="s">
        <v>74</v>
      </c>
      <c r="V1034" s="3" t="s">
        <v>4328</v>
      </c>
      <c r="W1034" t="s">
        <v>74</v>
      </c>
      <c r="X1034" t="s">
        <v>74</v>
      </c>
      <c r="Y1034" t="s">
        <v>74</v>
      </c>
      <c r="Z1034" t="s">
        <v>74</v>
      </c>
      <c r="AA1034" t="s">
        <v>74</v>
      </c>
      <c r="AB1034" t="s">
        <v>74</v>
      </c>
      <c r="AC1034" t="s">
        <v>74</v>
      </c>
      <c r="AD1034" t="s">
        <v>74</v>
      </c>
      <c r="AE1034" t="s">
        <v>74</v>
      </c>
      <c r="AF1034" t="s">
        <v>74</v>
      </c>
      <c r="AG1034" t="s">
        <v>74</v>
      </c>
      <c r="AH1034" t="s">
        <v>74</v>
      </c>
      <c r="AI1034" t="s">
        <v>74</v>
      </c>
      <c r="AJ1034" t="s">
        <v>74</v>
      </c>
      <c r="AK1034" t="s">
        <v>74</v>
      </c>
      <c r="AL1034" t="s">
        <v>74</v>
      </c>
      <c r="AM1034" t="s">
        <v>74</v>
      </c>
      <c r="AN1034" t="s">
        <v>74</v>
      </c>
      <c r="AO1034" t="s">
        <v>1239</v>
      </c>
      <c r="AP1034" t="s">
        <v>1675</v>
      </c>
      <c r="AQ1034" t="s">
        <v>74</v>
      </c>
      <c r="AR1034" t="s">
        <v>74</v>
      </c>
      <c r="AS1034" t="s">
        <v>74</v>
      </c>
      <c r="AT1034" t="s">
        <v>4338</v>
      </c>
      <c r="AU1034">
        <v>2022</v>
      </c>
      <c r="AV1034" t="s">
        <v>74</v>
      </c>
      <c r="AW1034" t="s">
        <v>74</v>
      </c>
      <c r="AX1034" t="s">
        <v>74</v>
      </c>
      <c r="AY1034" t="s">
        <v>74</v>
      </c>
      <c r="AZ1034" t="s">
        <v>74</v>
      </c>
      <c r="BA1034" t="s">
        <v>74</v>
      </c>
      <c r="BB1034" t="s">
        <v>74</v>
      </c>
      <c r="BC1034" t="s">
        <v>74</v>
      </c>
      <c r="BD1034" t="s">
        <v>74</v>
      </c>
      <c r="BE1034" t="s">
        <v>4339</v>
      </c>
      <c r="BF1034" t="str">
        <f>HYPERLINK("http://dx.doi.org/10.1139/cjz-2022-0064","http://dx.doi.org/10.1139/cjz-2022-0064")</f>
        <v>http://dx.doi.org/10.1139/cjz-2022-0064</v>
      </c>
      <c r="BG1034" t="s">
        <v>74</v>
      </c>
      <c r="BH1034" t="s">
        <v>3406</v>
      </c>
      <c r="BI1034" t="s">
        <v>74</v>
      </c>
      <c r="BJ1034" t="s">
        <v>74</v>
      </c>
      <c r="BK1034" t="s">
        <v>74</v>
      </c>
      <c r="BL1034" t="s">
        <v>74</v>
      </c>
      <c r="BM1034" t="s">
        <v>74</v>
      </c>
      <c r="BN1034" t="s">
        <v>74</v>
      </c>
      <c r="BO1034" t="s">
        <v>74</v>
      </c>
      <c r="BP1034" t="s">
        <v>74</v>
      </c>
      <c r="BQ1034" t="s">
        <v>74</v>
      </c>
      <c r="BR1034" t="s">
        <v>74</v>
      </c>
      <c r="BS1034" t="s">
        <v>4340</v>
      </c>
      <c r="BT1034" t="str">
        <f>HYPERLINK("https%3A%2F%2Fwww.webofscience.com%2Fwos%2Fwoscc%2Ffull-record%2FWOS:000857570800001","View Full Record in Web of Science")</f>
        <v>View Full Record in Web of Science</v>
      </c>
    </row>
    <row r="1035" spans="1:72" x14ac:dyDescent="0.4">
      <c r="A1035" t="s">
        <v>72</v>
      </c>
      <c r="B1035" t="s">
        <v>2014</v>
      </c>
      <c r="C1035" t="s">
        <v>74</v>
      </c>
      <c r="D1035" t="s">
        <v>74</v>
      </c>
      <c r="E1035" t="s">
        <v>74</v>
      </c>
      <c r="F1035" t="s">
        <v>2015</v>
      </c>
      <c r="G1035" t="s">
        <v>74</v>
      </c>
      <c r="H1035" t="s">
        <v>74</v>
      </c>
      <c r="I1035" t="s">
        <v>2016</v>
      </c>
      <c r="J1035" t="s">
        <v>2017</v>
      </c>
      <c r="K1035" t="s">
        <v>74</v>
      </c>
      <c r="L1035" t="s">
        <v>74</v>
      </c>
      <c r="M1035" t="s">
        <v>74</v>
      </c>
      <c r="N1035" t="s">
        <v>74</v>
      </c>
      <c r="O1035" t="s">
        <v>74</v>
      </c>
      <c r="P1035" t="s">
        <v>74</v>
      </c>
      <c r="Q1035" t="s">
        <v>74</v>
      </c>
      <c r="R1035" t="s">
        <v>74</v>
      </c>
      <c r="S1035" t="s">
        <v>74</v>
      </c>
      <c r="T1035" t="s">
        <v>74</v>
      </c>
      <c r="U1035" t="s">
        <v>74</v>
      </c>
      <c r="V1035" s="3" t="s">
        <v>2018</v>
      </c>
      <c r="W1035" t="s">
        <v>74</v>
      </c>
      <c r="X1035" t="s">
        <v>74</v>
      </c>
      <c r="Y1035" t="s">
        <v>74</v>
      </c>
      <c r="Z1035" t="s">
        <v>74</v>
      </c>
      <c r="AA1035" t="s">
        <v>2019</v>
      </c>
      <c r="AB1035" t="s">
        <v>2020</v>
      </c>
      <c r="AC1035" t="s">
        <v>74</v>
      </c>
      <c r="AD1035" t="s">
        <v>74</v>
      </c>
      <c r="AE1035" t="s">
        <v>74</v>
      </c>
      <c r="AF1035" t="s">
        <v>74</v>
      </c>
      <c r="AG1035" t="s">
        <v>74</v>
      </c>
      <c r="AH1035" t="s">
        <v>74</v>
      </c>
      <c r="AI1035" t="s">
        <v>74</v>
      </c>
      <c r="AJ1035" t="s">
        <v>74</v>
      </c>
      <c r="AK1035" t="s">
        <v>74</v>
      </c>
      <c r="AL1035" t="s">
        <v>74</v>
      </c>
      <c r="AM1035" t="s">
        <v>74</v>
      </c>
      <c r="AN1035" t="s">
        <v>74</v>
      </c>
      <c r="AO1035" t="s">
        <v>2021</v>
      </c>
      <c r="AP1035" t="s">
        <v>74</v>
      </c>
      <c r="AQ1035" t="s">
        <v>74</v>
      </c>
      <c r="AR1035" t="s">
        <v>74</v>
      </c>
      <c r="AS1035" t="s">
        <v>74</v>
      </c>
      <c r="AT1035" t="s">
        <v>2022</v>
      </c>
      <c r="AU1035">
        <v>2021</v>
      </c>
      <c r="AV1035">
        <v>9</v>
      </c>
      <c r="AW1035" t="s">
        <v>74</v>
      </c>
      <c r="AX1035" t="s">
        <v>74</v>
      </c>
      <c r="AY1035" t="s">
        <v>74</v>
      </c>
      <c r="AZ1035" t="s">
        <v>74</v>
      </c>
      <c r="BA1035" t="s">
        <v>74</v>
      </c>
      <c r="BB1035" t="s">
        <v>74</v>
      </c>
      <c r="BC1035" t="s">
        <v>74</v>
      </c>
      <c r="BD1035">
        <v>589781</v>
      </c>
      <c r="BE1035" t="s">
        <v>2023</v>
      </c>
      <c r="BF1035" t="str">
        <f>HYPERLINK("http://dx.doi.org/10.3389/fevo.2021.589781","http://dx.doi.org/10.3389/fevo.2021.589781")</f>
        <v>http://dx.doi.org/10.3389/fevo.2021.589781</v>
      </c>
      <c r="BG1035" t="s">
        <v>74</v>
      </c>
      <c r="BH1035" t="s">
        <v>74</v>
      </c>
      <c r="BI1035" t="s">
        <v>74</v>
      </c>
      <c r="BJ1035" t="s">
        <v>74</v>
      </c>
      <c r="BK1035" t="s">
        <v>74</v>
      </c>
      <c r="BL1035" t="s">
        <v>74</v>
      </c>
      <c r="BM1035" t="s">
        <v>74</v>
      </c>
      <c r="BN1035" t="s">
        <v>74</v>
      </c>
      <c r="BO1035" t="s">
        <v>74</v>
      </c>
      <c r="BP1035" t="s">
        <v>74</v>
      </c>
      <c r="BQ1035" t="s">
        <v>74</v>
      </c>
      <c r="BR1035" t="s">
        <v>74</v>
      </c>
      <c r="BS1035" t="s">
        <v>2024</v>
      </c>
      <c r="BT1035" t="str">
        <f>HYPERLINK("https%3A%2F%2Fwww.webofscience.com%2Fwos%2Fwoscc%2Ffull-record%2FWOS:000645123900001","View Full Record in Web of Science")</f>
        <v>View Full Record in Web of Science</v>
      </c>
    </row>
    <row r="1036" spans="1:72" x14ac:dyDescent="0.4">
      <c r="A1036" t="s">
        <v>72</v>
      </c>
      <c r="B1036" t="s">
        <v>3835</v>
      </c>
      <c r="C1036" t="s">
        <v>74</v>
      </c>
      <c r="D1036" t="s">
        <v>74</v>
      </c>
      <c r="E1036" t="s">
        <v>74</v>
      </c>
      <c r="F1036" t="s">
        <v>3836</v>
      </c>
      <c r="G1036" t="s">
        <v>74</v>
      </c>
      <c r="H1036" t="s">
        <v>74</v>
      </c>
      <c r="I1036" t="s">
        <v>3837</v>
      </c>
      <c r="J1036" t="s">
        <v>824</v>
      </c>
      <c r="K1036" t="s">
        <v>74</v>
      </c>
      <c r="L1036" t="s">
        <v>74</v>
      </c>
      <c r="M1036" t="s">
        <v>74</v>
      </c>
      <c r="N1036" t="s">
        <v>74</v>
      </c>
      <c r="O1036" t="s">
        <v>74</v>
      </c>
      <c r="P1036" t="s">
        <v>74</v>
      </c>
      <c r="Q1036" t="s">
        <v>74</v>
      </c>
      <c r="R1036" t="s">
        <v>74</v>
      </c>
      <c r="S1036" t="s">
        <v>74</v>
      </c>
      <c r="T1036" t="s">
        <v>74</v>
      </c>
      <c r="U1036" t="s">
        <v>74</v>
      </c>
      <c r="V1036" s="3" t="s">
        <v>3838</v>
      </c>
      <c r="W1036" t="s">
        <v>74</v>
      </c>
      <c r="X1036" t="s">
        <v>74</v>
      </c>
      <c r="Y1036" t="s">
        <v>74</v>
      </c>
      <c r="Z1036" t="s">
        <v>74</v>
      </c>
      <c r="AA1036" t="s">
        <v>3839</v>
      </c>
      <c r="AB1036" t="s">
        <v>3840</v>
      </c>
      <c r="AC1036" t="s">
        <v>74</v>
      </c>
      <c r="AD1036" t="s">
        <v>74</v>
      </c>
      <c r="AE1036" t="s">
        <v>74</v>
      </c>
      <c r="AF1036" t="s">
        <v>74</v>
      </c>
      <c r="AG1036" t="s">
        <v>74</v>
      </c>
      <c r="AH1036" t="s">
        <v>74</v>
      </c>
      <c r="AI1036" t="s">
        <v>74</v>
      </c>
      <c r="AJ1036" t="s">
        <v>74</v>
      </c>
      <c r="AK1036" t="s">
        <v>74</v>
      </c>
      <c r="AL1036" t="s">
        <v>74</v>
      </c>
      <c r="AM1036" t="s">
        <v>74</v>
      </c>
      <c r="AN1036" t="s">
        <v>74</v>
      </c>
      <c r="AO1036" t="s">
        <v>828</v>
      </c>
      <c r="AP1036" t="s">
        <v>829</v>
      </c>
      <c r="AQ1036" t="s">
        <v>74</v>
      </c>
      <c r="AR1036" t="s">
        <v>74</v>
      </c>
      <c r="AS1036" t="s">
        <v>74</v>
      </c>
      <c r="AT1036" t="s">
        <v>352</v>
      </c>
      <c r="AU1036">
        <v>2017</v>
      </c>
      <c r="AV1036">
        <v>86</v>
      </c>
      <c r="AW1036">
        <v>5</v>
      </c>
      <c r="AX1036" t="s">
        <v>74</v>
      </c>
      <c r="AY1036" t="s">
        <v>74</v>
      </c>
      <c r="AZ1036" t="s">
        <v>74</v>
      </c>
      <c r="BA1036" t="s">
        <v>74</v>
      </c>
      <c r="BB1036">
        <v>1044</v>
      </c>
      <c r="BC1036">
        <v>1053</v>
      </c>
      <c r="BD1036" t="s">
        <v>74</v>
      </c>
      <c r="BE1036" t="s">
        <v>3841</v>
      </c>
      <c r="BF1036" t="str">
        <f>HYPERLINK("http://dx.doi.org/10.1111/1365-2656.12693","http://dx.doi.org/10.1111/1365-2656.12693")</f>
        <v>http://dx.doi.org/10.1111/1365-2656.12693</v>
      </c>
      <c r="BG1036" t="s">
        <v>74</v>
      </c>
      <c r="BH1036" t="s">
        <v>74</v>
      </c>
      <c r="BI1036" t="s">
        <v>74</v>
      </c>
      <c r="BJ1036" t="s">
        <v>74</v>
      </c>
      <c r="BK1036" t="s">
        <v>74</v>
      </c>
      <c r="BL1036" t="s">
        <v>74</v>
      </c>
      <c r="BM1036" t="s">
        <v>74</v>
      </c>
      <c r="BN1036">
        <v>28502118</v>
      </c>
      <c r="BO1036" t="s">
        <v>74</v>
      </c>
      <c r="BP1036" t="s">
        <v>74</v>
      </c>
      <c r="BQ1036" t="s">
        <v>74</v>
      </c>
      <c r="BR1036" t="s">
        <v>74</v>
      </c>
      <c r="BS1036" t="s">
        <v>3842</v>
      </c>
      <c r="BT1036" t="str">
        <f>HYPERLINK("https%3A%2F%2Fwww.webofscience.com%2Fwos%2Fwoscc%2Ffull-record%2FWOS:000407320500007","View Full Record in Web of Science")</f>
        <v>View Full Record in Web of Science</v>
      </c>
    </row>
    <row r="1037" spans="1:72" x14ac:dyDescent="0.4">
      <c r="A1037" t="s">
        <v>72</v>
      </c>
      <c r="B1037" t="s">
        <v>1554</v>
      </c>
      <c r="C1037" t="s">
        <v>74</v>
      </c>
      <c r="D1037" t="s">
        <v>74</v>
      </c>
      <c r="E1037" t="s">
        <v>74</v>
      </c>
      <c r="F1037" t="s">
        <v>1555</v>
      </c>
      <c r="G1037" t="s">
        <v>74</v>
      </c>
      <c r="H1037" t="s">
        <v>74</v>
      </c>
      <c r="I1037" t="s">
        <v>1556</v>
      </c>
      <c r="J1037" t="s">
        <v>1557</v>
      </c>
      <c r="K1037" t="s">
        <v>74</v>
      </c>
      <c r="L1037" t="s">
        <v>74</v>
      </c>
      <c r="M1037" t="s">
        <v>74</v>
      </c>
      <c r="N1037" t="s">
        <v>74</v>
      </c>
      <c r="O1037" t="s">
        <v>74</v>
      </c>
      <c r="P1037" t="s">
        <v>74</v>
      </c>
      <c r="Q1037" t="s">
        <v>74</v>
      </c>
      <c r="R1037" t="s">
        <v>74</v>
      </c>
      <c r="S1037" t="s">
        <v>74</v>
      </c>
      <c r="T1037" t="s">
        <v>74</v>
      </c>
      <c r="U1037" t="s">
        <v>74</v>
      </c>
      <c r="V1037" s="3" t="s">
        <v>1558</v>
      </c>
      <c r="W1037" t="s">
        <v>74</v>
      </c>
      <c r="X1037" t="s">
        <v>74</v>
      </c>
      <c r="Y1037" t="s">
        <v>74</v>
      </c>
      <c r="Z1037" t="s">
        <v>74</v>
      </c>
      <c r="AA1037" t="s">
        <v>1559</v>
      </c>
      <c r="AB1037" t="s">
        <v>1560</v>
      </c>
      <c r="AC1037" t="s">
        <v>74</v>
      </c>
      <c r="AD1037" t="s">
        <v>74</v>
      </c>
      <c r="AE1037" t="s">
        <v>74</v>
      </c>
      <c r="AF1037" t="s">
        <v>74</v>
      </c>
      <c r="AG1037" t="s">
        <v>74</v>
      </c>
      <c r="AH1037" t="s">
        <v>74</v>
      </c>
      <c r="AI1037" t="s">
        <v>74</v>
      </c>
      <c r="AJ1037" t="s">
        <v>74</v>
      </c>
      <c r="AK1037" t="s">
        <v>74</v>
      </c>
      <c r="AL1037" t="s">
        <v>74</v>
      </c>
      <c r="AM1037" t="s">
        <v>74</v>
      </c>
      <c r="AN1037" t="s">
        <v>74</v>
      </c>
      <c r="AO1037" t="s">
        <v>1561</v>
      </c>
      <c r="AP1037" t="s">
        <v>1562</v>
      </c>
      <c r="AQ1037" t="s">
        <v>74</v>
      </c>
      <c r="AR1037" t="s">
        <v>74</v>
      </c>
      <c r="AS1037" t="s">
        <v>74</v>
      </c>
      <c r="AT1037" t="s">
        <v>361</v>
      </c>
      <c r="AU1037">
        <v>2013</v>
      </c>
      <c r="AV1037">
        <v>46</v>
      </c>
      <c r="AW1037">
        <v>3</v>
      </c>
      <c r="AX1037" t="s">
        <v>74</v>
      </c>
      <c r="AY1037" t="s">
        <v>74</v>
      </c>
      <c r="AZ1037" t="s">
        <v>74</v>
      </c>
      <c r="BA1037" t="s">
        <v>74</v>
      </c>
      <c r="BB1037">
        <v>183</v>
      </c>
      <c r="BC1037">
        <v>190</v>
      </c>
      <c r="BD1037" t="s">
        <v>74</v>
      </c>
      <c r="BE1037" t="s">
        <v>1563</v>
      </c>
      <c r="BF1037" t="str">
        <f>HYPERLINK("http://dx.doi.org/10.1080/10236244.2013.805053","http://dx.doi.org/10.1080/10236244.2013.805053")</f>
        <v>http://dx.doi.org/10.1080/10236244.2013.805053</v>
      </c>
      <c r="BG1037" t="s">
        <v>74</v>
      </c>
      <c r="BH1037" t="s">
        <v>74</v>
      </c>
      <c r="BI1037" t="s">
        <v>74</v>
      </c>
      <c r="BJ1037" t="s">
        <v>74</v>
      </c>
      <c r="BK1037" t="s">
        <v>74</v>
      </c>
      <c r="BL1037" t="s">
        <v>74</v>
      </c>
      <c r="BM1037" t="s">
        <v>74</v>
      </c>
      <c r="BN1037" t="s">
        <v>74</v>
      </c>
      <c r="BO1037" t="s">
        <v>74</v>
      </c>
      <c r="BP1037" t="s">
        <v>74</v>
      </c>
      <c r="BQ1037" t="s">
        <v>74</v>
      </c>
      <c r="BR1037" t="s">
        <v>74</v>
      </c>
      <c r="BS1037" t="s">
        <v>1564</v>
      </c>
      <c r="BT1037" t="str">
        <f>HYPERLINK("https%3A%2F%2Fwww.webofscience.com%2Fwos%2Fwoscc%2Ffull-record%2FWOS:000320570200004","View Full Record in Web of Science")</f>
        <v>View Full Record in Web of Science</v>
      </c>
    </row>
    <row r="1038" spans="1:72" x14ac:dyDescent="0.4">
      <c r="A1038" t="s">
        <v>72</v>
      </c>
      <c r="B1038" t="s">
        <v>1283</v>
      </c>
      <c r="C1038" t="s">
        <v>74</v>
      </c>
      <c r="D1038" t="s">
        <v>74</v>
      </c>
      <c r="E1038" t="s">
        <v>74</v>
      </c>
      <c r="F1038" t="s">
        <v>1284</v>
      </c>
      <c r="G1038" t="s">
        <v>74</v>
      </c>
      <c r="H1038" t="s">
        <v>74</v>
      </c>
      <c r="I1038" t="s">
        <v>1285</v>
      </c>
      <c r="J1038" t="s">
        <v>654</v>
      </c>
      <c r="K1038" t="s">
        <v>74</v>
      </c>
      <c r="L1038" t="s">
        <v>74</v>
      </c>
      <c r="M1038" t="s">
        <v>74</v>
      </c>
      <c r="N1038" t="s">
        <v>74</v>
      </c>
      <c r="O1038" t="s">
        <v>74</v>
      </c>
      <c r="P1038" t="s">
        <v>74</v>
      </c>
      <c r="Q1038" t="s">
        <v>74</v>
      </c>
      <c r="R1038" t="s">
        <v>74</v>
      </c>
      <c r="S1038" t="s">
        <v>74</v>
      </c>
      <c r="T1038" t="s">
        <v>74</v>
      </c>
      <c r="U1038" t="s">
        <v>74</v>
      </c>
      <c r="V1038" s="3" t="s">
        <v>1286</v>
      </c>
      <c r="W1038" t="s">
        <v>74</v>
      </c>
      <c r="X1038" t="s">
        <v>74</v>
      </c>
      <c r="Y1038" t="s">
        <v>74</v>
      </c>
      <c r="Z1038" t="s">
        <v>74</v>
      </c>
      <c r="AA1038" t="s">
        <v>1287</v>
      </c>
      <c r="AB1038" t="s">
        <v>1288</v>
      </c>
      <c r="AC1038" t="s">
        <v>74</v>
      </c>
      <c r="AD1038" t="s">
        <v>74</v>
      </c>
      <c r="AE1038" t="s">
        <v>74</v>
      </c>
      <c r="AF1038" t="s">
        <v>74</v>
      </c>
      <c r="AG1038" t="s">
        <v>74</v>
      </c>
      <c r="AH1038" t="s">
        <v>74</v>
      </c>
      <c r="AI1038" t="s">
        <v>74</v>
      </c>
      <c r="AJ1038" t="s">
        <v>74</v>
      </c>
      <c r="AK1038" t="s">
        <v>74</v>
      </c>
      <c r="AL1038" t="s">
        <v>74</v>
      </c>
      <c r="AM1038" t="s">
        <v>74</v>
      </c>
      <c r="AN1038" t="s">
        <v>74</v>
      </c>
      <c r="AO1038" t="s">
        <v>658</v>
      </c>
      <c r="AP1038" t="s">
        <v>74</v>
      </c>
      <c r="AQ1038" t="s">
        <v>74</v>
      </c>
      <c r="AR1038" t="s">
        <v>74</v>
      </c>
      <c r="AS1038" t="s">
        <v>74</v>
      </c>
      <c r="AT1038" t="s">
        <v>145</v>
      </c>
      <c r="AU1038">
        <v>2023</v>
      </c>
      <c r="AV1038">
        <v>13</v>
      </c>
      <c r="AW1038">
        <v>8</v>
      </c>
      <c r="AX1038" t="s">
        <v>74</v>
      </c>
      <c r="AY1038" t="s">
        <v>74</v>
      </c>
      <c r="AZ1038" t="s">
        <v>74</v>
      </c>
      <c r="BA1038" t="s">
        <v>74</v>
      </c>
      <c r="BB1038" t="s">
        <v>74</v>
      </c>
      <c r="BC1038" t="s">
        <v>74</v>
      </c>
      <c r="BD1038" t="s">
        <v>74</v>
      </c>
      <c r="BE1038" t="s">
        <v>1289</v>
      </c>
      <c r="BF1038" t="str">
        <f>HYPERLINK("http://dx.doi.org/10.1002/ece3.10328","http://dx.doi.org/10.1002/ece3.10328")</f>
        <v>http://dx.doi.org/10.1002/ece3.10328</v>
      </c>
      <c r="BG1038" t="s">
        <v>74</v>
      </c>
      <c r="BH1038" t="s">
        <v>74</v>
      </c>
      <c r="BI1038" t="s">
        <v>74</v>
      </c>
      <c r="BJ1038" t="s">
        <v>74</v>
      </c>
      <c r="BK1038" t="s">
        <v>74</v>
      </c>
      <c r="BL1038" t="s">
        <v>74</v>
      </c>
      <c r="BM1038" t="s">
        <v>74</v>
      </c>
      <c r="BN1038">
        <v>37636865</v>
      </c>
      <c r="BO1038" t="s">
        <v>74</v>
      </c>
      <c r="BP1038" t="s">
        <v>74</v>
      </c>
      <c r="BQ1038" t="s">
        <v>74</v>
      </c>
      <c r="BR1038" t="s">
        <v>74</v>
      </c>
      <c r="BS1038" t="s">
        <v>1290</v>
      </c>
      <c r="BT1038" t="str">
        <f>HYPERLINK("https%3A%2F%2Fwww.webofscience.com%2Fwos%2Fwoscc%2Ffull-record%2FWOS:001054792900001","View Full Record in Web of Science")</f>
        <v>View Full Record in Web of Science</v>
      </c>
    </row>
    <row r="1039" spans="1:72" x14ac:dyDescent="0.4">
      <c r="A1039" t="s">
        <v>72</v>
      </c>
      <c r="B1039" t="s">
        <v>5811</v>
      </c>
      <c r="C1039" t="s">
        <v>74</v>
      </c>
      <c r="D1039" t="s">
        <v>74</v>
      </c>
      <c r="E1039" t="s">
        <v>74</v>
      </c>
      <c r="F1039" t="s">
        <v>5812</v>
      </c>
      <c r="G1039" t="s">
        <v>74</v>
      </c>
      <c r="H1039" t="s">
        <v>74</v>
      </c>
      <c r="I1039" t="s">
        <v>5813</v>
      </c>
      <c r="J1039" t="s">
        <v>5814</v>
      </c>
      <c r="K1039" t="s">
        <v>74</v>
      </c>
      <c r="L1039" t="s">
        <v>74</v>
      </c>
      <c r="M1039" t="s">
        <v>74</v>
      </c>
      <c r="N1039" t="s">
        <v>74</v>
      </c>
      <c r="O1039" t="s">
        <v>74</v>
      </c>
      <c r="P1039" t="s">
        <v>74</v>
      </c>
      <c r="Q1039" t="s">
        <v>74</v>
      </c>
      <c r="R1039" t="s">
        <v>74</v>
      </c>
      <c r="S1039" t="s">
        <v>74</v>
      </c>
      <c r="T1039" t="s">
        <v>74</v>
      </c>
      <c r="U1039" t="s">
        <v>74</v>
      </c>
      <c r="V1039" s="3" t="s">
        <v>5815</v>
      </c>
      <c r="W1039" t="s">
        <v>74</v>
      </c>
      <c r="X1039" t="s">
        <v>74</v>
      </c>
      <c r="Y1039" t="s">
        <v>74</v>
      </c>
      <c r="Z1039" t="s">
        <v>74</v>
      </c>
      <c r="AA1039" t="s">
        <v>5816</v>
      </c>
      <c r="AB1039" t="s">
        <v>5817</v>
      </c>
      <c r="AC1039" t="s">
        <v>74</v>
      </c>
      <c r="AD1039" t="s">
        <v>74</v>
      </c>
      <c r="AE1039" t="s">
        <v>74</v>
      </c>
      <c r="AF1039" t="s">
        <v>74</v>
      </c>
      <c r="AG1039" t="s">
        <v>74</v>
      </c>
      <c r="AH1039" t="s">
        <v>74</v>
      </c>
      <c r="AI1039" t="s">
        <v>74</v>
      </c>
      <c r="AJ1039" t="s">
        <v>74</v>
      </c>
      <c r="AK1039" t="s">
        <v>74</v>
      </c>
      <c r="AL1039" t="s">
        <v>74</v>
      </c>
      <c r="AM1039" t="s">
        <v>74</v>
      </c>
      <c r="AN1039" t="s">
        <v>74</v>
      </c>
      <c r="AO1039" t="s">
        <v>74</v>
      </c>
      <c r="AP1039" t="s">
        <v>5818</v>
      </c>
      <c r="AQ1039" t="s">
        <v>74</v>
      </c>
      <c r="AR1039" t="s">
        <v>74</v>
      </c>
      <c r="AS1039" t="s">
        <v>74</v>
      </c>
      <c r="AT1039" t="s">
        <v>5819</v>
      </c>
      <c r="AU1039">
        <v>2007</v>
      </c>
      <c r="AV1039">
        <v>104</v>
      </c>
      <c r="AW1039">
        <v>1</v>
      </c>
      <c r="AX1039" t="s">
        <v>74</v>
      </c>
      <c r="AY1039" t="s">
        <v>74</v>
      </c>
      <c r="AZ1039" t="s">
        <v>74</v>
      </c>
      <c r="BA1039" t="s">
        <v>74</v>
      </c>
      <c r="BB1039">
        <v>57</v>
      </c>
      <c r="BC1039">
        <v>65</v>
      </c>
      <c r="BD1039" t="s">
        <v>74</v>
      </c>
      <c r="BE1039" t="s">
        <v>5820</v>
      </c>
      <c r="BF1039" t="str">
        <f>HYPERLINK("http://dx.doi.org/10.14411/eje.2007.009","http://dx.doi.org/10.14411/eje.2007.009")</f>
        <v>http://dx.doi.org/10.14411/eje.2007.009</v>
      </c>
      <c r="BG1039" t="s">
        <v>74</v>
      </c>
      <c r="BH1039" t="s">
        <v>74</v>
      </c>
      <c r="BI1039" t="s">
        <v>74</v>
      </c>
      <c r="BJ1039" t="s">
        <v>74</v>
      </c>
      <c r="BK1039" t="s">
        <v>74</v>
      </c>
      <c r="BL1039" t="s">
        <v>74</v>
      </c>
      <c r="BM1039" t="s">
        <v>74</v>
      </c>
      <c r="BN1039" t="s">
        <v>74</v>
      </c>
      <c r="BO1039" t="s">
        <v>74</v>
      </c>
      <c r="BP1039" t="s">
        <v>74</v>
      </c>
      <c r="BQ1039" t="s">
        <v>74</v>
      </c>
      <c r="BR1039" t="s">
        <v>74</v>
      </c>
      <c r="BS1039" t="s">
        <v>5821</v>
      </c>
      <c r="BT1039" t="str">
        <f>HYPERLINK("https%3A%2F%2Fwww.webofscience.com%2Fwos%2Fwoscc%2Ffull-record%2FWOS:000243077100009","View Full Record in Web of Science")</f>
        <v>View Full Record in Web of Science</v>
      </c>
    </row>
    <row r="1040" spans="1:72" x14ac:dyDescent="0.4">
      <c r="A1040" t="s">
        <v>72</v>
      </c>
      <c r="B1040" t="s">
        <v>2779</v>
      </c>
      <c r="C1040" t="s">
        <v>74</v>
      </c>
      <c r="D1040" t="s">
        <v>74</v>
      </c>
      <c r="E1040" t="s">
        <v>74</v>
      </c>
      <c r="F1040" t="s">
        <v>2780</v>
      </c>
      <c r="G1040" t="s">
        <v>74</v>
      </c>
      <c r="H1040" t="s">
        <v>74</v>
      </c>
      <c r="I1040" t="s">
        <v>2781</v>
      </c>
      <c r="J1040" t="s">
        <v>824</v>
      </c>
      <c r="K1040" t="s">
        <v>74</v>
      </c>
      <c r="L1040" t="s">
        <v>74</v>
      </c>
      <c r="M1040" t="s">
        <v>74</v>
      </c>
      <c r="N1040" t="s">
        <v>74</v>
      </c>
      <c r="O1040" t="s">
        <v>74</v>
      </c>
      <c r="P1040" t="s">
        <v>74</v>
      </c>
      <c r="Q1040" t="s">
        <v>74</v>
      </c>
      <c r="R1040" t="s">
        <v>74</v>
      </c>
      <c r="S1040" t="s">
        <v>74</v>
      </c>
      <c r="T1040" t="s">
        <v>74</v>
      </c>
      <c r="U1040" t="s">
        <v>74</v>
      </c>
      <c r="V1040" s="3" t="s">
        <v>2782</v>
      </c>
      <c r="W1040" t="s">
        <v>74</v>
      </c>
      <c r="X1040" t="s">
        <v>74</v>
      </c>
      <c r="Y1040" t="s">
        <v>74</v>
      </c>
      <c r="Z1040" t="s">
        <v>74</v>
      </c>
      <c r="AA1040" t="s">
        <v>74</v>
      </c>
      <c r="AB1040" t="s">
        <v>2783</v>
      </c>
      <c r="AC1040" t="s">
        <v>74</v>
      </c>
      <c r="AD1040" t="s">
        <v>74</v>
      </c>
      <c r="AE1040" t="s">
        <v>74</v>
      </c>
      <c r="AF1040" t="s">
        <v>74</v>
      </c>
      <c r="AG1040" t="s">
        <v>74</v>
      </c>
      <c r="AH1040" t="s">
        <v>74</v>
      </c>
      <c r="AI1040" t="s">
        <v>74</v>
      </c>
      <c r="AJ1040" t="s">
        <v>74</v>
      </c>
      <c r="AK1040" t="s">
        <v>74</v>
      </c>
      <c r="AL1040" t="s">
        <v>74</v>
      </c>
      <c r="AM1040" t="s">
        <v>74</v>
      </c>
      <c r="AN1040" t="s">
        <v>74</v>
      </c>
      <c r="AO1040" t="s">
        <v>828</v>
      </c>
      <c r="AP1040" t="s">
        <v>74</v>
      </c>
      <c r="AQ1040" t="s">
        <v>74</v>
      </c>
      <c r="AR1040" t="s">
        <v>74</v>
      </c>
      <c r="AS1040" t="s">
        <v>74</v>
      </c>
      <c r="AT1040" t="s">
        <v>255</v>
      </c>
      <c r="AU1040">
        <v>2011</v>
      </c>
      <c r="AV1040">
        <v>80</v>
      </c>
      <c r="AW1040">
        <v>1</v>
      </c>
      <c r="AX1040" t="s">
        <v>74</v>
      </c>
      <c r="AY1040" t="s">
        <v>74</v>
      </c>
      <c r="AZ1040" t="s">
        <v>74</v>
      </c>
      <c r="BA1040" t="s">
        <v>74</v>
      </c>
      <c r="BB1040">
        <v>79</v>
      </c>
      <c r="BC1040">
        <v>88</v>
      </c>
      <c r="BD1040" t="s">
        <v>74</v>
      </c>
      <c r="BE1040" t="s">
        <v>2784</v>
      </c>
      <c r="BF1040" t="str">
        <f>HYPERLINK("http://dx.doi.org/10.1111/j.1365-2656.2010.01765.x","http://dx.doi.org/10.1111/j.1365-2656.2010.01765.x")</f>
        <v>http://dx.doi.org/10.1111/j.1365-2656.2010.01765.x</v>
      </c>
      <c r="BG1040" t="s">
        <v>74</v>
      </c>
      <c r="BH1040" t="s">
        <v>74</v>
      </c>
      <c r="BI1040" t="s">
        <v>74</v>
      </c>
      <c r="BJ1040" t="s">
        <v>74</v>
      </c>
      <c r="BK1040" t="s">
        <v>74</v>
      </c>
      <c r="BL1040" t="s">
        <v>74</v>
      </c>
      <c r="BM1040" t="s">
        <v>74</v>
      </c>
      <c r="BN1040">
        <v>20964684</v>
      </c>
      <c r="BO1040" t="s">
        <v>74</v>
      </c>
      <c r="BP1040" t="s">
        <v>74</v>
      </c>
      <c r="BQ1040" t="s">
        <v>74</v>
      </c>
      <c r="BR1040" t="s">
        <v>74</v>
      </c>
      <c r="BS1040" t="s">
        <v>2785</v>
      </c>
      <c r="BT1040" t="str">
        <f>HYPERLINK("https%3A%2F%2Fwww.webofscience.com%2Fwos%2Fwoscc%2Ffull-record%2FWOS:000285110600008","View Full Record in Web of Science")</f>
        <v>View Full Record in Web of Science</v>
      </c>
    </row>
    <row r="1041" spans="1:72" x14ac:dyDescent="0.4">
      <c r="A1041" t="s">
        <v>72</v>
      </c>
      <c r="B1041" t="s">
        <v>5624</v>
      </c>
      <c r="C1041" t="s">
        <v>74</v>
      </c>
      <c r="D1041" t="s">
        <v>74</v>
      </c>
      <c r="E1041" t="s">
        <v>74</v>
      </c>
      <c r="F1041" t="s">
        <v>5625</v>
      </c>
      <c r="G1041" t="s">
        <v>74</v>
      </c>
      <c r="H1041" t="s">
        <v>74</v>
      </c>
      <c r="I1041" t="s">
        <v>5626</v>
      </c>
      <c r="J1041" t="s">
        <v>281</v>
      </c>
      <c r="K1041" t="s">
        <v>74</v>
      </c>
      <c r="L1041" t="s">
        <v>74</v>
      </c>
      <c r="M1041" t="s">
        <v>74</v>
      </c>
      <c r="N1041" t="s">
        <v>74</v>
      </c>
      <c r="O1041" t="s">
        <v>74</v>
      </c>
      <c r="P1041" t="s">
        <v>74</v>
      </c>
      <c r="Q1041" t="s">
        <v>74</v>
      </c>
      <c r="R1041" t="s">
        <v>74</v>
      </c>
      <c r="S1041" t="s">
        <v>74</v>
      </c>
      <c r="T1041" t="s">
        <v>74</v>
      </c>
      <c r="U1041" t="s">
        <v>74</v>
      </c>
      <c r="V1041" s="3" t="s">
        <v>5627</v>
      </c>
      <c r="W1041" t="s">
        <v>74</v>
      </c>
      <c r="X1041" t="s">
        <v>74</v>
      </c>
      <c r="Y1041" t="s">
        <v>74</v>
      </c>
      <c r="Z1041" t="s">
        <v>74</v>
      </c>
      <c r="AA1041" t="s">
        <v>74</v>
      </c>
      <c r="AB1041" t="s">
        <v>5628</v>
      </c>
      <c r="AC1041" t="s">
        <v>74</v>
      </c>
      <c r="AD1041" t="s">
        <v>74</v>
      </c>
      <c r="AE1041" t="s">
        <v>74</v>
      </c>
      <c r="AF1041" t="s">
        <v>74</v>
      </c>
      <c r="AG1041" t="s">
        <v>74</v>
      </c>
      <c r="AH1041" t="s">
        <v>74</v>
      </c>
      <c r="AI1041" t="s">
        <v>74</v>
      </c>
      <c r="AJ1041" t="s">
        <v>74</v>
      </c>
      <c r="AK1041" t="s">
        <v>74</v>
      </c>
      <c r="AL1041" t="s">
        <v>74</v>
      </c>
      <c r="AM1041" t="s">
        <v>74</v>
      </c>
      <c r="AN1041" t="s">
        <v>74</v>
      </c>
      <c r="AO1041" t="s">
        <v>285</v>
      </c>
      <c r="AP1041" t="s">
        <v>286</v>
      </c>
      <c r="AQ1041" t="s">
        <v>74</v>
      </c>
      <c r="AR1041" t="s">
        <v>74</v>
      </c>
      <c r="AS1041" t="s">
        <v>74</v>
      </c>
      <c r="AT1041" t="s">
        <v>964</v>
      </c>
      <c r="AU1041">
        <v>2022</v>
      </c>
      <c r="AV1041">
        <v>25</v>
      </c>
      <c r="AW1041">
        <v>1</v>
      </c>
      <c r="AX1041" t="s">
        <v>74</v>
      </c>
      <c r="AY1041" t="s">
        <v>74</v>
      </c>
      <c r="AZ1041" t="s">
        <v>74</v>
      </c>
      <c r="BA1041" t="s">
        <v>74</v>
      </c>
      <c r="BB1041">
        <v>205</v>
      </c>
      <c r="BC1041">
        <v>216</v>
      </c>
      <c r="BD1041" t="s">
        <v>74</v>
      </c>
      <c r="BE1041" t="s">
        <v>5629</v>
      </c>
      <c r="BF1041" t="str">
        <f>HYPERLINK("http://dx.doi.org/10.1007/s10071-021-01548-7","http://dx.doi.org/10.1007/s10071-021-01548-7")</f>
        <v>http://dx.doi.org/10.1007/s10071-021-01548-7</v>
      </c>
      <c r="BG1041" t="s">
        <v>74</v>
      </c>
      <c r="BH1041" t="s">
        <v>4990</v>
      </c>
      <c r="BI1041" t="s">
        <v>74</v>
      </c>
      <c r="BJ1041" t="s">
        <v>74</v>
      </c>
      <c r="BK1041" t="s">
        <v>74</v>
      </c>
      <c r="BL1041" t="s">
        <v>74</v>
      </c>
      <c r="BM1041" t="s">
        <v>74</v>
      </c>
      <c r="BN1041">
        <v>34383151</v>
      </c>
      <c r="BO1041" t="s">
        <v>74</v>
      </c>
      <c r="BP1041" t="s">
        <v>74</v>
      </c>
      <c r="BQ1041" t="s">
        <v>74</v>
      </c>
      <c r="BR1041" t="s">
        <v>74</v>
      </c>
      <c r="BS1041" t="s">
        <v>5630</v>
      </c>
      <c r="BT1041" t="str">
        <f>HYPERLINK("https%3A%2F%2Fwww.webofscience.com%2Fwos%2Fwoscc%2Ffull-record%2FWOS:000684460500001","View Full Record in Web of Science")</f>
        <v>View Full Record in Web of Science</v>
      </c>
    </row>
    <row r="1042" spans="1:72" x14ac:dyDescent="0.4">
      <c r="A1042" t="s">
        <v>72</v>
      </c>
      <c r="B1042" t="s">
        <v>2100</v>
      </c>
      <c r="C1042" t="s">
        <v>74</v>
      </c>
      <c r="D1042" t="s">
        <v>74</v>
      </c>
      <c r="E1042" t="s">
        <v>74</v>
      </c>
      <c r="F1042" t="s">
        <v>2101</v>
      </c>
      <c r="G1042" t="s">
        <v>74</v>
      </c>
      <c r="H1042" t="s">
        <v>74</v>
      </c>
      <c r="I1042" t="s">
        <v>2102</v>
      </c>
      <c r="J1042" t="s">
        <v>2017</v>
      </c>
      <c r="K1042" t="s">
        <v>74</v>
      </c>
      <c r="L1042" t="s">
        <v>74</v>
      </c>
      <c r="M1042" t="s">
        <v>74</v>
      </c>
      <c r="N1042" t="s">
        <v>74</v>
      </c>
      <c r="O1042" t="s">
        <v>74</v>
      </c>
      <c r="P1042" t="s">
        <v>74</v>
      </c>
      <c r="Q1042" t="s">
        <v>74</v>
      </c>
      <c r="R1042" t="s">
        <v>74</v>
      </c>
      <c r="S1042" t="s">
        <v>74</v>
      </c>
      <c r="T1042" t="s">
        <v>74</v>
      </c>
      <c r="U1042" t="s">
        <v>74</v>
      </c>
      <c r="V1042" s="3" t="s">
        <v>2103</v>
      </c>
      <c r="W1042" t="s">
        <v>74</v>
      </c>
      <c r="X1042" t="s">
        <v>74</v>
      </c>
      <c r="Y1042" t="s">
        <v>74</v>
      </c>
      <c r="Z1042" t="s">
        <v>74</v>
      </c>
      <c r="AA1042" t="s">
        <v>2104</v>
      </c>
      <c r="AB1042" t="s">
        <v>2105</v>
      </c>
      <c r="AC1042" t="s">
        <v>74</v>
      </c>
      <c r="AD1042" t="s">
        <v>74</v>
      </c>
      <c r="AE1042" t="s">
        <v>74</v>
      </c>
      <c r="AF1042" t="s">
        <v>74</v>
      </c>
      <c r="AG1042" t="s">
        <v>74</v>
      </c>
      <c r="AH1042" t="s">
        <v>74</v>
      </c>
      <c r="AI1042" t="s">
        <v>74</v>
      </c>
      <c r="AJ1042" t="s">
        <v>74</v>
      </c>
      <c r="AK1042" t="s">
        <v>74</v>
      </c>
      <c r="AL1042" t="s">
        <v>74</v>
      </c>
      <c r="AM1042" t="s">
        <v>74</v>
      </c>
      <c r="AN1042" t="s">
        <v>74</v>
      </c>
      <c r="AO1042" t="s">
        <v>2021</v>
      </c>
      <c r="AP1042" t="s">
        <v>74</v>
      </c>
      <c r="AQ1042" t="s">
        <v>74</v>
      </c>
      <c r="AR1042" t="s">
        <v>74</v>
      </c>
      <c r="AS1042" t="s">
        <v>74</v>
      </c>
      <c r="AT1042" t="s">
        <v>1253</v>
      </c>
      <c r="AU1042">
        <v>2019</v>
      </c>
      <c r="AV1042">
        <v>7</v>
      </c>
      <c r="AW1042" t="s">
        <v>74</v>
      </c>
      <c r="AX1042" t="s">
        <v>74</v>
      </c>
      <c r="AY1042" t="s">
        <v>74</v>
      </c>
      <c r="AZ1042" t="s">
        <v>74</v>
      </c>
      <c r="BA1042" t="s">
        <v>74</v>
      </c>
      <c r="BB1042" t="s">
        <v>74</v>
      </c>
      <c r="BC1042" t="s">
        <v>74</v>
      </c>
      <c r="BD1042">
        <v>292</v>
      </c>
      <c r="BE1042" t="s">
        <v>2106</v>
      </c>
      <c r="BF1042" t="str">
        <f>HYPERLINK("http://dx.doi.org/10.3389/fevo.2019.00292","http://dx.doi.org/10.3389/fevo.2019.00292")</f>
        <v>http://dx.doi.org/10.3389/fevo.2019.00292</v>
      </c>
      <c r="BG1042" t="s">
        <v>74</v>
      </c>
      <c r="BH1042" t="s">
        <v>74</v>
      </c>
      <c r="BI1042" t="s">
        <v>74</v>
      </c>
      <c r="BJ1042" t="s">
        <v>74</v>
      </c>
      <c r="BK1042" t="s">
        <v>74</v>
      </c>
      <c r="BL1042" t="s">
        <v>74</v>
      </c>
      <c r="BM1042" t="s">
        <v>74</v>
      </c>
      <c r="BN1042" t="s">
        <v>74</v>
      </c>
      <c r="BO1042" t="s">
        <v>74</v>
      </c>
      <c r="BP1042" t="s">
        <v>74</v>
      </c>
      <c r="BQ1042" t="s">
        <v>74</v>
      </c>
      <c r="BR1042" t="s">
        <v>74</v>
      </c>
      <c r="BS1042" t="s">
        <v>2107</v>
      </c>
      <c r="BT1042" t="str">
        <f>HYPERLINK("https%3A%2F%2Fwww.webofscience.com%2Fwos%2Fwoscc%2Ffull-record%2FWOS:000479067400001","View Full Record in Web of Science")</f>
        <v>View Full Record in Web of Science</v>
      </c>
    </row>
    <row r="1043" spans="1:72" x14ac:dyDescent="0.4">
      <c r="A1043" t="s">
        <v>72</v>
      </c>
      <c r="B1043" t="s">
        <v>3288</v>
      </c>
      <c r="C1043" t="s">
        <v>74</v>
      </c>
      <c r="D1043" t="s">
        <v>74</v>
      </c>
      <c r="E1043" t="s">
        <v>74</v>
      </c>
      <c r="F1043" t="s">
        <v>3289</v>
      </c>
      <c r="G1043" t="s">
        <v>74</v>
      </c>
      <c r="H1043" t="s">
        <v>74</v>
      </c>
      <c r="I1043" t="s">
        <v>3290</v>
      </c>
      <c r="J1043" t="s">
        <v>3291</v>
      </c>
      <c r="K1043" t="s">
        <v>74</v>
      </c>
      <c r="L1043" t="s">
        <v>74</v>
      </c>
      <c r="M1043" t="s">
        <v>74</v>
      </c>
      <c r="N1043" t="s">
        <v>74</v>
      </c>
      <c r="O1043" t="s">
        <v>74</v>
      </c>
      <c r="P1043" t="s">
        <v>74</v>
      </c>
      <c r="Q1043" t="s">
        <v>74</v>
      </c>
      <c r="R1043" t="s">
        <v>74</v>
      </c>
      <c r="S1043" t="s">
        <v>74</v>
      </c>
      <c r="T1043" t="s">
        <v>74</v>
      </c>
      <c r="U1043" t="s">
        <v>74</v>
      </c>
      <c r="V1043" s="3" t="s">
        <v>3292</v>
      </c>
      <c r="W1043" t="s">
        <v>74</v>
      </c>
      <c r="X1043" t="s">
        <v>74</v>
      </c>
      <c r="Y1043" t="s">
        <v>74</v>
      </c>
      <c r="Z1043" t="s">
        <v>74</v>
      </c>
      <c r="AA1043" t="s">
        <v>3293</v>
      </c>
      <c r="AB1043" t="s">
        <v>3294</v>
      </c>
      <c r="AC1043" t="s">
        <v>74</v>
      </c>
      <c r="AD1043" t="s">
        <v>74</v>
      </c>
      <c r="AE1043" t="s">
        <v>74</v>
      </c>
      <c r="AF1043" t="s">
        <v>74</v>
      </c>
      <c r="AG1043" t="s">
        <v>74</v>
      </c>
      <c r="AH1043" t="s">
        <v>74</v>
      </c>
      <c r="AI1043" t="s">
        <v>74</v>
      </c>
      <c r="AJ1043" t="s">
        <v>74</v>
      </c>
      <c r="AK1043" t="s">
        <v>74</v>
      </c>
      <c r="AL1043" t="s">
        <v>74</v>
      </c>
      <c r="AM1043" t="s">
        <v>74</v>
      </c>
      <c r="AN1043" t="s">
        <v>74</v>
      </c>
      <c r="AO1043" t="s">
        <v>3295</v>
      </c>
      <c r="AP1043" t="s">
        <v>74</v>
      </c>
      <c r="AQ1043" t="s">
        <v>74</v>
      </c>
      <c r="AR1043" t="s">
        <v>74</v>
      </c>
      <c r="AS1043" t="s">
        <v>74</v>
      </c>
      <c r="AT1043" t="s">
        <v>1641</v>
      </c>
      <c r="AU1043">
        <v>2013</v>
      </c>
      <c r="AV1043">
        <v>10</v>
      </c>
      <c r="AW1043" t="s">
        <v>74</v>
      </c>
      <c r="AX1043" t="s">
        <v>74</v>
      </c>
      <c r="AY1043" t="s">
        <v>74</v>
      </c>
      <c r="AZ1043" t="s">
        <v>74</v>
      </c>
      <c r="BA1043" t="s">
        <v>74</v>
      </c>
      <c r="BB1043" t="s">
        <v>74</v>
      </c>
      <c r="BC1043" t="s">
        <v>74</v>
      </c>
      <c r="BD1043">
        <v>25</v>
      </c>
      <c r="BE1043" t="s">
        <v>3296</v>
      </c>
      <c r="BF1043" t="str">
        <f>HYPERLINK("http://dx.doi.org/10.1186/1742-9994-10-25","http://dx.doi.org/10.1186/1742-9994-10-25")</f>
        <v>http://dx.doi.org/10.1186/1742-9994-10-25</v>
      </c>
      <c r="BG1043" t="s">
        <v>74</v>
      </c>
      <c r="BH1043" t="s">
        <v>74</v>
      </c>
      <c r="BI1043" t="s">
        <v>74</v>
      </c>
      <c r="BJ1043" t="s">
        <v>74</v>
      </c>
      <c r="BK1043" t="s">
        <v>74</v>
      </c>
      <c r="BL1043" t="s">
        <v>74</v>
      </c>
      <c r="BM1043" t="s">
        <v>74</v>
      </c>
      <c r="BN1043">
        <v>23663311</v>
      </c>
      <c r="BO1043" t="s">
        <v>74</v>
      </c>
      <c r="BP1043" t="s">
        <v>74</v>
      </c>
      <c r="BQ1043" t="s">
        <v>74</v>
      </c>
      <c r="BR1043" t="s">
        <v>74</v>
      </c>
      <c r="BS1043" t="s">
        <v>3297</v>
      </c>
      <c r="BT1043" t="str">
        <f>HYPERLINK("https%3A%2F%2Fwww.webofscience.com%2Fwos%2Fwoscc%2Ffull-record%2FWOS:000319151500001","View Full Record in Web of Science")</f>
        <v>View Full Record in Web of Science</v>
      </c>
    </row>
    <row r="1044" spans="1:72" x14ac:dyDescent="0.4">
      <c r="A1044" t="s">
        <v>72</v>
      </c>
      <c r="B1044" t="s">
        <v>5442</v>
      </c>
      <c r="C1044" t="s">
        <v>74</v>
      </c>
      <c r="D1044" t="s">
        <v>74</v>
      </c>
      <c r="E1044" t="s">
        <v>74</v>
      </c>
      <c r="F1044" t="s">
        <v>5443</v>
      </c>
      <c r="G1044" t="s">
        <v>74</v>
      </c>
      <c r="H1044" t="s">
        <v>74</v>
      </c>
      <c r="I1044" t="s">
        <v>5444</v>
      </c>
      <c r="J1044" t="s">
        <v>333</v>
      </c>
      <c r="K1044" t="s">
        <v>74</v>
      </c>
      <c r="L1044" t="s">
        <v>74</v>
      </c>
      <c r="M1044" t="s">
        <v>74</v>
      </c>
      <c r="N1044" t="s">
        <v>74</v>
      </c>
      <c r="O1044" t="s">
        <v>74</v>
      </c>
      <c r="P1044" t="s">
        <v>74</v>
      </c>
      <c r="Q1044" t="s">
        <v>74</v>
      </c>
      <c r="R1044" t="s">
        <v>74</v>
      </c>
      <c r="S1044" t="s">
        <v>74</v>
      </c>
      <c r="T1044" t="s">
        <v>74</v>
      </c>
      <c r="U1044" t="s">
        <v>74</v>
      </c>
      <c r="V1044" s="3" t="s">
        <v>5445</v>
      </c>
      <c r="W1044" t="s">
        <v>74</v>
      </c>
      <c r="X1044" t="s">
        <v>74</v>
      </c>
      <c r="Y1044" t="s">
        <v>74</v>
      </c>
      <c r="Z1044" t="s">
        <v>74</v>
      </c>
      <c r="AA1044" t="s">
        <v>74</v>
      </c>
      <c r="AB1044" t="s">
        <v>74</v>
      </c>
      <c r="AC1044" t="s">
        <v>74</v>
      </c>
      <c r="AD1044" t="s">
        <v>74</v>
      </c>
      <c r="AE1044" t="s">
        <v>74</v>
      </c>
      <c r="AF1044" t="s">
        <v>74</v>
      </c>
      <c r="AG1044" t="s">
        <v>74</v>
      </c>
      <c r="AH1044" t="s">
        <v>74</v>
      </c>
      <c r="AI1044" t="s">
        <v>74</v>
      </c>
      <c r="AJ1044" t="s">
        <v>74</v>
      </c>
      <c r="AK1044" t="s">
        <v>74</v>
      </c>
      <c r="AL1044" t="s">
        <v>74</v>
      </c>
      <c r="AM1044" t="s">
        <v>74</v>
      </c>
      <c r="AN1044" t="s">
        <v>74</v>
      </c>
      <c r="AO1044" t="s">
        <v>337</v>
      </c>
      <c r="AP1044" t="s">
        <v>338</v>
      </c>
      <c r="AQ1044" t="s">
        <v>74</v>
      </c>
      <c r="AR1044" t="s">
        <v>74</v>
      </c>
      <c r="AS1044" t="s">
        <v>74</v>
      </c>
      <c r="AT1044" t="s">
        <v>1013</v>
      </c>
      <c r="AU1044">
        <v>2018</v>
      </c>
      <c r="AV1044">
        <v>29</v>
      </c>
      <c r="AW1044">
        <v>5</v>
      </c>
      <c r="AX1044" t="s">
        <v>74</v>
      </c>
      <c r="AY1044" t="s">
        <v>74</v>
      </c>
      <c r="AZ1044" t="s">
        <v>74</v>
      </c>
      <c r="BA1044" t="s">
        <v>74</v>
      </c>
      <c r="BB1044">
        <v>1046</v>
      </c>
      <c r="BC1044">
        <v>1055</v>
      </c>
      <c r="BD1044" t="s">
        <v>74</v>
      </c>
      <c r="BE1044" t="s">
        <v>5446</v>
      </c>
      <c r="BF1044" t="str">
        <f>HYPERLINK("http://dx.doi.org/10.1093/beheco/ary078","http://dx.doi.org/10.1093/beheco/ary078")</f>
        <v>http://dx.doi.org/10.1093/beheco/ary078</v>
      </c>
      <c r="BG1044" t="s">
        <v>74</v>
      </c>
      <c r="BH1044" t="s">
        <v>74</v>
      </c>
      <c r="BI1044" t="s">
        <v>74</v>
      </c>
      <c r="BJ1044" t="s">
        <v>74</v>
      </c>
      <c r="BK1044" t="s">
        <v>74</v>
      </c>
      <c r="BL1044" t="s">
        <v>74</v>
      </c>
      <c r="BM1044" t="s">
        <v>74</v>
      </c>
      <c r="BN1044" t="s">
        <v>74</v>
      </c>
      <c r="BO1044" t="s">
        <v>74</v>
      </c>
      <c r="BP1044" t="s">
        <v>74</v>
      </c>
      <c r="BQ1044" t="s">
        <v>74</v>
      </c>
      <c r="BR1044" t="s">
        <v>74</v>
      </c>
      <c r="BS1044" t="s">
        <v>5447</v>
      </c>
      <c r="BT1044" t="str">
        <f>HYPERLINK("https%3A%2F%2Fwww.webofscience.com%2Fwos%2Fwoscc%2Ffull-record%2FWOS:000444301900012","View Full Record in Web of Science")</f>
        <v>View Full Record in Web of Science</v>
      </c>
    </row>
    <row r="1045" spans="1:72" x14ac:dyDescent="0.4">
      <c r="A1045" t="s">
        <v>72</v>
      </c>
      <c r="B1045" t="s">
        <v>7257</v>
      </c>
      <c r="C1045" t="s">
        <v>74</v>
      </c>
      <c r="D1045" t="s">
        <v>74</v>
      </c>
      <c r="E1045" t="s">
        <v>74</v>
      </c>
      <c r="F1045" t="s">
        <v>7257</v>
      </c>
      <c r="G1045" t="s">
        <v>74</v>
      </c>
      <c r="H1045" t="s">
        <v>74</v>
      </c>
      <c r="I1045" t="s">
        <v>7258</v>
      </c>
      <c r="J1045" t="s">
        <v>5577</v>
      </c>
      <c r="K1045" t="s">
        <v>74</v>
      </c>
      <c r="L1045" t="s">
        <v>74</v>
      </c>
      <c r="M1045" t="s">
        <v>74</v>
      </c>
      <c r="N1045" t="s">
        <v>74</v>
      </c>
      <c r="O1045" t="s">
        <v>74</v>
      </c>
      <c r="P1045" t="s">
        <v>74</v>
      </c>
      <c r="Q1045" t="s">
        <v>74</v>
      </c>
      <c r="R1045" t="s">
        <v>74</v>
      </c>
      <c r="S1045" t="s">
        <v>74</v>
      </c>
      <c r="T1045" t="s">
        <v>74</v>
      </c>
      <c r="U1045" t="s">
        <v>74</v>
      </c>
      <c r="V1045" s="3" t="s">
        <v>7259</v>
      </c>
      <c r="W1045" t="s">
        <v>74</v>
      </c>
      <c r="X1045" t="s">
        <v>74</v>
      </c>
      <c r="Y1045" t="s">
        <v>74</v>
      </c>
      <c r="Z1045" t="s">
        <v>74</v>
      </c>
      <c r="AA1045" t="s">
        <v>7260</v>
      </c>
      <c r="AB1045" t="s">
        <v>74</v>
      </c>
      <c r="AC1045" t="s">
        <v>74</v>
      </c>
      <c r="AD1045" t="s">
        <v>74</v>
      </c>
      <c r="AE1045" t="s">
        <v>74</v>
      </c>
      <c r="AF1045" t="s">
        <v>74</v>
      </c>
      <c r="AG1045" t="s">
        <v>74</v>
      </c>
      <c r="AH1045" t="s">
        <v>74</v>
      </c>
      <c r="AI1045" t="s">
        <v>74</v>
      </c>
      <c r="AJ1045" t="s">
        <v>74</v>
      </c>
      <c r="AK1045" t="s">
        <v>74</v>
      </c>
      <c r="AL1045" t="s">
        <v>74</v>
      </c>
      <c r="AM1045" t="s">
        <v>74</v>
      </c>
      <c r="AN1045" t="s">
        <v>74</v>
      </c>
      <c r="AO1045" t="s">
        <v>5579</v>
      </c>
      <c r="AP1045" t="s">
        <v>74</v>
      </c>
      <c r="AQ1045" t="s">
        <v>74</v>
      </c>
      <c r="AR1045" t="s">
        <v>74</v>
      </c>
      <c r="AS1045" t="s">
        <v>74</v>
      </c>
      <c r="AT1045" t="s">
        <v>145</v>
      </c>
      <c r="AU1045">
        <v>2002</v>
      </c>
      <c r="AV1045">
        <v>81</v>
      </c>
      <c r="AW1045">
        <v>8</v>
      </c>
      <c r="AX1045" t="s">
        <v>74</v>
      </c>
      <c r="AY1045" t="s">
        <v>74</v>
      </c>
      <c r="AZ1045" t="s">
        <v>74</v>
      </c>
      <c r="BA1045" t="s">
        <v>74</v>
      </c>
      <c r="BB1045">
        <v>970</v>
      </c>
      <c r="BC1045">
        <v>977</v>
      </c>
      <c r="BD1045" t="s">
        <v>74</v>
      </c>
      <c r="BE1045" t="s">
        <v>74</v>
      </c>
      <c r="BF1045" t="s">
        <v>74</v>
      </c>
      <c r="BG1045" t="s">
        <v>74</v>
      </c>
      <c r="BH1045" t="s">
        <v>74</v>
      </c>
      <c r="BI1045" t="s">
        <v>74</v>
      </c>
      <c r="BJ1045" t="s">
        <v>74</v>
      </c>
      <c r="BK1045" t="s">
        <v>74</v>
      </c>
      <c r="BL1045" t="s">
        <v>74</v>
      </c>
      <c r="BM1045" t="s">
        <v>74</v>
      </c>
      <c r="BN1045" t="s">
        <v>74</v>
      </c>
      <c r="BO1045" t="s">
        <v>74</v>
      </c>
      <c r="BP1045" t="s">
        <v>74</v>
      </c>
      <c r="BQ1045" t="s">
        <v>74</v>
      </c>
      <c r="BR1045" t="s">
        <v>74</v>
      </c>
      <c r="BS1045" t="s">
        <v>7261</v>
      </c>
      <c r="BT1045" t="str">
        <f>HYPERLINK("https%3A%2F%2Fwww.webofscience.com%2Fwos%2Fwoscc%2Ffull-record%2FWOS:000178048000009","View Full Record in Web of Science")</f>
        <v>View Full Record in Web of Science</v>
      </c>
    </row>
    <row r="1046" spans="1:72" x14ac:dyDescent="0.4">
      <c r="A1046" t="s">
        <v>72</v>
      </c>
      <c r="B1046" t="s">
        <v>389</v>
      </c>
      <c r="C1046" t="s">
        <v>74</v>
      </c>
      <c r="D1046" t="s">
        <v>74</v>
      </c>
      <c r="E1046" t="s">
        <v>74</v>
      </c>
      <c r="F1046" t="s">
        <v>389</v>
      </c>
      <c r="G1046" t="s">
        <v>74</v>
      </c>
      <c r="H1046" t="s">
        <v>74</v>
      </c>
      <c r="I1046" t="s">
        <v>390</v>
      </c>
      <c r="J1046" t="s">
        <v>151</v>
      </c>
      <c r="K1046" t="s">
        <v>74</v>
      </c>
      <c r="L1046" t="s">
        <v>74</v>
      </c>
      <c r="M1046" t="s">
        <v>74</v>
      </c>
      <c r="N1046" t="s">
        <v>74</v>
      </c>
      <c r="O1046" t="s">
        <v>74</v>
      </c>
      <c r="P1046" t="s">
        <v>74</v>
      </c>
      <c r="Q1046" t="s">
        <v>74</v>
      </c>
      <c r="R1046" t="s">
        <v>74</v>
      </c>
      <c r="S1046" t="s">
        <v>74</v>
      </c>
      <c r="T1046" t="s">
        <v>74</v>
      </c>
      <c r="U1046" t="s">
        <v>74</v>
      </c>
      <c r="V1046" s="3" t="s">
        <v>391</v>
      </c>
      <c r="W1046" t="s">
        <v>74</v>
      </c>
      <c r="X1046" t="s">
        <v>74</v>
      </c>
      <c r="Y1046" t="s">
        <v>74</v>
      </c>
      <c r="Z1046" t="s">
        <v>74</v>
      </c>
      <c r="AA1046" t="s">
        <v>74</v>
      </c>
      <c r="AB1046" t="s">
        <v>74</v>
      </c>
      <c r="AC1046" t="s">
        <v>74</v>
      </c>
      <c r="AD1046" t="s">
        <v>74</v>
      </c>
      <c r="AE1046" t="s">
        <v>74</v>
      </c>
      <c r="AF1046" t="s">
        <v>74</v>
      </c>
      <c r="AG1046" t="s">
        <v>74</v>
      </c>
      <c r="AH1046" t="s">
        <v>74</v>
      </c>
      <c r="AI1046" t="s">
        <v>74</v>
      </c>
      <c r="AJ1046" t="s">
        <v>74</v>
      </c>
      <c r="AK1046" t="s">
        <v>74</v>
      </c>
      <c r="AL1046" t="s">
        <v>74</v>
      </c>
      <c r="AM1046" t="s">
        <v>74</v>
      </c>
      <c r="AN1046" t="s">
        <v>74</v>
      </c>
      <c r="AO1046" t="s">
        <v>155</v>
      </c>
      <c r="AP1046" t="s">
        <v>74</v>
      </c>
      <c r="AQ1046" t="s">
        <v>74</v>
      </c>
      <c r="AR1046" t="s">
        <v>74</v>
      </c>
      <c r="AS1046" t="s">
        <v>74</v>
      </c>
      <c r="AT1046" t="s">
        <v>74</v>
      </c>
      <c r="AU1046">
        <v>2003</v>
      </c>
      <c r="AV1046">
        <v>247</v>
      </c>
      <c r="AW1046" t="s">
        <v>74</v>
      </c>
      <c r="AX1046" t="s">
        <v>74</v>
      </c>
      <c r="AY1046" t="s">
        <v>74</v>
      </c>
      <c r="AZ1046" t="s">
        <v>74</v>
      </c>
      <c r="BA1046" t="s">
        <v>74</v>
      </c>
      <c r="BB1046">
        <v>85</v>
      </c>
      <c r="BC1046">
        <v>92</v>
      </c>
      <c r="BD1046" t="s">
        <v>74</v>
      </c>
      <c r="BE1046" t="s">
        <v>392</v>
      </c>
      <c r="BF1046" t="str">
        <f>HYPERLINK("http://dx.doi.org/10.3354/meps247085","http://dx.doi.org/10.3354/meps247085")</f>
        <v>http://dx.doi.org/10.3354/meps247085</v>
      </c>
      <c r="BG1046" t="s">
        <v>74</v>
      </c>
      <c r="BH1046" t="s">
        <v>74</v>
      </c>
      <c r="BI1046" t="s">
        <v>74</v>
      </c>
      <c r="BJ1046" t="s">
        <v>74</v>
      </c>
      <c r="BK1046" t="s">
        <v>74</v>
      </c>
      <c r="BL1046" t="s">
        <v>74</v>
      </c>
      <c r="BM1046" t="s">
        <v>74</v>
      </c>
      <c r="BN1046" t="s">
        <v>74</v>
      </c>
      <c r="BO1046" t="s">
        <v>74</v>
      </c>
      <c r="BP1046" t="s">
        <v>74</v>
      </c>
      <c r="BQ1046" t="s">
        <v>74</v>
      </c>
      <c r="BR1046" t="s">
        <v>74</v>
      </c>
      <c r="BS1046" t="s">
        <v>393</v>
      </c>
      <c r="BT1046" t="str">
        <f>HYPERLINK("https%3A%2F%2Fwww.webofscience.com%2Fwos%2Fwoscc%2Ffull-record%2FWOS:000181318700008","View Full Record in Web of Science")</f>
        <v>View Full Record in Web of Science</v>
      </c>
    </row>
    <row r="1047" spans="1:72" x14ac:dyDescent="0.4">
      <c r="A1047" t="s">
        <v>72</v>
      </c>
      <c r="B1047" t="s">
        <v>669</v>
      </c>
      <c r="C1047" t="s">
        <v>74</v>
      </c>
      <c r="D1047" t="s">
        <v>74</v>
      </c>
      <c r="E1047" t="s">
        <v>74</v>
      </c>
      <c r="F1047" t="s">
        <v>670</v>
      </c>
      <c r="G1047" t="s">
        <v>74</v>
      </c>
      <c r="H1047" t="s">
        <v>74</v>
      </c>
      <c r="I1047" t="s">
        <v>671</v>
      </c>
      <c r="J1047" t="s">
        <v>218</v>
      </c>
      <c r="K1047" t="s">
        <v>74</v>
      </c>
      <c r="L1047" t="s">
        <v>74</v>
      </c>
      <c r="M1047" t="s">
        <v>74</v>
      </c>
      <c r="N1047" t="s">
        <v>74</v>
      </c>
      <c r="O1047" t="s">
        <v>74</v>
      </c>
      <c r="P1047" t="s">
        <v>74</v>
      </c>
      <c r="Q1047" t="s">
        <v>74</v>
      </c>
      <c r="R1047" t="s">
        <v>74</v>
      </c>
      <c r="S1047" t="s">
        <v>74</v>
      </c>
      <c r="T1047" t="s">
        <v>74</v>
      </c>
      <c r="U1047" t="s">
        <v>74</v>
      </c>
      <c r="V1047" s="3" t="s">
        <v>672</v>
      </c>
      <c r="W1047" t="s">
        <v>74</v>
      </c>
      <c r="X1047" t="s">
        <v>74</v>
      </c>
      <c r="Y1047" t="s">
        <v>74</v>
      </c>
      <c r="Z1047" t="s">
        <v>74</v>
      </c>
      <c r="AA1047" t="s">
        <v>74</v>
      </c>
      <c r="AB1047" t="s">
        <v>673</v>
      </c>
      <c r="AC1047" t="s">
        <v>74</v>
      </c>
      <c r="AD1047" t="s">
        <v>74</v>
      </c>
      <c r="AE1047" t="s">
        <v>74</v>
      </c>
      <c r="AF1047" t="s">
        <v>74</v>
      </c>
      <c r="AG1047" t="s">
        <v>74</v>
      </c>
      <c r="AH1047" t="s">
        <v>74</v>
      </c>
      <c r="AI1047" t="s">
        <v>74</v>
      </c>
      <c r="AJ1047" t="s">
        <v>74</v>
      </c>
      <c r="AK1047" t="s">
        <v>74</v>
      </c>
      <c r="AL1047" t="s">
        <v>74</v>
      </c>
      <c r="AM1047" t="s">
        <v>74</v>
      </c>
      <c r="AN1047" t="s">
        <v>74</v>
      </c>
      <c r="AO1047" t="s">
        <v>221</v>
      </c>
      <c r="AP1047" t="s">
        <v>222</v>
      </c>
      <c r="AQ1047" t="s">
        <v>74</v>
      </c>
      <c r="AR1047" t="s">
        <v>74</v>
      </c>
      <c r="AS1047" t="s">
        <v>74</v>
      </c>
      <c r="AT1047" t="s">
        <v>213</v>
      </c>
      <c r="AU1047">
        <v>2021</v>
      </c>
      <c r="AV1047">
        <v>34</v>
      </c>
      <c r="AW1047">
        <v>11</v>
      </c>
      <c r="AX1047" t="s">
        <v>74</v>
      </c>
      <c r="AY1047" t="s">
        <v>74</v>
      </c>
      <c r="AZ1047" t="s">
        <v>74</v>
      </c>
      <c r="BA1047" t="s">
        <v>74</v>
      </c>
      <c r="BB1047">
        <v>1678</v>
      </c>
      <c r="BC1047">
        <v>1690</v>
      </c>
      <c r="BD1047" t="s">
        <v>74</v>
      </c>
      <c r="BE1047" t="s">
        <v>674</v>
      </c>
      <c r="BF1047" t="str">
        <f>HYPERLINK("http://dx.doi.org/10.1111/jeb.13929","http://dx.doi.org/10.1111/jeb.13929")</f>
        <v>http://dx.doi.org/10.1111/jeb.13929</v>
      </c>
      <c r="BG1047" t="s">
        <v>74</v>
      </c>
      <c r="BH1047" t="s">
        <v>675</v>
      </c>
      <c r="BI1047" t="s">
        <v>74</v>
      </c>
      <c r="BJ1047" t="s">
        <v>74</v>
      </c>
      <c r="BK1047" t="s">
        <v>74</v>
      </c>
      <c r="BL1047" t="s">
        <v>74</v>
      </c>
      <c r="BM1047" t="s">
        <v>74</v>
      </c>
      <c r="BN1047">
        <v>34528321</v>
      </c>
      <c r="BO1047" t="s">
        <v>74</v>
      </c>
      <c r="BP1047" t="s">
        <v>74</v>
      </c>
      <c r="BQ1047" t="s">
        <v>74</v>
      </c>
      <c r="BR1047" t="s">
        <v>74</v>
      </c>
      <c r="BS1047" t="s">
        <v>676</v>
      </c>
      <c r="BT1047" t="str">
        <f>HYPERLINK("https%3A%2F%2Fwww.webofscience.com%2Fwos%2Fwoscc%2Ffull-record%2FWOS:000698957000001","View Full Record in Web of Science")</f>
        <v>View Full Record in Web of Science</v>
      </c>
    </row>
    <row r="1048" spans="1:72" x14ac:dyDescent="0.4">
      <c r="A1048" t="s">
        <v>72</v>
      </c>
      <c r="B1048" t="s">
        <v>2364</v>
      </c>
      <c r="C1048" t="s">
        <v>74</v>
      </c>
      <c r="D1048" t="s">
        <v>74</v>
      </c>
      <c r="E1048" t="s">
        <v>74</v>
      </c>
      <c r="F1048" t="s">
        <v>2365</v>
      </c>
      <c r="G1048" t="s">
        <v>74</v>
      </c>
      <c r="H1048" t="s">
        <v>74</v>
      </c>
      <c r="I1048" t="s">
        <v>2366</v>
      </c>
      <c r="J1048" t="s">
        <v>408</v>
      </c>
      <c r="K1048" t="s">
        <v>74</v>
      </c>
      <c r="L1048" t="s">
        <v>74</v>
      </c>
      <c r="M1048" t="s">
        <v>74</v>
      </c>
      <c r="N1048" t="s">
        <v>74</v>
      </c>
      <c r="O1048" t="s">
        <v>74</v>
      </c>
      <c r="P1048" t="s">
        <v>74</v>
      </c>
      <c r="Q1048" t="s">
        <v>74</v>
      </c>
      <c r="R1048" t="s">
        <v>74</v>
      </c>
      <c r="S1048" t="s">
        <v>74</v>
      </c>
      <c r="T1048" t="s">
        <v>74</v>
      </c>
      <c r="U1048" t="s">
        <v>74</v>
      </c>
      <c r="V1048" s="3" t="s">
        <v>2367</v>
      </c>
      <c r="W1048" t="s">
        <v>74</v>
      </c>
      <c r="X1048" t="s">
        <v>74</v>
      </c>
      <c r="Y1048" t="s">
        <v>74</v>
      </c>
      <c r="Z1048" t="s">
        <v>74</v>
      </c>
      <c r="AA1048" t="s">
        <v>74</v>
      </c>
      <c r="AB1048" t="s">
        <v>2368</v>
      </c>
      <c r="AC1048" t="s">
        <v>74</v>
      </c>
      <c r="AD1048" t="s">
        <v>74</v>
      </c>
      <c r="AE1048" t="s">
        <v>74</v>
      </c>
      <c r="AF1048" t="s">
        <v>74</v>
      </c>
      <c r="AG1048" t="s">
        <v>74</v>
      </c>
      <c r="AH1048" t="s">
        <v>74</v>
      </c>
      <c r="AI1048" t="s">
        <v>74</v>
      </c>
      <c r="AJ1048" t="s">
        <v>74</v>
      </c>
      <c r="AK1048" t="s">
        <v>74</v>
      </c>
      <c r="AL1048" t="s">
        <v>74</v>
      </c>
      <c r="AM1048" t="s">
        <v>74</v>
      </c>
      <c r="AN1048" t="s">
        <v>74</v>
      </c>
      <c r="AO1048" t="s">
        <v>412</v>
      </c>
      <c r="AP1048" t="s">
        <v>413</v>
      </c>
      <c r="AQ1048" t="s">
        <v>74</v>
      </c>
      <c r="AR1048" t="s">
        <v>74</v>
      </c>
      <c r="AS1048" t="s">
        <v>74</v>
      </c>
      <c r="AT1048" t="s">
        <v>352</v>
      </c>
      <c r="AU1048">
        <v>2013</v>
      </c>
      <c r="AV1048">
        <v>110</v>
      </c>
      <c r="AW1048">
        <v>1</v>
      </c>
      <c r="AX1048" t="s">
        <v>74</v>
      </c>
      <c r="AY1048" t="s">
        <v>74</v>
      </c>
      <c r="AZ1048" t="s">
        <v>74</v>
      </c>
      <c r="BA1048" t="s">
        <v>74</v>
      </c>
      <c r="BB1048">
        <v>180</v>
      </c>
      <c r="BC1048">
        <v>188</v>
      </c>
      <c r="BD1048" t="s">
        <v>74</v>
      </c>
      <c r="BE1048" t="s">
        <v>2369</v>
      </c>
      <c r="BF1048" t="str">
        <f>HYPERLINK("http://dx.doi.org/10.1111/bij.12105","http://dx.doi.org/10.1111/bij.12105")</f>
        <v>http://dx.doi.org/10.1111/bij.12105</v>
      </c>
      <c r="BG1048" t="s">
        <v>74</v>
      </c>
      <c r="BH1048" t="s">
        <v>74</v>
      </c>
      <c r="BI1048" t="s">
        <v>74</v>
      </c>
      <c r="BJ1048" t="s">
        <v>74</v>
      </c>
      <c r="BK1048" t="s">
        <v>74</v>
      </c>
      <c r="BL1048" t="s">
        <v>74</v>
      </c>
      <c r="BM1048" t="s">
        <v>74</v>
      </c>
      <c r="BN1048" t="s">
        <v>74</v>
      </c>
      <c r="BO1048" t="s">
        <v>74</v>
      </c>
      <c r="BP1048" t="s">
        <v>74</v>
      </c>
      <c r="BQ1048" t="s">
        <v>74</v>
      </c>
      <c r="BR1048" t="s">
        <v>74</v>
      </c>
      <c r="BS1048" t="s">
        <v>2370</v>
      </c>
      <c r="BT1048" t="str">
        <f>HYPERLINK("https%3A%2F%2Fwww.webofscience.com%2Fwos%2Fwoscc%2Ffull-record%2FWOS:000323040200013","View Full Record in Web of Science")</f>
        <v>View Full Record in Web of Science</v>
      </c>
    </row>
    <row r="1049" spans="1:72" x14ac:dyDescent="0.4">
      <c r="A1049" t="s">
        <v>72</v>
      </c>
      <c r="B1049" t="s">
        <v>4041</v>
      </c>
      <c r="C1049" t="s">
        <v>74</v>
      </c>
      <c r="D1049" t="s">
        <v>74</v>
      </c>
      <c r="E1049" t="s">
        <v>74</v>
      </c>
      <c r="F1049" t="s">
        <v>4042</v>
      </c>
      <c r="G1049" t="s">
        <v>74</v>
      </c>
      <c r="H1049" t="s">
        <v>74</v>
      </c>
      <c r="I1049" t="s">
        <v>4043</v>
      </c>
      <c r="J1049" t="s">
        <v>129</v>
      </c>
      <c r="K1049" t="s">
        <v>74</v>
      </c>
      <c r="L1049" t="s">
        <v>74</v>
      </c>
      <c r="M1049" t="s">
        <v>74</v>
      </c>
      <c r="N1049" t="s">
        <v>74</v>
      </c>
      <c r="O1049" t="s">
        <v>74</v>
      </c>
      <c r="P1049" t="s">
        <v>74</v>
      </c>
      <c r="Q1049" t="s">
        <v>74</v>
      </c>
      <c r="R1049" t="s">
        <v>74</v>
      </c>
      <c r="S1049" t="s">
        <v>74</v>
      </c>
      <c r="T1049" t="s">
        <v>74</v>
      </c>
      <c r="U1049" t="s">
        <v>74</v>
      </c>
      <c r="V1049" s="3" t="s">
        <v>4044</v>
      </c>
      <c r="W1049" t="s">
        <v>74</v>
      </c>
      <c r="X1049" t="s">
        <v>74</v>
      </c>
      <c r="Y1049" t="s">
        <v>74</v>
      </c>
      <c r="Z1049" t="s">
        <v>74</v>
      </c>
      <c r="AA1049" t="s">
        <v>74</v>
      </c>
      <c r="AB1049" t="s">
        <v>74</v>
      </c>
      <c r="AC1049" t="s">
        <v>74</v>
      </c>
      <c r="AD1049" t="s">
        <v>74</v>
      </c>
      <c r="AE1049" t="s">
        <v>74</v>
      </c>
      <c r="AF1049" t="s">
        <v>74</v>
      </c>
      <c r="AG1049" t="s">
        <v>74</v>
      </c>
      <c r="AH1049" t="s">
        <v>74</v>
      </c>
      <c r="AI1049" t="s">
        <v>74</v>
      </c>
      <c r="AJ1049" t="s">
        <v>74</v>
      </c>
      <c r="AK1049" t="s">
        <v>74</v>
      </c>
      <c r="AL1049" t="s">
        <v>74</v>
      </c>
      <c r="AM1049" t="s">
        <v>74</v>
      </c>
      <c r="AN1049" t="s">
        <v>74</v>
      </c>
      <c r="AO1049" t="s">
        <v>132</v>
      </c>
      <c r="AP1049" t="s">
        <v>133</v>
      </c>
      <c r="AQ1049" t="s">
        <v>74</v>
      </c>
      <c r="AR1049" t="s">
        <v>74</v>
      </c>
      <c r="AS1049" t="s">
        <v>74</v>
      </c>
      <c r="AT1049" t="s">
        <v>123</v>
      </c>
      <c r="AU1049">
        <v>2024</v>
      </c>
      <c r="AV1049">
        <v>78</v>
      </c>
      <c r="AW1049">
        <v>3</v>
      </c>
      <c r="AX1049" t="s">
        <v>74</v>
      </c>
      <c r="AY1049" t="s">
        <v>74</v>
      </c>
      <c r="AZ1049" t="s">
        <v>74</v>
      </c>
      <c r="BA1049" t="s">
        <v>74</v>
      </c>
      <c r="BB1049" t="s">
        <v>74</v>
      </c>
      <c r="BC1049" t="s">
        <v>74</v>
      </c>
      <c r="BD1049">
        <v>43</v>
      </c>
      <c r="BE1049" t="s">
        <v>4045</v>
      </c>
      <c r="BF1049" t="str">
        <f>HYPERLINK("http://dx.doi.org/10.1007/s00265-024-03453-8","http://dx.doi.org/10.1007/s00265-024-03453-8")</f>
        <v>http://dx.doi.org/10.1007/s00265-024-03453-8</v>
      </c>
      <c r="BG1049" t="s">
        <v>74</v>
      </c>
      <c r="BH1049" t="s">
        <v>74</v>
      </c>
      <c r="BI1049" t="s">
        <v>74</v>
      </c>
      <c r="BJ1049" t="s">
        <v>74</v>
      </c>
      <c r="BK1049" t="s">
        <v>74</v>
      </c>
      <c r="BL1049" t="s">
        <v>74</v>
      </c>
      <c r="BM1049" t="s">
        <v>74</v>
      </c>
      <c r="BN1049" t="s">
        <v>74</v>
      </c>
      <c r="BO1049" t="s">
        <v>74</v>
      </c>
      <c r="BP1049" t="s">
        <v>74</v>
      </c>
      <c r="BQ1049" t="s">
        <v>74</v>
      </c>
      <c r="BR1049" t="s">
        <v>74</v>
      </c>
      <c r="BS1049" t="s">
        <v>4046</v>
      </c>
      <c r="BT1049" t="str">
        <f>HYPERLINK("https%3A%2F%2Fwww.webofscience.com%2Fwos%2Fwoscc%2Ffull-record%2FWOS:001190569600001","View Full Record in Web of Science")</f>
        <v>View Full Record in Web of Science</v>
      </c>
    </row>
    <row r="1050" spans="1:72" x14ac:dyDescent="0.4">
      <c r="A1050" t="s">
        <v>72</v>
      </c>
      <c r="B1050" t="s">
        <v>5262</v>
      </c>
      <c r="C1050" t="s">
        <v>74</v>
      </c>
      <c r="D1050" t="s">
        <v>74</v>
      </c>
      <c r="E1050" t="s">
        <v>74</v>
      </c>
      <c r="F1050" t="s">
        <v>5263</v>
      </c>
      <c r="G1050" t="s">
        <v>74</v>
      </c>
      <c r="H1050" t="s">
        <v>74</v>
      </c>
      <c r="I1050" t="s">
        <v>5264</v>
      </c>
      <c r="J1050" t="s">
        <v>5265</v>
      </c>
      <c r="K1050" t="s">
        <v>74</v>
      </c>
      <c r="L1050" t="s">
        <v>74</v>
      </c>
      <c r="M1050" t="s">
        <v>74</v>
      </c>
      <c r="N1050" t="s">
        <v>74</v>
      </c>
      <c r="O1050" t="s">
        <v>74</v>
      </c>
      <c r="P1050" t="s">
        <v>74</v>
      </c>
      <c r="Q1050" t="s">
        <v>74</v>
      </c>
      <c r="R1050" t="s">
        <v>74</v>
      </c>
      <c r="S1050" t="s">
        <v>74</v>
      </c>
      <c r="T1050" t="s">
        <v>74</v>
      </c>
      <c r="U1050" t="s">
        <v>74</v>
      </c>
      <c r="V1050" s="3" t="s">
        <v>5266</v>
      </c>
      <c r="W1050" t="s">
        <v>74</v>
      </c>
      <c r="X1050" t="s">
        <v>74</v>
      </c>
      <c r="Y1050" t="s">
        <v>74</v>
      </c>
      <c r="Z1050" t="s">
        <v>74</v>
      </c>
      <c r="AA1050" t="s">
        <v>5267</v>
      </c>
      <c r="AB1050" t="s">
        <v>5268</v>
      </c>
      <c r="AC1050" t="s">
        <v>74</v>
      </c>
      <c r="AD1050" t="s">
        <v>74</v>
      </c>
      <c r="AE1050" t="s">
        <v>74</v>
      </c>
      <c r="AF1050" t="s">
        <v>74</v>
      </c>
      <c r="AG1050" t="s">
        <v>74</v>
      </c>
      <c r="AH1050" t="s">
        <v>74</v>
      </c>
      <c r="AI1050" t="s">
        <v>74</v>
      </c>
      <c r="AJ1050" t="s">
        <v>74</v>
      </c>
      <c r="AK1050" t="s">
        <v>74</v>
      </c>
      <c r="AL1050" t="s">
        <v>74</v>
      </c>
      <c r="AM1050" t="s">
        <v>74</v>
      </c>
      <c r="AN1050" t="s">
        <v>74</v>
      </c>
      <c r="AO1050" t="s">
        <v>5269</v>
      </c>
      <c r="AP1050" t="s">
        <v>74</v>
      </c>
      <c r="AQ1050" t="s">
        <v>74</v>
      </c>
      <c r="AR1050" t="s">
        <v>74</v>
      </c>
      <c r="AS1050" t="s">
        <v>74</v>
      </c>
      <c r="AT1050" t="s">
        <v>5270</v>
      </c>
      <c r="AU1050">
        <v>2018</v>
      </c>
      <c r="AV1050">
        <v>42</v>
      </c>
      <c r="AW1050">
        <v>3</v>
      </c>
      <c r="AX1050" t="s">
        <v>74</v>
      </c>
      <c r="AY1050" t="s">
        <v>74</v>
      </c>
      <c r="AZ1050" t="s">
        <v>74</v>
      </c>
      <c r="BA1050" t="s">
        <v>74</v>
      </c>
      <c r="BB1050">
        <v>229</v>
      </c>
      <c r="BC1050">
        <v>256</v>
      </c>
      <c r="BD1050" t="s">
        <v>74</v>
      </c>
      <c r="BE1050" t="s">
        <v>74</v>
      </c>
      <c r="BF1050" t="s">
        <v>74</v>
      </c>
      <c r="BG1050" t="s">
        <v>74</v>
      </c>
      <c r="BH1050" t="s">
        <v>74</v>
      </c>
      <c r="BI1050" t="s">
        <v>74</v>
      </c>
      <c r="BJ1050" t="s">
        <v>74</v>
      </c>
      <c r="BK1050" t="s">
        <v>74</v>
      </c>
      <c r="BL1050" t="s">
        <v>74</v>
      </c>
      <c r="BM1050" t="s">
        <v>74</v>
      </c>
      <c r="BN1050" t="s">
        <v>74</v>
      </c>
      <c r="BO1050" t="s">
        <v>74</v>
      </c>
      <c r="BP1050" t="s">
        <v>74</v>
      </c>
      <c r="BQ1050" t="s">
        <v>74</v>
      </c>
      <c r="BR1050" t="s">
        <v>74</v>
      </c>
      <c r="BS1050" t="s">
        <v>5271</v>
      </c>
      <c r="BT1050" t="str">
        <f>HYPERLINK("https%3A%2F%2Fwww.webofscience.com%2Fwos%2Fwoscc%2Ffull-record%2FWOS:000449238000002","View Full Record in Web of Science")</f>
        <v>View Full Record in Web of Science</v>
      </c>
    </row>
    <row r="1051" spans="1:72" x14ac:dyDescent="0.4">
      <c r="A1051" t="s">
        <v>72</v>
      </c>
      <c r="B1051" t="s">
        <v>7857</v>
      </c>
      <c r="C1051" t="s">
        <v>74</v>
      </c>
      <c r="D1051" t="s">
        <v>74</v>
      </c>
      <c r="E1051" t="s">
        <v>74</v>
      </c>
      <c r="F1051" t="s">
        <v>7858</v>
      </c>
      <c r="G1051" t="s">
        <v>74</v>
      </c>
      <c r="H1051" t="s">
        <v>74</v>
      </c>
      <c r="I1051" t="s">
        <v>7859</v>
      </c>
      <c r="J1051" t="s">
        <v>108</v>
      </c>
      <c r="K1051" t="s">
        <v>74</v>
      </c>
      <c r="L1051" t="s">
        <v>74</v>
      </c>
      <c r="M1051" t="s">
        <v>74</v>
      </c>
      <c r="N1051" t="s">
        <v>74</v>
      </c>
      <c r="O1051" t="s">
        <v>74</v>
      </c>
      <c r="P1051" t="s">
        <v>74</v>
      </c>
      <c r="Q1051" t="s">
        <v>74</v>
      </c>
      <c r="R1051" t="s">
        <v>74</v>
      </c>
      <c r="S1051" t="s">
        <v>74</v>
      </c>
      <c r="T1051" t="s">
        <v>74</v>
      </c>
      <c r="U1051" t="s">
        <v>74</v>
      </c>
      <c r="V1051" s="3" t="s">
        <v>7860</v>
      </c>
      <c r="W1051" t="s">
        <v>74</v>
      </c>
      <c r="X1051" t="s">
        <v>74</v>
      </c>
      <c r="Y1051" t="s">
        <v>74</v>
      </c>
      <c r="Z1051" t="s">
        <v>74</v>
      </c>
      <c r="AA1051" t="s">
        <v>7861</v>
      </c>
      <c r="AB1051" t="s">
        <v>7862</v>
      </c>
      <c r="AC1051" t="s">
        <v>74</v>
      </c>
      <c r="AD1051" t="s">
        <v>74</v>
      </c>
      <c r="AE1051" t="s">
        <v>74</v>
      </c>
      <c r="AF1051" t="s">
        <v>74</v>
      </c>
      <c r="AG1051" t="s">
        <v>74</v>
      </c>
      <c r="AH1051" t="s">
        <v>74</v>
      </c>
      <c r="AI1051" t="s">
        <v>74</v>
      </c>
      <c r="AJ1051" t="s">
        <v>74</v>
      </c>
      <c r="AK1051" t="s">
        <v>74</v>
      </c>
      <c r="AL1051" t="s">
        <v>74</v>
      </c>
      <c r="AM1051" t="s">
        <v>74</v>
      </c>
      <c r="AN1051" t="s">
        <v>74</v>
      </c>
      <c r="AO1051" t="s">
        <v>111</v>
      </c>
      <c r="AP1051" t="s">
        <v>112</v>
      </c>
      <c r="AQ1051" t="s">
        <v>74</v>
      </c>
      <c r="AR1051" t="s">
        <v>74</v>
      </c>
      <c r="AS1051" t="s">
        <v>74</v>
      </c>
      <c r="AT1051" t="s">
        <v>3105</v>
      </c>
      <c r="AU1051">
        <v>2019</v>
      </c>
      <c r="AV1051">
        <v>286</v>
      </c>
      <c r="AW1051">
        <v>1914</v>
      </c>
      <c r="AX1051" t="s">
        <v>74</v>
      </c>
      <c r="AY1051" t="s">
        <v>74</v>
      </c>
      <c r="AZ1051" t="s">
        <v>74</v>
      </c>
      <c r="BA1051" t="s">
        <v>74</v>
      </c>
      <c r="BB1051" t="s">
        <v>74</v>
      </c>
      <c r="BC1051" t="s">
        <v>74</v>
      </c>
      <c r="BD1051">
        <v>20192075</v>
      </c>
      <c r="BE1051" t="s">
        <v>7863</v>
      </c>
      <c r="BF1051" t="str">
        <f>HYPERLINK("http://dx.doi.org/10.1098/rspb.2019.2075","http://dx.doi.org/10.1098/rspb.2019.2075")</f>
        <v>http://dx.doi.org/10.1098/rspb.2019.2075</v>
      </c>
      <c r="BG1051" t="s">
        <v>74</v>
      </c>
      <c r="BH1051" t="s">
        <v>74</v>
      </c>
      <c r="BI1051" t="s">
        <v>74</v>
      </c>
      <c r="BJ1051" t="s">
        <v>74</v>
      </c>
      <c r="BK1051" t="s">
        <v>74</v>
      </c>
      <c r="BL1051" t="s">
        <v>74</v>
      </c>
      <c r="BM1051" t="s">
        <v>74</v>
      </c>
      <c r="BN1051">
        <v>31690236</v>
      </c>
      <c r="BO1051" t="s">
        <v>74</v>
      </c>
      <c r="BP1051" t="s">
        <v>74</v>
      </c>
      <c r="BQ1051" t="s">
        <v>74</v>
      </c>
      <c r="BR1051" t="s">
        <v>74</v>
      </c>
      <c r="BS1051" t="s">
        <v>7864</v>
      </c>
      <c r="BT1051" t="str">
        <f>HYPERLINK("https%3A%2F%2Fwww.webofscience.com%2Fwos%2Fwoscc%2Ffull-record%2FWOS:000504858100018","View Full Record in Web of Science")</f>
        <v>View Full Record in Web of Science</v>
      </c>
    </row>
    <row r="1052" spans="1:72" x14ac:dyDescent="0.4">
      <c r="A1052" t="s">
        <v>72</v>
      </c>
      <c r="B1052" t="s">
        <v>2926</v>
      </c>
      <c r="C1052" t="s">
        <v>74</v>
      </c>
      <c r="D1052" t="s">
        <v>74</v>
      </c>
      <c r="E1052" t="s">
        <v>74</v>
      </c>
      <c r="F1052" t="s">
        <v>2927</v>
      </c>
      <c r="G1052" t="s">
        <v>74</v>
      </c>
      <c r="H1052" t="s">
        <v>74</v>
      </c>
      <c r="I1052" t="s">
        <v>2928</v>
      </c>
      <c r="J1052" t="s">
        <v>2929</v>
      </c>
      <c r="K1052" t="s">
        <v>74</v>
      </c>
      <c r="L1052" t="s">
        <v>74</v>
      </c>
      <c r="M1052" t="s">
        <v>74</v>
      </c>
      <c r="N1052" t="s">
        <v>74</v>
      </c>
      <c r="O1052" t="s">
        <v>74</v>
      </c>
      <c r="P1052" t="s">
        <v>74</v>
      </c>
      <c r="Q1052" t="s">
        <v>74</v>
      </c>
      <c r="R1052" t="s">
        <v>74</v>
      </c>
      <c r="S1052" t="s">
        <v>74</v>
      </c>
      <c r="T1052" t="s">
        <v>74</v>
      </c>
      <c r="U1052" t="s">
        <v>74</v>
      </c>
      <c r="V1052" s="3" t="s">
        <v>2930</v>
      </c>
      <c r="W1052" t="s">
        <v>74</v>
      </c>
      <c r="X1052" t="s">
        <v>74</v>
      </c>
      <c r="Y1052" t="s">
        <v>74</v>
      </c>
      <c r="Z1052" t="s">
        <v>74</v>
      </c>
      <c r="AA1052" t="s">
        <v>74</v>
      </c>
      <c r="AB1052" t="s">
        <v>2931</v>
      </c>
      <c r="AC1052" t="s">
        <v>74</v>
      </c>
      <c r="AD1052" t="s">
        <v>74</v>
      </c>
      <c r="AE1052" t="s">
        <v>74</v>
      </c>
      <c r="AF1052" t="s">
        <v>74</v>
      </c>
      <c r="AG1052" t="s">
        <v>74</v>
      </c>
      <c r="AH1052" t="s">
        <v>74</v>
      </c>
      <c r="AI1052" t="s">
        <v>74</v>
      </c>
      <c r="AJ1052" t="s">
        <v>74</v>
      </c>
      <c r="AK1052" t="s">
        <v>74</v>
      </c>
      <c r="AL1052" t="s">
        <v>74</v>
      </c>
      <c r="AM1052" t="s">
        <v>74</v>
      </c>
      <c r="AN1052" t="s">
        <v>74</v>
      </c>
      <c r="AO1052" t="s">
        <v>2932</v>
      </c>
      <c r="AP1052" t="s">
        <v>74</v>
      </c>
      <c r="AQ1052" t="s">
        <v>74</v>
      </c>
      <c r="AR1052" t="s">
        <v>74</v>
      </c>
      <c r="AS1052" t="s">
        <v>74</v>
      </c>
      <c r="AT1052" t="s">
        <v>305</v>
      </c>
      <c r="AU1052">
        <v>2021</v>
      </c>
      <c r="AV1052">
        <v>21</v>
      </c>
      <c r="AW1052">
        <v>1</v>
      </c>
      <c r="AX1052" t="s">
        <v>74</v>
      </c>
      <c r="AY1052" t="s">
        <v>74</v>
      </c>
      <c r="AZ1052" t="s">
        <v>74</v>
      </c>
      <c r="BA1052" t="s">
        <v>74</v>
      </c>
      <c r="BB1052">
        <v>80</v>
      </c>
      <c r="BC1052">
        <v>84</v>
      </c>
      <c r="BD1052" t="s">
        <v>74</v>
      </c>
      <c r="BE1052" t="s">
        <v>2933</v>
      </c>
      <c r="BF1052" t="str">
        <f>HYPERLINK("http://dx.doi.org/10.2994/SAJH-D-20-00015.1","http://dx.doi.org/10.2994/SAJH-D-20-00015.1")</f>
        <v>http://dx.doi.org/10.2994/SAJH-D-20-00015.1</v>
      </c>
      <c r="BG1052" t="s">
        <v>74</v>
      </c>
      <c r="BH1052" t="s">
        <v>74</v>
      </c>
      <c r="BI1052" t="s">
        <v>74</v>
      </c>
      <c r="BJ1052" t="s">
        <v>74</v>
      </c>
      <c r="BK1052" t="s">
        <v>74</v>
      </c>
      <c r="BL1052" t="s">
        <v>74</v>
      </c>
      <c r="BM1052" t="s">
        <v>74</v>
      </c>
      <c r="BN1052" t="s">
        <v>74</v>
      </c>
      <c r="BO1052" t="s">
        <v>74</v>
      </c>
      <c r="BP1052" t="s">
        <v>74</v>
      </c>
      <c r="BQ1052" t="s">
        <v>74</v>
      </c>
      <c r="BR1052" t="s">
        <v>74</v>
      </c>
      <c r="BS1052" t="s">
        <v>2934</v>
      </c>
      <c r="BT1052" t="str">
        <f>HYPERLINK("https%3A%2F%2Fwww.webofscience.com%2Fwos%2Fwoscc%2Ffull-record%2FWOS:000739788300008","View Full Record in Web of Science")</f>
        <v>View Full Record in Web of Science</v>
      </c>
    </row>
    <row r="1053" spans="1:72" x14ac:dyDescent="0.4">
      <c r="A1053" t="s">
        <v>72</v>
      </c>
      <c r="B1053" t="s">
        <v>5251</v>
      </c>
      <c r="C1053" t="s">
        <v>74</v>
      </c>
      <c r="D1053" t="s">
        <v>74</v>
      </c>
      <c r="E1053" t="s">
        <v>74</v>
      </c>
      <c r="F1053" t="s">
        <v>5252</v>
      </c>
      <c r="G1053" t="s">
        <v>74</v>
      </c>
      <c r="H1053" t="s">
        <v>74</v>
      </c>
      <c r="I1053" t="s">
        <v>5253</v>
      </c>
      <c r="J1053" t="s">
        <v>129</v>
      </c>
      <c r="K1053" t="s">
        <v>74</v>
      </c>
      <c r="L1053" t="s">
        <v>74</v>
      </c>
      <c r="M1053" t="s">
        <v>74</v>
      </c>
      <c r="N1053" t="s">
        <v>74</v>
      </c>
      <c r="O1053" t="s">
        <v>74</v>
      </c>
      <c r="P1053" t="s">
        <v>74</v>
      </c>
      <c r="Q1053" t="s">
        <v>74</v>
      </c>
      <c r="R1053" t="s">
        <v>74</v>
      </c>
      <c r="S1053" t="s">
        <v>74</v>
      </c>
      <c r="T1053" t="s">
        <v>74</v>
      </c>
      <c r="U1053" t="s">
        <v>74</v>
      </c>
      <c r="V1053" s="3" t="s">
        <v>5254</v>
      </c>
      <c r="W1053" t="s">
        <v>74</v>
      </c>
      <c r="X1053" t="s">
        <v>74</v>
      </c>
      <c r="Y1053" t="s">
        <v>74</v>
      </c>
      <c r="Z1053" t="s">
        <v>74</v>
      </c>
      <c r="AA1053" t="s">
        <v>74</v>
      </c>
      <c r="AB1053" t="s">
        <v>322</v>
      </c>
      <c r="AC1053" t="s">
        <v>74</v>
      </c>
      <c r="AD1053" t="s">
        <v>74</v>
      </c>
      <c r="AE1053" t="s">
        <v>74</v>
      </c>
      <c r="AF1053" t="s">
        <v>74</v>
      </c>
      <c r="AG1053" t="s">
        <v>74</v>
      </c>
      <c r="AH1053" t="s">
        <v>74</v>
      </c>
      <c r="AI1053" t="s">
        <v>74</v>
      </c>
      <c r="AJ1053" t="s">
        <v>74</v>
      </c>
      <c r="AK1053" t="s">
        <v>74</v>
      </c>
      <c r="AL1053" t="s">
        <v>74</v>
      </c>
      <c r="AM1053" t="s">
        <v>74</v>
      </c>
      <c r="AN1053" t="s">
        <v>74</v>
      </c>
      <c r="AO1053" t="s">
        <v>132</v>
      </c>
      <c r="AP1053" t="s">
        <v>133</v>
      </c>
      <c r="AQ1053" t="s">
        <v>74</v>
      </c>
      <c r="AR1053" t="s">
        <v>74</v>
      </c>
      <c r="AS1053" t="s">
        <v>74</v>
      </c>
      <c r="AT1053" t="s">
        <v>352</v>
      </c>
      <c r="AU1053">
        <v>2013</v>
      </c>
      <c r="AV1053">
        <v>67</v>
      </c>
      <c r="AW1053">
        <v>9</v>
      </c>
      <c r="AX1053" t="s">
        <v>74</v>
      </c>
      <c r="AY1053" t="s">
        <v>74</v>
      </c>
      <c r="AZ1053" t="s">
        <v>848</v>
      </c>
      <c r="BA1053" t="s">
        <v>74</v>
      </c>
      <c r="BB1053">
        <v>1499</v>
      </c>
      <c r="BC1053">
        <v>1511</v>
      </c>
      <c r="BD1053" t="s">
        <v>74</v>
      </c>
      <c r="BE1053" t="s">
        <v>5255</v>
      </c>
      <c r="BF1053" t="str">
        <f>HYPERLINK("http://dx.doi.org/10.1007/s00265-013-1492-y","http://dx.doi.org/10.1007/s00265-013-1492-y")</f>
        <v>http://dx.doi.org/10.1007/s00265-013-1492-y</v>
      </c>
      <c r="BG1053" t="s">
        <v>74</v>
      </c>
      <c r="BH1053" t="s">
        <v>74</v>
      </c>
      <c r="BI1053" t="s">
        <v>74</v>
      </c>
      <c r="BJ1053" t="s">
        <v>74</v>
      </c>
      <c r="BK1053" t="s">
        <v>74</v>
      </c>
      <c r="BL1053" t="s">
        <v>74</v>
      </c>
      <c r="BM1053" t="s">
        <v>74</v>
      </c>
      <c r="BN1053" t="s">
        <v>74</v>
      </c>
      <c r="BO1053" t="s">
        <v>74</v>
      </c>
      <c r="BP1053" t="s">
        <v>74</v>
      </c>
      <c r="BQ1053" t="s">
        <v>74</v>
      </c>
      <c r="BR1053" t="s">
        <v>74</v>
      </c>
      <c r="BS1053" t="s">
        <v>5256</v>
      </c>
      <c r="BT1053" t="str">
        <f>HYPERLINK("https%3A%2F%2Fwww.webofscience.com%2Fwos%2Fwoscc%2Ffull-record%2FWOS:000323103400012","View Full Record in Web of Science")</f>
        <v>View Full Record in Web of Science</v>
      </c>
    </row>
    <row r="1054" spans="1:72" x14ac:dyDescent="0.4">
      <c r="A1054" t="s">
        <v>72</v>
      </c>
      <c r="B1054" t="s">
        <v>7746</v>
      </c>
      <c r="C1054" t="s">
        <v>74</v>
      </c>
      <c r="D1054" t="s">
        <v>74</v>
      </c>
      <c r="E1054" t="s">
        <v>74</v>
      </c>
      <c r="F1054" t="s">
        <v>7747</v>
      </c>
      <c r="G1054" t="s">
        <v>74</v>
      </c>
      <c r="H1054" t="s">
        <v>74</v>
      </c>
      <c r="I1054" t="s">
        <v>7748</v>
      </c>
      <c r="J1054" t="s">
        <v>2017</v>
      </c>
      <c r="K1054" t="s">
        <v>74</v>
      </c>
      <c r="L1054" t="s">
        <v>74</v>
      </c>
      <c r="M1054" t="s">
        <v>74</v>
      </c>
      <c r="N1054" t="s">
        <v>74</v>
      </c>
      <c r="O1054" t="s">
        <v>74</v>
      </c>
      <c r="P1054" t="s">
        <v>74</v>
      </c>
      <c r="Q1054" t="s">
        <v>74</v>
      </c>
      <c r="R1054" t="s">
        <v>74</v>
      </c>
      <c r="S1054" t="s">
        <v>74</v>
      </c>
      <c r="T1054" t="s">
        <v>74</v>
      </c>
      <c r="U1054" t="s">
        <v>74</v>
      </c>
      <c r="V1054" s="3" t="s">
        <v>7749</v>
      </c>
      <c r="W1054" t="s">
        <v>74</v>
      </c>
      <c r="X1054" t="s">
        <v>74</v>
      </c>
      <c r="Y1054" t="s">
        <v>74</v>
      </c>
      <c r="Z1054" t="s">
        <v>74</v>
      </c>
      <c r="AA1054" t="s">
        <v>7750</v>
      </c>
      <c r="AB1054" t="s">
        <v>7751</v>
      </c>
      <c r="AC1054" t="s">
        <v>74</v>
      </c>
      <c r="AD1054" t="s">
        <v>74</v>
      </c>
      <c r="AE1054" t="s">
        <v>74</v>
      </c>
      <c r="AF1054" t="s">
        <v>74</v>
      </c>
      <c r="AG1054" t="s">
        <v>74</v>
      </c>
      <c r="AH1054" t="s">
        <v>74</v>
      </c>
      <c r="AI1054" t="s">
        <v>74</v>
      </c>
      <c r="AJ1054" t="s">
        <v>74</v>
      </c>
      <c r="AK1054" t="s">
        <v>74</v>
      </c>
      <c r="AL1054" t="s">
        <v>74</v>
      </c>
      <c r="AM1054" t="s">
        <v>74</v>
      </c>
      <c r="AN1054" t="s">
        <v>74</v>
      </c>
      <c r="AO1054" t="s">
        <v>2021</v>
      </c>
      <c r="AP1054" t="s">
        <v>74</v>
      </c>
      <c r="AQ1054" t="s">
        <v>74</v>
      </c>
      <c r="AR1054" t="s">
        <v>74</v>
      </c>
      <c r="AS1054" t="s">
        <v>74</v>
      </c>
      <c r="AT1054" t="s">
        <v>493</v>
      </c>
      <c r="AU1054">
        <v>2022</v>
      </c>
      <c r="AV1054">
        <v>10</v>
      </c>
      <c r="AW1054" t="s">
        <v>74</v>
      </c>
      <c r="AX1054" t="s">
        <v>74</v>
      </c>
      <c r="AY1054" t="s">
        <v>74</v>
      </c>
      <c r="AZ1054" t="s">
        <v>74</v>
      </c>
      <c r="BA1054" t="s">
        <v>74</v>
      </c>
      <c r="BB1054" t="s">
        <v>74</v>
      </c>
      <c r="BC1054" t="s">
        <v>74</v>
      </c>
      <c r="BD1054">
        <v>890874</v>
      </c>
      <c r="BE1054" t="s">
        <v>7752</v>
      </c>
      <c r="BF1054" t="str">
        <f>HYPERLINK("http://dx.doi.org/10.3389/fevo.2022.890874","http://dx.doi.org/10.3389/fevo.2022.890874")</f>
        <v>http://dx.doi.org/10.3389/fevo.2022.890874</v>
      </c>
      <c r="BG1054" t="s">
        <v>74</v>
      </c>
      <c r="BH1054" t="s">
        <v>74</v>
      </c>
      <c r="BI1054" t="s">
        <v>74</v>
      </c>
      <c r="BJ1054" t="s">
        <v>74</v>
      </c>
      <c r="BK1054" t="s">
        <v>74</v>
      </c>
      <c r="BL1054" t="s">
        <v>74</v>
      </c>
      <c r="BM1054" t="s">
        <v>74</v>
      </c>
      <c r="BN1054" t="s">
        <v>74</v>
      </c>
      <c r="BO1054" t="s">
        <v>74</v>
      </c>
      <c r="BP1054" t="s">
        <v>74</v>
      </c>
      <c r="BQ1054" t="s">
        <v>74</v>
      </c>
      <c r="BR1054" t="s">
        <v>74</v>
      </c>
      <c r="BS1054" t="s">
        <v>7753</v>
      </c>
      <c r="BT1054" t="str">
        <f>HYPERLINK("https%3A%2F%2Fwww.webofscience.com%2Fwos%2Fwoscc%2Ffull-record%2FWOS:000837071500001","View Full Record in Web of Science")</f>
        <v>View Full Record in Web of Science</v>
      </c>
    </row>
    <row r="1055" spans="1:72" x14ac:dyDescent="0.4">
      <c r="A1055" t="s">
        <v>72</v>
      </c>
      <c r="B1055" t="s">
        <v>8731</v>
      </c>
      <c r="C1055" t="s">
        <v>74</v>
      </c>
      <c r="D1055" t="s">
        <v>74</v>
      </c>
      <c r="E1055" t="s">
        <v>74</v>
      </c>
      <c r="F1055" t="s">
        <v>8732</v>
      </c>
      <c r="G1055" t="s">
        <v>74</v>
      </c>
      <c r="H1055" t="s">
        <v>74</v>
      </c>
      <c r="I1055" t="s">
        <v>8733</v>
      </c>
      <c r="J1055" t="s">
        <v>171</v>
      </c>
      <c r="K1055" t="s">
        <v>74</v>
      </c>
      <c r="L1055" t="s">
        <v>74</v>
      </c>
      <c r="M1055" t="s">
        <v>74</v>
      </c>
      <c r="N1055" t="s">
        <v>74</v>
      </c>
      <c r="O1055" t="s">
        <v>74</v>
      </c>
      <c r="P1055" t="s">
        <v>74</v>
      </c>
      <c r="Q1055" t="s">
        <v>74</v>
      </c>
      <c r="R1055" t="s">
        <v>74</v>
      </c>
      <c r="S1055" t="s">
        <v>74</v>
      </c>
      <c r="T1055" t="s">
        <v>74</v>
      </c>
      <c r="U1055" t="s">
        <v>74</v>
      </c>
      <c r="V1055" s="3" t="s">
        <v>8734</v>
      </c>
      <c r="W1055" t="s">
        <v>74</v>
      </c>
      <c r="X1055" t="s">
        <v>74</v>
      </c>
      <c r="Y1055" t="s">
        <v>74</v>
      </c>
      <c r="Z1055" t="s">
        <v>74</v>
      </c>
      <c r="AA1055" t="s">
        <v>8735</v>
      </c>
      <c r="AB1055" t="s">
        <v>8736</v>
      </c>
      <c r="AC1055" t="s">
        <v>74</v>
      </c>
      <c r="AD1055" t="s">
        <v>74</v>
      </c>
      <c r="AE1055" t="s">
        <v>74</v>
      </c>
      <c r="AF1055" t="s">
        <v>74</v>
      </c>
      <c r="AG1055" t="s">
        <v>74</v>
      </c>
      <c r="AH1055" t="s">
        <v>74</v>
      </c>
      <c r="AI1055" t="s">
        <v>74</v>
      </c>
      <c r="AJ1055" t="s">
        <v>74</v>
      </c>
      <c r="AK1055" t="s">
        <v>74</v>
      </c>
      <c r="AL1055" t="s">
        <v>74</v>
      </c>
      <c r="AM1055" t="s">
        <v>74</v>
      </c>
      <c r="AN1055" t="s">
        <v>74</v>
      </c>
      <c r="AO1055" t="s">
        <v>173</v>
      </c>
      <c r="AP1055" t="s">
        <v>174</v>
      </c>
      <c r="AQ1055" t="s">
        <v>74</v>
      </c>
      <c r="AR1055" t="s">
        <v>74</v>
      </c>
      <c r="AS1055" t="s">
        <v>74</v>
      </c>
      <c r="AT1055" t="s">
        <v>633</v>
      </c>
      <c r="AU1055">
        <v>2012</v>
      </c>
      <c r="AV1055">
        <v>66</v>
      </c>
      <c r="AW1055">
        <v>4</v>
      </c>
      <c r="AX1055" t="s">
        <v>74</v>
      </c>
      <c r="AY1055" t="s">
        <v>74</v>
      </c>
      <c r="AZ1055" t="s">
        <v>74</v>
      </c>
      <c r="BA1055" t="s">
        <v>74</v>
      </c>
      <c r="BB1055">
        <v>1167</v>
      </c>
      <c r="BC1055">
        <v>1179</v>
      </c>
      <c r="BD1055" t="s">
        <v>74</v>
      </c>
      <c r="BE1055" t="s">
        <v>8737</v>
      </c>
      <c r="BF1055" t="str">
        <f>HYPERLINK("http://dx.doi.org/10.1111/j.1558-5646.2011.01518.x","http://dx.doi.org/10.1111/j.1558-5646.2011.01518.x")</f>
        <v>http://dx.doi.org/10.1111/j.1558-5646.2011.01518.x</v>
      </c>
      <c r="BG1055" t="s">
        <v>74</v>
      </c>
      <c r="BH1055" t="s">
        <v>74</v>
      </c>
      <c r="BI1055" t="s">
        <v>74</v>
      </c>
      <c r="BJ1055" t="s">
        <v>74</v>
      </c>
      <c r="BK1055" t="s">
        <v>74</v>
      </c>
      <c r="BL1055" t="s">
        <v>74</v>
      </c>
      <c r="BM1055" t="s">
        <v>74</v>
      </c>
      <c r="BN1055">
        <v>22486696</v>
      </c>
      <c r="BO1055" t="s">
        <v>74</v>
      </c>
      <c r="BP1055" t="s">
        <v>74</v>
      </c>
      <c r="BQ1055" t="s">
        <v>74</v>
      </c>
      <c r="BR1055" t="s">
        <v>74</v>
      </c>
      <c r="BS1055" t="s">
        <v>8738</v>
      </c>
      <c r="BT1055" t="str">
        <f>HYPERLINK("https%3A%2F%2Fwww.webofscience.com%2Fwos%2Fwoscc%2Ffull-record%2FWOS:000302546700016","View Full Record in Web of Science")</f>
        <v>View Full Record in Web of Science</v>
      </c>
    </row>
    <row r="1056" spans="1:72" x14ac:dyDescent="0.4">
      <c r="A1056" t="s">
        <v>72</v>
      </c>
      <c r="B1056" t="s">
        <v>2540</v>
      </c>
      <c r="C1056" t="s">
        <v>74</v>
      </c>
      <c r="D1056" t="s">
        <v>74</v>
      </c>
      <c r="E1056" t="s">
        <v>74</v>
      </c>
      <c r="F1056" t="s">
        <v>2541</v>
      </c>
      <c r="G1056" t="s">
        <v>74</v>
      </c>
      <c r="H1056" t="s">
        <v>74</v>
      </c>
      <c r="I1056" t="s">
        <v>2542</v>
      </c>
      <c r="J1056" t="s">
        <v>775</v>
      </c>
      <c r="K1056" t="s">
        <v>74</v>
      </c>
      <c r="L1056" t="s">
        <v>74</v>
      </c>
      <c r="M1056" t="s">
        <v>74</v>
      </c>
      <c r="N1056" t="s">
        <v>74</v>
      </c>
      <c r="O1056" t="s">
        <v>74</v>
      </c>
      <c r="P1056" t="s">
        <v>74</v>
      </c>
      <c r="Q1056" t="s">
        <v>74</v>
      </c>
      <c r="R1056" t="s">
        <v>74</v>
      </c>
      <c r="S1056" t="s">
        <v>74</v>
      </c>
      <c r="T1056" t="s">
        <v>74</v>
      </c>
      <c r="U1056" t="s">
        <v>74</v>
      </c>
      <c r="V1056" s="3" t="s">
        <v>2543</v>
      </c>
      <c r="W1056" t="s">
        <v>74</v>
      </c>
      <c r="X1056" t="s">
        <v>74</v>
      </c>
      <c r="Y1056" t="s">
        <v>74</v>
      </c>
      <c r="Z1056" t="s">
        <v>74</v>
      </c>
      <c r="AA1056" t="s">
        <v>2544</v>
      </c>
      <c r="AB1056" t="s">
        <v>1704</v>
      </c>
      <c r="AC1056" t="s">
        <v>74</v>
      </c>
      <c r="AD1056" t="s">
        <v>74</v>
      </c>
      <c r="AE1056" t="s">
        <v>74</v>
      </c>
      <c r="AF1056" t="s">
        <v>74</v>
      </c>
      <c r="AG1056" t="s">
        <v>74</v>
      </c>
      <c r="AH1056" t="s">
        <v>74</v>
      </c>
      <c r="AI1056" t="s">
        <v>74</v>
      </c>
      <c r="AJ1056" t="s">
        <v>74</v>
      </c>
      <c r="AK1056" t="s">
        <v>74</v>
      </c>
      <c r="AL1056" t="s">
        <v>74</v>
      </c>
      <c r="AM1056" t="s">
        <v>74</v>
      </c>
      <c r="AN1056" t="s">
        <v>74</v>
      </c>
      <c r="AO1056" t="s">
        <v>778</v>
      </c>
      <c r="AP1056" t="s">
        <v>74</v>
      </c>
      <c r="AQ1056" t="s">
        <v>74</v>
      </c>
      <c r="AR1056" t="s">
        <v>74</v>
      </c>
      <c r="AS1056" t="s">
        <v>74</v>
      </c>
      <c r="AT1056" t="s">
        <v>74</v>
      </c>
      <c r="AU1056">
        <v>2013</v>
      </c>
      <c r="AV1056">
        <v>59</v>
      </c>
      <c r="AW1056">
        <v>2</v>
      </c>
      <c r="AX1056" t="s">
        <v>74</v>
      </c>
      <c r="AY1056" t="s">
        <v>74</v>
      </c>
      <c r="AZ1056" t="s">
        <v>74</v>
      </c>
      <c r="BA1056" t="s">
        <v>74</v>
      </c>
      <c r="BB1056">
        <v>221</v>
      </c>
      <c r="BC1056">
        <v>229</v>
      </c>
      <c r="BD1056" t="s">
        <v>74</v>
      </c>
      <c r="BE1056" t="s">
        <v>2545</v>
      </c>
      <c r="BF1056" t="str">
        <f>HYPERLINK("http://dx.doi.org/10.1093/czoolo/59.2.221","http://dx.doi.org/10.1093/czoolo/59.2.221")</f>
        <v>http://dx.doi.org/10.1093/czoolo/59.2.221</v>
      </c>
      <c r="BG1056" t="s">
        <v>74</v>
      </c>
      <c r="BH1056" t="s">
        <v>74</v>
      </c>
      <c r="BI1056" t="s">
        <v>74</v>
      </c>
      <c r="BJ1056" t="s">
        <v>74</v>
      </c>
      <c r="BK1056" t="s">
        <v>74</v>
      </c>
      <c r="BL1056" t="s">
        <v>74</v>
      </c>
      <c r="BM1056" t="s">
        <v>74</v>
      </c>
      <c r="BN1056" t="s">
        <v>74</v>
      </c>
      <c r="BO1056" t="s">
        <v>74</v>
      </c>
      <c r="BP1056" t="s">
        <v>74</v>
      </c>
      <c r="BQ1056" t="s">
        <v>74</v>
      </c>
      <c r="BR1056" t="s">
        <v>74</v>
      </c>
      <c r="BS1056" t="s">
        <v>2546</v>
      </c>
      <c r="BT1056" t="str">
        <f>HYPERLINK("https%3A%2F%2Fwww.webofscience.com%2Fwos%2Fwoscc%2Ffull-record%2FWOS:000315813200009","View Full Record in Web of Science")</f>
        <v>View Full Record in Web of Science</v>
      </c>
    </row>
    <row r="1057" spans="1:72" x14ac:dyDescent="0.4">
      <c r="A1057" t="s">
        <v>72</v>
      </c>
      <c r="B1057" t="s">
        <v>7820</v>
      </c>
      <c r="C1057" t="s">
        <v>74</v>
      </c>
      <c r="D1057" t="s">
        <v>74</v>
      </c>
      <c r="E1057" t="s">
        <v>74</v>
      </c>
      <c r="F1057" t="s">
        <v>7821</v>
      </c>
      <c r="G1057" t="s">
        <v>74</v>
      </c>
      <c r="H1057" t="s">
        <v>74</v>
      </c>
      <c r="I1057" t="s">
        <v>7822</v>
      </c>
      <c r="J1057" t="s">
        <v>1237</v>
      </c>
      <c r="K1057" t="s">
        <v>74</v>
      </c>
      <c r="L1057" t="s">
        <v>74</v>
      </c>
      <c r="M1057" t="s">
        <v>74</v>
      </c>
      <c r="N1057" t="s">
        <v>74</v>
      </c>
      <c r="O1057" t="s">
        <v>74</v>
      </c>
      <c r="P1057" t="s">
        <v>74</v>
      </c>
      <c r="Q1057" t="s">
        <v>74</v>
      </c>
      <c r="R1057" t="s">
        <v>74</v>
      </c>
      <c r="S1057" t="s">
        <v>74</v>
      </c>
      <c r="T1057" t="s">
        <v>74</v>
      </c>
      <c r="U1057" t="s">
        <v>74</v>
      </c>
      <c r="V1057" s="3" t="s">
        <v>7823</v>
      </c>
      <c r="W1057" t="s">
        <v>74</v>
      </c>
      <c r="X1057" t="s">
        <v>74</v>
      </c>
      <c r="Y1057" t="s">
        <v>74</v>
      </c>
      <c r="Z1057" t="s">
        <v>74</v>
      </c>
      <c r="AA1057" t="s">
        <v>6718</v>
      </c>
      <c r="AB1057" t="s">
        <v>6719</v>
      </c>
      <c r="AC1057" t="s">
        <v>74</v>
      </c>
      <c r="AD1057" t="s">
        <v>74</v>
      </c>
      <c r="AE1057" t="s">
        <v>74</v>
      </c>
      <c r="AF1057" t="s">
        <v>74</v>
      </c>
      <c r="AG1057" t="s">
        <v>74</v>
      </c>
      <c r="AH1057" t="s">
        <v>74</v>
      </c>
      <c r="AI1057" t="s">
        <v>74</v>
      </c>
      <c r="AJ1057" t="s">
        <v>74</v>
      </c>
      <c r="AK1057" t="s">
        <v>74</v>
      </c>
      <c r="AL1057" t="s">
        <v>74</v>
      </c>
      <c r="AM1057" t="s">
        <v>74</v>
      </c>
      <c r="AN1057" t="s">
        <v>74</v>
      </c>
      <c r="AO1057" t="s">
        <v>1239</v>
      </c>
      <c r="AP1057" t="s">
        <v>74</v>
      </c>
      <c r="AQ1057" t="s">
        <v>74</v>
      </c>
      <c r="AR1057" t="s">
        <v>74</v>
      </c>
      <c r="AS1057" t="s">
        <v>74</v>
      </c>
      <c r="AT1057" t="s">
        <v>175</v>
      </c>
      <c r="AU1057">
        <v>2008</v>
      </c>
      <c r="AV1057">
        <v>86</v>
      </c>
      <c r="AW1057">
        <v>10</v>
      </c>
      <c r="AX1057" t="s">
        <v>74</v>
      </c>
      <c r="AY1057" t="s">
        <v>74</v>
      </c>
      <c r="AZ1057" t="s">
        <v>74</v>
      </c>
      <c r="BA1057" t="s">
        <v>74</v>
      </c>
      <c r="BB1057">
        <v>1131</v>
      </c>
      <c r="BC1057">
        <v>1138</v>
      </c>
      <c r="BD1057" t="s">
        <v>74</v>
      </c>
      <c r="BE1057" t="s">
        <v>7824</v>
      </c>
      <c r="BF1057" t="str">
        <f>HYPERLINK("http://dx.doi.org/10.1139/Z08-091","http://dx.doi.org/10.1139/Z08-091")</f>
        <v>http://dx.doi.org/10.1139/Z08-091</v>
      </c>
      <c r="BG1057" t="s">
        <v>74</v>
      </c>
      <c r="BH1057" t="s">
        <v>74</v>
      </c>
      <c r="BI1057" t="s">
        <v>74</v>
      </c>
      <c r="BJ1057" t="s">
        <v>74</v>
      </c>
      <c r="BK1057" t="s">
        <v>74</v>
      </c>
      <c r="BL1057" t="s">
        <v>74</v>
      </c>
      <c r="BM1057" t="s">
        <v>74</v>
      </c>
      <c r="BN1057" t="s">
        <v>74</v>
      </c>
      <c r="BO1057" t="s">
        <v>74</v>
      </c>
      <c r="BP1057" t="s">
        <v>74</v>
      </c>
      <c r="BQ1057" t="s">
        <v>74</v>
      </c>
      <c r="BR1057" t="s">
        <v>74</v>
      </c>
      <c r="BS1057" t="s">
        <v>7825</v>
      </c>
      <c r="BT1057" t="str">
        <f>HYPERLINK("https%3A%2F%2Fwww.webofscience.com%2Fwos%2Fwoscc%2Ffull-record%2FWOS:000260166800006","View Full Record in Web of Science")</f>
        <v>View Full Record in Web of Science</v>
      </c>
    </row>
    <row r="1058" spans="1:72" x14ac:dyDescent="0.4">
      <c r="A1058" t="s">
        <v>72</v>
      </c>
      <c r="B1058" t="s">
        <v>593</v>
      </c>
      <c r="C1058" t="s">
        <v>74</v>
      </c>
      <c r="D1058" t="s">
        <v>74</v>
      </c>
      <c r="E1058" t="s">
        <v>74</v>
      </c>
      <c r="F1058" t="s">
        <v>593</v>
      </c>
      <c r="G1058" t="s">
        <v>74</v>
      </c>
      <c r="H1058" t="s">
        <v>74</v>
      </c>
      <c r="I1058" t="s">
        <v>594</v>
      </c>
      <c r="J1058" t="s">
        <v>129</v>
      </c>
      <c r="K1058" t="s">
        <v>74</v>
      </c>
      <c r="L1058" t="s">
        <v>74</v>
      </c>
      <c r="M1058" t="s">
        <v>74</v>
      </c>
      <c r="N1058" t="s">
        <v>74</v>
      </c>
      <c r="O1058" t="s">
        <v>74</v>
      </c>
      <c r="P1058" t="s">
        <v>74</v>
      </c>
      <c r="Q1058" t="s">
        <v>74</v>
      </c>
      <c r="R1058" t="s">
        <v>74</v>
      </c>
      <c r="S1058" t="s">
        <v>74</v>
      </c>
      <c r="T1058" t="s">
        <v>74</v>
      </c>
      <c r="U1058" t="s">
        <v>74</v>
      </c>
      <c r="V1058" s="3" t="s">
        <v>595</v>
      </c>
      <c r="W1058" t="s">
        <v>74</v>
      </c>
      <c r="X1058" t="s">
        <v>74</v>
      </c>
      <c r="Y1058" t="s">
        <v>74</v>
      </c>
      <c r="Z1058" t="s">
        <v>74</v>
      </c>
      <c r="AA1058" t="s">
        <v>596</v>
      </c>
      <c r="AB1058" t="s">
        <v>597</v>
      </c>
      <c r="AC1058" t="s">
        <v>74</v>
      </c>
      <c r="AD1058" t="s">
        <v>74</v>
      </c>
      <c r="AE1058" t="s">
        <v>74</v>
      </c>
      <c r="AF1058" t="s">
        <v>74</v>
      </c>
      <c r="AG1058" t="s">
        <v>74</v>
      </c>
      <c r="AH1058" t="s">
        <v>74</v>
      </c>
      <c r="AI1058" t="s">
        <v>74</v>
      </c>
      <c r="AJ1058" t="s">
        <v>74</v>
      </c>
      <c r="AK1058" t="s">
        <v>74</v>
      </c>
      <c r="AL1058" t="s">
        <v>74</v>
      </c>
      <c r="AM1058" t="s">
        <v>74</v>
      </c>
      <c r="AN1058" t="s">
        <v>74</v>
      </c>
      <c r="AO1058" t="s">
        <v>132</v>
      </c>
      <c r="AP1058" t="s">
        <v>133</v>
      </c>
      <c r="AQ1058" t="s">
        <v>74</v>
      </c>
      <c r="AR1058" t="s">
        <v>74</v>
      </c>
      <c r="AS1058" t="s">
        <v>74</v>
      </c>
      <c r="AT1058" t="s">
        <v>305</v>
      </c>
      <c r="AU1058">
        <v>2001</v>
      </c>
      <c r="AV1058">
        <v>51</v>
      </c>
      <c r="AW1058">
        <v>1</v>
      </c>
      <c r="AX1058" t="s">
        <v>74</v>
      </c>
      <c r="AY1058" t="s">
        <v>74</v>
      </c>
      <c r="AZ1058" t="s">
        <v>74</v>
      </c>
      <c r="BA1058" t="s">
        <v>74</v>
      </c>
      <c r="BB1058">
        <v>69</v>
      </c>
      <c r="BC1058">
        <v>75</v>
      </c>
      <c r="BD1058" t="s">
        <v>74</v>
      </c>
      <c r="BE1058" t="s">
        <v>74</v>
      </c>
      <c r="BF1058" t="s">
        <v>74</v>
      </c>
      <c r="BG1058" t="s">
        <v>74</v>
      </c>
      <c r="BH1058" t="s">
        <v>74</v>
      </c>
      <c r="BI1058" t="s">
        <v>74</v>
      </c>
      <c r="BJ1058" t="s">
        <v>74</v>
      </c>
      <c r="BK1058" t="s">
        <v>74</v>
      </c>
      <c r="BL1058" t="s">
        <v>74</v>
      </c>
      <c r="BM1058" t="s">
        <v>74</v>
      </c>
      <c r="BN1058" t="s">
        <v>74</v>
      </c>
      <c r="BO1058" t="s">
        <v>74</v>
      </c>
      <c r="BP1058" t="s">
        <v>74</v>
      </c>
      <c r="BQ1058" t="s">
        <v>74</v>
      </c>
      <c r="BR1058" t="s">
        <v>74</v>
      </c>
      <c r="BS1058" t="s">
        <v>598</v>
      </c>
      <c r="BT1058" t="str">
        <f>HYPERLINK("https%3A%2F%2Fwww.webofscience.com%2Fwos%2Fwoscc%2Ffull-record%2FWOS:000173034800009","View Full Record in Web of Science")</f>
        <v>View Full Record in Web of Science</v>
      </c>
    </row>
    <row r="1059" spans="1:72" x14ac:dyDescent="0.4">
      <c r="A1059" t="s">
        <v>72</v>
      </c>
      <c r="B1059" t="s">
        <v>593</v>
      </c>
      <c r="C1059" t="s">
        <v>74</v>
      </c>
      <c r="D1059" t="s">
        <v>74</v>
      </c>
      <c r="E1059" t="s">
        <v>74</v>
      </c>
      <c r="F1059" t="s">
        <v>593</v>
      </c>
      <c r="G1059" t="s">
        <v>74</v>
      </c>
      <c r="H1059" t="s">
        <v>74</v>
      </c>
      <c r="I1059" t="s">
        <v>3183</v>
      </c>
      <c r="J1059" t="s">
        <v>408</v>
      </c>
      <c r="K1059" t="s">
        <v>74</v>
      </c>
      <c r="L1059" t="s">
        <v>74</v>
      </c>
      <c r="M1059" t="s">
        <v>74</v>
      </c>
      <c r="N1059" t="s">
        <v>74</v>
      </c>
      <c r="O1059" t="s">
        <v>74</v>
      </c>
      <c r="P1059" t="s">
        <v>74</v>
      </c>
      <c r="Q1059" t="s">
        <v>74</v>
      </c>
      <c r="R1059" t="s">
        <v>74</v>
      </c>
      <c r="S1059" t="s">
        <v>74</v>
      </c>
      <c r="T1059" t="s">
        <v>74</v>
      </c>
      <c r="U1059" t="s">
        <v>74</v>
      </c>
      <c r="V1059" s="3" t="s">
        <v>3184</v>
      </c>
      <c r="W1059" t="s">
        <v>74</v>
      </c>
      <c r="X1059" t="s">
        <v>74</v>
      </c>
      <c r="Y1059" t="s">
        <v>74</v>
      </c>
      <c r="Z1059" t="s">
        <v>74</v>
      </c>
      <c r="AA1059" t="s">
        <v>2525</v>
      </c>
      <c r="AB1059" t="s">
        <v>597</v>
      </c>
      <c r="AC1059" t="s">
        <v>74</v>
      </c>
      <c r="AD1059" t="s">
        <v>74</v>
      </c>
      <c r="AE1059" t="s">
        <v>74</v>
      </c>
      <c r="AF1059" t="s">
        <v>74</v>
      </c>
      <c r="AG1059" t="s">
        <v>74</v>
      </c>
      <c r="AH1059" t="s">
        <v>74</v>
      </c>
      <c r="AI1059" t="s">
        <v>74</v>
      </c>
      <c r="AJ1059" t="s">
        <v>74</v>
      </c>
      <c r="AK1059" t="s">
        <v>74</v>
      </c>
      <c r="AL1059" t="s">
        <v>74</v>
      </c>
      <c r="AM1059" t="s">
        <v>74</v>
      </c>
      <c r="AN1059" t="s">
        <v>74</v>
      </c>
      <c r="AO1059" t="s">
        <v>412</v>
      </c>
      <c r="AP1059" t="s">
        <v>74</v>
      </c>
      <c r="AQ1059" t="s">
        <v>74</v>
      </c>
      <c r="AR1059" t="s">
        <v>74</v>
      </c>
      <c r="AS1059" t="s">
        <v>74</v>
      </c>
      <c r="AT1059" t="s">
        <v>305</v>
      </c>
      <c r="AU1059">
        <v>2005</v>
      </c>
      <c r="AV1059">
        <v>86</v>
      </c>
      <c r="AW1059">
        <v>4</v>
      </c>
      <c r="AX1059" t="s">
        <v>74</v>
      </c>
      <c r="AY1059" t="s">
        <v>74</v>
      </c>
      <c r="AZ1059" t="s">
        <v>74</v>
      </c>
      <c r="BA1059" t="s">
        <v>74</v>
      </c>
      <c r="BB1059">
        <v>515</v>
      </c>
      <c r="BC1059">
        <v>523</v>
      </c>
      <c r="BD1059" t="s">
        <v>74</v>
      </c>
      <c r="BE1059" t="s">
        <v>3185</v>
      </c>
      <c r="BF1059" t="str">
        <f>HYPERLINK("http://dx.doi.org/10.1111/j.1095-8312.2005.00551.x","http://dx.doi.org/10.1111/j.1095-8312.2005.00551.x")</f>
        <v>http://dx.doi.org/10.1111/j.1095-8312.2005.00551.x</v>
      </c>
      <c r="BG1059" t="s">
        <v>74</v>
      </c>
      <c r="BH1059" t="s">
        <v>74</v>
      </c>
      <c r="BI1059" t="s">
        <v>74</v>
      </c>
      <c r="BJ1059" t="s">
        <v>74</v>
      </c>
      <c r="BK1059" t="s">
        <v>74</v>
      </c>
      <c r="BL1059" t="s">
        <v>74</v>
      </c>
      <c r="BM1059" t="s">
        <v>74</v>
      </c>
      <c r="BN1059" t="s">
        <v>74</v>
      </c>
      <c r="BO1059" t="s">
        <v>74</v>
      </c>
      <c r="BP1059" t="s">
        <v>74</v>
      </c>
      <c r="BQ1059" t="s">
        <v>74</v>
      </c>
      <c r="BR1059" t="s">
        <v>74</v>
      </c>
      <c r="BS1059" t="s">
        <v>3186</v>
      </c>
      <c r="BT1059" t="str">
        <f>HYPERLINK("https%3A%2F%2Fwww.webofscience.com%2Fwos%2Fwoscc%2Ffull-record%2FWOS:000233621200008","View Full Record in Web of Science")</f>
        <v>View Full Record in Web of Science</v>
      </c>
    </row>
    <row r="1060" spans="1:72" x14ac:dyDescent="0.4">
      <c r="A1060" t="s">
        <v>72</v>
      </c>
      <c r="B1060" t="s">
        <v>2522</v>
      </c>
      <c r="C1060" t="s">
        <v>74</v>
      </c>
      <c r="D1060" t="s">
        <v>74</v>
      </c>
      <c r="E1060" t="s">
        <v>74</v>
      </c>
      <c r="F1060" t="s">
        <v>2522</v>
      </c>
      <c r="G1060" t="s">
        <v>74</v>
      </c>
      <c r="H1060" t="s">
        <v>74</v>
      </c>
      <c r="I1060" t="s">
        <v>2523</v>
      </c>
      <c r="J1060" t="s">
        <v>140</v>
      </c>
      <c r="K1060" t="s">
        <v>74</v>
      </c>
      <c r="L1060" t="s">
        <v>74</v>
      </c>
      <c r="M1060" t="s">
        <v>74</v>
      </c>
      <c r="N1060" t="s">
        <v>74</v>
      </c>
      <c r="O1060" t="s">
        <v>74</v>
      </c>
      <c r="P1060" t="s">
        <v>74</v>
      </c>
      <c r="Q1060" t="s">
        <v>74</v>
      </c>
      <c r="R1060" t="s">
        <v>74</v>
      </c>
      <c r="S1060" t="s">
        <v>74</v>
      </c>
      <c r="T1060" t="s">
        <v>74</v>
      </c>
      <c r="U1060" t="s">
        <v>74</v>
      </c>
      <c r="V1060" s="3" t="s">
        <v>2524</v>
      </c>
      <c r="W1060" t="s">
        <v>74</v>
      </c>
      <c r="X1060" t="s">
        <v>74</v>
      </c>
      <c r="Y1060" t="s">
        <v>74</v>
      </c>
      <c r="Z1060" t="s">
        <v>74</v>
      </c>
      <c r="AA1060" t="s">
        <v>2525</v>
      </c>
      <c r="AB1060" t="s">
        <v>2526</v>
      </c>
      <c r="AC1060" t="s">
        <v>74</v>
      </c>
      <c r="AD1060" t="s">
        <v>74</v>
      </c>
      <c r="AE1060" t="s">
        <v>74</v>
      </c>
      <c r="AF1060" t="s">
        <v>74</v>
      </c>
      <c r="AG1060" t="s">
        <v>74</v>
      </c>
      <c r="AH1060" t="s">
        <v>74</v>
      </c>
      <c r="AI1060" t="s">
        <v>74</v>
      </c>
      <c r="AJ1060" t="s">
        <v>74</v>
      </c>
      <c r="AK1060" t="s">
        <v>74</v>
      </c>
      <c r="AL1060" t="s">
        <v>74</v>
      </c>
      <c r="AM1060" t="s">
        <v>74</v>
      </c>
      <c r="AN1060" t="s">
        <v>74</v>
      </c>
      <c r="AO1060" t="s">
        <v>143</v>
      </c>
      <c r="AP1060" t="s">
        <v>74</v>
      </c>
      <c r="AQ1060" t="s">
        <v>74</v>
      </c>
      <c r="AR1060" t="s">
        <v>74</v>
      </c>
      <c r="AS1060" t="s">
        <v>74</v>
      </c>
      <c r="AT1060" t="s">
        <v>102</v>
      </c>
      <c r="AU1060">
        <v>1999</v>
      </c>
      <c r="AV1060">
        <v>57</v>
      </c>
      <c r="AW1060" t="s">
        <v>74</v>
      </c>
      <c r="AX1060">
        <v>6</v>
      </c>
      <c r="AY1060" t="s">
        <v>74</v>
      </c>
      <c r="AZ1060" t="s">
        <v>74</v>
      </c>
      <c r="BA1060" t="s">
        <v>74</v>
      </c>
      <c r="BB1060">
        <v>1229</v>
      </c>
      <c r="BC1060">
        <v>1232</v>
      </c>
      <c r="BD1060" t="s">
        <v>74</v>
      </c>
      <c r="BE1060" t="s">
        <v>2527</v>
      </c>
      <c r="BF1060" t="str">
        <f>HYPERLINK("http://dx.doi.org/10.1006/anbe.1999.1100","http://dx.doi.org/10.1006/anbe.1999.1100")</f>
        <v>http://dx.doi.org/10.1006/anbe.1999.1100</v>
      </c>
      <c r="BG1060" t="s">
        <v>74</v>
      </c>
      <c r="BH1060" t="s">
        <v>74</v>
      </c>
      <c r="BI1060" t="s">
        <v>74</v>
      </c>
      <c r="BJ1060" t="s">
        <v>74</v>
      </c>
      <c r="BK1060" t="s">
        <v>74</v>
      </c>
      <c r="BL1060" t="s">
        <v>74</v>
      </c>
      <c r="BM1060" t="s">
        <v>74</v>
      </c>
      <c r="BN1060">
        <v>10373255</v>
      </c>
      <c r="BO1060" t="s">
        <v>74</v>
      </c>
      <c r="BP1060" t="s">
        <v>74</v>
      </c>
      <c r="BQ1060" t="s">
        <v>74</v>
      </c>
      <c r="BR1060" t="s">
        <v>74</v>
      </c>
      <c r="BS1060" t="s">
        <v>2528</v>
      </c>
      <c r="BT1060" t="str">
        <f>HYPERLINK("https%3A%2F%2Fwww.webofscience.com%2Fwos%2Fwoscc%2Ffull-record%2FWOS:000080973100007","View Full Record in Web of Science")</f>
        <v>View Full Record in Web of Science</v>
      </c>
    </row>
    <row r="1061" spans="1:72" x14ac:dyDescent="0.4">
      <c r="A1061" t="s">
        <v>72</v>
      </c>
      <c r="B1061" t="s">
        <v>6794</v>
      </c>
      <c r="C1061" t="s">
        <v>74</v>
      </c>
      <c r="D1061" t="s">
        <v>74</v>
      </c>
      <c r="E1061" t="s">
        <v>74</v>
      </c>
      <c r="F1061" t="s">
        <v>6795</v>
      </c>
      <c r="G1061" t="s">
        <v>74</v>
      </c>
      <c r="H1061" t="s">
        <v>74</v>
      </c>
      <c r="I1061" t="s">
        <v>6796</v>
      </c>
      <c r="J1061" t="s">
        <v>2087</v>
      </c>
      <c r="K1061" t="s">
        <v>74</v>
      </c>
      <c r="L1061" t="s">
        <v>74</v>
      </c>
      <c r="M1061" t="s">
        <v>74</v>
      </c>
      <c r="N1061" t="s">
        <v>74</v>
      </c>
      <c r="O1061" t="s">
        <v>74</v>
      </c>
      <c r="P1061" t="s">
        <v>74</v>
      </c>
      <c r="Q1061" t="s">
        <v>74</v>
      </c>
      <c r="R1061" t="s">
        <v>74</v>
      </c>
      <c r="S1061" t="s">
        <v>74</v>
      </c>
      <c r="T1061" t="s">
        <v>74</v>
      </c>
      <c r="U1061" t="s">
        <v>74</v>
      </c>
      <c r="V1061" s="3" t="s">
        <v>6797</v>
      </c>
      <c r="W1061" t="s">
        <v>74</v>
      </c>
      <c r="X1061" t="s">
        <v>74</v>
      </c>
      <c r="Y1061" t="s">
        <v>74</v>
      </c>
      <c r="Z1061" t="s">
        <v>74</v>
      </c>
      <c r="AA1061" t="s">
        <v>6718</v>
      </c>
      <c r="AB1061" t="s">
        <v>6719</v>
      </c>
      <c r="AC1061" t="s">
        <v>74</v>
      </c>
      <c r="AD1061" t="s">
        <v>74</v>
      </c>
      <c r="AE1061" t="s">
        <v>74</v>
      </c>
      <c r="AF1061" t="s">
        <v>74</v>
      </c>
      <c r="AG1061" t="s">
        <v>74</v>
      </c>
      <c r="AH1061" t="s">
        <v>74</v>
      </c>
      <c r="AI1061" t="s">
        <v>74</v>
      </c>
      <c r="AJ1061" t="s">
        <v>74</v>
      </c>
      <c r="AK1061" t="s">
        <v>74</v>
      </c>
      <c r="AL1061" t="s">
        <v>74</v>
      </c>
      <c r="AM1061" t="s">
        <v>74</v>
      </c>
      <c r="AN1061" t="s">
        <v>74</v>
      </c>
      <c r="AO1061" t="s">
        <v>2089</v>
      </c>
      <c r="AP1061" t="s">
        <v>74</v>
      </c>
      <c r="AQ1061" t="s">
        <v>74</v>
      </c>
      <c r="AR1061" t="s">
        <v>74</v>
      </c>
      <c r="AS1061" t="s">
        <v>74</v>
      </c>
      <c r="AT1061" t="s">
        <v>74</v>
      </c>
      <c r="AU1061">
        <v>2007</v>
      </c>
      <c r="AV1061">
        <v>14</v>
      </c>
      <c r="AW1061">
        <v>1</v>
      </c>
      <c r="AX1061" t="s">
        <v>74</v>
      </c>
      <c r="AY1061" t="s">
        <v>74</v>
      </c>
      <c r="AZ1061" t="s">
        <v>74</v>
      </c>
      <c r="BA1061" t="s">
        <v>74</v>
      </c>
      <c r="BB1061">
        <v>1</v>
      </c>
      <c r="BC1061">
        <v>7</v>
      </c>
      <c r="BD1061" t="s">
        <v>74</v>
      </c>
      <c r="BE1061" t="s">
        <v>6798</v>
      </c>
      <c r="BF1061" t="str">
        <f>HYPERLINK("http://dx.doi.org/10.2980/1195-6860(2007)14[1:RIBNDS]2.0.CO;2","http://dx.doi.org/10.2980/1195-6860(2007)14[1:RIBNDS]2.0.CO;2")</f>
        <v>http://dx.doi.org/10.2980/1195-6860(2007)14[1:RIBNDS]2.0.CO;2</v>
      </c>
      <c r="BG1061" t="s">
        <v>74</v>
      </c>
      <c r="BH1061" t="s">
        <v>74</v>
      </c>
      <c r="BI1061" t="s">
        <v>74</v>
      </c>
      <c r="BJ1061" t="s">
        <v>74</v>
      </c>
      <c r="BK1061" t="s">
        <v>74</v>
      </c>
      <c r="BL1061" t="s">
        <v>74</v>
      </c>
      <c r="BM1061" t="s">
        <v>74</v>
      </c>
      <c r="BN1061" t="s">
        <v>74</v>
      </c>
      <c r="BO1061" t="s">
        <v>74</v>
      </c>
      <c r="BP1061" t="s">
        <v>74</v>
      </c>
      <c r="BQ1061" t="s">
        <v>74</v>
      </c>
      <c r="BR1061" t="s">
        <v>74</v>
      </c>
      <c r="BS1061" t="s">
        <v>6799</v>
      </c>
      <c r="BT1061" t="str">
        <f>HYPERLINK("https%3A%2F%2Fwww.webofscience.com%2Fwos%2Fwoscc%2Ffull-record%2FWOS:000245364700001","View Full Record in Web of Science")</f>
        <v>View Full Record in Web of Science</v>
      </c>
    </row>
    <row r="1062" spans="1:72" x14ac:dyDescent="0.4">
      <c r="A1062" t="s">
        <v>72</v>
      </c>
      <c r="B1062" t="s">
        <v>1159</v>
      </c>
      <c r="C1062" t="s">
        <v>74</v>
      </c>
      <c r="D1062" t="s">
        <v>74</v>
      </c>
      <c r="E1062" t="s">
        <v>74</v>
      </c>
      <c r="F1062" t="s">
        <v>1160</v>
      </c>
      <c r="G1062" t="s">
        <v>74</v>
      </c>
      <c r="H1062" t="s">
        <v>74</v>
      </c>
      <c r="I1062" t="s">
        <v>1161</v>
      </c>
      <c r="J1062" t="s">
        <v>576</v>
      </c>
      <c r="K1062" t="s">
        <v>74</v>
      </c>
      <c r="L1062" t="s">
        <v>74</v>
      </c>
      <c r="M1062" t="s">
        <v>74</v>
      </c>
      <c r="N1062" t="s">
        <v>74</v>
      </c>
      <c r="O1062" t="s">
        <v>74</v>
      </c>
      <c r="P1062" t="s">
        <v>74</v>
      </c>
      <c r="Q1062" t="s">
        <v>74</v>
      </c>
      <c r="R1062" t="s">
        <v>74</v>
      </c>
      <c r="S1062" t="s">
        <v>74</v>
      </c>
      <c r="T1062" t="s">
        <v>74</v>
      </c>
      <c r="U1062" t="s">
        <v>74</v>
      </c>
      <c r="V1062" s="3" t="s">
        <v>1162</v>
      </c>
      <c r="W1062" t="s">
        <v>74</v>
      </c>
      <c r="X1062" t="s">
        <v>74</v>
      </c>
      <c r="Y1062" t="s">
        <v>74</v>
      </c>
      <c r="Z1062" t="s">
        <v>74</v>
      </c>
      <c r="AA1062" t="s">
        <v>74</v>
      </c>
      <c r="AB1062" t="s">
        <v>1163</v>
      </c>
      <c r="AC1062" t="s">
        <v>74</v>
      </c>
      <c r="AD1062" t="s">
        <v>74</v>
      </c>
      <c r="AE1062" t="s">
        <v>74</v>
      </c>
      <c r="AF1062" t="s">
        <v>74</v>
      </c>
      <c r="AG1062" t="s">
        <v>74</v>
      </c>
      <c r="AH1062" t="s">
        <v>74</v>
      </c>
      <c r="AI1062" t="s">
        <v>74</v>
      </c>
      <c r="AJ1062" t="s">
        <v>74</v>
      </c>
      <c r="AK1062" t="s">
        <v>74</v>
      </c>
      <c r="AL1062" t="s">
        <v>74</v>
      </c>
      <c r="AM1062" t="s">
        <v>74</v>
      </c>
      <c r="AN1062" t="s">
        <v>74</v>
      </c>
      <c r="AO1062" t="s">
        <v>579</v>
      </c>
      <c r="AP1062" t="s">
        <v>74</v>
      </c>
      <c r="AQ1062" t="s">
        <v>74</v>
      </c>
      <c r="AR1062" t="s">
        <v>74</v>
      </c>
      <c r="AS1062" t="s">
        <v>74</v>
      </c>
      <c r="AT1062" t="s">
        <v>255</v>
      </c>
      <c r="AU1062">
        <v>2011</v>
      </c>
      <c r="AV1062">
        <v>25</v>
      </c>
      <c r="AW1062">
        <v>1</v>
      </c>
      <c r="AX1062" t="s">
        <v>74</v>
      </c>
      <c r="AY1062" t="s">
        <v>74</v>
      </c>
      <c r="AZ1062" t="s">
        <v>74</v>
      </c>
      <c r="BA1062" t="s">
        <v>74</v>
      </c>
      <c r="BB1062">
        <v>139</v>
      </c>
      <c r="BC1062">
        <v>154</v>
      </c>
      <c r="BD1062" t="s">
        <v>74</v>
      </c>
      <c r="BE1062" t="s">
        <v>1164</v>
      </c>
      <c r="BF1062" t="str">
        <f>HYPERLINK("http://dx.doi.org/10.1007/s10682-010-9388-z","http://dx.doi.org/10.1007/s10682-010-9388-z")</f>
        <v>http://dx.doi.org/10.1007/s10682-010-9388-z</v>
      </c>
      <c r="BG1062" t="s">
        <v>74</v>
      </c>
      <c r="BH1062" t="s">
        <v>74</v>
      </c>
      <c r="BI1062" t="s">
        <v>74</v>
      </c>
      <c r="BJ1062" t="s">
        <v>74</v>
      </c>
      <c r="BK1062" t="s">
        <v>74</v>
      </c>
      <c r="BL1062" t="s">
        <v>74</v>
      </c>
      <c r="BM1062" t="s">
        <v>74</v>
      </c>
      <c r="BN1062" t="s">
        <v>74</v>
      </c>
      <c r="BO1062" t="s">
        <v>74</v>
      </c>
      <c r="BP1062" t="s">
        <v>74</v>
      </c>
      <c r="BQ1062" t="s">
        <v>74</v>
      </c>
      <c r="BR1062" t="s">
        <v>74</v>
      </c>
      <c r="BS1062" t="s">
        <v>1165</v>
      </c>
      <c r="BT1062" t="str">
        <f>HYPERLINK("https%3A%2F%2Fwww.webofscience.com%2Fwos%2Fwoscc%2Ffull-record%2FWOS:000287600500010","View Full Record in Web of Science")</f>
        <v>View Full Record in Web of Science</v>
      </c>
    </row>
    <row r="1063" spans="1:72" x14ac:dyDescent="0.4">
      <c r="A1063" t="s">
        <v>72</v>
      </c>
      <c r="B1063" t="s">
        <v>1993</v>
      </c>
      <c r="C1063" t="s">
        <v>74</v>
      </c>
      <c r="D1063" t="s">
        <v>74</v>
      </c>
      <c r="E1063" t="s">
        <v>74</v>
      </c>
      <c r="F1063" t="s">
        <v>1993</v>
      </c>
      <c r="G1063" t="s">
        <v>74</v>
      </c>
      <c r="H1063" t="s">
        <v>74</v>
      </c>
      <c r="I1063" t="s">
        <v>1994</v>
      </c>
      <c r="J1063" t="s">
        <v>1995</v>
      </c>
      <c r="K1063" t="s">
        <v>74</v>
      </c>
      <c r="L1063" t="s">
        <v>74</v>
      </c>
      <c r="M1063" t="s">
        <v>74</v>
      </c>
      <c r="N1063" t="s">
        <v>74</v>
      </c>
      <c r="O1063" t="s">
        <v>74</v>
      </c>
      <c r="P1063" t="s">
        <v>74</v>
      </c>
      <c r="Q1063" t="s">
        <v>74</v>
      </c>
      <c r="R1063" t="s">
        <v>74</v>
      </c>
      <c r="S1063" t="s">
        <v>74</v>
      </c>
      <c r="T1063" t="s">
        <v>74</v>
      </c>
      <c r="U1063" t="s">
        <v>74</v>
      </c>
      <c r="V1063" s="3" t="s">
        <v>1996</v>
      </c>
      <c r="W1063" t="s">
        <v>74</v>
      </c>
      <c r="X1063" t="s">
        <v>74</v>
      </c>
      <c r="Y1063" t="s">
        <v>74</v>
      </c>
      <c r="Z1063" t="s">
        <v>74</v>
      </c>
      <c r="AA1063" t="s">
        <v>74</v>
      </c>
      <c r="AB1063" t="s">
        <v>74</v>
      </c>
      <c r="AC1063" t="s">
        <v>74</v>
      </c>
      <c r="AD1063" t="s">
        <v>74</v>
      </c>
      <c r="AE1063" t="s">
        <v>74</v>
      </c>
      <c r="AF1063" t="s">
        <v>74</v>
      </c>
      <c r="AG1063" t="s">
        <v>74</v>
      </c>
      <c r="AH1063" t="s">
        <v>74</v>
      </c>
      <c r="AI1063" t="s">
        <v>74</v>
      </c>
      <c r="AJ1063" t="s">
        <v>74</v>
      </c>
      <c r="AK1063" t="s">
        <v>74</v>
      </c>
      <c r="AL1063" t="s">
        <v>74</v>
      </c>
      <c r="AM1063" t="s">
        <v>74</v>
      </c>
      <c r="AN1063" t="s">
        <v>74</v>
      </c>
      <c r="AO1063" t="s">
        <v>1997</v>
      </c>
      <c r="AP1063" t="s">
        <v>74</v>
      </c>
      <c r="AQ1063" t="s">
        <v>74</v>
      </c>
      <c r="AR1063" t="s">
        <v>74</v>
      </c>
      <c r="AS1063" t="s">
        <v>74</v>
      </c>
      <c r="AT1063" t="s">
        <v>1998</v>
      </c>
      <c r="AU1063">
        <v>2003</v>
      </c>
      <c r="AV1063">
        <v>74</v>
      </c>
      <c r="AW1063">
        <v>4</v>
      </c>
      <c r="AX1063" t="s">
        <v>74</v>
      </c>
      <c r="AY1063" t="s">
        <v>74</v>
      </c>
      <c r="AZ1063" t="s">
        <v>74</v>
      </c>
      <c r="BA1063" t="s">
        <v>74</v>
      </c>
      <c r="BB1063">
        <v>406</v>
      </c>
      <c r="BC1063">
        <v>415</v>
      </c>
      <c r="BD1063" t="s">
        <v>74</v>
      </c>
      <c r="BE1063" t="s">
        <v>1999</v>
      </c>
      <c r="BF1063" t="str">
        <f>HYPERLINK("http://dx.doi.org/10.1648/0273-8570-74.4.406","http://dx.doi.org/10.1648/0273-8570-74.4.406")</f>
        <v>http://dx.doi.org/10.1648/0273-8570-74.4.406</v>
      </c>
      <c r="BG1063" t="s">
        <v>74</v>
      </c>
      <c r="BH1063" t="s">
        <v>74</v>
      </c>
      <c r="BI1063" t="s">
        <v>74</v>
      </c>
      <c r="BJ1063" t="s">
        <v>74</v>
      </c>
      <c r="BK1063" t="s">
        <v>74</v>
      </c>
      <c r="BL1063" t="s">
        <v>74</v>
      </c>
      <c r="BM1063" t="s">
        <v>74</v>
      </c>
      <c r="BN1063" t="s">
        <v>74</v>
      </c>
      <c r="BO1063" t="s">
        <v>74</v>
      </c>
      <c r="BP1063" t="s">
        <v>74</v>
      </c>
      <c r="BQ1063" t="s">
        <v>74</v>
      </c>
      <c r="BR1063" t="s">
        <v>74</v>
      </c>
      <c r="BS1063" t="s">
        <v>2000</v>
      </c>
      <c r="BT1063" t="str">
        <f>HYPERLINK("https%3A%2F%2Fwww.webofscience.com%2Fwos%2Fwoscc%2Ffull-record%2FWOS:000186208600011","View Full Record in Web of Science")</f>
        <v>View Full Record in Web of Science</v>
      </c>
    </row>
    <row r="1064" spans="1:72" x14ac:dyDescent="0.4">
      <c r="A1064" t="s">
        <v>72</v>
      </c>
      <c r="B1064" t="s">
        <v>7384</v>
      </c>
      <c r="C1064" t="s">
        <v>74</v>
      </c>
      <c r="D1064" t="s">
        <v>74</v>
      </c>
      <c r="E1064" t="s">
        <v>74</v>
      </c>
      <c r="F1064" t="s">
        <v>7385</v>
      </c>
      <c r="G1064" t="s">
        <v>74</v>
      </c>
      <c r="H1064" t="s">
        <v>74</v>
      </c>
      <c r="I1064" t="s">
        <v>7386</v>
      </c>
      <c r="J1064" t="s">
        <v>1526</v>
      </c>
      <c r="K1064" t="s">
        <v>74</v>
      </c>
      <c r="L1064" t="s">
        <v>74</v>
      </c>
      <c r="M1064" t="s">
        <v>74</v>
      </c>
      <c r="N1064" t="s">
        <v>74</v>
      </c>
      <c r="O1064" t="s">
        <v>74</v>
      </c>
      <c r="P1064" t="s">
        <v>74</v>
      </c>
      <c r="Q1064" t="s">
        <v>74</v>
      </c>
      <c r="R1064" t="s">
        <v>74</v>
      </c>
      <c r="S1064" t="s">
        <v>74</v>
      </c>
      <c r="T1064" t="s">
        <v>74</v>
      </c>
      <c r="U1064" t="s">
        <v>74</v>
      </c>
      <c r="V1064" s="3" t="s">
        <v>7387</v>
      </c>
      <c r="W1064" t="s">
        <v>74</v>
      </c>
      <c r="X1064" t="s">
        <v>74</v>
      </c>
      <c r="Y1064" t="s">
        <v>74</v>
      </c>
      <c r="Z1064" t="s">
        <v>74</v>
      </c>
      <c r="AA1064" t="s">
        <v>74</v>
      </c>
      <c r="AB1064" t="s">
        <v>74</v>
      </c>
      <c r="AC1064" t="s">
        <v>74</v>
      </c>
      <c r="AD1064" t="s">
        <v>74</v>
      </c>
      <c r="AE1064" t="s">
        <v>74</v>
      </c>
      <c r="AF1064" t="s">
        <v>74</v>
      </c>
      <c r="AG1064" t="s">
        <v>74</v>
      </c>
      <c r="AH1064" t="s">
        <v>74</v>
      </c>
      <c r="AI1064" t="s">
        <v>74</v>
      </c>
      <c r="AJ1064" t="s">
        <v>74</v>
      </c>
      <c r="AK1064" t="s">
        <v>74</v>
      </c>
      <c r="AL1064" t="s">
        <v>74</v>
      </c>
      <c r="AM1064" t="s">
        <v>74</v>
      </c>
      <c r="AN1064" t="s">
        <v>74</v>
      </c>
      <c r="AO1064" t="s">
        <v>1528</v>
      </c>
      <c r="AP1064" t="s">
        <v>2131</v>
      </c>
      <c r="AQ1064" t="s">
        <v>74</v>
      </c>
      <c r="AR1064" t="s">
        <v>74</v>
      </c>
      <c r="AS1064" t="s">
        <v>74</v>
      </c>
      <c r="AT1064" t="s">
        <v>134</v>
      </c>
      <c r="AU1064">
        <v>2008</v>
      </c>
      <c r="AV1064">
        <v>110</v>
      </c>
      <c r="AW1064">
        <v>2</v>
      </c>
      <c r="AX1064" t="s">
        <v>74</v>
      </c>
      <c r="AY1064" t="s">
        <v>74</v>
      </c>
      <c r="AZ1064" t="s">
        <v>74</v>
      </c>
      <c r="BA1064" t="s">
        <v>74</v>
      </c>
      <c r="BB1064">
        <v>241</v>
      </c>
      <c r="BC1064">
        <v>250</v>
      </c>
      <c r="BD1064" t="s">
        <v>74</v>
      </c>
      <c r="BE1064" t="s">
        <v>7388</v>
      </c>
      <c r="BF1064" t="str">
        <f>HYPERLINK("http://dx.doi.org/10.1525/cond.2008.8476","http://dx.doi.org/10.1525/cond.2008.8476")</f>
        <v>http://dx.doi.org/10.1525/cond.2008.8476</v>
      </c>
      <c r="BG1064" t="s">
        <v>74</v>
      </c>
      <c r="BH1064" t="s">
        <v>74</v>
      </c>
      <c r="BI1064" t="s">
        <v>74</v>
      </c>
      <c r="BJ1064" t="s">
        <v>74</v>
      </c>
      <c r="BK1064" t="s">
        <v>74</v>
      </c>
      <c r="BL1064" t="s">
        <v>74</v>
      </c>
      <c r="BM1064" t="s">
        <v>74</v>
      </c>
      <c r="BN1064" t="s">
        <v>74</v>
      </c>
      <c r="BO1064" t="s">
        <v>74</v>
      </c>
      <c r="BP1064" t="s">
        <v>74</v>
      </c>
      <c r="BQ1064" t="s">
        <v>74</v>
      </c>
      <c r="BR1064" t="s">
        <v>74</v>
      </c>
      <c r="BS1064" t="s">
        <v>7389</v>
      </c>
      <c r="BT1064" t="str">
        <f>HYPERLINK("https%3A%2F%2Fwww.webofscience.com%2Fwos%2Fwoscc%2Ffull-record%2FWOS:000258851900004","View Full Record in Web of Science")</f>
        <v>View Full Record in Web of Science</v>
      </c>
    </row>
    <row r="1065" spans="1:72" x14ac:dyDescent="0.4">
      <c r="A1065" t="s">
        <v>72</v>
      </c>
      <c r="B1065" t="s">
        <v>8428</v>
      </c>
      <c r="C1065" t="s">
        <v>74</v>
      </c>
      <c r="D1065" t="s">
        <v>74</v>
      </c>
      <c r="E1065" t="s">
        <v>74</v>
      </c>
      <c r="F1065" t="s">
        <v>8429</v>
      </c>
      <c r="G1065" t="s">
        <v>74</v>
      </c>
      <c r="H1065" t="s">
        <v>74</v>
      </c>
      <c r="I1065" t="s">
        <v>8430</v>
      </c>
      <c r="J1065" t="s">
        <v>1480</v>
      </c>
      <c r="K1065" t="s">
        <v>74</v>
      </c>
      <c r="L1065" t="s">
        <v>74</v>
      </c>
      <c r="M1065" t="s">
        <v>74</v>
      </c>
      <c r="N1065" t="s">
        <v>74</v>
      </c>
      <c r="O1065" t="s">
        <v>74</v>
      </c>
      <c r="P1065" t="s">
        <v>74</v>
      </c>
      <c r="Q1065" t="s">
        <v>74</v>
      </c>
      <c r="R1065" t="s">
        <v>74</v>
      </c>
      <c r="S1065" t="s">
        <v>74</v>
      </c>
      <c r="T1065" t="s">
        <v>74</v>
      </c>
      <c r="U1065" t="s">
        <v>74</v>
      </c>
      <c r="V1065" s="3" t="s">
        <v>8431</v>
      </c>
      <c r="W1065" t="s">
        <v>74</v>
      </c>
      <c r="X1065" t="s">
        <v>74</v>
      </c>
      <c r="Y1065" t="s">
        <v>74</v>
      </c>
      <c r="Z1065" t="s">
        <v>74</v>
      </c>
      <c r="AA1065" t="s">
        <v>74</v>
      </c>
      <c r="AB1065" t="s">
        <v>74</v>
      </c>
      <c r="AC1065" t="s">
        <v>74</v>
      </c>
      <c r="AD1065" t="s">
        <v>74</v>
      </c>
      <c r="AE1065" t="s">
        <v>74</v>
      </c>
      <c r="AF1065" t="s">
        <v>74</v>
      </c>
      <c r="AG1065" t="s">
        <v>74</v>
      </c>
      <c r="AH1065" t="s">
        <v>74</v>
      </c>
      <c r="AI1065" t="s">
        <v>74</v>
      </c>
      <c r="AJ1065" t="s">
        <v>74</v>
      </c>
      <c r="AK1065" t="s">
        <v>74</v>
      </c>
      <c r="AL1065" t="s">
        <v>74</v>
      </c>
      <c r="AM1065" t="s">
        <v>74</v>
      </c>
      <c r="AN1065" t="s">
        <v>74</v>
      </c>
      <c r="AO1065" t="s">
        <v>1482</v>
      </c>
      <c r="AP1065" t="s">
        <v>6949</v>
      </c>
      <c r="AQ1065" t="s">
        <v>74</v>
      </c>
      <c r="AR1065" t="s">
        <v>74</v>
      </c>
      <c r="AS1065" t="s">
        <v>74</v>
      </c>
      <c r="AT1065" t="s">
        <v>175</v>
      </c>
      <c r="AU1065">
        <v>2023</v>
      </c>
      <c r="AV1065">
        <v>102</v>
      </c>
      <c r="AW1065">
        <v>10</v>
      </c>
      <c r="AX1065" t="s">
        <v>74</v>
      </c>
      <c r="AY1065" t="s">
        <v>74</v>
      </c>
      <c r="AZ1065" t="s">
        <v>74</v>
      </c>
      <c r="BA1065" t="s">
        <v>74</v>
      </c>
      <c r="BB1065" t="s">
        <v>74</v>
      </c>
      <c r="BC1065" t="s">
        <v>74</v>
      </c>
      <c r="BD1065">
        <v>102927</v>
      </c>
      <c r="BE1065" t="s">
        <v>8432</v>
      </c>
      <c r="BF1065" t="str">
        <f>HYPERLINK("http://dx.doi.org/10.1016/j.psj.2023.102927","http://dx.doi.org/10.1016/j.psj.2023.102927")</f>
        <v>http://dx.doi.org/10.1016/j.psj.2023.102927</v>
      </c>
      <c r="BG1065" t="s">
        <v>74</v>
      </c>
      <c r="BH1065" t="s">
        <v>2726</v>
      </c>
      <c r="BI1065" t="s">
        <v>74</v>
      </c>
      <c r="BJ1065" t="s">
        <v>74</v>
      </c>
      <c r="BK1065" t="s">
        <v>74</v>
      </c>
      <c r="BL1065" t="s">
        <v>74</v>
      </c>
      <c r="BM1065" t="s">
        <v>74</v>
      </c>
      <c r="BN1065">
        <v>37494809</v>
      </c>
      <c r="BO1065" t="s">
        <v>74</v>
      </c>
      <c r="BP1065" t="s">
        <v>74</v>
      </c>
      <c r="BQ1065" t="s">
        <v>74</v>
      </c>
      <c r="BR1065" t="s">
        <v>74</v>
      </c>
      <c r="BS1065" t="s">
        <v>8433</v>
      </c>
      <c r="BT1065" t="str">
        <f>HYPERLINK("https%3A%2F%2Fwww.webofscience.com%2Fwos%2Fwoscc%2Ffull-record%2FWOS:001046665000001","View Full Record in Web of Science")</f>
        <v>View Full Record in Web of Science</v>
      </c>
    </row>
    <row r="1066" spans="1:72" x14ac:dyDescent="0.4">
      <c r="A1066" t="s">
        <v>72</v>
      </c>
      <c r="B1066" t="s">
        <v>8534</v>
      </c>
      <c r="C1066" t="s">
        <v>74</v>
      </c>
      <c r="D1066" t="s">
        <v>74</v>
      </c>
      <c r="E1066" t="s">
        <v>74</v>
      </c>
      <c r="F1066" t="s">
        <v>8534</v>
      </c>
      <c r="G1066" t="s">
        <v>74</v>
      </c>
      <c r="H1066" t="s">
        <v>74</v>
      </c>
      <c r="I1066" t="s">
        <v>8535</v>
      </c>
      <c r="J1066" t="s">
        <v>77</v>
      </c>
      <c r="K1066" t="s">
        <v>74</v>
      </c>
      <c r="L1066" t="s">
        <v>74</v>
      </c>
      <c r="M1066" t="s">
        <v>74</v>
      </c>
      <c r="N1066" t="s">
        <v>74</v>
      </c>
      <c r="O1066" t="s">
        <v>74</v>
      </c>
      <c r="P1066" t="s">
        <v>74</v>
      </c>
      <c r="Q1066" t="s">
        <v>74</v>
      </c>
      <c r="R1066" t="s">
        <v>74</v>
      </c>
      <c r="S1066" t="s">
        <v>74</v>
      </c>
      <c r="T1066" t="s">
        <v>74</v>
      </c>
      <c r="U1066" t="s">
        <v>74</v>
      </c>
      <c r="V1066" s="3" t="s">
        <v>8536</v>
      </c>
      <c r="W1066" t="s">
        <v>74</v>
      </c>
      <c r="X1066" t="s">
        <v>74</v>
      </c>
      <c r="Y1066" t="s">
        <v>74</v>
      </c>
      <c r="Z1066" t="s">
        <v>74</v>
      </c>
      <c r="AA1066" t="s">
        <v>74</v>
      </c>
      <c r="AB1066" t="s">
        <v>74</v>
      </c>
      <c r="AC1066" t="s">
        <v>74</v>
      </c>
      <c r="AD1066" t="s">
        <v>74</v>
      </c>
      <c r="AE1066" t="s">
        <v>74</v>
      </c>
      <c r="AF1066" t="s">
        <v>74</v>
      </c>
      <c r="AG1066" t="s">
        <v>74</v>
      </c>
      <c r="AH1066" t="s">
        <v>74</v>
      </c>
      <c r="AI1066" t="s">
        <v>74</v>
      </c>
      <c r="AJ1066" t="s">
        <v>74</v>
      </c>
      <c r="AK1066" t="s">
        <v>74</v>
      </c>
      <c r="AL1066" t="s">
        <v>74</v>
      </c>
      <c r="AM1066" t="s">
        <v>74</v>
      </c>
      <c r="AN1066" t="s">
        <v>74</v>
      </c>
      <c r="AO1066" t="s">
        <v>81</v>
      </c>
      <c r="AP1066" t="s">
        <v>82</v>
      </c>
      <c r="AQ1066" t="s">
        <v>74</v>
      </c>
      <c r="AR1066" t="s">
        <v>74</v>
      </c>
      <c r="AS1066" t="s">
        <v>74</v>
      </c>
      <c r="AT1066" t="s">
        <v>305</v>
      </c>
      <c r="AU1066">
        <v>1993</v>
      </c>
      <c r="AV1066">
        <v>127</v>
      </c>
      <c r="AW1066" t="s">
        <v>74</v>
      </c>
      <c r="AX1066" t="s">
        <v>1276</v>
      </c>
      <c r="AY1066" t="s">
        <v>74</v>
      </c>
      <c r="AZ1066" t="s">
        <v>74</v>
      </c>
      <c r="BA1066" t="s">
        <v>74</v>
      </c>
      <c r="BB1066">
        <v>247</v>
      </c>
      <c r="BC1066">
        <v>263</v>
      </c>
      <c r="BD1066" t="s">
        <v>74</v>
      </c>
      <c r="BE1066" t="s">
        <v>8537</v>
      </c>
      <c r="BF1066" t="str">
        <f>HYPERLINK("http://dx.doi.org/10.1163/156853993X00047","http://dx.doi.org/10.1163/156853993X00047")</f>
        <v>http://dx.doi.org/10.1163/156853993X00047</v>
      </c>
      <c r="BG1066" t="s">
        <v>74</v>
      </c>
      <c r="BH1066" t="s">
        <v>74</v>
      </c>
      <c r="BI1066" t="s">
        <v>74</v>
      </c>
      <c r="BJ1066" t="s">
        <v>74</v>
      </c>
      <c r="BK1066" t="s">
        <v>74</v>
      </c>
      <c r="BL1066" t="s">
        <v>74</v>
      </c>
      <c r="BM1066" t="s">
        <v>74</v>
      </c>
      <c r="BN1066" t="s">
        <v>74</v>
      </c>
      <c r="BO1066" t="s">
        <v>74</v>
      </c>
      <c r="BP1066" t="s">
        <v>74</v>
      </c>
      <c r="BQ1066" t="s">
        <v>74</v>
      </c>
      <c r="BR1066" t="s">
        <v>74</v>
      </c>
      <c r="BS1066" t="s">
        <v>8538</v>
      </c>
      <c r="BT1066" t="str">
        <f>HYPERLINK("https%3A%2F%2Fwww.webofscience.com%2Fwos%2Fwoscc%2Ffull-record%2FWOS:A1993NH18400004","View Full Record in Web of Science")</f>
        <v>View Full Record in Web of Science</v>
      </c>
    </row>
    <row r="1067" spans="1:72" x14ac:dyDescent="0.4">
      <c r="A1067" t="s">
        <v>72</v>
      </c>
      <c r="B1067" t="s">
        <v>5169</v>
      </c>
      <c r="C1067" t="s">
        <v>74</v>
      </c>
      <c r="D1067" t="s">
        <v>74</v>
      </c>
      <c r="E1067" t="s">
        <v>74</v>
      </c>
      <c r="F1067" t="s">
        <v>5170</v>
      </c>
      <c r="G1067" t="s">
        <v>74</v>
      </c>
      <c r="H1067" t="s">
        <v>74</v>
      </c>
      <c r="I1067" t="s">
        <v>5171</v>
      </c>
      <c r="J1067" t="s">
        <v>1803</v>
      </c>
      <c r="K1067" t="s">
        <v>74</v>
      </c>
      <c r="L1067" t="s">
        <v>74</v>
      </c>
      <c r="M1067" t="s">
        <v>74</v>
      </c>
      <c r="N1067" t="s">
        <v>74</v>
      </c>
      <c r="O1067" t="s">
        <v>74</v>
      </c>
      <c r="P1067" t="s">
        <v>74</v>
      </c>
      <c r="Q1067" t="s">
        <v>74</v>
      </c>
      <c r="R1067" t="s">
        <v>74</v>
      </c>
      <c r="S1067" t="s">
        <v>74</v>
      </c>
      <c r="T1067" t="s">
        <v>74</v>
      </c>
      <c r="U1067" t="s">
        <v>74</v>
      </c>
      <c r="V1067" s="3" t="s">
        <v>5172</v>
      </c>
      <c r="W1067" t="s">
        <v>74</v>
      </c>
      <c r="X1067" t="s">
        <v>74</v>
      </c>
      <c r="Y1067" t="s">
        <v>74</v>
      </c>
      <c r="Z1067" t="s">
        <v>74</v>
      </c>
      <c r="AA1067" t="s">
        <v>5173</v>
      </c>
      <c r="AB1067" t="s">
        <v>5174</v>
      </c>
      <c r="AC1067" t="s">
        <v>74</v>
      </c>
      <c r="AD1067" t="s">
        <v>74</v>
      </c>
      <c r="AE1067" t="s">
        <v>74</v>
      </c>
      <c r="AF1067" t="s">
        <v>74</v>
      </c>
      <c r="AG1067" t="s">
        <v>74</v>
      </c>
      <c r="AH1067" t="s">
        <v>74</v>
      </c>
      <c r="AI1067" t="s">
        <v>74</v>
      </c>
      <c r="AJ1067" t="s">
        <v>74</v>
      </c>
      <c r="AK1067" t="s">
        <v>74</v>
      </c>
      <c r="AL1067" t="s">
        <v>74</v>
      </c>
      <c r="AM1067" t="s">
        <v>74</v>
      </c>
      <c r="AN1067" t="s">
        <v>74</v>
      </c>
      <c r="AO1067" t="s">
        <v>1807</v>
      </c>
      <c r="AP1067" t="s">
        <v>1808</v>
      </c>
      <c r="AQ1067" t="s">
        <v>74</v>
      </c>
      <c r="AR1067" t="s">
        <v>74</v>
      </c>
      <c r="AS1067" t="s">
        <v>74</v>
      </c>
      <c r="AT1067" t="s">
        <v>633</v>
      </c>
      <c r="AU1067">
        <v>2010</v>
      </c>
      <c r="AV1067">
        <v>24</v>
      </c>
      <c r="AW1067">
        <v>2</v>
      </c>
      <c r="AX1067" t="s">
        <v>74</v>
      </c>
      <c r="AY1067" t="s">
        <v>74</v>
      </c>
      <c r="AZ1067" t="s">
        <v>74</v>
      </c>
      <c r="BA1067" t="s">
        <v>74</v>
      </c>
      <c r="BB1067">
        <v>417</v>
      </c>
      <c r="BC1067">
        <v>425</v>
      </c>
      <c r="BD1067" t="s">
        <v>74</v>
      </c>
      <c r="BE1067" t="s">
        <v>5175</v>
      </c>
      <c r="BF1067" t="str">
        <f>HYPERLINK("http://dx.doi.org/10.1111/j.1365-2435.2009.01660.x","http://dx.doi.org/10.1111/j.1365-2435.2009.01660.x")</f>
        <v>http://dx.doi.org/10.1111/j.1365-2435.2009.01660.x</v>
      </c>
      <c r="BG1067" t="s">
        <v>74</v>
      </c>
      <c r="BH1067" t="s">
        <v>74</v>
      </c>
      <c r="BI1067" t="s">
        <v>74</v>
      </c>
      <c r="BJ1067" t="s">
        <v>74</v>
      </c>
      <c r="BK1067" t="s">
        <v>74</v>
      </c>
      <c r="BL1067" t="s">
        <v>74</v>
      </c>
      <c r="BM1067" t="s">
        <v>74</v>
      </c>
      <c r="BN1067" t="s">
        <v>74</v>
      </c>
      <c r="BO1067" t="s">
        <v>74</v>
      </c>
      <c r="BP1067" t="s">
        <v>74</v>
      </c>
      <c r="BQ1067" t="s">
        <v>74</v>
      </c>
      <c r="BR1067" t="s">
        <v>74</v>
      </c>
      <c r="BS1067" t="s">
        <v>5176</v>
      </c>
      <c r="BT1067" t="str">
        <f>HYPERLINK("https%3A%2F%2Fwww.webofscience.com%2Fwos%2Fwoscc%2Ffull-record%2FWOS:000274952600020","View Full Record in Web of Science")</f>
        <v>View Full Record in Web of Science</v>
      </c>
    </row>
    <row r="1068" spans="1:72" x14ac:dyDescent="0.4">
      <c r="A1068" t="s">
        <v>72</v>
      </c>
      <c r="B1068" t="s">
        <v>7937</v>
      </c>
      <c r="C1068" t="s">
        <v>74</v>
      </c>
      <c r="D1068" t="s">
        <v>74</v>
      </c>
      <c r="E1068" t="s">
        <v>74</v>
      </c>
      <c r="F1068" t="s">
        <v>7937</v>
      </c>
      <c r="G1068" t="s">
        <v>74</v>
      </c>
      <c r="H1068" t="s">
        <v>74</v>
      </c>
      <c r="I1068" t="s">
        <v>7938</v>
      </c>
      <c r="J1068" t="s">
        <v>129</v>
      </c>
      <c r="K1068" t="s">
        <v>74</v>
      </c>
      <c r="L1068" t="s">
        <v>74</v>
      </c>
      <c r="M1068" t="s">
        <v>74</v>
      </c>
      <c r="N1068" t="s">
        <v>74</v>
      </c>
      <c r="O1068" t="s">
        <v>74</v>
      </c>
      <c r="P1068" t="s">
        <v>74</v>
      </c>
      <c r="Q1068" t="s">
        <v>74</v>
      </c>
      <c r="R1068" t="s">
        <v>74</v>
      </c>
      <c r="S1068" t="s">
        <v>74</v>
      </c>
      <c r="T1068" t="s">
        <v>74</v>
      </c>
      <c r="U1068" t="s">
        <v>74</v>
      </c>
      <c r="V1068" s="3" t="s">
        <v>7939</v>
      </c>
      <c r="W1068" t="s">
        <v>74</v>
      </c>
      <c r="X1068" t="s">
        <v>74</v>
      </c>
      <c r="Y1068" t="s">
        <v>74</v>
      </c>
      <c r="Z1068" t="s">
        <v>74</v>
      </c>
      <c r="AA1068" t="s">
        <v>7940</v>
      </c>
      <c r="AB1068" t="s">
        <v>74</v>
      </c>
      <c r="AC1068" t="s">
        <v>74</v>
      </c>
      <c r="AD1068" t="s">
        <v>74</v>
      </c>
      <c r="AE1068" t="s">
        <v>74</v>
      </c>
      <c r="AF1068" t="s">
        <v>74</v>
      </c>
      <c r="AG1068" t="s">
        <v>74</v>
      </c>
      <c r="AH1068" t="s">
        <v>74</v>
      </c>
      <c r="AI1068" t="s">
        <v>74</v>
      </c>
      <c r="AJ1068" t="s">
        <v>74</v>
      </c>
      <c r="AK1068" t="s">
        <v>74</v>
      </c>
      <c r="AL1068" t="s">
        <v>74</v>
      </c>
      <c r="AM1068" t="s">
        <v>74</v>
      </c>
      <c r="AN1068" t="s">
        <v>74</v>
      </c>
      <c r="AO1068" t="s">
        <v>132</v>
      </c>
      <c r="AP1068" t="s">
        <v>133</v>
      </c>
      <c r="AQ1068" t="s">
        <v>74</v>
      </c>
      <c r="AR1068" t="s">
        <v>74</v>
      </c>
      <c r="AS1068" t="s">
        <v>74</v>
      </c>
      <c r="AT1068" t="s">
        <v>213</v>
      </c>
      <c r="AU1068">
        <v>1996</v>
      </c>
      <c r="AV1068">
        <v>39</v>
      </c>
      <c r="AW1068">
        <v>5</v>
      </c>
      <c r="AX1068" t="s">
        <v>74</v>
      </c>
      <c r="AY1068" t="s">
        <v>74</v>
      </c>
      <c r="AZ1068" t="s">
        <v>74</v>
      </c>
      <c r="BA1068" t="s">
        <v>74</v>
      </c>
      <c r="BB1068">
        <v>345</v>
      </c>
      <c r="BC1068">
        <v>352</v>
      </c>
      <c r="BD1068" t="s">
        <v>74</v>
      </c>
      <c r="BE1068" t="s">
        <v>7941</v>
      </c>
      <c r="BF1068" t="str">
        <f>HYPERLINK("http://dx.doi.org/10.1007/s002650050299","http://dx.doi.org/10.1007/s002650050299")</f>
        <v>http://dx.doi.org/10.1007/s002650050299</v>
      </c>
      <c r="BG1068" t="s">
        <v>74</v>
      </c>
      <c r="BH1068" t="s">
        <v>74</v>
      </c>
      <c r="BI1068" t="s">
        <v>74</v>
      </c>
      <c r="BJ1068" t="s">
        <v>74</v>
      </c>
      <c r="BK1068" t="s">
        <v>74</v>
      </c>
      <c r="BL1068" t="s">
        <v>74</v>
      </c>
      <c r="BM1068" t="s">
        <v>74</v>
      </c>
      <c r="BN1068" t="s">
        <v>74</v>
      </c>
      <c r="BO1068" t="s">
        <v>74</v>
      </c>
      <c r="BP1068" t="s">
        <v>74</v>
      </c>
      <c r="BQ1068" t="s">
        <v>74</v>
      </c>
      <c r="BR1068" t="s">
        <v>74</v>
      </c>
      <c r="BS1068" t="s">
        <v>7942</v>
      </c>
      <c r="BT1068" t="str">
        <f>HYPERLINK("https%3A%2F%2Fwww.webofscience.com%2Fwos%2Fwoscc%2Ffull-record%2FWOS:A1996VW21300009","View Full Record in Web of Science")</f>
        <v>View Full Record in Web of Science</v>
      </c>
    </row>
    <row r="1069" spans="1:72" x14ac:dyDescent="0.4">
      <c r="A1069" t="s">
        <v>72</v>
      </c>
      <c r="B1069" t="s">
        <v>8557</v>
      </c>
      <c r="C1069" t="s">
        <v>74</v>
      </c>
      <c r="D1069" t="s">
        <v>74</v>
      </c>
      <c r="E1069" t="s">
        <v>74</v>
      </c>
      <c r="F1069" t="s">
        <v>8557</v>
      </c>
      <c r="G1069" t="s">
        <v>74</v>
      </c>
      <c r="H1069" t="s">
        <v>74</v>
      </c>
      <c r="I1069" t="s">
        <v>8558</v>
      </c>
      <c r="J1069" t="s">
        <v>129</v>
      </c>
      <c r="K1069" t="s">
        <v>74</v>
      </c>
      <c r="L1069" t="s">
        <v>74</v>
      </c>
      <c r="M1069" t="s">
        <v>74</v>
      </c>
      <c r="N1069" t="s">
        <v>74</v>
      </c>
      <c r="O1069" t="s">
        <v>74</v>
      </c>
      <c r="P1069" t="s">
        <v>74</v>
      </c>
      <c r="Q1069" t="s">
        <v>74</v>
      </c>
      <c r="R1069" t="s">
        <v>74</v>
      </c>
      <c r="S1069" t="s">
        <v>74</v>
      </c>
      <c r="T1069" t="s">
        <v>74</v>
      </c>
      <c r="U1069" t="s">
        <v>74</v>
      </c>
      <c r="V1069" s="3" t="s">
        <v>8559</v>
      </c>
      <c r="W1069" t="s">
        <v>74</v>
      </c>
      <c r="X1069" t="s">
        <v>74</v>
      </c>
      <c r="Y1069" t="s">
        <v>74</v>
      </c>
      <c r="Z1069" t="s">
        <v>74</v>
      </c>
      <c r="AA1069" t="s">
        <v>8560</v>
      </c>
      <c r="AB1069" t="s">
        <v>1934</v>
      </c>
      <c r="AC1069" t="s">
        <v>74</v>
      </c>
      <c r="AD1069" t="s">
        <v>74</v>
      </c>
      <c r="AE1069" t="s">
        <v>74</v>
      </c>
      <c r="AF1069" t="s">
        <v>74</v>
      </c>
      <c r="AG1069" t="s">
        <v>74</v>
      </c>
      <c r="AH1069" t="s">
        <v>74</v>
      </c>
      <c r="AI1069" t="s">
        <v>74</v>
      </c>
      <c r="AJ1069" t="s">
        <v>74</v>
      </c>
      <c r="AK1069" t="s">
        <v>74</v>
      </c>
      <c r="AL1069" t="s">
        <v>74</v>
      </c>
      <c r="AM1069" t="s">
        <v>74</v>
      </c>
      <c r="AN1069" t="s">
        <v>74</v>
      </c>
      <c r="AO1069" t="s">
        <v>132</v>
      </c>
      <c r="AP1069" t="s">
        <v>133</v>
      </c>
      <c r="AQ1069" t="s">
        <v>74</v>
      </c>
      <c r="AR1069" t="s">
        <v>74</v>
      </c>
      <c r="AS1069" t="s">
        <v>74</v>
      </c>
      <c r="AT1069" t="s">
        <v>352</v>
      </c>
      <c r="AU1069">
        <v>1997</v>
      </c>
      <c r="AV1069">
        <v>41</v>
      </c>
      <c r="AW1069">
        <v>3</v>
      </c>
      <c r="AX1069" t="s">
        <v>74</v>
      </c>
      <c r="AY1069" t="s">
        <v>74</v>
      </c>
      <c r="AZ1069" t="s">
        <v>74</v>
      </c>
      <c r="BA1069" t="s">
        <v>74</v>
      </c>
      <c r="BB1069">
        <v>171</v>
      </c>
      <c r="BC1069">
        <v>176</v>
      </c>
      <c r="BD1069" t="s">
        <v>74</v>
      </c>
      <c r="BE1069" t="s">
        <v>8561</v>
      </c>
      <c r="BF1069" t="str">
        <f>HYPERLINK("http://dx.doi.org/10.1007/s002650050376","http://dx.doi.org/10.1007/s002650050376")</f>
        <v>http://dx.doi.org/10.1007/s002650050376</v>
      </c>
      <c r="BG1069" t="s">
        <v>74</v>
      </c>
      <c r="BH1069" t="s">
        <v>74</v>
      </c>
      <c r="BI1069" t="s">
        <v>74</v>
      </c>
      <c r="BJ1069" t="s">
        <v>74</v>
      </c>
      <c r="BK1069" t="s">
        <v>74</v>
      </c>
      <c r="BL1069" t="s">
        <v>74</v>
      </c>
      <c r="BM1069" t="s">
        <v>74</v>
      </c>
      <c r="BN1069" t="s">
        <v>74</v>
      </c>
      <c r="BO1069" t="s">
        <v>74</v>
      </c>
      <c r="BP1069" t="s">
        <v>74</v>
      </c>
      <c r="BQ1069" t="s">
        <v>74</v>
      </c>
      <c r="BR1069" t="s">
        <v>74</v>
      </c>
      <c r="BS1069" t="s">
        <v>8562</v>
      </c>
      <c r="BT1069" t="str">
        <f>HYPERLINK("https%3A%2F%2Fwww.webofscience.com%2Fwos%2Fwoscc%2Ffull-record%2FWOS:A1997XY71100004","View Full Record in Web of Science")</f>
        <v>View Full Record in Web of Science</v>
      </c>
    </row>
    <row r="1070" spans="1:72" x14ac:dyDescent="0.4">
      <c r="A1070" t="s">
        <v>72</v>
      </c>
      <c r="B1070" t="s">
        <v>2084</v>
      </c>
      <c r="C1070" t="s">
        <v>74</v>
      </c>
      <c r="D1070" t="s">
        <v>74</v>
      </c>
      <c r="E1070" t="s">
        <v>74</v>
      </c>
      <c r="F1070" t="s">
        <v>2085</v>
      </c>
      <c r="G1070" t="s">
        <v>74</v>
      </c>
      <c r="H1070" t="s">
        <v>74</v>
      </c>
      <c r="I1070" t="s">
        <v>2086</v>
      </c>
      <c r="J1070" t="s">
        <v>2087</v>
      </c>
      <c r="K1070" t="s">
        <v>74</v>
      </c>
      <c r="L1070" t="s">
        <v>74</v>
      </c>
      <c r="M1070" t="s">
        <v>74</v>
      </c>
      <c r="N1070" t="s">
        <v>74</v>
      </c>
      <c r="O1070" t="s">
        <v>74</v>
      </c>
      <c r="P1070" t="s">
        <v>74</v>
      </c>
      <c r="Q1070" t="s">
        <v>74</v>
      </c>
      <c r="R1070" t="s">
        <v>74</v>
      </c>
      <c r="S1070" t="s">
        <v>74</v>
      </c>
      <c r="T1070" t="s">
        <v>74</v>
      </c>
      <c r="U1070" t="s">
        <v>74</v>
      </c>
      <c r="V1070" s="3" t="s">
        <v>2088</v>
      </c>
      <c r="W1070" t="s">
        <v>74</v>
      </c>
      <c r="X1070" t="s">
        <v>74</v>
      </c>
      <c r="Y1070" t="s">
        <v>74</v>
      </c>
      <c r="Z1070" t="s">
        <v>74</v>
      </c>
      <c r="AA1070" t="s">
        <v>74</v>
      </c>
      <c r="AB1070" t="s">
        <v>74</v>
      </c>
      <c r="AC1070" t="s">
        <v>74</v>
      </c>
      <c r="AD1070" t="s">
        <v>74</v>
      </c>
      <c r="AE1070" t="s">
        <v>74</v>
      </c>
      <c r="AF1070" t="s">
        <v>74</v>
      </c>
      <c r="AG1070" t="s">
        <v>74</v>
      </c>
      <c r="AH1070" t="s">
        <v>74</v>
      </c>
      <c r="AI1070" t="s">
        <v>74</v>
      </c>
      <c r="AJ1070" t="s">
        <v>74</v>
      </c>
      <c r="AK1070" t="s">
        <v>74</v>
      </c>
      <c r="AL1070" t="s">
        <v>74</v>
      </c>
      <c r="AM1070" t="s">
        <v>74</v>
      </c>
      <c r="AN1070" t="s">
        <v>74</v>
      </c>
      <c r="AO1070" t="s">
        <v>2089</v>
      </c>
      <c r="AP1070" t="s">
        <v>74</v>
      </c>
      <c r="AQ1070" t="s">
        <v>74</v>
      </c>
      <c r="AR1070" t="s">
        <v>74</v>
      </c>
      <c r="AS1070" t="s">
        <v>74</v>
      </c>
      <c r="AT1070" t="s">
        <v>74</v>
      </c>
      <c r="AU1070">
        <v>2008</v>
      </c>
      <c r="AV1070">
        <v>15</v>
      </c>
      <c r="AW1070">
        <v>3</v>
      </c>
      <c r="AX1070" t="s">
        <v>74</v>
      </c>
      <c r="AY1070" t="s">
        <v>74</v>
      </c>
      <c r="AZ1070" t="s">
        <v>74</v>
      </c>
      <c r="BA1070" t="s">
        <v>74</v>
      </c>
      <c r="BB1070">
        <v>320</v>
      </c>
      <c r="BC1070">
        <v>326</v>
      </c>
      <c r="BD1070" t="s">
        <v>74</v>
      </c>
      <c r="BE1070" t="s">
        <v>2090</v>
      </c>
      <c r="BF1070" t="str">
        <f>HYPERLINK("http://dx.doi.org/10.2980/15-3-3135","http://dx.doi.org/10.2980/15-3-3135")</f>
        <v>http://dx.doi.org/10.2980/15-3-3135</v>
      </c>
      <c r="BG1070" t="s">
        <v>74</v>
      </c>
      <c r="BH1070" t="s">
        <v>74</v>
      </c>
      <c r="BI1070" t="s">
        <v>74</v>
      </c>
      <c r="BJ1070" t="s">
        <v>74</v>
      </c>
      <c r="BK1070" t="s">
        <v>74</v>
      </c>
      <c r="BL1070" t="s">
        <v>74</v>
      </c>
      <c r="BM1070" t="s">
        <v>74</v>
      </c>
      <c r="BN1070" t="s">
        <v>74</v>
      </c>
      <c r="BO1070" t="s">
        <v>74</v>
      </c>
      <c r="BP1070" t="s">
        <v>74</v>
      </c>
      <c r="BQ1070" t="s">
        <v>74</v>
      </c>
      <c r="BR1070" t="s">
        <v>74</v>
      </c>
      <c r="BS1070" t="s">
        <v>2091</v>
      </c>
      <c r="BT1070" t="str">
        <f>HYPERLINK("https%3A%2F%2Fwww.webofscience.com%2Fwos%2Fwoscc%2Ffull-record%2FWOS:000259841500005","View Full Record in Web of Science")</f>
        <v>View Full Record in Web of Science</v>
      </c>
    </row>
    <row r="1071" spans="1:72" x14ac:dyDescent="0.4">
      <c r="A1071" t="s">
        <v>72</v>
      </c>
      <c r="B1071" t="s">
        <v>8201</v>
      </c>
      <c r="C1071" t="s">
        <v>74</v>
      </c>
      <c r="D1071" t="s">
        <v>74</v>
      </c>
      <c r="E1071" t="s">
        <v>74</v>
      </c>
      <c r="F1071" t="s">
        <v>8202</v>
      </c>
      <c r="G1071" t="s">
        <v>74</v>
      </c>
      <c r="H1071" t="s">
        <v>74</v>
      </c>
      <c r="I1071" t="s">
        <v>8203</v>
      </c>
      <c r="J1071" t="s">
        <v>775</v>
      </c>
      <c r="K1071" t="s">
        <v>74</v>
      </c>
      <c r="L1071" t="s">
        <v>74</v>
      </c>
      <c r="M1071" t="s">
        <v>74</v>
      </c>
      <c r="N1071" t="s">
        <v>74</v>
      </c>
      <c r="O1071" t="s">
        <v>74</v>
      </c>
      <c r="P1071" t="s">
        <v>74</v>
      </c>
      <c r="Q1071" t="s">
        <v>74</v>
      </c>
      <c r="R1071" t="s">
        <v>74</v>
      </c>
      <c r="S1071" t="s">
        <v>74</v>
      </c>
      <c r="T1071" t="s">
        <v>74</v>
      </c>
      <c r="U1071" t="s">
        <v>74</v>
      </c>
      <c r="V1071" s="3" t="s">
        <v>8204</v>
      </c>
      <c r="W1071" t="s">
        <v>74</v>
      </c>
      <c r="X1071" t="s">
        <v>74</v>
      </c>
      <c r="Y1071" t="s">
        <v>74</v>
      </c>
      <c r="Z1071" t="s">
        <v>74</v>
      </c>
      <c r="AA1071" t="s">
        <v>8205</v>
      </c>
      <c r="AB1071" t="s">
        <v>8206</v>
      </c>
      <c r="AC1071" t="s">
        <v>74</v>
      </c>
      <c r="AD1071" t="s">
        <v>74</v>
      </c>
      <c r="AE1071" t="s">
        <v>74</v>
      </c>
      <c r="AF1071" t="s">
        <v>74</v>
      </c>
      <c r="AG1071" t="s">
        <v>74</v>
      </c>
      <c r="AH1071" t="s">
        <v>74</v>
      </c>
      <c r="AI1071" t="s">
        <v>74</v>
      </c>
      <c r="AJ1071" t="s">
        <v>74</v>
      </c>
      <c r="AK1071" t="s">
        <v>74</v>
      </c>
      <c r="AL1071" t="s">
        <v>74</v>
      </c>
      <c r="AM1071" t="s">
        <v>74</v>
      </c>
      <c r="AN1071" t="s">
        <v>74</v>
      </c>
      <c r="AO1071" t="s">
        <v>778</v>
      </c>
      <c r="AP1071" t="s">
        <v>74</v>
      </c>
      <c r="AQ1071" t="s">
        <v>74</v>
      </c>
      <c r="AR1071" t="s">
        <v>74</v>
      </c>
      <c r="AS1071" t="s">
        <v>74</v>
      </c>
      <c r="AT1071" t="s">
        <v>74</v>
      </c>
      <c r="AU1071">
        <v>2011</v>
      </c>
      <c r="AV1071">
        <v>57</v>
      </c>
      <c r="AW1071">
        <v>2</v>
      </c>
      <c r="AX1071" t="s">
        <v>74</v>
      </c>
      <c r="AY1071" t="s">
        <v>74</v>
      </c>
      <c r="AZ1071" t="s">
        <v>74</v>
      </c>
      <c r="BA1071" t="s">
        <v>74</v>
      </c>
      <c r="BB1071">
        <v>162</v>
      </c>
      <c r="BC1071">
        <v>174</v>
      </c>
      <c r="BD1071" t="s">
        <v>74</v>
      </c>
      <c r="BE1071" t="s">
        <v>8207</v>
      </c>
      <c r="BF1071" t="str">
        <f>HYPERLINK("http://dx.doi.org/10.1093/czoolo/57.2.162","http://dx.doi.org/10.1093/czoolo/57.2.162")</f>
        <v>http://dx.doi.org/10.1093/czoolo/57.2.162</v>
      </c>
      <c r="BG1071" t="s">
        <v>74</v>
      </c>
      <c r="BH1071" t="s">
        <v>74</v>
      </c>
      <c r="BI1071" t="s">
        <v>74</v>
      </c>
      <c r="BJ1071" t="s">
        <v>74</v>
      </c>
      <c r="BK1071" t="s">
        <v>74</v>
      </c>
      <c r="BL1071" t="s">
        <v>74</v>
      </c>
      <c r="BM1071" t="s">
        <v>74</v>
      </c>
      <c r="BN1071" t="s">
        <v>74</v>
      </c>
      <c r="BO1071" t="s">
        <v>74</v>
      </c>
      <c r="BP1071" t="s">
        <v>74</v>
      </c>
      <c r="BQ1071" t="s">
        <v>74</v>
      </c>
      <c r="BR1071" t="s">
        <v>74</v>
      </c>
      <c r="BS1071" t="s">
        <v>8208</v>
      </c>
      <c r="BT1071" t="str">
        <f>HYPERLINK("https%3A%2F%2Fwww.webofscience.com%2Fwos%2Fwoscc%2Ffull-record%2FWOS:000288848200005","View Full Record in Web of Science")</f>
        <v>View Full Record in Web of Science</v>
      </c>
    </row>
    <row r="1072" spans="1:72" x14ac:dyDescent="0.4">
      <c r="A1072" t="s">
        <v>72</v>
      </c>
      <c r="B1072" t="s">
        <v>5512</v>
      </c>
      <c r="C1072" t="s">
        <v>74</v>
      </c>
      <c r="D1072" t="s">
        <v>74</v>
      </c>
      <c r="E1072" t="s">
        <v>74</v>
      </c>
      <c r="F1072" t="s">
        <v>5513</v>
      </c>
      <c r="G1072" t="s">
        <v>74</v>
      </c>
      <c r="H1072" t="s">
        <v>74</v>
      </c>
      <c r="I1072" t="s">
        <v>5514</v>
      </c>
      <c r="J1072" t="s">
        <v>140</v>
      </c>
      <c r="K1072" t="s">
        <v>74</v>
      </c>
      <c r="L1072" t="s">
        <v>74</v>
      </c>
      <c r="M1072" t="s">
        <v>74</v>
      </c>
      <c r="N1072" t="s">
        <v>74</v>
      </c>
      <c r="O1072" t="s">
        <v>74</v>
      </c>
      <c r="P1072" t="s">
        <v>74</v>
      </c>
      <c r="Q1072" t="s">
        <v>74</v>
      </c>
      <c r="R1072" t="s">
        <v>74</v>
      </c>
      <c r="S1072" t="s">
        <v>74</v>
      </c>
      <c r="T1072" t="s">
        <v>74</v>
      </c>
      <c r="U1072" t="s">
        <v>74</v>
      </c>
      <c r="V1072" s="3" t="s">
        <v>5515</v>
      </c>
      <c r="W1072" t="s">
        <v>74</v>
      </c>
      <c r="X1072" t="s">
        <v>74</v>
      </c>
      <c r="Y1072" t="s">
        <v>74</v>
      </c>
      <c r="Z1072" t="s">
        <v>74</v>
      </c>
      <c r="AA1072" t="s">
        <v>5516</v>
      </c>
      <c r="AB1072" t="s">
        <v>5517</v>
      </c>
      <c r="AC1072" t="s">
        <v>74</v>
      </c>
      <c r="AD1072" t="s">
        <v>74</v>
      </c>
      <c r="AE1072" t="s">
        <v>74</v>
      </c>
      <c r="AF1072" t="s">
        <v>74</v>
      </c>
      <c r="AG1072" t="s">
        <v>74</v>
      </c>
      <c r="AH1072" t="s">
        <v>74</v>
      </c>
      <c r="AI1072" t="s">
        <v>74</v>
      </c>
      <c r="AJ1072" t="s">
        <v>74</v>
      </c>
      <c r="AK1072" t="s">
        <v>74</v>
      </c>
      <c r="AL1072" t="s">
        <v>74</v>
      </c>
      <c r="AM1072" t="s">
        <v>74</v>
      </c>
      <c r="AN1072" t="s">
        <v>74</v>
      </c>
      <c r="AO1072" t="s">
        <v>143</v>
      </c>
      <c r="AP1072" t="s">
        <v>144</v>
      </c>
      <c r="AQ1072" t="s">
        <v>74</v>
      </c>
      <c r="AR1072" t="s">
        <v>74</v>
      </c>
      <c r="AS1072" t="s">
        <v>74</v>
      </c>
      <c r="AT1072" t="s">
        <v>305</v>
      </c>
      <c r="AU1072">
        <v>2023</v>
      </c>
      <c r="AV1072">
        <v>206</v>
      </c>
      <c r="AW1072" t="s">
        <v>74</v>
      </c>
      <c r="AX1072" t="s">
        <v>74</v>
      </c>
      <c r="AY1072" t="s">
        <v>74</v>
      </c>
      <c r="AZ1072" t="s">
        <v>74</v>
      </c>
      <c r="BA1072" t="s">
        <v>74</v>
      </c>
      <c r="BB1072">
        <v>99</v>
      </c>
      <c r="BC1072">
        <v>123</v>
      </c>
      <c r="BD1072" t="s">
        <v>74</v>
      </c>
      <c r="BE1072" t="s">
        <v>5518</v>
      </c>
      <c r="BF1072" t="str">
        <f>HYPERLINK("http://dx.doi.org/10.1016/j.anbehav.2023.09.013","http://dx.doi.org/10.1016/j.anbehav.2023.09.013")</f>
        <v>http://dx.doi.org/10.1016/j.anbehav.2023.09.013</v>
      </c>
      <c r="BG1072" t="s">
        <v>74</v>
      </c>
      <c r="BH1072" t="s">
        <v>5519</v>
      </c>
      <c r="BI1072" t="s">
        <v>74</v>
      </c>
      <c r="BJ1072" t="s">
        <v>74</v>
      </c>
      <c r="BK1072" t="s">
        <v>74</v>
      </c>
      <c r="BL1072" t="s">
        <v>74</v>
      </c>
      <c r="BM1072" t="s">
        <v>74</v>
      </c>
      <c r="BN1072" t="s">
        <v>74</v>
      </c>
      <c r="BO1072" t="s">
        <v>74</v>
      </c>
      <c r="BP1072" t="s">
        <v>74</v>
      </c>
      <c r="BQ1072" t="s">
        <v>74</v>
      </c>
      <c r="BR1072" t="s">
        <v>74</v>
      </c>
      <c r="BS1072" t="s">
        <v>5520</v>
      </c>
      <c r="BT1072" t="str">
        <f>HYPERLINK("https%3A%2F%2Fwww.webofscience.com%2Fwos%2Fwoscc%2Ffull-record%2FWOS:001113029100001","View Full Record in Web of Science")</f>
        <v>View Full Record in Web of Science</v>
      </c>
    </row>
    <row r="1073" spans="1:72" x14ac:dyDescent="0.4">
      <c r="A1073" t="s">
        <v>72</v>
      </c>
      <c r="B1073" t="s">
        <v>2316</v>
      </c>
      <c r="C1073" t="s">
        <v>74</v>
      </c>
      <c r="D1073" t="s">
        <v>74</v>
      </c>
      <c r="E1073" t="s">
        <v>74</v>
      </c>
      <c r="F1073" t="s">
        <v>2316</v>
      </c>
      <c r="G1073" t="s">
        <v>74</v>
      </c>
      <c r="H1073" t="s">
        <v>74</v>
      </c>
      <c r="I1073" t="s">
        <v>2317</v>
      </c>
      <c r="J1073" t="s">
        <v>2207</v>
      </c>
      <c r="K1073" t="s">
        <v>74</v>
      </c>
      <c r="L1073" t="s">
        <v>74</v>
      </c>
      <c r="M1073" t="s">
        <v>74</v>
      </c>
      <c r="N1073" t="s">
        <v>74</v>
      </c>
      <c r="O1073" t="s">
        <v>74</v>
      </c>
      <c r="P1073" t="s">
        <v>74</v>
      </c>
      <c r="Q1073" t="s">
        <v>74</v>
      </c>
      <c r="R1073" t="s">
        <v>74</v>
      </c>
      <c r="S1073" t="s">
        <v>74</v>
      </c>
      <c r="T1073" t="s">
        <v>74</v>
      </c>
      <c r="U1073" t="s">
        <v>74</v>
      </c>
      <c r="V1073" s="3" t="s">
        <v>2318</v>
      </c>
      <c r="W1073" t="s">
        <v>74</v>
      </c>
      <c r="X1073" t="s">
        <v>74</v>
      </c>
      <c r="Y1073" t="s">
        <v>74</v>
      </c>
      <c r="Z1073" t="s">
        <v>74</v>
      </c>
      <c r="AA1073" t="s">
        <v>74</v>
      </c>
      <c r="AB1073" t="s">
        <v>74</v>
      </c>
      <c r="AC1073" t="s">
        <v>74</v>
      </c>
      <c r="AD1073" t="s">
        <v>74</v>
      </c>
      <c r="AE1073" t="s">
        <v>74</v>
      </c>
      <c r="AF1073" t="s">
        <v>74</v>
      </c>
      <c r="AG1073" t="s">
        <v>74</v>
      </c>
      <c r="AH1073" t="s">
        <v>74</v>
      </c>
      <c r="AI1073" t="s">
        <v>74</v>
      </c>
      <c r="AJ1073" t="s">
        <v>74</v>
      </c>
      <c r="AK1073" t="s">
        <v>74</v>
      </c>
      <c r="AL1073" t="s">
        <v>74</v>
      </c>
      <c r="AM1073" t="s">
        <v>74</v>
      </c>
      <c r="AN1073" t="s">
        <v>74</v>
      </c>
      <c r="AO1073" t="s">
        <v>2211</v>
      </c>
      <c r="AP1073" t="s">
        <v>74</v>
      </c>
      <c r="AQ1073" t="s">
        <v>74</v>
      </c>
      <c r="AR1073" t="s">
        <v>74</v>
      </c>
      <c r="AS1073" t="s">
        <v>74</v>
      </c>
      <c r="AT1073" t="s">
        <v>352</v>
      </c>
      <c r="AU1073">
        <v>1996</v>
      </c>
      <c r="AV1073">
        <v>27</v>
      </c>
      <c r="AW1073">
        <v>3</v>
      </c>
      <c r="AX1073" t="s">
        <v>74</v>
      </c>
      <c r="AY1073" t="s">
        <v>74</v>
      </c>
      <c r="AZ1073" t="s">
        <v>74</v>
      </c>
      <c r="BA1073" t="s">
        <v>74</v>
      </c>
      <c r="BB1073">
        <v>257</v>
      </c>
      <c r="BC1073">
        <v>259</v>
      </c>
      <c r="BD1073" t="s">
        <v>74</v>
      </c>
      <c r="BE1073" t="s">
        <v>2319</v>
      </c>
      <c r="BF1073" t="str">
        <f>HYPERLINK("http://dx.doi.org/10.2307/3677231","http://dx.doi.org/10.2307/3677231")</f>
        <v>http://dx.doi.org/10.2307/3677231</v>
      </c>
      <c r="BG1073" t="s">
        <v>74</v>
      </c>
      <c r="BH1073" t="s">
        <v>74</v>
      </c>
      <c r="BI1073" t="s">
        <v>74</v>
      </c>
      <c r="BJ1073" t="s">
        <v>74</v>
      </c>
      <c r="BK1073" t="s">
        <v>74</v>
      </c>
      <c r="BL1073" t="s">
        <v>74</v>
      </c>
      <c r="BM1073" t="s">
        <v>74</v>
      </c>
      <c r="BN1073" t="s">
        <v>74</v>
      </c>
      <c r="BO1073" t="s">
        <v>74</v>
      </c>
      <c r="BP1073" t="s">
        <v>74</v>
      </c>
      <c r="BQ1073" t="s">
        <v>74</v>
      </c>
      <c r="BR1073" t="s">
        <v>74</v>
      </c>
      <c r="BS1073" t="s">
        <v>2320</v>
      </c>
      <c r="BT1073" t="str">
        <f>HYPERLINK("https%3A%2F%2Fwww.webofscience.com%2Fwos%2Fwoscc%2Ffull-record%2FWOS:A1996VQ62800012","View Full Record in Web of Science")</f>
        <v>View Full Record in Web of Science</v>
      </c>
    </row>
    <row r="1074" spans="1:72" x14ac:dyDescent="0.4">
      <c r="A1074" t="s">
        <v>72</v>
      </c>
      <c r="B1074" t="s">
        <v>515</v>
      </c>
      <c r="C1074" t="s">
        <v>74</v>
      </c>
      <c r="D1074" t="s">
        <v>74</v>
      </c>
      <c r="E1074" t="s">
        <v>74</v>
      </c>
      <c r="F1074" t="s">
        <v>515</v>
      </c>
      <c r="G1074" t="s">
        <v>74</v>
      </c>
      <c r="H1074" t="s">
        <v>74</v>
      </c>
      <c r="I1074" t="s">
        <v>516</v>
      </c>
      <c r="J1074" t="s">
        <v>517</v>
      </c>
      <c r="K1074" t="s">
        <v>74</v>
      </c>
      <c r="L1074" t="s">
        <v>74</v>
      </c>
      <c r="M1074" t="s">
        <v>74</v>
      </c>
      <c r="N1074" t="s">
        <v>74</v>
      </c>
      <c r="O1074" t="s">
        <v>518</v>
      </c>
      <c r="P1074" t="s">
        <v>519</v>
      </c>
      <c r="Q1074" t="s">
        <v>520</v>
      </c>
      <c r="R1074" t="s">
        <v>521</v>
      </c>
      <c r="S1074" t="s">
        <v>74</v>
      </c>
      <c r="T1074" t="s">
        <v>74</v>
      </c>
      <c r="U1074" t="s">
        <v>74</v>
      </c>
      <c r="V1074" s="3" t="s">
        <v>522</v>
      </c>
      <c r="W1074" t="s">
        <v>74</v>
      </c>
      <c r="X1074" t="s">
        <v>74</v>
      </c>
      <c r="Y1074" t="s">
        <v>74</v>
      </c>
      <c r="Z1074" t="s">
        <v>74</v>
      </c>
      <c r="AA1074" t="s">
        <v>523</v>
      </c>
      <c r="AB1074" t="s">
        <v>524</v>
      </c>
      <c r="AC1074" t="s">
        <v>74</v>
      </c>
      <c r="AD1074" t="s">
        <v>74</v>
      </c>
      <c r="AE1074" t="s">
        <v>74</v>
      </c>
      <c r="AF1074" t="s">
        <v>74</v>
      </c>
      <c r="AG1074" t="s">
        <v>74</v>
      </c>
      <c r="AH1074" t="s">
        <v>74</v>
      </c>
      <c r="AI1074" t="s">
        <v>74</v>
      </c>
      <c r="AJ1074" t="s">
        <v>74</v>
      </c>
      <c r="AK1074" t="s">
        <v>74</v>
      </c>
      <c r="AL1074" t="s">
        <v>74</v>
      </c>
      <c r="AM1074" t="s">
        <v>74</v>
      </c>
      <c r="AN1074" t="s">
        <v>74</v>
      </c>
      <c r="AO1074" t="s">
        <v>525</v>
      </c>
      <c r="AP1074" t="s">
        <v>74</v>
      </c>
      <c r="AQ1074" t="s">
        <v>74</v>
      </c>
      <c r="AR1074" t="s">
        <v>74</v>
      </c>
      <c r="AS1074" t="s">
        <v>74</v>
      </c>
      <c r="AT1074" t="s">
        <v>305</v>
      </c>
      <c r="AU1074">
        <v>2003</v>
      </c>
      <c r="AV1074">
        <v>36</v>
      </c>
      <c r="AW1074">
        <v>12</v>
      </c>
      <c r="AX1074" t="s">
        <v>74</v>
      </c>
      <c r="AY1074" t="s">
        <v>74</v>
      </c>
      <c r="AZ1074" t="s">
        <v>74</v>
      </c>
      <c r="BA1074" t="s">
        <v>74</v>
      </c>
      <c r="BB1074">
        <v>1659</v>
      </c>
      <c r="BC1074">
        <v>1663</v>
      </c>
      <c r="BD1074" t="s">
        <v>74</v>
      </c>
      <c r="BE1074" t="s">
        <v>526</v>
      </c>
      <c r="BF1074" t="str">
        <f>HYPERLINK("http://dx.doi.org/10.1590/S0100-879X2003001200007","http://dx.doi.org/10.1590/S0100-879X2003001200007")</f>
        <v>http://dx.doi.org/10.1590/S0100-879X2003001200007</v>
      </c>
      <c r="BG1074" t="s">
        <v>74</v>
      </c>
      <c r="BH1074" t="s">
        <v>74</v>
      </c>
      <c r="BI1074" t="s">
        <v>74</v>
      </c>
      <c r="BJ1074" t="s">
        <v>74</v>
      </c>
      <c r="BK1074" t="s">
        <v>74</v>
      </c>
      <c r="BL1074" t="s">
        <v>74</v>
      </c>
      <c r="BM1074" t="s">
        <v>74</v>
      </c>
      <c r="BN1074">
        <v>14666250</v>
      </c>
      <c r="BO1074" t="s">
        <v>74</v>
      </c>
      <c r="BP1074" t="s">
        <v>74</v>
      </c>
      <c r="BQ1074" t="s">
        <v>74</v>
      </c>
      <c r="BR1074" t="s">
        <v>74</v>
      </c>
      <c r="BS1074" t="s">
        <v>527</v>
      </c>
      <c r="BT1074" t="str">
        <f>HYPERLINK("https%3A%2F%2Fwww.webofscience.com%2Fwos%2Fwoscc%2Ffull-record%2FWOS:000187175000007","View Full Record in Web of Science")</f>
        <v>View Full Record in Web of Science</v>
      </c>
    </row>
    <row r="1075" spans="1:72" x14ac:dyDescent="0.4">
      <c r="A1075" t="s">
        <v>72</v>
      </c>
      <c r="B1075" t="s">
        <v>7456</v>
      </c>
      <c r="C1075" t="s">
        <v>74</v>
      </c>
      <c r="D1075" t="s">
        <v>74</v>
      </c>
      <c r="E1075" t="s">
        <v>74</v>
      </c>
      <c r="F1075" t="s">
        <v>7456</v>
      </c>
      <c r="G1075" t="s">
        <v>74</v>
      </c>
      <c r="H1075" t="s">
        <v>74</v>
      </c>
      <c r="I1075" t="s">
        <v>7457</v>
      </c>
      <c r="J1075" t="s">
        <v>610</v>
      </c>
      <c r="K1075" t="s">
        <v>74</v>
      </c>
      <c r="L1075" t="s">
        <v>74</v>
      </c>
      <c r="M1075" t="s">
        <v>74</v>
      </c>
      <c r="N1075" t="s">
        <v>74</v>
      </c>
      <c r="O1075" t="s">
        <v>74</v>
      </c>
      <c r="P1075" t="s">
        <v>74</v>
      </c>
      <c r="Q1075" t="s">
        <v>74</v>
      </c>
      <c r="R1075" t="s">
        <v>74</v>
      </c>
      <c r="S1075" t="s">
        <v>74</v>
      </c>
      <c r="T1075" t="s">
        <v>74</v>
      </c>
      <c r="U1075" t="s">
        <v>74</v>
      </c>
      <c r="V1075" s="3" t="s">
        <v>7458</v>
      </c>
      <c r="W1075" t="s">
        <v>74</v>
      </c>
      <c r="X1075" t="s">
        <v>74</v>
      </c>
      <c r="Y1075" t="s">
        <v>74</v>
      </c>
      <c r="Z1075" t="s">
        <v>74</v>
      </c>
      <c r="AA1075" t="s">
        <v>74</v>
      </c>
      <c r="AB1075" t="s">
        <v>74</v>
      </c>
      <c r="AC1075" t="s">
        <v>74</v>
      </c>
      <c r="AD1075" t="s">
        <v>74</v>
      </c>
      <c r="AE1075" t="s">
        <v>74</v>
      </c>
      <c r="AF1075" t="s">
        <v>74</v>
      </c>
      <c r="AG1075" t="s">
        <v>74</v>
      </c>
      <c r="AH1075" t="s">
        <v>74</v>
      </c>
      <c r="AI1075" t="s">
        <v>74</v>
      </c>
      <c r="AJ1075" t="s">
        <v>74</v>
      </c>
      <c r="AK1075" t="s">
        <v>74</v>
      </c>
      <c r="AL1075" t="s">
        <v>74</v>
      </c>
      <c r="AM1075" t="s">
        <v>74</v>
      </c>
      <c r="AN1075" t="s">
        <v>74</v>
      </c>
      <c r="AO1075" t="s">
        <v>614</v>
      </c>
      <c r="AP1075" t="s">
        <v>74</v>
      </c>
      <c r="AQ1075" t="s">
        <v>74</v>
      </c>
      <c r="AR1075" t="s">
        <v>74</v>
      </c>
      <c r="AS1075" t="s">
        <v>74</v>
      </c>
      <c r="AT1075" t="s">
        <v>255</v>
      </c>
      <c r="AU1075">
        <v>1993</v>
      </c>
      <c r="AV1075">
        <v>93</v>
      </c>
      <c r="AW1075">
        <v>1</v>
      </c>
      <c r="AX1075" t="s">
        <v>74</v>
      </c>
      <c r="AY1075" t="s">
        <v>74</v>
      </c>
      <c r="AZ1075" t="s">
        <v>74</v>
      </c>
      <c r="BA1075" t="s">
        <v>74</v>
      </c>
      <c r="BB1075">
        <v>3</v>
      </c>
      <c r="BC1075">
        <v>20</v>
      </c>
      <c r="BD1075" t="s">
        <v>74</v>
      </c>
      <c r="BE1075" t="s">
        <v>74</v>
      </c>
      <c r="BF1075" t="s">
        <v>74</v>
      </c>
      <c r="BG1075" t="s">
        <v>74</v>
      </c>
      <c r="BH1075" t="s">
        <v>74</v>
      </c>
      <c r="BI1075" t="s">
        <v>74</v>
      </c>
      <c r="BJ1075" t="s">
        <v>74</v>
      </c>
      <c r="BK1075" t="s">
        <v>74</v>
      </c>
      <c r="BL1075" t="s">
        <v>74</v>
      </c>
      <c r="BM1075" t="s">
        <v>74</v>
      </c>
      <c r="BN1075" t="s">
        <v>74</v>
      </c>
      <c r="BO1075" t="s">
        <v>74</v>
      </c>
      <c r="BP1075" t="s">
        <v>74</v>
      </c>
      <c r="BQ1075" t="s">
        <v>74</v>
      </c>
      <c r="BR1075" t="s">
        <v>74</v>
      </c>
      <c r="BS1075" t="s">
        <v>7459</v>
      </c>
      <c r="BT1075" t="str">
        <f>HYPERLINK("https%3A%2F%2Fwww.webofscience.com%2Fwos%2Fwoscc%2Ffull-record%2FWOS:A1993KM66900002","View Full Record in Web of Science")</f>
        <v>View Full Record in Web of Science</v>
      </c>
    </row>
    <row r="1076" spans="1:72" x14ac:dyDescent="0.4">
      <c r="A1076" t="s">
        <v>72</v>
      </c>
      <c r="B1076" t="s">
        <v>4440</v>
      </c>
      <c r="C1076" t="s">
        <v>74</v>
      </c>
      <c r="D1076" t="s">
        <v>74</v>
      </c>
      <c r="E1076" t="s">
        <v>74</v>
      </c>
      <c r="F1076" t="s">
        <v>4440</v>
      </c>
      <c r="G1076" t="s">
        <v>74</v>
      </c>
      <c r="H1076" t="s">
        <v>74</v>
      </c>
      <c r="I1076" t="s">
        <v>4441</v>
      </c>
      <c r="J1076" t="s">
        <v>140</v>
      </c>
      <c r="K1076" t="s">
        <v>74</v>
      </c>
      <c r="L1076" t="s">
        <v>74</v>
      </c>
      <c r="M1076" t="s">
        <v>74</v>
      </c>
      <c r="N1076" t="s">
        <v>74</v>
      </c>
      <c r="O1076" t="s">
        <v>74</v>
      </c>
      <c r="P1076" t="s">
        <v>74</v>
      </c>
      <c r="Q1076" t="s">
        <v>74</v>
      </c>
      <c r="R1076" t="s">
        <v>74</v>
      </c>
      <c r="S1076" t="s">
        <v>74</v>
      </c>
      <c r="T1076" t="s">
        <v>74</v>
      </c>
      <c r="U1076" t="s">
        <v>74</v>
      </c>
      <c r="V1076" s="3" t="s">
        <v>4442</v>
      </c>
      <c r="W1076" t="s">
        <v>74</v>
      </c>
      <c r="X1076" t="s">
        <v>74</v>
      </c>
      <c r="Y1076" t="s">
        <v>74</v>
      </c>
      <c r="Z1076" t="s">
        <v>74</v>
      </c>
      <c r="AA1076" t="s">
        <v>74</v>
      </c>
      <c r="AB1076" t="s">
        <v>74</v>
      </c>
      <c r="AC1076" t="s">
        <v>74</v>
      </c>
      <c r="AD1076" t="s">
        <v>74</v>
      </c>
      <c r="AE1076" t="s">
        <v>74</v>
      </c>
      <c r="AF1076" t="s">
        <v>74</v>
      </c>
      <c r="AG1076" t="s">
        <v>74</v>
      </c>
      <c r="AH1076" t="s">
        <v>74</v>
      </c>
      <c r="AI1076" t="s">
        <v>74</v>
      </c>
      <c r="AJ1076" t="s">
        <v>74</v>
      </c>
      <c r="AK1076" t="s">
        <v>74</v>
      </c>
      <c r="AL1076" t="s">
        <v>74</v>
      </c>
      <c r="AM1076" t="s">
        <v>74</v>
      </c>
      <c r="AN1076" t="s">
        <v>74</v>
      </c>
      <c r="AO1076" t="s">
        <v>143</v>
      </c>
      <c r="AP1076" t="s">
        <v>144</v>
      </c>
      <c r="AQ1076" t="s">
        <v>74</v>
      </c>
      <c r="AR1076" t="s">
        <v>74</v>
      </c>
      <c r="AS1076" t="s">
        <v>74</v>
      </c>
      <c r="AT1076" t="s">
        <v>352</v>
      </c>
      <c r="AU1076">
        <v>1995</v>
      </c>
      <c r="AV1076">
        <v>50</v>
      </c>
      <c r="AW1076" t="s">
        <v>74</v>
      </c>
      <c r="AX1076">
        <v>3</v>
      </c>
      <c r="AY1076" t="s">
        <v>74</v>
      </c>
      <c r="AZ1076" t="s">
        <v>74</v>
      </c>
      <c r="BA1076" t="s">
        <v>74</v>
      </c>
      <c r="BB1076">
        <v>645</v>
      </c>
      <c r="BC1076">
        <v>653</v>
      </c>
      <c r="BD1076" t="s">
        <v>74</v>
      </c>
      <c r="BE1076" t="s">
        <v>4443</v>
      </c>
      <c r="BF1076" t="str">
        <f>HYPERLINK("http://dx.doi.org/10.1016/0003-3472(95)80126-X","http://dx.doi.org/10.1016/0003-3472(95)80126-X")</f>
        <v>http://dx.doi.org/10.1016/0003-3472(95)80126-X</v>
      </c>
      <c r="BG1076" t="s">
        <v>74</v>
      </c>
      <c r="BH1076" t="s">
        <v>74</v>
      </c>
      <c r="BI1076" t="s">
        <v>74</v>
      </c>
      <c r="BJ1076" t="s">
        <v>74</v>
      </c>
      <c r="BK1076" t="s">
        <v>74</v>
      </c>
      <c r="BL1076" t="s">
        <v>74</v>
      </c>
      <c r="BM1076" t="s">
        <v>74</v>
      </c>
      <c r="BN1076" t="s">
        <v>74</v>
      </c>
      <c r="BO1076" t="s">
        <v>74</v>
      </c>
      <c r="BP1076" t="s">
        <v>74</v>
      </c>
      <c r="BQ1076" t="s">
        <v>74</v>
      </c>
      <c r="BR1076" t="s">
        <v>74</v>
      </c>
      <c r="BS1076" t="s">
        <v>4444</v>
      </c>
      <c r="BT1076" t="str">
        <f>HYPERLINK("https%3A%2F%2Fwww.webofscience.com%2Fwos%2Fwoscc%2Ffull-record%2FWOS:A1995RV28100007","View Full Record in Web of Science")</f>
        <v>View Full Record in Web of Science</v>
      </c>
    </row>
    <row r="1077" spans="1:72" x14ac:dyDescent="0.4">
      <c r="A1077" t="s">
        <v>72</v>
      </c>
      <c r="B1077" t="s">
        <v>4440</v>
      </c>
      <c r="C1077" t="s">
        <v>74</v>
      </c>
      <c r="D1077" t="s">
        <v>74</v>
      </c>
      <c r="E1077" t="s">
        <v>74</v>
      </c>
      <c r="F1077" t="s">
        <v>4440</v>
      </c>
      <c r="G1077" t="s">
        <v>74</v>
      </c>
      <c r="H1077" t="s">
        <v>74</v>
      </c>
      <c r="I1077" t="s">
        <v>6340</v>
      </c>
      <c r="J1077" t="s">
        <v>77</v>
      </c>
      <c r="K1077" t="s">
        <v>74</v>
      </c>
      <c r="L1077" t="s">
        <v>74</v>
      </c>
      <c r="M1077" t="s">
        <v>74</v>
      </c>
      <c r="N1077" t="s">
        <v>74</v>
      </c>
      <c r="O1077" t="s">
        <v>74</v>
      </c>
      <c r="P1077" t="s">
        <v>74</v>
      </c>
      <c r="Q1077" t="s">
        <v>74</v>
      </c>
      <c r="R1077" t="s">
        <v>74</v>
      </c>
      <c r="S1077" t="s">
        <v>74</v>
      </c>
      <c r="T1077" t="s">
        <v>74</v>
      </c>
      <c r="U1077" t="s">
        <v>74</v>
      </c>
      <c r="V1077" s="3" t="s">
        <v>6341</v>
      </c>
      <c r="W1077" t="s">
        <v>74</v>
      </c>
      <c r="X1077" t="s">
        <v>74</v>
      </c>
      <c r="Y1077" t="s">
        <v>74</v>
      </c>
      <c r="Z1077" t="s">
        <v>74</v>
      </c>
      <c r="AA1077" t="s">
        <v>74</v>
      </c>
      <c r="AB1077" t="s">
        <v>74</v>
      </c>
      <c r="AC1077" t="s">
        <v>74</v>
      </c>
      <c r="AD1077" t="s">
        <v>74</v>
      </c>
      <c r="AE1077" t="s">
        <v>74</v>
      </c>
      <c r="AF1077" t="s">
        <v>74</v>
      </c>
      <c r="AG1077" t="s">
        <v>74</v>
      </c>
      <c r="AH1077" t="s">
        <v>74</v>
      </c>
      <c r="AI1077" t="s">
        <v>74</v>
      </c>
      <c r="AJ1077" t="s">
        <v>74</v>
      </c>
      <c r="AK1077" t="s">
        <v>74</v>
      </c>
      <c r="AL1077" t="s">
        <v>74</v>
      </c>
      <c r="AM1077" t="s">
        <v>74</v>
      </c>
      <c r="AN1077" t="s">
        <v>74</v>
      </c>
      <c r="AO1077" t="s">
        <v>81</v>
      </c>
      <c r="AP1077" t="s">
        <v>74</v>
      </c>
      <c r="AQ1077" t="s">
        <v>74</v>
      </c>
      <c r="AR1077" t="s">
        <v>74</v>
      </c>
      <c r="AS1077" t="s">
        <v>74</v>
      </c>
      <c r="AT1077" t="s">
        <v>964</v>
      </c>
      <c r="AU1077">
        <v>1994</v>
      </c>
      <c r="AV1077">
        <v>128</v>
      </c>
      <c r="AW1077" t="s">
        <v>74</v>
      </c>
      <c r="AX1077" t="s">
        <v>548</v>
      </c>
      <c r="AY1077" t="s">
        <v>74</v>
      </c>
      <c r="AZ1077" t="s">
        <v>74</v>
      </c>
      <c r="BA1077" t="s">
        <v>74</v>
      </c>
      <c r="BB1077">
        <v>1</v>
      </c>
      <c r="BC1077">
        <v>14</v>
      </c>
      <c r="BD1077" t="s">
        <v>74</v>
      </c>
      <c r="BE1077" t="s">
        <v>6342</v>
      </c>
      <c r="BF1077" t="str">
        <f>HYPERLINK("http://dx.doi.org/10.1163/156853994X00019","http://dx.doi.org/10.1163/156853994X00019")</f>
        <v>http://dx.doi.org/10.1163/156853994X00019</v>
      </c>
      <c r="BG1077" t="s">
        <v>74</v>
      </c>
      <c r="BH1077" t="s">
        <v>74</v>
      </c>
      <c r="BI1077" t="s">
        <v>74</v>
      </c>
      <c r="BJ1077" t="s">
        <v>74</v>
      </c>
      <c r="BK1077" t="s">
        <v>74</v>
      </c>
      <c r="BL1077" t="s">
        <v>74</v>
      </c>
      <c r="BM1077" t="s">
        <v>74</v>
      </c>
      <c r="BN1077" t="s">
        <v>74</v>
      </c>
      <c r="BO1077" t="s">
        <v>74</v>
      </c>
      <c r="BP1077" t="s">
        <v>74</v>
      </c>
      <c r="BQ1077" t="s">
        <v>74</v>
      </c>
      <c r="BR1077" t="s">
        <v>74</v>
      </c>
      <c r="BS1077" t="s">
        <v>6343</v>
      </c>
      <c r="BT1077" t="str">
        <f>HYPERLINK("https%3A%2F%2Fwww.webofscience.com%2Fwos%2Fwoscc%2Ffull-record%2FWOS:A1994NV35400001","View Full Record in Web of Science")</f>
        <v>View Full Record in Web of Science</v>
      </c>
    </row>
    <row r="1078" spans="1:72" x14ac:dyDescent="0.4">
      <c r="A1078" t="s">
        <v>72</v>
      </c>
      <c r="B1078" t="s">
        <v>3458</v>
      </c>
      <c r="C1078" t="s">
        <v>74</v>
      </c>
      <c r="D1078" t="s">
        <v>74</v>
      </c>
      <c r="E1078" t="s">
        <v>74</v>
      </c>
      <c r="F1078" t="s">
        <v>3458</v>
      </c>
      <c r="G1078" t="s">
        <v>74</v>
      </c>
      <c r="H1078" t="s">
        <v>74</v>
      </c>
      <c r="I1078" t="s">
        <v>3459</v>
      </c>
      <c r="J1078" t="s">
        <v>108</v>
      </c>
      <c r="K1078" t="s">
        <v>74</v>
      </c>
      <c r="L1078" t="s">
        <v>74</v>
      </c>
      <c r="M1078" t="s">
        <v>74</v>
      </c>
      <c r="N1078" t="s">
        <v>74</v>
      </c>
      <c r="O1078" t="s">
        <v>74</v>
      </c>
      <c r="P1078" t="s">
        <v>74</v>
      </c>
      <c r="Q1078" t="s">
        <v>74</v>
      </c>
      <c r="R1078" t="s">
        <v>74</v>
      </c>
      <c r="S1078" t="s">
        <v>74</v>
      </c>
      <c r="T1078" t="s">
        <v>74</v>
      </c>
      <c r="U1078" t="s">
        <v>74</v>
      </c>
      <c r="V1078" s="3" t="s">
        <v>3460</v>
      </c>
      <c r="W1078" t="s">
        <v>74</v>
      </c>
      <c r="X1078" t="s">
        <v>74</v>
      </c>
      <c r="Y1078" t="s">
        <v>74</v>
      </c>
      <c r="Z1078" t="s">
        <v>74</v>
      </c>
      <c r="AA1078" t="s">
        <v>3461</v>
      </c>
      <c r="AB1078" t="s">
        <v>3462</v>
      </c>
      <c r="AC1078" t="s">
        <v>74</v>
      </c>
      <c r="AD1078" t="s">
        <v>74</v>
      </c>
      <c r="AE1078" t="s">
        <v>74</v>
      </c>
      <c r="AF1078" t="s">
        <v>74</v>
      </c>
      <c r="AG1078" t="s">
        <v>74</v>
      </c>
      <c r="AH1078" t="s">
        <v>74</v>
      </c>
      <c r="AI1078" t="s">
        <v>74</v>
      </c>
      <c r="AJ1078" t="s">
        <v>74</v>
      </c>
      <c r="AK1078" t="s">
        <v>74</v>
      </c>
      <c r="AL1078" t="s">
        <v>74</v>
      </c>
      <c r="AM1078" t="s">
        <v>74</v>
      </c>
      <c r="AN1078" t="s">
        <v>74</v>
      </c>
      <c r="AO1078" t="s">
        <v>111</v>
      </c>
      <c r="AP1078" t="s">
        <v>3463</v>
      </c>
      <c r="AQ1078" t="s">
        <v>74</v>
      </c>
      <c r="AR1078" t="s">
        <v>74</v>
      </c>
      <c r="AS1078" t="s">
        <v>74</v>
      </c>
      <c r="AT1078" t="s">
        <v>493</v>
      </c>
      <c r="AU1078">
        <v>1999</v>
      </c>
      <c r="AV1078">
        <v>266</v>
      </c>
      <c r="AW1078">
        <v>1427</v>
      </c>
      <c r="AX1078" t="s">
        <v>74</v>
      </c>
      <c r="AY1078" t="s">
        <v>74</v>
      </c>
      <c r="AZ1078" t="s">
        <v>74</v>
      </c>
      <c r="BA1078" t="s">
        <v>74</v>
      </c>
      <c r="BB1078">
        <v>1403</v>
      </c>
      <c r="BC1078">
        <v>1411</v>
      </c>
      <c r="BD1078" t="s">
        <v>74</v>
      </c>
      <c r="BE1078" t="s">
        <v>3464</v>
      </c>
      <c r="BF1078" t="str">
        <f>HYPERLINK("http://dx.doi.org/10.1098/rspb.1999.0794","http://dx.doi.org/10.1098/rspb.1999.0794")</f>
        <v>http://dx.doi.org/10.1098/rspb.1999.0794</v>
      </c>
      <c r="BG1078" t="s">
        <v>74</v>
      </c>
      <c r="BH1078" t="s">
        <v>74</v>
      </c>
      <c r="BI1078" t="s">
        <v>74</v>
      </c>
      <c r="BJ1078" t="s">
        <v>74</v>
      </c>
      <c r="BK1078" t="s">
        <v>74</v>
      </c>
      <c r="BL1078" t="s">
        <v>74</v>
      </c>
      <c r="BM1078" t="s">
        <v>74</v>
      </c>
      <c r="BN1078" t="s">
        <v>74</v>
      </c>
      <c r="BO1078" t="s">
        <v>74</v>
      </c>
      <c r="BP1078" t="s">
        <v>74</v>
      </c>
      <c r="BQ1078" t="s">
        <v>74</v>
      </c>
      <c r="BR1078" t="s">
        <v>74</v>
      </c>
      <c r="BS1078" t="s">
        <v>3465</v>
      </c>
      <c r="BT1078" t="str">
        <f>HYPERLINK("https%3A%2F%2Fwww.webofscience.com%2Fwos%2Fwoscc%2Ffull-record%2FWOS:000081833200001","View Full Record in Web of Science")</f>
        <v>View Full Record in Web of Science</v>
      </c>
    </row>
    <row r="1079" spans="1:72" x14ac:dyDescent="0.4">
      <c r="A1079" t="s">
        <v>72</v>
      </c>
      <c r="B1079" t="s">
        <v>5080</v>
      </c>
      <c r="C1079" t="s">
        <v>74</v>
      </c>
      <c r="D1079" t="s">
        <v>74</v>
      </c>
      <c r="E1079" t="s">
        <v>74</v>
      </c>
      <c r="F1079" t="s">
        <v>5081</v>
      </c>
      <c r="G1079" t="s">
        <v>74</v>
      </c>
      <c r="H1079" t="s">
        <v>74</v>
      </c>
      <c r="I1079" t="s">
        <v>5082</v>
      </c>
      <c r="J1079" t="s">
        <v>333</v>
      </c>
      <c r="K1079" t="s">
        <v>74</v>
      </c>
      <c r="L1079" t="s">
        <v>74</v>
      </c>
      <c r="M1079" t="s">
        <v>74</v>
      </c>
      <c r="N1079" t="s">
        <v>74</v>
      </c>
      <c r="O1079" t="s">
        <v>74</v>
      </c>
      <c r="P1079" t="s">
        <v>74</v>
      </c>
      <c r="Q1079" t="s">
        <v>74</v>
      </c>
      <c r="R1079" t="s">
        <v>74</v>
      </c>
      <c r="S1079" t="s">
        <v>74</v>
      </c>
      <c r="T1079" t="s">
        <v>74</v>
      </c>
      <c r="U1079" t="s">
        <v>74</v>
      </c>
      <c r="V1079" s="3" t="s">
        <v>5083</v>
      </c>
      <c r="W1079" t="s">
        <v>74</v>
      </c>
      <c r="X1079" t="s">
        <v>74</v>
      </c>
      <c r="Y1079" t="s">
        <v>74</v>
      </c>
      <c r="Z1079" t="s">
        <v>74</v>
      </c>
      <c r="AA1079" t="s">
        <v>5084</v>
      </c>
      <c r="AB1079" t="s">
        <v>5085</v>
      </c>
      <c r="AC1079" t="s">
        <v>74</v>
      </c>
      <c r="AD1079" t="s">
        <v>74</v>
      </c>
      <c r="AE1079" t="s">
        <v>74</v>
      </c>
      <c r="AF1079" t="s">
        <v>74</v>
      </c>
      <c r="AG1079" t="s">
        <v>74</v>
      </c>
      <c r="AH1079" t="s">
        <v>74</v>
      </c>
      <c r="AI1079" t="s">
        <v>74</v>
      </c>
      <c r="AJ1079" t="s">
        <v>74</v>
      </c>
      <c r="AK1079" t="s">
        <v>74</v>
      </c>
      <c r="AL1079" t="s">
        <v>74</v>
      </c>
      <c r="AM1079" t="s">
        <v>74</v>
      </c>
      <c r="AN1079" t="s">
        <v>74</v>
      </c>
      <c r="AO1079" t="s">
        <v>337</v>
      </c>
      <c r="AP1079" t="s">
        <v>338</v>
      </c>
      <c r="AQ1079" t="s">
        <v>74</v>
      </c>
      <c r="AR1079" t="s">
        <v>74</v>
      </c>
      <c r="AS1079" t="s">
        <v>74</v>
      </c>
      <c r="AT1079" t="s">
        <v>1013</v>
      </c>
      <c r="AU1079">
        <v>2016</v>
      </c>
      <c r="AV1079">
        <v>27</v>
      </c>
      <c r="AW1079">
        <v>5</v>
      </c>
      <c r="AX1079" t="s">
        <v>74</v>
      </c>
      <c r="AY1079" t="s">
        <v>74</v>
      </c>
      <c r="AZ1079" t="s">
        <v>74</v>
      </c>
      <c r="BA1079" t="s">
        <v>74</v>
      </c>
      <c r="BB1079">
        <v>1331</v>
      </c>
      <c r="BC1079">
        <v>1342</v>
      </c>
      <c r="BD1079" t="s">
        <v>74</v>
      </c>
      <c r="BE1079" t="s">
        <v>5086</v>
      </c>
      <c r="BF1079" t="str">
        <f>HYPERLINK("http://dx.doi.org/10.1093/beheco/arw050","http://dx.doi.org/10.1093/beheco/arw050")</f>
        <v>http://dx.doi.org/10.1093/beheco/arw050</v>
      </c>
      <c r="BG1079" t="s">
        <v>74</v>
      </c>
      <c r="BH1079" t="s">
        <v>74</v>
      </c>
      <c r="BI1079" t="s">
        <v>74</v>
      </c>
      <c r="BJ1079" t="s">
        <v>74</v>
      </c>
      <c r="BK1079" t="s">
        <v>74</v>
      </c>
      <c r="BL1079" t="s">
        <v>74</v>
      </c>
      <c r="BM1079" t="s">
        <v>74</v>
      </c>
      <c r="BN1079" t="s">
        <v>74</v>
      </c>
      <c r="BO1079" t="s">
        <v>74</v>
      </c>
      <c r="BP1079" t="s">
        <v>74</v>
      </c>
      <c r="BQ1079" t="s">
        <v>74</v>
      </c>
      <c r="BR1079" t="s">
        <v>74</v>
      </c>
      <c r="BS1079" t="s">
        <v>5087</v>
      </c>
      <c r="BT1079" t="str">
        <f>HYPERLINK("https%3A%2F%2Fwww.webofscience.com%2Fwos%2Fwoscc%2Ffull-record%2FWOS:000384650600013","View Full Record in Web of Science")</f>
        <v>View Full Record in Web of Science</v>
      </c>
    </row>
    <row r="1080" spans="1:72" x14ac:dyDescent="0.4">
      <c r="A1080" t="s">
        <v>72</v>
      </c>
      <c r="B1080" t="s">
        <v>4196</v>
      </c>
      <c r="C1080" t="s">
        <v>74</v>
      </c>
      <c r="D1080" t="s">
        <v>74</v>
      </c>
      <c r="E1080" t="s">
        <v>74</v>
      </c>
      <c r="F1080" t="s">
        <v>4197</v>
      </c>
      <c r="G1080" t="s">
        <v>74</v>
      </c>
      <c r="H1080" t="s">
        <v>74</v>
      </c>
      <c r="I1080" t="s">
        <v>4198</v>
      </c>
      <c r="J1080" t="s">
        <v>763</v>
      </c>
      <c r="K1080" t="s">
        <v>74</v>
      </c>
      <c r="L1080" t="s">
        <v>74</v>
      </c>
      <c r="M1080" t="s">
        <v>74</v>
      </c>
      <c r="N1080" t="s">
        <v>74</v>
      </c>
      <c r="O1080" t="s">
        <v>74</v>
      </c>
      <c r="P1080" t="s">
        <v>74</v>
      </c>
      <c r="Q1080" t="s">
        <v>74</v>
      </c>
      <c r="R1080" t="s">
        <v>74</v>
      </c>
      <c r="S1080" t="s">
        <v>74</v>
      </c>
      <c r="T1080" t="s">
        <v>74</v>
      </c>
      <c r="U1080" t="s">
        <v>74</v>
      </c>
      <c r="V1080" s="3" t="s">
        <v>4199</v>
      </c>
      <c r="W1080" t="s">
        <v>74</v>
      </c>
      <c r="X1080" t="s">
        <v>74</v>
      </c>
      <c r="Y1080" t="s">
        <v>74</v>
      </c>
      <c r="Z1080" t="s">
        <v>74</v>
      </c>
      <c r="AA1080" t="s">
        <v>74</v>
      </c>
      <c r="AB1080" t="s">
        <v>4200</v>
      </c>
      <c r="AC1080" t="s">
        <v>74</v>
      </c>
      <c r="AD1080" t="s">
        <v>74</v>
      </c>
      <c r="AE1080" t="s">
        <v>74</v>
      </c>
      <c r="AF1080" t="s">
        <v>74</v>
      </c>
      <c r="AG1080" t="s">
        <v>74</v>
      </c>
      <c r="AH1080" t="s">
        <v>74</v>
      </c>
      <c r="AI1080" t="s">
        <v>74</v>
      </c>
      <c r="AJ1080" t="s">
        <v>74</v>
      </c>
      <c r="AK1080" t="s">
        <v>74</v>
      </c>
      <c r="AL1080" t="s">
        <v>74</v>
      </c>
      <c r="AM1080" t="s">
        <v>74</v>
      </c>
      <c r="AN1080" t="s">
        <v>74</v>
      </c>
      <c r="AO1080" t="s">
        <v>767</v>
      </c>
      <c r="AP1080" t="s">
        <v>768</v>
      </c>
      <c r="AQ1080" t="s">
        <v>74</v>
      </c>
      <c r="AR1080" t="s">
        <v>74</v>
      </c>
      <c r="AS1080" t="s">
        <v>74</v>
      </c>
      <c r="AT1080" t="s">
        <v>145</v>
      </c>
      <c r="AU1080">
        <v>2020</v>
      </c>
      <c r="AV1080">
        <v>223</v>
      </c>
      <c r="AW1080">
        <v>16</v>
      </c>
      <c r="AX1080" t="s">
        <v>74</v>
      </c>
      <c r="AY1080" t="s">
        <v>74</v>
      </c>
      <c r="AZ1080" t="s">
        <v>74</v>
      </c>
      <c r="BA1080" t="s">
        <v>74</v>
      </c>
      <c r="BB1080" t="s">
        <v>74</v>
      </c>
      <c r="BC1080" t="s">
        <v>74</v>
      </c>
      <c r="BD1080" t="s">
        <v>4201</v>
      </c>
      <c r="BE1080" t="s">
        <v>4202</v>
      </c>
      <c r="BF1080" t="str">
        <f>HYPERLINK("http://dx.doi.org/10.1242/jeb.226340","http://dx.doi.org/10.1242/jeb.226340")</f>
        <v>http://dx.doi.org/10.1242/jeb.226340</v>
      </c>
      <c r="BG1080" t="s">
        <v>74</v>
      </c>
      <c r="BH1080" t="s">
        <v>74</v>
      </c>
      <c r="BI1080" t="s">
        <v>74</v>
      </c>
      <c r="BJ1080" t="s">
        <v>74</v>
      </c>
      <c r="BK1080" t="s">
        <v>74</v>
      </c>
      <c r="BL1080" t="s">
        <v>74</v>
      </c>
      <c r="BM1080" t="s">
        <v>74</v>
      </c>
      <c r="BN1080">
        <v>32748795</v>
      </c>
      <c r="BO1080" t="s">
        <v>74</v>
      </c>
      <c r="BP1080" t="s">
        <v>74</v>
      </c>
      <c r="BQ1080" t="s">
        <v>74</v>
      </c>
      <c r="BR1080" t="s">
        <v>74</v>
      </c>
      <c r="BS1080" t="s">
        <v>4203</v>
      </c>
      <c r="BT1080" t="str">
        <f>HYPERLINK("https%3A%2F%2Fwww.webofscience.com%2Fwos%2Fwoscc%2Ffull-record%2FWOS:000576694400015","View Full Record in Web of Science")</f>
        <v>View Full Record in Web of Science</v>
      </c>
    </row>
    <row r="1081" spans="1:72" x14ac:dyDescent="0.4">
      <c r="A1081" t="s">
        <v>72</v>
      </c>
      <c r="B1081" t="s">
        <v>2114</v>
      </c>
      <c r="C1081" t="s">
        <v>74</v>
      </c>
      <c r="D1081" t="s">
        <v>74</v>
      </c>
      <c r="E1081" t="s">
        <v>74</v>
      </c>
      <c r="F1081" t="s">
        <v>2114</v>
      </c>
      <c r="G1081" t="s">
        <v>74</v>
      </c>
      <c r="H1081" t="s">
        <v>74</v>
      </c>
      <c r="I1081" t="s">
        <v>2115</v>
      </c>
      <c r="J1081" t="s">
        <v>2116</v>
      </c>
      <c r="K1081" t="s">
        <v>74</v>
      </c>
      <c r="L1081" t="s">
        <v>74</v>
      </c>
      <c r="M1081" t="s">
        <v>74</v>
      </c>
      <c r="N1081" t="s">
        <v>74</v>
      </c>
      <c r="O1081" t="s">
        <v>74</v>
      </c>
      <c r="P1081" t="s">
        <v>74</v>
      </c>
      <c r="Q1081" t="s">
        <v>74</v>
      </c>
      <c r="R1081" t="s">
        <v>74</v>
      </c>
      <c r="S1081" t="s">
        <v>74</v>
      </c>
      <c r="T1081" t="s">
        <v>74</v>
      </c>
      <c r="U1081" t="s">
        <v>74</v>
      </c>
      <c r="V1081" s="3" t="s">
        <v>2117</v>
      </c>
      <c r="W1081" t="s">
        <v>74</v>
      </c>
      <c r="X1081" t="s">
        <v>74</v>
      </c>
      <c r="Y1081" t="s">
        <v>74</v>
      </c>
      <c r="Z1081" t="s">
        <v>74</v>
      </c>
      <c r="AA1081" t="s">
        <v>74</v>
      </c>
      <c r="AB1081" t="s">
        <v>74</v>
      </c>
      <c r="AC1081" t="s">
        <v>74</v>
      </c>
      <c r="AD1081" t="s">
        <v>74</v>
      </c>
      <c r="AE1081" t="s">
        <v>74</v>
      </c>
      <c r="AF1081" t="s">
        <v>74</v>
      </c>
      <c r="AG1081" t="s">
        <v>74</v>
      </c>
      <c r="AH1081" t="s">
        <v>74</v>
      </c>
      <c r="AI1081" t="s">
        <v>74</v>
      </c>
      <c r="AJ1081" t="s">
        <v>74</v>
      </c>
      <c r="AK1081" t="s">
        <v>74</v>
      </c>
      <c r="AL1081" t="s">
        <v>74</v>
      </c>
      <c r="AM1081" t="s">
        <v>74</v>
      </c>
      <c r="AN1081" t="s">
        <v>74</v>
      </c>
      <c r="AO1081" t="s">
        <v>2118</v>
      </c>
      <c r="AP1081" t="s">
        <v>2119</v>
      </c>
      <c r="AQ1081" t="s">
        <v>74</v>
      </c>
      <c r="AR1081" t="s">
        <v>74</v>
      </c>
      <c r="AS1081" t="s">
        <v>74</v>
      </c>
      <c r="AT1081" t="s">
        <v>74</v>
      </c>
      <c r="AU1081">
        <v>1976</v>
      </c>
      <c r="AV1081">
        <v>11</v>
      </c>
      <c r="AW1081">
        <v>4</v>
      </c>
      <c r="AX1081" t="s">
        <v>74</v>
      </c>
      <c r="AY1081" t="s">
        <v>74</v>
      </c>
      <c r="AZ1081" t="s">
        <v>74</v>
      </c>
      <c r="BA1081" t="s">
        <v>74</v>
      </c>
      <c r="BB1081">
        <v>302</v>
      </c>
      <c r="BC1081">
        <v>311</v>
      </c>
      <c r="BD1081" t="s">
        <v>74</v>
      </c>
      <c r="BE1081" t="s">
        <v>74</v>
      </c>
      <c r="BF1081" t="s">
        <v>74</v>
      </c>
      <c r="BG1081" t="s">
        <v>74</v>
      </c>
      <c r="BH1081" t="s">
        <v>74</v>
      </c>
      <c r="BI1081" t="s">
        <v>74</v>
      </c>
      <c r="BJ1081" t="s">
        <v>74</v>
      </c>
      <c r="BK1081" t="s">
        <v>74</v>
      </c>
      <c r="BL1081" t="s">
        <v>74</v>
      </c>
      <c r="BM1081" t="s">
        <v>74</v>
      </c>
      <c r="BN1081" t="s">
        <v>74</v>
      </c>
      <c r="BO1081" t="s">
        <v>74</v>
      </c>
      <c r="BP1081" t="s">
        <v>74</v>
      </c>
      <c r="BQ1081" t="s">
        <v>74</v>
      </c>
      <c r="BR1081" t="s">
        <v>74</v>
      </c>
      <c r="BS1081" t="s">
        <v>2120</v>
      </c>
      <c r="BT1081" t="str">
        <f>HYPERLINK("https%3A%2F%2Fwww.webofscience.com%2Fwos%2Fwoscc%2Ffull-record%2FWOS:A1976CY45000005","View Full Record in Web of Science")</f>
        <v>View Full Record in Web of Science</v>
      </c>
    </row>
    <row r="1082" spans="1:72" x14ac:dyDescent="0.4">
      <c r="A1082" t="s">
        <v>72</v>
      </c>
      <c r="B1082" t="s">
        <v>1188</v>
      </c>
      <c r="C1082" t="s">
        <v>74</v>
      </c>
      <c r="D1082" t="s">
        <v>74</v>
      </c>
      <c r="E1082" t="s">
        <v>74</v>
      </c>
      <c r="F1082" t="s">
        <v>1189</v>
      </c>
      <c r="G1082" t="s">
        <v>74</v>
      </c>
      <c r="H1082" t="s">
        <v>74</v>
      </c>
      <c r="I1082" t="s">
        <v>1190</v>
      </c>
      <c r="J1082" t="s">
        <v>201</v>
      </c>
      <c r="K1082" t="s">
        <v>74</v>
      </c>
      <c r="L1082" t="s">
        <v>74</v>
      </c>
      <c r="M1082" t="s">
        <v>74</v>
      </c>
      <c r="N1082" t="s">
        <v>74</v>
      </c>
      <c r="O1082" t="s">
        <v>74</v>
      </c>
      <c r="P1082" t="s">
        <v>74</v>
      </c>
      <c r="Q1082" t="s">
        <v>74</v>
      </c>
      <c r="R1082" t="s">
        <v>74</v>
      </c>
      <c r="S1082" t="s">
        <v>74</v>
      </c>
      <c r="T1082" t="s">
        <v>74</v>
      </c>
      <c r="U1082" t="s">
        <v>74</v>
      </c>
      <c r="V1082" s="3" t="s">
        <v>1191</v>
      </c>
      <c r="W1082" t="s">
        <v>74</v>
      </c>
      <c r="X1082" t="s">
        <v>74</v>
      </c>
      <c r="Y1082" t="s">
        <v>74</v>
      </c>
      <c r="Z1082" t="s">
        <v>74</v>
      </c>
      <c r="AA1082" t="s">
        <v>74</v>
      </c>
      <c r="AB1082" t="s">
        <v>74</v>
      </c>
      <c r="AC1082" t="s">
        <v>74</v>
      </c>
      <c r="AD1082" t="s">
        <v>74</v>
      </c>
      <c r="AE1082" t="s">
        <v>74</v>
      </c>
      <c r="AF1082" t="s">
        <v>74</v>
      </c>
      <c r="AG1082" t="s">
        <v>74</v>
      </c>
      <c r="AH1082" t="s">
        <v>74</v>
      </c>
      <c r="AI1082" t="s">
        <v>74</v>
      </c>
      <c r="AJ1082" t="s">
        <v>74</v>
      </c>
      <c r="AK1082" t="s">
        <v>74</v>
      </c>
      <c r="AL1082" t="s">
        <v>74</v>
      </c>
      <c r="AM1082" t="s">
        <v>74</v>
      </c>
      <c r="AN1082" t="s">
        <v>74</v>
      </c>
      <c r="AO1082" t="s">
        <v>203</v>
      </c>
      <c r="AP1082" t="s">
        <v>1192</v>
      </c>
      <c r="AQ1082" t="s">
        <v>74</v>
      </c>
      <c r="AR1082" t="s">
        <v>74</v>
      </c>
      <c r="AS1082" t="s">
        <v>74</v>
      </c>
      <c r="AT1082" t="s">
        <v>134</v>
      </c>
      <c r="AU1082">
        <v>2009</v>
      </c>
      <c r="AV1082">
        <v>74</v>
      </c>
      <c r="AW1082">
        <v>8</v>
      </c>
      <c r="AX1082" t="s">
        <v>74</v>
      </c>
      <c r="AY1082" t="s">
        <v>74</v>
      </c>
      <c r="AZ1082" t="s">
        <v>74</v>
      </c>
      <c r="BA1082" t="s">
        <v>74</v>
      </c>
      <c r="BB1082">
        <v>1804</v>
      </c>
      <c r="BC1082">
        <v>1815</v>
      </c>
      <c r="BD1082" t="s">
        <v>74</v>
      </c>
      <c r="BE1082" t="s">
        <v>1193</v>
      </c>
      <c r="BF1082" t="str">
        <f>HYPERLINK("http://dx.doi.org/10.1111/j.1095-8649.2009.02256.x","http://dx.doi.org/10.1111/j.1095-8649.2009.02256.x")</f>
        <v>http://dx.doi.org/10.1111/j.1095-8649.2009.02256.x</v>
      </c>
      <c r="BG1082" t="s">
        <v>74</v>
      </c>
      <c r="BH1082" t="s">
        <v>74</v>
      </c>
      <c r="BI1082" t="s">
        <v>74</v>
      </c>
      <c r="BJ1082" t="s">
        <v>74</v>
      </c>
      <c r="BK1082" t="s">
        <v>74</v>
      </c>
      <c r="BL1082" t="s">
        <v>74</v>
      </c>
      <c r="BM1082" t="s">
        <v>74</v>
      </c>
      <c r="BN1082">
        <v>20735672</v>
      </c>
      <c r="BO1082" t="s">
        <v>74</v>
      </c>
      <c r="BP1082" t="s">
        <v>74</v>
      </c>
      <c r="BQ1082" t="s">
        <v>74</v>
      </c>
      <c r="BR1082" t="s">
        <v>74</v>
      </c>
      <c r="BS1082" t="s">
        <v>1194</v>
      </c>
      <c r="BT1082" t="str">
        <f>HYPERLINK("https%3A%2F%2Fwww.webofscience.com%2Fwos%2Fwoscc%2Ffull-record%2FWOS:000266243100006","View Full Record in Web of Science")</f>
        <v>View Full Record in Web of Science</v>
      </c>
    </row>
    <row r="1083" spans="1:72" x14ac:dyDescent="0.4">
      <c r="A1083" t="s">
        <v>72</v>
      </c>
      <c r="B1083" t="s">
        <v>3167</v>
      </c>
      <c r="C1083" t="s">
        <v>74</v>
      </c>
      <c r="D1083" t="s">
        <v>74</v>
      </c>
      <c r="E1083" t="s">
        <v>74</v>
      </c>
      <c r="F1083" t="s">
        <v>3168</v>
      </c>
      <c r="G1083" t="s">
        <v>74</v>
      </c>
      <c r="H1083" t="s">
        <v>74</v>
      </c>
      <c r="I1083" t="s">
        <v>3169</v>
      </c>
      <c r="J1083" t="s">
        <v>3170</v>
      </c>
      <c r="K1083" t="s">
        <v>74</v>
      </c>
      <c r="L1083" t="s">
        <v>74</v>
      </c>
      <c r="M1083" t="s">
        <v>74</v>
      </c>
      <c r="N1083" t="s">
        <v>74</v>
      </c>
      <c r="O1083" t="s">
        <v>74</v>
      </c>
      <c r="P1083" t="s">
        <v>74</v>
      </c>
      <c r="Q1083" t="s">
        <v>74</v>
      </c>
      <c r="R1083" t="s">
        <v>74</v>
      </c>
      <c r="S1083" t="s">
        <v>74</v>
      </c>
      <c r="T1083" t="s">
        <v>74</v>
      </c>
      <c r="U1083" t="s">
        <v>74</v>
      </c>
      <c r="V1083" s="3" t="s">
        <v>3171</v>
      </c>
      <c r="W1083" t="s">
        <v>74</v>
      </c>
      <c r="X1083" t="s">
        <v>74</v>
      </c>
      <c r="Y1083" t="s">
        <v>74</v>
      </c>
      <c r="Z1083" t="s">
        <v>74</v>
      </c>
      <c r="AA1083" t="s">
        <v>3172</v>
      </c>
      <c r="AB1083" t="s">
        <v>3173</v>
      </c>
      <c r="AC1083" t="s">
        <v>74</v>
      </c>
      <c r="AD1083" t="s">
        <v>74</v>
      </c>
      <c r="AE1083" t="s">
        <v>74</v>
      </c>
      <c r="AF1083" t="s">
        <v>74</v>
      </c>
      <c r="AG1083" t="s">
        <v>74</v>
      </c>
      <c r="AH1083" t="s">
        <v>74</v>
      </c>
      <c r="AI1083" t="s">
        <v>74</v>
      </c>
      <c r="AJ1083" t="s">
        <v>74</v>
      </c>
      <c r="AK1083" t="s">
        <v>74</v>
      </c>
      <c r="AL1083" t="s">
        <v>74</v>
      </c>
      <c r="AM1083" t="s">
        <v>74</v>
      </c>
      <c r="AN1083" t="s">
        <v>74</v>
      </c>
      <c r="AO1083" t="s">
        <v>3174</v>
      </c>
      <c r="AP1083" t="s">
        <v>3175</v>
      </c>
      <c r="AQ1083" t="s">
        <v>74</v>
      </c>
      <c r="AR1083" t="s">
        <v>74</v>
      </c>
      <c r="AS1083" t="s">
        <v>74</v>
      </c>
      <c r="AT1083" t="s">
        <v>145</v>
      </c>
      <c r="AU1083">
        <v>2021</v>
      </c>
      <c r="AV1083">
        <v>38</v>
      </c>
      <c r="AW1083">
        <v>8</v>
      </c>
      <c r="AX1083" t="s">
        <v>74</v>
      </c>
      <c r="AY1083" t="s">
        <v>74</v>
      </c>
      <c r="AZ1083" t="s">
        <v>74</v>
      </c>
      <c r="BA1083" t="s">
        <v>74</v>
      </c>
      <c r="BB1083">
        <v>3383</v>
      </c>
      <c r="BC1083">
        <v>3396</v>
      </c>
      <c r="BD1083" t="s">
        <v>74</v>
      </c>
      <c r="BE1083" t="s">
        <v>3176</v>
      </c>
      <c r="BF1083" t="str">
        <f>HYPERLINK("http://dx.doi.org/10.1093/molbev/msab110","http://dx.doi.org/10.1093/molbev/msab110")</f>
        <v>http://dx.doi.org/10.1093/molbev/msab110</v>
      </c>
      <c r="BG1083" t="s">
        <v>74</v>
      </c>
      <c r="BH1083" t="s">
        <v>1051</v>
      </c>
      <c r="BI1083" t="s">
        <v>74</v>
      </c>
      <c r="BJ1083" t="s">
        <v>74</v>
      </c>
      <c r="BK1083" t="s">
        <v>74</v>
      </c>
      <c r="BL1083" t="s">
        <v>74</v>
      </c>
      <c r="BM1083" t="s">
        <v>74</v>
      </c>
      <c r="BN1083">
        <v>33871625</v>
      </c>
      <c r="BO1083" t="s">
        <v>74</v>
      </c>
      <c r="BP1083" t="s">
        <v>74</v>
      </c>
      <c r="BQ1083" t="s">
        <v>74</v>
      </c>
      <c r="BR1083" t="s">
        <v>74</v>
      </c>
      <c r="BS1083" t="s">
        <v>3177</v>
      </c>
      <c r="BT1083" t="str">
        <f>HYPERLINK("https%3A%2F%2Fwww.webofscience.com%2Fwos%2Fwoscc%2Ffull-record%2FWOS:000693740300024","View Full Record in Web of Science")</f>
        <v>View Full Record in Web of Science</v>
      </c>
    </row>
    <row r="1084" spans="1:72" x14ac:dyDescent="0.4">
      <c r="A1084" t="s">
        <v>72</v>
      </c>
      <c r="B1084" t="s">
        <v>2054</v>
      </c>
      <c r="C1084" t="s">
        <v>74</v>
      </c>
      <c r="D1084" t="s">
        <v>74</v>
      </c>
      <c r="E1084" t="s">
        <v>74</v>
      </c>
      <c r="F1084" t="s">
        <v>2055</v>
      </c>
      <c r="G1084" t="s">
        <v>74</v>
      </c>
      <c r="H1084" t="s">
        <v>74</v>
      </c>
      <c r="I1084" t="s">
        <v>2056</v>
      </c>
      <c r="J1084" t="s">
        <v>77</v>
      </c>
      <c r="K1084" t="s">
        <v>74</v>
      </c>
      <c r="L1084" t="s">
        <v>74</v>
      </c>
      <c r="M1084" t="s">
        <v>74</v>
      </c>
      <c r="N1084" t="s">
        <v>74</v>
      </c>
      <c r="O1084" t="s">
        <v>74</v>
      </c>
      <c r="P1084" t="s">
        <v>74</v>
      </c>
      <c r="Q1084" t="s">
        <v>74</v>
      </c>
      <c r="R1084" t="s">
        <v>74</v>
      </c>
      <c r="S1084" t="s">
        <v>74</v>
      </c>
      <c r="T1084" t="s">
        <v>74</v>
      </c>
      <c r="U1084" t="s">
        <v>74</v>
      </c>
      <c r="V1084" s="3" t="s">
        <v>2057</v>
      </c>
      <c r="W1084" t="s">
        <v>74</v>
      </c>
      <c r="X1084" t="s">
        <v>74</v>
      </c>
      <c r="Y1084" t="s">
        <v>74</v>
      </c>
      <c r="Z1084" t="s">
        <v>74</v>
      </c>
      <c r="AA1084" t="s">
        <v>2058</v>
      </c>
      <c r="AB1084" t="s">
        <v>1610</v>
      </c>
      <c r="AC1084" t="s">
        <v>74</v>
      </c>
      <c r="AD1084" t="s">
        <v>74</v>
      </c>
      <c r="AE1084" t="s">
        <v>74</v>
      </c>
      <c r="AF1084" t="s">
        <v>74</v>
      </c>
      <c r="AG1084" t="s">
        <v>74</v>
      </c>
      <c r="AH1084" t="s">
        <v>74</v>
      </c>
      <c r="AI1084" t="s">
        <v>74</v>
      </c>
      <c r="AJ1084" t="s">
        <v>74</v>
      </c>
      <c r="AK1084" t="s">
        <v>74</v>
      </c>
      <c r="AL1084" t="s">
        <v>74</v>
      </c>
      <c r="AM1084" t="s">
        <v>74</v>
      </c>
      <c r="AN1084" t="s">
        <v>74</v>
      </c>
      <c r="AO1084" t="s">
        <v>81</v>
      </c>
      <c r="AP1084" t="s">
        <v>74</v>
      </c>
      <c r="AQ1084" t="s">
        <v>74</v>
      </c>
      <c r="AR1084" t="s">
        <v>74</v>
      </c>
      <c r="AS1084" t="s">
        <v>74</v>
      </c>
      <c r="AT1084" t="s">
        <v>74</v>
      </c>
      <c r="AU1084">
        <v>2013</v>
      </c>
      <c r="AV1084">
        <v>150</v>
      </c>
      <c r="AW1084">
        <v>2</v>
      </c>
      <c r="AX1084" t="s">
        <v>74</v>
      </c>
      <c r="AY1084" t="s">
        <v>74</v>
      </c>
      <c r="AZ1084" t="s">
        <v>74</v>
      </c>
      <c r="BA1084" t="s">
        <v>74</v>
      </c>
      <c r="BB1084">
        <v>215</v>
      </c>
      <c r="BC1084">
        <v>223</v>
      </c>
      <c r="BD1084" t="s">
        <v>74</v>
      </c>
      <c r="BE1084" t="s">
        <v>2059</v>
      </c>
      <c r="BF1084" t="str">
        <f>HYPERLINK("http://dx.doi.org/10.1163/1568539X-00003046","http://dx.doi.org/10.1163/1568539X-00003046")</f>
        <v>http://dx.doi.org/10.1163/1568539X-00003046</v>
      </c>
      <c r="BG1084" t="s">
        <v>74</v>
      </c>
      <c r="BH1084" t="s">
        <v>74</v>
      </c>
      <c r="BI1084" t="s">
        <v>74</v>
      </c>
      <c r="BJ1084" t="s">
        <v>74</v>
      </c>
      <c r="BK1084" t="s">
        <v>74</v>
      </c>
      <c r="BL1084" t="s">
        <v>74</v>
      </c>
      <c r="BM1084" t="s">
        <v>74</v>
      </c>
      <c r="BN1084" t="s">
        <v>74</v>
      </c>
      <c r="BO1084" t="s">
        <v>74</v>
      </c>
      <c r="BP1084" t="s">
        <v>74</v>
      </c>
      <c r="BQ1084" t="s">
        <v>74</v>
      </c>
      <c r="BR1084" t="s">
        <v>74</v>
      </c>
      <c r="BS1084" t="s">
        <v>2060</v>
      </c>
      <c r="BT1084" t="str">
        <f>HYPERLINK("https%3A%2F%2Fwww.webofscience.com%2Fwos%2Fwoscc%2Ffull-record%2FWOS:000318051100006","View Full Record in Web of Science")</f>
        <v>View Full Record in Web of Science</v>
      </c>
    </row>
    <row r="1085" spans="1:72" x14ac:dyDescent="0.4">
      <c r="A1085" t="s">
        <v>72</v>
      </c>
      <c r="B1085" t="s">
        <v>1753</v>
      </c>
      <c r="C1085" t="s">
        <v>74</v>
      </c>
      <c r="D1085" t="s">
        <v>74</v>
      </c>
      <c r="E1085" t="s">
        <v>74</v>
      </c>
      <c r="F1085" t="s">
        <v>1753</v>
      </c>
      <c r="G1085" t="s">
        <v>74</v>
      </c>
      <c r="H1085" t="s">
        <v>74</v>
      </c>
      <c r="I1085" t="s">
        <v>1754</v>
      </c>
      <c r="J1085" t="s">
        <v>1755</v>
      </c>
      <c r="K1085" t="s">
        <v>74</v>
      </c>
      <c r="L1085" t="s">
        <v>74</v>
      </c>
      <c r="M1085" t="s">
        <v>74</v>
      </c>
      <c r="N1085" t="s">
        <v>74</v>
      </c>
      <c r="O1085" t="s">
        <v>74</v>
      </c>
      <c r="P1085" t="s">
        <v>74</v>
      </c>
      <c r="Q1085" t="s">
        <v>74</v>
      </c>
      <c r="R1085" t="s">
        <v>74</v>
      </c>
      <c r="S1085" t="s">
        <v>74</v>
      </c>
      <c r="T1085" t="s">
        <v>74</v>
      </c>
      <c r="U1085" t="s">
        <v>74</v>
      </c>
      <c r="V1085" s="3" t="s">
        <v>1756</v>
      </c>
      <c r="W1085" t="s">
        <v>74</v>
      </c>
      <c r="X1085" t="s">
        <v>74</v>
      </c>
      <c r="Y1085" t="s">
        <v>74</v>
      </c>
      <c r="Z1085" t="s">
        <v>74</v>
      </c>
      <c r="AA1085" t="s">
        <v>1757</v>
      </c>
      <c r="AB1085" t="s">
        <v>1758</v>
      </c>
      <c r="AC1085" t="s">
        <v>74</v>
      </c>
      <c r="AD1085" t="s">
        <v>74</v>
      </c>
      <c r="AE1085" t="s">
        <v>74</v>
      </c>
      <c r="AF1085" t="s">
        <v>74</v>
      </c>
      <c r="AG1085" t="s">
        <v>74</v>
      </c>
      <c r="AH1085" t="s">
        <v>74</v>
      </c>
      <c r="AI1085" t="s">
        <v>74</v>
      </c>
      <c r="AJ1085" t="s">
        <v>74</v>
      </c>
      <c r="AK1085" t="s">
        <v>74</v>
      </c>
      <c r="AL1085" t="s">
        <v>74</v>
      </c>
      <c r="AM1085" t="s">
        <v>74</v>
      </c>
      <c r="AN1085" t="s">
        <v>74</v>
      </c>
      <c r="AO1085" t="s">
        <v>1759</v>
      </c>
      <c r="AP1085" t="s">
        <v>1760</v>
      </c>
      <c r="AQ1085" t="s">
        <v>74</v>
      </c>
      <c r="AR1085" t="s">
        <v>74</v>
      </c>
      <c r="AS1085" t="s">
        <v>74</v>
      </c>
      <c r="AT1085" t="s">
        <v>352</v>
      </c>
      <c r="AU1085">
        <v>2002</v>
      </c>
      <c r="AV1085">
        <v>15</v>
      </c>
      <c r="AW1085">
        <v>5</v>
      </c>
      <c r="AX1085" t="s">
        <v>74</v>
      </c>
      <c r="AY1085" t="s">
        <v>74</v>
      </c>
      <c r="AZ1085" t="s">
        <v>74</v>
      </c>
      <c r="BA1085" t="s">
        <v>74</v>
      </c>
      <c r="BB1085">
        <v>675</v>
      </c>
      <c r="BC1085">
        <v>687</v>
      </c>
      <c r="BD1085" t="s">
        <v>74</v>
      </c>
      <c r="BE1085" t="s">
        <v>1761</v>
      </c>
      <c r="BF1085" t="str">
        <f>HYPERLINK("http://dx.doi.org/10.1023/A:1020747907490","http://dx.doi.org/10.1023/A:1020747907490")</f>
        <v>http://dx.doi.org/10.1023/A:1020747907490</v>
      </c>
      <c r="BG1085" t="s">
        <v>74</v>
      </c>
      <c r="BH1085" t="s">
        <v>74</v>
      </c>
      <c r="BI1085" t="s">
        <v>74</v>
      </c>
      <c r="BJ1085" t="s">
        <v>74</v>
      </c>
      <c r="BK1085" t="s">
        <v>74</v>
      </c>
      <c r="BL1085" t="s">
        <v>74</v>
      </c>
      <c r="BM1085" t="s">
        <v>74</v>
      </c>
      <c r="BN1085" t="s">
        <v>74</v>
      </c>
      <c r="BO1085" t="s">
        <v>74</v>
      </c>
      <c r="BP1085" t="s">
        <v>74</v>
      </c>
      <c r="BQ1085" t="s">
        <v>74</v>
      </c>
      <c r="BR1085" t="s">
        <v>74</v>
      </c>
      <c r="BS1085" t="s">
        <v>1762</v>
      </c>
      <c r="BT1085" t="str">
        <f>HYPERLINK("https%3A%2F%2Fwww.webofscience.com%2Fwos%2Fwoscc%2Ffull-record%2FWOS:000178788900005","View Full Record in Web of Science")</f>
        <v>View Full Record in Web of Science</v>
      </c>
    </row>
    <row r="1086" spans="1:72" x14ac:dyDescent="0.4">
      <c r="A1086" t="s">
        <v>72</v>
      </c>
      <c r="B1086" t="s">
        <v>8222</v>
      </c>
      <c r="C1086" t="s">
        <v>74</v>
      </c>
      <c r="D1086" t="s">
        <v>74</v>
      </c>
      <c r="E1086" t="s">
        <v>74</v>
      </c>
      <c r="F1086" t="s">
        <v>8222</v>
      </c>
      <c r="G1086" t="s">
        <v>74</v>
      </c>
      <c r="H1086" t="s">
        <v>74</v>
      </c>
      <c r="I1086" t="s">
        <v>8223</v>
      </c>
      <c r="J1086" t="s">
        <v>140</v>
      </c>
      <c r="K1086" t="s">
        <v>74</v>
      </c>
      <c r="L1086" t="s">
        <v>74</v>
      </c>
      <c r="M1086" t="s">
        <v>74</v>
      </c>
      <c r="N1086" t="s">
        <v>74</v>
      </c>
      <c r="O1086" t="s">
        <v>74</v>
      </c>
      <c r="P1086" t="s">
        <v>74</v>
      </c>
      <c r="Q1086" t="s">
        <v>74</v>
      </c>
      <c r="R1086" t="s">
        <v>74</v>
      </c>
      <c r="S1086" t="s">
        <v>74</v>
      </c>
      <c r="T1086" t="s">
        <v>74</v>
      </c>
      <c r="U1086" t="s">
        <v>74</v>
      </c>
      <c r="V1086" s="3" t="s">
        <v>8224</v>
      </c>
      <c r="W1086" t="s">
        <v>74</v>
      </c>
      <c r="X1086" t="s">
        <v>74</v>
      </c>
      <c r="Y1086" t="s">
        <v>74</v>
      </c>
      <c r="Z1086" t="s">
        <v>74</v>
      </c>
      <c r="AA1086" t="s">
        <v>74</v>
      </c>
      <c r="AB1086" t="s">
        <v>74</v>
      </c>
      <c r="AC1086" t="s">
        <v>74</v>
      </c>
      <c r="AD1086" t="s">
        <v>74</v>
      </c>
      <c r="AE1086" t="s">
        <v>74</v>
      </c>
      <c r="AF1086" t="s">
        <v>74</v>
      </c>
      <c r="AG1086" t="s">
        <v>74</v>
      </c>
      <c r="AH1086" t="s">
        <v>74</v>
      </c>
      <c r="AI1086" t="s">
        <v>74</v>
      </c>
      <c r="AJ1086" t="s">
        <v>74</v>
      </c>
      <c r="AK1086" t="s">
        <v>74</v>
      </c>
      <c r="AL1086" t="s">
        <v>74</v>
      </c>
      <c r="AM1086" t="s">
        <v>74</v>
      </c>
      <c r="AN1086" t="s">
        <v>74</v>
      </c>
      <c r="AO1086" t="s">
        <v>143</v>
      </c>
      <c r="AP1086" t="s">
        <v>74</v>
      </c>
      <c r="AQ1086" t="s">
        <v>74</v>
      </c>
      <c r="AR1086" t="s">
        <v>74</v>
      </c>
      <c r="AS1086" t="s">
        <v>74</v>
      </c>
      <c r="AT1086" t="s">
        <v>145</v>
      </c>
      <c r="AU1086">
        <v>1996</v>
      </c>
      <c r="AV1086">
        <v>52</v>
      </c>
      <c r="AW1086" t="s">
        <v>74</v>
      </c>
      <c r="AX1086">
        <v>2</v>
      </c>
      <c r="AY1086" t="s">
        <v>74</v>
      </c>
      <c r="AZ1086" t="s">
        <v>74</v>
      </c>
      <c r="BA1086" t="s">
        <v>74</v>
      </c>
      <c r="BB1086">
        <v>371</v>
      </c>
      <c r="BC1086">
        <v>378</v>
      </c>
      <c r="BD1086" t="s">
        <v>74</v>
      </c>
      <c r="BE1086" t="s">
        <v>8225</v>
      </c>
      <c r="BF1086" t="str">
        <f>HYPERLINK("http://dx.doi.org/10.1006/anbe.1996.0181","http://dx.doi.org/10.1006/anbe.1996.0181")</f>
        <v>http://dx.doi.org/10.1006/anbe.1996.0181</v>
      </c>
      <c r="BG1086" t="s">
        <v>74</v>
      </c>
      <c r="BH1086" t="s">
        <v>74</v>
      </c>
      <c r="BI1086" t="s">
        <v>74</v>
      </c>
      <c r="BJ1086" t="s">
        <v>74</v>
      </c>
      <c r="BK1086" t="s">
        <v>74</v>
      </c>
      <c r="BL1086" t="s">
        <v>74</v>
      </c>
      <c r="BM1086" t="s">
        <v>74</v>
      </c>
      <c r="BN1086" t="s">
        <v>74</v>
      </c>
      <c r="BO1086" t="s">
        <v>74</v>
      </c>
      <c r="BP1086" t="s">
        <v>74</v>
      </c>
      <c r="BQ1086" t="s">
        <v>74</v>
      </c>
      <c r="BR1086" t="s">
        <v>74</v>
      </c>
      <c r="BS1086" t="s">
        <v>8226</v>
      </c>
      <c r="BT1086" t="str">
        <f>HYPERLINK("https%3A%2F%2Fwww.webofscience.com%2Fwos%2Fwoscc%2Ffull-record%2FWOS:A1996VH71700013","View Full Record in Web of Science")</f>
        <v>View Full Record in Web of Science</v>
      </c>
    </row>
    <row r="1087" spans="1:72" x14ac:dyDescent="0.4">
      <c r="A1087" t="s">
        <v>72</v>
      </c>
      <c r="B1087" t="s">
        <v>3466</v>
      </c>
      <c r="C1087" t="s">
        <v>74</v>
      </c>
      <c r="D1087" t="s">
        <v>74</v>
      </c>
      <c r="E1087" t="s">
        <v>74</v>
      </c>
      <c r="F1087" t="s">
        <v>3466</v>
      </c>
      <c r="G1087" t="s">
        <v>74</v>
      </c>
      <c r="H1087" t="s">
        <v>74</v>
      </c>
      <c r="I1087" t="s">
        <v>3467</v>
      </c>
      <c r="J1087" t="s">
        <v>77</v>
      </c>
      <c r="K1087" t="s">
        <v>74</v>
      </c>
      <c r="L1087" t="s">
        <v>74</v>
      </c>
      <c r="M1087" t="s">
        <v>74</v>
      </c>
      <c r="N1087" t="s">
        <v>74</v>
      </c>
      <c r="O1087" t="s">
        <v>74</v>
      </c>
      <c r="P1087" t="s">
        <v>74</v>
      </c>
      <c r="Q1087" t="s">
        <v>74</v>
      </c>
      <c r="R1087" t="s">
        <v>74</v>
      </c>
      <c r="S1087" t="s">
        <v>74</v>
      </c>
      <c r="T1087" t="s">
        <v>74</v>
      </c>
      <c r="U1087" t="s">
        <v>74</v>
      </c>
      <c r="V1087" s="3" t="s">
        <v>3468</v>
      </c>
      <c r="W1087" t="s">
        <v>74</v>
      </c>
      <c r="X1087" t="s">
        <v>74</v>
      </c>
      <c r="Y1087" t="s">
        <v>74</v>
      </c>
      <c r="Z1087" t="s">
        <v>74</v>
      </c>
      <c r="AA1087" t="s">
        <v>74</v>
      </c>
      <c r="AB1087" t="s">
        <v>74</v>
      </c>
      <c r="AC1087" t="s">
        <v>74</v>
      </c>
      <c r="AD1087" t="s">
        <v>74</v>
      </c>
      <c r="AE1087" t="s">
        <v>74</v>
      </c>
      <c r="AF1087" t="s">
        <v>74</v>
      </c>
      <c r="AG1087" t="s">
        <v>74</v>
      </c>
      <c r="AH1087" t="s">
        <v>74</v>
      </c>
      <c r="AI1087" t="s">
        <v>74</v>
      </c>
      <c r="AJ1087" t="s">
        <v>74</v>
      </c>
      <c r="AK1087" t="s">
        <v>74</v>
      </c>
      <c r="AL1087" t="s">
        <v>74</v>
      </c>
      <c r="AM1087" t="s">
        <v>74</v>
      </c>
      <c r="AN1087" t="s">
        <v>74</v>
      </c>
      <c r="AO1087" t="s">
        <v>81</v>
      </c>
      <c r="AP1087" t="s">
        <v>82</v>
      </c>
      <c r="AQ1087" t="s">
        <v>74</v>
      </c>
      <c r="AR1087" t="s">
        <v>74</v>
      </c>
      <c r="AS1087" t="s">
        <v>74</v>
      </c>
      <c r="AT1087" t="s">
        <v>255</v>
      </c>
      <c r="AU1087">
        <v>2006</v>
      </c>
      <c r="AV1087">
        <v>143</v>
      </c>
      <c r="AW1087" t="s">
        <v>74</v>
      </c>
      <c r="AX1087">
        <v>1</v>
      </c>
      <c r="AY1087" t="s">
        <v>74</v>
      </c>
      <c r="AZ1087" t="s">
        <v>74</v>
      </c>
      <c r="BA1087" t="s">
        <v>74</v>
      </c>
      <c r="BB1087">
        <v>33</v>
      </c>
      <c r="BC1087">
        <v>56</v>
      </c>
      <c r="BD1087" t="s">
        <v>74</v>
      </c>
      <c r="BE1087" t="s">
        <v>3469</v>
      </c>
      <c r="BF1087" t="str">
        <f>HYPERLINK("http://dx.doi.org/10.1163/156853906775133623","http://dx.doi.org/10.1163/156853906775133623")</f>
        <v>http://dx.doi.org/10.1163/156853906775133623</v>
      </c>
      <c r="BG1087" t="s">
        <v>74</v>
      </c>
      <c r="BH1087" t="s">
        <v>74</v>
      </c>
      <c r="BI1087" t="s">
        <v>74</v>
      </c>
      <c r="BJ1087" t="s">
        <v>74</v>
      </c>
      <c r="BK1087" t="s">
        <v>74</v>
      </c>
      <c r="BL1087" t="s">
        <v>74</v>
      </c>
      <c r="BM1087" t="s">
        <v>74</v>
      </c>
      <c r="BN1087" t="s">
        <v>74</v>
      </c>
      <c r="BO1087" t="s">
        <v>74</v>
      </c>
      <c r="BP1087" t="s">
        <v>74</v>
      </c>
      <c r="BQ1087" t="s">
        <v>74</v>
      </c>
      <c r="BR1087" t="s">
        <v>74</v>
      </c>
      <c r="BS1087" t="s">
        <v>3470</v>
      </c>
      <c r="BT1087" t="str">
        <f>HYPERLINK("https%3A%2F%2Fwww.webofscience.com%2Fwos%2Fwoscc%2Ffull-record%2FWOS:000235545400003","View Full Record in Web of Science")</f>
        <v>View Full Record in Web of Science</v>
      </c>
    </row>
    <row r="1088" spans="1:72" x14ac:dyDescent="0.4">
      <c r="A1088" t="s">
        <v>72</v>
      </c>
      <c r="B1088" t="s">
        <v>7876</v>
      </c>
      <c r="C1088" t="s">
        <v>74</v>
      </c>
      <c r="D1088" t="s">
        <v>74</v>
      </c>
      <c r="E1088" t="s">
        <v>74</v>
      </c>
      <c r="F1088" t="s">
        <v>7876</v>
      </c>
      <c r="G1088" t="s">
        <v>74</v>
      </c>
      <c r="H1088" t="s">
        <v>74</v>
      </c>
      <c r="I1088" t="s">
        <v>7877</v>
      </c>
      <c r="J1088" t="s">
        <v>171</v>
      </c>
      <c r="K1088" t="s">
        <v>74</v>
      </c>
      <c r="L1088" t="s">
        <v>74</v>
      </c>
      <c r="M1088" t="s">
        <v>74</v>
      </c>
      <c r="N1088" t="s">
        <v>74</v>
      </c>
      <c r="O1088" t="s">
        <v>74</v>
      </c>
      <c r="P1088" t="s">
        <v>74</v>
      </c>
      <c r="Q1088" t="s">
        <v>74</v>
      </c>
      <c r="R1088" t="s">
        <v>74</v>
      </c>
      <c r="S1088" t="s">
        <v>74</v>
      </c>
      <c r="T1088" t="s">
        <v>74</v>
      </c>
      <c r="U1088" t="s">
        <v>74</v>
      </c>
      <c r="V1088" s="3" t="s">
        <v>7878</v>
      </c>
      <c r="W1088" t="s">
        <v>74</v>
      </c>
      <c r="X1088" t="s">
        <v>74</v>
      </c>
      <c r="Y1088" t="s">
        <v>74</v>
      </c>
      <c r="Z1088" t="s">
        <v>74</v>
      </c>
      <c r="AA1088" t="s">
        <v>7879</v>
      </c>
      <c r="AB1088" t="s">
        <v>7880</v>
      </c>
      <c r="AC1088" t="s">
        <v>74</v>
      </c>
      <c r="AD1088" t="s">
        <v>74</v>
      </c>
      <c r="AE1088" t="s">
        <v>74</v>
      </c>
      <c r="AF1088" t="s">
        <v>74</v>
      </c>
      <c r="AG1088" t="s">
        <v>74</v>
      </c>
      <c r="AH1088" t="s">
        <v>74</v>
      </c>
      <c r="AI1088" t="s">
        <v>74</v>
      </c>
      <c r="AJ1088" t="s">
        <v>74</v>
      </c>
      <c r="AK1088" t="s">
        <v>74</v>
      </c>
      <c r="AL1088" t="s">
        <v>74</v>
      </c>
      <c r="AM1088" t="s">
        <v>74</v>
      </c>
      <c r="AN1088" t="s">
        <v>74</v>
      </c>
      <c r="AO1088" t="s">
        <v>173</v>
      </c>
      <c r="AP1088" t="s">
        <v>174</v>
      </c>
      <c r="AQ1088" t="s">
        <v>74</v>
      </c>
      <c r="AR1088" t="s">
        <v>74</v>
      </c>
      <c r="AS1088" t="s">
        <v>74</v>
      </c>
      <c r="AT1088" t="s">
        <v>175</v>
      </c>
      <c r="AU1088">
        <v>1992</v>
      </c>
      <c r="AV1088">
        <v>46</v>
      </c>
      <c r="AW1088">
        <v>5</v>
      </c>
      <c r="AX1088" t="s">
        <v>74</v>
      </c>
      <c r="AY1088" t="s">
        <v>74</v>
      </c>
      <c r="AZ1088" t="s">
        <v>74</v>
      </c>
      <c r="BA1088" t="s">
        <v>74</v>
      </c>
      <c r="BB1088">
        <v>1421</v>
      </c>
      <c r="BC1088">
        <v>1442</v>
      </c>
      <c r="BD1088" t="s">
        <v>74</v>
      </c>
      <c r="BE1088" t="s">
        <v>7881</v>
      </c>
      <c r="BF1088" t="str">
        <f>HYPERLINK("http://dx.doi.org/10.2307/2409947","http://dx.doi.org/10.2307/2409947")</f>
        <v>http://dx.doi.org/10.2307/2409947</v>
      </c>
      <c r="BG1088" t="s">
        <v>74</v>
      </c>
      <c r="BH1088" t="s">
        <v>74</v>
      </c>
      <c r="BI1088" t="s">
        <v>74</v>
      </c>
      <c r="BJ1088" t="s">
        <v>74</v>
      </c>
      <c r="BK1088" t="s">
        <v>74</v>
      </c>
      <c r="BL1088" t="s">
        <v>74</v>
      </c>
      <c r="BM1088" t="s">
        <v>74</v>
      </c>
      <c r="BN1088">
        <v>28569004</v>
      </c>
      <c r="BO1088" t="s">
        <v>74</v>
      </c>
      <c r="BP1088" t="s">
        <v>74</v>
      </c>
      <c r="BQ1088" t="s">
        <v>74</v>
      </c>
      <c r="BR1088" t="s">
        <v>74</v>
      </c>
      <c r="BS1088" t="s">
        <v>7882</v>
      </c>
      <c r="BT1088" t="str">
        <f>HYPERLINK("https%3A%2F%2Fwww.webofscience.com%2Fwos%2Fwoscc%2Ffull-record%2FWOS:A1992JV37100013","View Full Record in Web of Science")</f>
        <v>View Full Record in Web of Science</v>
      </c>
    </row>
    <row r="1089" spans="1:72" x14ac:dyDescent="0.4">
      <c r="A1089" t="s">
        <v>72</v>
      </c>
      <c r="B1089" t="s">
        <v>3853</v>
      </c>
      <c r="C1089" t="s">
        <v>74</v>
      </c>
      <c r="D1089" t="s">
        <v>74</v>
      </c>
      <c r="E1089" t="s">
        <v>74</v>
      </c>
      <c r="F1089" t="s">
        <v>3853</v>
      </c>
      <c r="G1089" t="s">
        <v>74</v>
      </c>
      <c r="H1089" t="s">
        <v>74</v>
      </c>
      <c r="I1089" t="s">
        <v>3854</v>
      </c>
      <c r="J1089" t="s">
        <v>3855</v>
      </c>
      <c r="K1089" t="s">
        <v>74</v>
      </c>
      <c r="L1089" t="s">
        <v>74</v>
      </c>
      <c r="M1089" t="s">
        <v>74</v>
      </c>
      <c r="N1089" t="s">
        <v>74</v>
      </c>
      <c r="O1089" t="s">
        <v>74</v>
      </c>
      <c r="P1089" t="s">
        <v>74</v>
      </c>
      <c r="Q1089" t="s">
        <v>74</v>
      </c>
      <c r="R1089" t="s">
        <v>74</v>
      </c>
      <c r="S1089" t="s">
        <v>74</v>
      </c>
      <c r="T1089" t="s">
        <v>74</v>
      </c>
      <c r="U1089" t="s">
        <v>74</v>
      </c>
      <c r="V1089" s="3" t="s">
        <v>3856</v>
      </c>
      <c r="W1089" t="s">
        <v>74</v>
      </c>
      <c r="X1089" t="s">
        <v>74</v>
      </c>
      <c r="Y1089" t="s">
        <v>74</v>
      </c>
      <c r="Z1089" t="s">
        <v>74</v>
      </c>
      <c r="AA1089" t="s">
        <v>74</v>
      </c>
      <c r="AB1089" t="s">
        <v>74</v>
      </c>
      <c r="AC1089" t="s">
        <v>74</v>
      </c>
      <c r="AD1089" t="s">
        <v>74</v>
      </c>
      <c r="AE1089" t="s">
        <v>74</v>
      </c>
      <c r="AF1089" t="s">
        <v>74</v>
      </c>
      <c r="AG1089" t="s">
        <v>74</v>
      </c>
      <c r="AH1089" t="s">
        <v>74</v>
      </c>
      <c r="AI1089" t="s">
        <v>74</v>
      </c>
      <c r="AJ1089" t="s">
        <v>74</v>
      </c>
      <c r="AK1089" t="s">
        <v>74</v>
      </c>
      <c r="AL1089" t="s">
        <v>74</v>
      </c>
      <c r="AM1089" t="s">
        <v>74</v>
      </c>
      <c r="AN1089" t="s">
        <v>74</v>
      </c>
      <c r="AO1089" t="s">
        <v>3857</v>
      </c>
      <c r="AP1089" t="s">
        <v>74</v>
      </c>
      <c r="AQ1089" t="s">
        <v>74</v>
      </c>
      <c r="AR1089" t="s">
        <v>74</v>
      </c>
      <c r="AS1089" t="s">
        <v>74</v>
      </c>
      <c r="AT1089" t="s">
        <v>213</v>
      </c>
      <c r="AU1089">
        <v>1991</v>
      </c>
      <c r="AV1089">
        <v>9</v>
      </c>
      <c r="AW1089" t="s">
        <v>548</v>
      </c>
      <c r="AX1089" t="s">
        <v>74</v>
      </c>
      <c r="AY1089" t="s">
        <v>74</v>
      </c>
      <c r="AZ1089" t="s">
        <v>74</v>
      </c>
      <c r="BA1089" t="s">
        <v>74</v>
      </c>
      <c r="BB1089">
        <v>20</v>
      </c>
      <c r="BC1089">
        <v>29</v>
      </c>
      <c r="BD1089" t="s">
        <v>74</v>
      </c>
      <c r="BE1089" t="s">
        <v>3858</v>
      </c>
      <c r="BF1089" t="str">
        <f>HYPERLINK("http://dx.doi.org/10.3727/015613890791749136","http://dx.doi.org/10.3727/015613890791749136")</f>
        <v>http://dx.doi.org/10.3727/015613890791749136</v>
      </c>
      <c r="BG1089" t="s">
        <v>74</v>
      </c>
      <c r="BH1089" t="s">
        <v>74</v>
      </c>
      <c r="BI1089" t="s">
        <v>74</v>
      </c>
      <c r="BJ1089" t="s">
        <v>74</v>
      </c>
      <c r="BK1089" t="s">
        <v>74</v>
      </c>
      <c r="BL1089" t="s">
        <v>74</v>
      </c>
      <c r="BM1089" t="s">
        <v>74</v>
      </c>
      <c r="BN1089" t="s">
        <v>74</v>
      </c>
      <c r="BO1089" t="s">
        <v>74</v>
      </c>
      <c r="BP1089" t="s">
        <v>74</v>
      </c>
      <c r="BQ1089" t="s">
        <v>74</v>
      </c>
      <c r="BR1089" t="s">
        <v>74</v>
      </c>
      <c r="BS1089" t="s">
        <v>3859</v>
      </c>
      <c r="BT1089" t="str">
        <f>HYPERLINK("https%3A%2F%2Fwww.webofscience.com%2Fwos%2Fwoscc%2Ffull-record%2FWOS:A1991HW66600004","View Full Record in Web of Science")</f>
        <v>View Full Record in Web of Science</v>
      </c>
    </row>
    <row r="1090" spans="1:72" x14ac:dyDescent="0.4">
      <c r="A1090" t="s">
        <v>72</v>
      </c>
      <c r="B1090" t="s">
        <v>5926</v>
      </c>
      <c r="C1090" t="s">
        <v>74</v>
      </c>
      <c r="D1090" t="s">
        <v>74</v>
      </c>
      <c r="E1090" t="s">
        <v>74</v>
      </c>
      <c r="F1090" t="s">
        <v>5927</v>
      </c>
      <c r="G1090" t="s">
        <v>74</v>
      </c>
      <c r="H1090" t="s">
        <v>74</v>
      </c>
      <c r="I1090" t="s">
        <v>5928</v>
      </c>
      <c r="J1090" t="s">
        <v>333</v>
      </c>
      <c r="K1090" t="s">
        <v>74</v>
      </c>
      <c r="L1090" t="s">
        <v>74</v>
      </c>
      <c r="M1090" t="s">
        <v>74</v>
      </c>
      <c r="N1090" t="s">
        <v>74</v>
      </c>
      <c r="O1090" t="s">
        <v>74</v>
      </c>
      <c r="P1090" t="s">
        <v>74</v>
      </c>
      <c r="Q1090" t="s">
        <v>74</v>
      </c>
      <c r="R1090" t="s">
        <v>74</v>
      </c>
      <c r="S1090" t="s">
        <v>74</v>
      </c>
      <c r="T1090" t="s">
        <v>74</v>
      </c>
      <c r="U1090" t="s">
        <v>74</v>
      </c>
      <c r="V1090" s="3" t="s">
        <v>5929</v>
      </c>
      <c r="W1090" t="s">
        <v>74</v>
      </c>
      <c r="X1090" t="s">
        <v>74</v>
      </c>
      <c r="Y1090" t="s">
        <v>74</v>
      </c>
      <c r="Z1090" t="s">
        <v>74</v>
      </c>
      <c r="AA1090" t="s">
        <v>5930</v>
      </c>
      <c r="AB1090" t="s">
        <v>5931</v>
      </c>
      <c r="AC1090" t="s">
        <v>74</v>
      </c>
      <c r="AD1090" t="s">
        <v>74</v>
      </c>
      <c r="AE1090" t="s">
        <v>74</v>
      </c>
      <c r="AF1090" t="s">
        <v>74</v>
      </c>
      <c r="AG1090" t="s">
        <v>74</v>
      </c>
      <c r="AH1090" t="s">
        <v>74</v>
      </c>
      <c r="AI1090" t="s">
        <v>74</v>
      </c>
      <c r="AJ1090" t="s">
        <v>74</v>
      </c>
      <c r="AK1090" t="s">
        <v>74</v>
      </c>
      <c r="AL1090" t="s">
        <v>74</v>
      </c>
      <c r="AM1090" t="s">
        <v>74</v>
      </c>
      <c r="AN1090" t="s">
        <v>74</v>
      </c>
      <c r="AO1090" t="s">
        <v>337</v>
      </c>
      <c r="AP1090" t="s">
        <v>338</v>
      </c>
      <c r="AQ1090" t="s">
        <v>74</v>
      </c>
      <c r="AR1090" t="s">
        <v>74</v>
      </c>
      <c r="AS1090" t="s">
        <v>74</v>
      </c>
      <c r="AT1090" t="s">
        <v>808</v>
      </c>
      <c r="AU1090">
        <v>2015</v>
      </c>
      <c r="AV1090">
        <v>26</v>
      </c>
      <c r="AW1090">
        <v>3</v>
      </c>
      <c r="AX1090" t="s">
        <v>74</v>
      </c>
      <c r="AY1090" t="s">
        <v>74</v>
      </c>
      <c r="AZ1090" t="s">
        <v>74</v>
      </c>
      <c r="BA1090" t="s">
        <v>74</v>
      </c>
      <c r="BB1090">
        <v>820</v>
      </c>
      <c r="BC1090">
        <v>827</v>
      </c>
      <c r="BD1090" t="s">
        <v>74</v>
      </c>
      <c r="BE1090" t="s">
        <v>5932</v>
      </c>
      <c r="BF1090" t="str">
        <f>HYPERLINK("http://dx.doi.org/10.1093/beheco/arv019","http://dx.doi.org/10.1093/beheco/arv019")</f>
        <v>http://dx.doi.org/10.1093/beheco/arv019</v>
      </c>
      <c r="BG1090" t="s">
        <v>74</v>
      </c>
      <c r="BH1090" t="s">
        <v>74</v>
      </c>
      <c r="BI1090" t="s">
        <v>74</v>
      </c>
      <c r="BJ1090" t="s">
        <v>74</v>
      </c>
      <c r="BK1090" t="s">
        <v>74</v>
      </c>
      <c r="BL1090" t="s">
        <v>74</v>
      </c>
      <c r="BM1090" t="s">
        <v>74</v>
      </c>
      <c r="BN1090" t="s">
        <v>74</v>
      </c>
      <c r="BO1090" t="s">
        <v>74</v>
      </c>
      <c r="BP1090" t="s">
        <v>74</v>
      </c>
      <c r="BQ1090" t="s">
        <v>74</v>
      </c>
      <c r="BR1090" t="s">
        <v>74</v>
      </c>
      <c r="BS1090" t="s">
        <v>5933</v>
      </c>
      <c r="BT1090" t="str">
        <f>HYPERLINK("https%3A%2F%2Fwww.webofscience.com%2Fwos%2Fwoscc%2Ffull-record%2FWOS:000356585100024","View Full Record in Web of Science")</f>
        <v>View Full Record in Web of Science</v>
      </c>
    </row>
    <row r="1091" spans="1:72" x14ac:dyDescent="0.4">
      <c r="A1091" t="s">
        <v>72</v>
      </c>
      <c r="B1091" t="s">
        <v>5105</v>
      </c>
      <c r="C1091" t="s">
        <v>74</v>
      </c>
      <c r="D1091" t="s">
        <v>74</v>
      </c>
      <c r="E1091" t="s">
        <v>74</v>
      </c>
      <c r="F1091" t="s">
        <v>5105</v>
      </c>
      <c r="G1091" t="s">
        <v>74</v>
      </c>
      <c r="H1091" t="s">
        <v>74</v>
      </c>
      <c r="I1091" t="s">
        <v>5106</v>
      </c>
      <c r="J1091" t="s">
        <v>5107</v>
      </c>
      <c r="K1091" t="s">
        <v>74</v>
      </c>
      <c r="L1091" t="s">
        <v>74</v>
      </c>
      <c r="M1091" t="s">
        <v>74</v>
      </c>
      <c r="N1091" t="s">
        <v>74</v>
      </c>
      <c r="O1091" t="s">
        <v>74</v>
      </c>
      <c r="P1091" t="s">
        <v>74</v>
      </c>
      <c r="Q1091" t="s">
        <v>74</v>
      </c>
      <c r="R1091" t="s">
        <v>74</v>
      </c>
      <c r="S1091" t="s">
        <v>74</v>
      </c>
      <c r="T1091" t="s">
        <v>74</v>
      </c>
      <c r="U1091" t="s">
        <v>74</v>
      </c>
      <c r="V1091" s="3" t="s">
        <v>5108</v>
      </c>
      <c r="W1091" t="s">
        <v>74</v>
      </c>
      <c r="X1091" t="s">
        <v>74</v>
      </c>
      <c r="Y1091" t="s">
        <v>74</v>
      </c>
      <c r="Z1091" t="s">
        <v>74</v>
      </c>
      <c r="AA1091" t="s">
        <v>74</v>
      </c>
      <c r="AB1091" t="s">
        <v>74</v>
      </c>
      <c r="AC1091" t="s">
        <v>74</v>
      </c>
      <c r="AD1091" t="s">
        <v>74</v>
      </c>
      <c r="AE1091" t="s">
        <v>74</v>
      </c>
      <c r="AF1091" t="s">
        <v>74</v>
      </c>
      <c r="AG1091" t="s">
        <v>74</v>
      </c>
      <c r="AH1091" t="s">
        <v>74</v>
      </c>
      <c r="AI1091" t="s">
        <v>74</v>
      </c>
      <c r="AJ1091" t="s">
        <v>74</v>
      </c>
      <c r="AK1091" t="s">
        <v>74</v>
      </c>
      <c r="AL1091" t="s">
        <v>74</v>
      </c>
      <c r="AM1091" t="s">
        <v>74</v>
      </c>
      <c r="AN1091" t="s">
        <v>74</v>
      </c>
      <c r="AO1091" t="s">
        <v>5109</v>
      </c>
      <c r="AP1091" t="s">
        <v>5110</v>
      </c>
      <c r="AQ1091" t="s">
        <v>74</v>
      </c>
      <c r="AR1091" t="s">
        <v>74</v>
      </c>
      <c r="AS1091" t="s">
        <v>74</v>
      </c>
      <c r="AT1091" t="s">
        <v>633</v>
      </c>
      <c r="AU1091">
        <v>1996</v>
      </c>
      <c r="AV1091">
        <v>6</v>
      </c>
      <c r="AW1091">
        <v>2</v>
      </c>
      <c r="AX1091" t="s">
        <v>74</v>
      </c>
      <c r="AY1091" t="s">
        <v>74</v>
      </c>
      <c r="AZ1091" t="s">
        <v>74</v>
      </c>
      <c r="BA1091" t="s">
        <v>74</v>
      </c>
      <c r="BB1091">
        <v>245</v>
      </c>
      <c r="BC1091">
        <v>252</v>
      </c>
      <c r="BD1091" t="s">
        <v>74</v>
      </c>
      <c r="BE1091" t="s">
        <v>5111</v>
      </c>
      <c r="BF1091" t="str">
        <f>HYPERLINK("http://dx.doi.org/10.1006/bcon.1996.0031","http://dx.doi.org/10.1006/bcon.1996.0031")</f>
        <v>http://dx.doi.org/10.1006/bcon.1996.0031</v>
      </c>
      <c r="BG1091" t="s">
        <v>74</v>
      </c>
      <c r="BH1091" t="s">
        <v>74</v>
      </c>
      <c r="BI1091" t="s">
        <v>74</v>
      </c>
      <c r="BJ1091" t="s">
        <v>74</v>
      </c>
      <c r="BK1091" t="s">
        <v>74</v>
      </c>
      <c r="BL1091" t="s">
        <v>74</v>
      </c>
      <c r="BM1091" t="s">
        <v>74</v>
      </c>
      <c r="BN1091" t="s">
        <v>74</v>
      </c>
      <c r="BO1091" t="s">
        <v>74</v>
      </c>
      <c r="BP1091" t="s">
        <v>74</v>
      </c>
      <c r="BQ1091" t="s">
        <v>74</v>
      </c>
      <c r="BR1091" t="s">
        <v>74</v>
      </c>
      <c r="BS1091" t="s">
        <v>5112</v>
      </c>
      <c r="BT1091" t="str">
        <f>HYPERLINK("https%3A%2F%2Fwww.webofscience.com%2Fwos%2Fwoscc%2Ffull-record%2FWOS:A1996UC68700014","View Full Record in Web of Science")</f>
        <v>View Full Record in Web of Science</v>
      </c>
    </row>
    <row r="1092" spans="1:72" x14ac:dyDescent="0.4">
      <c r="A1092" t="s">
        <v>72</v>
      </c>
      <c r="B1092" t="s">
        <v>4903</v>
      </c>
      <c r="C1092" t="s">
        <v>74</v>
      </c>
      <c r="D1092" t="s">
        <v>74</v>
      </c>
      <c r="E1092" t="s">
        <v>74</v>
      </c>
      <c r="F1092" t="s">
        <v>4904</v>
      </c>
      <c r="G1092" t="s">
        <v>74</v>
      </c>
      <c r="H1092" t="s">
        <v>74</v>
      </c>
      <c r="I1092" t="s">
        <v>4905</v>
      </c>
      <c r="J1092" t="s">
        <v>140</v>
      </c>
      <c r="K1092" t="s">
        <v>74</v>
      </c>
      <c r="L1092" t="s">
        <v>74</v>
      </c>
      <c r="M1092" t="s">
        <v>74</v>
      </c>
      <c r="N1092" t="s">
        <v>74</v>
      </c>
      <c r="O1092" t="s">
        <v>74</v>
      </c>
      <c r="P1092" t="s">
        <v>74</v>
      </c>
      <c r="Q1092" t="s">
        <v>74</v>
      </c>
      <c r="R1092" t="s">
        <v>74</v>
      </c>
      <c r="S1092" t="s">
        <v>74</v>
      </c>
      <c r="T1092" t="s">
        <v>74</v>
      </c>
      <c r="U1092" t="s">
        <v>74</v>
      </c>
      <c r="V1092" s="3" t="s">
        <v>4906</v>
      </c>
      <c r="W1092" t="s">
        <v>74</v>
      </c>
      <c r="X1092" t="s">
        <v>74</v>
      </c>
      <c r="Y1092" t="s">
        <v>74</v>
      </c>
      <c r="Z1092" t="s">
        <v>74</v>
      </c>
      <c r="AA1092" t="s">
        <v>4216</v>
      </c>
      <c r="AB1092" t="s">
        <v>4217</v>
      </c>
      <c r="AC1092" t="s">
        <v>74</v>
      </c>
      <c r="AD1092" t="s">
        <v>74</v>
      </c>
      <c r="AE1092" t="s">
        <v>74</v>
      </c>
      <c r="AF1092" t="s">
        <v>74</v>
      </c>
      <c r="AG1092" t="s">
        <v>74</v>
      </c>
      <c r="AH1092" t="s">
        <v>74</v>
      </c>
      <c r="AI1092" t="s">
        <v>74</v>
      </c>
      <c r="AJ1092" t="s">
        <v>74</v>
      </c>
      <c r="AK1092" t="s">
        <v>74</v>
      </c>
      <c r="AL1092" t="s">
        <v>74</v>
      </c>
      <c r="AM1092" t="s">
        <v>74</v>
      </c>
      <c r="AN1092" t="s">
        <v>74</v>
      </c>
      <c r="AO1092" t="s">
        <v>143</v>
      </c>
      <c r="AP1092" t="s">
        <v>144</v>
      </c>
      <c r="AQ1092" t="s">
        <v>74</v>
      </c>
      <c r="AR1092" t="s">
        <v>74</v>
      </c>
      <c r="AS1092" t="s">
        <v>74</v>
      </c>
      <c r="AT1092" t="s">
        <v>352</v>
      </c>
      <c r="AU1092">
        <v>2018</v>
      </c>
      <c r="AV1092">
        <v>143</v>
      </c>
      <c r="AW1092" t="s">
        <v>74</v>
      </c>
      <c r="AX1092" t="s">
        <v>74</v>
      </c>
      <c r="AY1092" t="s">
        <v>74</v>
      </c>
      <c r="AZ1092" t="s">
        <v>74</v>
      </c>
      <c r="BA1092" t="s">
        <v>74</v>
      </c>
      <c r="BB1092">
        <v>167</v>
      </c>
      <c r="BC1092">
        <v>176</v>
      </c>
      <c r="BD1092" t="s">
        <v>74</v>
      </c>
      <c r="BE1092" t="s">
        <v>4907</v>
      </c>
      <c r="BF1092" t="str">
        <f>HYPERLINK("http://dx.doi.org/10.1016/j.anbehav.2017.12.006","http://dx.doi.org/10.1016/j.anbehav.2017.12.006")</f>
        <v>http://dx.doi.org/10.1016/j.anbehav.2017.12.006</v>
      </c>
      <c r="BG1092" t="s">
        <v>74</v>
      </c>
      <c r="BH1092" t="s">
        <v>74</v>
      </c>
      <c r="BI1092" t="s">
        <v>74</v>
      </c>
      <c r="BJ1092" t="s">
        <v>74</v>
      </c>
      <c r="BK1092" t="s">
        <v>74</v>
      </c>
      <c r="BL1092" t="s">
        <v>74</v>
      </c>
      <c r="BM1092" t="s">
        <v>74</v>
      </c>
      <c r="BN1092" t="s">
        <v>74</v>
      </c>
      <c r="BO1092" t="s">
        <v>74</v>
      </c>
      <c r="BP1092" t="s">
        <v>74</v>
      </c>
      <c r="BQ1092" t="s">
        <v>74</v>
      </c>
      <c r="BR1092" t="s">
        <v>74</v>
      </c>
      <c r="BS1092" t="s">
        <v>4908</v>
      </c>
      <c r="BT1092" t="str">
        <f>HYPERLINK("https%3A%2F%2Fwww.webofscience.com%2Fwos%2Fwoscc%2Ffull-record%2FWOS:000443386600017","View Full Record in Web of Science")</f>
        <v>View Full Record in Web of Science</v>
      </c>
    </row>
    <row r="1093" spans="1:72" x14ac:dyDescent="0.4">
      <c r="A1093" t="s">
        <v>72</v>
      </c>
      <c r="B1093" t="s">
        <v>2562</v>
      </c>
      <c r="C1093" t="s">
        <v>74</v>
      </c>
      <c r="D1093" t="s">
        <v>74</v>
      </c>
      <c r="E1093" t="s">
        <v>74</v>
      </c>
      <c r="F1093" t="s">
        <v>2562</v>
      </c>
      <c r="G1093" t="s">
        <v>74</v>
      </c>
      <c r="H1093" t="s">
        <v>74</v>
      </c>
      <c r="I1093" t="s">
        <v>4923</v>
      </c>
      <c r="J1093" t="s">
        <v>610</v>
      </c>
      <c r="K1093" t="s">
        <v>74</v>
      </c>
      <c r="L1093" t="s">
        <v>74</v>
      </c>
      <c r="M1093" t="s">
        <v>74</v>
      </c>
      <c r="N1093" t="s">
        <v>74</v>
      </c>
      <c r="O1093" t="s">
        <v>74</v>
      </c>
      <c r="P1093" t="s">
        <v>74</v>
      </c>
      <c r="Q1093" t="s">
        <v>74</v>
      </c>
      <c r="R1093" t="s">
        <v>74</v>
      </c>
      <c r="S1093" t="s">
        <v>74</v>
      </c>
      <c r="T1093" t="s">
        <v>74</v>
      </c>
      <c r="U1093" t="s">
        <v>74</v>
      </c>
      <c r="V1093" s="3" t="s">
        <v>4924</v>
      </c>
      <c r="W1093" t="s">
        <v>74</v>
      </c>
      <c r="X1093" t="s">
        <v>74</v>
      </c>
      <c r="Y1093" t="s">
        <v>74</v>
      </c>
      <c r="Z1093" t="s">
        <v>74</v>
      </c>
      <c r="AA1093" t="s">
        <v>2566</v>
      </c>
      <c r="AB1093" t="s">
        <v>2567</v>
      </c>
      <c r="AC1093" t="s">
        <v>74</v>
      </c>
      <c r="AD1093" t="s">
        <v>74</v>
      </c>
      <c r="AE1093" t="s">
        <v>74</v>
      </c>
      <c r="AF1093" t="s">
        <v>74</v>
      </c>
      <c r="AG1093" t="s">
        <v>74</v>
      </c>
      <c r="AH1093" t="s">
        <v>74</v>
      </c>
      <c r="AI1093" t="s">
        <v>74</v>
      </c>
      <c r="AJ1093" t="s">
        <v>74</v>
      </c>
      <c r="AK1093" t="s">
        <v>74</v>
      </c>
      <c r="AL1093" t="s">
        <v>74</v>
      </c>
      <c r="AM1093" t="s">
        <v>74</v>
      </c>
      <c r="AN1093" t="s">
        <v>74</v>
      </c>
      <c r="AO1093" t="s">
        <v>614</v>
      </c>
      <c r="AP1093" t="s">
        <v>74</v>
      </c>
      <c r="AQ1093" t="s">
        <v>74</v>
      </c>
      <c r="AR1093" t="s">
        <v>74</v>
      </c>
      <c r="AS1093" t="s">
        <v>74</v>
      </c>
      <c r="AT1093" t="s">
        <v>352</v>
      </c>
      <c r="AU1093">
        <v>2002</v>
      </c>
      <c r="AV1093">
        <v>108</v>
      </c>
      <c r="AW1093">
        <v>9</v>
      </c>
      <c r="AX1093" t="s">
        <v>74</v>
      </c>
      <c r="AY1093" t="s">
        <v>74</v>
      </c>
      <c r="AZ1093" t="s">
        <v>74</v>
      </c>
      <c r="BA1093" t="s">
        <v>74</v>
      </c>
      <c r="BB1093">
        <v>793</v>
      </c>
      <c r="BC1093">
        <v>813</v>
      </c>
      <c r="BD1093" t="s">
        <v>74</v>
      </c>
      <c r="BE1093" t="s">
        <v>4925</v>
      </c>
      <c r="BF1093" t="str">
        <f>HYPERLINK("http://dx.doi.org/10.1046/j.1439-0310.2002.00819.x","http://dx.doi.org/10.1046/j.1439-0310.2002.00819.x")</f>
        <v>http://dx.doi.org/10.1046/j.1439-0310.2002.00819.x</v>
      </c>
      <c r="BG1093" t="s">
        <v>74</v>
      </c>
      <c r="BH1093" t="s">
        <v>74</v>
      </c>
      <c r="BI1093" t="s">
        <v>74</v>
      </c>
      <c r="BJ1093" t="s">
        <v>74</v>
      </c>
      <c r="BK1093" t="s">
        <v>74</v>
      </c>
      <c r="BL1093" t="s">
        <v>74</v>
      </c>
      <c r="BM1093" t="s">
        <v>74</v>
      </c>
      <c r="BN1093" t="s">
        <v>74</v>
      </c>
      <c r="BO1093" t="s">
        <v>74</v>
      </c>
      <c r="BP1093" t="s">
        <v>74</v>
      </c>
      <c r="BQ1093" t="s">
        <v>74</v>
      </c>
      <c r="BR1093" t="s">
        <v>74</v>
      </c>
      <c r="BS1093" t="s">
        <v>4926</v>
      </c>
      <c r="BT1093" t="str">
        <f>HYPERLINK("https%3A%2F%2Fwww.webofscience.com%2Fwos%2Fwoscc%2Ffull-record%2FWOS:000177775300004","View Full Record in Web of Science")</f>
        <v>View Full Record in Web of Science</v>
      </c>
    </row>
    <row r="1094" spans="1:72" x14ac:dyDescent="0.4">
      <c r="A1094" t="s">
        <v>72</v>
      </c>
      <c r="B1094" t="s">
        <v>2562</v>
      </c>
      <c r="C1094" t="s">
        <v>74</v>
      </c>
      <c r="D1094" t="s">
        <v>74</v>
      </c>
      <c r="E1094" t="s">
        <v>74</v>
      </c>
      <c r="F1094" t="s">
        <v>2563</v>
      </c>
      <c r="G1094" t="s">
        <v>74</v>
      </c>
      <c r="H1094" t="s">
        <v>74</v>
      </c>
      <c r="I1094" t="s">
        <v>2564</v>
      </c>
      <c r="J1094" t="s">
        <v>333</v>
      </c>
      <c r="K1094" t="s">
        <v>74</v>
      </c>
      <c r="L1094" t="s">
        <v>74</v>
      </c>
      <c r="M1094" t="s">
        <v>74</v>
      </c>
      <c r="N1094" t="s">
        <v>74</v>
      </c>
      <c r="O1094" t="s">
        <v>74</v>
      </c>
      <c r="P1094" t="s">
        <v>74</v>
      </c>
      <c r="Q1094" t="s">
        <v>74</v>
      </c>
      <c r="R1094" t="s">
        <v>74</v>
      </c>
      <c r="S1094" t="s">
        <v>74</v>
      </c>
      <c r="T1094" t="s">
        <v>74</v>
      </c>
      <c r="U1094" t="s">
        <v>74</v>
      </c>
      <c r="V1094" s="3" t="s">
        <v>2565</v>
      </c>
      <c r="W1094" t="s">
        <v>74</v>
      </c>
      <c r="X1094" t="s">
        <v>74</v>
      </c>
      <c r="Y1094" t="s">
        <v>74</v>
      </c>
      <c r="Z1094" t="s">
        <v>74</v>
      </c>
      <c r="AA1094" t="s">
        <v>2566</v>
      </c>
      <c r="AB1094" t="s">
        <v>2567</v>
      </c>
      <c r="AC1094" t="s">
        <v>74</v>
      </c>
      <c r="AD1094" t="s">
        <v>74</v>
      </c>
      <c r="AE1094" t="s">
        <v>74</v>
      </c>
      <c r="AF1094" t="s">
        <v>74</v>
      </c>
      <c r="AG1094" t="s">
        <v>74</v>
      </c>
      <c r="AH1094" t="s">
        <v>74</v>
      </c>
      <c r="AI1094" t="s">
        <v>74</v>
      </c>
      <c r="AJ1094" t="s">
        <v>74</v>
      </c>
      <c r="AK1094" t="s">
        <v>74</v>
      </c>
      <c r="AL1094" t="s">
        <v>74</v>
      </c>
      <c r="AM1094" t="s">
        <v>74</v>
      </c>
      <c r="AN1094" t="s">
        <v>74</v>
      </c>
      <c r="AO1094" t="s">
        <v>337</v>
      </c>
      <c r="AP1094" t="s">
        <v>338</v>
      </c>
      <c r="AQ1094" t="s">
        <v>74</v>
      </c>
      <c r="AR1094" t="s">
        <v>74</v>
      </c>
      <c r="AS1094" t="s">
        <v>74</v>
      </c>
      <c r="AT1094" t="s">
        <v>1013</v>
      </c>
      <c r="AU1094">
        <v>2006</v>
      </c>
      <c r="AV1094">
        <v>17</v>
      </c>
      <c r="AW1094">
        <v>5</v>
      </c>
      <c r="AX1094" t="s">
        <v>74</v>
      </c>
      <c r="AY1094" t="s">
        <v>74</v>
      </c>
      <c r="AZ1094" t="s">
        <v>74</v>
      </c>
      <c r="BA1094" t="s">
        <v>74</v>
      </c>
      <c r="BB1094">
        <v>726</v>
      </c>
      <c r="BC1094">
        <v>732</v>
      </c>
      <c r="BD1094" t="s">
        <v>74</v>
      </c>
      <c r="BE1094" t="s">
        <v>2568</v>
      </c>
      <c r="BF1094" t="str">
        <f>HYPERLINK("http://dx.doi.org/10.1093/beheco/arl001","http://dx.doi.org/10.1093/beheco/arl001")</f>
        <v>http://dx.doi.org/10.1093/beheco/arl001</v>
      </c>
      <c r="BG1094" t="s">
        <v>74</v>
      </c>
      <c r="BH1094" t="s">
        <v>74</v>
      </c>
      <c r="BI1094" t="s">
        <v>74</v>
      </c>
      <c r="BJ1094" t="s">
        <v>74</v>
      </c>
      <c r="BK1094" t="s">
        <v>74</v>
      </c>
      <c r="BL1094" t="s">
        <v>74</v>
      </c>
      <c r="BM1094" t="s">
        <v>74</v>
      </c>
      <c r="BN1094" t="s">
        <v>74</v>
      </c>
      <c r="BO1094" t="s">
        <v>74</v>
      </c>
      <c r="BP1094" t="s">
        <v>74</v>
      </c>
      <c r="BQ1094" t="s">
        <v>74</v>
      </c>
      <c r="BR1094" t="s">
        <v>74</v>
      </c>
      <c r="BS1094" t="s">
        <v>2569</v>
      </c>
      <c r="BT1094" t="str">
        <f>HYPERLINK("https%3A%2F%2Fwww.webofscience.com%2Fwos%2Fwoscc%2Ffull-record%2FWOS:000239899500005","View Full Record in Web of Science")</f>
        <v>View Full Record in Web of Science</v>
      </c>
    </row>
    <row r="1095" spans="1:72" x14ac:dyDescent="0.4">
      <c r="A1095" t="s">
        <v>72</v>
      </c>
      <c r="B1095" t="s">
        <v>4078</v>
      </c>
      <c r="C1095" t="s">
        <v>74</v>
      </c>
      <c r="D1095" t="s">
        <v>74</v>
      </c>
      <c r="E1095" t="s">
        <v>74</v>
      </c>
      <c r="F1095" t="s">
        <v>4079</v>
      </c>
      <c r="G1095" t="s">
        <v>74</v>
      </c>
      <c r="H1095" t="s">
        <v>74</v>
      </c>
      <c r="I1095" t="s">
        <v>4080</v>
      </c>
      <c r="J1095" t="s">
        <v>775</v>
      </c>
      <c r="K1095" t="s">
        <v>74</v>
      </c>
      <c r="L1095" t="s">
        <v>74</v>
      </c>
      <c r="M1095" t="s">
        <v>74</v>
      </c>
      <c r="N1095" t="s">
        <v>74</v>
      </c>
      <c r="O1095" t="s">
        <v>74</v>
      </c>
      <c r="P1095" t="s">
        <v>74</v>
      </c>
      <c r="Q1095" t="s">
        <v>74</v>
      </c>
      <c r="R1095" t="s">
        <v>74</v>
      </c>
      <c r="S1095" t="s">
        <v>74</v>
      </c>
      <c r="T1095" t="s">
        <v>74</v>
      </c>
      <c r="U1095" t="s">
        <v>74</v>
      </c>
      <c r="V1095" s="3" t="s">
        <v>4081</v>
      </c>
      <c r="W1095" t="s">
        <v>74</v>
      </c>
      <c r="X1095" t="s">
        <v>74</v>
      </c>
      <c r="Y1095" t="s">
        <v>74</v>
      </c>
      <c r="Z1095" t="s">
        <v>74</v>
      </c>
      <c r="AA1095" t="s">
        <v>2566</v>
      </c>
      <c r="AB1095" t="s">
        <v>2567</v>
      </c>
      <c r="AC1095" t="s">
        <v>74</v>
      </c>
      <c r="AD1095" t="s">
        <v>74</v>
      </c>
      <c r="AE1095" t="s">
        <v>74</v>
      </c>
      <c r="AF1095" t="s">
        <v>74</v>
      </c>
      <c r="AG1095" t="s">
        <v>74</v>
      </c>
      <c r="AH1095" t="s">
        <v>74</v>
      </c>
      <c r="AI1095" t="s">
        <v>74</v>
      </c>
      <c r="AJ1095" t="s">
        <v>74</v>
      </c>
      <c r="AK1095" t="s">
        <v>74</v>
      </c>
      <c r="AL1095" t="s">
        <v>74</v>
      </c>
      <c r="AM1095" t="s">
        <v>74</v>
      </c>
      <c r="AN1095" t="s">
        <v>74</v>
      </c>
      <c r="AO1095" t="s">
        <v>778</v>
      </c>
      <c r="AP1095" t="s">
        <v>779</v>
      </c>
      <c r="AQ1095" t="s">
        <v>74</v>
      </c>
      <c r="AR1095" t="s">
        <v>74</v>
      </c>
      <c r="AS1095" t="s">
        <v>74</v>
      </c>
      <c r="AT1095" t="s">
        <v>102</v>
      </c>
      <c r="AU1095">
        <v>2018</v>
      </c>
      <c r="AV1095">
        <v>64</v>
      </c>
      <c r="AW1095">
        <v>3</v>
      </c>
      <c r="AX1095" t="s">
        <v>74</v>
      </c>
      <c r="AY1095" t="s">
        <v>74</v>
      </c>
      <c r="AZ1095" t="s">
        <v>74</v>
      </c>
      <c r="BA1095" t="s">
        <v>74</v>
      </c>
      <c r="BB1095">
        <v>335</v>
      </c>
      <c r="BC1095">
        <v>344</v>
      </c>
      <c r="BD1095" t="s">
        <v>74</v>
      </c>
      <c r="BE1095" t="s">
        <v>4082</v>
      </c>
      <c r="BF1095" t="str">
        <f>HYPERLINK("http://dx.doi.org/10.1093/cz/zoy023","http://dx.doi.org/10.1093/cz/zoy023")</f>
        <v>http://dx.doi.org/10.1093/cz/zoy023</v>
      </c>
      <c r="BG1095" t="s">
        <v>74</v>
      </c>
      <c r="BH1095" t="s">
        <v>74</v>
      </c>
      <c r="BI1095" t="s">
        <v>74</v>
      </c>
      <c r="BJ1095" t="s">
        <v>74</v>
      </c>
      <c r="BK1095" t="s">
        <v>74</v>
      </c>
      <c r="BL1095" t="s">
        <v>74</v>
      </c>
      <c r="BM1095" t="s">
        <v>74</v>
      </c>
      <c r="BN1095">
        <v>30402076</v>
      </c>
      <c r="BO1095" t="s">
        <v>74</v>
      </c>
      <c r="BP1095" t="s">
        <v>74</v>
      </c>
      <c r="BQ1095" t="s">
        <v>74</v>
      </c>
      <c r="BR1095" t="s">
        <v>74</v>
      </c>
      <c r="BS1095" t="s">
        <v>4083</v>
      </c>
      <c r="BT1095" t="str">
        <f>HYPERLINK("https%3A%2F%2Fwww.webofscience.com%2Fwos%2Fwoscc%2Ffull-record%2FWOS:000436421000010","View Full Record in Web of Science")</f>
        <v>View Full Record in Web of Science</v>
      </c>
    </row>
    <row r="1096" spans="1:72" x14ac:dyDescent="0.4">
      <c r="A1096" t="s">
        <v>72</v>
      </c>
      <c r="B1096" t="s">
        <v>2955</v>
      </c>
      <c r="C1096" t="s">
        <v>74</v>
      </c>
      <c r="D1096" t="s">
        <v>74</v>
      </c>
      <c r="E1096" t="s">
        <v>74</v>
      </c>
      <c r="F1096" t="s">
        <v>2956</v>
      </c>
      <c r="G1096" t="s">
        <v>74</v>
      </c>
      <c r="H1096" t="s">
        <v>74</v>
      </c>
      <c r="I1096" t="s">
        <v>2957</v>
      </c>
      <c r="J1096" t="s">
        <v>192</v>
      </c>
      <c r="K1096" t="s">
        <v>74</v>
      </c>
      <c r="L1096" t="s">
        <v>74</v>
      </c>
      <c r="M1096" t="s">
        <v>74</v>
      </c>
      <c r="N1096" t="s">
        <v>74</v>
      </c>
      <c r="O1096" t="s">
        <v>74</v>
      </c>
      <c r="P1096" t="s">
        <v>74</v>
      </c>
      <c r="Q1096" t="s">
        <v>74</v>
      </c>
      <c r="R1096" t="s">
        <v>74</v>
      </c>
      <c r="S1096" t="s">
        <v>74</v>
      </c>
      <c r="T1096" t="s">
        <v>74</v>
      </c>
      <c r="U1096" t="s">
        <v>74</v>
      </c>
      <c r="V1096" s="3" t="s">
        <v>2958</v>
      </c>
      <c r="W1096" t="s">
        <v>74</v>
      </c>
      <c r="X1096" t="s">
        <v>74</v>
      </c>
      <c r="Y1096" t="s">
        <v>74</v>
      </c>
      <c r="Z1096" t="s">
        <v>74</v>
      </c>
      <c r="AA1096" t="s">
        <v>2959</v>
      </c>
      <c r="AB1096" t="s">
        <v>2960</v>
      </c>
      <c r="AC1096" t="s">
        <v>74</v>
      </c>
      <c r="AD1096" t="s">
        <v>74</v>
      </c>
      <c r="AE1096" t="s">
        <v>74</v>
      </c>
      <c r="AF1096" t="s">
        <v>74</v>
      </c>
      <c r="AG1096" t="s">
        <v>74</v>
      </c>
      <c r="AH1096" t="s">
        <v>74</v>
      </c>
      <c r="AI1096" t="s">
        <v>74</v>
      </c>
      <c r="AJ1096" t="s">
        <v>74</v>
      </c>
      <c r="AK1096" t="s">
        <v>74</v>
      </c>
      <c r="AL1096" t="s">
        <v>74</v>
      </c>
      <c r="AM1096" t="s">
        <v>74</v>
      </c>
      <c r="AN1096" t="s">
        <v>74</v>
      </c>
      <c r="AO1096" t="s">
        <v>195</v>
      </c>
      <c r="AP1096" t="s">
        <v>196</v>
      </c>
      <c r="AQ1096" t="s">
        <v>74</v>
      </c>
      <c r="AR1096" t="s">
        <v>74</v>
      </c>
      <c r="AS1096" t="s">
        <v>74</v>
      </c>
      <c r="AT1096" t="s">
        <v>352</v>
      </c>
      <c r="AU1096">
        <v>2021</v>
      </c>
      <c r="AV1096">
        <v>848</v>
      </c>
      <c r="AW1096">
        <v>16</v>
      </c>
      <c r="AX1096" t="s">
        <v>74</v>
      </c>
      <c r="AY1096" t="s">
        <v>74</v>
      </c>
      <c r="AZ1096" t="s">
        <v>848</v>
      </c>
      <c r="BA1096" t="s">
        <v>74</v>
      </c>
      <c r="BB1096">
        <v>3667</v>
      </c>
      <c r="BC1096">
        <v>3681</v>
      </c>
      <c r="BD1096" t="s">
        <v>74</v>
      </c>
      <c r="BE1096" t="s">
        <v>2961</v>
      </c>
      <c r="BF1096" t="str">
        <f>HYPERLINK("http://dx.doi.org/10.1007/s10750-020-04475-9","http://dx.doi.org/10.1007/s10750-020-04475-9")</f>
        <v>http://dx.doi.org/10.1007/s10750-020-04475-9</v>
      </c>
      <c r="BG1096" t="s">
        <v>74</v>
      </c>
      <c r="BH1096" t="s">
        <v>2962</v>
      </c>
      <c r="BI1096" t="s">
        <v>74</v>
      </c>
      <c r="BJ1096" t="s">
        <v>74</v>
      </c>
      <c r="BK1096" t="s">
        <v>74</v>
      </c>
      <c r="BL1096" t="s">
        <v>74</v>
      </c>
      <c r="BM1096" t="s">
        <v>74</v>
      </c>
      <c r="BN1096" t="s">
        <v>74</v>
      </c>
      <c r="BO1096" t="s">
        <v>74</v>
      </c>
      <c r="BP1096" t="s">
        <v>74</v>
      </c>
      <c r="BQ1096" t="s">
        <v>74</v>
      </c>
      <c r="BR1096" t="s">
        <v>74</v>
      </c>
      <c r="BS1096" t="s">
        <v>2963</v>
      </c>
      <c r="BT1096" t="str">
        <f>HYPERLINK("https%3A%2F%2Fwww.webofscience.com%2Fwos%2Fwoscc%2Ffull-record%2FWOS:000604160900002","View Full Record in Web of Science")</f>
        <v>View Full Record in Web of Science</v>
      </c>
    </row>
    <row r="1097" spans="1:72" x14ac:dyDescent="0.4">
      <c r="A1097" t="s">
        <v>72</v>
      </c>
      <c r="B1097" t="s">
        <v>5764</v>
      </c>
      <c r="C1097" t="s">
        <v>74</v>
      </c>
      <c r="D1097" t="s">
        <v>74</v>
      </c>
      <c r="E1097" t="s">
        <v>74</v>
      </c>
      <c r="F1097" t="s">
        <v>5765</v>
      </c>
      <c r="G1097" t="s">
        <v>74</v>
      </c>
      <c r="H1097" t="s">
        <v>74</v>
      </c>
      <c r="I1097" t="s">
        <v>5766</v>
      </c>
      <c r="J1097" t="s">
        <v>775</v>
      </c>
      <c r="K1097" t="s">
        <v>74</v>
      </c>
      <c r="L1097" t="s">
        <v>74</v>
      </c>
      <c r="M1097" t="s">
        <v>74</v>
      </c>
      <c r="N1097" t="s">
        <v>74</v>
      </c>
      <c r="O1097" t="s">
        <v>74</v>
      </c>
      <c r="P1097" t="s">
        <v>74</v>
      </c>
      <c r="Q1097" t="s">
        <v>74</v>
      </c>
      <c r="R1097" t="s">
        <v>74</v>
      </c>
      <c r="S1097" t="s">
        <v>74</v>
      </c>
      <c r="T1097" t="s">
        <v>74</v>
      </c>
      <c r="U1097" t="s">
        <v>74</v>
      </c>
      <c r="V1097" s="3" t="s">
        <v>5767</v>
      </c>
      <c r="W1097" t="s">
        <v>74</v>
      </c>
      <c r="X1097" t="s">
        <v>74</v>
      </c>
      <c r="Y1097" t="s">
        <v>74</v>
      </c>
      <c r="Z1097" t="s">
        <v>74</v>
      </c>
      <c r="AA1097" t="s">
        <v>74</v>
      </c>
      <c r="AB1097" t="s">
        <v>74</v>
      </c>
      <c r="AC1097" t="s">
        <v>74</v>
      </c>
      <c r="AD1097" t="s">
        <v>74</v>
      </c>
      <c r="AE1097" t="s">
        <v>74</v>
      </c>
      <c r="AF1097" t="s">
        <v>74</v>
      </c>
      <c r="AG1097" t="s">
        <v>74</v>
      </c>
      <c r="AH1097" t="s">
        <v>74</v>
      </c>
      <c r="AI1097" t="s">
        <v>74</v>
      </c>
      <c r="AJ1097" t="s">
        <v>74</v>
      </c>
      <c r="AK1097" t="s">
        <v>74</v>
      </c>
      <c r="AL1097" t="s">
        <v>74</v>
      </c>
      <c r="AM1097" t="s">
        <v>74</v>
      </c>
      <c r="AN1097" t="s">
        <v>74</v>
      </c>
      <c r="AO1097" t="s">
        <v>778</v>
      </c>
      <c r="AP1097" t="s">
        <v>779</v>
      </c>
      <c r="AQ1097" t="s">
        <v>74</v>
      </c>
      <c r="AR1097" t="s">
        <v>74</v>
      </c>
      <c r="AS1097" t="s">
        <v>74</v>
      </c>
      <c r="AT1097" t="s">
        <v>5768</v>
      </c>
      <c r="AU1097">
        <v>2022</v>
      </c>
      <c r="AV1097">
        <v>68</v>
      </c>
      <c r="AW1097">
        <v>5</v>
      </c>
      <c r="AX1097" t="s">
        <v>74</v>
      </c>
      <c r="AY1097" t="s">
        <v>74</v>
      </c>
      <c r="AZ1097" t="s">
        <v>74</v>
      </c>
      <c r="BA1097" t="s">
        <v>74</v>
      </c>
      <c r="BB1097">
        <v>600</v>
      </c>
      <c r="BC1097">
        <v>607</v>
      </c>
      <c r="BD1097" t="s">
        <v>74</v>
      </c>
      <c r="BE1097" t="s">
        <v>5769</v>
      </c>
      <c r="BF1097" t="str">
        <f>HYPERLINK("http://dx.doi.org/10.1093/cz/zoab087","http://dx.doi.org/10.1093/cz/zoab087")</f>
        <v>http://dx.doi.org/10.1093/cz/zoab087</v>
      </c>
      <c r="BG1097" t="s">
        <v>74</v>
      </c>
      <c r="BH1097" t="s">
        <v>5103</v>
      </c>
      <c r="BI1097" t="s">
        <v>74</v>
      </c>
      <c r="BJ1097" t="s">
        <v>74</v>
      </c>
      <c r="BK1097" t="s">
        <v>74</v>
      </c>
      <c r="BL1097" t="s">
        <v>74</v>
      </c>
      <c r="BM1097" t="s">
        <v>74</v>
      </c>
      <c r="BN1097">
        <v>36324536</v>
      </c>
      <c r="BO1097" t="s">
        <v>74</v>
      </c>
      <c r="BP1097" t="s">
        <v>74</v>
      </c>
      <c r="BQ1097" t="s">
        <v>74</v>
      </c>
      <c r="BR1097" t="s">
        <v>74</v>
      </c>
      <c r="BS1097" t="s">
        <v>5770</v>
      </c>
      <c r="BT1097" t="str">
        <f>HYPERLINK("https%3A%2F%2Fwww.webofscience.com%2Fwos%2Fwoscc%2Ffull-record%2FWOS:000789358100001","View Full Record in Web of Science")</f>
        <v>View Full Record in Web of Science</v>
      </c>
    </row>
    <row r="1098" spans="1:72" x14ac:dyDescent="0.4">
      <c r="A1098" t="s">
        <v>72</v>
      </c>
      <c r="B1098" t="s">
        <v>5744</v>
      </c>
      <c r="C1098" t="s">
        <v>74</v>
      </c>
      <c r="D1098" t="s">
        <v>74</v>
      </c>
      <c r="E1098" t="s">
        <v>74</v>
      </c>
      <c r="F1098" t="s">
        <v>5745</v>
      </c>
      <c r="G1098" t="s">
        <v>74</v>
      </c>
      <c r="H1098" t="s">
        <v>74</v>
      </c>
      <c r="I1098" t="s">
        <v>5746</v>
      </c>
      <c r="J1098" t="s">
        <v>2042</v>
      </c>
      <c r="K1098" t="s">
        <v>74</v>
      </c>
      <c r="L1098" t="s">
        <v>74</v>
      </c>
      <c r="M1098" t="s">
        <v>74</v>
      </c>
      <c r="N1098" t="s">
        <v>74</v>
      </c>
      <c r="O1098" t="s">
        <v>74</v>
      </c>
      <c r="P1098" t="s">
        <v>74</v>
      </c>
      <c r="Q1098" t="s">
        <v>74</v>
      </c>
      <c r="R1098" t="s">
        <v>74</v>
      </c>
      <c r="S1098" t="s">
        <v>74</v>
      </c>
      <c r="T1098" t="s">
        <v>74</v>
      </c>
      <c r="U1098" t="s">
        <v>74</v>
      </c>
      <c r="V1098" s="3" t="s">
        <v>5747</v>
      </c>
      <c r="W1098" t="s">
        <v>74</v>
      </c>
      <c r="X1098" t="s">
        <v>74</v>
      </c>
      <c r="Y1098" t="s">
        <v>74</v>
      </c>
      <c r="Z1098" t="s">
        <v>74</v>
      </c>
      <c r="AA1098" t="s">
        <v>5748</v>
      </c>
      <c r="AB1098" t="s">
        <v>5749</v>
      </c>
      <c r="AC1098" t="s">
        <v>74</v>
      </c>
      <c r="AD1098" t="s">
        <v>74</v>
      </c>
      <c r="AE1098" t="s">
        <v>74</v>
      </c>
      <c r="AF1098" t="s">
        <v>74</v>
      </c>
      <c r="AG1098" t="s">
        <v>74</v>
      </c>
      <c r="AH1098" t="s">
        <v>74</v>
      </c>
      <c r="AI1098" t="s">
        <v>74</v>
      </c>
      <c r="AJ1098" t="s">
        <v>74</v>
      </c>
      <c r="AK1098" t="s">
        <v>74</v>
      </c>
      <c r="AL1098" t="s">
        <v>74</v>
      </c>
      <c r="AM1098" t="s">
        <v>74</v>
      </c>
      <c r="AN1098" t="s">
        <v>74</v>
      </c>
      <c r="AO1098" t="s">
        <v>2045</v>
      </c>
      <c r="AP1098" t="s">
        <v>2046</v>
      </c>
      <c r="AQ1098" t="s">
        <v>74</v>
      </c>
      <c r="AR1098" t="s">
        <v>74</v>
      </c>
      <c r="AS1098" t="s">
        <v>74</v>
      </c>
      <c r="AT1098" t="s">
        <v>255</v>
      </c>
      <c r="AU1098">
        <v>2016</v>
      </c>
      <c r="AV1098">
        <v>63</v>
      </c>
      <c r="AW1098">
        <v>1</v>
      </c>
      <c r="AX1098" t="s">
        <v>74</v>
      </c>
      <c r="AY1098" t="s">
        <v>74</v>
      </c>
      <c r="AZ1098" t="s">
        <v>74</v>
      </c>
      <c r="BA1098" t="s">
        <v>74</v>
      </c>
      <c r="BB1098">
        <v>94</v>
      </c>
      <c r="BC1098">
        <v>109</v>
      </c>
      <c r="BD1098" t="s">
        <v>74</v>
      </c>
      <c r="BE1098" t="s">
        <v>5750</v>
      </c>
      <c r="BF1098" t="str">
        <f>HYPERLINK("http://dx.doi.org/10.1007/s10228-015-0480-9","http://dx.doi.org/10.1007/s10228-015-0480-9")</f>
        <v>http://dx.doi.org/10.1007/s10228-015-0480-9</v>
      </c>
      <c r="BG1098" t="s">
        <v>74</v>
      </c>
      <c r="BH1098" t="s">
        <v>74</v>
      </c>
      <c r="BI1098" t="s">
        <v>74</v>
      </c>
      <c r="BJ1098" t="s">
        <v>74</v>
      </c>
      <c r="BK1098" t="s">
        <v>74</v>
      </c>
      <c r="BL1098" t="s">
        <v>74</v>
      </c>
      <c r="BM1098" t="s">
        <v>74</v>
      </c>
      <c r="BN1098" t="s">
        <v>74</v>
      </c>
      <c r="BO1098" t="s">
        <v>74</v>
      </c>
      <c r="BP1098" t="s">
        <v>74</v>
      </c>
      <c r="BQ1098" t="s">
        <v>74</v>
      </c>
      <c r="BR1098" t="s">
        <v>74</v>
      </c>
      <c r="BS1098" t="s">
        <v>5751</v>
      </c>
      <c r="BT1098" t="str">
        <f>HYPERLINK("https%3A%2F%2Fwww.webofscience.com%2Fwos%2Fwoscc%2Ffull-record%2FWOS:000367602100010","View Full Record in Web of Science")</f>
        <v>View Full Record in Web of Science</v>
      </c>
    </row>
    <row r="1099" spans="1:72" x14ac:dyDescent="0.4">
      <c r="A1099" t="s">
        <v>72</v>
      </c>
      <c r="B1099" t="s">
        <v>2394</v>
      </c>
      <c r="C1099" t="s">
        <v>74</v>
      </c>
      <c r="D1099" t="s">
        <v>74</v>
      </c>
      <c r="E1099" t="s">
        <v>74</v>
      </c>
      <c r="F1099" t="s">
        <v>2395</v>
      </c>
      <c r="G1099" t="s">
        <v>74</v>
      </c>
      <c r="H1099" t="s">
        <v>74</v>
      </c>
      <c r="I1099" t="s">
        <v>2396</v>
      </c>
      <c r="J1099" t="s">
        <v>140</v>
      </c>
      <c r="K1099" t="s">
        <v>74</v>
      </c>
      <c r="L1099" t="s">
        <v>74</v>
      </c>
      <c r="M1099" t="s">
        <v>74</v>
      </c>
      <c r="N1099" t="s">
        <v>74</v>
      </c>
      <c r="O1099" t="s">
        <v>74</v>
      </c>
      <c r="P1099" t="s">
        <v>74</v>
      </c>
      <c r="Q1099" t="s">
        <v>74</v>
      </c>
      <c r="R1099" t="s">
        <v>74</v>
      </c>
      <c r="S1099" t="s">
        <v>74</v>
      </c>
      <c r="T1099" t="s">
        <v>74</v>
      </c>
      <c r="U1099" t="s">
        <v>74</v>
      </c>
      <c r="V1099" s="3" t="s">
        <v>2397</v>
      </c>
      <c r="W1099" t="s">
        <v>74</v>
      </c>
      <c r="X1099" t="s">
        <v>74</v>
      </c>
      <c r="Y1099" t="s">
        <v>74</v>
      </c>
      <c r="Z1099" t="s">
        <v>74</v>
      </c>
      <c r="AA1099" t="s">
        <v>2398</v>
      </c>
      <c r="AB1099" t="s">
        <v>2399</v>
      </c>
      <c r="AC1099" t="s">
        <v>74</v>
      </c>
      <c r="AD1099" t="s">
        <v>74</v>
      </c>
      <c r="AE1099" t="s">
        <v>74</v>
      </c>
      <c r="AF1099" t="s">
        <v>74</v>
      </c>
      <c r="AG1099" t="s">
        <v>74</v>
      </c>
      <c r="AH1099" t="s">
        <v>74</v>
      </c>
      <c r="AI1099" t="s">
        <v>74</v>
      </c>
      <c r="AJ1099" t="s">
        <v>74</v>
      </c>
      <c r="AK1099" t="s">
        <v>74</v>
      </c>
      <c r="AL1099" t="s">
        <v>74</v>
      </c>
      <c r="AM1099" t="s">
        <v>74</v>
      </c>
      <c r="AN1099" t="s">
        <v>74</v>
      </c>
      <c r="AO1099" t="s">
        <v>143</v>
      </c>
      <c r="AP1099" t="s">
        <v>144</v>
      </c>
      <c r="AQ1099" t="s">
        <v>74</v>
      </c>
      <c r="AR1099" t="s">
        <v>74</v>
      </c>
      <c r="AS1099" t="s">
        <v>74</v>
      </c>
      <c r="AT1099" t="s">
        <v>145</v>
      </c>
      <c r="AU1099">
        <v>2006</v>
      </c>
      <c r="AV1099">
        <v>72</v>
      </c>
      <c r="AW1099" t="s">
        <v>74</v>
      </c>
      <c r="AX1099">
        <v>2</v>
      </c>
      <c r="AY1099" t="s">
        <v>74</v>
      </c>
      <c r="AZ1099" t="s">
        <v>74</v>
      </c>
      <c r="BA1099" t="s">
        <v>74</v>
      </c>
      <c r="BB1099">
        <v>353</v>
      </c>
      <c r="BC1099">
        <v>363</v>
      </c>
      <c r="BD1099" t="s">
        <v>74</v>
      </c>
      <c r="BE1099" t="s">
        <v>2400</v>
      </c>
      <c r="BF1099" t="str">
        <f>HYPERLINK("http://dx.doi.org/10.1016/j.anbehav.2005.10.018","http://dx.doi.org/10.1016/j.anbehav.2005.10.018")</f>
        <v>http://dx.doi.org/10.1016/j.anbehav.2005.10.018</v>
      </c>
      <c r="BG1099" t="s">
        <v>74</v>
      </c>
      <c r="BH1099" t="s">
        <v>74</v>
      </c>
      <c r="BI1099" t="s">
        <v>74</v>
      </c>
      <c r="BJ1099" t="s">
        <v>74</v>
      </c>
      <c r="BK1099" t="s">
        <v>74</v>
      </c>
      <c r="BL1099" t="s">
        <v>74</v>
      </c>
      <c r="BM1099" t="s">
        <v>74</v>
      </c>
      <c r="BN1099" t="s">
        <v>74</v>
      </c>
      <c r="BO1099" t="s">
        <v>74</v>
      </c>
      <c r="BP1099" t="s">
        <v>74</v>
      </c>
      <c r="BQ1099" t="s">
        <v>74</v>
      </c>
      <c r="BR1099" t="s">
        <v>74</v>
      </c>
      <c r="BS1099" t="s">
        <v>2401</v>
      </c>
      <c r="BT1099" t="str">
        <f>HYPERLINK("https%3A%2F%2Fwww.webofscience.com%2Fwos%2Fwoscc%2Ffull-record%2FWOS:000240217300011","View Full Record in Web of Science")</f>
        <v>View Full Record in Web of Science</v>
      </c>
    </row>
    <row r="1100" spans="1:72" x14ac:dyDescent="0.4">
      <c r="A1100" t="s">
        <v>72</v>
      </c>
      <c r="B1100" t="s">
        <v>6659</v>
      </c>
      <c r="C1100" t="s">
        <v>74</v>
      </c>
      <c r="D1100" t="s">
        <v>74</v>
      </c>
      <c r="E1100" t="s">
        <v>74</v>
      </c>
      <c r="F1100" t="s">
        <v>6660</v>
      </c>
      <c r="G1100" t="s">
        <v>74</v>
      </c>
      <c r="H1100" t="s">
        <v>74</v>
      </c>
      <c r="I1100" t="s">
        <v>6661</v>
      </c>
      <c r="J1100" t="s">
        <v>2017</v>
      </c>
      <c r="K1100" t="s">
        <v>74</v>
      </c>
      <c r="L1100" t="s">
        <v>74</v>
      </c>
      <c r="M1100" t="s">
        <v>74</v>
      </c>
      <c r="N1100" t="s">
        <v>74</v>
      </c>
      <c r="O1100" t="s">
        <v>74</v>
      </c>
      <c r="P1100" t="s">
        <v>74</v>
      </c>
      <c r="Q1100" t="s">
        <v>74</v>
      </c>
      <c r="R1100" t="s">
        <v>74</v>
      </c>
      <c r="S1100" t="s">
        <v>74</v>
      </c>
      <c r="T1100" t="s">
        <v>74</v>
      </c>
      <c r="U1100" t="s">
        <v>74</v>
      </c>
      <c r="V1100" s="3" t="s">
        <v>6662</v>
      </c>
      <c r="W1100" t="s">
        <v>74</v>
      </c>
      <c r="X1100" t="s">
        <v>74</v>
      </c>
      <c r="Y1100" t="s">
        <v>74</v>
      </c>
      <c r="Z1100" t="s">
        <v>74</v>
      </c>
      <c r="AA1100" t="s">
        <v>6663</v>
      </c>
      <c r="AB1100" t="s">
        <v>6664</v>
      </c>
      <c r="AC1100" t="s">
        <v>74</v>
      </c>
      <c r="AD1100" t="s">
        <v>74</v>
      </c>
      <c r="AE1100" t="s">
        <v>74</v>
      </c>
      <c r="AF1100" t="s">
        <v>74</v>
      </c>
      <c r="AG1100" t="s">
        <v>74</v>
      </c>
      <c r="AH1100" t="s">
        <v>74</v>
      </c>
      <c r="AI1100" t="s">
        <v>74</v>
      </c>
      <c r="AJ1100" t="s">
        <v>74</v>
      </c>
      <c r="AK1100" t="s">
        <v>74</v>
      </c>
      <c r="AL1100" t="s">
        <v>74</v>
      </c>
      <c r="AM1100" t="s">
        <v>74</v>
      </c>
      <c r="AN1100" t="s">
        <v>74</v>
      </c>
      <c r="AO1100" t="s">
        <v>2021</v>
      </c>
      <c r="AP1100" t="s">
        <v>74</v>
      </c>
      <c r="AQ1100" t="s">
        <v>74</v>
      </c>
      <c r="AR1100" t="s">
        <v>74</v>
      </c>
      <c r="AS1100" t="s">
        <v>74</v>
      </c>
      <c r="AT1100" t="s">
        <v>6665</v>
      </c>
      <c r="AU1100">
        <v>2018</v>
      </c>
      <c r="AV1100">
        <v>6</v>
      </c>
      <c r="AW1100" t="s">
        <v>74</v>
      </c>
      <c r="AX1100" t="s">
        <v>74</v>
      </c>
      <c r="AY1100" t="s">
        <v>74</v>
      </c>
      <c r="AZ1100" t="s">
        <v>74</v>
      </c>
      <c r="BA1100" t="s">
        <v>74</v>
      </c>
      <c r="BB1100" t="s">
        <v>74</v>
      </c>
      <c r="BC1100" t="s">
        <v>74</v>
      </c>
      <c r="BD1100">
        <v>70</v>
      </c>
      <c r="BE1100" t="s">
        <v>6666</v>
      </c>
      <c r="BF1100" t="str">
        <f>HYPERLINK("http://dx.doi.org/10.3389/fevo.2018.00070","http://dx.doi.org/10.3389/fevo.2018.00070")</f>
        <v>http://dx.doi.org/10.3389/fevo.2018.00070</v>
      </c>
      <c r="BG1100" t="s">
        <v>74</v>
      </c>
      <c r="BH1100" t="s">
        <v>74</v>
      </c>
      <c r="BI1100" t="s">
        <v>74</v>
      </c>
      <c r="BJ1100" t="s">
        <v>74</v>
      </c>
      <c r="BK1100" t="s">
        <v>74</v>
      </c>
      <c r="BL1100" t="s">
        <v>74</v>
      </c>
      <c r="BM1100" t="s">
        <v>74</v>
      </c>
      <c r="BN1100" t="s">
        <v>74</v>
      </c>
      <c r="BO1100" t="s">
        <v>74</v>
      </c>
      <c r="BP1100" t="s">
        <v>74</v>
      </c>
      <c r="BQ1100" t="s">
        <v>74</v>
      </c>
      <c r="BR1100" t="s">
        <v>74</v>
      </c>
      <c r="BS1100" t="s">
        <v>6667</v>
      </c>
      <c r="BT1100" t="str">
        <f>HYPERLINK("https%3A%2F%2Fwww.webofscience.com%2Fwos%2Fwoscc%2Ffull-record%2FWOS:000451666100001","View Full Record in Web of Science")</f>
        <v>View Full Record in Web of Science</v>
      </c>
    </row>
    <row r="1101" spans="1:72" x14ac:dyDescent="0.4">
      <c r="A1101" t="s">
        <v>72</v>
      </c>
      <c r="B1101" t="s">
        <v>7262</v>
      </c>
      <c r="C1101" t="s">
        <v>74</v>
      </c>
      <c r="D1101" t="s">
        <v>74</v>
      </c>
      <c r="E1101" t="s">
        <v>74</v>
      </c>
      <c r="F1101" t="s">
        <v>7262</v>
      </c>
      <c r="G1101" t="s">
        <v>74</v>
      </c>
      <c r="H1101" t="s">
        <v>74</v>
      </c>
      <c r="I1101" t="s">
        <v>7263</v>
      </c>
      <c r="J1101" t="s">
        <v>129</v>
      </c>
      <c r="K1101" t="s">
        <v>74</v>
      </c>
      <c r="L1101" t="s">
        <v>74</v>
      </c>
      <c r="M1101" t="s">
        <v>74</v>
      </c>
      <c r="N1101" t="s">
        <v>74</v>
      </c>
      <c r="O1101" t="s">
        <v>74</v>
      </c>
      <c r="P1101" t="s">
        <v>74</v>
      </c>
      <c r="Q1101" t="s">
        <v>74</v>
      </c>
      <c r="R1101" t="s">
        <v>74</v>
      </c>
      <c r="S1101" t="s">
        <v>74</v>
      </c>
      <c r="T1101" t="s">
        <v>74</v>
      </c>
      <c r="U1101" t="s">
        <v>74</v>
      </c>
      <c r="V1101" s="3" t="s">
        <v>7264</v>
      </c>
      <c r="W1101" t="s">
        <v>74</v>
      </c>
      <c r="X1101" t="s">
        <v>74</v>
      </c>
      <c r="Y1101" t="s">
        <v>74</v>
      </c>
      <c r="Z1101" t="s">
        <v>74</v>
      </c>
      <c r="AA1101" t="s">
        <v>3138</v>
      </c>
      <c r="AB1101" t="s">
        <v>7265</v>
      </c>
      <c r="AC1101" t="s">
        <v>74</v>
      </c>
      <c r="AD1101" t="s">
        <v>74</v>
      </c>
      <c r="AE1101" t="s">
        <v>74</v>
      </c>
      <c r="AF1101" t="s">
        <v>74</v>
      </c>
      <c r="AG1101" t="s">
        <v>74</v>
      </c>
      <c r="AH1101" t="s">
        <v>74</v>
      </c>
      <c r="AI1101" t="s">
        <v>74</v>
      </c>
      <c r="AJ1101" t="s">
        <v>74</v>
      </c>
      <c r="AK1101" t="s">
        <v>74</v>
      </c>
      <c r="AL1101" t="s">
        <v>74</v>
      </c>
      <c r="AM1101" t="s">
        <v>74</v>
      </c>
      <c r="AN1101" t="s">
        <v>74</v>
      </c>
      <c r="AO1101" t="s">
        <v>132</v>
      </c>
      <c r="AP1101" t="s">
        <v>74</v>
      </c>
      <c r="AQ1101" t="s">
        <v>74</v>
      </c>
      <c r="AR1101" t="s">
        <v>74</v>
      </c>
      <c r="AS1101" t="s">
        <v>74</v>
      </c>
      <c r="AT1101" t="s">
        <v>145</v>
      </c>
      <c r="AU1101">
        <v>1999</v>
      </c>
      <c r="AV1101">
        <v>46</v>
      </c>
      <c r="AW1101">
        <v>3</v>
      </c>
      <c r="AX1101" t="s">
        <v>74</v>
      </c>
      <c r="AY1101" t="s">
        <v>74</v>
      </c>
      <c r="AZ1101" t="s">
        <v>74</v>
      </c>
      <c r="BA1101" t="s">
        <v>74</v>
      </c>
      <c r="BB1101">
        <v>210</v>
      </c>
      <c r="BC1101">
        <v>214</v>
      </c>
      <c r="BD1101" t="s">
        <v>74</v>
      </c>
      <c r="BE1101" t="s">
        <v>7266</v>
      </c>
      <c r="BF1101" t="str">
        <f>HYPERLINK("http://dx.doi.org/10.1007/s002650050611","http://dx.doi.org/10.1007/s002650050611")</f>
        <v>http://dx.doi.org/10.1007/s002650050611</v>
      </c>
      <c r="BG1101" t="s">
        <v>74</v>
      </c>
      <c r="BH1101" t="s">
        <v>74</v>
      </c>
      <c r="BI1101" t="s">
        <v>74</v>
      </c>
      <c r="BJ1101" t="s">
        <v>74</v>
      </c>
      <c r="BK1101" t="s">
        <v>74</v>
      </c>
      <c r="BL1101" t="s">
        <v>74</v>
      </c>
      <c r="BM1101" t="s">
        <v>74</v>
      </c>
      <c r="BN1101" t="s">
        <v>74</v>
      </c>
      <c r="BO1101" t="s">
        <v>74</v>
      </c>
      <c r="BP1101" t="s">
        <v>74</v>
      </c>
      <c r="BQ1101" t="s">
        <v>74</v>
      </c>
      <c r="BR1101" t="s">
        <v>74</v>
      </c>
      <c r="BS1101" t="s">
        <v>7267</v>
      </c>
      <c r="BT1101" t="str">
        <f>HYPERLINK("https%3A%2F%2Fwww.webofscience.com%2Fwos%2Fwoscc%2Ffull-record%2FWOS:000082141200009","View Full Record in Web of Science")</f>
        <v>View Full Record in Web of Science</v>
      </c>
    </row>
    <row r="1102" spans="1:72" x14ac:dyDescent="0.4">
      <c r="A1102" t="s">
        <v>72</v>
      </c>
      <c r="B1102" t="s">
        <v>2834</v>
      </c>
      <c r="C1102" t="s">
        <v>74</v>
      </c>
      <c r="D1102" t="s">
        <v>74</v>
      </c>
      <c r="E1102" t="s">
        <v>74</v>
      </c>
      <c r="F1102" t="s">
        <v>2835</v>
      </c>
      <c r="G1102" t="s">
        <v>74</v>
      </c>
      <c r="H1102" t="s">
        <v>74</v>
      </c>
      <c r="I1102" t="s">
        <v>2836</v>
      </c>
      <c r="J1102" t="s">
        <v>367</v>
      </c>
      <c r="K1102" t="s">
        <v>74</v>
      </c>
      <c r="L1102" t="s">
        <v>74</v>
      </c>
      <c r="M1102" t="s">
        <v>74</v>
      </c>
      <c r="N1102" t="s">
        <v>74</v>
      </c>
      <c r="O1102" t="s">
        <v>74</v>
      </c>
      <c r="P1102" t="s">
        <v>74</v>
      </c>
      <c r="Q1102" t="s">
        <v>74</v>
      </c>
      <c r="R1102" t="s">
        <v>74</v>
      </c>
      <c r="S1102" t="s">
        <v>74</v>
      </c>
      <c r="T1102" t="s">
        <v>74</v>
      </c>
      <c r="U1102" t="s">
        <v>74</v>
      </c>
      <c r="V1102" s="3" t="s">
        <v>2837</v>
      </c>
      <c r="W1102" t="s">
        <v>74</v>
      </c>
      <c r="X1102" t="s">
        <v>74</v>
      </c>
      <c r="Y1102" t="s">
        <v>74</v>
      </c>
      <c r="Z1102" t="s">
        <v>74</v>
      </c>
      <c r="AA1102" t="s">
        <v>2838</v>
      </c>
      <c r="AB1102" t="s">
        <v>2839</v>
      </c>
      <c r="AC1102" t="s">
        <v>74</v>
      </c>
      <c r="AD1102" t="s">
        <v>74</v>
      </c>
      <c r="AE1102" t="s">
        <v>74</v>
      </c>
      <c r="AF1102" t="s">
        <v>74</v>
      </c>
      <c r="AG1102" t="s">
        <v>74</v>
      </c>
      <c r="AH1102" t="s">
        <v>74</v>
      </c>
      <c r="AI1102" t="s">
        <v>74</v>
      </c>
      <c r="AJ1102" t="s">
        <v>74</v>
      </c>
      <c r="AK1102" t="s">
        <v>74</v>
      </c>
      <c r="AL1102" t="s">
        <v>74</v>
      </c>
      <c r="AM1102" t="s">
        <v>74</v>
      </c>
      <c r="AN1102" t="s">
        <v>74</v>
      </c>
      <c r="AO1102" t="s">
        <v>371</v>
      </c>
      <c r="AP1102" t="s">
        <v>372</v>
      </c>
      <c r="AQ1102" t="s">
        <v>74</v>
      </c>
      <c r="AR1102" t="s">
        <v>74</v>
      </c>
      <c r="AS1102" t="s">
        <v>74</v>
      </c>
      <c r="AT1102" t="s">
        <v>2840</v>
      </c>
      <c r="AU1102">
        <v>2024</v>
      </c>
      <c r="AV1102" t="s">
        <v>74</v>
      </c>
      <c r="AW1102" t="s">
        <v>74</v>
      </c>
      <c r="AX1102" t="s">
        <v>74</v>
      </c>
      <c r="AY1102" t="s">
        <v>74</v>
      </c>
      <c r="AZ1102" t="s">
        <v>74</v>
      </c>
      <c r="BA1102" t="s">
        <v>74</v>
      </c>
      <c r="BB1102" t="s">
        <v>74</v>
      </c>
      <c r="BC1102" t="s">
        <v>74</v>
      </c>
      <c r="BD1102" t="s">
        <v>74</v>
      </c>
      <c r="BE1102" t="s">
        <v>2841</v>
      </c>
      <c r="BF1102" t="str">
        <f>HYPERLINK("http://dx.doi.org/10.1037/com0000374","http://dx.doi.org/10.1037/com0000374")</f>
        <v>http://dx.doi.org/10.1037/com0000374</v>
      </c>
      <c r="BG1102" t="s">
        <v>74</v>
      </c>
      <c r="BH1102" t="s">
        <v>2842</v>
      </c>
      <c r="BI1102" t="s">
        <v>74</v>
      </c>
      <c r="BJ1102" t="s">
        <v>74</v>
      </c>
      <c r="BK1102" t="s">
        <v>74</v>
      </c>
      <c r="BL1102" t="s">
        <v>74</v>
      </c>
      <c r="BM1102" t="s">
        <v>74</v>
      </c>
      <c r="BN1102">
        <v>38330314</v>
      </c>
      <c r="BO1102" t="s">
        <v>74</v>
      </c>
      <c r="BP1102" t="s">
        <v>74</v>
      </c>
      <c r="BQ1102" t="s">
        <v>74</v>
      </c>
      <c r="BR1102" t="s">
        <v>74</v>
      </c>
      <c r="BS1102" t="s">
        <v>2843</v>
      </c>
      <c r="BT1102" t="str">
        <f>HYPERLINK("https%3A%2F%2Fwww.webofscience.com%2Fwos%2Fwoscc%2Ffull-record%2FWOS:001158763200001","View Full Record in Web of Science")</f>
        <v>View Full Record in Web of Science</v>
      </c>
    </row>
    <row r="1103" spans="1:72" x14ac:dyDescent="0.4">
      <c r="A1103" t="s">
        <v>72</v>
      </c>
      <c r="B1103" t="s">
        <v>3740</v>
      </c>
      <c r="C1103" t="s">
        <v>74</v>
      </c>
      <c r="D1103" t="s">
        <v>74</v>
      </c>
      <c r="E1103" t="s">
        <v>74</v>
      </c>
      <c r="F1103" t="s">
        <v>3740</v>
      </c>
      <c r="G1103" t="s">
        <v>74</v>
      </c>
      <c r="H1103" t="s">
        <v>74</v>
      </c>
      <c r="I1103" t="s">
        <v>3741</v>
      </c>
      <c r="J1103" t="s">
        <v>77</v>
      </c>
      <c r="K1103" t="s">
        <v>74</v>
      </c>
      <c r="L1103" t="s">
        <v>74</v>
      </c>
      <c r="M1103" t="s">
        <v>74</v>
      </c>
      <c r="N1103" t="s">
        <v>74</v>
      </c>
      <c r="O1103" t="s">
        <v>74</v>
      </c>
      <c r="P1103" t="s">
        <v>74</v>
      </c>
      <c r="Q1103" t="s">
        <v>74</v>
      </c>
      <c r="R1103" t="s">
        <v>74</v>
      </c>
      <c r="S1103" t="s">
        <v>74</v>
      </c>
      <c r="T1103" t="s">
        <v>74</v>
      </c>
      <c r="U1103" t="s">
        <v>74</v>
      </c>
      <c r="V1103" s="3" t="s">
        <v>3742</v>
      </c>
      <c r="W1103" t="s">
        <v>74</v>
      </c>
      <c r="X1103" t="s">
        <v>74</v>
      </c>
      <c r="Y1103" t="s">
        <v>74</v>
      </c>
      <c r="Z1103" t="s">
        <v>74</v>
      </c>
      <c r="AA1103" t="s">
        <v>74</v>
      </c>
      <c r="AB1103" t="s">
        <v>74</v>
      </c>
      <c r="AC1103" t="s">
        <v>74</v>
      </c>
      <c r="AD1103" t="s">
        <v>74</v>
      </c>
      <c r="AE1103" t="s">
        <v>74</v>
      </c>
      <c r="AF1103" t="s">
        <v>74</v>
      </c>
      <c r="AG1103" t="s">
        <v>74</v>
      </c>
      <c r="AH1103" t="s">
        <v>74</v>
      </c>
      <c r="AI1103" t="s">
        <v>74</v>
      </c>
      <c r="AJ1103" t="s">
        <v>74</v>
      </c>
      <c r="AK1103" t="s">
        <v>74</v>
      </c>
      <c r="AL1103" t="s">
        <v>74</v>
      </c>
      <c r="AM1103" t="s">
        <v>74</v>
      </c>
      <c r="AN1103" t="s">
        <v>74</v>
      </c>
      <c r="AO1103" t="s">
        <v>81</v>
      </c>
      <c r="AP1103" t="s">
        <v>82</v>
      </c>
      <c r="AQ1103" t="s">
        <v>74</v>
      </c>
      <c r="AR1103" t="s">
        <v>74</v>
      </c>
      <c r="AS1103" t="s">
        <v>74</v>
      </c>
      <c r="AT1103" t="s">
        <v>305</v>
      </c>
      <c r="AU1103">
        <v>1989</v>
      </c>
      <c r="AV1103">
        <v>111</v>
      </c>
      <c r="AW1103" t="s">
        <v>74</v>
      </c>
      <c r="AX1103" t="s">
        <v>3743</v>
      </c>
      <c r="AY1103" t="s">
        <v>74</v>
      </c>
      <c r="AZ1103" t="s">
        <v>74</v>
      </c>
      <c r="BA1103" t="s">
        <v>74</v>
      </c>
      <c r="BB1103">
        <v>220</v>
      </c>
      <c r="BC1103">
        <v>233</v>
      </c>
      <c r="BD1103" t="s">
        <v>74</v>
      </c>
      <c r="BE1103" t="s">
        <v>3744</v>
      </c>
      <c r="BF1103" t="str">
        <f>HYPERLINK("http://dx.doi.org/10.1163/156853989X00673","http://dx.doi.org/10.1163/156853989X00673")</f>
        <v>http://dx.doi.org/10.1163/156853989X00673</v>
      </c>
      <c r="BG1103" t="s">
        <v>74</v>
      </c>
      <c r="BH1103" t="s">
        <v>74</v>
      </c>
      <c r="BI1103" t="s">
        <v>74</v>
      </c>
      <c r="BJ1103" t="s">
        <v>74</v>
      </c>
      <c r="BK1103" t="s">
        <v>74</v>
      </c>
      <c r="BL1103" t="s">
        <v>74</v>
      </c>
      <c r="BM1103" t="s">
        <v>74</v>
      </c>
      <c r="BN1103" t="s">
        <v>74</v>
      </c>
      <c r="BO1103" t="s">
        <v>74</v>
      </c>
      <c r="BP1103" t="s">
        <v>74</v>
      </c>
      <c r="BQ1103" t="s">
        <v>74</v>
      </c>
      <c r="BR1103" t="s">
        <v>74</v>
      </c>
      <c r="BS1103" t="s">
        <v>3745</v>
      </c>
      <c r="BT1103" t="str">
        <f>HYPERLINK("https%3A%2F%2Fwww.webofscience.com%2Fwos%2Fwoscc%2Ffull-record%2FWOS:A1989CT62800014","View Full Record in Web of Science")</f>
        <v>View Full Record in Web of Science</v>
      </c>
    </row>
    <row r="1104" spans="1:72" x14ac:dyDescent="0.4">
      <c r="A1104" t="s">
        <v>72</v>
      </c>
      <c r="B1104" t="s">
        <v>651</v>
      </c>
      <c r="C1104" t="s">
        <v>74</v>
      </c>
      <c r="D1104" t="s">
        <v>74</v>
      </c>
      <c r="E1104" t="s">
        <v>74</v>
      </c>
      <c r="F1104" t="s">
        <v>652</v>
      </c>
      <c r="G1104" t="s">
        <v>74</v>
      </c>
      <c r="H1104" t="s">
        <v>74</v>
      </c>
      <c r="I1104" t="s">
        <v>653</v>
      </c>
      <c r="J1104" t="s">
        <v>654</v>
      </c>
      <c r="K1104" t="s">
        <v>74</v>
      </c>
      <c r="L1104" t="s">
        <v>74</v>
      </c>
      <c r="M1104" t="s">
        <v>74</v>
      </c>
      <c r="N1104" t="s">
        <v>74</v>
      </c>
      <c r="O1104" t="s">
        <v>74</v>
      </c>
      <c r="P1104" t="s">
        <v>74</v>
      </c>
      <c r="Q1104" t="s">
        <v>74</v>
      </c>
      <c r="R1104" t="s">
        <v>74</v>
      </c>
      <c r="S1104" t="s">
        <v>74</v>
      </c>
      <c r="T1104" t="s">
        <v>74</v>
      </c>
      <c r="U1104" t="s">
        <v>74</v>
      </c>
      <c r="V1104" s="3" t="s">
        <v>655</v>
      </c>
      <c r="W1104" t="s">
        <v>74</v>
      </c>
      <c r="X1104" t="s">
        <v>74</v>
      </c>
      <c r="Y1104" t="s">
        <v>74</v>
      </c>
      <c r="Z1104" t="s">
        <v>74</v>
      </c>
      <c r="AA1104" t="s">
        <v>656</v>
      </c>
      <c r="AB1104" t="s">
        <v>657</v>
      </c>
      <c r="AC1104" t="s">
        <v>74</v>
      </c>
      <c r="AD1104" t="s">
        <v>74</v>
      </c>
      <c r="AE1104" t="s">
        <v>74</v>
      </c>
      <c r="AF1104" t="s">
        <v>74</v>
      </c>
      <c r="AG1104" t="s">
        <v>74</v>
      </c>
      <c r="AH1104" t="s">
        <v>74</v>
      </c>
      <c r="AI1104" t="s">
        <v>74</v>
      </c>
      <c r="AJ1104" t="s">
        <v>74</v>
      </c>
      <c r="AK1104" t="s">
        <v>74</v>
      </c>
      <c r="AL1104" t="s">
        <v>74</v>
      </c>
      <c r="AM1104" t="s">
        <v>74</v>
      </c>
      <c r="AN1104" t="s">
        <v>74</v>
      </c>
      <c r="AO1104" t="s">
        <v>658</v>
      </c>
      <c r="AP1104" t="s">
        <v>74</v>
      </c>
      <c r="AQ1104" t="s">
        <v>74</v>
      </c>
      <c r="AR1104" t="s">
        <v>74</v>
      </c>
      <c r="AS1104" t="s">
        <v>74</v>
      </c>
      <c r="AT1104" t="s">
        <v>305</v>
      </c>
      <c r="AU1104">
        <v>2023</v>
      </c>
      <c r="AV1104">
        <v>13</v>
      </c>
      <c r="AW1104">
        <v>12</v>
      </c>
      <c r="AX1104" t="s">
        <v>74</v>
      </c>
      <c r="AY1104" t="s">
        <v>74</v>
      </c>
      <c r="AZ1104" t="s">
        <v>74</v>
      </c>
      <c r="BA1104" t="s">
        <v>74</v>
      </c>
      <c r="BB1104" t="s">
        <v>74</v>
      </c>
      <c r="BC1104" t="s">
        <v>74</v>
      </c>
      <c r="BD1104" t="s">
        <v>659</v>
      </c>
      <c r="BE1104" t="s">
        <v>660</v>
      </c>
      <c r="BF1104" t="str">
        <f>HYPERLINK("http://dx.doi.org/10.1002/ece3.10735","http://dx.doi.org/10.1002/ece3.10735")</f>
        <v>http://dx.doi.org/10.1002/ece3.10735</v>
      </c>
      <c r="BG1104" t="s">
        <v>74</v>
      </c>
      <c r="BH1104" t="s">
        <v>74</v>
      </c>
      <c r="BI1104" t="s">
        <v>74</v>
      </c>
      <c r="BJ1104" t="s">
        <v>74</v>
      </c>
      <c r="BK1104" t="s">
        <v>74</v>
      </c>
      <c r="BL1104" t="s">
        <v>74</v>
      </c>
      <c r="BM1104" t="s">
        <v>74</v>
      </c>
      <c r="BN1104">
        <v>38077506</v>
      </c>
      <c r="BO1104" t="s">
        <v>74</v>
      </c>
      <c r="BP1104" t="s">
        <v>74</v>
      </c>
      <c r="BQ1104" t="s">
        <v>74</v>
      </c>
      <c r="BR1104" t="s">
        <v>74</v>
      </c>
      <c r="BS1104" t="s">
        <v>661</v>
      </c>
      <c r="BT1104" t="str">
        <f>HYPERLINK("https%3A%2F%2Fwww.webofscience.com%2Fwos%2Fwoscc%2Ffull-record%2FWOS:001114381400001","View Full Record in Web of Science")</f>
        <v>View Full Record in Web of Science</v>
      </c>
    </row>
    <row r="1105" spans="1:72" x14ac:dyDescent="0.4">
      <c r="A1105" t="s">
        <v>72</v>
      </c>
      <c r="B1105" t="s">
        <v>355</v>
      </c>
      <c r="C1105" t="s">
        <v>74</v>
      </c>
      <c r="D1105" t="s">
        <v>74</v>
      </c>
      <c r="E1105" t="s">
        <v>74</v>
      </c>
      <c r="F1105" t="s">
        <v>356</v>
      </c>
      <c r="G1105" t="s">
        <v>74</v>
      </c>
      <c r="H1105" t="s">
        <v>74</v>
      </c>
      <c r="I1105" t="s">
        <v>357</v>
      </c>
      <c r="J1105" t="s">
        <v>88</v>
      </c>
      <c r="K1105" t="s">
        <v>74</v>
      </c>
      <c r="L1105" t="s">
        <v>74</v>
      </c>
      <c r="M1105" t="s">
        <v>74</v>
      </c>
      <c r="N1105" t="s">
        <v>74</v>
      </c>
      <c r="O1105" t="s">
        <v>74</v>
      </c>
      <c r="P1105" t="s">
        <v>74</v>
      </c>
      <c r="Q1105" t="s">
        <v>74</v>
      </c>
      <c r="R1105" t="s">
        <v>74</v>
      </c>
      <c r="S1105" t="s">
        <v>74</v>
      </c>
      <c r="T1105" t="s">
        <v>74</v>
      </c>
      <c r="U1105" t="s">
        <v>74</v>
      </c>
      <c r="V1105" s="3" t="s">
        <v>358</v>
      </c>
      <c r="W1105" t="s">
        <v>74</v>
      </c>
      <c r="X1105" t="s">
        <v>74</v>
      </c>
      <c r="Y1105" t="s">
        <v>74</v>
      </c>
      <c r="Z1105" t="s">
        <v>74</v>
      </c>
      <c r="AA1105" t="s">
        <v>359</v>
      </c>
      <c r="AB1105" t="s">
        <v>360</v>
      </c>
      <c r="AC1105" t="s">
        <v>74</v>
      </c>
      <c r="AD1105" t="s">
        <v>74</v>
      </c>
      <c r="AE1105" t="s">
        <v>74</v>
      </c>
      <c r="AF1105" t="s">
        <v>74</v>
      </c>
      <c r="AG1105" t="s">
        <v>74</v>
      </c>
      <c r="AH1105" t="s">
        <v>74</v>
      </c>
      <c r="AI1105" t="s">
        <v>74</v>
      </c>
      <c r="AJ1105" t="s">
        <v>74</v>
      </c>
      <c r="AK1105" t="s">
        <v>74</v>
      </c>
      <c r="AL1105" t="s">
        <v>74</v>
      </c>
      <c r="AM1105" t="s">
        <v>74</v>
      </c>
      <c r="AN1105" t="s">
        <v>74</v>
      </c>
      <c r="AO1105" t="s">
        <v>91</v>
      </c>
      <c r="AP1105" t="s">
        <v>92</v>
      </c>
      <c r="AQ1105" t="s">
        <v>74</v>
      </c>
      <c r="AR1105" t="s">
        <v>74</v>
      </c>
      <c r="AS1105" t="s">
        <v>74</v>
      </c>
      <c r="AT1105" t="s">
        <v>361</v>
      </c>
      <c r="AU1105">
        <v>2015</v>
      </c>
      <c r="AV1105">
        <v>11</v>
      </c>
      <c r="AW1105">
        <v>5</v>
      </c>
      <c r="AX1105" t="s">
        <v>74</v>
      </c>
      <c r="AY1105" t="s">
        <v>74</v>
      </c>
      <c r="AZ1105" t="s">
        <v>74</v>
      </c>
      <c r="BA1105" t="s">
        <v>74</v>
      </c>
      <c r="BB1105" t="s">
        <v>74</v>
      </c>
      <c r="BC1105" t="s">
        <v>74</v>
      </c>
      <c r="BD1105">
        <v>20150166</v>
      </c>
      <c r="BE1105" t="s">
        <v>362</v>
      </c>
      <c r="BF1105" t="str">
        <f>HYPERLINK("http://dx.doi.org/10.1098/rsbl.2015.0166","http://dx.doi.org/10.1098/rsbl.2015.0166")</f>
        <v>http://dx.doi.org/10.1098/rsbl.2015.0166</v>
      </c>
      <c r="BG1105" t="s">
        <v>74</v>
      </c>
      <c r="BH1105" t="s">
        <v>74</v>
      </c>
      <c r="BI1105" t="s">
        <v>74</v>
      </c>
      <c r="BJ1105" t="s">
        <v>74</v>
      </c>
      <c r="BK1105" t="s">
        <v>74</v>
      </c>
      <c r="BL1105" t="s">
        <v>74</v>
      </c>
      <c r="BM1105" t="s">
        <v>74</v>
      </c>
      <c r="BN1105">
        <v>25972401</v>
      </c>
      <c r="BO1105" t="s">
        <v>74</v>
      </c>
      <c r="BP1105" t="s">
        <v>74</v>
      </c>
      <c r="BQ1105" t="s">
        <v>74</v>
      </c>
      <c r="BR1105" t="s">
        <v>74</v>
      </c>
      <c r="BS1105" t="s">
        <v>363</v>
      </c>
      <c r="BT1105" t="str">
        <f>HYPERLINK("https%3A%2F%2Fwww.webofscience.com%2Fwos%2Fwoscc%2Ffull-record%2FWOS:000357684200014","View Full Record in Web of Science")</f>
        <v>View Full Record in Web of Science</v>
      </c>
    </row>
    <row r="1106" spans="1:72" x14ac:dyDescent="0.4">
      <c r="A1106" t="s">
        <v>72</v>
      </c>
      <c r="B1106" t="s">
        <v>6049</v>
      </c>
      <c r="C1106" t="s">
        <v>74</v>
      </c>
      <c r="D1106" t="s">
        <v>74</v>
      </c>
      <c r="E1106" t="s">
        <v>74</v>
      </c>
      <c r="F1106" t="s">
        <v>6049</v>
      </c>
      <c r="G1106" t="s">
        <v>74</v>
      </c>
      <c r="H1106" t="s">
        <v>74</v>
      </c>
      <c r="I1106" t="s">
        <v>6050</v>
      </c>
      <c r="J1106" t="s">
        <v>171</v>
      </c>
      <c r="K1106" t="s">
        <v>74</v>
      </c>
      <c r="L1106" t="s">
        <v>74</v>
      </c>
      <c r="M1106" t="s">
        <v>74</v>
      </c>
      <c r="N1106" t="s">
        <v>74</v>
      </c>
      <c r="O1106" t="s">
        <v>74</v>
      </c>
      <c r="P1106" t="s">
        <v>74</v>
      </c>
      <c r="Q1106" t="s">
        <v>74</v>
      </c>
      <c r="R1106" t="s">
        <v>74</v>
      </c>
      <c r="S1106" t="s">
        <v>74</v>
      </c>
      <c r="T1106" t="s">
        <v>74</v>
      </c>
      <c r="U1106" t="s">
        <v>74</v>
      </c>
      <c r="V1106" s="3" t="s">
        <v>6051</v>
      </c>
      <c r="W1106" t="s">
        <v>74</v>
      </c>
      <c r="X1106" t="s">
        <v>74</v>
      </c>
      <c r="Y1106" t="s">
        <v>74</v>
      </c>
      <c r="Z1106" t="s">
        <v>74</v>
      </c>
      <c r="AA1106" t="s">
        <v>74</v>
      </c>
      <c r="AB1106" t="s">
        <v>6052</v>
      </c>
      <c r="AC1106" t="s">
        <v>74</v>
      </c>
      <c r="AD1106" t="s">
        <v>74</v>
      </c>
      <c r="AE1106" t="s">
        <v>74</v>
      </c>
      <c r="AF1106" t="s">
        <v>74</v>
      </c>
      <c r="AG1106" t="s">
        <v>74</v>
      </c>
      <c r="AH1106" t="s">
        <v>74</v>
      </c>
      <c r="AI1106" t="s">
        <v>74</v>
      </c>
      <c r="AJ1106" t="s">
        <v>74</v>
      </c>
      <c r="AK1106" t="s">
        <v>74</v>
      </c>
      <c r="AL1106" t="s">
        <v>74</v>
      </c>
      <c r="AM1106" t="s">
        <v>74</v>
      </c>
      <c r="AN1106" t="s">
        <v>74</v>
      </c>
      <c r="AO1106" t="s">
        <v>173</v>
      </c>
      <c r="AP1106" t="s">
        <v>174</v>
      </c>
      <c r="AQ1106" t="s">
        <v>74</v>
      </c>
      <c r="AR1106" t="s">
        <v>74</v>
      </c>
      <c r="AS1106" t="s">
        <v>74</v>
      </c>
      <c r="AT1106" t="s">
        <v>305</v>
      </c>
      <c r="AU1106">
        <v>1999</v>
      </c>
      <c r="AV1106">
        <v>53</v>
      </c>
      <c r="AW1106">
        <v>6</v>
      </c>
      <c r="AX1106" t="s">
        <v>74</v>
      </c>
      <c r="AY1106" t="s">
        <v>74</v>
      </c>
      <c r="AZ1106" t="s">
        <v>74</v>
      </c>
      <c r="BA1106" t="s">
        <v>74</v>
      </c>
      <c r="BB1106">
        <v>1884</v>
      </c>
      <c r="BC1106">
        <v>1897</v>
      </c>
      <c r="BD1106" t="s">
        <v>74</v>
      </c>
      <c r="BE1106" t="s">
        <v>6053</v>
      </c>
      <c r="BF1106" t="str">
        <f>HYPERLINK("http://dx.doi.org/10.2307/2640448","http://dx.doi.org/10.2307/2640448")</f>
        <v>http://dx.doi.org/10.2307/2640448</v>
      </c>
      <c r="BG1106" t="s">
        <v>74</v>
      </c>
      <c r="BH1106" t="s">
        <v>74</v>
      </c>
      <c r="BI1106" t="s">
        <v>74</v>
      </c>
      <c r="BJ1106" t="s">
        <v>74</v>
      </c>
      <c r="BK1106" t="s">
        <v>74</v>
      </c>
      <c r="BL1106" t="s">
        <v>74</v>
      </c>
      <c r="BM1106" t="s">
        <v>74</v>
      </c>
      <c r="BN1106">
        <v>28565467</v>
      </c>
      <c r="BO1106" t="s">
        <v>74</v>
      </c>
      <c r="BP1106" t="s">
        <v>74</v>
      </c>
      <c r="BQ1106" t="s">
        <v>74</v>
      </c>
      <c r="BR1106" t="s">
        <v>74</v>
      </c>
      <c r="BS1106" t="s">
        <v>6054</v>
      </c>
      <c r="BT1106" t="str">
        <f>HYPERLINK("https%3A%2F%2Fwww.webofscience.com%2Fwos%2Fwoscc%2Ffull-record%2FWOS:000084703100021","View Full Record in Web of Science")</f>
        <v>View Full Record in Web of Science</v>
      </c>
    </row>
    <row r="1107" spans="1:72" x14ac:dyDescent="0.4">
      <c r="A1107" t="s">
        <v>72</v>
      </c>
      <c r="B1107" t="s">
        <v>4733</v>
      </c>
      <c r="C1107" t="s">
        <v>74</v>
      </c>
      <c r="D1107" t="s">
        <v>74</v>
      </c>
      <c r="E1107" t="s">
        <v>74</v>
      </c>
      <c r="F1107" t="s">
        <v>4734</v>
      </c>
      <c r="G1107" t="s">
        <v>74</v>
      </c>
      <c r="H1107" t="s">
        <v>74</v>
      </c>
      <c r="I1107" t="s">
        <v>4735</v>
      </c>
      <c r="J1107" t="s">
        <v>77</v>
      </c>
      <c r="K1107" t="s">
        <v>74</v>
      </c>
      <c r="L1107" t="s">
        <v>74</v>
      </c>
      <c r="M1107" t="s">
        <v>74</v>
      </c>
      <c r="N1107" t="s">
        <v>74</v>
      </c>
      <c r="O1107" t="s">
        <v>74</v>
      </c>
      <c r="P1107" t="s">
        <v>74</v>
      </c>
      <c r="Q1107" t="s">
        <v>74</v>
      </c>
      <c r="R1107" t="s">
        <v>74</v>
      </c>
      <c r="S1107" t="s">
        <v>74</v>
      </c>
      <c r="T1107" t="s">
        <v>74</v>
      </c>
      <c r="U1107" t="s">
        <v>74</v>
      </c>
      <c r="V1107" s="3" t="s">
        <v>4736</v>
      </c>
      <c r="W1107" t="s">
        <v>74</v>
      </c>
      <c r="X1107" t="s">
        <v>74</v>
      </c>
      <c r="Y1107" t="s">
        <v>74</v>
      </c>
      <c r="Z1107" t="s">
        <v>74</v>
      </c>
      <c r="AA1107" t="s">
        <v>4737</v>
      </c>
      <c r="AB1107" t="s">
        <v>74</v>
      </c>
      <c r="AC1107" t="s">
        <v>74</v>
      </c>
      <c r="AD1107" t="s">
        <v>74</v>
      </c>
      <c r="AE1107" t="s">
        <v>74</v>
      </c>
      <c r="AF1107" t="s">
        <v>74</v>
      </c>
      <c r="AG1107" t="s">
        <v>74</v>
      </c>
      <c r="AH1107" t="s">
        <v>74</v>
      </c>
      <c r="AI1107" t="s">
        <v>74</v>
      </c>
      <c r="AJ1107" t="s">
        <v>74</v>
      </c>
      <c r="AK1107" t="s">
        <v>74</v>
      </c>
      <c r="AL1107" t="s">
        <v>74</v>
      </c>
      <c r="AM1107" t="s">
        <v>74</v>
      </c>
      <c r="AN1107" t="s">
        <v>74</v>
      </c>
      <c r="AO1107" t="s">
        <v>81</v>
      </c>
      <c r="AP1107" t="s">
        <v>82</v>
      </c>
      <c r="AQ1107" t="s">
        <v>74</v>
      </c>
      <c r="AR1107" t="s">
        <v>74</v>
      </c>
      <c r="AS1107" t="s">
        <v>74</v>
      </c>
      <c r="AT1107" t="s">
        <v>74</v>
      </c>
      <c r="AU1107">
        <v>2015</v>
      </c>
      <c r="AV1107">
        <v>152</v>
      </c>
      <c r="AW1107">
        <v>5</v>
      </c>
      <c r="AX1107" t="s">
        <v>74</v>
      </c>
      <c r="AY1107" t="s">
        <v>74</v>
      </c>
      <c r="AZ1107" t="s">
        <v>74</v>
      </c>
      <c r="BA1107" t="s">
        <v>74</v>
      </c>
      <c r="BB1107">
        <v>563</v>
      </c>
      <c r="BC1107">
        <v>591</v>
      </c>
      <c r="BD1107" t="s">
        <v>74</v>
      </c>
      <c r="BE1107" t="s">
        <v>4738</v>
      </c>
      <c r="BF1107" t="str">
        <f>HYPERLINK("http://dx.doi.org/10.1163/1568539X-00003243","http://dx.doi.org/10.1163/1568539X-00003243")</f>
        <v>http://dx.doi.org/10.1163/1568539X-00003243</v>
      </c>
      <c r="BG1107" t="s">
        <v>74</v>
      </c>
      <c r="BH1107" t="s">
        <v>74</v>
      </c>
      <c r="BI1107" t="s">
        <v>74</v>
      </c>
      <c r="BJ1107" t="s">
        <v>74</v>
      </c>
      <c r="BK1107" t="s">
        <v>74</v>
      </c>
      <c r="BL1107" t="s">
        <v>74</v>
      </c>
      <c r="BM1107" t="s">
        <v>74</v>
      </c>
      <c r="BN1107" t="s">
        <v>74</v>
      </c>
      <c r="BO1107" t="s">
        <v>74</v>
      </c>
      <c r="BP1107" t="s">
        <v>74</v>
      </c>
      <c r="BQ1107" t="s">
        <v>74</v>
      </c>
      <c r="BR1107" t="s">
        <v>74</v>
      </c>
      <c r="BS1107" t="s">
        <v>4739</v>
      </c>
      <c r="BT1107" t="str">
        <f>HYPERLINK("https%3A%2F%2Fwww.webofscience.com%2Fwos%2Fwoscc%2Ffull-record%2FWOS:000351364600001","View Full Record in Web of Science")</f>
        <v>View Full Record in Web of Science</v>
      </c>
    </row>
    <row r="1108" spans="1:72" x14ac:dyDescent="0.4">
      <c r="A1108" t="s">
        <v>72</v>
      </c>
      <c r="B1108" t="s">
        <v>6864</v>
      </c>
      <c r="C1108" t="s">
        <v>74</v>
      </c>
      <c r="D1108" t="s">
        <v>74</v>
      </c>
      <c r="E1108" t="s">
        <v>74</v>
      </c>
      <c r="F1108" t="s">
        <v>6865</v>
      </c>
      <c r="G1108" t="s">
        <v>74</v>
      </c>
      <c r="H1108" t="s">
        <v>74</v>
      </c>
      <c r="I1108" t="s">
        <v>6866</v>
      </c>
      <c r="J1108" t="s">
        <v>6867</v>
      </c>
      <c r="K1108" t="s">
        <v>74</v>
      </c>
      <c r="L1108" t="s">
        <v>74</v>
      </c>
      <c r="M1108" t="s">
        <v>74</v>
      </c>
      <c r="N1108" t="s">
        <v>74</v>
      </c>
      <c r="O1108" t="s">
        <v>74</v>
      </c>
      <c r="P1108" t="s">
        <v>74</v>
      </c>
      <c r="Q1108" t="s">
        <v>74</v>
      </c>
      <c r="R1108" t="s">
        <v>74</v>
      </c>
      <c r="S1108" t="s">
        <v>74</v>
      </c>
      <c r="T1108" t="s">
        <v>74</v>
      </c>
      <c r="U1108" t="s">
        <v>74</v>
      </c>
      <c r="V1108" s="3" t="s">
        <v>6868</v>
      </c>
      <c r="W1108" t="s">
        <v>74</v>
      </c>
      <c r="X1108" t="s">
        <v>74</v>
      </c>
      <c r="Y1108" t="s">
        <v>74</v>
      </c>
      <c r="Z1108" t="s">
        <v>74</v>
      </c>
      <c r="AA1108" t="s">
        <v>6869</v>
      </c>
      <c r="AB1108" t="s">
        <v>6870</v>
      </c>
      <c r="AC1108" t="s">
        <v>74</v>
      </c>
      <c r="AD1108" t="s">
        <v>74</v>
      </c>
      <c r="AE1108" t="s">
        <v>74</v>
      </c>
      <c r="AF1108" t="s">
        <v>74</v>
      </c>
      <c r="AG1108" t="s">
        <v>74</v>
      </c>
      <c r="AH1108" t="s">
        <v>74</v>
      </c>
      <c r="AI1108" t="s">
        <v>74</v>
      </c>
      <c r="AJ1108" t="s">
        <v>74</v>
      </c>
      <c r="AK1108" t="s">
        <v>74</v>
      </c>
      <c r="AL1108" t="s">
        <v>74</v>
      </c>
      <c r="AM1108" t="s">
        <v>74</v>
      </c>
      <c r="AN1108" t="s">
        <v>74</v>
      </c>
      <c r="AO1108" t="s">
        <v>6871</v>
      </c>
      <c r="AP1108" t="s">
        <v>6872</v>
      </c>
      <c r="AQ1108" t="s">
        <v>74</v>
      </c>
      <c r="AR1108" t="s">
        <v>74</v>
      </c>
      <c r="AS1108" t="s">
        <v>74</v>
      </c>
      <c r="AT1108" t="s">
        <v>175</v>
      </c>
      <c r="AU1108">
        <v>2020</v>
      </c>
      <c r="AV1108">
        <v>53</v>
      </c>
      <c r="AW1108" t="s">
        <v>74</v>
      </c>
      <c r="AX1108" t="s">
        <v>74</v>
      </c>
      <c r="AY1108" t="s">
        <v>74</v>
      </c>
      <c r="AZ1108" t="s">
        <v>74</v>
      </c>
      <c r="BA1108" t="s">
        <v>74</v>
      </c>
      <c r="BB1108" t="s">
        <v>74</v>
      </c>
      <c r="BC1108" t="s">
        <v>74</v>
      </c>
      <c r="BD1108">
        <v>100753</v>
      </c>
      <c r="BE1108" t="s">
        <v>6873</v>
      </c>
      <c r="BF1108" t="str">
        <f>HYPERLINK("http://dx.doi.org/10.1016/j.margen.2020.100753","http://dx.doi.org/10.1016/j.margen.2020.100753")</f>
        <v>http://dx.doi.org/10.1016/j.margen.2020.100753</v>
      </c>
      <c r="BG1108" t="s">
        <v>74</v>
      </c>
      <c r="BH1108" t="s">
        <v>74</v>
      </c>
      <c r="BI1108" t="s">
        <v>74</v>
      </c>
      <c r="BJ1108" t="s">
        <v>74</v>
      </c>
      <c r="BK1108" t="s">
        <v>74</v>
      </c>
      <c r="BL1108" t="s">
        <v>74</v>
      </c>
      <c r="BM1108" t="s">
        <v>74</v>
      </c>
      <c r="BN1108">
        <v>32057717</v>
      </c>
      <c r="BO1108" t="s">
        <v>74</v>
      </c>
      <c r="BP1108" t="s">
        <v>74</v>
      </c>
      <c r="BQ1108" t="s">
        <v>74</v>
      </c>
      <c r="BR1108" t="s">
        <v>74</v>
      </c>
      <c r="BS1108" t="s">
        <v>6874</v>
      </c>
      <c r="BT1108" t="str">
        <f>HYPERLINK("https%3A%2F%2Fwww.webofscience.com%2Fwos%2Fwoscc%2Ffull-record%2FWOS:000567844300003","View Full Record in Web of Science")</f>
        <v>View Full Record in Web of Science</v>
      </c>
    </row>
    <row r="1109" spans="1:72" x14ac:dyDescent="0.4">
      <c r="A1109" t="s">
        <v>72</v>
      </c>
      <c r="B1109" t="s">
        <v>800</v>
      </c>
      <c r="C1109" t="s">
        <v>74</v>
      </c>
      <c r="D1109" t="s">
        <v>74</v>
      </c>
      <c r="E1109" t="s">
        <v>74</v>
      </c>
      <c r="F1109" t="s">
        <v>801</v>
      </c>
      <c r="G1109" t="s">
        <v>74</v>
      </c>
      <c r="H1109" t="s">
        <v>74</v>
      </c>
      <c r="I1109" t="s">
        <v>802</v>
      </c>
      <c r="J1109" t="s">
        <v>803</v>
      </c>
      <c r="K1109" t="s">
        <v>74</v>
      </c>
      <c r="L1109" t="s">
        <v>74</v>
      </c>
      <c r="M1109" t="s">
        <v>74</v>
      </c>
      <c r="N1109" t="s">
        <v>74</v>
      </c>
      <c r="O1109" t="s">
        <v>74</v>
      </c>
      <c r="P1109" t="s">
        <v>74</v>
      </c>
      <c r="Q1109" t="s">
        <v>74</v>
      </c>
      <c r="R1109" t="s">
        <v>74</v>
      </c>
      <c r="S1109" t="s">
        <v>74</v>
      </c>
      <c r="T1109" t="s">
        <v>74</v>
      </c>
      <c r="U1109" t="s">
        <v>74</v>
      </c>
      <c r="V1109" s="3" t="s">
        <v>804</v>
      </c>
      <c r="W1109" t="s">
        <v>74</v>
      </c>
      <c r="X1109" t="s">
        <v>74</v>
      </c>
      <c r="Y1109" t="s">
        <v>74</v>
      </c>
      <c r="Z1109" t="s">
        <v>74</v>
      </c>
      <c r="AA1109" t="s">
        <v>805</v>
      </c>
      <c r="AB1109" t="s">
        <v>74</v>
      </c>
      <c r="AC1109" t="s">
        <v>74</v>
      </c>
      <c r="AD1109" t="s">
        <v>74</v>
      </c>
      <c r="AE1109" t="s">
        <v>74</v>
      </c>
      <c r="AF1109" t="s">
        <v>74</v>
      </c>
      <c r="AG1109" t="s">
        <v>74</v>
      </c>
      <c r="AH1109" t="s">
        <v>74</v>
      </c>
      <c r="AI1109" t="s">
        <v>74</v>
      </c>
      <c r="AJ1109" t="s">
        <v>74</v>
      </c>
      <c r="AK1109" t="s">
        <v>74</v>
      </c>
      <c r="AL1109" t="s">
        <v>74</v>
      </c>
      <c r="AM1109" t="s">
        <v>74</v>
      </c>
      <c r="AN1109" t="s">
        <v>74</v>
      </c>
      <c r="AO1109" t="s">
        <v>806</v>
      </c>
      <c r="AP1109" t="s">
        <v>807</v>
      </c>
      <c r="AQ1109" t="s">
        <v>74</v>
      </c>
      <c r="AR1109" t="s">
        <v>74</v>
      </c>
      <c r="AS1109" t="s">
        <v>74</v>
      </c>
      <c r="AT1109" t="s">
        <v>808</v>
      </c>
      <c r="AU1109">
        <v>2016</v>
      </c>
      <c r="AV1109">
        <v>13</v>
      </c>
      <c r="AW1109" t="s">
        <v>74</v>
      </c>
      <c r="AX1109" t="s">
        <v>74</v>
      </c>
      <c r="AY1109" t="s">
        <v>74</v>
      </c>
      <c r="AZ1109" t="s">
        <v>74</v>
      </c>
      <c r="BA1109" t="s">
        <v>74</v>
      </c>
      <c r="BB1109">
        <v>80</v>
      </c>
      <c r="BC1109">
        <v>87</v>
      </c>
      <c r="BD1109" t="s">
        <v>74</v>
      </c>
      <c r="BE1109" t="s">
        <v>809</v>
      </c>
      <c r="BF1109" t="str">
        <f>HYPERLINK("http://dx.doi.org/10.1016/j.jveb.2016.03.009","http://dx.doi.org/10.1016/j.jveb.2016.03.009")</f>
        <v>http://dx.doi.org/10.1016/j.jveb.2016.03.009</v>
      </c>
      <c r="BG1109" t="s">
        <v>74</v>
      </c>
      <c r="BH1109" t="s">
        <v>74</v>
      </c>
      <c r="BI1109" t="s">
        <v>74</v>
      </c>
      <c r="BJ1109" t="s">
        <v>74</v>
      </c>
      <c r="BK1109" t="s">
        <v>74</v>
      </c>
      <c r="BL1109" t="s">
        <v>74</v>
      </c>
      <c r="BM1109" t="s">
        <v>74</v>
      </c>
      <c r="BN1109" t="s">
        <v>74</v>
      </c>
      <c r="BO1109" t="s">
        <v>74</v>
      </c>
      <c r="BP1109" t="s">
        <v>74</v>
      </c>
      <c r="BQ1109" t="s">
        <v>74</v>
      </c>
      <c r="BR1109" t="s">
        <v>74</v>
      </c>
      <c r="BS1109" t="s">
        <v>810</v>
      </c>
      <c r="BT1109" t="str">
        <f>HYPERLINK("https%3A%2F%2Fwww.webofscience.com%2Fwos%2Fwoscc%2Ffull-record%2FWOS:000378094700013","View Full Record in Web of Science")</f>
        <v>View Full Record in Web of Science</v>
      </c>
    </row>
    <row r="1110" spans="1:72" x14ac:dyDescent="0.4">
      <c r="A1110" t="s">
        <v>72</v>
      </c>
      <c r="B1110" t="s">
        <v>6187</v>
      </c>
      <c r="C1110" t="s">
        <v>74</v>
      </c>
      <c r="D1110" t="s">
        <v>74</v>
      </c>
      <c r="E1110" t="s">
        <v>74</v>
      </c>
      <c r="F1110" t="s">
        <v>6188</v>
      </c>
      <c r="G1110" t="s">
        <v>74</v>
      </c>
      <c r="H1110" t="s">
        <v>74</v>
      </c>
      <c r="I1110" t="s">
        <v>6189</v>
      </c>
      <c r="J1110" t="s">
        <v>6190</v>
      </c>
      <c r="K1110" t="s">
        <v>74</v>
      </c>
      <c r="L1110" t="s">
        <v>74</v>
      </c>
      <c r="M1110" t="s">
        <v>74</v>
      </c>
      <c r="N1110" t="s">
        <v>74</v>
      </c>
      <c r="O1110" t="s">
        <v>74</v>
      </c>
      <c r="P1110" t="s">
        <v>74</v>
      </c>
      <c r="Q1110" t="s">
        <v>74</v>
      </c>
      <c r="R1110" t="s">
        <v>74</v>
      </c>
      <c r="S1110" t="s">
        <v>74</v>
      </c>
      <c r="T1110" t="s">
        <v>74</v>
      </c>
      <c r="U1110" t="s">
        <v>74</v>
      </c>
      <c r="V1110" s="3" t="s">
        <v>6191</v>
      </c>
      <c r="W1110" t="s">
        <v>74</v>
      </c>
      <c r="X1110" t="s">
        <v>74</v>
      </c>
      <c r="Y1110" t="s">
        <v>74</v>
      </c>
      <c r="Z1110" t="s">
        <v>74</v>
      </c>
      <c r="AA1110" t="s">
        <v>6192</v>
      </c>
      <c r="AB1110" t="s">
        <v>6193</v>
      </c>
      <c r="AC1110" t="s">
        <v>74</v>
      </c>
      <c r="AD1110" t="s">
        <v>74</v>
      </c>
      <c r="AE1110" t="s">
        <v>74</v>
      </c>
      <c r="AF1110" t="s">
        <v>74</v>
      </c>
      <c r="AG1110" t="s">
        <v>74</v>
      </c>
      <c r="AH1110" t="s">
        <v>74</v>
      </c>
      <c r="AI1110" t="s">
        <v>74</v>
      </c>
      <c r="AJ1110" t="s">
        <v>74</v>
      </c>
      <c r="AK1110" t="s">
        <v>74</v>
      </c>
      <c r="AL1110" t="s">
        <v>74</v>
      </c>
      <c r="AM1110" t="s">
        <v>74</v>
      </c>
      <c r="AN1110" t="s">
        <v>74</v>
      </c>
      <c r="AO1110" t="s">
        <v>6194</v>
      </c>
      <c r="AP1110" t="s">
        <v>6195</v>
      </c>
      <c r="AQ1110" t="s">
        <v>74</v>
      </c>
      <c r="AR1110" t="s">
        <v>74</v>
      </c>
      <c r="AS1110" t="s">
        <v>74</v>
      </c>
      <c r="AT1110" t="s">
        <v>134</v>
      </c>
      <c r="AU1110">
        <v>2022</v>
      </c>
      <c r="AV1110">
        <v>61</v>
      </c>
      <c r="AW1110">
        <v>2</v>
      </c>
      <c r="AX1110" t="s">
        <v>74</v>
      </c>
      <c r="AY1110" t="s">
        <v>74</v>
      </c>
      <c r="AZ1110" t="s">
        <v>74</v>
      </c>
      <c r="BA1110" t="s">
        <v>74</v>
      </c>
      <c r="BB1110">
        <v>137</v>
      </c>
      <c r="BC1110">
        <v>155</v>
      </c>
      <c r="BD1110" t="s">
        <v>74</v>
      </c>
      <c r="BE1110" t="s">
        <v>6196</v>
      </c>
      <c r="BF1110" t="str">
        <f>HYPERLINK("http://dx.doi.org/10.1111/aen.12596","http://dx.doi.org/10.1111/aen.12596")</f>
        <v>http://dx.doi.org/10.1111/aen.12596</v>
      </c>
      <c r="BG1110" t="s">
        <v>74</v>
      </c>
      <c r="BH1110" t="s">
        <v>74</v>
      </c>
      <c r="BI1110" t="s">
        <v>74</v>
      </c>
      <c r="BJ1110" t="s">
        <v>74</v>
      </c>
      <c r="BK1110" t="s">
        <v>74</v>
      </c>
      <c r="BL1110" t="s">
        <v>74</v>
      </c>
      <c r="BM1110" t="s">
        <v>74</v>
      </c>
      <c r="BN1110" t="s">
        <v>74</v>
      </c>
      <c r="BO1110" t="s">
        <v>74</v>
      </c>
      <c r="BP1110" t="s">
        <v>74</v>
      </c>
      <c r="BQ1110" t="s">
        <v>74</v>
      </c>
      <c r="BR1110" t="s">
        <v>74</v>
      </c>
      <c r="BS1110" t="s">
        <v>6197</v>
      </c>
      <c r="BT1110" t="str">
        <f>HYPERLINK("https%3A%2F%2Fwww.webofscience.com%2Fwos%2Fwoscc%2Ffull-record%2FWOS:000805597200003","View Full Record in Web of Science")</f>
        <v>View Full Record in Web of Science</v>
      </c>
    </row>
    <row r="1111" spans="1:72" x14ac:dyDescent="0.4">
      <c r="A1111" t="s">
        <v>72</v>
      </c>
      <c r="B1111" t="s">
        <v>1461</v>
      </c>
      <c r="C1111" t="s">
        <v>74</v>
      </c>
      <c r="D1111" t="s">
        <v>74</v>
      </c>
      <c r="E1111" t="s">
        <v>74</v>
      </c>
      <c r="F1111" t="s">
        <v>1462</v>
      </c>
      <c r="G1111" t="s">
        <v>74</v>
      </c>
      <c r="H1111" t="s">
        <v>74</v>
      </c>
      <c r="I1111" t="s">
        <v>1463</v>
      </c>
      <c r="J1111" t="s">
        <v>140</v>
      </c>
      <c r="K1111" t="s">
        <v>74</v>
      </c>
      <c r="L1111" t="s">
        <v>74</v>
      </c>
      <c r="M1111" t="s">
        <v>74</v>
      </c>
      <c r="N1111" t="s">
        <v>74</v>
      </c>
      <c r="O1111" t="s">
        <v>74</v>
      </c>
      <c r="P1111" t="s">
        <v>74</v>
      </c>
      <c r="Q1111" t="s">
        <v>74</v>
      </c>
      <c r="R1111" t="s">
        <v>74</v>
      </c>
      <c r="S1111" t="s">
        <v>74</v>
      </c>
      <c r="T1111" t="s">
        <v>74</v>
      </c>
      <c r="U1111" t="s">
        <v>74</v>
      </c>
      <c r="V1111" s="3" t="s">
        <v>1464</v>
      </c>
      <c r="W1111" t="s">
        <v>74</v>
      </c>
      <c r="X1111" t="s">
        <v>74</v>
      </c>
      <c r="Y1111" t="s">
        <v>74</v>
      </c>
      <c r="Z1111" t="s">
        <v>74</v>
      </c>
      <c r="AA1111" t="s">
        <v>1465</v>
      </c>
      <c r="AB1111" t="s">
        <v>1466</v>
      </c>
      <c r="AC1111" t="s">
        <v>74</v>
      </c>
      <c r="AD1111" t="s">
        <v>74</v>
      </c>
      <c r="AE1111" t="s">
        <v>74</v>
      </c>
      <c r="AF1111" t="s">
        <v>74</v>
      </c>
      <c r="AG1111" t="s">
        <v>74</v>
      </c>
      <c r="AH1111" t="s">
        <v>74</v>
      </c>
      <c r="AI1111" t="s">
        <v>74</v>
      </c>
      <c r="AJ1111" t="s">
        <v>74</v>
      </c>
      <c r="AK1111" t="s">
        <v>74</v>
      </c>
      <c r="AL1111" t="s">
        <v>74</v>
      </c>
      <c r="AM1111" t="s">
        <v>74</v>
      </c>
      <c r="AN1111" t="s">
        <v>74</v>
      </c>
      <c r="AO1111" t="s">
        <v>143</v>
      </c>
      <c r="AP1111" t="s">
        <v>144</v>
      </c>
      <c r="AQ1111" t="s">
        <v>74</v>
      </c>
      <c r="AR1111" t="s">
        <v>74</v>
      </c>
      <c r="AS1111" t="s">
        <v>74</v>
      </c>
      <c r="AT1111" t="s">
        <v>204</v>
      </c>
      <c r="AU1111">
        <v>2012</v>
      </c>
      <c r="AV1111">
        <v>84</v>
      </c>
      <c r="AW1111">
        <v>1</v>
      </c>
      <c r="AX1111" t="s">
        <v>74</v>
      </c>
      <c r="AY1111" t="s">
        <v>74</v>
      </c>
      <c r="AZ1111" t="s">
        <v>74</v>
      </c>
      <c r="BA1111" t="s">
        <v>74</v>
      </c>
      <c r="BB1111">
        <v>159</v>
      </c>
      <c r="BC1111">
        <v>165</v>
      </c>
      <c r="BD1111" t="s">
        <v>74</v>
      </c>
      <c r="BE1111" t="s">
        <v>1467</v>
      </c>
      <c r="BF1111" t="str">
        <f>HYPERLINK("http://dx.doi.org/10.1016/j.anbehav.2012.04.025","http://dx.doi.org/10.1016/j.anbehav.2012.04.025")</f>
        <v>http://dx.doi.org/10.1016/j.anbehav.2012.04.025</v>
      </c>
      <c r="BG1111" t="s">
        <v>74</v>
      </c>
      <c r="BH1111" t="s">
        <v>74</v>
      </c>
      <c r="BI1111" t="s">
        <v>74</v>
      </c>
      <c r="BJ1111" t="s">
        <v>74</v>
      </c>
      <c r="BK1111" t="s">
        <v>74</v>
      </c>
      <c r="BL1111" t="s">
        <v>74</v>
      </c>
      <c r="BM1111" t="s">
        <v>74</v>
      </c>
      <c r="BN1111" t="s">
        <v>74</v>
      </c>
      <c r="BO1111" t="s">
        <v>74</v>
      </c>
      <c r="BP1111" t="s">
        <v>74</v>
      </c>
      <c r="BQ1111" t="s">
        <v>74</v>
      </c>
      <c r="BR1111" t="s">
        <v>74</v>
      </c>
      <c r="BS1111" t="s">
        <v>1468</v>
      </c>
      <c r="BT1111" t="str">
        <f>HYPERLINK("https%3A%2F%2Fwww.webofscience.com%2Fwos%2Fwoscc%2Ffull-record%2FWOS:000305748000020","View Full Record in Web of Science")</f>
        <v>View Full Record in Web of Science</v>
      </c>
    </row>
    <row r="1112" spans="1:72" x14ac:dyDescent="0.4">
      <c r="A1112" t="s">
        <v>72</v>
      </c>
      <c r="B1112" t="s">
        <v>8021</v>
      </c>
      <c r="C1112" t="s">
        <v>74</v>
      </c>
      <c r="D1112" t="s">
        <v>74</v>
      </c>
      <c r="E1112" t="s">
        <v>74</v>
      </c>
      <c r="F1112" t="s">
        <v>8022</v>
      </c>
      <c r="G1112" t="s">
        <v>74</v>
      </c>
      <c r="H1112" t="s">
        <v>74</v>
      </c>
      <c r="I1112" t="s">
        <v>8023</v>
      </c>
      <c r="J1112" t="s">
        <v>1656</v>
      </c>
      <c r="K1112" t="s">
        <v>74</v>
      </c>
      <c r="L1112" t="s">
        <v>74</v>
      </c>
      <c r="M1112" t="s">
        <v>74</v>
      </c>
      <c r="N1112" t="s">
        <v>74</v>
      </c>
      <c r="O1112" t="s">
        <v>74</v>
      </c>
      <c r="P1112" t="s">
        <v>74</v>
      </c>
      <c r="Q1112" t="s">
        <v>74</v>
      </c>
      <c r="R1112" t="s">
        <v>74</v>
      </c>
      <c r="S1112" t="s">
        <v>74</v>
      </c>
      <c r="T1112" t="s">
        <v>74</v>
      </c>
      <c r="U1112" t="s">
        <v>74</v>
      </c>
      <c r="V1112" s="3" t="s">
        <v>8024</v>
      </c>
      <c r="W1112" t="s">
        <v>74</v>
      </c>
      <c r="X1112" t="s">
        <v>74</v>
      </c>
      <c r="Y1112" t="s">
        <v>74</v>
      </c>
      <c r="Z1112" t="s">
        <v>74</v>
      </c>
      <c r="AA1112" t="s">
        <v>8025</v>
      </c>
      <c r="AB1112" t="s">
        <v>8026</v>
      </c>
      <c r="AC1112" t="s">
        <v>74</v>
      </c>
      <c r="AD1112" t="s">
        <v>74</v>
      </c>
      <c r="AE1112" t="s">
        <v>74</v>
      </c>
      <c r="AF1112" t="s">
        <v>74</v>
      </c>
      <c r="AG1112" t="s">
        <v>74</v>
      </c>
      <c r="AH1112" t="s">
        <v>74</v>
      </c>
      <c r="AI1112" t="s">
        <v>74</v>
      </c>
      <c r="AJ1112" t="s">
        <v>74</v>
      </c>
      <c r="AK1112" t="s">
        <v>74</v>
      </c>
      <c r="AL1112" t="s">
        <v>74</v>
      </c>
      <c r="AM1112" t="s">
        <v>74</v>
      </c>
      <c r="AN1112" t="s">
        <v>74</v>
      </c>
      <c r="AO1112" t="s">
        <v>1658</v>
      </c>
      <c r="AP1112" t="s">
        <v>1659</v>
      </c>
      <c r="AQ1112" t="s">
        <v>74</v>
      </c>
      <c r="AR1112" t="s">
        <v>74</v>
      </c>
      <c r="AS1112" t="s">
        <v>74</v>
      </c>
      <c r="AT1112" t="s">
        <v>5887</v>
      </c>
      <c r="AU1112">
        <v>2019</v>
      </c>
      <c r="AV1112">
        <v>4625</v>
      </c>
      <c r="AW1112">
        <v>1</v>
      </c>
      <c r="AX1112" t="s">
        <v>74</v>
      </c>
      <c r="AY1112" t="s">
        <v>74</v>
      </c>
      <c r="AZ1112" t="s">
        <v>74</v>
      </c>
      <c r="BA1112" t="s">
        <v>74</v>
      </c>
      <c r="BB1112">
        <v>1</v>
      </c>
      <c r="BC1112">
        <v>68</v>
      </c>
      <c r="BD1112" t="s">
        <v>74</v>
      </c>
      <c r="BE1112" t="s">
        <v>8027</v>
      </c>
      <c r="BF1112" t="str">
        <f>HYPERLINK("http://dx.doi.org/10.11646/zootaxa.4625.1.1","http://dx.doi.org/10.11646/zootaxa.4625.1.1")</f>
        <v>http://dx.doi.org/10.11646/zootaxa.4625.1.1</v>
      </c>
      <c r="BG1112" t="s">
        <v>74</v>
      </c>
      <c r="BH1112" t="s">
        <v>74</v>
      </c>
      <c r="BI1112" t="s">
        <v>74</v>
      </c>
      <c r="BJ1112" t="s">
        <v>74</v>
      </c>
      <c r="BK1112" t="s">
        <v>74</v>
      </c>
      <c r="BL1112" t="s">
        <v>74</v>
      </c>
      <c r="BM1112" t="s">
        <v>74</v>
      </c>
      <c r="BN1112">
        <v>31712545</v>
      </c>
      <c r="BO1112" t="s">
        <v>74</v>
      </c>
      <c r="BP1112" t="s">
        <v>74</v>
      </c>
      <c r="BQ1112" t="s">
        <v>74</v>
      </c>
      <c r="BR1112" t="s">
        <v>74</v>
      </c>
      <c r="BS1112" t="s">
        <v>8028</v>
      </c>
      <c r="BT1112" t="str">
        <f>HYPERLINK("https%3A%2F%2Fwww.webofscience.com%2Fwos%2Fwoscc%2Ffull-record%2FWOS:000473734300001","View Full Record in Web of Science")</f>
        <v>View Full Record in Web of Science</v>
      </c>
    </row>
    <row r="1113" spans="1:72" x14ac:dyDescent="0.4">
      <c r="A1113" t="s">
        <v>72</v>
      </c>
      <c r="B1113" t="s">
        <v>4915</v>
      </c>
      <c r="C1113" t="s">
        <v>74</v>
      </c>
      <c r="D1113" t="s">
        <v>74</v>
      </c>
      <c r="E1113" t="s">
        <v>74</v>
      </c>
      <c r="F1113" t="s">
        <v>4916</v>
      </c>
      <c r="G1113" t="s">
        <v>74</v>
      </c>
      <c r="H1113" t="s">
        <v>74</v>
      </c>
      <c r="I1113" t="s">
        <v>4917</v>
      </c>
      <c r="J1113" t="s">
        <v>3374</v>
      </c>
      <c r="K1113" t="s">
        <v>74</v>
      </c>
      <c r="L1113" t="s">
        <v>74</v>
      </c>
      <c r="M1113" t="s">
        <v>74</v>
      </c>
      <c r="N1113" t="s">
        <v>74</v>
      </c>
      <c r="O1113" t="s">
        <v>74</v>
      </c>
      <c r="P1113" t="s">
        <v>74</v>
      </c>
      <c r="Q1113" t="s">
        <v>74</v>
      </c>
      <c r="R1113" t="s">
        <v>74</v>
      </c>
      <c r="S1113" t="s">
        <v>74</v>
      </c>
      <c r="T1113" t="s">
        <v>74</v>
      </c>
      <c r="U1113" t="s">
        <v>74</v>
      </c>
      <c r="V1113" s="3" t="s">
        <v>4918</v>
      </c>
      <c r="W1113" t="s">
        <v>74</v>
      </c>
      <c r="X1113" t="s">
        <v>74</v>
      </c>
      <c r="Y1113" t="s">
        <v>74</v>
      </c>
      <c r="Z1113" t="s">
        <v>74</v>
      </c>
      <c r="AA1113" t="s">
        <v>4919</v>
      </c>
      <c r="AB1113" t="s">
        <v>4920</v>
      </c>
      <c r="AC1113" t="s">
        <v>74</v>
      </c>
      <c r="AD1113" t="s">
        <v>74</v>
      </c>
      <c r="AE1113" t="s">
        <v>74</v>
      </c>
      <c r="AF1113" t="s">
        <v>74</v>
      </c>
      <c r="AG1113" t="s">
        <v>74</v>
      </c>
      <c r="AH1113" t="s">
        <v>74</v>
      </c>
      <c r="AI1113" t="s">
        <v>74</v>
      </c>
      <c r="AJ1113" t="s">
        <v>74</v>
      </c>
      <c r="AK1113" t="s">
        <v>74</v>
      </c>
      <c r="AL1113" t="s">
        <v>74</v>
      </c>
      <c r="AM1113" t="s">
        <v>74</v>
      </c>
      <c r="AN1113" t="s">
        <v>74</v>
      </c>
      <c r="AO1113" t="s">
        <v>3378</v>
      </c>
      <c r="AP1113" t="s">
        <v>3379</v>
      </c>
      <c r="AQ1113" t="s">
        <v>74</v>
      </c>
      <c r="AR1113" t="s">
        <v>74</v>
      </c>
      <c r="AS1113" t="s">
        <v>74</v>
      </c>
      <c r="AT1113" t="s">
        <v>123</v>
      </c>
      <c r="AU1113">
        <v>2013</v>
      </c>
      <c r="AV1113">
        <v>44</v>
      </c>
      <c r="AW1113">
        <v>2</v>
      </c>
      <c r="AX1113" t="s">
        <v>74</v>
      </c>
      <c r="AY1113" t="s">
        <v>74</v>
      </c>
      <c r="AZ1113" t="s">
        <v>74</v>
      </c>
      <c r="BA1113" t="s">
        <v>74</v>
      </c>
      <c r="BB1113">
        <v>121</v>
      </c>
      <c r="BC1113">
        <v>132</v>
      </c>
      <c r="BD1113" t="s">
        <v>74</v>
      </c>
      <c r="BE1113" t="s">
        <v>4921</v>
      </c>
      <c r="BF1113" t="str">
        <f>HYPERLINK("http://dx.doi.org/10.1007/s13592-012-0161-x","http://dx.doi.org/10.1007/s13592-012-0161-x")</f>
        <v>http://dx.doi.org/10.1007/s13592-012-0161-x</v>
      </c>
      <c r="BG1113" t="s">
        <v>74</v>
      </c>
      <c r="BH1113" t="s">
        <v>74</v>
      </c>
      <c r="BI1113" t="s">
        <v>74</v>
      </c>
      <c r="BJ1113" t="s">
        <v>74</v>
      </c>
      <c r="BK1113" t="s">
        <v>74</v>
      </c>
      <c r="BL1113" t="s">
        <v>74</v>
      </c>
      <c r="BM1113" t="s">
        <v>74</v>
      </c>
      <c r="BN1113" t="s">
        <v>74</v>
      </c>
      <c r="BO1113" t="s">
        <v>74</v>
      </c>
      <c r="BP1113" t="s">
        <v>74</v>
      </c>
      <c r="BQ1113" t="s">
        <v>74</v>
      </c>
      <c r="BR1113" t="s">
        <v>74</v>
      </c>
      <c r="BS1113" t="s">
        <v>4922</v>
      </c>
      <c r="BT1113" t="str">
        <f>HYPERLINK("https%3A%2F%2Fwww.webofscience.com%2Fwos%2Fwoscc%2Ffull-record%2FWOS:000314882300001","View Full Record in Web of Science")</f>
        <v>View Full Record in Web of Science</v>
      </c>
    </row>
    <row r="1114" spans="1:72" x14ac:dyDescent="0.4">
      <c r="A1114" t="s">
        <v>72</v>
      </c>
      <c r="B1114" t="s">
        <v>4519</v>
      </c>
      <c r="C1114" t="s">
        <v>74</v>
      </c>
      <c r="D1114" t="s">
        <v>74</v>
      </c>
      <c r="E1114" t="s">
        <v>74</v>
      </c>
      <c r="F1114" t="s">
        <v>4520</v>
      </c>
      <c r="G1114" t="s">
        <v>74</v>
      </c>
      <c r="H1114" t="s">
        <v>74</v>
      </c>
      <c r="I1114" t="s">
        <v>4521</v>
      </c>
      <c r="J1114" t="s">
        <v>4522</v>
      </c>
      <c r="K1114" t="s">
        <v>74</v>
      </c>
      <c r="L1114" t="s">
        <v>74</v>
      </c>
      <c r="M1114" t="s">
        <v>74</v>
      </c>
      <c r="N1114" t="s">
        <v>74</v>
      </c>
      <c r="O1114" t="s">
        <v>74</v>
      </c>
      <c r="P1114" t="s">
        <v>74</v>
      </c>
      <c r="Q1114" t="s">
        <v>74</v>
      </c>
      <c r="R1114" t="s">
        <v>74</v>
      </c>
      <c r="S1114" t="s">
        <v>74</v>
      </c>
      <c r="T1114" t="s">
        <v>74</v>
      </c>
      <c r="U1114" t="s">
        <v>74</v>
      </c>
      <c r="V1114" s="3" t="s">
        <v>4523</v>
      </c>
      <c r="W1114" t="s">
        <v>74</v>
      </c>
      <c r="X1114" t="s">
        <v>74</v>
      </c>
      <c r="Y1114" t="s">
        <v>74</v>
      </c>
      <c r="Z1114" t="s">
        <v>74</v>
      </c>
      <c r="AA1114" t="s">
        <v>4524</v>
      </c>
      <c r="AB1114" t="s">
        <v>4525</v>
      </c>
      <c r="AC1114" t="s">
        <v>74</v>
      </c>
      <c r="AD1114" t="s">
        <v>74</v>
      </c>
      <c r="AE1114" t="s">
        <v>74</v>
      </c>
      <c r="AF1114" t="s">
        <v>74</v>
      </c>
      <c r="AG1114" t="s">
        <v>74</v>
      </c>
      <c r="AH1114" t="s">
        <v>74</v>
      </c>
      <c r="AI1114" t="s">
        <v>74</v>
      </c>
      <c r="AJ1114" t="s">
        <v>74</v>
      </c>
      <c r="AK1114" t="s">
        <v>74</v>
      </c>
      <c r="AL1114" t="s">
        <v>74</v>
      </c>
      <c r="AM1114" t="s">
        <v>74</v>
      </c>
      <c r="AN1114" t="s">
        <v>74</v>
      </c>
      <c r="AO1114" t="s">
        <v>4526</v>
      </c>
      <c r="AP1114" t="s">
        <v>4527</v>
      </c>
      <c r="AQ1114" t="s">
        <v>74</v>
      </c>
      <c r="AR1114" t="s">
        <v>74</v>
      </c>
      <c r="AS1114" t="s">
        <v>74</v>
      </c>
      <c r="AT1114" t="s">
        <v>4528</v>
      </c>
      <c r="AU1114">
        <v>2022</v>
      </c>
      <c r="AV1114">
        <v>56</v>
      </c>
      <c r="AW1114" t="s">
        <v>4529</v>
      </c>
      <c r="AX1114" t="s">
        <v>74</v>
      </c>
      <c r="AY1114" t="s">
        <v>74</v>
      </c>
      <c r="AZ1114" t="s">
        <v>74</v>
      </c>
      <c r="BA1114" t="s">
        <v>74</v>
      </c>
      <c r="BB1114">
        <v>435</v>
      </c>
      <c r="BC1114">
        <v>447</v>
      </c>
      <c r="BD1114" t="s">
        <v>74</v>
      </c>
      <c r="BE1114" t="s">
        <v>4530</v>
      </c>
      <c r="BF1114" t="str">
        <f>HYPERLINK("http://dx.doi.org/10.1080/00222933.2022.2052991","http://dx.doi.org/10.1080/00222933.2022.2052991")</f>
        <v>http://dx.doi.org/10.1080/00222933.2022.2052991</v>
      </c>
      <c r="BG1114" t="s">
        <v>74</v>
      </c>
      <c r="BH1114" t="s">
        <v>74</v>
      </c>
      <c r="BI1114" t="s">
        <v>74</v>
      </c>
      <c r="BJ1114" t="s">
        <v>74</v>
      </c>
      <c r="BK1114" t="s">
        <v>74</v>
      </c>
      <c r="BL1114" t="s">
        <v>74</v>
      </c>
      <c r="BM1114" t="s">
        <v>74</v>
      </c>
      <c r="BN1114" t="s">
        <v>74</v>
      </c>
      <c r="BO1114" t="s">
        <v>74</v>
      </c>
      <c r="BP1114" t="s">
        <v>74</v>
      </c>
      <c r="BQ1114" t="s">
        <v>74</v>
      </c>
      <c r="BR1114" t="s">
        <v>74</v>
      </c>
      <c r="BS1114" t="s">
        <v>4531</v>
      </c>
      <c r="BT1114" t="str">
        <f>HYPERLINK("https%3A%2F%2Fwww.webofscience.com%2Fwos%2Fwoscc%2Ffull-record%2FWOS:000819303900001","View Full Record in Web of Science")</f>
        <v>View Full Record in Web of Science</v>
      </c>
    </row>
    <row r="1115" spans="1:72" x14ac:dyDescent="0.4">
      <c r="A1115" t="s">
        <v>72</v>
      </c>
      <c r="B1115" t="s">
        <v>3505</v>
      </c>
      <c r="C1115" t="s">
        <v>74</v>
      </c>
      <c r="D1115" t="s">
        <v>74</v>
      </c>
      <c r="E1115" t="s">
        <v>74</v>
      </c>
      <c r="F1115" t="s">
        <v>3506</v>
      </c>
      <c r="G1115" t="s">
        <v>74</v>
      </c>
      <c r="H1115" t="s">
        <v>74</v>
      </c>
      <c r="I1115" t="s">
        <v>3507</v>
      </c>
      <c r="J1115" t="s">
        <v>333</v>
      </c>
      <c r="K1115" t="s">
        <v>74</v>
      </c>
      <c r="L1115" t="s">
        <v>74</v>
      </c>
      <c r="M1115" t="s">
        <v>74</v>
      </c>
      <c r="N1115" t="s">
        <v>74</v>
      </c>
      <c r="O1115" t="s">
        <v>74</v>
      </c>
      <c r="P1115" t="s">
        <v>74</v>
      </c>
      <c r="Q1115" t="s">
        <v>74</v>
      </c>
      <c r="R1115" t="s">
        <v>74</v>
      </c>
      <c r="S1115" t="s">
        <v>74</v>
      </c>
      <c r="T1115" t="s">
        <v>74</v>
      </c>
      <c r="U1115" t="s">
        <v>74</v>
      </c>
      <c r="V1115" s="3" t="s">
        <v>3508</v>
      </c>
      <c r="W1115" t="s">
        <v>74</v>
      </c>
      <c r="X1115" t="s">
        <v>74</v>
      </c>
      <c r="Y1115" t="s">
        <v>74</v>
      </c>
      <c r="Z1115" t="s">
        <v>74</v>
      </c>
      <c r="AA1115" t="s">
        <v>379</v>
      </c>
      <c r="AB1115" t="s">
        <v>74</v>
      </c>
      <c r="AC1115" t="s">
        <v>74</v>
      </c>
      <c r="AD1115" t="s">
        <v>74</v>
      </c>
      <c r="AE1115" t="s">
        <v>74</v>
      </c>
      <c r="AF1115" t="s">
        <v>74</v>
      </c>
      <c r="AG1115" t="s">
        <v>74</v>
      </c>
      <c r="AH1115" t="s">
        <v>74</v>
      </c>
      <c r="AI1115" t="s">
        <v>74</v>
      </c>
      <c r="AJ1115" t="s">
        <v>74</v>
      </c>
      <c r="AK1115" t="s">
        <v>74</v>
      </c>
      <c r="AL1115" t="s">
        <v>74</v>
      </c>
      <c r="AM1115" t="s">
        <v>74</v>
      </c>
      <c r="AN1115" t="s">
        <v>74</v>
      </c>
      <c r="AO1115" t="s">
        <v>337</v>
      </c>
      <c r="AP1115" t="s">
        <v>338</v>
      </c>
      <c r="AQ1115" t="s">
        <v>74</v>
      </c>
      <c r="AR1115" t="s">
        <v>74</v>
      </c>
      <c r="AS1115" t="s">
        <v>74</v>
      </c>
      <c r="AT1115" t="s">
        <v>1075</v>
      </c>
      <c r="AU1115">
        <v>2013</v>
      </c>
      <c r="AV1115">
        <v>24</v>
      </c>
      <c r="AW1115">
        <v>6</v>
      </c>
      <c r="AX1115" t="s">
        <v>74</v>
      </c>
      <c r="AY1115" t="s">
        <v>74</v>
      </c>
      <c r="AZ1115" t="s">
        <v>74</v>
      </c>
      <c r="BA1115" t="s">
        <v>74</v>
      </c>
      <c r="BB1115">
        <v>1407</v>
      </c>
      <c r="BC1115">
        <v>1414</v>
      </c>
      <c r="BD1115" t="s">
        <v>74</v>
      </c>
      <c r="BE1115" t="s">
        <v>3509</v>
      </c>
      <c r="BF1115" t="str">
        <f>HYPERLINK("http://dx.doi.org/10.1093/beheco/art080","http://dx.doi.org/10.1093/beheco/art080")</f>
        <v>http://dx.doi.org/10.1093/beheco/art080</v>
      </c>
      <c r="BG1115" t="s">
        <v>74</v>
      </c>
      <c r="BH1115" t="s">
        <v>74</v>
      </c>
      <c r="BI1115" t="s">
        <v>74</v>
      </c>
      <c r="BJ1115" t="s">
        <v>74</v>
      </c>
      <c r="BK1115" t="s">
        <v>74</v>
      </c>
      <c r="BL1115" t="s">
        <v>74</v>
      </c>
      <c r="BM1115" t="s">
        <v>74</v>
      </c>
      <c r="BN1115" t="s">
        <v>74</v>
      </c>
      <c r="BO1115" t="s">
        <v>74</v>
      </c>
      <c r="BP1115" t="s">
        <v>74</v>
      </c>
      <c r="BQ1115" t="s">
        <v>74</v>
      </c>
      <c r="BR1115" t="s">
        <v>74</v>
      </c>
      <c r="BS1115" t="s">
        <v>3510</v>
      </c>
      <c r="BT1115" t="str">
        <f>HYPERLINK("https%3A%2F%2Fwww.webofscience.com%2Fwos%2Fwoscc%2Ffull-record%2FWOS:000325995900018","View Full Record in Web of Science")</f>
        <v>View Full Record in Web of Science</v>
      </c>
    </row>
    <row r="1116" spans="1:72" x14ac:dyDescent="0.4">
      <c r="A1116" t="s">
        <v>72</v>
      </c>
      <c r="B1116" t="s">
        <v>375</v>
      </c>
      <c r="C1116" t="s">
        <v>74</v>
      </c>
      <c r="D1116" t="s">
        <v>74</v>
      </c>
      <c r="E1116" t="s">
        <v>74</v>
      </c>
      <c r="F1116" t="s">
        <v>376</v>
      </c>
      <c r="G1116" t="s">
        <v>74</v>
      </c>
      <c r="H1116" t="s">
        <v>74</v>
      </c>
      <c r="I1116" t="s">
        <v>377</v>
      </c>
      <c r="J1116" t="s">
        <v>140</v>
      </c>
      <c r="K1116" t="s">
        <v>74</v>
      </c>
      <c r="L1116" t="s">
        <v>74</v>
      </c>
      <c r="M1116" t="s">
        <v>74</v>
      </c>
      <c r="N1116" t="s">
        <v>74</v>
      </c>
      <c r="O1116" t="s">
        <v>74</v>
      </c>
      <c r="P1116" t="s">
        <v>74</v>
      </c>
      <c r="Q1116" t="s">
        <v>74</v>
      </c>
      <c r="R1116" t="s">
        <v>74</v>
      </c>
      <c r="S1116" t="s">
        <v>74</v>
      </c>
      <c r="T1116" t="s">
        <v>74</v>
      </c>
      <c r="U1116" t="s">
        <v>74</v>
      </c>
      <c r="V1116" s="3" t="s">
        <v>378</v>
      </c>
      <c r="W1116" t="s">
        <v>74</v>
      </c>
      <c r="X1116" t="s">
        <v>74</v>
      </c>
      <c r="Y1116" t="s">
        <v>74</v>
      </c>
      <c r="Z1116" t="s">
        <v>74</v>
      </c>
      <c r="AA1116" t="s">
        <v>379</v>
      </c>
      <c r="AB1116" t="s">
        <v>74</v>
      </c>
      <c r="AC1116" t="s">
        <v>74</v>
      </c>
      <c r="AD1116" t="s">
        <v>74</v>
      </c>
      <c r="AE1116" t="s">
        <v>74</v>
      </c>
      <c r="AF1116" t="s">
        <v>74</v>
      </c>
      <c r="AG1116" t="s">
        <v>74</v>
      </c>
      <c r="AH1116" t="s">
        <v>74</v>
      </c>
      <c r="AI1116" t="s">
        <v>74</v>
      </c>
      <c r="AJ1116" t="s">
        <v>74</v>
      </c>
      <c r="AK1116" t="s">
        <v>74</v>
      </c>
      <c r="AL1116" t="s">
        <v>74</v>
      </c>
      <c r="AM1116" t="s">
        <v>74</v>
      </c>
      <c r="AN1116" t="s">
        <v>74</v>
      </c>
      <c r="AO1116" t="s">
        <v>143</v>
      </c>
      <c r="AP1116" t="s">
        <v>144</v>
      </c>
      <c r="AQ1116" t="s">
        <v>74</v>
      </c>
      <c r="AR1116" t="s">
        <v>74</v>
      </c>
      <c r="AS1116" t="s">
        <v>74</v>
      </c>
      <c r="AT1116" t="s">
        <v>102</v>
      </c>
      <c r="AU1116">
        <v>2013</v>
      </c>
      <c r="AV1116">
        <v>85</v>
      </c>
      <c r="AW1116">
        <v>6</v>
      </c>
      <c r="AX1116" t="s">
        <v>74</v>
      </c>
      <c r="AY1116" t="s">
        <v>74</v>
      </c>
      <c r="AZ1116" t="s">
        <v>74</v>
      </c>
      <c r="BA1116" t="s">
        <v>74</v>
      </c>
      <c r="BB1116">
        <v>1251</v>
      </c>
      <c r="BC1116">
        <v>1259</v>
      </c>
      <c r="BD1116" t="s">
        <v>74</v>
      </c>
      <c r="BE1116" t="s">
        <v>380</v>
      </c>
      <c r="BF1116" t="str">
        <f>HYPERLINK("http://dx.doi.org/10.1016/j.anbehav.2013.03.012","http://dx.doi.org/10.1016/j.anbehav.2013.03.012")</f>
        <v>http://dx.doi.org/10.1016/j.anbehav.2013.03.012</v>
      </c>
      <c r="BG1116" t="s">
        <v>74</v>
      </c>
      <c r="BH1116" t="s">
        <v>74</v>
      </c>
      <c r="BI1116" t="s">
        <v>74</v>
      </c>
      <c r="BJ1116" t="s">
        <v>74</v>
      </c>
      <c r="BK1116" t="s">
        <v>74</v>
      </c>
      <c r="BL1116" t="s">
        <v>74</v>
      </c>
      <c r="BM1116" t="s">
        <v>74</v>
      </c>
      <c r="BN1116" t="s">
        <v>74</v>
      </c>
      <c r="BO1116" t="s">
        <v>74</v>
      </c>
      <c r="BP1116" t="s">
        <v>74</v>
      </c>
      <c r="BQ1116" t="s">
        <v>74</v>
      </c>
      <c r="BR1116" t="s">
        <v>74</v>
      </c>
      <c r="BS1116" t="s">
        <v>381</v>
      </c>
      <c r="BT1116" t="str">
        <f>HYPERLINK("https%3A%2F%2Fwww.webofscience.com%2Fwos%2Fwoscc%2Ffull-record%2FWOS:000320651200015","View Full Record in Web of Science")</f>
        <v>View Full Record in Web of Science</v>
      </c>
    </row>
    <row r="1117" spans="1:72" x14ac:dyDescent="0.4">
      <c r="A1117" t="s">
        <v>72</v>
      </c>
      <c r="B1117" t="s">
        <v>375</v>
      </c>
      <c r="C1117" t="s">
        <v>74</v>
      </c>
      <c r="D1117" t="s">
        <v>74</v>
      </c>
      <c r="E1117" t="s">
        <v>74</v>
      </c>
      <c r="F1117" t="s">
        <v>376</v>
      </c>
      <c r="G1117" t="s">
        <v>74</v>
      </c>
      <c r="H1117" t="s">
        <v>74</v>
      </c>
      <c r="I1117" t="s">
        <v>2371</v>
      </c>
      <c r="J1117" t="s">
        <v>140</v>
      </c>
      <c r="K1117" t="s">
        <v>74</v>
      </c>
      <c r="L1117" t="s">
        <v>74</v>
      </c>
      <c r="M1117" t="s">
        <v>74</v>
      </c>
      <c r="N1117" t="s">
        <v>74</v>
      </c>
      <c r="O1117" t="s">
        <v>74</v>
      </c>
      <c r="P1117" t="s">
        <v>74</v>
      </c>
      <c r="Q1117" t="s">
        <v>74</v>
      </c>
      <c r="R1117" t="s">
        <v>74</v>
      </c>
      <c r="S1117" t="s">
        <v>74</v>
      </c>
      <c r="T1117" t="s">
        <v>74</v>
      </c>
      <c r="U1117" t="s">
        <v>74</v>
      </c>
      <c r="V1117" s="3" t="s">
        <v>2372</v>
      </c>
      <c r="W1117" t="s">
        <v>74</v>
      </c>
      <c r="X1117" t="s">
        <v>74</v>
      </c>
      <c r="Y1117" t="s">
        <v>74</v>
      </c>
      <c r="Z1117" t="s">
        <v>74</v>
      </c>
      <c r="AA1117" t="s">
        <v>379</v>
      </c>
      <c r="AB1117" t="s">
        <v>74</v>
      </c>
      <c r="AC1117" t="s">
        <v>74</v>
      </c>
      <c r="AD1117" t="s">
        <v>74</v>
      </c>
      <c r="AE1117" t="s">
        <v>74</v>
      </c>
      <c r="AF1117" t="s">
        <v>74</v>
      </c>
      <c r="AG1117" t="s">
        <v>74</v>
      </c>
      <c r="AH1117" t="s">
        <v>74</v>
      </c>
      <c r="AI1117" t="s">
        <v>74</v>
      </c>
      <c r="AJ1117" t="s">
        <v>74</v>
      </c>
      <c r="AK1117" t="s">
        <v>74</v>
      </c>
      <c r="AL1117" t="s">
        <v>74</v>
      </c>
      <c r="AM1117" t="s">
        <v>74</v>
      </c>
      <c r="AN1117" t="s">
        <v>74</v>
      </c>
      <c r="AO1117" t="s">
        <v>143</v>
      </c>
      <c r="AP1117" t="s">
        <v>144</v>
      </c>
      <c r="AQ1117" t="s">
        <v>74</v>
      </c>
      <c r="AR1117" t="s">
        <v>74</v>
      </c>
      <c r="AS1117" t="s">
        <v>74</v>
      </c>
      <c r="AT1117" t="s">
        <v>175</v>
      </c>
      <c r="AU1117">
        <v>2011</v>
      </c>
      <c r="AV1117">
        <v>82</v>
      </c>
      <c r="AW1117">
        <v>4</v>
      </c>
      <c r="AX1117" t="s">
        <v>74</v>
      </c>
      <c r="AY1117" t="s">
        <v>74</v>
      </c>
      <c r="AZ1117" t="s">
        <v>74</v>
      </c>
      <c r="BA1117" t="s">
        <v>74</v>
      </c>
      <c r="BB1117">
        <v>683</v>
      </c>
      <c r="BC1117">
        <v>689</v>
      </c>
      <c r="BD1117" t="s">
        <v>74</v>
      </c>
      <c r="BE1117" t="s">
        <v>2373</v>
      </c>
      <c r="BF1117" t="str">
        <f>HYPERLINK("http://dx.doi.org/10.1016/j.anbehav.2011.06.023","http://dx.doi.org/10.1016/j.anbehav.2011.06.023")</f>
        <v>http://dx.doi.org/10.1016/j.anbehav.2011.06.023</v>
      </c>
      <c r="BG1117" t="s">
        <v>74</v>
      </c>
      <c r="BH1117" t="s">
        <v>74</v>
      </c>
      <c r="BI1117" t="s">
        <v>74</v>
      </c>
      <c r="BJ1117" t="s">
        <v>74</v>
      </c>
      <c r="BK1117" t="s">
        <v>74</v>
      </c>
      <c r="BL1117" t="s">
        <v>74</v>
      </c>
      <c r="BM1117" t="s">
        <v>74</v>
      </c>
      <c r="BN1117" t="s">
        <v>74</v>
      </c>
      <c r="BO1117" t="s">
        <v>74</v>
      </c>
      <c r="BP1117" t="s">
        <v>74</v>
      </c>
      <c r="BQ1117" t="s">
        <v>74</v>
      </c>
      <c r="BR1117" t="s">
        <v>74</v>
      </c>
      <c r="BS1117" t="s">
        <v>2374</v>
      </c>
      <c r="BT1117" t="str">
        <f>HYPERLINK("https%3A%2F%2Fwww.webofscience.com%2Fwos%2Fwoscc%2Ffull-record%2FWOS:000295262800012","View Full Record in Web of Science")</f>
        <v>View Full Record in Web of Science</v>
      </c>
    </row>
    <row r="1118" spans="1:72" x14ac:dyDescent="0.4">
      <c r="A1118" t="s">
        <v>72</v>
      </c>
      <c r="B1118" t="s">
        <v>375</v>
      </c>
      <c r="C1118" t="s">
        <v>74</v>
      </c>
      <c r="D1118" t="s">
        <v>74</v>
      </c>
      <c r="E1118" t="s">
        <v>74</v>
      </c>
      <c r="F1118" t="s">
        <v>376</v>
      </c>
      <c r="G1118" t="s">
        <v>74</v>
      </c>
      <c r="H1118" t="s">
        <v>74</v>
      </c>
      <c r="I1118" t="s">
        <v>5944</v>
      </c>
      <c r="J1118" t="s">
        <v>610</v>
      </c>
      <c r="K1118" t="s">
        <v>74</v>
      </c>
      <c r="L1118" t="s">
        <v>74</v>
      </c>
      <c r="M1118" t="s">
        <v>74</v>
      </c>
      <c r="N1118" t="s">
        <v>74</v>
      </c>
      <c r="O1118" t="s">
        <v>74</v>
      </c>
      <c r="P1118" t="s">
        <v>74</v>
      </c>
      <c r="Q1118" t="s">
        <v>74</v>
      </c>
      <c r="R1118" t="s">
        <v>74</v>
      </c>
      <c r="S1118" t="s">
        <v>74</v>
      </c>
      <c r="T1118" t="s">
        <v>74</v>
      </c>
      <c r="U1118" t="s">
        <v>74</v>
      </c>
      <c r="V1118" s="3" t="s">
        <v>5945</v>
      </c>
      <c r="W1118" t="s">
        <v>74</v>
      </c>
      <c r="X1118" t="s">
        <v>74</v>
      </c>
      <c r="Y1118" t="s">
        <v>74</v>
      </c>
      <c r="Z1118" t="s">
        <v>74</v>
      </c>
      <c r="AA1118" t="s">
        <v>379</v>
      </c>
      <c r="AB1118" t="s">
        <v>74</v>
      </c>
      <c r="AC1118" t="s">
        <v>74</v>
      </c>
      <c r="AD1118" t="s">
        <v>74</v>
      </c>
      <c r="AE1118" t="s">
        <v>74</v>
      </c>
      <c r="AF1118" t="s">
        <v>74</v>
      </c>
      <c r="AG1118" t="s">
        <v>74</v>
      </c>
      <c r="AH1118" t="s">
        <v>74</v>
      </c>
      <c r="AI1118" t="s">
        <v>74</v>
      </c>
      <c r="AJ1118" t="s">
        <v>74</v>
      </c>
      <c r="AK1118" t="s">
        <v>74</v>
      </c>
      <c r="AL1118" t="s">
        <v>74</v>
      </c>
      <c r="AM1118" t="s">
        <v>74</v>
      </c>
      <c r="AN1118" t="s">
        <v>74</v>
      </c>
      <c r="AO1118" t="s">
        <v>614</v>
      </c>
      <c r="AP1118" t="s">
        <v>615</v>
      </c>
      <c r="AQ1118" t="s">
        <v>74</v>
      </c>
      <c r="AR1118" t="s">
        <v>74</v>
      </c>
      <c r="AS1118" t="s">
        <v>74</v>
      </c>
      <c r="AT1118" t="s">
        <v>213</v>
      </c>
      <c r="AU1118">
        <v>2010</v>
      </c>
      <c r="AV1118">
        <v>116</v>
      </c>
      <c r="AW1118">
        <v>11</v>
      </c>
      <c r="AX1118" t="s">
        <v>74</v>
      </c>
      <c r="AY1118" t="s">
        <v>74</v>
      </c>
      <c r="AZ1118" t="s">
        <v>74</v>
      </c>
      <c r="BA1118" t="s">
        <v>74</v>
      </c>
      <c r="BB1118">
        <v>1038</v>
      </c>
      <c r="BC1118">
        <v>1049</v>
      </c>
      <c r="BD1118" t="s">
        <v>74</v>
      </c>
      <c r="BE1118" t="s">
        <v>5946</v>
      </c>
      <c r="BF1118" t="str">
        <f>HYPERLINK("http://dx.doi.org/10.1111/j.1439-0310.2010.01816.x","http://dx.doi.org/10.1111/j.1439-0310.2010.01816.x")</f>
        <v>http://dx.doi.org/10.1111/j.1439-0310.2010.01816.x</v>
      </c>
      <c r="BG1118" t="s">
        <v>74</v>
      </c>
      <c r="BH1118" t="s">
        <v>74</v>
      </c>
      <c r="BI1118" t="s">
        <v>74</v>
      </c>
      <c r="BJ1118" t="s">
        <v>74</v>
      </c>
      <c r="BK1118" t="s">
        <v>74</v>
      </c>
      <c r="BL1118" t="s">
        <v>74</v>
      </c>
      <c r="BM1118" t="s">
        <v>74</v>
      </c>
      <c r="BN1118" t="s">
        <v>74</v>
      </c>
      <c r="BO1118" t="s">
        <v>74</v>
      </c>
      <c r="BP1118" t="s">
        <v>74</v>
      </c>
      <c r="BQ1118" t="s">
        <v>74</v>
      </c>
      <c r="BR1118" t="s">
        <v>74</v>
      </c>
      <c r="BS1118" t="s">
        <v>5947</v>
      </c>
      <c r="BT1118" t="str">
        <f>HYPERLINK("https%3A%2F%2Fwww.webofscience.com%2Fwos%2Fwoscc%2Ffull-record%2FWOS:000282821900005","View Full Record in Web of Science")</f>
        <v>View Full Record in Web of Science</v>
      </c>
    </row>
    <row r="1119" spans="1:72" x14ac:dyDescent="0.4">
      <c r="A1119" t="s">
        <v>72</v>
      </c>
      <c r="B1119" t="s">
        <v>4820</v>
      </c>
      <c r="C1119" t="s">
        <v>74</v>
      </c>
      <c r="D1119" t="s">
        <v>74</v>
      </c>
      <c r="E1119" t="s">
        <v>74</v>
      </c>
      <c r="F1119" t="s">
        <v>4820</v>
      </c>
      <c r="G1119" t="s">
        <v>74</v>
      </c>
      <c r="H1119" t="s">
        <v>74</v>
      </c>
      <c r="I1119" t="s">
        <v>4821</v>
      </c>
      <c r="J1119" t="s">
        <v>1526</v>
      </c>
      <c r="K1119" t="s">
        <v>74</v>
      </c>
      <c r="L1119" t="s">
        <v>74</v>
      </c>
      <c r="M1119" t="s">
        <v>74</v>
      </c>
      <c r="N1119" t="s">
        <v>74</v>
      </c>
      <c r="O1119" t="s">
        <v>74</v>
      </c>
      <c r="P1119" t="s">
        <v>74</v>
      </c>
      <c r="Q1119" t="s">
        <v>74</v>
      </c>
      <c r="R1119" t="s">
        <v>74</v>
      </c>
      <c r="S1119" t="s">
        <v>74</v>
      </c>
      <c r="T1119" t="s">
        <v>74</v>
      </c>
      <c r="U1119" t="s">
        <v>74</v>
      </c>
      <c r="V1119" s="3" t="s">
        <v>4822</v>
      </c>
      <c r="W1119" t="s">
        <v>74</v>
      </c>
      <c r="X1119" t="s">
        <v>74</v>
      </c>
      <c r="Y1119" t="s">
        <v>74</v>
      </c>
      <c r="Z1119" t="s">
        <v>74</v>
      </c>
      <c r="AA1119" t="s">
        <v>74</v>
      </c>
      <c r="AB1119" t="s">
        <v>74</v>
      </c>
      <c r="AC1119" t="s">
        <v>74</v>
      </c>
      <c r="AD1119" t="s">
        <v>74</v>
      </c>
      <c r="AE1119" t="s">
        <v>74</v>
      </c>
      <c r="AF1119" t="s">
        <v>74</v>
      </c>
      <c r="AG1119" t="s">
        <v>74</v>
      </c>
      <c r="AH1119" t="s">
        <v>74</v>
      </c>
      <c r="AI1119" t="s">
        <v>74</v>
      </c>
      <c r="AJ1119" t="s">
        <v>74</v>
      </c>
      <c r="AK1119" t="s">
        <v>74</v>
      </c>
      <c r="AL1119" t="s">
        <v>74</v>
      </c>
      <c r="AM1119" t="s">
        <v>74</v>
      </c>
      <c r="AN1119" t="s">
        <v>74</v>
      </c>
      <c r="AO1119" t="s">
        <v>1528</v>
      </c>
      <c r="AP1119" t="s">
        <v>74</v>
      </c>
      <c r="AQ1119" t="s">
        <v>74</v>
      </c>
      <c r="AR1119" t="s">
        <v>74</v>
      </c>
      <c r="AS1119" t="s">
        <v>74</v>
      </c>
      <c r="AT1119" t="s">
        <v>145</v>
      </c>
      <c r="AU1119">
        <v>1993</v>
      </c>
      <c r="AV1119">
        <v>95</v>
      </c>
      <c r="AW1119">
        <v>3</v>
      </c>
      <c r="AX1119" t="s">
        <v>74</v>
      </c>
      <c r="AY1119" t="s">
        <v>74</v>
      </c>
      <c r="AZ1119" t="s">
        <v>74</v>
      </c>
      <c r="BA1119" t="s">
        <v>74</v>
      </c>
      <c r="BB1119">
        <v>596</v>
      </c>
      <c r="BC1119">
        <v>615</v>
      </c>
      <c r="BD1119" t="s">
        <v>74</v>
      </c>
      <c r="BE1119" t="s">
        <v>4823</v>
      </c>
      <c r="BF1119" t="str">
        <f>HYPERLINK("http://dx.doi.org/10.2307/1369604","http://dx.doi.org/10.2307/1369604")</f>
        <v>http://dx.doi.org/10.2307/1369604</v>
      </c>
      <c r="BG1119" t="s">
        <v>74</v>
      </c>
      <c r="BH1119" t="s">
        <v>74</v>
      </c>
      <c r="BI1119" t="s">
        <v>74</v>
      </c>
      <c r="BJ1119" t="s">
        <v>74</v>
      </c>
      <c r="BK1119" t="s">
        <v>74</v>
      </c>
      <c r="BL1119" t="s">
        <v>74</v>
      </c>
      <c r="BM1119" t="s">
        <v>74</v>
      </c>
      <c r="BN1119" t="s">
        <v>74</v>
      </c>
      <c r="BO1119" t="s">
        <v>74</v>
      </c>
      <c r="BP1119" t="s">
        <v>74</v>
      </c>
      <c r="BQ1119" t="s">
        <v>74</v>
      </c>
      <c r="BR1119" t="s">
        <v>74</v>
      </c>
      <c r="BS1119" t="s">
        <v>4824</v>
      </c>
      <c r="BT1119" t="str">
        <f>HYPERLINK("https%3A%2F%2Fwww.webofscience.com%2Fwos%2Fwoscc%2Ffull-record%2FWOS:A1993LU78000012","View Full Record in Web of Science")</f>
        <v>View Full Record in Web of Science</v>
      </c>
    </row>
    <row r="1120" spans="1:72" x14ac:dyDescent="0.4">
      <c r="A1120" t="s">
        <v>72</v>
      </c>
      <c r="B1120" t="s">
        <v>8120</v>
      </c>
      <c r="C1120" t="s">
        <v>74</v>
      </c>
      <c r="D1120" t="s">
        <v>74</v>
      </c>
      <c r="E1120" t="s">
        <v>74</v>
      </c>
      <c r="F1120" t="s">
        <v>8121</v>
      </c>
      <c r="G1120" t="s">
        <v>74</v>
      </c>
      <c r="H1120" t="s">
        <v>74</v>
      </c>
      <c r="I1120" t="s">
        <v>8122</v>
      </c>
      <c r="J1120" t="s">
        <v>2629</v>
      </c>
      <c r="K1120" t="s">
        <v>74</v>
      </c>
      <c r="L1120" t="s">
        <v>74</v>
      </c>
      <c r="M1120" t="s">
        <v>74</v>
      </c>
      <c r="N1120" t="s">
        <v>74</v>
      </c>
      <c r="O1120" t="s">
        <v>74</v>
      </c>
      <c r="P1120" t="s">
        <v>74</v>
      </c>
      <c r="Q1120" t="s">
        <v>74</v>
      </c>
      <c r="R1120" t="s">
        <v>74</v>
      </c>
      <c r="S1120" t="s">
        <v>74</v>
      </c>
      <c r="T1120" t="s">
        <v>74</v>
      </c>
      <c r="U1120" t="s">
        <v>74</v>
      </c>
      <c r="V1120" s="3" t="s">
        <v>8123</v>
      </c>
      <c r="W1120" t="s">
        <v>74</v>
      </c>
      <c r="X1120" t="s">
        <v>74</v>
      </c>
      <c r="Y1120" t="s">
        <v>74</v>
      </c>
      <c r="Z1120" t="s">
        <v>74</v>
      </c>
      <c r="AA1120" t="s">
        <v>74</v>
      </c>
      <c r="AB1120" t="s">
        <v>74</v>
      </c>
      <c r="AC1120" t="s">
        <v>74</v>
      </c>
      <c r="AD1120" t="s">
        <v>74</v>
      </c>
      <c r="AE1120" t="s">
        <v>74</v>
      </c>
      <c r="AF1120" t="s">
        <v>74</v>
      </c>
      <c r="AG1120" t="s">
        <v>74</v>
      </c>
      <c r="AH1120" t="s">
        <v>74</v>
      </c>
      <c r="AI1120" t="s">
        <v>74</v>
      </c>
      <c r="AJ1120" t="s">
        <v>74</v>
      </c>
      <c r="AK1120" t="s">
        <v>74</v>
      </c>
      <c r="AL1120" t="s">
        <v>74</v>
      </c>
      <c r="AM1120" t="s">
        <v>74</v>
      </c>
      <c r="AN1120" t="s">
        <v>74</v>
      </c>
      <c r="AO1120" t="s">
        <v>2632</v>
      </c>
      <c r="AP1120" t="s">
        <v>2633</v>
      </c>
      <c r="AQ1120" t="s">
        <v>74</v>
      </c>
      <c r="AR1120" t="s">
        <v>74</v>
      </c>
      <c r="AS1120" t="s">
        <v>74</v>
      </c>
      <c r="AT1120" t="s">
        <v>74</v>
      </c>
      <c r="AU1120">
        <v>2020</v>
      </c>
      <c r="AV1120">
        <v>68</v>
      </c>
      <c r="AW1120">
        <v>2</v>
      </c>
      <c r="AX1120" t="s">
        <v>74</v>
      </c>
      <c r="AY1120" t="s">
        <v>74</v>
      </c>
      <c r="AZ1120" t="s">
        <v>74</v>
      </c>
      <c r="BA1120" t="s">
        <v>74</v>
      </c>
      <c r="BB1120">
        <v>85</v>
      </c>
      <c r="BC1120">
        <v>97</v>
      </c>
      <c r="BD1120" t="s">
        <v>74</v>
      </c>
      <c r="BE1120" t="s">
        <v>8124</v>
      </c>
      <c r="BF1120" t="str">
        <f>HYPERLINK("http://dx.doi.org/10.1071/ZO20091","http://dx.doi.org/10.1071/ZO20091")</f>
        <v>http://dx.doi.org/10.1071/ZO20091</v>
      </c>
      <c r="BG1120" t="s">
        <v>74</v>
      </c>
      <c r="BH1120" t="s">
        <v>224</v>
      </c>
      <c r="BI1120" t="s">
        <v>74</v>
      </c>
      <c r="BJ1120" t="s">
        <v>74</v>
      </c>
      <c r="BK1120" t="s">
        <v>74</v>
      </c>
      <c r="BL1120" t="s">
        <v>74</v>
      </c>
      <c r="BM1120" t="s">
        <v>74</v>
      </c>
      <c r="BN1120" t="s">
        <v>74</v>
      </c>
      <c r="BO1120" t="s">
        <v>74</v>
      </c>
      <c r="BP1120" t="s">
        <v>74</v>
      </c>
      <c r="BQ1120" t="s">
        <v>74</v>
      </c>
      <c r="BR1120" t="s">
        <v>74</v>
      </c>
      <c r="BS1120" t="s">
        <v>8125</v>
      </c>
      <c r="BT1120" t="str">
        <f>HYPERLINK("https%3A%2F%2Fwww.webofscience.com%2Fwos%2Fwoscc%2Ffull-record%2FWOS:000657370700001","View Full Record in Web of Science")</f>
        <v>View Full Record in Web of Science</v>
      </c>
    </row>
    <row r="1121" spans="1:72" x14ac:dyDescent="0.4">
      <c r="A1121" t="s">
        <v>72</v>
      </c>
      <c r="B1121" t="s">
        <v>4167</v>
      </c>
      <c r="C1121" t="s">
        <v>74</v>
      </c>
      <c r="D1121" t="s">
        <v>74</v>
      </c>
      <c r="E1121" t="s">
        <v>74</v>
      </c>
      <c r="F1121" t="s">
        <v>4167</v>
      </c>
      <c r="G1121" t="s">
        <v>74</v>
      </c>
      <c r="H1121" t="s">
        <v>74</v>
      </c>
      <c r="I1121" t="s">
        <v>4168</v>
      </c>
      <c r="J1121" t="s">
        <v>691</v>
      </c>
      <c r="K1121" t="s">
        <v>74</v>
      </c>
      <c r="L1121" t="s">
        <v>74</v>
      </c>
      <c r="M1121" t="s">
        <v>74</v>
      </c>
      <c r="N1121" t="s">
        <v>74</v>
      </c>
      <c r="O1121" t="s">
        <v>74</v>
      </c>
      <c r="P1121" t="s">
        <v>74</v>
      </c>
      <c r="Q1121" t="s">
        <v>74</v>
      </c>
      <c r="R1121" t="s">
        <v>74</v>
      </c>
      <c r="S1121" t="s">
        <v>74</v>
      </c>
      <c r="T1121" t="s">
        <v>74</v>
      </c>
      <c r="U1121" t="s">
        <v>74</v>
      </c>
      <c r="V1121" s="3" t="s">
        <v>4169</v>
      </c>
      <c r="W1121" t="s">
        <v>74</v>
      </c>
      <c r="X1121" t="s">
        <v>74</v>
      </c>
      <c r="Y1121" t="s">
        <v>74</v>
      </c>
      <c r="Z1121" t="s">
        <v>74</v>
      </c>
      <c r="AA1121" t="s">
        <v>74</v>
      </c>
      <c r="AB1121" t="s">
        <v>74</v>
      </c>
      <c r="AC1121" t="s">
        <v>74</v>
      </c>
      <c r="AD1121" t="s">
        <v>74</v>
      </c>
      <c r="AE1121" t="s">
        <v>74</v>
      </c>
      <c r="AF1121" t="s">
        <v>74</v>
      </c>
      <c r="AG1121" t="s">
        <v>74</v>
      </c>
      <c r="AH1121" t="s">
        <v>74</v>
      </c>
      <c r="AI1121" t="s">
        <v>74</v>
      </c>
      <c r="AJ1121" t="s">
        <v>74</v>
      </c>
      <c r="AK1121" t="s">
        <v>74</v>
      </c>
      <c r="AL1121" t="s">
        <v>74</v>
      </c>
      <c r="AM1121" t="s">
        <v>74</v>
      </c>
      <c r="AN1121" t="s">
        <v>74</v>
      </c>
      <c r="AO1121" t="s">
        <v>695</v>
      </c>
      <c r="AP1121" t="s">
        <v>981</v>
      </c>
      <c r="AQ1121" t="s">
        <v>74</v>
      </c>
      <c r="AR1121" t="s">
        <v>74</v>
      </c>
      <c r="AS1121" t="s">
        <v>74</v>
      </c>
      <c r="AT1121" t="s">
        <v>305</v>
      </c>
      <c r="AU1121">
        <v>1989</v>
      </c>
      <c r="AV1121">
        <v>46</v>
      </c>
      <c r="AW1121">
        <v>6</v>
      </c>
      <c r="AX1121" t="s">
        <v>74</v>
      </c>
      <c r="AY1121" t="s">
        <v>74</v>
      </c>
      <c r="AZ1121" t="s">
        <v>74</v>
      </c>
      <c r="BA1121" t="s">
        <v>74</v>
      </c>
      <c r="BB1121">
        <v>977</v>
      </c>
      <c r="BC1121">
        <v>982</v>
      </c>
      <c r="BD1121" t="s">
        <v>74</v>
      </c>
      <c r="BE1121" t="s">
        <v>4170</v>
      </c>
      <c r="BF1121" t="str">
        <f>HYPERLINK("http://dx.doi.org/10.1016/0031-9384(89)90201-1","http://dx.doi.org/10.1016/0031-9384(89)90201-1")</f>
        <v>http://dx.doi.org/10.1016/0031-9384(89)90201-1</v>
      </c>
      <c r="BG1121" t="s">
        <v>74</v>
      </c>
      <c r="BH1121" t="s">
        <v>74</v>
      </c>
      <c r="BI1121" t="s">
        <v>74</v>
      </c>
      <c r="BJ1121" t="s">
        <v>74</v>
      </c>
      <c r="BK1121" t="s">
        <v>74</v>
      </c>
      <c r="BL1121" t="s">
        <v>74</v>
      </c>
      <c r="BM1121" t="s">
        <v>74</v>
      </c>
      <c r="BN1121">
        <v>2634263</v>
      </c>
      <c r="BO1121" t="s">
        <v>74</v>
      </c>
      <c r="BP1121" t="s">
        <v>74</v>
      </c>
      <c r="BQ1121" t="s">
        <v>74</v>
      </c>
      <c r="BR1121" t="s">
        <v>74</v>
      </c>
      <c r="BS1121" t="s">
        <v>4171</v>
      </c>
      <c r="BT1121" t="str">
        <f>HYPERLINK("https%3A%2F%2Fwww.webofscience.com%2Fwos%2Fwoscc%2Ffull-record%2FWOS:A1989CE14400011","View Full Record in Web of Science")</f>
        <v>View Full Record in Web of Science</v>
      </c>
    </row>
    <row r="1122" spans="1:72" x14ac:dyDescent="0.4">
      <c r="A1122" t="s">
        <v>72</v>
      </c>
      <c r="B1122" t="s">
        <v>5563</v>
      </c>
      <c r="C1122" t="s">
        <v>74</v>
      </c>
      <c r="D1122" t="s">
        <v>74</v>
      </c>
      <c r="E1122" t="s">
        <v>74</v>
      </c>
      <c r="F1122" t="s">
        <v>5563</v>
      </c>
      <c r="G1122" t="s">
        <v>74</v>
      </c>
      <c r="H1122" t="s">
        <v>74</v>
      </c>
      <c r="I1122" t="s">
        <v>5564</v>
      </c>
      <c r="J1122" t="s">
        <v>5333</v>
      </c>
      <c r="K1122" t="s">
        <v>74</v>
      </c>
      <c r="L1122" t="s">
        <v>74</v>
      </c>
      <c r="M1122" t="s">
        <v>74</v>
      </c>
      <c r="N1122" t="s">
        <v>74</v>
      </c>
      <c r="O1122" t="s">
        <v>74</v>
      </c>
      <c r="P1122" t="s">
        <v>74</v>
      </c>
      <c r="Q1122" t="s">
        <v>74</v>
      </c>
      <c r="R1122" t="s">
        <v>74</v>
      </c>
      <c r="S1122" t="s">
        <v>74</v>
      </c>
      <c r="T1122" t="s">
        <v>74</v>
      </c>
      <c r="U1122" t="s">
        <v>74</v>
      </c>
      <c r="V1122" s="3" t="s">
        <v>5565</v>
      </c>
      <c r="W1122" t="s">
        <v>74</v>
      </c>
      <c r="X1122" t="s">
        <v>74</v>
      </c>
      <c r="Y1122" t="s">
        <v>74</v>
      </c>
      <c r="Z1122" t="s">
        <v>74</v>
      </c>
      <c r="AA1122" t="s">
        <v>74</v>
      </c>
      <c r="AB1122" t="s">
        <v>74</v>
      </c>
      <c r="AC1122" t="s">
        <v>74</v>
      </c>
      <c r="AD1122" t="s">
        <v>74</v>
      </c>
      <c r="AE1122" t="s">
        <v>74</v>
      </c>
      <c r="AF1122" t="s">
        <v>74</v>
      </c>
      <c r="AG1122" t="s">
        <v>74</v>
      </c>
      <c r="AH1122" t="s">
        <v>74</v>
      </c>
      <c r="AI1122" t="s">
        <v>74</v>
      </c>
      <c r="AJ1122" t="s">
        <v>74</v>
      </c>
      <c r="AK1122" t="s">
        <v>74</v>
      </c>
      <c r="AL1122" t="s">
        <v>74</v>
      </c>
      <c r="AM1122" t="s">
        <v>74</v>
      </c>
      <c r="AN1122" t="s">
        <v>74</v>
      </c>
      <c r="AO1122" t="s">
        <v>5335</v>
      </c>
      <c r="AP1122" t="s">
        <v>74</v>
      </c>
      <c r="AQ1122" t="s">
        <v>74</v>
      </c>
      <c r="AR1122" t="s">
        <v>74</v>
      </c>
      <c r="AS1122" t="s">
        <v>74</v>
      </c>
      <c r="AT1122" t="s">
        <v>74</v>
      </c>
      <c r="AU1122">
        <v>1985</v>
      </c>
      <c r="AV1122">
        <v>50</v>
      </c>
      <c r="AW1122">
        <v>3</v>
      </c>
      <c r="AX1122" t="s">
        <v>74</v>
      </c>
      <c r="AY1122" t="s">
        <v>74</v>
      </c>
      <c r="AZ1122" t="s">
        <v>74</v>
      </c>
      <c r="BA1122" t="s">
        <v>74</v>
      </c>
      <c r="BB1122">
        <v>166</v>
      </c>
      <c r="BC1122">
        <v>174</v>
      </c>
      <c r="BD1122" t="s">
        <v>74</v>
      </c>
      <c r="BE1122" t="s">
        <v>74</v>
      </c>
      <c r="BF1122" t="s">
        <v>74</v>
      </c>
      <c r="BG1122" t="s">
        <v>74</v>
      </c>
      <c r="BH1122" t="s">
        <v>74</v>
      </c>
      <c r="BI1122" t="s">
        <v>74</v>
      </c>
      <c r="BJ1122" t="s">
        <v>74</v>
      </c>
      <c r="BK1122" t="s">
        <v>74</v>
      </c>
      <c r="BL1122" t="s">
        <v>74</v>
      </c>
      <c r="BM1122" t="s">
        <v>74</v>
      </c>
      <c r="BN1122" t="s">
        <v>74</v>
      </c>
      <c r="BO1122" t="s">
        <v>74</v>
      </c>
      <c r="BP1122" t="s">
        <v>74</v>
      </c>
      <c r="BQ1122" t="s">
        <v>74</v>
      </c>
      <c r="BR1122" t="s">
        <v>74</v>
      </c>
      <c r="BS1122" t="s">
        <v>5566</v>
      </c>
      <c r="BT1122" t="str">
        <f>HYPERLINK("https%3A%2F%2Fwww.webofscience.com%2Fwos%2Fwoscc%2Ffull-record%2FWOS:A1985ALJ2100004","View Full Record in Web of Science")</f>
        <v>View Full Record in Web of Science</v>
      </c>
    </row>
    <row r="1123" spans="1:72" x14ac:dyDescent="0.4">
      <c r="A1123" t="s">
        <v>72</v>
      </c>
      <c r="B1123" t="s">
        <v>8162</v>
      </c>
      <c r="C1123" t="s">
        <v>74</v>
      </c>
      <c r="D1123" t="s">
        <v>74</v>
      </c>
      <c r="E1123" t="s">
        <v>74</v>
      </c>
      <c r="F1123" t="s">
        <v>8162</v>
      </c>
      <c r="G1123" t="s">
        <v>74</v>
      </c>
      <c r="H1123" t="s">
        <v>74</v>
      </c>
      <c r="I1123" t="s">
        <v>8163</v>
      </c>
      <c r="J1123" t="s">
        <v>241</v>
      </c>
      <c r="K1123" t="s">
        <v>74</v>
      </c>
      <c r="L1123" t="s">
        <v>74</v>
      </c>
      <c r="M1123" t="s">
        <v>74</v>
      </c>
      <c r="N1123" t="s">
        <v>74</v>
      </c>
      <c r="O1123" t="s">
        <v>74</v>
      </c>
      <c r="P1123" t="s">
        <v>74</v>
      </c>
      <c r="Q1123" t="s">
        <v>74</v>
      </c>
      <c r="R1123" t="s">
        <v>74</v>
      </c>
      <c r="S1123" t="s">
        <v>74</v>
      </c>
      <c r="T1123" t="s">
        <v>74</v>
      </c>
      <c r="U1123" t="s">
        <v>74</v>
      </c>
      <c r="V1123" s="3" t="s">
        <v>8164</v>
      </c>
      <c r="W1123" t="s">
        <v>74</v>
      </c>
      <c r="X1123" t="s">
        <v>74</v>
      </c>
      <c r="Y1123" t="s">
        <v>74</v>
      </c>
      <c r="Z1123" t="s">
        <v>74</v>
      </c>
      <c r="AA1123" t="s">
        <v>6473</v>
      </c>
      <c r="AB1123" t="s">
        <v>8165</v>
      </c>
      <c r="AC1123" t="s">
        <v>74</v>
      </c>
      <c r="AD1123" t="s">
        <v>74</v>
      </c>
      <c r="AE1123" t="s">
        <v>74</v>
      </c>
      <c r="AF1123" t="s">
        <v>74</v>
      </c>
      <c r="AG1123" t="s">
        <v>74</v>
      </c>
      <c r="AH1123" t="s">
        <v>74</v>
      </c>
      <c r="AI1123" t="s">
        <v>74</v>
      </c>
      <c r="AJ1123" t="s">
        <v>74</v>
      </c>
      <c r="AK1123" t="s">
        <v>74</v>
      </c>
      <c r="AL1123" t="s">
        <v>74</v>
      </c>
      <c r="AM1123" t="s">
        <v>74</v>
      </c>
      <c r="AN1123" t="s">
        <v>74</v>
      </c>
      <c r="AO1123" t="s">
        <v>245</v>
      </c>
      <c r="AP1123" t="s">
        <v>74</v>
      </c>
      <c r="AQ1123" t="s">
        <v>74</v>
      </c>
      <c r="AR1123" t="s">
        <v>74</v>
      </c>
      <c r="AS1123" t="s">
        <v>74</v>
      </c>
      <c r="AT1123" t="s">
        <v>145</v>
      </c>
      <c r="AU1123">
        <v>1993</v>
      </c>
      <c r="AV1123">
        <v>95</v>
      </c>
      <c r="AW1123">
        <v>2</v>
      </c>
      <c r="AX1123" t="s">
        <v>74</v>
      </c>
      <c r="AY1123" t="s">
        <v>74</v>
      </c>
      <c r="AZ1123" t="s">
        <v>74</v>
      </c>
      <c r="BA1123" t="s">
        <v>74</v>
      </c>
      <c r="BB1123">
        <v>266</v>
      </c>
      <c r="BC1123">
        <v>276</v>
      </c>
      <c r="BD1123" t="s">
        <v>74</v>
      </c>
      <c r="BE1123" t="s">
        <v>8166</v>
      </c>
      <c r="BF1123" t="str">
        <f>HYPERLINK("http://dx.doi.org/10.1007/BF00323499","http://dx.doi.org/10.1007/BF00323499")</f>
        <v>http://dx.doi.org/10.1007/BF00323499</v>
      </c>
      <c r="BG1123" t="s">
        <v>74</v>
      </c>
      <c r="BH1123" t="s">
        <v>74</v>
      </c>
      <c r="BI1123" t="s">
        <v>74</v>
      </c>
      <c r="BJ1123" t="s">
        <v>74</v>
      </c>
      <c r="BK1123" t="s">
        <v>74</v>
      </c>
      <c r="BL1123" t="s">
        <v>74</v>
      </c>
      <c r="BM1123" t="s">
        <v>74</v>
      </c>
      <c r="BN1123">
        <v>28312951</v>
      </c>
      <c r="BO1123" t="s">
        <v>74</v>
      </c>
      <c r="BP1123" t="s">
        <v>74</v>
      </c>
      <c r="BQ1123" t="s">
        <v>74</v>
      </c>
      <c r="BR1123" t="s">
        <v>74</v>
      </c>
      <c r="BS1123" t="s">
        <v>8167</v>
      </c>
      <c r="BT1123" t="str">
        <f>HYPERLINK("https%3A%2F%2Fwww.webofscience.com%2Fwos%2Fwoscc%2Ffull-record%2FWOS:A1993LV56400015","View Full Record in Web of Science")</f>
        <v>View Full Record in Web of Science</v>
      </c>
    </row>
    <row r="1124" spans="1:72" x14ac:dyDescent="0.4">
      <c r="A1124" t="s">
        <v>72</v>
      </c>
      <c r="B1124" t="s">
        <v>6081</v>
      </c>
      <c r="C1124" t="s">
        <v>74</v>
      </c>
      <c r="D1124" t="s">
        <v>74</v>
      </c>
      <c r="E1124" t="s">
        <v>74</v>
      </c>
      <c r="F1124" t="s">
        <v>6082</v>
      </c>
      <c r="G1124" t="s">
        <v>74</v>
      </c>
      <c r="H1124" t="s">
        <v>74</v>
      </c>
      <c r="I1124" t="s">
        <v>6083</v>
      </c>
      <c r="J1124" t="s">
        <v>6084</v>
      </c>
      <c r="K1124" t="s">
        <v>74</v>
      </c>
      <c r="L1124" t="s">
        <v>74</v>
      </c>
      <c r="M1124" t="s">
        <v>74</v>
      </c>
      <c r="N1124" t="s">
        <v>74</v>
      </c>
      <c r="O1124" t="s">
        <v>74</v>
      </c>
      <c r="P1124" t="s">
        <v>74</v>
      </c>
      <c r="Q1124" t="s">
        <v>74</v>
      </c>
      <c r="R1124" t="s">
        <v>74</v>
      </c>
      <c r="S1124" t="s">
        <v>74</v>
      </c>
      <c r="T1124" t="s">
        <v>74</v>
      </c>
      <c r="U1124" t="s">
        <v>74</v>
      </c>
      <c r="V1124" s="3" t="s">
        <v>6085</v>
      </c>
      <c r="W1124" t="s">
        <v>74</v>
      </c>
      <c r="X1124" t="s">
        <v>74</v>
      </c>
      <c r="Y1124" t="s">
        <v>74</v>
      </c>
      <c r="Z1124" t="s">
        <v>74</v>
      </c>
      <c r="AA1124" t="s">
        <v>2989</v>
      </c>
      <c r="AB1124" t="s">
        <v>6086</v>
      </c>
      <c r="AC1124" t="s">
        <v>74</v>
      </c>
      <c r="AD1124" t="s">
        <v>74</v>
      </c>
      <c r="AE1124" t="s">
        <v>74</v>
      </c>
      <c r="AF1124" t="s">
        <v>74</v>
      </c>
      <c r="AG1124" t="s">
        <v>74</v>
      </c>
      <c r="AH1124" t="s">
        <v>74</v>
      </c>
      <c r="AI1124" t="s">
        <v>74</v>
      </c>
      <c r="AJ1124" t="s">
        <v>74</v>
      </c>
      <c r="AK1124" t="s">
        <v>74</v>
      </c>
      <c r="AL1124" t="s">
        <v>74</v>
      </c>
      <c r="AM1124" t="s">
        <v>74</v>
      </c>
      <c r="AN1124" t="s">
        <v>74</v>
      </c>
      <c r="AO1124" t="s">
        <v>6087</v>
      </c>
      <c r="AP1124" t="s">
        <v>6088</v>
      </c>
      <c r="AQ1124" t="s">
        <v>74</v>
      </c>
      <c r="AR1124" t="s">
        <v>74</v>
      </c>
      <c r="AS1124" t="s">
        <v>74</v>
      </c>
      <c r="AT1124" t="s">
        <v>74</v>
      </c>
      <c r="AU1124">
        <v>2017</v>
      </c>
      <c r="AV1124">
        <v>20</v>
      </c>
      <c r="AW1124">
        <v>1</v>
      </c>
      <c r="AX1124" t="s">
        <v>74</v>
      </c>
      <c r="AY1124" t="s">
        <v>74</v>
      </c>
      <c r="AZ1124" t="s">
        <v>74</v>
      </c>
      <c r="BA1124" t="s">
        <v>74</v>
      </c>
      <c r="BB1124">
        <v>43</v>
      </c>
      <c r="BC1124">
        <v>52</v>
      </c>
      <c r="BD1124" t="s">
        <v>74</v>
      </c>
      <c r="BE1124" t="s">
        <v>6089</v>
      </c>
      <c r="BF1124" t="str">
        <f>HYPERLINK("http://dx.doi.org/10.1080/13887890.2017.1297259","http://dx.doi.org/10.1080/13887890.2017.1297259")</f>
        <v>http://dx.doi.org/10.1080/13887890.2017.1297259</v>
      </c>
      <c r="BG1124" t="s">
        <v>74</v>
      </c>
      <c r="BH1124" t="s">
        <v>74</v>
      </c>
      <c r="BI1124" t="s">
        <v>74</v>
      </c>
      <c r="BJ1124" t="s">
        <v>74</v>
      </c>
      <c r="BK1124" t="s">
        <v>74</v>
      </c>
      <c r="BL1124" t="s">
        <v>74</v>
      </c>
      <c r="BM1124" t="s">
        <v>74</v>
      </c>
      <c r="BN1124" t="s">
        <v>74</v>
      </c>
      <c r="BO1124" t="s">
        <v>74</v>
      </c>
      <c r="BP1124" t="s">
        <v>74</v>
      </c>
      <c r="BQ1124" t="s">
        <v>74</v>
      </c>
      <c r="BR1124" t="s">
        <v>74</v>
      </c>
      <c r="BS1124" t="s">
        <v>6090</v>
      </c>
      <c r="BT1124" t="str">
        <f>HYPERLINK("https%3A%2F%2Fwww.webofscience.com%2Fwos%2Fwoscc%2Ffull-record%2FWOS:000398096300004","View Full Record in Web of Science")</f>
        <v>View Full Record in Web of Science</v>
      </c>
    </row>
    <row r="1125" spans="1:72" x14ac:dyDescent="0.4">
      <c r="A1125" t="s">
        <v>72</v>
      </c>
      <c r="B1125" t="s">
        <v>8292</v>
      </c>
      <c r="C1125" t="s">
        <v>74</v>
      </c>
      <c r="D1125" t="s">
        <v>74</v>
      </c>
      <c r="E1125" t="s">
        <v>74</v>
      </c>
      <c r="F1125" t="s">
        <v>8292</v>
      </c>
      <c r="G1125" t="s">
        <v>74</v>
      </c>
      <c r="H1125" t="s">
        <v>74</v>
      </c>
      <c r="I1125" t="s">
        <v>8293</v>
      </c>
      <c r="J1125" t="s">
        <v>456</v>
      </c>
      <c r="K1125" t="s">
        <v>74</v>
      </c>
      <c r="L1125" t="s">
        <v>74</v>
      </c>
      <c r="M1125" t="s">
        <v>74</v>
      </c>
      <c r="N1125" t="s">
        <v>74</v>
      </c>
      <c r="O1125" t="s">
        <v>74</v>
      </c>
      <c r="P1125" t="s">
        <v>74</v>
      </c>
      <c r="Q1125" t="s">
        <v>74</v>
      </c>
      <c r="R1125" t="s">
        <v>74</v>
      </c>
      <c r="S1125" t="s">
        <v>74</v>
      </c>
      <c r="T1125" t="s">
        <v>74</v>
      </c>
      <c r="U1125" t="s">
        <v>74</v>
      </c>
      <c r="V1125" s="3" t="s">
        <v>8294</v>
      </c>
      <c r="W1125" t="s">
        <v>74</v>
      </c>
      <c r="X1125" t="s">
        <v>74</v>
      </c>
      <c r="Y1125" t="s">
        <v>74</v>
      </c>
      <c r="Z1125" t="s">
        <v>74</v>
      </c>
      <c r="AA1125" t="s">
        <v>74</v>
      </c>
      <c r="AB1125" t="s">
        <v>74</v>
      </c>
      <c r="AC1125" t="s">
        <v>74</v>
      </c>
      <c r="AD1125" t="s">
        <v>74</v>
      </c>
      <c r="AE1125" t="s">
        <v>74</v>
      </c>
      <c r="AF1125" t="s">
        <v>74</v>
      </c>
      <c r="AG1125" t="s">
        <v>74</v>
      </c>
      <c r="AH1125" t="s">
        <v>74</v>
      </c>
      <c r="AI1125" t="s">
        <v>74</v>
      </c>
      <c r="AJ1125" t="s">
        <v>74</v>
      </c>
      <c r="AK1125" t="s">
        <v>74</v>
      </c>
      <c r="AL1125" t="s">
        <v>74</v>
      </c>
      <c r="AM1125" t="s">
        <v>74</v>
      </c>
      <c r="AN1125" t="s">
        <v>74</v>
      </c>
      <c r="AO1125" t="s">
        <v>460</v>
      </c>
      <c r="AP1125" t="s">
        <v>74</v>
      </c>
      <c r="AQ1125" t="s">
        <v>74</v>
      </c>
      <c r="AR1125" t="s">
        <v>74</v>
      </c>
      <c r="AS1125" t="s">
        <v>74</v>
      </c>
      <c r="AT1125" t="s">
        <v>352</v>
      </c>
      <c r="AU1125">
        <v>1991</v>
      </c>
      <c r="AV1125">
        <v>225</v>
      </c>
      <c r="AW1125" t="s">
        <v>74</v>
      </c>
      <c r="AX1125">
        <v>1</v>
      </c>
      <c r="AY1125" t="s">
        <v>74</v>
      </c>
      <c r="AZ1125" t="s">
        <v>74</v>
      </c>
      <c r="BA1125" t="s">
        <v>74</v>
      </c>
      <c r="BB1125">
        <v>43</v>
      </c>
      <c r="BC1125">
        <v>58</v>
      </c>
      <c r="BD1125" t="s">
        <v>74</v>
      </c>
      <c r="BE1125" t="s">
        <v>8295</v>
      </c>
      <c r="BF1125" t="str">
        <f>HYPERLINK("http://dx.doi.org/10.1111/j.1469-7998.1991.tb03800.x","http://dx.doi.org/10.1111/j.1469-7998.1991.tb03800.x")</f>
        <v>http://dx.doi.org/10.1111/j.1469-7998.1991.tb03800.x</v>
      </c>
      <c r="BG1125" t="s">
        <v>74</v>
      </c>
      <c r="BH1125" t="s">
        <v>74</v>
      </c>
      <c r="BI1125" t="s">
        <v>74</v>
      </c>
      <c r="BJ1125" t="s">
        <v>74</v>
      </c>
      <c r="BK1125" t="s">
        <v>74</v>
      </c>
      <c r="BL1125" t="s">
        <v>74</v>
      </c>
      <c r="BM1125" t="s">
        <v>74</v>
      </c>
      <c r="BN1125" t="s">
        <v>74</v>
      </c>
      <c r="BO1125" t="s">
        <v>74</v>
      </c>
      <c r="BP1125" t="s">
        <v>74</v>
      </c>
      <c r="BQ1125" t="s">
        <v>74</v>
      </c>
      <c r="BR1125" t="s">
        <v>74</v>
      </c>
      <c r="BS1125" t="s">
        <v>8296</v>
      </c>
      <c r="BT1125" t="str">
        <f>HYPERLINK("https%3A%2F%2Fwww.webofscience.com%2Fwos%2Fwoscc%2Ffull-record%2FWOS:A1991GK01600004","View Full Record in Web of Science")</f>
        <v>View Full Record in Web of Science</v>
      </c>
    </row>
    <row r="1126" spans="1:72" x14ac:dyDescent="0.4">
      <c r="A1126" t="s">
        <v>72</v>
      </c>
      <c r="B1126" t="s">
        <v>4938</v>
      </c>
      <c r="C1126" t="s">
        <v>74</v>
      </c>
      <c r="D1126" t="s">
        <v>74</v>
      </c>
      <c r="E1126" t="s">
        <v>74</v>
      </c>
      <c r="F1126" t="s">
        <v>4938</v>
      </c>
      <c r="G1126" t="s">
        <v>74</v>
      </c>
      <c r="H1126" t="s">
        <v>74</v>
      </c>
      <c r="I1126" t="s">
        <v>4939</v>
      </c>
      <c r="J1126" t="s">
        <v>4522</v>
      </c>
      <c r="K1126" t="s">
        <v>74</v>
      </c>
      <c r="L1126" t="s">
        <v>74</v>
      </c>
      <c r="M1126" t="s">
        <v>74</v>
      </c>
      <c r="N1126" t="s">
        <v>74</v>
      </c>
      <c r="O1126" t="s">
        <v>74</v>
      </c>
      <c r="P1126" t="s">
        <v>74</v>
      </c>
      <c r="Q1126" t="s">
        <v>74</v>
      </c>
      <c r="R1126" t="s">
        <v>74</v>
      </c>
      <c r="S1126" t="s">
        <v>74</v>
      </c>
      <c r="T1126" t="s">
        <v>74</v>
      </c>
      <c r="U1126" t="s">
        <v>74</v>
      </c>
      <c r="V1126" s="3" t="s">
        <v>4940</v>
      </c>
      <c r="W1126" t="s">
        <v>74</v>
      </c>
      <c r="X1126" t="s">
        <v>74</v>
      </c>
      <c r="Y1126" t="s">
        <v>74</v>
      </c>
      <c r="Z1126" t="s">
        <v>74</v>
      </c>
      <c r="AA1126" t="s">
        <v>74</v>
      </c>
      <c r="AB1126" t="s">
        <v>74</v>
      </c>
      <c r="AC1126" t="s">
        <v>74</v>
      </c>
      <c r="AD1126" t="s">
        <v>74</v>
      </c>
      <c r="AE1126" t="s">
        <v>74</v>
      </c>
      <c r="AF1126" t="s">
        <v>74</v>
      </c>
      <c r="AG1126" t="s">
        <v>74</v>
      </c>
      <c r="AH1126" t="s">
        <v>74</v>
      </c>
      <c r="AI1126" t="s">
        <v>74</v>
      </c>
      <c r="AJ1126" t="s">
        <v>74</v>
      </c>
      <c r="AK1126" t="s">
        <v>74</v>
      </c>
      <c r="AL1126" t="s">
        <v>74</v>
      </c>
      <c r="AM1126" t="s">
        <v>74</v>
      </c>
      <c r="AN1126" t="s">
        <v>74</v>
      </c>
      <c r="AO1126" t="s">
        <v>4526</v>
      </c>
      <c r="AP1126" t="s">
        <v>4527</v>
      </c>
      <c r="AQ1126" t="s">
        <v>74</v>
      </c>
      <c r="AR1126" t="s">
        <v>74</v>
      </c>
      <c r="AS1126" t="s">
        <v>74</v>
      </c>
      <c r="AT1126" t="s">
        <v>1075</v>
      </c>
      <c r="AU1126">
        <v>1990</v>
      </c>
      <c r="AV1126">
        <v>24</v>
      </c>
      <c r="AW1126">
        <v>6</v>
      </c>
      <c r="AX1126" t="s">
        <v>74</v>
      </c>
      <c r="AY1126" t="s">
        <v>74</v>
      </c>
      <c r="AZ1126" t="s">
        <v>74</v>
      </c>
      <c r="BA1126" t="s">
        <v>74</v>
      </c>
      <c r="BB1126">
        <v>1617</v>
      </c>
      <c r="BC1126">
        <v>1627</v>
      </c>
      <c r="BD1126" t="s">
        <v>74</v>
      </c>
      <c r="BE1126" t="s">
        <v>4941</v>
      </c>
      <c r="BF1126" t="str">
        <f>HYPERLINK("http://dx.doi.org/10.1080/00222939000770931","http://dx.doi.org/10.1080/00222939000770931")</f>
        <v>http://dx.doi.org/10.1080/00222939000770931</v>
      </c>
      <c r="BG1126" t="s">
        <v>74</v>
      </c>
      <c r="BH1126" t="s">
        <v>74</v>
      </c>
      <c r="BI1126" t="s">
        <v>74</v>
      </c>
      <c r="BJ1126" t="s">
        <v>74</v>
      </c>
      <c r="BK1126" t="s">
        <v>74</v>
      </c>
      <c r="BL1126" t="s">
        <v>74</v>
      </c>
      <c r="BM1126" t="s">
        <v>74</v>
      </c>
      <c r="BN1126" t="s">
        <v>74</v>
      </c>
      <c r="BO1126" t="s">
        <v>74</v>
      </c>
      <c r="BP1126" t="s">
        <v>74</v>
      </c>
      <c r="BQ1126" t="s">
        <v>74</v>
      </c>
      <c r="BR1126" t="s">
        <v>74</v>
      </c>
      <c r="BS1126" t="s">
        <v>4942</v>
      </c>
      <c r="BT1126" t="str">
        <f>HYPERLINK("https%3A%2F%2Fwww.webofscience.com%2Fwos%2Fwoscc%2Ffull-record%2FWOS:A1990EH88300013","View Full Record in Web of Science")</f>
        <v>View Full Record in Web of Science</v>
      </c>
    </row>
    <row r="1127" spans="1:72" x14ac:dyDescent="0.4">
      <c r="A1127" t="s">
        <v>72</v>
      </c>
      <c r="B1127" t="s">
        <v>7883</v>
      </c>
      <c r="C1127" t="s">
        <v>74</v>
      </c>
      <c r="D1127" t="s">
        <v>74</v>
      </c>
      <c r="E1127" t="s">
        <v>74</v>
      </c>
      <c r="F1127" t="s">
        <v>7883</v>
      </c>
      <c r="G1127" t="s">
        <v>74</v>
      </c>
      <c r="H1127" t="s">
        <v>74</v>
      </c>
      <c r="I1127" t="s">
        <v>7884</v>
      </c>
      <c r="J1127" t="s">
        <v>610</v>
      </c>
      <c r="K1127" t="s">
        <v>74</v>
      </c>
      <c r="L1127" t="s">
        <v>74</v>
      </c>
      <c r="M1127" t="s">
        <v>74</v>
      </c>
      <c r="N1127" t="s">
        <v>74</v>
      </c>
      <c r="O1127" t="s">
        <v>74</v>
      </c>
      <c r="P1127" t="s">
        <v>74</v>
      </c>
      <c r="Q1127" t="s">
        <v>74</v>
      </c>
      <c r="R1127" t="s">
        <v>74</v>
      </c>
      <c r="S1127" t="s">
        <v>74</v>
      </c>
      <c r="T1127" t="s">
        <v>74</v>
      </c>
      <c r="U1127" t="s">
        <v>74</v>
      </c>
      <c r="V1127" s="3" t="s">
        <v>7885</v>
      </c>
      <c r="W1127" t="s">
        <v>74</v>
      </c>
      <c r="X1127" t="s">
        <v>74</v>
      </c>
      <c r="Y1127" t="s">
        <v>74</v>
      </c>
      <c r="Z1127" t="s">
        <v>74</v>
      </c>
      <c r="AA1127" t="s">
        <v>74</v>
      </c>
      <c r="AB1127" t="s">
        <v>74</v>
      </c>
      <c r="AC1127" t="s">
        <v>74</v>
      </c>
      <c r="AD1127" t="s">
        <v>74</v>
      </c>
      <c r="AE1127" t="s">
        <v>74</v>
      </c>
      <c r="AF1127" t="s">
        <v>74</v>
      </c>
      <c r="AG1127" t="s">
        <v>74</v>
      </c>
      <c r="AH1127" t="s">
        <v>74</v>
      </c>
      <c r="AI1127" t="s">
        <v>74</v>
      </c>
      <c r="AJ1127" t="s">
        <v>74</v>
      </c>
      <c r="AK1127" t="s">
        <v>74</v>
      </c>
      <c r="AL1127" t="s">
        <v>74</v>
      </c>
      <c r="AM1127" t="s">
        <v>74</v>
      </c>
      <c r="AN1127" t="s">
        <v>74</v>
      </c>
      <c r="AO1127" t="s">
        <v>614</v>
      </c>
      <c r="AP1127" t="s">
        <v>615</v>
      </c>
      <c r="AQ1127" t="s">
        <v>74</v>
      </c>
      <c r="AR1127" t="s">
        <v>74</v>
      </c>
      <c r="AS1127" t="s">
        <v>74</v>
      </c>
      <c r="AT1127" t="s">
        <v>633</v>
      </c>
      <c r="AU1127">
        <v>2000</v>
      </c>
      <c r="AV1127">
        <v>106</v>
      </c>
      <c r="AW1127">
        <v>4</v>
      </c>
      <c r="AX1127" t="s">
        <v>74</v>
      </c>
      <c r="AY1127" t="s">
        <v>74</v>
      </c>
      <c r="AZ1127" t="s">
        <v>74</v>
      </c>
      <c r="BA1127" t="s">
        <v>74</v>
      </c>
      <c r="BB1127">
        <v>349</v>
      </c>
      <c r="BC1127">
        <v>363</v>
      </c>
      <c r="BD1127" t="s">
        <v>74</v>
      </c>
      <c r="BE1127" t="s">
        <v>7886</v>
      </c>
      <c r="BF1127" t="str">
        <f>HYPERLINK("http://dx.doi.org/10.1046/j.1439-0310.2000.00558.x","http://dx.doi.org/10.1046/j.1439-0310.2000.00558.x")</f>
        <v>http://dx.doi.org/10.1046/j.1439-0310.2000.00558.x</v>
      </c>
      <c r="BG1127" t="s">
        <v>74</v>
      </c>
      <c r="BH1127" t="s">
        <v>74</v>
      </c>
      <c r="BI1127" t="s">
        <v>74</v>
      </c>
      <c r="BJ1127" t="s">
        <v>74</v>
      </c>
      <c r="BK1127" t="s">
        <v>74</v>
      </c>
      <c r="BL1127" t="s">
        <v>74</v>
      </c>
      <c r="BM1127" t="s">
        <v>74</v>
      </c>
      <c r="BN1127" t="s">
        <v>74</v>
      </c>
      <c r="BO1127" t="s">
        <v>74</v>
      </c>
      <c r="BP1127" t="s">
        <v>74</v>
      </c>
      <c r="BQ1127" t="s">
        <v>74</v>
      </c>
      <c r="BR1127" t="s">
        <v>74</v>
      </c>
      <c r="BS1127" t="s">
        <v>7887</v>
      </c>
      <c r="BT1127" t="str">
        <f>HYPERLINK("https%3A%2F%2Fwww.webofscience.com%2Fwos%2Fwoscc%2Ffull-record%2FWOS:000086783400005","View Full Record in Web of Science")</f>
        <v>View Full Record in Web of Science</v>
      </c>
    </row>
    <row r="1128" spans="1:72" x14ac:dyDescent="0.4">
      <c r="A1128" t="s">
        <v>72</v>
      </c>
      <c r="B1128" t="s">
        <v>4507</v>
      </c>
      <c r="C1128" t="s">
        <v>74</v>
      </c>
      <c r="D1128" t="s">
        <v>74</v>
      </c>
      <c r="E1128" t="s">
        <v>74</v>
      </c>
      <c r="F1128" t="s">
        <v>4507</v>
      </c>
      <c r="G1128" t="s">
        <v>74</v>
      </c>
      <c r="H1128" t="s">
        <v>74</v>
      </c>
      <c r="I1128" t="s">
        <v>4508</v>
      </c>
      <c r="J1128" t="s">
        <v>77</v>
      </c>
      <c r="K1128" t="s">
        <v>74</v>
      </c>
      <c r="L1128" t="s">
        <v>74</v>
      </c>
      <c r="M1128" t="s">
        <v>74</v>
      </c>
      <c r="N1128" t="s">
        <v>74</v>
      </c>
      <c r="O1128" t="s">
        <v>74</v>
      </c>
      <c r="P1128" t="s">
        <v>74</v>
      </c>
      <c r="Q1128" t="s">
        <v>74</v>
      </c>
      <c r="R1128" t="s">
        <v>74</v>
      </c>
      <c r="S1128" t="s">
        <v>74</v>
      </c>
      <c r="T1128" t="s">
        <v>74</v>
      </c>
      <c r="U1128" t="s">
        <v>74</v>
      </c>
      <c r="V1128" s="3" t="s">
        <v>4509</v>
      </c>
      <c r="W1128" t="s">
        <v>74</v>
      </c>
      <c r="X1128" t="s">
        <v>74</v>
      </c>
      <c r="Y1128" t="s">
        <v>74</v>
      </c>
      <c r="Z1128" t="s">
        <v>74</v>
      </c>
      <c r="AA1128" t="s">
        <v>74</v>
      </c>
      <c r="AB1128" t="s">
        <v>74</v>
      </c>
      <c r="AC1128" t="s">
        <v>74</v>
      </c>
      <c r="AD1128" t="s">
        <v>74</v>
      </c>
      <c r="AE1128" t="s">
        <v>74</v>
      </c>
      <c r="AF1128" t="s">
        <v>74</v>
      </c>
      <c r="AG1128" t="s">
        <v>74</v>
      </c>
      <c r="AH1128" t="s">
        <v>74</v>
      </c>
      <c r="AI1128" t="s">
        <v>74</v>
      </c>
      <c r="AJ1128" t="s">
        <v>74</v>
      </c>
      <c r="AK1128" t="s">
        <v>74</v>
      </c>
      <c r="AL1128" t="s">
        <v>74</v>
      </c>
      <c r="AM1128" t="s">
        <v>74</v>
      </c>
      <c r="AN1128" t="s">
        <v>74</v>
      </c>
      <c r="AO1128" t="s">
        <v>81</v>
      </c>
      <c r="AP1128" t="s">
        <v>82</v>
      </c>
      <c r="AQ1128" t="s">
        <v>74</v>
      </c>
      <c r="AR1128" t="s">
        <v>74</v>
      </c>
      <c r="AS1128" t="s">
        <v>74</v>
      </c>
      <c r="AT1128" t="s">
        <v>123</v>
      </c>
      <c r="AU1128">
        <v>2005</v>
      </c>
      <c r="AV1128">
        <v>142</v>
      </c>
      <c r="AW1128" t="s">
        <v>74</v>
      </c>
      <c r="AX1128">
        <v>3</v>
      </c>
      <c r="AY1128" t="s">
        <v>74</v>
      </c>
      <c r="AZ1128" t="s">
        <v>74</v>
      </c>
      <c r="BA1128" t="s">
        <v>74</v>
      </c>
      <c r="BB1128">
        <v>283</v>
      </c>
      <c r="BC1128">
        <v>303</v>
      </c>
      <c r="BD1128" t="s">
        <v>74</v>
      </c>
      <c r="BE1128" t="s">
        <v>4510</v>
      </c>
      <c r="BF1128" t="str">
        <f>HYPERLINK("http://dx.doi.org/10.1163/1568539053778292","http://dx.doi.org/10.1163/1568539053778292")</f>
        <v>http://dx.doi.org/10.1163/1568539053778292</v>
      </c>
      <c r="BG1128" t="s">
        <v>74</v>
      </c>
      <c r="BH1128" t="s">
        <v>74</v>
      </c>
      <c r="BI1128" t="s">
        <v>74</v>
      </c>
      <c r="BJ1128" t="s">
        <v>74</v>
      </c>
      <c r="BK1128" t="s">
        <v>74</v>
      </c>
      <c r="BL1128" t="s">
        <v>74</v>
      </c>
      <c r="BM1128" t="s">
        <v>74</v>
      </c>
      <c r="BN1128" t="s">
        <v>74</v>
      </c>
      <c r="BO1128" t="s">
        <v>74</v>
      </c>
      <c r="BP1128" t="s">
        <v>74</v>
      </c>
      <c r="BQ1128" t="s">
        <v>74</v>
      </c>
      <c r="BR1128" t="s">
        <v>74</v>
      </c>
      <c r="BS1128" t="s">
        <v>4511</v>
      </c>
      <c r="BT1128" t="str">
        <f>HYPERLINK("https%3A%2F%2Fwww.webofscience.com%2Fwos%2Fwoscc%2Ffull-record%2FWOS:000230357500002","View Full Record in Web of Science")</f>
        <v>View Full Record in Web of Science</v>
      </c>
    </row>
    <row r="1129" spans="1:72" x14ac:dyDescent="0.4">
      <c r="A1129" t="s">
        <v>72</v>
      </c>
      <c r="B1129" t="s">
        <v>7296</v>
      </c>
      <c r="C1129" t="s">
        <v>74</v>
      </c>
      <c r="D1129" t="s">
        <v>74</v>
      </c>
      <c r="E1129" t="s">
        <v>74</v>
      </c>
      <c r="F1129" t="s">
        <v>7296</v>
      </c>
      <c r="G1129" t="s">
        <v>74</v>
      </c>
      <c r="H1129" t="s">
        <v>74</v>
      </c>
      <c r="I1129" t="s">
        <v>7297</v>
      </c>
      <c r="J1129" t="s">
        <v>3374</v>
      </c>
      <c r="K1129" t="s">
        <v>74</v>
      </c>
      <c r="L1129" t="s">
        <v>74</v>
      </c>
      <c r="M1129" t="s">
        <v>74</v>
      </c>
      <c r="N1129" t="s">
        <v>74</v>
      </c>
      <c r="O1129" t="s">
        <v>74</v>
      </c>
      <c r="P1129" t="s">
        <v>74</v>
      </c>
      <c r="Q1129" t="s">
        <v>74</v>
      </c>
      <c r="R1129" t="s">
        <v>74</v>
      </c>
      <c r="S1129" t="s">
        <v>74</v>
      </c>
      <c r="T1129" t="s">
        <v>74</v>
      </c>
      <c r="U1129" t="s">
        <v>74</v>
      </c>
      <c r="V1129" s="3" t="s">
        <v>7298</v>
      </c>
      <c r="W1129" t="s">
        <v>74</v>
      </c>
      <c r="X1129" t="s">
        <v>74</v>
      </c>
      <c r="Y1129" t="s">
        <v>74</v>
      </c>
      <c r="Z1129" t="s">
        <v>74</v>
      </c>
      <c r="AA1129" t="s">
        <v>7299</v>
      </c>
      <c r="AB1129" t="s">
        <v>7300</v>
      </c>
      <c r="AC1129" t="s">
        <v>74</v>
      </c>
      <c r="AD1129" t="s">
        <v>74</v>
      </c>
      <c r="AE1129" t="s">
        <v>74</v>
      </c>
      <c r="AF1129" t="s">
        <v>74</v>
      </c>
      <c r="AG1129" t="s">
        <v>74</v>
      </c>
      <c r="AH1129" t="s">
        <v>74</v>
      </c>
      <c r="AI1129" t="s">
        <v>74</v>
      </c>
      <c r="AJ1129" t="s">
        <v>74</v>
      </c>
      <c r="AK1129" t="s">
        <v>74</v>
      </c>
      <c r="AL1129" t="s">
        <v>74</v>
      </c>
      <c r="AM1129" t="s">
        <v>74</v>
      </c>
      <c r="AN1129" t="s">
        <v>74</v>
      </c>
      <c r="AO1129" t="s">
        <v>3378</v>
      </c>
      <c r="AP1129" t="s">
        <v>74</v>
      </c>
      <c r="AQ1129" t="s">
        <v>74</v>
      </c>
      <c r="AR1129" t="s">
        <v>74</v>
      </c>
      <c r="AS1129" t="s">
        <v>74</v>
      </c>
      <c r="AT1129" t="s">
        <v>1013</v>
      </c>
      <c r="AU1129">
        <v>2004</v>
      </c>
      <c r="AV1129">
        <v>35</v>
      </c>
      <c r="AW1129">
        <v>5</v>
      </c>
      <c r="AX1129" t="s">
        <v>74</v>
      </c>
      <c r="AY1129" t="s">
        <v>74</v>
      </c>
      <c r="AZ1129" t="s">
        <v>74</v>
      </c>
      <c r="BA1129" t="s">
        <v>74</v>
      </c>
      <c r="BB1129">
        <v>461</v>
      </c>
      <c r="BC1129">
        <v>468</v>
      </c>
      <c r="BD1129" t="s">
        <v>74</v>
      </c>
      <c r="BE1129" t="s">
        <v>7301</v>
      </c>
      <c r="BF1129" t="str">
        <f>HYPERLINK("http://dx.doi.org/10.1051/apido:2004040","http://dx.doi.org/10.1051/apido:2004040")</f>
        <v>http://dx.doi.org/10.1051/apido:2004040</v>
      </c>
      <c r="BG1129" t="s">
        <v>74</v>
      </c>
      <c r="BH1129" t="s">
        <v>74</v>
      </c>
      <c r="BI1129" t="s">
        <v>74</v>
      </c>
      <c r="BJ1129" t="s">
        <v>74</v>
      </c>
      <c r="BK1129" t="s">
        <v>74</v>
      </c>
      <c r="BL1129" t="s">
        <v>74</v>
      </c>
      <c r="BM1129" t="s">
        <v>74</v>
      </c>
      <c r="BN1129" t="s">
        <v>74</v>
      </c>
      <c r="BO1129" t="s">
        <v>74</v>
      </c>
      <c r="BP1129" t="s">
        <v>74</v>
      </c>
      <c r="BQ1129" t="s">
        <v>74</v>
      </c>
      <c r="BR1129" t="s">
        <v>74</v>
      </c>
      <c r="BS1129" t="s">
        <v>7302</v>
      </c>
      <c r="BT1129" t="str">
        <f>HYPERLINK("https%3A%2F%2Fwww.webofscience.com%2Fwos%2Fwoscc%2Ffull-record%2FWOS:000224957200002","View Full Record in Web of Science")</f>
        <v>View Full Record in Web of Science</v>
      </c>
    </row>
    <row r="1130" spans="1:72" x14ac:dyDescent="0.4">
      <c r="A1130" t="s">
        <v>72</v>
      </c>
      <c r="B1130" t="s">
        <v>7340</v>
      </c>
      <c r="C1130" t="s">
        <v>74</v>
      </c>
      <c r="D1130" t="s">
        <v>74</v>
      </c>
      <c r="E1130" t="s">
        <v>74</v>
      </c>
      <c r="F1130" t="s">
        <v>7340</v>
      </c>
      <c r="G1130" t="s">
        <v>74</v>
      </c>
      <c r="H1130" t="s">
        <v>74</v>
      </c>
      <c r="I1130" t="s">
        <v>7341</v>
      </c>
      <c r="J1130" t="s">
        <v>1526</v>
      </c>
      <c r="K1130" t="s">
        <v>74</v>
      </c>
      <c r="L1130" t="s">
        <v>74</v>
      </c>
      <c r="M1130" t="s">
        <v>74</v>
      </c>
      <c r="N1130" t="s">
        <v>74</v>
      </c>
      <c r="O1130" t="s">
        <v>74</v>
      </c>
      <c r="P1130" t="s">
        <v>74</v>
      </c>
      <c r="Q1130" t="s">
        <v>74</v>
      </c>
      <c r="R1130" t="s">
        <v>74</v>
      </c>
      <c r="S1130" t="s">
        <v>74</v>
      </c>
      <c r="T1130" t="s">
        <v>74</v>
      </c>
      <c r="U1130" t="s">
        <v>74</v>
      </c>
      <c r="V1130" s="3" t="s">
        <v>7342</v>
      </c>
      <c r="W1130" t="s">
        <v>74</v>
      </c>
      <c r="X1130" t="s">
        <v>74</v>
      </c>
      <c r="Y1130" t="s">
        <v>74</v>
      </c>
      <c r="Z1130" t="s">
        <v>74</v>
      </c>
      <c r="AA1130" t="s">
        <v>74</v>
      </c>
      <c r="AB1130" t="s">
        <v>74</v>
      </c>
      <c r="AC1130" t="s">
        <v>74</v>
      </c>
      <c r="AD1130" t="s">
        <v>74</v>
      </c>
      <c r="AE1130" t="s">
        <v>74</v>
      </c>
      <c r="AF1130" t="s">
        <v>74</v>
      </c>
      <c r="AG1130" t="s">
        <v>74</v>
      </c>
      <c r="AH1130" t="s">
        <v>74</v>
      </c>
      <c r="AI1130" t="s">
        <v>74</v>
      </c>
      <c r="AJ1130" t="s">
        <v>74</v>
      </c>
      <c r="AK1130" t="s">
        <v>74</v>
      </c>
      <c r="AL1130" t="s">
        <v>74</v>
      </c>
      <c r="AM1130" t="s">
        <v>74</v>
      </c>
      <c r="AN1130" t="s">
        <v>74</v>
      </c>
      <c r="AO1130" t="s">
        <v>74</v>
      </c>
      <c r="AP1130" t="s">
        <v>2131</v>
      </c>
      <c r="AQ1130" t="s">
        <v>74</v>
      </c>
      <c r="AR1130" t="s">
        <v>74</v>
      </c>
      <c r="AS1130" t="s">
        <v>74</v>
      </c>
      <c r="AT1130" t="s">
        <v>74</v>
      </c>
      <c r="AU1130">
        <v>1977</v>
      </c>
      <c r="AV1130">
        <v>79</v>
      </c>
      <c r="AW1130">
        <v>1</v>
      </c>
      <c r="AX1130" t="s">
        <v>74</v>
      </c>
      <c r="AY1130" t="s">
        <v>74</v>
      </c>
      <c r="AZ1130" t="s">
        <v>74</v>
      </c>
      <c r="BA1130" t="s">
        <v>74</v>
      </c>
      <c r="BB1130">
        <v>1</v>
      </c>
      <c r="BC1130">
        <v>12</v>
      </c>
      <c r="BD1130" t="s">
        <v>74</v>
      </c>
      <c r="BE1130" t="s">
        <v>7343</v>
      </c>
      <c r="BF1130" t="str">
        <f>HYPERLINK("http://dx.doi.org/10.2307/1367524","http://dx.doi.org/10.2307/1367524")</f>
        <v>http://dx.doi.org/10.2307/1367524</v>
      </c>
      <c r="BG1130" t="s">
        <v>74</v>
      </c>
      <c r="BH1130" t="s">
        <v>74</v>
      </c>
      <c r="BI1130" t="s">
        <v>74</v>
      </c>
      <c r="BJ1130" t="s">
        <v>74</v>
      </c>
      <c r="BK1130" t="s">
        <v>74</v>
      </c>
      <c r="BL1130" t="s">
        <v>74</v>
      </c>
      <c r="BM1130" t="s">
        <v>74</v>
      </c>
      <c r="BN1130" t="s">
        <v>74</v>
      </c>
      <c r="BO1130" t="s">
        <v>74</v>
      </c>
      <c r="BP1130" t="s">
        <v>74</v>
      </c>
      <c r="BQ1130" t="s">
        <v>74</v>
      </c>
      <c r="BR1130" t="s">
        <v>74</v>
      </c>
      <c r="BS1130" t="s">
        <v>7344</v>
      </c>
      <c r="BT1130" t="str">
        <f>HYPERLINK("https%3A%2F%2Fwww.webofscience.com%2Fwos%2Fwoscc%2Ffull-record%2FWOS:A1977DN61900001","View Full Record in Web of Science")</f>
        <v>View Full Record in Web of Science</v>
      </c>
    </row>
    <row r="1131" spans="1:72" x14ac:dyDescent="0.4">
      <c r="A1131" t="s">
        <v>72</v>
      </c>
      <c r="B1131" t="s">
        <v>496</v>
      </c>
      <c r="C1131" t="s">
        <v>74</v>
      </c>
      <c r="D1131" t="s">
        <v>74</v>
      </c>
      <c r="E1131" t="s">
        <v>74</v>
      </c>
      <c r="F1131" t="s">
        <v>497</v>
      </c>
      <c r="G1131" t="s">
        <v>74</v>
      </c>
      <c r="H1131" t="s">
        <v>74</v>
      </c>
      <c r="I1131" t="s">
        <v>498</v>
      </c>
      <c r="J1131" t="s">
        <v>499</v>
      </c>
      <c r="K1131" t="s">
        <v>74</v>
      </c>
      <c r="L1131" t="s">
        <v>74</v>
      </c>
      <c r="M1131" t="s">
        <v>74</v>
      </c>
      <c r="N1131" t="s">
        <v>74</v>
      </c>
      <c r="O1131" t="s">
        <v>74</v>
      </c>
      <c r="P1131" t="s">
        <v>74</v>
      </c>
      <c r="Q1131" t="s">
        <v>74</v>
      </c>
      <c r="R1131" t="s">
        <v>74</v>
      </c>
      <c r="S1131" t="s">
        <v>74</v>
      </c>
      <c r="T1131" t="s">
        <v>74</v>
      </c>
      <c r="U1131" t="s">
        <v>74</v>
      </c>
      <c r="V1131" s="3" t="s">
        <v>500</v>
      </c>
      <c r="W1131" t="s">
        <v>74</v>
      </c>
      <c r="X1131" t="s">
        <v>74</v>
      </c>
      <c r="Y1131" t="s">
        <v>74</v>
      </c>
      <c r="Z1131" t="s">
        <v>74</v>
      </c>
      <c r="AA1131" t="s">
        <v>501</v>
      </c>
      <c r="AB1131" t="s">
        <v>502</v>
      </c>
      <c r="AC1131" t="s">
        <v>74</v>
      </c>
      <c r="AD1131" t="s">
        <v>74</v>
      </c>
      <c r="AE1131" t="s">
        <v>74</v>
      </c>
      <c r="AF1131" t="s">
        <v>74</v>
      </c>
      <c r="AG1131" t="s">
        <v>74</v>
      </c>
      <c r="AH1131" t="s">
        <v>74</v>
      </c>
      <c r="AI1131" t="s">
        <v>74</v>
      </c>
      <c r="AJ1131" t="s">
        <v>74</v>
      </c>
      <c r="AK1131" t="s">
        <v>74</v>
      </c>
      <c r="AL1131" t="s">
        <v>74</v>
      </c>
      <c r="AM1131" t="s">
        <v>74</v>
      </c>
      <c r="AN1131" t="s">
        <v>74</v>
      </c>
      <c r="AO1131" t="s">
        <v>503</v>
      </c>
      <c r="AP1131" t="s">
        <v>504</v>
      </c>
      <c r="AQ1131" t="s">
        <v>74</v>
      </c>
      <c r="AR1131" t="s">
        <v>74</v>
      </c>
      <c r="AS1131" t="s">
        <v>74</v>
      </c>
      <c r="AT1131" t="s">
        <v>134</v>
      </c>
      <c r="AU1131">
        <v>2016</v>
      </c>
      <c r="AV1131">
        <v>17</v>
      </c>
      <c r="AW1131">
        <v>3</v>
      </c>
      <c r="AX1131" t="s">
        <v>74</v>
      </c>
      <c r="AY1131" t="s">
        <v>74</v>
      </c>
      <c r="AZ1131" t="s">
        <v>74</v>
      </c>
      <c r="BA1131" t="s">
        <v>74</v>
      </c>
      <c r="BB1131">
        <v>407</v>
      </c>
      <c r="BC1131">
        <v>418</v>
      </c>
      <c r="BD1131" t="s">
        <v>74</v>
      </c>
      <c r="BE1131" t="s">
        <v>74</v>
      </c>
      <c r="BF1131" t="s">
        <v>74</v>
      </c>
      <c r="BG1131" t="s">
        <v>74</v>
      </c>
      <c r="BH1131" t="s">
        <v>74</v>
      </c>
      <c r="BI1131" t="s">
        <v>74</v>
      </c>
      <c r="BJ1131" t="s">
        <v>74</v>
      </c>
      <c r="BK1131" t="s">
        <v>74</v>
      </c>
      <c r="BL1131" t="s">
        <v>74</v>
      </c>
      <c r="BM1131" t="s">
        <v>74</v>
      </c>
      <c r="BN1131" t="s">
        <v>74</v>
      </c>
      <c r="BO1131" t="s">
        <v>74</v>
      </c>
      <c r="BP1131" t="s">
        <v>74</v>
      </c>
      <c r="BQ1131" t="s">
        <v>74</v>
      </c>
      <c r="BR1131" t="s">
        <v>74</v>
      </c>
      <c r="BS1131" t="s">
        <v>505</v>
      </c>
      <c r="BT1131" t="str">
        <f>HYPERLINK("https%3A%2F%2Fwww.webofscience.com%2Fwos%2Fwoscc%2Ffull-record%2FWOS:000378168300007","View Full Record in Web of Science")</f>
        <v>View Full Record in Web of Science</v>
      </c>
    </row>
    <row r="1132" spans="1:72" x14ac:dyDescent="0.4">
      <c r="A1132" t="s">
        <v>72</v>
      </c>
      <c r="B1132" t="s">
        <v>4601</v>
      </c>
      <c r="C1132" t="s">
        <v>74</v>
      </c>
      <c r="D1132" t="s">
        <v>74</v>
      </c>
      <c r="E1132" t="s">
        <v>74</v>
      </c>
      <c r="F1132" t="s">
        <v>4601</v>
      </c>
      <c r="G1132" t="s">
        <v>74</v>
      </c>
      <c r="H1132" t="s">
        <v>74</v>
      </c>
      <c r="I1132" t="s">
        <v>4602</v>
      </c>
      <c r="J1132" t="s">
        <v>4603</v>
      </c>
      <c r="K1132" t="s">
        <v>74</v>
      </c>
      <c r="L1132" t="s">
        <v>74</v>
      </c>
      <c r="M1132" t="s">
        <v>74</v>
      </c>
      <c r="N1132" t="s">
        <v>74</v>
      </c>
      <c r="O1132" t="s">
        <v>74</v>
      </c>
      <c r="P1132" t="s">
        <v>74</v>
      </c>
      <c r="Q1132" t="s">
        <v>74</v>
      </c>
      <c r="R1132" t="s">
        <v>74</v>
      </c>
      <c r="S1132" t="s">
        <v>74</v>
      </c>
      <c r="T1132" t="s">
        <v>74</v>
      </c>
      <c r="U1132" t="s">
        <v>74</v>
      </c>
      <c r="V1132" s="3" t="s">
        <v>4604</v>
      </c>
      <c r="W1132" t="s">
        <v>74</v>
      </c>
      <c r="X1132" t="s">
        <v>74</v>
      </c>
      <c r="Y1132" t="s">
        <v>74</v>
      </c>
      <c r="Z1132" t="s">
        <v>74</v>
      </c>
      <c r="AA1132" t="s">
        <v>4605</v>
      </c>
      <c r="AB1132" t="s">
        <v>4606</v>
      </c>
      <c r="AC1132" t="s">
        <v>74</v>
      </c>
      <c r="AD1132" t="s">
        <v>74</v>
      </c>
      <c r="AE1132" t="s">
        <v>74</v>
      </c>
      <c r="AF1132" t="s">
        <v>74</v>
      </c>
      <c r="AG1132" t="s">
        <v>74</v>
      </c>
      <c r="AH1132" t="s">
        <v>74</v>
      </c>
      <c r="AI1132" t="s">
        <v>74</v>
      </c>
      <c r="AJ1132" t="s">
        <v>74</v>
      </c>
      <c r="AK1132" t="s">
        <v>74</v>
      </c>
      <c r="AL1132" t="s">
        <v>74</v>
      </c>
      <c r="AM1132" t="s">
        <v>74</v>
      </c>
      <c r="AN1132" t="s">
        <v>74</v>
      </c>
      <c r="AO1132" t="s">
        <v>4607</v>
      </c>
      <c r="AP1132" t="s">
        <v>74</v>
      </c>
      <c r="AQ1132" t="s">
        <v>74</v>
      </c>
      <c r="AR1132" t="s">
        <v>74</v>
      </c>
      <c r="AS1132" t="s">
        <v>74</v>
      </c>
      <c r="AT1132" t="s">
        <v>175</v>
      </c>
      <c r="AU1132">
        <v>2001</v>
      </c>
      <c r="AV1132">
        <v>11</v>
      </c>
      <c r="AW1132">
        <v>4</v>
      </c>
      <c r="AX1132" t="s">
        <v>74</v>
      </c>
      <c r="AY1132" t="s">
        <v>74</v>
      </c>
      <c r="AZ1132" t="s">
        <v>74</v>
      </c>
      <c r="BA1132" t="s">
        <v>74</v>
      </c>
      <c r="BB1132">
        <v>157</v>
      </c>
      <c r="BC1132">
        <v>165</v>
      </c>
      <c r="BD1132" t="s">
        <v>74</v>
      </c>
      <c r="BE1132" t="s">
        <v>74</v>
      </c>
      <c r="BF1132" t="s">
        <v>74</v>
      </c>
      <c r="BG1132" t="s">
        <v>74</v>
      </c>
      <c r="BH1132" t="s">
        <v>74</v>
      </c>
      <c r="BI1132" t="s">
        <v>74</v>
      </c>
      <c r="BJ1132" t="s">
        <v>74</v>
      </c>
      <c r="BK1132" t="s">
        <v>74</v>
      </c>
      <c r="BL1132" t="s">
        <v>74</v>
      </c>
      <c r="BM1132" t="s">
        <v>74</v>
      </c>
      <c r="BN1132" t="s">
        <v>74</v>
      </c>
      <c r="BO1132" t="s">
        <v>74</v>
      </c>
      <c r="BP1132" t="s">
        <v>74</v>
      </c>
      <c r="BQ1132" t="s">
        <v>74</v>
      </c>
      <c r="BR1132" t="s">
        <v>74</v>
      </c>
      <c r="BS1132" t="s">
        <v>4608</v>
      </c>
      <c r="BT1132" t="str">
        <f>HYPERLINK("https%3A%2F%2Fwww.webofscience.com%2Fwos%2Fwoscc%2Ffull-record%2FWOS:000174693400004","View Full Record in Web of Science")</f>
        <v>View Full Record in Web of Science</v>
      </c>
    </row>
    <row r="1133" spans="1:72" x14ac:dyDescent="0.4">
      <c r="A1133" t="s">
        <v>72</v>
      </c>
      <c r="B1133" t="s">
        <v>3552</v>
      </c>
      <c r="C1133" t="s">
        <v>74</v>
      </c>
      <c r="D1133" t="s">
        <v>74</v>
      </c>
      <c r="E1133" t="s">
        <v>74</v>
      </c>
      <c r="F1133" t="s">
        <v>3553</v>
      </c>
      <c r="G1133" t="s">
        <v>74</v>
      </c>
      <c r="H1133" t="s">
        <v>74</v>
      </c>
      <c r="I1133" t="s">
        <v>3554</v>
      </c>
      <c r="J1133" t="s">
        <v>3555</v>
      </c>
      <c r="K1133" t="s">
        <v>74</v>
      </c>
      <c r="L1133" t="s">
        <v>74</v>
      </c>
      <c r="M1133" t="s">
        <v>74</v>
      </c>
      <c r="N1133" t="s">
        <v>74</v>
      </c>
      <c r="O1133" t="s">
        <v>74</v>
      </c>
      <c r="P1133" t="s">
        <v>74</v>
      </c>
      <c r="Q1133" t="s">
        <v>74</v>
      </c>
      <c r="R1133" t="s">
        <v>74</v>
      </c>
      <c r="S1133" t="s">
        <v>74</v>
      </c>
      <c r="T1133" t="s">
        <v>74</v>
      </c>
      <c r="U1133" t="s">
        <v>74</v>
      </c>
      <c r="V1133" s="3" t="s">
        <v>3556</v>
      </c>
      <c r="W1133" t="s">
        <v>74</v>
      </c>
      <c r="X1133" t="s">
        <v>74</v>
      </c>
      <c r="Y1133" t="s">
        <v>74</v>
      </c>
      <c r="Z1133" t="s">
        <v>74</v>
      </c>
      <c r="AA1133" t="s">
        <v>3557</v>
      </c>
      <c r="AB1133" t="s">
        <v>74</v>
      </c>
      <c r="AC1133" t="s">
        <v>74</v>
      </c>
      <c r="AD1133" t="s">
        <v>74</v>
      </c>
      <c r="AE1133" t="s">
        <v>74</v>
      </c>
      <c r="AF1133" t="s">
        <v>74</v>
      </c>
      <c r="AG1133" t="s">
        <v>74</v>
      </c>
      <c r="AH1133" t="s">
        <v>74</v>
      </c>
      <c r="AI1133" t="s">
        <v>74</v>
      </c>
      <c r="AJ1133" t="s">
        <v>74</v>
      </c>
      <c r="AK1133" t="s">
        <v>74</v>
      </c>
      <c r="AL1133" t="s">
        <v>74</v>
      </c>
      <c r="AM1133" t="s">
        <v>74</v>
      </c>
      <c r="AN1133" t="s">
        <v>74</v>
      </c>
      <c r="AO1133" t="s">
        <v>3558</v>
      </c>
      <c r="AP1133" t="s">
        <v>3559</v>
      </c>
      <c r="AQ1133" t="s">
        <v>74</v>
      </c>
      <c r="AR1133" t="s">
        <v>74</v>
      </c>
      <c r="AS1133" t="s">
        <v>74</v>
      </c>
      <c r="AT1133" t="s">
        <v>145</v>
      </c>
      <c r="AU1133">
        <v>2007</v>
      </c>
      <c r="AV1133">
        <v>54</v>
      </c>
      <c r="AW1133">
        <v>3</v>
      </c>
      <c r="AX1133" t="s">
        <v>74</v>
      </c>
      <c r="AY1133" t="s">
        <v>74</v>
      </c>
      <c r="AZ1133" t="s">
        <v>74</v>
      </c>
      <c r="BA1133" t="s">
        <v>74</v>
      </c>
      <c r="BB1133">
        <v>268</v>
      </c>
      <c r="BC1133">
        <v>274</v>
      </c>
      <c r="BD1133" t="s">
        <v>74</v>
      </c>
      <c r="BE1133" t="s">
        <v>3560</v>
      </c>
      <c r="BF1133" t="str">
        <f>HYPERLINK("http://dx.doi.org/10.1007/s00040-007-0941-x","http://dx.doi.org/10.1007/s00040-007-0941-x")</f>
        <v>http://dx.doi.org/10.1007/s00040-007-0941-x</v>
      </c>
      <c r="BG1133" t="s">
        <v>74</v>
      </c>
      <c r="BH1133" t="s">
        <v>74</v>
      </c>
      <c r="BI1133" t="s">
        <v>74</v>
      </c>
      <c r="BJ1133" t="s">
        <v>74</v>
      </c>
      <c r="BK1133" t="s">
        <v>74</v>
      </c>
      <c r="BL1133" t="s">
        <v>74</v>
      </c>
      <c r="BM1133" t="s">
        <v>74</v>
      </c>
      <c r="BN1133" t="s">
        <v>74</v>
      </c>
      <c r="BO1133" t="s">
        <v>74</v>
      </c>
      <c r="BP1133" t="s">
        <v>74</v>
      </c>
      <c r="BQ1133" t="s">
        <v>74</v>
      </c>
      <c r="BR1133" t="s">
        <v>74</v>
      </c>
      <c r="BS1133" t="s">
        <v>3561</v>
      </c>
      <c r="BT1133" t="str">
        <f>HYPERLINK("https%3A%2F%2Fwww.webofscience.com%2Fwos%2Fwoscc%2Ffull-record%2FWOS:000248901500010","View Full Record in Web of Science")</f>
        <v>View Full Record in Web of Science</v>
      </c>
    </row>
    <row r="1134" spans="1:72" x14ac:dyDescent="0.4">
      <c r="A1134" t="s">
        <v>72</v>
      </c>
      <c r="B1134" t="s">
        <v>3252</v>
      </c>
      <c r="C1134" t="s">
        <v>74</v>
      </c>
      <c r="D1134" t="s">
        <v>74</v>
      </c>
      <c r="E1134" t="s">
        <v>74</v>
      </c>
      <c r="F1134" t="s">
        <v>3253</v>
      </c>
      <c r="G1134" t="s">
        <v>74</v>
      </c>
      <c r="H1134" t="s">
        <v>74</v>
      </c>
      <c r="I1134" t="s">
        <v>3254</v>
      </c>
      <c r="J1134" t="s">
        <v>408</v>
      </c>
      <c r="K1134" t="s">
        <v>74</v>
      </c>
      <c r="L1134" t="s">
        <v>74</v>
      </c>
      <c r="M1134" t="s">
        <v>74</v>
      </c>
      <c r="N1134" t="s">
        <v>74</v>
      </c>
      <c r="O1134" t="s">
        <v>74</v>
      </c>
      <c r="P1134" t="s">
        <v>74</v>
      </c>
      <c r="Q1134" t="s">
        <v>74</v>
      </c>
      <c r="R1134" t="s">
        <v>74</v>
      </c>
      <c r="S1134" t="s">
        <v>74</v>
      </c>
      <c r="T1134" t="s">
        <v>74</v>
      </c>
      <c r="U1134" t="s">
        <v>74</v>
      </c>
      <c r="V1134" s="3" t="s">
        <v>3255</v>
      </c>
      <c r="W1134" t="s">
        <v>74</v>
      </c>
      <c r="X1134" t="s">
        <v>74</v>
      </c>
      <c r="Y1134" t="s">
        <v>74</v>
      </c>
      <c r="Z1134" t="s">
        <v>74</v>
      </c>
      <c r="AA1134" t="s">
        <v>3256</v>
      </c>
      <c r="AB1134" t="s">
        <v>3257</v>
      </c>
      <c r="AC1134" t="s">
        <v>74</v>
      </c>
      <c r="AD1134" t="s">
        <v>74</v>
      </c>
      <c r="AE1134" t="s">
        <v>74</v>
      </c>
      <c r="AF1134" t="s">
        <v>74</v>
      </c>
      <c r="AG1134" t="s">
        <v>74</v>
      </c>
      <c r="AH1134" t="s">
        <v>74</v>
      </c>
      <c r="AI1134" t="s">
        <v>74</v>
      </c>
      <c r="AJ1134" t="s">
        <v>74</v>
      </c>
      <c r="AK1134" t="s">
        <v>74</v>
      </c>
      <c r="AL1134" t="s">
        <v>74</v>
      </c>
      <c r="AM1134" t="s">
        <v>74</v>
      </c>
      <c r="AN1134" t="s">
        <v>74</v>
      </c>
      <c r="AO1134" t="s">
        <v>412</v>
      </c>
      <c r="AP1134" t="s">
        <v>413</v>
      </c>
      <c r="AQ1134" t="s">
        <v>74</v>
      </c>
      <c r="AR1134" t="s">
        <v>74</v>
      </c>
      <c r="AS1134" t="s">
        <v>74</v>
      </c>
      <c r="AT1134" t="s">
        <v>175</v>
      </c>
      <c r="AU1134">
        <v>2020</v>
      </c>
      <c r="AV1134">
        <v>131</v>
      </c>
      <c r="AW1134">
        <v>2</v>
      </c>
      <c r="AX1134" t="s">
        <v>74</v>
      </c>
      <c r="AY1134" t="s">
        <v>74</v>
      </c>
      <c r="AZ1134" t="s">
        <v>74</v>
      </c>
      <c r="BA1134" t="s">
        <v>74</v>
      </c>
      <c r="BB1134">
        <v>332</v>
      </c>
      <c r="BC1134">
        <v>343</v>
      </c>
      <c r="BD1134" t="s">
        <v>74</v>
      </c>
      <c r="BE1134" t="s">
        <v>3258</v>
      </c>
      <c r="BF1134" t="str">
        <f>HYPERLINK("http://dx.doi.org/10.1093/biolinnean/blaa119","http://dx.doi.org/10.1093/biolinnean/blaa119")</f>
        <v>http://dx.doi.org/10.1093/biolinnean/blaa119</v>
      </c>
      <c r="BG1134" t="s">
        <v>74</v>
      </c>
      <c r="BH1134" t="s">
        <v>74</v>
      </c>
      <c r="BI1134" t="s">
        <v>74</v>
      </c>
      <c r="BJ1134" t="s">
        <v>74</v>
      </c>
      <c r="BK1134" t="s">
        <v>74</v>
      </c>
      <c r="BL1134" t="s">
        <v>74</v>
      </c>
      <c r="BM1134" t="s">
        <v>74</v>
      </c>
      <c r="BN1134" t="s">
        <v>74</v>
      </c>
      <c r="BO1134" t="s">
        <v>74</v>
      </c>
      <c r="BP1134" t="s">
        <v>74</v>
      </c>
      <c r="BQ1134" t="s">
        <v>74</v>
      </c>
      <c r="BR1134" t="s">
        <v>74</v>
      </c>
      <c r="BS1134" t="s">
        <v>3259</v>
      </c>
      <c r="BT1134" t="str">
        <f>HYPERLINK("https%3A%2F%2Fwww.webofscience.com%2Fwos%2Fwoscc%2Ffull-record%2FWOS:000580984200006","View Full Record in Web of Science")</f>
        <v>View Full Record in Web of Science</v>
      </c>
    </row>
    <row r="1135" spans="1:72" x14ac:dyDescent="0.4">
      <c r="A1135" t="s">
        <v>72</v>
      </c>
      <c r="B1135" t="s">
        <v>8194</v>
      </c>
      <c r="C1135" t="s">
        <v>74</v>
      </c>
      <c r="D1135" t="s">
        <v>74</v>
      </c>
      <c r="E1135" t="s">
        <v>74</v>
      </c>
      <c r="F1135" t="s">
        <v>8195</v>
      </c>
      <c r="G1135" t="s">
        <v>74</v>
      </c>
      <c r="H1135" t="s">
        <v>74</v>
      </c>
      <c r="I1135" t="s">
        <v>8196</v>
      </c>
      <c r="J1135" t="s">
        <v>281</v>
      </c>
      <c r="K1135" t="s">
        <v>74</v>
      </c>
      <c r="L1135" t="s">
        <v>74</v>
      </c>
      <c r="M1135" t="s">
        <v>74</v>
      </c>
      <c r="N1135" t="s">
        <v>74</v>
      </c>
      <c r="O1135" t="s">
        <v>74</v>
      </c>
      <c r="P1135" t="s">
        <v>74</v>
      </c>
      <c r="Q1135" t="s">
        <v>74</v>
      </c>
      <c r="R1135" t="s">
        <v>74</v>
      </c>
      <c r="S1135" t="s">
        <v>74</v>
      </c>
      <c r="T1135" t="s">
        <v>74</v>
      </c>
      <c r="U1135" t="s">
        <v>74</v>
      </c>
      <c r="V1135" s="3" t="s">
        <v>8197</v>
      </c>
      <c r="W1135" t="s">
        <v>74</v>
      </c>
      <c r="X1135" t="s">
        <v>74</v>
      </c>
      <c r="Y1135" t="s">
        <v>74</v>
      </c>
      <c r="Z1135" t="s">
        <v>74</v>
      </c>
      <c r="AA1135" t="s">
        <v>8198</v>
      </c>
      <c r="AB1135" t="s">
        <v>1377</v>
      </c>
      <c r="AC1135" t="s">
        <v>74</v>
      </c>
      <c r="AD1135" t="s">
        <v>74</v>
      </c>
      <c r="AE1135" t="s">
        <v>74</v>
      </c>
      <c r="AF1135" t="s">
        <v>74</v>
      </c>
      <c r="AG1135" t="s">
        <v>74</v>
      </c>
      <c r="AH1135" t="s">
        <v>74</v>
      </c>
      <c r="AI1135" t="s">
        <v>74</v>
      </c>
      <c r="AJ1135" t="s">
        <v>74</v>
      </c>
      <c r="AK1135" t="s">
        <v>74</v>
      </c>
      <c r="AL1135" t="s">
        <v>74</v>
      </c>
      <c r="AM1135" t="s">
        <v>74</v>
      </c>
      <c r="AN1135" t="s">
        <v>74</v>
      </c>
      <c r="AO1135" t="s">
        <v>285</v>
      </c>
      <c r="AP1135" t="s">
        <v>286</v>
      </c>
      <c r="AQ1135" t="s">
        <v>74</v>
      </c>
      <c r="AR1135" t="s">
        <v>74</v>
      </c>
      <c r="AS1135" t="s">
        <v>74</v>
      </c>
      <c r="AT1135" t="s">
        <v>175</v>
      </c>
      <c r="AU1135">
        <v>2022</v>
      </c>
      <c r="AV1135">
        <v>25</v>
      </c>
      <c r="AW1135">
        <v>5</v>
      </c>
      <c r="AX1135" t="s">
        <v>74</v>
      </c>
      <c r="AY1135" t="s">
        <v>74</v>
      </c>
      <c r="AZ1135" t="s">
        <v>848</v>
      </c>
      <c r="BA1135" t="s">
        <v>74</v>
      </c>
      <c r="BB1135">
        <v>1299</v>
      </c>
      <c r="BC1135">
        <v>1306</v>
      </c>
      <c r="BD1135" t="s">
        <v>74</v>
      </c>
      <c r="BE1135" t="s">
        <v>8199</v>
      </c>
      <c r="BF1135" t="str">
        <f>HYPERLINK("http://dx.doi.org/10.1007/s10071-022-01613-9","http://dx.doi.org/10.1007/s10071-022-01613-9")</f>
        <v>http://dx.doi.org/10.1007/s10071-022-01613-9</v>
      </c>
      <c r="BG1135" t="s">
        <v>74</v>
      </c>
      <c r="BH1135" t="s">
        <v>415</v>
      </c>
      <c r="BI1135" t="s">
        <v>74</v>
      </c>
      <c r="BJ1135" t="s">
        <v>74</v>
      </c>
      <c r="BK1135" t="s">
        <v>74</v>
      </c>
      <c r="BL1135" t="s">
        <v>74</v>
      </c>
      <c r="BM1135" t="s">
        <v>74</v>
      </c>
      <c r="BN1135">
        <v>35320446</v>
      </c>
      <c r="BO1135" t="s">
        <v>74</v>
      </c>
      <c r="BP1135" t="s">
        <v>74</v>
      </c>
      <c r="BQ1135" t="s">
        <v>74</v>
      </c>
      <c r="BR1135" t="s">
        <v>74</v>
      </c>
      <c r="BS1135" t="s">
        <v>8200</v>
      </c>
      <c r="BT1135" t="str">
        <f>HYPERLINK("https%3A%2F%2Fwww.webofscience.com%2Fwos%2Fwoscc%2Ffull-record%2FWOS:000772345800001","View Full Record in Web of Science")</f>
        <v>View Full Record in Web of Science</v>
      </c>
    </row>
    <row r="1136" spans="1:72" x14ac:dyDescent="0.4">
      <c r="A1136" t="s">
        <v>72</v>
      </c>
      <c r="B1136" t="s">
        <v>5919</v>
      </c>
      <c r="C1136" t="s">
        <v>74</v>
      </c>
      <c r="D1136" t="s">
        <v>74</v>
      </c>
      <c r="E1136" t="s">
        <v>74</v>
      </c>
      <c r="F1136" t="s">
        <v>5920</v>
      </c>
      <c r="G1136" t="s">
        <v>74</v>
      </c>
      <c r="H1136" t="s">
        <v>74</v>
      </c>
      <c r="I1136" t="s">
        <v>5921</v>
      </c>
      <c r="J1136" t="s">
        <v>119</v>
      </c>
      <c r="K1136" t="s">
        <v>74</v>
      </c>
      <c r="L1136" t="s">
        <v>74</v>
      </c>
      <c r="M1136" t="s">
        <v>74</v>
      </c>
      <c r="N1136" t="s">
        <v>74</v>
      </c>
      <c r="O1136" t="s">
        <v>74</v>
      </c>
      <c r="P1136" t="s">
        <v>74</v>
      </c>
      <c r="Q1136" t="s">
        <v>74</v>
      </c>
      <c r="R1136" t="s">
        <v>74</v>
      </c>
      <c r="S1136" t="s">
        <v>74</v>
      </c>
      <c r="T1136" t="s">
        <v>74</v>
      </c>
      <c r="U1136" t="s">
        <v>74</v>
      </c>
      <c r="V1136" s="3" t="s">
        <v>5922</v>
      </c>
      <c r="W1136" t="s">
        <v>74</v>
      </c>
      <c r="X1136" t="s">
        <v>74</v>
      </c>
      <c r="Y1136" t="s">
        <v>74</v>
      </c>
      <c r="Z1136" t="s">
        <v>74</v>
      </c>
      <c r="AA1136" t="s">
        <v>5923</v>
      </c>
      <c r="AB1136" t="s">
        <v>74</v>
      </c>
      <c r="AC1136" t="s">
        <v>74</v>
      </c>
      <c r="AD1136" t="s">
        <v>74</v>
      </c>
      <c r="AE1136" t="s">
        <v>74</v>
      </c>
      <c r="AF1136" t="s">
        <v>74</v>
      </c>
      <c r="AG1136" t="s">
        <v>74</v>
      </c>
      <c r="AH1136" t="s">
        <v>74</v>
      </c>
      <c r="AI1136" t="s">
        <v>74</v>
      </c>
      <c r="AJ1136" t="s">
        <v>74</v>
      </c>
      <c r="AK1136" t="s">
        <v>74</v>
      </c>
      <c r="AL1136" t="s">
        <v>74</v>
      </c>
      <c r="AM1136" t="s">
        <v>74</v>
      </c>
      <c r="AN1136" t="s">
        <v>74</v>
      </c>
      <c r="AO1136" t="s">
        <v>121</v>
      </c>
      <c r="AP1136" t="s">
        <v>122</v>
      </c>
      <c r="AQ1136" t="s">
        <v>74</v>
      </c>
      <c r="AR1136" t="s">
        <v>74</v>
      </c>
      <c r="AS1136" t="s">
        <v>74</v>
      </c>
      <c r="AT1136" t="s">
        <v>633</v>
      </c>
      <c r="AU1136">
        <v>2016</v>
      </c>
      <c r="AV1136">
        <v>125</v>
      </c>
      <c r="AW1136" t="s">
        <v>74</v>
      </c>
      <c r="AX1136" t="s">
        <v>74</v>
      </c>
      <c r="AY1136" t="s">
        <v>74</v>
      </c>
      <c r="AZ1136" t="s">
        <v>74</v>
      </c>
      <c r="BA1136" t="s">
        <v>74</v>
      </c>
      <c r="BB1136">
        <v>85</v>
      </c>
      <c r="BC1136">
        <v>88</v>
      </c>
      <c r="BD1136" t="s">
        <v>74</v>
      </c>
      <c r="BE1136" t="s">
        <v>5924</v>
      </c>
      <c r="BF1136" t="str">
        <f>HYPERLINK("http://dx.doi.org/10.1016/j.beproc.2016.02.010","http://dx.doi.org/10.1016/j.beproc.2016.02.010")</f>
        <v>http://dx.doi.org/10.1016/j.beproc.2016.02.010</v>
      </c>
      <c r="BG1136" t="s">
        <v>74</v>
      </c>
      <c r="BH1136" t="s">
        <v>74</v>
      </c>
      <c r="BI1136" t="s">
        <v>74</v>
      </c>
      <c r="BJ1136" t="s">
        <v>74</v>
      </c>
      <c r="BK1136" t="s">
        <v>74</v>
      </c>
      <c r="BL1136" t="s">
        <v>74</v>
      </c>
      <c r="BM1136" t="s">
        <v>74</v>
      </c>
      <c r="BN1136">
        <v>26912482</v>
      </c>
      <c r="BO1136" t="s">
        <v>74</v>
      </c>
      <c r="BP1136" t="s">
        <v>74</v>
      </c>
      <c r="BQ1136" t="s">
        <v>74</v>
      </c>
      <c r="BR1136" t="s">
        <v>74</v>
      </c>
      <c r="BS1136" t="s">
        <v>5925</v>
      </c>
      <c r="BT1136" t="str">
        <f>HYPERLINK("https%3A%2F%2Fwww.webofscience.com%2Fwos%2Fwoscc%2Ffull-record%2FWOS:000373542900012","View Full Record in Web of Science")</f>
        <v>View Full Record in Web of Science</v>
      </c>
    </row>
    <row r="1137" spans="1:72" x14ac:dyDescent="0.4">
      <c r="A1137" t="s">
        <v>72</v>
      </c>
      <c r="B1137" t="s">
        <v>1900</v>
      </c>
      <c r="C1137" t="s">
        <v>74</v>
      </c>
      <c r="D1137" t="s">
        <v>74</v>
      </c>
      <c r="E1137" t="s">
        <v>74</v>
      </c>
      <c r="F1137" t="s">
        <v>1900</v>
      </c>
      <c r="G1137" t="s">
        <v>74</v>
      </c>
      <c r="H1137" t="s">
        <v>74</v>
      </c>
      <c r="I1137" t="s">
        <v>1901</v>
      </c>
      <c r="J1137" t="s">
        <v>610</v>
      </c>
      <c r="K1137" t="s">
        <v>74</v>
      </c>
      <c r="L1137" t="s">
        <v>74</v>
      </c>
      <c r="M1137" t="s">
        <v>74</v>
      </c>
      <c r="N1137" t="s">
        <v>74</v>
      </c>
      <c r="O1137" t="s">
        <v>74</v>
      </c>
      <c r="P1137" t="s">
        <v>74</v>
      </c>
      <c r="Q1137" t="s">
        <v>74</v>
      </c>
      <c r="R1137" t="s">
        <v>74</v>
      </c>
      <c r="S1137" t="s">
        <v>74</v>
      </c>
      <c r="T1137" t="s">
        <v>74</v>
      </c>
      <c r="U1137" t="s">
        <v>74</v>
      </c>
      <c r="V1137" s="3" t="s">
        <v>1902</v>
      </c>
      <c r="W1137" t="s">
        <v>74</v>
      </c>
      <c r="X1137" t="s">
        <v>74</v>
      </c>
      <c r="Y1137" t="s">
        <v>74</v>
      </c>
      <c r="Z1137" t="s">
        <v>74</v>
      </c>
      <c r="AA1137" t="s">
        <v>74</v>
      </c>
      <c r="AB1137" t="s">
        <v>74</v>
      </c>
      <c r="AC1137" t="s">
        <v>74</v>
      </c>
      <c r="AD1137" t="s">
        <v>74</v>
      </c>
      <c r="AE1137" t="s">
        <v>74</v>
      </c>
      <c r="AF1137" t="s">
        <v>74</v>
      </c>
      <c r="AG1137" t="s">
        <v>74</v>
      </c>
      <c r="AH1137" t="s">
        <v>74</v>
      </c>
      <c r="AI1137" t="s">
        <v>74</v>
      </c>
      <c r="AJ1137" t="s">
        <v>74</v>
      </c>
      <c r="AK1137" t="s">
        <v>74</v>
      </c>
      <c r="AL1137" t="s">
        <v>74</v>
      </c>
      <c r="AM1137" t="s">
        <v>74</v>
      </c>
      <c r="AN1137" t="s">
        <v>74</v>
      </c>
      <c r="AO1137" t="s">
        <v>614</v>
      </c>
      <c r="AP1137" t="s">
        <v>615</v>
      </c>
      <c r="AQ1137" t="s">
        <v>74</v>
      </c>
      <c r="AR1137" t="s">
        <v>74</v>
      </c>
      <c r="AS1137" t="s">
        <v>74</v>
      </c>
      <c r="AT1137" t="s">
        <v>352</v>
      </c>
      <c r="AU1137">
        <v>2001</v>
      </c>
      <c r="AV1137">
        <v>107</v>
      </c>
      <c r="AW1137">
        <v>9</v>
      </c>
      <c r="AX1137" t="s">
        <v>74</v>
      </c>
      <c r="AY1137" t="s">
        <v>74</v>
      </c>
      <c r="AZ1137" t="s">
        <v>74</v>
      </c>
      <c r="BA1137" t="s">
        <v>74</v>
      </c>
      <c r="BB1137">
        <v>777</v>
      </c>
      <c r="BC1137">
        <v>793</v>
      </c>
      <c r="BD1137" t="s">
        <v>74</v>
      </c>
      <c r="BE1137" t="s">
        <v>1903</v>
      </c>
      <c r="BF1137" t="str">
        <f>HYPERLINK("http://dx.doi.org/10.1046/j.1439-0310.2001.00704.x","http://dx.doi.org/10.1046/j.1439-0310.2001.00704.x")</f>
        <v>http://dx.doi.org/10.1046/j.1439-0310.2001.00704.x</v>
      </c>
      <c r="BG1137" t="s">
        <v>74</v>
      </c>
      <c r="BH1137" t="s">
        <v>74</v>
      </c>
      <c r="BI1137" t="s">
        <v>74</v>
      </c>
      <c r="BJ1137" t="s">
        <v>74</v>
      </c>
      <c r="BK1137" t="s">
        <v>74</v>
      </c>
      <c r="BL1137" t="s">
        <v>74</v>
      </c>
      <c r="BM1137" t="s">
        <v>74</v>
      </c>
      <c r="BN1137" t="s">
        <v>74</v>
      </c>
      <c r="BO1137" t="s">
        <v>74</v>
      </c>
      <c r="BP1137" t="s">
        <v>74</v>
      </c>
      <c r="BQ1137" t="s">
        <v>74</v>
      </c>
      <c r="BR1137" t="s">
        <v>74</v>
      </c>
      <c r="BS1137" t="s">
        <v>1904</v>
      </c>
      <c r="BT1137" t="str">
        <f>HYPERLINK("https%3A%2F%2Fwww.webofscience.com%2Fwos%2Fwoscc%2Ffull-record%2FWOS:000171378500002","View Full Record in Web of Science")</f>
        <v>View Full Record in Web of Science</v>
      </c>
    </row>
    <row r="1138" spans="1:72" x14ac:dyDescent="0.4">
      <c r="A1138" t="s">
        <v>72</v>
      </c>
      <c r="B1138" t="s">
        <v>6875</v>
      </c>
      <c r="C1138" t="s">
        <v>74</v>
      </c>
      <c r="D1138" t="s">
        <v>74</v>
      </c>
      <c r="E1138" t="s">
        <v>74</v>
      </c>
      <c r="F1138" t="s">
        <v>6876</v>
      </c>
      <c r="G1138" t="s">
        <v>74</v>
      </c>
      <c r="H1138" t="s">
        <v>74</v>
      </c>
      <c r="I1138" t="s">
        <v>6877</v>
      </c>
      <c r="J1138" t="s">
        <v>5961</v>
      </c>
      <c r="K1138" t="s">
        <v>74</v>
      </c>
      <c r="L1138" t="s">
        <v>74</v>
      </c>
      <c r="M1138" t="s">
        <v>74</v>
      </c>
      <c r="N1138" t="s">
        <v>74</v>
      </c>
      <c r="O1138" t="s">
        <v>74</v>
      </c>
      <c r="P1138" t="s">
        <v>74</v>
      </c>
      <c r="Q1138" t="s">
        <v>74</v>
      </c>
      <c r="R1138" t="s">
        <v>74</v>
      </c>
      <c r="S1138" t="s">
        <v>74</v>
      </c>
      <c r="T1138" t="s">
        <v>74</v>
      </c>
      <c r="U1138" t="s">
        <v>74</v>
      </c>
      <c r="V1138" s="3" t="s">
        <v>6878</v>
      </c>
      <c r="W1138" t="s">
        <v>74</v>
      </c>
      <c r="X1138" t="s">
        <v>74</v>
      </c>
      <c r="Y1138" t="s">
        <v>74</v>
      </c>
      <c r="Z1138" t="s">
        <v>74</v>
      </c>
      <c r="AA1138" t="s">
        <v>6879</v>
      </c>
      <c r="AB1138" t="s">
        <v>6880</v>
      </c>
      <c r="AC1138" t="s">
        <v>74</v>
      </c>
      <c r="AD1138" t="s">
        <v>74</v>
      </c>
      <c r="AE1138" t="s">
        <v>74</v>
      </c>
      <c r="AF1138" t="s">
        <v>74</v>
      </c>
      <c r="AG1138" t="s">
        <v>74</v>
      </c>
      <c r="AH1138" t="s">
        <v>74</v>
      </c>
      <c r="AI1138" t="s">
        <v>74</v>
      </c>
      <c r="AJ1138" t="s">
        <v>74</v>
      </c>
      <c r="AK1138" t="s">
        <v>74</v>
      </c>
      <c r="AL1138" t="s">
        <v>74</v>
      </c>
      <c r="AM1138" t="s">
        <v>74</v>
      </c>
      <c r="AN1138" t="s">
        <v>74</v>
      </c>
      <c r="AO1138" t="s">
        <v>5965</v>
      </c>
      <c r="AP1138" t="s">
        <v>5966</v>
      </c>
      <c r="AQ1138" t="s">
        <v>74</v>
      </c>
      <c r="AR1138" t="s">
        <v>74</v>
      </c>
      <c r="AS1138" t="s">
        <v>74</v>
      </c>
      <c r="AT1138" t="s">
        <v>204</v>
      </c>
      <c r="AU1138">
        <v>2018</v>
      </c>
      <c r="AV1138">
        <v>43</v>
      </c>
      <c r="AW1138">
        <v>3</v>
      </c>
      <c r="AX1138" t="s">
        <v>74</v>
      </c>
      <c r="AY1138" t="s">
        <v>74</v>
      </c>
      <c r="AZ1138" t="s">
        <v>74</v>
      </c>
      <c r="BA1138" t="s">
        <v>74</v>
      </c>
      <c r="BB1138">
        <v>568</v>
      </c>
      <c r="BC1138">
        <v>595</v>
      </c>
      <c r="BD1138" t="s">
        <v>74</v>
      </c>
      <c r="BE1138" t="s">
        <v>6881</v>
      </c>
      <c r="BF1138" t="str">
        <f>HYPERLINK("http://dx.doi.org/10.1111/syen.12287","http://dx.doi.org/10.1111/syen.12287")</f>
        <v>http://dx.doi.org/10.1111/syen.12287</v>
      </c>
      <c r="BG1138" t="s">
        <v>74</v>
      </c>
      <c r="BH1138" t="s">
        <v>74</v>
      </c>
      <c r="BI1138" t="s">
        <v>74</v>
      </c>
      <c r="BJ1138" t="s">
        <v>74</v>
      </c>
      <c r="BK1138" t="s">
        <v>74</v>
      </c>
      <c r="BL1138" t="s">
        <v>74</v>
      </c>
      <c r="BM1138" t="s">
        <v>74</v>
      </c>
      <c r="BN1138" t="s">
        <v>74</v>
      </c>
      <c r="BO1138" t="s">
        <v>74</v>
      </c>
      <c r="BP1138" t="s">
        <v>74</v>
      </c>
      <c r="BQ1138" t="s">
        <v>74</v>
      </c>
      <c r="BR1138" t="s">
        <v>74</v>
      </c>
      <c r="BS1138" t="s">
        <v>6882</v>
      </c>
      <c r="BT1138" t="str">
        <f>HYPERLINK("https%3A%2F%2Fwww.webofscience.com%2Fwos%2Fwoscc%2Ffull-record%2FWOS:000434280000009","View Full Record in Web of Science")</f>
        <v>View Full Record in Web of Science</v>
      </c>
    </row>
    <row r="1139" spans="1:72" x14ac:dyDescent="0.4">
      <c r="A1139" t="s">
        <v>72</v>
      </c>
      <c r="B1139" t="s">
        <v>1181</v>
      </c>
      <c r="C1139" t="s">
        <v>74</v>
      </c>
      <c r="D1139" t="s">
        <v>74</v>
      </c>
      <c r="E1139" t="s">
        <v>74</v>
      </c>
      <c r="F1139" t="s">
        <v>1182</v>
      </c>
      <c r="G1139" t="s">
        <v>74</v>
      </c>
      <c r="H1139" t="s">
        <v>74</v>
      </c>
      <c r="I1139" t="s">
        <v>1183</v>
      </c>
      <c r="J1139" t="s">
        <v>229</v>
      </c>
      <c r="K1139" t="s">
        <v>74</v>
      </c>
      <c r="L1139" t="s">
        <v>74</v>
      </c>
      <c r="M1139" t="s">
        <v>74</v>
      </c>
      <c r="N1139" t="s">
        <v>74</v>
      </c>
      <c r="O1139" t="s">
        <v>74</v>
      </c>
      <c r="P1139" t="s">
        <v>74</v>
      </c>
      <c r="Q1139" t="s">
        <v>74</v>
      </c>
      <c r="R1139" t="s">
        <v>74</v>
      </c>
      <c r="S1139" t="s">
        <v>74</v>
      </c>
      <c r="T1139" t="s">
        <v>74</v>
      </c>
      <c r="U1139" t="s">
        <v>74</v>
      </c>
      <c r="V1139" s="3" t="s">
        <v>1184</v>
      </c>
      <c r="W1139" t="s">
        <v>74</v>
      </c>
      <c r="X1139" t="s">
        <v>74</v>
      </c>
      <c r="Y1139" t="s">
        <v>74</v>
      </c>
      <c r="Z1139" t="s">
        <v>74</v>
      </c>
      <c r="AA1139" t="s">
        <v>1185</v>
      </c>
      <c r="AB1139" t="s">
        <v>74</v>
      </c>
      <c r="AC1139" t="s">
        <v>74</v>
      </c>
      <c r="AD1139" t="s">
        <v>74</v>
      </c>
      <c r="AE1139" t="s">
        <v>74</v>
      </c>
      <c r="AF1139" t="s">
        <v>74</v>
      </c>
      <c r="AG1139" t="s">
        <v>74</v>
      </c>
      <c r="AH1139" t="s">
        <v>74</v>
      </c>
      <c r="AI1139" t="s">
        <v>74</v>
      </c>
      <c r="AJ1139" t="s">
        <v>74</v>
      </c>
      <c r="AK1139" t="s">
        <v>74</v>
      </c>
      <c r="AL1139" t="s">
        <v>74</v>
      </c>
      <c r="AM1139" t="s">
        <v>74</v>
      </c>
      <c r="AN1139" t="s">
        <v>74</v>
      </c>
      <c r="AO1139" t="s">
        <v>233</v>
      </c>
      <c r="AP1139" t="s">
        <v>234</v>
      </c>
      <c r="AQ1139" t="s">
        <v>74</v>
      </c>
      <c r="AR1139" t="s">
        <v>74</v>
      </c>
      <c r="AS1139" t="s">
        <v>74</v>
      </c>
      <c r="AT1139" t="s">
        <v>1075</v>
      </c>
      <c r="AU1139">
        <v>2014</v>
      </c>
      <c r="AV1139">
        <v>40</v>
      </c>
      <c r="AW1139">
        <v>6</v>
      </c>
      <c r="AX1139" t="s">
        <v>74</v>
      </c>
      <c r="AY1139" t="s">
        <v>74</v>
      </c>
      <c r="AZ1139" t="s">
        <v>74</v>
      </c>
      <c r="BA1139" t="s">
        <v>74</v>
      </c>
      <c r="BB1139">
        <v>537</v>
      </c>
      <c r="BC1139">
        <v>541</v>
      </c>
      <c r="BD1139" t="s">
        <v>74</v>
      </c>
      <c r="BE1139" t="s">
        <v>1186</v>
      </c>
      <c r="BF1139" t="str">
        <f>HYPERLINK("http://dx.doi.org/10.1002/ab.21551","http://dx.doi.org/10.1002/ab.21551")</f>
        <v>http://dx.doi.org/10.1002/ab.21551</v>
      </c>
      <c r="BG1139" t="s">
        <v>74</v>
      </c>
      <c r="BH1139" t="s">
        <v>74</v>
      </c>
      <c r="BI1139" t="s">
        <v>74</v>
      </c>
      <c r="BJ1139" t="s">
        <v>74</v>
      </c>
      <c r="BK1139" t="s">
        <v>74</v>
      </c>
      <c r="BL1139" t="s">
        <v>74</v>
      </c>
      <c r="BM1139" t="s">
        <v>74</v>
      </c>
      <c r="BN1139">
        <v>25043905</v>
      </c>
      <c r="BO1139" t="s">
        <v>74</v>
      </c>
      <c r="BP1139" t="s">
        <v>74</v>
      </c>
      <c r="BQ1139" t="s">
        <v>74</v>
      </c>
      <c r="BR1139" t="s">
        <v>74</v>
      </c>
      <c r="BS1139" t="s">
        <v>1187</v>
      </c>
      <c r="BT1139" t="str">
        <f>HYPERLINK("https%3A%2F%2Fwww.webofscience.com%2Fwos%2Fwoscc%2Ffull-record%2FWOS:000344002600005","View Full Record in Web of Science")</f>
        <v>View Full Record in Web of Science</v>
      </c>
    </row>
    <row r="1140" spans="1:72" x14ac:dyDescent="0.4">
      <c r="A1140" t="s">
        <v>72</v>
      </c>
      <c r="B1140" t="s">
        <v>2435</v>
      </c>
      <c r="C1140" t="s">
        <v>74</v>
      </c>
      <c r="D1140" t="s">
        <v>74</v>
      </c>
      <c r="E1140" t="s">
        <v>74</v>
      </c>
      <c r="F1140" t="s">
        <v>2436</v>
      </c>
      <c r="G1140" t="s">
        <v>74</v>
      </c>
      <c r="H1140" t="s">
        <v>74</v>
      </c>
      <c r="I1140" t="s">
        <v>2437</v>
      </c>
      <c r="J1140" t="s">
        <v>2438</v>
      </c>
      <c r="K1140" t="s">
        <v>74</v>
      </c>
      <c r="L1140" t="s">
        <v>74</v>
      </c>
      <c r="M1140" t="s">
        <v>74</v>
      </c>
      <c r="N1140" t="s">
        <v>74</v>
      </c>
      <c r="O1140" t="s">
        <v>74</v>
      </c>
      <c r="P1140" t="s">
        <v>74</v>
      </c>
      <c r="Q1140" t="s">
        <v>74</v>
      </c>
      <c r="R1140" t="s">
        <v>74</v>
      </c>
      <c r="S1140" t="s">
        <v>74</v>
      </c>
      <c r="T1140" t="s">
        <v>74</v>
      </c>
      <c r="U1140" t="s">
        <v>74</v>
      </c>
      <c r="V1140" s="3" t="s">
        <v>2439</v>
      </c>
      <c r="W1140" t="s">
        <v>74</v>
      </c>
      <c r="X1140" t="s">
        <v>74</v>
      </c>
      <c r="Y1140" t="s">
        <v>74</v>
      </c>
      <c r="Z1140" t="s">
        <v>74</v>
      </c>
      <c r="AA1140" t="s">
        <v>2440</v>
      </c>
      <c r="AB1140" t="s">
        <v>2441</v>
      </c>
      <c r="AC1140" t="s">
        <v>74</v>
      </c>
      <c r="AD1140" t="s">
        <v>74</v>
      </c>
      <c r="AE1140" t="s">
        <v>74</v>
      </c>
      <c r="AF1140" t="s">
        <v>74</v>
      </c>
      <c r="AG1140" t="s">
        <v>74</v>
      </c>
      <c r="AH1140" t="s">
        <v>74</v>
      </c>
      <c r="AI1140" t="s">
        <v>74</v>
      </c>
      <c r="AJ1140" t="s">
        <v>74</v>
      </c>
      <c r="AK1140" t="s">
        <v>74</v>
      </c>
      <c r="AL1140" t="s">
        <v>74</v>
      </c>
      <c r="AM1140" t="s">
        <v>74</v>
      </c>
      <c r="AN1140" t="s">
        <v>74</v>
      </c>
      <c r="AO1140" t="s">
        <v>2442</v>
      </c>
      <c r="AP1140" t="s">
        <v>74</v>
      </c>
      <c r="AQ1140" t="s">
        <v>74</v>
      </c>
      <c r="AR1140" t="s">
        <v>74</v>
      </c>
      <c r="AS1140" t="s">
        <v>74</v>
      </c>
      <c r="AT1140" t="s">
        <v>2443</v>
      </c>
      <c r="AU1140">
        <v>2019</v>
      </c>
      <c r="AV1140">
        <v>8</v>
      </c>
      <c r="AW1140" t="s">
        <v>74</v>
      </c>
      <c r="AX1140" t="s">
        <v>74</v>
      </c>
      <c r="AY1140" t="s">
        <v>74</v>
      </c>
      <c r="AZ1140" t="s">
        <v>74</v>
      </c>
      <c r="BA1140" t="s">
        <v>74</v>
      </c>
      <c r="BB1140" t="s">
        <v>74</v>
      </c>
      <c r="BC1140" t="s">
        <v>74</v>
      </c>
      <c r="BD1140" t="s">
        <v>2444</v>
      </c>
      <c r="BE1140" t="s">
        <v>2445</v>
      </c>
      <c r="BF1140" t="str">
        <f>HYPERLINK("http://dx.doi.org/10.7554/eLife.41362","http://dx.doi.org/10.7554/eLife.41362")</f>
        <v>http://dx.doi.org/10.7554/eLife.41362</v>
      </c>
      <c r="BG1140" t="s">
        <v>74</v>
      </c>
      <c r="BH1140" t="s">
        <v>74</v>
      </c>
      <c r="BI1140" t="s">
        <v>74</v>
      </c>
      <c r="BJ1140" t="s">
        <v>74</v>
      </c>
      <c r="BK1140" t="s">
        <v>74</v>
      </c>
      <c r="BL1140" t="s">
        <v>74</v>
      </c>
      <c r="BM1140" t="s">
        <v>74</v>
      </c>
      <c r="BN1140">
        <v>30616714</v>
      </c>
      <c r="BO1140" t="s">
        <v>74</v>
      </c>
      <c r="BP1140" t="s">
        <v>74</v>
      </c>
      <c r="BQ1140" t="s">
        <v>74</v>
      </c>
      <c r="BR1140" t="s">
        <v>74</v>
      </c>
      <c r="BS1140" t="s">
        <v>2446</v>
      </c>
      <c r="BT1140" t="str">
        <f>HYPERLINK("https%3A%2F%2Fwww.webofscience.com%2Fwos%2Fwoscc%2Ffull-record%2FWOS:000455079700001","View Full Record in Web of Science")</f>
        <v>View Full Record in Web of Science</v>
      </c>
    </row>
    <row r="1141" spans="1:72" x14ac:dyDescent="0.4">
      <c r="A1141" t="s">
        <v>72</v>
      </c>
      <c r="B1141" t="s">
        <v>585</v>
      </c>
      <c r="C1141" t="s">
        <v>74</v>
      </c>
      <c r="D1141" t="s">
        <v>74</v>
      </c>
      <c r="E1141" t="s">
        <v>74</v>
      </c>
      <c r="F1141" t="s">
        <v>586</v>
      </c>
      <c r="G1141" t="s">
        <v>74</v>
      </c>
      <c r="H1141" t="s">
        <v>74</v>
      </c>
      <c r="I1141" t="s">
        <v>587</v>
      </c>
      <c r="J1141" t="s">
        <v>218</v>
      </c>
      <c r="K1141" t="s">
        <v>74</v>
      </c>
      <c r="L1141" t="s">
        <v>74</v>
      </c>
      <c r="M1141" t="s">
        <v>74</v>
      </c>
      <c r="N1141" t="s">
        <v>74</v>
      </c>
      <c r="O1141" t="s">
        <v>74</v>
      </c>
      <c r="P1141" t="s">
        <v>74</v>
      </c>
      <c r="Q1141" t="s">
        <v>74</v>
      </c>
      <c r="R1141" t="s">
        <v>74</v>
      </c>
      <c r="S1141" t="s">
        <v>74</v>
      </c>
      <c r="T1141" t="s">
        <v>74</v>
      </c>
      <c r="U1141" t="s">
        <v>74</v>
      </c>
      <c r="V1141" s="3" t="s">
        <v>588</v>
      </c>
      <c r="W1141" t="s">
        <v>74</v>
      </c>
      <c r="X1141" t="s">
        <v>74</v>
      </c>
      <c r="Y1141" t="s">
        <v>74</v>
      </c>
      <c r="Z1141" t="s">
        <v>74</v>
      </c>
      <c r="AA1141" t="s">
        <v>589</v>
      </c>
      <c r="AB1141" t="s">
        <v>590</v>
      </c>
      <c r="AC1141" t="s">
        <v>74</v>
      </c>
      <c r="AD1141" t="s">
        <v>74</v>
      </c>
      <c r="AE1141" t="s">
        <v>74</v>
      </c>
      <c r="AF1141" t="s">
        <v>74</v>
      </c>
      <c r="AG1141" t="s">
        <v>74</v>
      </c>
      <c r="AH1141" t="s">
        <v>74</v>
      </c>
      <c r="AI1141" t="s">
        <v>74</v>
      </c>
      <c r="AJ1141" t="s">
        <v>74</v>
      </c>
      <c r="AK1141" t="s">
        <v>74</v>
      </c>
      <c r="AL1141" t="s">
        <v>74</v>
      </c>
      <c r="AM1141" t="s">
        <v>74</v>
      </c>
      <c r="AN1141" t="s">
        <v>74</v>
      </c>
      <c r="AO1141" t="s">
        <v>221</v>
      </c>
      <c r="AP1141" t="s">
        <v>222</v>
      </c>
      <c r="AQ1141" t="s">
        <v>74</v>
      </c>
      <c r="AR1141" t="s">
        <v>74</v>
      </c>
      <c r="AS1141" t="s">
        <v>74</v>
      </c>
      <c r="AT1141" t="s">
        <v>123</v>
      </c>
      <c r="AU1141">
        <v>2018</v>
      </c>
      <c r="AV1141">
        <v>31</v>
      </c>
      <c r="AW1141">
        <v>3</v>
      </c>
      <c r="AX1141" t="s">
        <v>74</v>
      </c>
      <c r="AY1141" t="s">
        <v>74</v>
      </c>
      <c r="AZ1141" t="s">
        <v>74</v>
      </c>
      <c r="BA1141" t="s">
        <v>74</v>
      </c>
      <c r="BB1141">
        <v>457</v>
      </c>
      <c r="BC1141">
        <v>468</v>
      </c>
      <c r="BD1141" t="s">
        <v>74</v>
      </c>
      <c r="BE1141" t="s">
        <v>591</v>
      </c>
      <c r="BF1141" t="str">
        <f>HYPERLINK("http://dx.doi.org/10.1111/jeb.13243","http://dx.doi.org/10.1111/jeb.13243")</f>
        <v>http://dx.doi.org/10.1111/jeb.13243</v>
      </c>
      <c r="BG1141" t="s">
        <v>74</v>
      </c>
      <c r="BH1141" t="s">
        <v>74</v>
      </c>
      <c r="BI1141" t="s">
        <v>74</v>
      </c>
      <c r="BJ1141" t="s">
        <v>74</v>
      </c>
      <c r="BK1141" t="s">
        <v>74</v>
      </c>
      <c r="BL1141" t="s">
        <v>74</v>
      </c>
      <c r="BM1141" t="s">
        <v>74</v>
      </c>
      <c r="BN1141">
        <v>29345026</v>
      </c>
      <c r="BO1141" t="s">
        <v>74</v>
      </c>
      <c r="BP1141" t="s">
        <v>74</v>
      </c>
      <c r="BQ1141" t="s">
        <v>74</v>
      </c>
      <c r="BR1141" t="s">
        <v>74</v>
      </c>
      <c r="BS1141" t="s">
        <v>592</v>
      </c>
      <c r="BT1141" t="str">
        <f>HYPERLINK("https%3A%2F%2Fwww.webofscience.com%2Fwos%2Fwoscc%2Ffull-record%2FWOS:000426731400012","View Full Record in Web of Science")</f>
        <v>View Full Record in Web of Science</v>
      </c>
    </row>
    <row r="1142" spans="1:72" x14ac:dyDescent="0.4">
      <c r="A1142" t="s">
        <v>72</v>
      </c>
      <c r="B1142" t="s">
        <v>1734</v>
      </c>
      <c r="C1142" t="s">
        <v>74</v>
      </c>
      <c r="D1142" t="s">
        <v>74</v>
      </c>
      <c r="E1142" t="s">
        <v>74</v>
      </c>
      <c r="F1142" t="s">
        <v>1735</v>
      </c>
      <c r="G1142" t="s">
        <v>74</v>
      </c>
      <c r="H1142" t="s">
        <v>74</v>
      </c>
      <c r="I1142" t="s">
        <v>1736</v>
      </c>
      <c r="J1142" t="s">
        <v>610</v>
      </c>
      <c r="K1142" t="s">
        <v>74</v>
      </c>
      <c r="L1142" t="s">
        <v>74</v>
      </c>
      <c r="M1142" t="s">
        <v>74</v>
      </c>
      <c r="N1142" t="s">
        <v>74</v>
      </c>
      <c r="O1142" t="s">
        <v>74</v>
      </c>
      <c r="P1142" t="s">
        <v>74</v>
      </c>
      <c r="Q1142" t="s">
        <v>74</v>
      </c>
      <c r="R1142" t="s">
        <v>74</v>
      </c>
      <c r="S1142" t="s">
        <v>74</v>
      </c>
      <c r="T1142" t="s">
        <v>74</v>
      </c>
      <c r="U1142" t="s">
        <v>74</v>
      </c>
      <c r="V1142" s="3" t="s">
        <v>1737</v>
      </c>
      <c r="W1142" t="s">
        <v>74</v>
      </c>
      <c r="X1142" t="s">
        <v>74</v>
      </c>
      <c r="Y1142" t="s">
        <v>74</v>
      </c>
      <c r="Z1142" t="s">
        <v>74</v>
      </c>
      <c r="AA1142" t="s">
        <v>589</v>
      </c>
      <c r="AB1142" t="s">
        <v>590</v>
      </c>
      <c r="AC1142" t="s">
        <v>74</v>
      </c>
      <c r="AD1142" t="s">
        <v>74</v>
      </c>
      <c r="AE1142" t="s">
        <v>74</v>
      </c>
      <c r="AF1142" t="s">
        <v>74</v>
      </c>
      <c r="AG1142" t="s">
        <v>74</v>
      </c>
      <c r="AH1142" t="s">
        <v>74</v>
      </c>
      <c r="AI1142" t="s">
        <v>74</v>
      </c>
      <c r="AJ1142" t="s">
        <v>74</v>
      </c>
      <c r="AK1142" t="s">
        <v>74</v>
      </c>
      <c r="AL1142" t="s">
        <v>74</v>
      </c>
      <c r="AM1142" t="s">
        <v>74</v>
      </c>
      <c r="AN1142" t="s">
        <v>74</v>
      </c>
      <c r="AO1142" t="s">
        <v>614</v>
      </c>
      <c r="AP1142" t="s">
        <v>615</v>
      </c>
      <c r="AQ1142" t="s">
        <v>74</v>
      </c>
      <c r="AR1142" t="s">
        <v>74</v>
      </c>
      <c r="AS1142" t="s">
        <v>74</v>
      </c>
      <c r="AT1142" t="s">
        <v>305</v>
      </c>
      <c r="AU1142">
        <v>2020</v>
      </c>
      <c r="AV1142">
        <v>126</v>
      </c>
      <c r="AW1142">
        <v>12</v>
      </c>
      <c r="AX1142" t="s">
        <v>74</v>
      </c>
      <c r="AY1142" t="s">
        <v>74</v>
      </c>
      <c r="AZ1142" t="s">
        <v>74</v>
      </c>
      <c r="BA1142" t="s">
        <v>74</v>
      </c>
      <c r="BB1142">
        <v>1131</v>
      </c>
      <c r="BC1142">
        <v>1140</v>
      </c>
      <c r="BD1142" t="s">
        <v>74</v>
      </c>
      <c r="BE1142" t="s">
        <v>1738</v>
      </c>
      <c r="BF1142" t="str">
        <f>HYPERLINK("http://dx.doi.org/10.1111/eth.13093","http://dx.doi.org/10.1111/eth.13093")</f>
        <v>http://dx.doi.org/10.1111/eth.13093</v>
      </c>
      <c r="BG1142" t="s">
        <v>74</v>
      </c>
      <c r="BH1142" t="s">
        <v>1067</v>
      </c>
      <c r="BI1142" t="s">
        <v>74</v>
      </c>
      <c r="BJ1142" t="s">
        <v>74</v>
      </c>
      <c r="BK1142" t="s">
        <v>74</v>
      </c>
      <c r="BL1142" t="s">
        <v>74</v>
      </c>
      <c r="BM1142" t="s">
        <v>74</v>
      </c>
      <c r="BN1142" t="s">
        <v>74</v>
      </c>
      <c r="BO1142" t="s">
        <v>74</v>
      </c>
      <c r="BP1142" t="s">
        <v>74</v>
      </c>
      <c r="BQ1142" t="s">
        <v>74</v>
      </c>
      <c r="BR1142" t="s">
        <v>74</v>
      </c>
      <c r="BS1142" t="s">
        <v>1739</v>
      </c>
      <c r="BT1142" t="str">
        <f>HYPERLINK("https%3A%2F%2Fwww.webofscience.com%2Fwos%2Fwoscc%2Ffull-record%2FWOS:000572325900001","View Full Record in Web of Science")</f>
        <v>View Full Record in Web of Science</v>
      </c>
    </row>
    <row r="1143" spans="1:72" x14ac:dyDescent="0.4">
      <c r="A1143" t="s">
        <v>72</v>
      </c>
      <c r="B1143" t="s">
        <v>2300</v>
      </c>
      <c r="C1143" t="s">
        <v>74</v>
      </c>
      <c r="D1143" t="s">
        <v>74</v>
      </c>
      <c r="E1143" t="s">
        <v>74</v>
      </c>
      <c r="F1143" t="s">
        <v>2301</v>
      </c>
      <c r="G1143" t="s">
        <v>74</v>
      </c>
      <c r="H1143" t="s">
        <v>74</v>
      </c>
      <c r="I1143" t="s">
        <v>2302</v>
      </c>
      <c r="J1143" t="s">
        <v>140</v>
      </c>
      <c r="K1143" t="s">
        <v>74</v>
      </c>
      <c r="L1143" t="s">
        <v>74</v>
      </c>
      <c r="M1143" t="s">
        <v>74</v>
      </c>
      <c r="N1143" t="s">
        <v>74</v>
      </c>
      <c r="O1143" t="s">
        <v>74</v>
      </c>
      <c r="P1143" t="s">
        <v>74</v>
      </c>
      <c r="Q1143" t="s">
        <v>74</v>
      </c>
      <c r="R1143" t="s">
        <v>74</v>
      </c>
      <c r="S1143" t="s">
        <v>74</v>
      </c>
      <c r="T1143" t="s">
        <v>74</v>
      </c>
      <c r="U1143" t="s">
        <v>74</v>
      </c>
      <c r="V1143" s="3" t="s">
        <v>2303</v>
      </c>
      <c r="W1143" t="s">
        <v>74</v>
      </c>
      <c r="X1143" t="s">
        <v>74</v>
      </c>
      <c r="Y1143" t="s">
        <v>74</v>
      </c>
      <c r="Z1143" t="s">
        <v>74</v>
      </c>
      <c r="AA1143" t="s">
        <v>74</v>
      </c>
      <c r="AB1143" t="s">
        <v>2304</v>
      </c>
      <c r="AC1143" t="s">
        <v>74</v>
      </c>
      <c r="AD1143" t="s">
        <v>74</v>
      </c>
      <c r="AE1143" t="s">
        <v>74</v>
      </c>
      <c r="AF1143" t="s">
        <v>74</v>
      </c>
      <c r="AG1143" t="s">
        <v>74</v>
      </c>
      <c r="AH1143" t="s">
        <v>74</v>
      </c>
      <c r="AI1143" t="s">
        <v>74</v>
      </c>
      <c r="AJ1143" t="s">
        <v>74</v>
      </c>
      <c r="AK1143" t="s">
        <v>74</v>
      </c>
      <c r="AL1143" t="s">
        <v>74</v>
      </c>
      <c r="AM1143" t="s">
        <v>74</v>
      </c>
      <c r="AN1143" t="s">
        <v>74</v>
      </c>
      <c r="AO1143" t="s">
        <v>143</v>
      </c>
      <c r="AP1143" t="s">
        <v>144</v>
      </c>
      <c r="AQ1143" t="s">
        <v>74</v>
      </c>
      <c r="AR1143" t="s">
        <v>74</v>
      </c>
      <c r="AS1143" t="s">
        <v>74</v>
      </c>
      <c r="AT1143" t="s">
        <v>964</v>
      </c>
      <c r="AU1143">
        <v>2009</v>
      </c>
      <c r="AV1143">
        <v>77</v>
      </c>
      <c r="AW1143">
        <v>2</v>
      </c>
      <c r="AX1143" t="s">
        <v>74</v>
      </c>
      <c r="AY1143" t="s">
        <v>74</v>
      </c>
      <c r="AZ1143" t="s">
        <v>74</v>
      </c>
      <c r="BA1143" t="s">
        <v>74</v>
      </c>
      <c r="BB1143">
        <v>531</v>
      </c>
      <c r="BC1143">
        <v>540</v>
      </c>
      <c r="BD1143" t="s">
        <v>74</v>
      </c>
      <c r="BE1143" t="s">
        <v>2305</v>
      </c>
      <c r="BF1143" t="str">
        <f>HYPERLINK("http://dx.doi.org/10.1016/j.anbehav.2008.11.013","http://dx.doi.org/10.1016/j.anbehav.2008.11.013")</f>
        <v>http://dx.doi.org/10.1016/j.anbehav.2008.11.013</v>
      </c>
      <c r="BG1143" t="s">
        <v>74</v>
      </c>
      <c r="BH1143" t="s">
        <v>74</v>
      </c>
      <c r="BI1143" t="s">
        <v>74</v>
      </c>
      <c r="BJ1143" t="s">
        <v>74</v>
      </c>
      <c r="BK1143" t="s">
        <v>74</v>
      </c>
      <c r="BL1143" t="s">
        <v>74</v>
      </c>
      <c r="BM1143" t="s">
        <v>74</v>
      </c>
      <c r="BN1143" t="s">
        <v>74</v>
      </c>
      <c r="BO1143" t="s">
        <v>74</v>
      </c>
      <c r="BP1143" t="s">
        <v>74</v>
      </c>
      <c r="BQ1143" t="s">
        <v>74</v>
      </c>
      <c r="BR1143" t="s">
        <v>74</v>
      </c>
      <c r="BS1143" t="s">
        <v>2306</v>
      </c>
      <c r="BT1143" t="str">
        <f>HYPERLINK("https%3A%2F%2Fwww.webofscience.com%2Fwos%2Fwoscc%2Ffull-record%2FWOS:000262709400033","View Full Record in Web of Science")</f>
        <v>View Full Record in Web of Science</v>
      </c>
    </row>
    <row r="1144" spans="1:72" x14ac:dyDescent="0.4">
      <c r="A1144" t="s">
        <v>72</v>
      </c>
      <c r="B1144" t="s">
        <v>3282</v>
      </c>
      <c r="C1144" t="s">
        <v>74</v>
      </c>
      <c r="D1144" t="s">
        <v>74</v>
      </c>
      <c r="E1144" t="s">
        <v>74</v>
      </c>
      <c r="F1144" t="s">
        <v>3283</v>
      </c>
      <c r="G1144" t="s">
        <v>74</v>
      </c>
      <c r="H1144" t="s">
        <v>74</v>
      </c>
      <c r="I1144" t="s">
        <v>3284</v>
      </c>
      <c r="J1144" t="s">
        <v>1526</v>
      </c>
      <c r="K1144" t="s">
        <v>74</v>
      </c>
      <c r="L1144" t="s">
        <v>74</v>
      </c>
      <c r="M1144" t="s">
        <v>74</v>
      </c>
      <c r="N1144" t="s">
        <v>74</v>
      </c>
      <c r="O1144" t="s">
        <v>74</v>
      </c>
      <c r="P1144" t="s">
        <v>74</v>
      </c>
      <c r="Q1144" t="s">
        <v>74</v>
      </c>
      <c r="R1144" t="s">
        <v>74</v>
      </c>
      <c r="S1144" t="s">
        <v>74</v>
      </c>
      <c r="T1144" t="s">
        <v>74</v>
      </c>
      <c r="U1144" t="s">
        <v>74</v>
      </c>
      <c r="V1144" s="3" t="s">
        <v>3285</v>
      </c>
      <c r="W1144" t="s">
        <v>74</v>
      </c>
      <c r="X1144" t="s">
        <v>74</v>
      </c>
      <c r="Y1144" t="s">
        <v>74</v>
      </c>
      <c r="Z1144" t="s">
        <v>74</v>
      </c>
      <c r="AA1144" t="s">
        <v>74</v>
      </c>
      <c r="AB1144" t="s">
        <v>2304</v>
      </c>
      <c r="AC1144" t="s">
        <v>74</v>
      </c>
      <c r="AD1144" t="s">
        <v>74</v>
      </c>
      <c r="AE1144" t="s">
        <v>74</v>
      </c>
      <c r="AF1144" t="s">
        <v>74</v>
      </c>
      <c r="AG1144" t="s">
        <v>74</v>
      </c>
      <c r="AH1144" t="s">
        <v>74</v>
      </c>
      <c r="AI1144" t="s">
        <v>74</v>
      </c>
      <c r="AJ1144" t="s">
        <v>74</v>
      </c>
      <c r="AK1144" t="s">
        <v>74</v>
      </c>
      <c r="AL1144" t="s">
        <v>74</v>
      </c>
      <c r="AM1144" t="s">
        <v>74</v>
      </c>
      <c r="AN1144" t="s">
        <v>74</v>
      </c>
      <c r="AO1144" t="s">
        <v>1528</v>
      </c>
      <c r="AP1144" t="s">
        <v>2131</v>
      </c>
      <c r="AQ1144" t="s">
        <v>74</v>
      </c>
      <c r="AR1144" t="s">
        <v>74</v>
      </c>
      <c r="AS1144" t="s">
        <v>74</v>
      </c>
      <c r="AT1144" t="s">
        <v>213</v>
      </c>
      <c r="AU1144">
        <v>2009</v>
      </c>
      <c r="AV1144">
        <v>111</v>
      </c>
      <c r="AW1144">
        <v>4</v>
      </c>
      <c r="AX1144" t="s">
        <v>74</v>
      </c>
      <c r="AY1144" t="s">
        <v>74</v>
      </c>
      <c r="AZ1144" t="s">
        <v>74</v>
      </c>
      <c r="BA1144" t="s">
        <v>74</v>
      </c>
      <c r="BB1144">
        <v>740</v>
      </c>
      <c r="BC1144">
        <v>751</v>
      </c>
      <c r="BD1144" t="s">
        <v>74</v>
      </c>
      <c r="BE1144" t="s">
        <v>3286</v>
      </c>
      <c r="BF1144" t="str">
        <f>HYPERLINK("http://dx.doi.org/10.1525/cond.2009.090058","http://dx.doi.org/10.1525/cond.2009.090058")</f>
        <v>http://dx.doi.org/10.1525/cond.2009.090058</v>
      </c>
      <c r="BG1144" t="s">
        <v>74</v>
      </c>
      <c r="BH1144" t="s">
        <v>74</v>
      </c>
      <c r="BI1144" t="s">
        <v>74</v>
      </c>
      <c r="BJ1144" t="s">
        <v>74</v>
      </c>
      <c r="BK1144" t="s">
        <v>74</v>
      </c>
      <c r="BL1144" t="s">
        <v>74</v>
      </c>
      <c r="BM1144" t="s">
        <v>74</v>
      </c>
      <c r="BN1144" t="s">
        <v>74</v>
      </c>
      <c r="BO1144" t="s">
        <v>74</v>
      </c>
      <c r="BP1144" t="s">
        <v>74</v>
      </c>
      <c r="BQ1144" t="s">
        <v>74</v>
      </c>
      <c r="BR1144" t="s">
        <v>74</v>
      </c>
      <c r="BS1144" t="s">
        <v>3287</v>
      </c>
      <c r="BT1144" t="str">
        <f>HYPERLINK("https%3A%2F%2Fwww.webofscience.com%2Fwos%2Fwoscc%2Ffull-record%2FWOS:000272325600018","View Full Record in Web of Science")</f>
        <v>View Full Record in Web of Science</v>
      </c>
    </row>
    <row r="1145" spans="1:72" x14ac:dyDescent="0.4">
      <c r="A1145" t="s">
        <v>72</v>
      </c>
      <c r="B1145" t="s">
        <v>4892</v>
      </c>
      <c r="C1145" t="s">
        <v>74</v>
      </c>
      <c r="D1145" t="s">
        <v>74</v>
      </c>
      <c r="E1145" t="s">
        <v>74</v>
      </c>
      <c r="F1145" t="s">
        <v>4893</v>
      </c>
      <c r="G1145" t="s">
        <v>74</v>
      </c>
      <c r="H1145" t="s">
        <v>74</v>
      </c>
      <c r="I1145" t="s">
        <v>4894</v>
      </c>
      <c r="J1145" t="s">
        <v>4895</v>
      </c>
      <c r="K1145" t="s">
        <v>74</v>
      </c>
      <c r="L1145" t="s">
        <v>74</v>
      </c>
      <c r="M1145" t="s">
        <v>74</v>
      </c>
      <c r="N1145" t="s">
        <v>74</v>
      </c>
      <c r="O1145" t="s">
        <v>74</v>
      </c>
      <c r="P1145" t="s">
        <v>74</v>
      </c>
      <c r="Q1145" t="s">
        <v>74</v>
      </c>
      <c r="R1145" t="s">
        <v>74</v>
      </c>
      <c r="S1145" t="s">
        <v>74</v>
      </c>
      <c r="T1145" t="s">
        <v>74</v>
      </c>
      <c r="U1145" t="s">
        <v>74</v>
      </c>
      <c r="V1145" s="3" t="s">
        <v>4896</v>
      </c>
      <c r="W1145" t="s">
        <v>74</v>
      </c>
      <c r="X1145" t="s">
        <v>74</v>
      </c>
      <c r="Y1145" t="s">
        <v>74</v>
      </c>
      <c r="Z1145" t="s">
        <v>74</v>
      </c>
      <c r="AA1145" t="s">
        <v>4897</v>
      </c>
      <c r="AB1145" t="s">
        <v>4898</v>
      </c>
      <c r="AC1145" t="s">
        <v>74</v>
      </c>
      <c r="AD1145" t="s">
        <v>74</v>
      </c>
      <c r="AE1145" t="s">
        <v>74</v>
      </c>
      <c r="AF1145" t="s">
        <v>74</v>
      </c>
      <c r="AG1145" t="s">
        <v>74</v>
      </c>
      <c r="AH1145" t="s">
        <v>74</v>
      </c>
      <c r="AI1145" t="s">
        <v>74</v>
      </c>
      <c r="AJ1145" t="s">
        <v>74</v>
      </c>
      <c r="AK1145" t="s">
        <v>74</v>
      </c>
      <c r="AL1145" t="s">
        <v>74</v>
      </c>
      <c r="AM1145" t="s">
        <v>74</v>
      </c>
      <c r="AN1145" t="s">
        <v>74</v>
      </c>
      <c r="AO1145" t="s">
        <v>4899</v>
      </c>
      <c r="AP1145" t="s">
        <v>4900</v>
      </c>
      <c r="AQ1145" t="s">
        <v>74</v>
      </c>
      <c r="AR1145" t="s">
        <v>74</v>
      </c>
      <c r="AS1145" t="s">
        <v>74</v>
      </c>
      <c r="AT1145" t="s">
        <v>213</v>
      </c>
      <c r="AU1145">
        <v>2018</v>
      </c>
      <c r="AV1145">
        <v>304</v>
      </c>
      <c r="AW1145">
        <v>9</v>
      </c>
      <c r="AX1145" t="s">
        <v>74</v>
      </c>
      <c r="AY1145" t="s">
        <v>74</v>
      </c>
      <c r="AZ1145" t="s">
        <v>74</v>
      </c>
      <c r="BA1145" t="s">
        <v>74</v>
      </c>
      <c r="BB1145">
        <v>1165</v>
      </c>
      <c r="BC1145">
        <v>1180</v>
      </c>
      <c r="BD1145" t="s">
        <v>74</v>
      </c>
      <c r="BE1145" t="s">
        <v>4901</v>
      </c>
      <c r="BF1145" t="str">
        <f>HYPERLINK("http://dx.doi.org/10.1007/s00606-018-1539-7","http://dx.doi.org/10.1007/s00606-018-1539-7")</f>
        <v>http://dx.doi.org/10.1007/s00606-018-1539-7</v>
      </c>
      <c r="BG1145" t="s">
        <v>74</v>
      </c>
      <c r="BH1145" t="s">
        <v>74</v>
      </c>
      <c r="BI1145" t="s">
        <v>74</v>
      </c>
      <c r="BJ1145" t="s">
        <v>74</v>
      </c>
      <c r="BK1145" t="s">
        <v>74</v>
      </c>
      <c r="BL1145" t="s">
        <v>74</v>
      </c>
      <c r="BM1145" t="s">
        <v>74</v>
      </c>
      <c r="BN1145" t="s">
        <v>74</v>
      </c>
      <c r="BO1145" t="s">
        <v>74</v>
      </c>
      <c r="BP1145" t="s">
        <v>74</v>
      </c>
      <c r="BQ1145" t="s">
        <v>74</v>
      </c>
      <c r="BR1145" t="s">
        <v>74</v>
      </c>
      <c r="BS1145" t="s">
        <v>4902</v>
      </c>
      <c r="BT1145" t="str">
        <f>HYPERLINK("https%3A%2F%2Fwww.webofscience.com%2Fwos%2Fwoscc%2Ffull-record%2FWOS:000447531400008","View Full Record in Web of Science")</f>
        <v>View Full Record in Web of Science</v>
      </c>
    </row>
    <row r="1146" spans="1:72" x14ac:dyDescent="0.4">
      <c r="A1146" t="s">
        <v>72</v>
      </c>
      <c r="B1146" t="s">
        <v>4878</v>
      </c>
      <c r="C1146" t="s">
        <v>74</v>
      </c>
      <c r="D1146" t="s">
        <v>74</v>
      </c>
      <c r="E1146" t="s">
        <v>74</v>
      </c>
      <c r="F1146" t="s">
        <v>4879</v>
      </c>
      <c r="G1146" t="s">
        <v>74</v>
      </c>
      <c r="H1146" t="s">
        <v>74</v>
      </c>
      <c r="I1146" t="s">
        <v>4880</v>
      </c>
      <c r="J1146" t="s">
        <v>2017</v>
      </c>
      <c r="K1146" t="s">
        <v>74</v>
      </c>
      <c r="L1146" t="s">
        <v>74</v>
      </c>
      <c r="M1146" t="s">
        <v>74</v>
      </c>
      <c r="N1146" t="s">
        <v>74</v>
      </c>
      <c r="O1146" t="s">
        <v>74</v>
      </c>
      <c r="P1146" t="s">
        <v>74</v>
      </c>
      <c r="Q1146" t="s">
        <v>74</v>
      </c>
      <c r="R1146" t="s">
        <v>74</v>
      </c>
      <c r="S1146" t="s">
        <v>74</v>
      </c>
      <c r="T1146" t="s">
        <v>74</v>
      </c>
      <c r="U1146" t="s">
        <v>74</v>
      </c>
      <c r="V1146" s="3" t="s">
        <v>4881</v>
      </c>
      <c r="W1146" t="s">
        <v>74</v>
      </c>
      <c r="X1146" t="s">
        <v>74</v>
      </c>
      <c r="Y1146" t="s">
        <v>74</v>
      </c>
      <c r="Z1146" t="s">
        <v>74</v>
      </c>
      <c r="AA1146" t="s">
        <v>4882</v>
      </c>
      <c r="AB1146" t="s">
        <v>4883</v>
      </c>
      <c r="AC1146" t="s">
        <v>74</v>
      </c>
      <c r="AD1146" t="s">
        <v>74</v>
      </c>
      <c r="AE1146" t="s">
        <v>74</v>
      </c>
      <c r="AF1146" t="s">
        <v>74</v>
      </c>
      <c r="AG1146" t="s">
        <v>74</v>
      </c>
      <c r="AH1146" t="s">
        <v>74</v>
      </c>
      <c r="AI1146" t="s">
        <v>74</v>
      </c>
      <c r="AJ1146" t="s">
        <v>74</v>
      </c>
      <c r="AK1146" t="s">
        <v>74</v>
      </c>
      <c r="AL1146" t="s">
        <v>74</v>
      </c>
      <c r="AM1146" t="s">
        <v>74</v>
      </c>
      <c r="AN1146" t="s">
        <v>74</v>
      </c>
      <c r="AO1146" t="s">
        <v>2021</v>
      </c>
      <c r="AP1146" t="s">
        <v>74</v>
      </c>
      <c r="AQ1146" t="s">
        <v>74</v>
      </c>
      <c r="AR1146" t="s">
        <v>74</v>
      </c>
      <c r="AS1146" t="s">
        <v>74</v>
      </c>
      <c r="AT1146" t="s">
        <v>3833</v>
      </c>
      <c r="AU1146">
        <v>2022</v>
      </c>
      <c r="AV1146">
        <v>10</v>
      </c>
      <c r="AW1146" t="s">
        <v>74</v>
      </c>
      <c r="AX1146" t="s">
        <v>74</v>
      </c>
      <c r="AY1146" t="s">
        <v>74</v>
      </c>
      <c r="AZ1146" t="s">
        <v>74</v>
      </c>
      <c r="BA1146" t="s">
        <v>74</v>
      </c>
      <c r="BB1146" t="s">
        <v>74</v>
      </c>
      <c r="BC1146" t="s">
        <v>74</v>
      </c>
      <c r="BD1146">
        <v>803996</v>
      </c>
      <c r="BE1146" t="s">
        <v>4884</v>
      </c>
      <c r="BF1146" t="str">
        <f>HYPERLINK("http://dx.doi.org/10.3389/fevo.2022.803996","http://dx.doi.org/10.3389/fevo.2022.803996")</f>
        <v>http://dx.doi.org/10.3389/fevo.2022.803996</v>
      </c>
      <c r="BG1146" t="s">
        <v>74</v>
      </c>
      <c r="BH1146" t="s">
        <v>74</v>
      </c>
      <c r="BI1146" t="s">
        <v>74</v>
      </c>
      <c r="BJ1146" t="s">
        <v>74</v>
      </c>
      <c r="BK1146" t="s">
        <v>74</v>
      </c>
      <c r="BL1146" t="s">
        <v>74</v>
      </c>
      <c r="BM1146" t="s">
        <v>74</v>
      </c>
      <c r="BN1146" t="s">
        <v>74</v>
      </c>
      <c r="BO1146" t="s">
        <v>74</v>
      </c>
      <c r="BP1146" t="s">
        <v>74</v>
      </c>
      <c r="BQ1146" t="s">
        <v>74</v>
      </c>
      <c r="BR1146" t="s">
        <v>74</v>
      </c>
      <c r="BS1146" t="s">
        <v>4885</v>
      </c>
      <c r="BT1146" t="str">
        <f>HYPERLINK("https%3A%2F%2Fwww.webofscience.com%2Fwos%2Fwoscc%2Ffull-record%2FWOS:000775231200001","View Full Record in Web of Science")</f>
        <v>View Full Record in Web of Science</v>
      </c>
    </row>
    <row r="1147" spans="1:72" x14ac:dyDescent="0.4">
      <c r="A1147" t="s">
        <v>72</v>
      </c>
      <c r="B1147" t="s">
        <v>2049</v>
      </c>
      <c r="C1147" t="s">
        <v>74</v>
      </c>
      <c r="D1147" t="s">
        <v>74</v>
      </c>
      <c r="E1147" t="s">
        <v>74</v>
      </c>
      <c r="F1147" t="s">
        <v>2049</v>
      </c>
      <c r="G1147" t="s">
        <v>74</v>
      </c>
      <c r="H1147" t="s">
        <v>74</v>
      </c>
      <c r="I1147" t="s">
        <v>2050</v>
      </c>
      <c r="J1147" t="s">
        <v>1549</v>
      </c>
      <c r="K1147" t="s">
        <v>74</v>
      </c>
      <c r="L1147" t="s">
        <v>74</v>
      </c>
      <c r="M1147" t="s">
        <v>74</v>
      </c>
      <c r="N1147" t="s">
        <v>74</v>
      </c>
      <c r="O1147" t="s">
        <v>74</v>
      </c>
      <c r="P1147" t="s">
        <v>74</v>
      </c>
      <c r="Q1147" t="s">
        <v>74</v>
      </c>
      <c r="R1147" t="s">
        <v>74</v>
      </c>
      <c r="S1147" t="s">
        <v>74</v>
      </c>
      <c r="T1147" t="s">
        <v>74</v>
      </c>
      <c r="U1147" t="s">
        <v>74</v>
      </c>
      <c r="V1147" s="3" t="s">
        <v>2051</v>
      </c>
      <c r="W1147" t="s">
        <v>74</v>
      </c>
      <c r="X1147" t="s">
        <v>74</v>
      </c>
      <c r="Y1147" t="s">
        <v>74</v>
      </c>
      <c r="Z1147" t="s">
        <v>74</v>
      </c>
      <c r="AA1147" t="s">
        <v>74</v>
      </c>
      <c r="AB1147" t="s">
        <v>74</v>
      </c>
      <c r="AC1147" t="s">
        <v>74</v>
      </c>
      <c r="AD1147" t="s">
        <v>74</v>
      </c>
      <c r="AE1147" t="s">
        <v>74</v>
      </c>
      <c r="AF1147" t="s">
        <v>74</v>
      </c>
      <c r="AG1147" t="s">
        <v>74</v>
      </c>
      <c r="AH1147" t="s">
        <v>74</v>
      </c>
      <c r="AI1147" t="s">
        <v>74</v>
      </c>
      <c r="AJ1147" t="s">
        <v>74</v>
      </c>
      <c r="AK1147" t="s">
        <v>74</v>
      </c>
      <c r="AL1147" t="s">
        <v>74</v>
      </c>
      <c r="AM1147" t="s">
        <v>74</v>
      </c>
      <c r="AN1147" t="s">
        <v>74</v>
      </c>
      <c r="AO1147" t="s">
        <v>1551</v>
      </c>
      <c r="AP1147" t="s">
        <v>74</v>
      </c>
      <c r="AQ1147" t="s">
        <v>74</v>
      </c>
      <c r="AR1147" t="s">
        <v>74</v>
      </c>
      <c r="AS1147" t="s">
        <v>74</v>
      </c>
      <c r="AT1147" t="s">
        <v>102</v>
      </c>
      <c r="AU1147">
        <v>2000</v>
      </c>
      <c r="AV1147">
        <v>25</v>
      </c>
      <c r="AW1147">
        <v>2</v>
      </c>
      <c r="AX1147" t="s">
        <v>74</v>
      </c>
      <c r="AY1147" t="s">
        <v>74</v>
      </c>
      <c r="AZ1147" t="s">
        <v>74</v>
      </c>
      <c r="BA1147" t="s">
        <v>74</v>
      </c>
      <c r="BB1147">
        <v>127</v>
      </c>
      <c r="BC1147">
        <v>132</v>
      </c>
      <c r="BD1147" t="s">
        <v>74</v>
      </c>
      <c r="BE1147" t="s">
        <v>2052</v>
      </c>
      <c r="BF1147" t="str">
        <f>HYPERLINK("http://dx.doi.org/10.1046/j.1365-3032.2000.00174.x","http://dx.doi.org/10.1046/j.1365-3032.2000.00174.x")</f>
        <v>http://dx.doi.org/10.1046/j.1365-3032.2000.00174.x</v>
      </c>
      <c r="BG1147" t="s">
        <v>74</v>
      </c>
      <c r="BH1147" t="s">
        <v>74</v>
      </c>
      <c r="BI1147" t="s">
        <v>74</v>
      </c>
      <c r="BJ1147" t="s">
        <v>74</v>
      </c>
      <c r="BK1147" t="s">
        <v>74</v>
      </c>
      <c r="BL1147" t="s">
        <v>74</v>
      </c>
      <c r="BM1147" t="s">
        <v>74</v>
      </c>
      <c r="BN1147" t="s">
        <v>74</v>
      </c>
      <c r="BO1147" t="s">
        <v>74</v>
      </c>
      <c r="BP1147" t="s">
        <v>74</v>
      </c>
      <c r="BQ1147" t="s">
        <v>74</v>
      </c>
      <c r="BR1147" t="s">
        <v>74</v>
      </c>
      <c r="BS1147" t="s">
        <v>2053</v>
      </c>
      <c r="BT1147" t="str">
        <f>HYPERLINK("https%3A%2F%2Fwww.webofscience.com%2Fwos%2Fwoscc%2Ffull-record%2FWOS:000087985900004","View Full Record in Web of Science")</f>
        <v>View Full Record in Web of Science</v>
      </c>
    </row>
    <row r="1148" spans="1:72" x14ac:dyDescent="0.4">
      <c r="A1148" t="s">
        <v>72</v>
      </c>
      <c r="B1148" t="s">
        <v>1547</v>
      </c>
      <c r="C1148" t="s">
        <v>74</v>
      </c>
      <c r="D1148" t="s">
        <v>74</v>
      </c>
      <c r="E1148" t="s">
        <v>74</v>
      </c>
      <c r="F1148" t="s">
        <v>1547</v>
      </c>
      <c r="G1148" t="s">
        <v>74</v>
      </c>
      <c r="H1148" t="s">
        <v>74</v>
      </c>
      <c r="I1148" t="s">
        <v>1548</v>
      </c>
      <c r="J1148" t="s">
        <v>1549</v>
      </c>
      <c r="K1148" t="s">
        <v>74</v>
      </c>
      <c r="L1148" t="s">
        <v>74</v>
      </c>
      <c r="M1148" t="s">
        <v>74</v>
      </c>
      <c r="N1148" t="s">
        <v>74</v>
      </c>
      <c r="O1148" t="s">
        <v>74</v>
      </c>
      <c r="P1148" t="s">
        <v>74</v>
      </c>
      <c r="Q1148" t="s">
        <v>74</v>
      </c>
      <c r="R1148" t="s">
        <v>74</v>
      </c>
      <c r="S1148" t="s">
        <v>74</v>
      </c>
      <c r="T1148" t="s">
        <v>74</v>
      </c>
      <c r="U1148" t="s">
        <v>74</v>
      </c>
      <c r="V1148" s="3" t="s">
        <v>1550</v>
      </c>
      <c r="W1148" t="s">
        <v>74</v>
      </c>
      <c r="X1148" t="s">
        <v>74</v>
      </c>
      <c r="Y1148" t="s">
        <v>74</v>
      </c>
      <c r="Z1148" t="s">
        <v>74</v>
      </c>
      <c r="AA1148" t="s">
        <v>74</v>
      </c>
      <c r="AB1148" t="s">
        <v>74</v>
      </c>
      <c r="AC1148" t="s">
        <v>74</v>
      </c>
      <c r="AD1148" t="s">
        <v>74</v>
      </c>
      <c r="AE1148" t="s">
        <v>74</v>
      </c>
      <c r="AF1148" t="s">
        <v>74</v>
      </c>
      <c r="AG1148" t="s">
        <v>74</v>
      </c>
      <c r="AH1148" t="s">
        <v>74</v>
      </c>
      <c r="AI1148" t="s">
        <v>74</v>
      </c>
      <c r="AJ1148" t="s">
        <v>74</v>
      </c>
      <c r="AK1148" t="s">
        <v>74</v>
      </c>
      <c r="AL1148" t="s">
        <v>74</v>
      </c>
      <c r="AM1148" t="s">
        <v>74</v>
      </c>
      <c r="AN1148" t="s">
        <v>74</v>
      </c>
      <c r="AO1148" t="s">
        <v>1551</v>
      </c>
      <c r="AP1148" t="s">
        <v>74</v>
      </c>
      <c r="AQ1148" t="s">
        <v>74</v>
      </c>
      <c r="AR1148" t="s">
        <v>74</v>
      </c>
      <c r="AS1148" t="s">
        <v>74</v>
      </c>
      <c r="AT1148" t="s">
        <v>102</v>
      </c>
      <c r="AU1148">
        <v>2002</v>
      </c>
      <c r="AV1148">
        <v>27</v>
      </c>
      <c r="AW1148">
        <v>2</v>
      </c>
      <c r="AX1148" t="s">
        <v>74</v>
      </c>
      <c r="AY1148" t="s">
        <v>74</v>
      </c>
      <c r="AZ1148" t="s">
        <v>74</v>
      </c>
      <c r="BA1148" t="s">
        <v>74</v>
      </c>
      <c r="BB1148">
        <v>165</v>
      </c>
      <c r="BC1148">
        <v>169</v>
      </c>
      <c r="BD1148" t="s">
        <v>74</v>
      </c>
      <c r="BE1148" t="s">
        <v>1552</v>
      </c>
      <c r="BF1148" t="str">
        <f>HYPERLINK("http://dx.doi.org/10.1046/j.1365-3032.2002.00283.x","http://dx.doi.org/10.1046/j.1365-3032.2002.00283.x")</f>
        <v>http://dx.doi.org/10.1046/j.1365-3032.2002.00283.x</v>
      </c>
      <c r="BG1148" t="s">
        <v>74</v>
      </c>
      <c r="BH1148" t="s">
        <v>74</v>
      </c>
      <c r="BI1148" t="s">
        <v>74</v>
      </c>
      <c r="BJ1148" t="s">
        <v>74</v>
      </c>
      <c r="BK1148" t="s">
        <v>74</v>
      </c>
      <c r="BL1148" t="s">
        <v>74</v>
      </c>
      <c r="BM1148" t="s">
        <v>74</v>
      </c>
      <c r="BN1148" t="s">
        <v>74</v>
      </c>
      <c r="BO1148" t="s">
        <v>74</v>
      </c>
      <c r="BP1148" t="s">
        <v>74</v>
      </c>
      <c r="BQ1148" t="s">
        <v>74</v>
      </c>
      <c r="BR1148" t="s">
        <v>74</v>
      </c>
      <c r="BS1148" t="s">
        <v>1553</v>
      </c>
      <c r="BT1148" t="str">
        <f>HYPERLINK("https%3A%2F%2Fwww.webofscience.com%2Fwos%2Fwoscc%2Ffull-record%2FWOS:000175861800011","View Full Record in Web of Science")</f>
        <v>View Full Record in Web of Science</v>
      </c>
    </row>
    <row r="1149" spans="1:72" x14ac:dyDescent="0.4">
      <c r="A1149" t="s">
        <v>72</v>
      </c>
      <c r="B1149" t="s">
        <v>871</v>
      </c>
      <c r="C1149" t="s">
        <v>74</v>
      </c>
      <c r="D1149" t="s">
        <v>74</v>
      </c>
      <c r="E1149" t="s">
        <v>74</v>
      </c>
      <c r="F1149" t="s">
        <v>872</v>
      </c>
      <c r="G1149" t="s">
        <v>74</v>
      </c>
      <c r="H1149" t="s">
        <v>74</v>
      </c>
      <c r="I1149" t="s">
        <v>873</v>
      </c>
      <c r="J1149" t="s">
        <v>509</v>
      </c>
      <c r="K1149" t="s">
        <v>74</v>
      </c>
      <c r="L1149" t="s">
        <v>74</v>
      </c>
      <c r="M1149" t="s">
        <v>74</v>
      </c>
      <c r="N1149" t="s">
        <v>74</v>
      </c>
      <c r="O1149" t="s">
        <v>74</v>
      </c>
      <c r="P1149" t="s">
        <v>74</v>
      </c>
      <c r="Q1149" t="s">
        <v>74</v>
      </c>
      <c r="R1149" t="s">
        <v>74</v>
      </c>
      <c r="S1149" t="s">
        <v>74</v>
      </c>
      <c r="T1149" t="s">
        <v>74</v>
      </c>
      <c r="U1149" t="s">
        <v>74</v>
      </c>
      <c r="V1149" s="3" t="s">
        <v>874</v>
      </c>
      <c r="W1149" t="s">
        <v>74</v>
      </c>
      <c r="X1149" t="s">
        <v>74</v>
      </c>
      <c r="Y1149" t="s">
        <v>74</v>
      </c>
      <c r="Z1149" t="s">
        <v>74</v>
      </c>
      <c r="AA1149" t="s">
        <v>875</v>
      </c>
      <c r="AB1149" t="s">
        <v>876</v>
      </c>
      <c r="AC1149" t="s">
        <v>74</v>
      </c>
      <c r="AD1149" t="s">
        <v>74</v>
      </c>
      <c r="AE1149" t="s">
        <v>74</v>
      </c>
      <c r="AF1149" t="s">
        <v>74</v>
      </c>
      <c r="AG1149" t="s">
        <v>74</v>
      </c>
      <c r="AH1149" t="s">
        <v>74</v>
      </c>
      <c r="AI1149" t="s">
        <v>74</v>
      </c>
      <c r="AJ1149" t="s">
        <v>74</v>
      </c>
      <c r="AK1149" t="s">
        <v>74</v>
      </c>
      <c r="AL1149" t="s">
        <v>74</v>
      </c>
      <c r="AM1149" t="s">
        <v>74</v>
      </c>
      <c r="AN1149" t="s">
        <v>74</v>
      </c>
      <c r="AO1149" t="s">
        <v>511</v>
      </c>
      <c r="AP1149" t="s">
        <v>512</v>
      </c>
      <c r="AQ1149" t="s">
        <v>74</v>
      </c>
      <c r="AR1149" t="s">
        <v>74</v>
      </c>
      <c r="AS1149" t="s">
        <v>74</v>
      </c>
      <c r="AT1149" t="s">
        <v>204</v>
      </c>
      <c r="AU1149">
        <v>2017</v>
      </c>
      <c r="AV1149">
        <v>93</v>
      </c>
      <c r="AW1149" t="s">
        <v>74</v>
      </c>
      <c r="AX1149" t="s">
        <v>74</v>
      </c>
      <c r="AY1149" t="s">
        <v>74</v>
      </c>
      <c r="AZ1149" t="s">
        <v>74</v>
      </c>
      <c r="BA1149" t="s">
        <v>74</v>
      </c>
      <c r="BB1149">
        <v>118</v>
      </c>
      <c r="BC1149">
        <v>127</v>
      </c>
      <c r="BD1149" t="s">
        <v>74</v>
      </c>
      <c r="BE1149" t="s">
        <v>877</v>
      </c>
      <c r="BF1149" t="str">
        <f>HYPERLINK("http://dx.doi.org/10.1016/j.yhbeh.2017.05.001","http://dx.doi.org/10.1016/j.yhbeh.2017.05.001")</f>
        <v>http://dx.doi.org/10.1016/j.yhbeh.2017.05.001</v>
      </c>
      <c r="BG1149" t="s">
        <v>74</v>
      </c>
      <c r="BH1149" t="s">
        <v>74</v>
      </c>
      <c r="BI1149" t="s">
        <v>74</v>
      </c>
      <c r="BJ1149" t="s">
        <v>74</v>
      </c>
      <c r="BK1149" t="s">
        <v>74</v>
      </c>
      <c r="BL1149" t="s">
        <v>74</v>
      </c>
      <c r="BM1149" t="s">
        <v>74</v>
      </c>
      <c r="BN1149">
        <v>28478216</v>
      </c>
      <c r="BO1149" t="s">
        <v>74</v>
      </c>
      <c r="BP1149" t="s">
        <v>74</v>
      </c>
      <c r="BQ1149" t="s">
        <v>74</v>
      </c>
      <c r="BR1149" t="s">
        <v>74</v>
      </c>
      <c r="BS1149" t="s">
        <v>878</v>
      </c>
      <c r="BT1149" t="str">
        <f>HYPERLINK("https%3A%2F%2Fwww.webofscience.com%2Fwos%2Fwoscc%2Ffull-record%2FWOS:000407528300014","View Full Record in Web of Science")</f>
        <v>View Full Record in Web of Science</v>
      </c>
    </row>
    <row r="1150" spans="1:72" x14ac:dyDescent="0.4">
      <c r="A1150" t="s">
        <v>72</v>
      </c>
      <c r="B1150" t="s">
        <v>258</v>
      </c>
      <c r="C1150" t="s">
        <v>74</v>
      </c>
      <c r="D1150" t="s">
        <v>74</v>
      </c>
      <c r="E1150" t="s">
        <v>74</v>
      </c>
      <c r="F1150" t="s">
        <v>259</v>
      </c>
      <c r="G1150" t="s">
        <v>74</v>
      </c>
      <c r="H1150" t="s">
        <v>74</v>
      </c>
      <c r="I1150" t="s">
        <v>260</v>
      </c>
      <c r="J1150" t="s">
        <v>140</v>
      </c>
      <c r="K1150" t="s">
        <v>74</v>
      </c>
      <c r="L1150" t="s">
        <v>74</v>
      </c>
      <c r="M1150" t="s">
        <v>74</v>
      </c>
      <c r="N1150" t="s">
        <v>74</v>
      </c>
      <c r="O1150" t="s">
        <v>74</v>
      </c>
      <c r="P1150" t="s">
        <v>74</v>
      </c>
      <c r="Q1150" t="s">
        <v>74</v>
      </c>
      <c r="R1150" t="s">
        <v>74</v>
      </c>
      <c r="S1150" t="s">
        <v>74</v>
      </c>
      <c r="T1150" t="s">
        <v>74</v>
      </c>
      <c r="U1150" t="s">
        <v>74</v>
      </c>
      <c r="V1150" s="3" t="s">
        <v>261</v>
      </c>
      <c r="W1150" t="s">
        <v>74</v>
      </c>
      <c r="X1150" t="s">
        <v>74</v>
      </c>
      <c r="Y1150" t="s">
        <v>74</v>
      </c>
      <c r="Z1150" t="s">
        <v>74</v>
      </c>
      <c r="AA1150" t="s">
        <v>74</v>
      </c>
      <c r="AB1150" t="s">
        <v>262</v>
      </c>
      <c r="AC1150" t="s">
        <v>74</v>
      </c>
      <c r="AD1150" t="s">
        <v>74</v>
      </c>
      <c r="AE1150" t="s">
        <v>74</v>
      </c>
      <c r="AF1150" t="s">
        <v>74</v>
      </c>
      <c r="AG1150" t="s">
        <v>74</v>
      </c>
      <c r="AH1150" t="s">
        <v>74</v>
      </c>
      <c r="AI1150" t="s">
        <v>74</v>
      </c>
      <c r="AJ1150" t="s">
        <v>74</v>
      </c>
      <c r="AK1150" t="s">
        <v>74</v>
      </c>
      <c r="AL1150" t="s">
        <v>74</v>
      </c>
      <c r="AM1150" t="s">
        <v>74</v>
      </c>
      <c r="AN1150" t="s">
        <v>74</v>
      </c>
      <c r="AO1150" t="s">
        <v>143</v>
      </c>
      <c r="AP1150" t="s">
        <v>144</v>
      </c>
      <c r="AQ1150" t="s">
        <v>74</v>
      </c>
      <c r="AR1150" t="s">
        <v>74</v>
      </c>
      <c r="AS1150" t="s">
        <v>74</v>
      </c>
      <c r="AT1150" t="s">
        <v>255</v>
      </c>
      <c r="AU1150">
        <v>2016</v>
      </c>
      <c r="AV1150">
        <v>111</v>
      </c>
      <c r="AW1150" t="s">
        <v>74</v>
      </c>
      <c r="AX1150" t="s">
        <v>74</v>
      </c>
      <c r="AY1150" t="s">
        <v>74</v>
      </c>
      <c r="AZ1150" t="s">
        <v>74</v>
      </c>
      <c r="BA1150" t="s">
        <v>74</v>
      </c>
      <c r="BB1150">
        <v>329</v>
      </c>
      <c r="BC1150">
        <v>339</v>
      </c>
      <c r="BD1150" t="s">
        <v>74</v>
      </c>
      <c r="BE1150" t="s">
        <v>263</v>
      </c>
      <c r="BF1150" t="str">
        <f>HYPERLINK("http://dx.doi.org/10.1016/j.anbehav.2015.10.029","http://dx.doi.org/10.1016/j.anbehav.2015.10.029")</f>
        <v>http://dx.doi.org/10.1016/j.anbehav.2015.10.029</v>
      </c>
      <c r="BG1150" t="s">
        <v>74</v>
      </c>
      <c r="BH1150" t="s">
        <v>74</v>
      </c>
      <c r="BI1150" t="s">
        <v>74</v>
      </c>
      <c r="BJ1150" t="s">
        <v>74</v>
      </c>
      <c r="BK1150" t="s">
        <v>74</v>
      </c>
      <c r="BL1150" t="s">
        <v>74</v>
      </c>
      <c r="BM1150" t="s">
        <v>74</v>
      </c>
      <c r="BN1150" t="s">
        <v>74</v>
      </c>
      <c r="BO1150" t="s">
        <v>74</v>
      </c>
      <c r="BP1150" t="s">
        <v>74</v>
      </c>
      <c r="BQ1150" t="s">
        <v>74</v>
      </c>
      <c r="BR1150" t="s">
        <v>74</v>
      </c>
      <c r="BS1150" t="s">
        <v>264</v>
      </c>
      <c r="BT1150" t="str">
        <f>HYPERLINK("https%3A%2F%2Fwww.webofscience.com%2Fwos%2Fwoscc%2Ffull-record%2FWOS:000367374000038","View Full Record in Web of Science")</f>
        <v>View Full Record in Web of Science</v>
      </c>
    </row>
    <row r="1151" spans="1:72" x14ac:dyDescent="0.4">
      <c r="A1151" t="s">
        <v>72</v>
      </c>
      <c r="B1151" t="s">
        <v>772</v>
      </c>
      <c r="C1151" t="s">
        <v>74</v>
      </c>
      <c r="D1151" t="s">
        <v>74</v>
      </c>
      <c r="E1151" t="s">
        <v>74</v>
      </c>
      <c r="F1151" t="s">
        <v>773</v>
      </c>
      <c r="G1151" t="s">
        <v>74</v>
      </c>
      <c r="H1151" t="s">
        <v>74</v>
      </c>
      <c r="I1151" t="s">
        <v>774</v>
      </c>
      <c r="J1151" t="s">
        <v>775</v>
      </c>
      <c r="K1151" t="s">
        <v>74</v>
      </c>
      <c r="L1151" t="s">
        <v>74</v>
      </c>
      <c r="M1151" t="s">
        <v>74</v>
      </c>
      <c r="N1151" t="s">
        <v>74</v>
      </c>
      <c r="O1151" t="s">
        <v>74</v>
      </c>
      <c r="P1151" t="s">
        <v>74</v>
      </c>
      <c r="Q1151" t="s">
        <v>74</v>
      </c>
      <c r="R1151" t="s">
        <v>74</v>
      </c>
      <c r="S1151" t="s">
        <v>74</v>
      </c>
      <c r="T1151" t="s">
        <v>74</v>
      </c>
      <c r="U1151" t="s">
        <v>74</v>
      </c>
      <c r="V1151" s="3" t="s">
        <v>776</v>
      </c>
      <c r="W1151" t="s">
        <v>74</v>
      </c>
      <c r="X1151" t="s">
        <v>74</v>
      </c>
      <c r="Y1151" t="s">
        <v>74</v>
      </c>
      <c r="Z1151" t="s">
        <v>74</v>
      </c>
      <c r="AA1151" t="s">
        <v>74</v>
      </c>
      <c r="AB1151" t="s">
        <v>777</v>
      </c>
      <c r="AC1151" t="s">
        <v>74</v>
      </c>
      <c r="AD1151" t="s">
        <v>74</v>
      </c>
      <c r="AE1151" t="s">
        <v>74</v>
      </c>
      <c r="AF1151" t="s">
        <v>74</v>
      </c>
      <c r="AG1151" t="s">
        <v>74</v>
      </c>
      <c r="AH1151" t="s">
        <v>74</v>
      </c>
      <c r="AI1151" t="s">
        <v>74</v>
      </c>
      <c r="AJ1151" t="s">
        <v>74</v>
      </c>
      <c r="AK1151" t="s">
        <v>74</v>
      </c>
      <c r="AL1151" t="s">
        <v>74</v>
      </c>
      <c r="AM1151" t="s">
        <v>74</v>
      </c>
      <c r="AN1151" t="s">
        <v>74</v>
      </c>
      <c r="AO1151" t="s">
        <v>778</v>
      </c>
      <c r="AP1151" t="s">
        <v>779</v>
      </c>
      <c r="AQ1151" t="s">
        <v>74</v>
      </c>
      <c r="AR1151" t="s">
        <v>74</v>
      </c>
      <c r="AS1151" t="s">
        <v>74</v>
      </c>
      <c r="AT1151" t="s">
        <v>102</v>
      </c>
      <c r="AU1151">
        <v>2018</v>
      </c>
      <c r="AV1151">
        <v>64</v>
      </c>
      <c r="AW1151">
        <v>3</v>
      </c>
      <c r="AX1151" t="s">
        <v>74</v>
      </c>
      <c r="AY1151" t="s">
        <v>74</v>
      </c>
      <c r="AZ1151" t="s">
        <v>74</v>
      </c>
      <c r="BA1151" t="s">
        <v>74</v>
      </c>
      <c r="BB1151">
        <v>345</v>
      </c>
      <c r="BC1151">
        <v>350</v>
      </c>
      <c r="BD1151" t="s">
        <v>74</v>
      </c>
      <c r="BE1151" t="s">
        <v>780</v>
      </c>
      <c r="BF1151" t="str">
        <f>HYPERLINK("http://dx.doi.org/10.1093/cz/zoy020","http://dx.doi.org/10.1093/cz/zoy020")</f>
        <v>http://dx.doi.org/10.1093/cz/zoy020</v>
      </c>
      <c r="BG1151" t="s">
        <v>74</v>
      </c>
      <c r="BH1151" t="s">
        <v>74</v>
      </c>
      <c r="BI1151" t="s">
        <v>74</v>
      </c>
      <c r="BJ1151" t="s">
        <v>74</v>
      </c>
      <c r="BK1151" t="s">
        <v>74</v>
      </c>
      <c r="BL1151" t="s">
        <v>74</v>
      </c>
      <c r="BM1151" t="s">
        <v>74</v>
      </c>
      <c r="BN1151">
        <v>30402077</v>
      </c>
      <c r="BO1151" t="s">
        <v>74</v>
      </c>
      <c r="BP1151" t="s">
        <v>74</v>
      </c>
      <c r="BQ1151" t="s">
        <v>74</v>
      </c>
      <c r="BR1151" t="s">
        <v>74</v>
      </c>
      <c r="BS1151" t="s">
        <v>781</v>
      </c>
      <c r="BT1151" t="str">
        <f>HYPERLINK("https%3A%2F%2Fwww.webofscience.com%2Fwos%2Fwoscc%2Ffull-record%2FWOS:000436421000011","View Full Record in Web of Science")</f>
        <v>View Full Record in Web of Science</v>
      </c>
    </row>
    <row r="1152" spans="1:72" x14ac:dyDescent="0.4">
      <c r="A1152" t="s">
        <v>72</v>
      </c>
      <c r="B1152" t="s">
        <v>1785</v>
      </c>
      <c r="C1152" t="s">
        <v>74</v>
      </c>
      <c r="D1152" t="s">
        <v>74</v>
      </c>
      <c r="E1152" t="s">
        <v>74</v>
      </c>
      <c r="F1152" t="s">
        <v>1786</v>
      </c>
      <c r="G1152" t="s">
        <v>74</v>
      </c>
      <c r="H1152" t="s">
        <v>74</v>
      </c>
      <c r="I1152" t="s">
        <v>1787</v>
      </c>
      <c r="J1152" t="s">
        <v>333</v>
      </c>
      <c r="K1152" t="s">
        <v>74</v>
      </c>
      <c r="L1152" t="s">
        <v>74</v>
      </c>
      <c r="M1152" t="s">
        <v>74</v>
      </c>
      <c r="N1152" t="s">
        <v>74</v>
      </c>
      <c r="O1152" t="s">
        <v>74</v>
      </c>
      <c r="P1152" t="s">
        <v>74</v>
      </c>
      <c r="Q1152" t="s">
        <v>74</v>
      </c>
      <c r="R1152" t="s">
        <v>74</v>
      </c>
      <c r="S1152" t="s">
        <v>74</v>
      </c>
      <c r="T1152" t="s">
        <v>74</v>
      </c>
      <c r="U1152" t="s">
        <v>74</v>
      </c>
      <c r="V1152" s="3" t="s">
        <v>1788</v>
      </c>
      <c r="W1152" t="s">
        <v>74</v>
      </c>
      <c r="X1152" t="s">
        <v>74</v>
      </c>
      <c r="Y1152" t="s">
        <v>74</v>
      </c>
      <c r="Z1152" t="s">
        <v>74</v>
      </c>
      <c r="AA1152" t="s">
        <v>1789</v>
      </c>
      <c r="AB1152" t="s">
        <v>1790</v>
      </c>
      <c r="AC1152" t="s">
        <v>74</v>
      </c>
      <c r="AD1152" t="s">
        <v>74</v>
      </c>
      <c r="AE1152" t="s">
        <v>74</v>
      </c>
      <c r="AF1152" t="s">
        <v>74</v>
      </c>
      <c r="AG1152" t="s">
        <v>74</v>
      </c>
      <c r="AH1152" t="s">
        <v>74</v>
      </c>
      <c r="AI1152" t="s">
        <v>74</v>
      </c>
      <c r="AJ1152" t="s">
        <v>74</v>
      </c>
      <c r="AK1152" t="s">
        <v>74</v>
      </c>
      <c r="AL1152" t="s">
        <v>74</v>
      </c>
      <c r="AM1152" t="s">
        <v>74</v>
      </c>
      <c r="AN1152" t="s">
        <v>74</v>
      </c>
      <c r="AO1152" t="s">
        <v>337</v>
      </c>
      <c r="AP1152" t="s">
        <v>338</v>
      </c>
      <c r="AQ1152" t="s">
        <v>74</v>
      </c>
      <c r="AR1152" t="s">
        <v>74</v>
      </c>
      <c r="AS1152" t="s">
        <v>74</v>
      </c>
      <c r="AT1152" t="s">
        <v>339</v>
      </c>
      <c r="AU1152">
        <v>2015</v>
      </c>
      <c r="AV1152">
        <v>26</v>
      </c>
      <c r="AW1152">
        <v>4</v>
      </c>
      <c r="AX1152" t="s">
        <v>74</v>
      </c>
      <c r="AY1152" t="s">
        <v>74</v>
      </c>
      <c r="AZ1152" t="s">
        <v>74</v>
      </c>
      <c r="BA1152" t="s">
        <v>74</v>
      </c>
      <c r="BB1152">
        <v>1030</v>
      </c>
      <c r="BC1152">
        <v>1038</v>
      </c>
      <c r="BD1152" t="s">
        <v>74</v>
      </c>
      <c r="BE1152" t="s">
        <v>1791</v>
      </c>
      <c r="BF1152" t="str">
        <f>HYPERLINK("http://dx.doi.org/10.1093/beheco/arv037","http://dx.doi.org/10.1093/beheco/arv037")</f>
        <v>http://dx.doi.org/10.1093/beheco/arv037</v>
      </c>
      <c r="BG1152" t="s">
        <v>74</v>
      </c>
      <c r="BH1152" t="s">
        <v>74</v>
      </c>
      <c r="BI1152" t="s">
        <v>74</v>
      </c>
      <c r="BJ1152" t="s">
        <v>74</v>
      </c>
      <c r="BK1152" t="s">
        <v>74</v>
      </c>
      <c r="BL1152" t="s">
        <v>74</v>
      </c>
      <c r="BM1152" t="s">
        <v>74</v>
      </c>
      <c r="BN1152" t="s">
        <v>74</v>
      </c>
      <c r="BO1152" t="s">
        <v>74</v>
      </c>
      <c r="BP1152" t="s">
        <v>74</v>
      </c>
      <c r="BQ1152" t="s">
        <v>74</v>
      </c>
      <c r="BR1152" t="s">
        <v>74</v>
      </c>
      <c r="BS1152" t="s">
        <v>1792</v>
      </c>
      <c r="BT1152" t="str">
        <f>HYPERLINK("https%3A%2F%2Fwww.webofscience.com%2Fwos%2Fwoscc%2Ffull-record%2FWOS:000358171600013","View Full Record in Web of Science")</f>
        <v>View Full Record in Web of Science</v>
      </c>
    </row>
    <row r="1153" spans="1:72" x14ac:dyDescent="0.4">
      <c r="A1153" t="s">
        <v>72</v>
      </c>
      <c r="B1153" t="s">
        <v>6609</v>
      </c>
      <c r="C1153" t="s">
        <v>74</v>
      </c>
      <c r="D1153" t="s">
        <v>74</v>
      </c>
      <c r="E1153" t="s">
        <v>74</v>
      </c>
      <c r="F1153" t="s">
        <v>6610</v>
      </c>
      <c r="G1153" t="s">
        <v>74</v>
      </c>
      <c r="H1153" t="s">
        <v>74</v>
      </c>
      <c r="I1153" t="s">
        <v>6611</v>
      </c>
      <c r="J1153" t="s">
        <v>1743</v>
      </c>
      <c r="K1153" t="s">
        <v>74</v>
      </c>
      <c r="L1153" t="s">
        <v>74</v>
      </c>
      <c r="M1153" t="s">
        <v>74</v>
      </c>
      <c r="N1153" t="s">
        <v>74</v>
      </c>
      <c r="O1153" t="s">
        <v>74</v>
      </c>
      <c r="P1153" t="s">
        <v>74</v>
      </c>
      <c r="Q1153" t="s">
        <v>74</v>
      </c>
      <c r="R1153" t="s">
        <v>74</v>
      </c>
      <c r="S1153" t="s">
        <v>74</v>
      </c>
      <c r="T1153" t="s">
        <v>74</v>
      </c>
      <c r="U1153" t="s">
        <v>74</v>
      </c>
      <c r="V1153" s="3" t="s">
        <v>6612</v>
      </c>
      <c r="W1153" t="s">
        <v>74</v>
      </c>
      <c r="X1153" t="s">
        <v>74</v>
      </c>
      <c r="Y1153" t="s">
        <v>74</v>
      </c>
      <c r="Z1153" t="s">
        <v>74</v>
      </c>
      <c r="AA1153" t="s">
        <v>74</v>
      </c>
      <c r="AB1153" t="s">
        <v>6613</v>
      </c>
      <c r="AC1153" t="s">
        <v>74</v>
      </c>
      <c r="AD1153" t="s">
        <v>74</v>
      </c>
      <c r="AE1153" t="s">
        <v>74</v>
      </c>
      <c r="AF1153" t="s">
        <v>74</v>
      </c>
      <c r="AG1153" t="s">
        <v>74</v>
      </c>
      <c r="AH1153" t="s">
        <v>74</v>
      </c>
      <c r="AI1153" t="s">
        <v>74</v>
      </c>
      <c r="AJ1153" t="s">
        <v>74</v>
      </c>
      <c r="AK1153" t="s">
        <v>74</v>
      </c>
      <c r="AL1153" t="s">
        <v>74</v>
      </c>
      <c r="AM1153" t="s">
        <v>74</v>
      </c>
      <c r="AN1153" t="s">
        <v>74</v>
      </c>
      <c r="AO1153" t="s">
        <v>1746</v>
      </c>
      <c r="AP1153" t="s">
        <v>74</v>
      </c>
      <c r="AQ1153" t="s">
        <v>74</v>
      </c>
      <c r="AR1153" t="s">
        <v>74</v>
      </c>
      <c r="AS1153" t="s">
        <v>74</v>
      </c>
      <c r="AT1153" t="s">
        <v>145</v>
      </c>
      <c r="AU1153">
        <v>2019</v>
      </c>
      <c r="AV1153">
        <v>36</v>
      </c>
      <c r="AW1153">
        <v>4</v>
      </c>
      <c r="AX1153" t="s">
        <v>74</v>
      </c>
      <c r="AY1153" t="s">
        <v>74</v>
      </c>
      <c r="AZ1153" t="s">
        <v>74</v>
      </c>
      <c r="BA1153" t="s">
        <v>74</v>
      </c>
      <c r="BB1153">
        <v>284</v>
      </c>
      <c r="BC1153">
        <v>293</v>
      </c>
      <c r="BD1153" t="s">
        <v>74</v>
      </c>
      <c r="BE1153" t="s">
        <v>6614</v>
      </c>
      <c r="BF1153" t="str">
        <f>HYPERLINK("http://dx.doi.org/10.2108/zs180167","http://dx.doi.org/10.2108/zs180167")</f>
        <v>http://dx.doi.org/10.2108/zs180167</v>
      </c>
      <c r="BG1153" t="s">
        <v>74</v>
      </c>
      <c r="BH1153" t="s">
        <v>74</v>
      </c>
      <c r="BI1153" t="s">
        <v>74</v>
      </c>
      <c r="BJ1153" t="s">
        <v>74</v>
      </c>
      <c r="BK1153" t="s">
        <v>74</v>
      </c>
      <c r="BL1153" t="s">
        <v>74</v>
      </c>
      <c r="BM1153" t="s">
        <v>74</v>
      </c>
      <c r="BN1153">
        <v>34664898</v>
      </c>
      <c r="BO1153" t="s">
        <v>74</v>
      </c>
      <c r="BP1153" t="s">
        <v>74</v>
      </c>
      <c r="BQ1153" t="s">
        <v>74</v>
      </c>
      <c r="BR1153" t="s">
        <v>74</v>
      </c>
      <c r="BS1153" t="s">
        <v>6615</v>
      </c>
      <c r="BT1153" t="str">
        <f>HYPERLINK("https%3A%2F%2Fwww.webofscience.com%2Fwos%2Fwoscc%2Ffull-record%2FWOS:000477900300003","View Full Record in Web of Science")</f>
        <v>View Full Record in Web of Science</v>
      </c>
    </row>
    <row r="1154" spans="1:72" x14ac:dyDescent="0.4">
      <c r="A1154" t="s">
        <v>72</v>
      </c>
      <c r="B1154" t="s">
        <v>832</v>
      </c>
      <c r="C1154" t="s">
        <v>74</v>
      </c>
      <c r="D1154" t="s">
        <v>74</v>
      </c>
      <c r="E1154" t="s">
        <v>74</v>
      </c>
      <c r="F1154" t="s">
        <v>833</v>
      </c>
      <c r="G1154" t="s">
        <v>74</v>
      </c>
      <c r="H1154" t="s">
        <v>74</v>
      </c>
      <c r="I1154" t="s">
        <v>834</v>
      </c>
      <c r="J1154" t="s">
        <v>119</v>
      </c>
      <c r="K1154" t="s">
        <v>74</v>
      </c>
      <c r="L1154" t="s">
        <v>74</v>
      </c>
      <c r="M1154" t="s">
        <v>74</v>
      </c>
      <c r="N1154" t="s">
        <v>74</v>
      </c>
      <c r="O1154" t="s">
        <v>74</v>
      </c>
      <c r="P1154" t="s">
        <v>74</v>
      </c>
      <c r="Q1154" t="s">
        <v>74</v>
      </c>
      <c r="R1154" t="s">
        <v>74</v>
      </c>
      <c r="S1154" t="s">
        <v>74</v>
      </c>
      <c r="T1154" t="s">
        <v>74</v>
      </c>
      <c r="U1154" t="s">
        <v>74</v>
      </c>
      <c r="V1154" s="3" t="s">
        <v>835</v>
      </c>
      <c r="W1154" t="s">
        <v>74</v>
      </c>
      <c r="X1154" t="s">
        <v>74</v>
      </c>
      <c r="Y1154" t="s">
        <v>74</v>
      </c>
      <c r="Z1154" t="s">
        <v>74</v>
      </c>
      <c r="AA1154" t="s">
        <v>836</v>
      </c>
      <c r="AB1154" t="s">
        <v>74</v>
      </c>
      <c r="AC1154" t="s">
        <v>74</v>
      </c>
      <c r="AD1154" t="s">
        <v>74</v>
      </c>
      <c r="AE1154" t="s">
        <v>74</v>
      </c>
      <c r="AF1154" t="s">
        <v>74</v>
      </c>
      <c r="AG1154" t="s">
        <v>74</v>
      </c>
      <c r="AH1154" t="s">
        <v>74</v>
      </c>
      <c r="AI1154" t="s">
        <v>74</v>
      </c>
      <c r="AJ1154" t="s">
        <v>74</v>
      </c>
      <c r="AK1154" t="s">
        <v>74</v>
      </c>
      <c r="AL1154" t="s">
        <v>74</v>
      </c>
      <c r="AM1154" t="s">
        <v>74</v>
      </c>
      <c r="AN1154" t="s">
        <v>74</v>
      </c>
      <c r="AO1154" t="s">
        <v>121</v>
      </c>
      <c r="AP1154" t="s">
        <v>122</v>
      </c>
      <c r="AQ1154" t="s">
        <v>74</v>
      </c>
      <c r="AR1154" t="s">
        <v>74</v>
      </c>
      <c r="AS1154" t="s">
        <v>74</v>
      </c>
      <c r="AT1154" t="s">
        <v>134</v>
      </c>
      <c r="AU1154">
        <v>2017</v>
      </c>
      <c r="AV1154">
        <v>138</v>
      </c>
      <c r="AW1154" t="s">
        <v>74</v>
      </c>
      <c r="AX1154" t="s">
        <v>74</v>
      </c>
      <c r="AY1154" t="s">
        <v>74</v>
      </c>
      <c r="AZ1154" t="s">
        <v>74</v>
      </c>
      <c r="BA1154" t="s">
        <v>74</v>
      </c>
      <c r="BB1154">
        <v>41</v>
      </c>
      <c r="BC1154">
        <v>48</v>
      </c>
      <c r="BD1154" t="s">
        <v>74</v>
      </c>
      <c r="BE1154" t="s">
        <v>837</v>
      </c>
      <c r="BF1154" t="str">
        <f>HYPERLINK("http://dx.doi.org/10.1016/j.beproc.2017.01.017","http://dx.doi.org/10.1016/j.beproc.2017.01.017")</f>
        <v>http://dx.doi.org/10.1016/j.beproc.2017.01.017</v>
      </c>
      <c r="BG1154" t="s">
        <v>74</v>
      </c>
      <c r="BH1154" t="s">
        <v>74</v>
      </c>
      <c r="BI1154" t="s">
        <v>74</v>
      </c>
      <c r="BJ1154" t="s">
        <v>74</v>
      </c>
      <c r="BK1154" t="s">
        <v>74</v>
      </c>
      <c r="BL1154" t="s">
        <v>74</v>
      </c>
      <c r="BM1154" t="s">
        <v>74</v>
      </c>
      <c r="BN1154">
        <v>28159653</v>
      </c>
      <c r="BO1154" t="s">
        <v>74</v>
      </c>
      <c r="BP1154" t="s">
        <v>74</v>
      </c>
      <c r="BQ1154" t="s">
        <v>74</v>
      </c>
      <c r="BR1154" t="s">
        <v>74</v>
      </c>
      <c r="BS1154" t="s">
        <v>838</v>
      </c>
      <c r="BT1154" t="str">
        <f>HYPERLINK("https%3A%2F%2Fwww.webofscience.com%2Fwos%2Fwoscc%2Ffull-record%2FWOS:000400878800007","View Full Record in Web of Science")</f>
        <v>View Full Record in Web of Science</v>
      </c>
    </row>
    <row r="1155" spans="1:72" x14ac:dyDescent="0.4">
      <c r="A1155" t="s">
        <v>72</v>
      </c>
      <c r="B1155" t="s">
        <v>5404</v>
      </c>
      <c r="C1155" t="s">
        <v>74</v>
      </c>
      <c r="D1155" t="s">
        <v>74</v>
      </c>
      <c r="E1155" t="s">
        <v>74</v>
      </c>
      <c r="F1155" t="s">
        <v>5405</v>
      </c>
      <c r="G1155" t="s">
        <v>74</v>
      </c>
      <c r="H1155" t="s">
        <v>74</v>
      </c>
      <c r="I1155" t="s">
        <v>5406</v>
      </c>
      <c r="J1155" t="s">
        <v>2207</v>
      </c>
      <c r="K1155" t="s">
        <v>74</v>
      </c>
      <c r="L1155" t="s">
        <v>74</v>
      </c>
      <c r="M1155" t="s">
        <v>74</v>
      </c>
      <c r="N1155" t="s">
        <v>74</v>
      </c>
      <c r="O1155" t="s">
        <v>74</v>
      </c>
      <c r="P1155" t="s">
        <v>74</v>
      </c>
      <c r="Q1155" t="s">
        <v>74</v>
      </c>
      <c r="R1155" t="s">
        <v>74</v>
      </c>
      <c r="S1155" t="s">
        <v>74</v>
      </c>
      <c r="T1155" t="s">
        <v>74</v>
      </c>
      <c r="U1155" t="s">
        <v>74</v>
      </c>
      <c r="V1155" s="3" t="s">
        <v>5407</v>
      </c>
      <c r="W1155" t="s">
        <v>74</v>
      </c>
      <c r="X1155" t="s">
        <v>74</v>
      </c>
      <c r="Y1155" t="s">
        <v>74</v>
      </c>
      <c r="Z1155" t="s">
        <v>74</v>
      </c>
      <c r="AA1155" t="s">
        <v>836</v>
      </c>
      <c r="AB1155" t="s">
        <v>5408</v>
      </c>
      <c r="AC1155" t="s">
        <v>74</v>
      </c>
      <c r="AD1155" t="s">
        <v>74</v>
      </c>
      <c r="AE1155" t="s">
        <v>74</v>
      </c>
      <c r="AF1155" t="s">
        <v>74</v>
      </c>
      <c r="AG1155" t="s">
        <v>74</v>
      </c>
      <c r="AH1155" t="s">
        <v>74</v>
      </c>
      <c r="AI1155" t="s">
        <v>74</v>
      </c>
      <c r="AJ1155" t="s">
        <v>74</v>
      </c>
      <c r="AK1155" t="s">
        <v>74</v>
      </c>
      <c r="AL1155" t="s">
        <v>74</v>
      </c>
      <c r="AM1155" t="s">
        <v>74</v>
      </c>
      <c r="AN1155" t="s">
        <v>74</v>
      </c>
      <c r="AO1155" t="s">
        <v>2211</v>
      </c>
      <c r="AP1155" t="s">
        <v>2461</v>
      </c>
      <c r="AQ1155" t="s">
        <v>74</v>
      </c>
      <c r="AR1155" t="s">
        <v>74</v>
      </c>
      <c r="AS1155" t="s">
        <v>74</v>
      </c>
      <c r="AT1155" t="s">
        <v>123</v>
      </c>
      <c r="AU1155">
        <v>2016</v>
      </c>
      <c r="AV1155">
        <v>47</v>
      </c>
      <c r="AW1155">
        <v>2</v>
      </c>
      <c r="AX1155" t="s">
        <v>74</v>
      </c>
      <c r="AY1155" t="s">
        <v>74</v>
      </c>
      <c r="AZ1155" t="s">
        <v>74</v>
      </c>
      <c r="BA1155" t="s">
        <v>74</v>
      </c>
      <c r="BB1155">
        <v>167</v>
      </c>
      <c r="BC1155">
        <v>175</v>
      </c>
      <c r="BD1155" t="s">
        <v>74</v>
      </c>
      <c r="BE1155" t="s">
        <v>5409</v>
      </c>
      <c r="BF1155" t="str">
        <f>HYPERLINK("http://dx.doi.org/10.1111/jav.00742","http://dx.doi.org/10.1111/jav.00742")</f>
        <v>http://dx.doi.org/10.1111/jav.00742</v>
      </c>
      <c r="BG1155" t="s">
        <v>74</v>
      </c>
      <c r="BH1155" t="s">
        <v>74</v>
      </c>
      <c r="BI1155" t="s">
        <v>74</v>
      </c>
      <c r="BJ1155" t="s">
        <v>74</v>
      </c>
      <c r="BK1155" t="s">
        <v>74</v>
      </c>
      <c r="BL1155" t="s">
        <v>74</v>
      </c>
      <c r="BM1155" t="s">
        <v>74</v>
      </c>
      <c r="BN1155" t="s">
        <v>74</v>
      </c>
      <c r="BO1155" t="s">
        <v>74</v>
      </c>
      <c r="BP1155" t="s">
        <v>74</v>
      </c>
      <c r="BQ1155" t="s">
        <v>74</v>
      </c>
      <c r="BR1155" t="s">
        <v>74</v>
      </c>
      <c r="BS1155" t="s">
        <v>5410</v>
      </c>
      <c r="BT1155" t="str">
        <f>HYPERLINK("https%3A%2F%2Fwww.webofscience.com%2Fwos%2Fwoscc%2Ffull-record%2FWOS:000373014800005","View Full Record in Web of Science")</f>
        <v>View Full Record in Web of Science</v>
      </c>
    </row>
    <row r="1156" spans="1:72" x14ac:dyDescent="0.4">
      <c r="A1156" t="s">
        <v>72</v>
      </c>
      <c r="B1156" t="s">
        <v>6294</v>
      </c>
      <c r="C1156" t="s">
        <v>74</v>
      </c>
      <c r="D1156" t="s">
        <v>74</v>
      </c>
      <c r="E1156" t="s">
        <v>74</v>
      </c>
      <c r="F1156" t="s">
        <v>6295</v>
      </c>
      <c r="G1156" t="s">
        <v>74</v>
      </c>
      <c r="H1156" t="s">
        <v>74</v>
      </c>
      <c r="I1156" t="s">
        <v>6296</v>
      </c>
      <c r="J1156" t="s">
        <v>6297</v>
      </c>
      <c r="K1156" t="s">
        <v>74</v>
      </c>
      <c r="L1156" t="s">
        <v>74</v>
      </c>
      <c r="M1156" t="s">
        <v>74</v>
      </c>
      <c r="N1156" t="s">
        <v>74</v>
      </c>
      <c r="O1156" t="s">
        <v>74</v>
      </c>
      <c r="P1156" t="s">
        <v>74</v>
      </c>
      <c r="Q1156" t="s">
        <v>74</v>
      </c>
      <c r="R1156" t="s">
        <v>74</v>
      </c>
      <c r="S1156" t="s">
        <v>74</v>
      </c>
      <c r="T1156" t="s">
        <v>74</v>
      </c>
      <c r="U1156" t="s">
        <v>74</v>
      </c>
      <c r="V1156" s="3" t="s">
        <v>6298</v>
      </c>
      <c r="W1156" t="s">
        <v>74</v>
      </c>
      <c r="X1156" t="s">
        <v>74</v>
      </c>
      <c r="Y1156" t="s">
        <v>74</v>
      </c>
      <c r="Z1156" t="s">
        <v>74</v>
      </c>
      <c r="AA1156" t="s">
        <v>6299</v>
      </c>
      <c r="AB1156" t="s">
        <v>74</v>
      </c>
      <c r="AC1156" t="s">
        <v>74</v>
      </c>
      <c r="AD1156" t="s">
        <v>74</v>
      </c>
      <c r="AE1156" t="s">
        <v>74</v>
      </c>
      <c r="AF1156" t="s">
        <v>74</v>
      </c>
      <c r="AG1156" t="s">
        <v>74</v>
      </c>
      <c r="AH1156" t="s">
        <v>74</v>
      </c>
      <c r="AI1156" t="s">
        <v>74</v>
      </c>
      <c r="AJ1156" t="s">
        <v>74</v>
      </c>
      <c r="AK1156" t="s">
        <v>74</v>
      </c>
      <c r="AL1156" t="s">
        <v>74</v>
      </c>
      <c r="AM1156" t="s">
        <v>74</v>
      </c>
      <c r="AN1156" t="s">
        <v>74</v>
      </c>
      <c r="AO1156" t="s">
        <v>6300</v>
      </c>
      <c r="AP1156" t="s">
        <v>6301</v>
      </c>
      <c r="AQ1156" t="s">
        <v>74</v>
      </c>
      <c r="AR1156" t="s">
        <v>74</v>
      </c>
      <c r="AS1156" t="s">
        <v>74</v>
      </c>
      <c r="AT1156" t="s">
        <v>305</v>
      </c>
      <c r="AU1156">
        <v>2015</v>
      </c>
      <c r="AV1156">
        <v>69</v>
      </c>
      <c r="AW1156" t="s">
        <v>74</v>
      </c>
      <c r="AX1156" t="s">
        <v>74</v>
      </c>
      <c r="AY1156" t="s">
        <v>74</v>
      </c>
      <c r="AZ1156" t="s">
        <v>74</v>
      </c>
      <c r="BA1156" t="s">
        <v>74</v>
      </c>
      <c r="BB1156">
        <v>191</v>
      </c>
      <c r="BC1156">
        <v>195</v>
      </c>
      <c r="BD1156" t="s">
        <v>74</v>
      </c>
      <c r="BE1156" t="s">
        <v>6302</v>
      </c>
      <c r="BF1156" t="str">
        <f>HYPERLINK("http://dx.doi.org/10.1649/0010-065X-69.mo4.191","http://dx.doi.org/10.1649/0010-065X-69.mo4.191")</f>
        <v>http://dx.doi.org/10.1649/0010-065X-69.mo4.191</v>
      </c>
      <c r="BG1156" t="s">
        <v>74</v>
      </c>
      <c r="BH1156" t="s">
        <v>74</v>
      </c>
      <c r="BI1156" t="s">
        <v>74</v>
      </c>
      <c r="BJ1156" t="s">
        <v>74</v>
      </c>
      <c r="BK1156" t="s">
        <v>74</v>
      </c>
      <c r="BL1156" t="s">
        <v>74</v>
      </c>
      <c r="BM1156" t="s">
        <v>74</v>
      </c>
      <c r="BN1156" t="s">
        <v>74</v>
      </c>
      <c r="BO1156" t="s">
        <v>74</v>
      </c>
      <c r="BP1156" t="s">
        <v>74</v>
      </c>
      <c r="BQ1156" t="s">
        <v>74</v>
      </c>
      <c r="BR1156" t="s">
        <v>74</v>
      </c>
      <c r="BS1156" t="s">
        <v>6303</v>
      </c>
      <c r="BT1156" t="str">
        <f>HYPERLINK("https%3A%2F%2Fwww.webofscience.com%2Fwos%2Fwoscc%2Ffull-record%2FWOS:000370895200020","View Full Record in Web of Science")</f>
        <v>View Full Record in Web of Science</v>
      </c>
    </row>
    <row r="1157" spans="1:72" x14ac:dyDescent="0.4">
      <c r="A1157" t="s">
        <v>72</v>
      </c>
      <c r="B1157" t="s">
        <v>7196</v>
      </c>
      <c r="C1157" t="s">
        <v>74</v>
      </c>
      <c r="D1157" t="s">
        <v>74</v>
      </c>
      <c r="E1157" t="s">
        <v>74</v>
      </c>
      <c r="F1157" t="s">
        <v>7197</v>
      </c>
      <c r="G1157" t="s">
        <v>74</v>
      </c>
      <c r="H1157" t="s">
        <v>74</v>
      </c>
      <c r="I1157" t="s">
        <v>7198</v>
      </c>
      <c r="J1157" t="s">
        <v>7199</v>
      </c>
      <c r="K1157" t="s">
        <v>74</v>
      </c>
      <c r="L1157" t="s">
        <v>74</v>
      </c>
      <c r="M1157" t="s">
        <v>74</v>
      </c>
      <c r="N1157" t="s">
        <v>74</v>
      </c>
      <c r="O1157" t="s">
        <v>74</v>
      </c>
      <c r="P1157" t="s">
        <v>74</v>
      </c>
      <c r="Q1157" t="s">
        <v>74</v>
      </c>
      <c r="R1157" t="s">
        <v>74</v>
      </c>
      <c r="S1157" t="s">
        <v>74</v>
      </c>
      <c r="T1157" t="s">
        <v>74</v>
      </c>
      <c r="U1157" t="s">
        <v>74</v>
      </c>
      <c r="V1157" s="3" t="s">
        <v>7200</v>
      </c>
      <c r="W1157" t="s">
        <v>74</v>
      </c>
      <c r="X1157" t="s">
        <v>74</v>
      </c>
      <c r="Y1157" t="s">
        <v>74</v>
      </c>
      <c r="Z1157" t="s">
        <v>74</v>
      </c>
      <c r="AA1157" t="s">
        <v>74</v>
      </c>
      <c r="AB1157" t="s">
        <v>7201</v>
      </c>
      <c r="AC1157" t="s">
        <v>74</v>
      </c>
      <c r="AD1157" t="s">
        <v>74</v>
      </c>
      <c r="AE1157" t="s">
        <v>74</v>
      </c>
      <c r="AF1157" t="s">
        <v>74</v>
      </c>
      <c r="AG1157" t="s">
        <v>74</v>
      </c>
      <c r="AH1157" t="s">
        <v>74</v>
      </c>
      <c r="AI1157" t="s">
        <v>74</v>
      </c>
      <c r="AJ1157" t="s">
        <v>74</v>
      </c>
      <c r="AK1157" t="s">
        <v>74</v>
      </c>
      <c r="AL1157" t="s">
        <v>74</v>
      </c>
      <c r="AM1157" t="s">
        <v>74</v>
      </c>
      <c r="AN1157" t="s">
        <v>74</v>
      </c>
      <c r="AO1157" t="s">
        <v>7202</v>
      </c>
      <c r="AP1157" t="s">
        <v>74</v>
      </c>
      <c r="AQ1157" t="s">
        <v>74</v>
      </c>
      <c r="AR1157" t="s">
        <v>74</v>
      </c>
      <c r="AS1157" t="s">
        <v>74</v>
      </c>
      <c r="AT1157" t="s">
        <v>7203</v>
      </c>
      <c r="AU1157">
        <v>2019</v>
      </c>
      <c r="AV1157">
        <v>13</v>
      </c>
      <c r="AW1157" t="s">
        <v>74</v>
      </c>
      <c r="AX1157" t="s">
        <v>74</v>
      </c>
      <c r="AY1157" t="s">
        <v>74</v>
      </c>
      <c r="AZ1157" t="s">
        <v>74</v>
      </c>
      <c r="BA1157" t="s">
        <v>74</v>
      </c>
      <c r="BB1157" t="s">
        <v>74</v>
      </c>
      <c r="BC1157" t="s">
        <v>74</v>
      </c>
      <c r="BD1157">
        <v>36</v>
      </c>
      <c r="BE1157" t="s">
        <v>7204</v>
      </c>
      <c r="BF1157" t="str">
        <f>HYPERLINK("http://dx.doi.org/10.3389/fnint.2019.00036","http://dx.doi.org/10.3389/fnint.2019.00036")</f>
        <v>http://dx.doi.org/10.3389/fnint.2019.00036</v>
      </c>
      <c r="BG1157" t="s">
        <v>74</v>
      </c>
      <c r="BH1157" t="s">
        <v>74</v>
      </c>
      <c r="BI1157" t="s">
        <v>74</v>
      </c>
      <c r="BJ1157" t="s">
        <v>74</v>
      </c>
      <c r="BK1157" t="s">
        <v>74</v>
      </c>
      <c r="BL1157" t="s">
        <v>74</v>
      </c>
      <c r="BM1157" t="s">
        <v>74</v>
      </c>
      <c r="BN1157">
        <v>31417374</v>
      </c>
      <c r="BO1157" t="s">
        <v>74</v>
      </c>
      <c r="BP1157" t="s">
        <v>74</v>
      </c>
      <c r="BQ1157" t="s">
        <v>74</v>
      </c>
      <c r="BR1157" t="s">
        <v>74</v>
      </c>
      <c r="BS1157" t="s">
        <v>7205</v>
      </c>
      <c r="BT1157" t="str">
        <f>HYPERLINK("https%3A%2F%2Fwww.webofscience.com%2Fwos%2Fwoscc%2Ffull-record%2FWOS:000478020400001","View Full Record in Web of Science")</f>
        <v>View Full Record in Web of Science</v>
      </c>
    </row>
    <row r="1158" spans="1:72" x14ac:dyDescent="0.4">
      <c r="A1158" t="s">
        <v>72</v>
      </c>
      <c r="B1158" t="s">
        <v>8352</v>
      </c>
      <c r="C1158" t="s">
        <v>74</v>
      </c>
      <c r="D1158" t="s">
        <v>74</v>
      </c>
      <c r="E1158" t="s">
        <v>74</v>
      </c>
      <c r="F1158" t="s">
        <v>8353</v>
      </c>
      <c r="G1158" t="s">
        <v>74</v>
      </c>
      <c r="H1158" t="s">
        <v>74</v>
      </c>
      <c r="I1158" t="s">
        <v>8354</v>
      </c>
      <c r="J1158" t="s">
        <v>4836</v>
      </c>
      <c r="K1158" t="s">
        <v>74</v>
      </c>
      <c r="L1158" t="s">
        <v>74</v>
      </c>
      <c r="M1158" t="s">
        <v>74</v>
      </c>
      <c r="N1158" t="s">
        <v>74</v>
      </c>
      <c r="O1158" t="s">
        <v>74</v>
      </c>
      <c r="P1158" t="s">
        <v>74</v>
      </c>
      <c r="Q1158" t="s">
        <v>74</v>
      </c>
      <c r="R1158" t="s">
        <v>74</v>
      </c>
      <c r="S1158" t="s">
        <v>74</v>
      </c>
      <c r="T1158" t="s">
        <v>74</v>
      </c>
      <c r="U1158" t="s">
        <v>74</v>
      </c>
      <c r="V1158" s="3" t="s">
        <v>8355</v>
      </c>
      <c r="W1158" t="s">
        <v>74</v>
      </c>
      <c r="X1158" t="s">
        <v>74</v>
      </c>
      <c r="Y1158" t="s">
        <v>74</v>
      </c>
      <c r="Z1158" t="s">
        <v>74</v>
      </c>
      <c r="AA1158" t="s">
        <v>74</v>
      </c>
      <c r="AB1158" t="s">
        <v>74</v>
      </c>
      <c r="AC1158" t="s">
        <v>74</v>
      </c>
      <c r="AD1158" t="s">
        <v>74</v>
      </c>
      <c r="AE1158" t="s">
        <v>74</v>
      </c>
      <c r="AF1158" t="s">
        <v>74</v>
      </c>
      <c r="AG1158" t="s">
        <v>74</v>
      </c>
      <c r="AH1158" t="s">
        <v>74</v>
      </c>
      <c r="AI1158" t="s">
        <v>74</v>
      </c>
      <c r="AJ1158" t="s">
        <v>74</v>
      </c>
      <c r="AK1158" t="s">
        <v>74</v>
      </c>
      <c r="AL1158" t="s">
        <v>74</v>
      </c>
      <c r="AM1158" t="s">
        <v>74</v>
      </c>
      <c r="AN1158" t="s">
        <v>74</v>
      </c>
      <c r="AO1158" t="s">
        <v>4840</v>
      </c>
      <c r="AP1158" t="s">
        <v>74</v>
      </c>
      <c r="AQ1158" t="s">
        <v>74</v>
      </c>
      <c r="AR1158" t="s">
        <v>74</v>
      </c>
      <c r="AS1158" t="s">
        <v>74</v>
      </c>
      <c r="AT1158" t="s">
        <v>204</v>
      </c>
      <c r="AU1158">
        <v>2014</v>
      </c>
      <c r="AV1158">
        <v>64</v>
      </c>
      <c r="AW1158">
        <v>2</v>
      </c>
      <c r="AX1158" t="s">
        <v>74</v>
      </c>
      <c r="AY1158" t="s">
        <v>74</v>
      </c>
      <c r="AZ1158" t="s">
        <v>74</v>
      </c>
      <c r="BA1158" t="s">
        <v>74</v>
      </c>
      <c r="BB1158">
        <v>139</v>
      </c>
      <c r="BC1158">
        <v>167</v>
      </c>
      <c r="BD1158" t="s">
        <v>74</v>
      </c>
      <c r="BE1158" t="s">
        <v>74</v>
      </c>
      <c r="BF1158" t="s">
        <v>74</v>
      </c>
      <c r="BG1158" t="s">
        <v>74</v>
      </c>
      <c r="BH1158" t="s">
        <v>74</v>
      </c>
      <c r="BI1158" t="s">
        <v>74</v>
      </c>
      <c r="BJ1158" t="s">
        <v>74</v>
      </c>
      <c r="BK1158" t="s">
        <v>74</v>
      </c>
      <c r="BL1158" t="s">
        <v>74</v>
      </c>
      <c r="BM1158" t="s">
        <v>74</v>
      </c>
      <c r="BN1158" t="s">
        <v>74</v>
      </c>
      <c r="BO1158" t="s">
        <v>74</v>
      </c>
      <c r="BP1158" t="s">
        <v>74</v>
      </c>
      <c r="BQ1158" t="s">
        <v>74</v>
      </c>
      <c r="BR1158" t="s">
        <v>74</v>
      </c>
      <c r="BS1158" t="s">
        <v>8356</v>
      </c>
      <c r="BT1158" t="str">
        <f>HYPERLINK("https%3A%2F%2Fwww.webofscience.com%2Fwos%2Fwoscc%2Ffull-record%2FWOS:000341406400001","View Full Record in Web of Science")</f>
        <v>View Full Record in Web of Science</v>
      </c>
    </row>
    <row r="1159" spans="1:72" x14ac:dyDescent="0.4">
      <c r="A1159" t="s">
        <v>72</v>
      </c>
      <c r="B1159" t="s">
        <v>7571</v>
      </c>
      <c r="C1159" t="s">
        <v>74</v>
      </c>
      <c r="D1159" t="s">
        <v>74</v>
      </c>
      <c r="E1159" t="s">
        <v>74</v>
      </c>
      <c r="F1159" t="s">
        <v>7572</v>
      </c>
      <c r="G1159" t="s">
        <v>74</v>
      </c>
      <c r="H1159" t="s">
        <v>74</v>
      </c>
      <c r="I1159" t="s">
        <v>7573</v>
      </c>
      <c r="J1159" t="s">
        <v>77</v>
      </c>
      <c r="K1159" t="s">
        <v>74</v>
      </c>
      <c r="L1159" t="s">
        <v>74</v>
      </c>
      <c r="M1159" t="s">
        <v>74</v>
      </c>
      <c r="N1159" t="s">
        <v>74</v>
      </c>
      <c r="O1159" t="s">
        <v>74</v>
      </c>
      <c r="P1159" t="s">
        <v>74</v>
      </c>
      <c r="Q1159" t="s">
        <v>74</v>
      </c>
      <c r="R1159" t="s">
        <v>74</v>
      </c>
      <c r="S1159" t="s">
        <v>74</v>
      </c>
      <c r="T1159" t="s">
        <v>74</v>
      </c>
      <c r="U1159" t="s">
        <v>74</v>
      </c>
      <c r="V1159" s="3" t="s">
        <v>7574</v>
      </c>
      <c r="W1159" t="s">
        <v>74</v>
      </c>
      <c r="X1159" t="s">
        <v>74</v>
      </c>
      <c r="Y1159" t="s">
        <v>74</v>
      </c>
      <c r="Z1159" t="s">
        <v>74</v>
      </c>
      <c r="AA1159" t="s">
        <v>74</v>
      </c>
      <c r="AB1159" t="s">
        <v>7575</v>
      </c>
      <c r="AC1159" t="s">
        <v>74</v>
      </c>
      <c r="AD1159" t="s">
        <v>74</v>
      </c>
      <c r="AE1159" t="s">
        <v>74</v>
      </c>
      <c r="AF1159" t="s">
        <v>74</v>
      </c>
      <c r="AG1159" t="s">
        <v>74</v>
      </c>
      <c r="AH1159" t="s">
        <v>74</v>
      </c>
      <c r="AI1159" t="s">
        <v>74</v>
      </c>
      <c r="AJ1159" t="s">
        <v>74</v>
      </c>
      <c r="AK1159" t="s">
        <v>74</v>
      </c>
      <c r="AL1159" t="s">
        <v>74</v>
      </c>
      <c r="AM1159" t="s">
        <v>74</v>
      </c>
      <c r="AN1159" t="s">
        <v>74</v>
      </c>
      <c r="AO1159" t="s">
        <v>81</v>
      </c>
      <c r="AP1159" t="s">
        <v>82</v>
      </c>
      <c r="AQ1159" t="s">
        <v>74</v>
      </c>
      <c r="AR1159" t="s">
        <v>74</v>
      </c>
      <c r="AS1159" t="s">
        <v>74</v>
      </c>
      <c r="AT1159" t="s">
        <v>255</v>
      </c>
      <c r="AU1159">
        <v>2019</v>
      </c>
      <c r="AV1159">
        <v>156</v>
      </c>
      <c r="AW1159">
        <v>2</v>
      </c>
      <c r="AX1159" t="s">
        <v>74</v>
      </c>
      <c r="AY1159" t="s">
        <v>74</v>
      </c>
      <c r="AZ1159" t="s">
        <v>74</v>
      </c>
      <c r="BA1159" t="s">
        <v>74</v>
      </c>
      <c r="BB1159">
        <v>131</v>
      </c>
      <c r="BC1159">
        <v>153</v>
      </c>
      <c r="BD1159" t="s">
        <v>74</v>
      </c>
      <c r="BE1159" t="s">
        <v>7576</v>
      </c>
      <c r="BF1159" t="str">
        <f>HYPERLINK("http://dx.doi.org/10.1163/1568539X-00003533","http://dx.doi.org/10.1163/1568539X-00003533")</f>
        <v>http://dx.doi.org/10.1163/1568539X-00003533</v>
      </c>
      <c r="BG1159" t="s">
        <v>74</v>
      </c>
      <c r="BH1159" t="s">
        <v>74</v>
      </c>
      <c r="BI1159" t="s">
        <v>74</v>
      </c>
      <c r="BJ1159" t="s">
        <v>74</v>
      </c>
      <c r="BK1159" t="s">
        <v>74</v>
      </c>
      <c r="BL1159" t="s">
        <v>74</v>
      </c>
      <c r="BM1159" t="s">
        <v>74</v>
      </c>
      <c r="BN1159" t="s">
        <v>74</v>
      </c>
      <c r="BO1159" t="s">
        <v>74</v>
      </c>
      <c r="BP1159" t="s">
        <v>74</v>
      </c>
      <c r="BQ1159" t="s">
        <v>74</v>
      </c>
      <c r="BR1159" t="s">
        <v>74</v>
      </c>
      <c r="BS1159" t="s">
        <v>7577</v>
      </c>
      <c r="BT1159" t="str">
        <f>HYPERLINK("https%3A%2F%2Fwww.webofscience.com%2Fwos%2Fwoscc%2Ffull-record%2FWOS:000457844100002","View Full Record in Web of Science")</f>
        <v>View Full Record in Web of Science</v>
      </c>
    </row>
    <row r="1160" spans="1:72" x14ac:dyDescent="0.4">
      <c r="A1160" t="s">
        <v>72</v>
      </c>
      <c r="B1160" t="s">
        <v>6843</v>
      </c>
      <c r="C1160" t="s">
        <v>74</v>
      </c>
      <c r="D1160" t="s">
        <v>74</v>
      </c>
      <c r="E1160" t="s">
        <v>74</v>
      </c>
      <c r="F1160" t="s">
        <v>6844</v>
      </c>
      <c r="G1160" t="s">
        <v>74</v>
      </c>
      <c r="H1160" t="s">
        <v>74</v>
      </c>
      <c r="I1160" t="s">
        <v>6845</v>
      </c>
      <c r="J1160" t="s">
        <v>5684</v>
      </c>
      <c r="K1160" t="s">
        <v>74</v>
      </c>
      <c r="L1160" t="s">
        <v>74</v>
      </c>
      <c r="M1160" t="s">
        <v>74</v>
      </c>
      <c r="N1160" t="s">
        <v>74</v>
      </c>
      <c r="O1160" t="s">
        <v>74</v>
      </c>
      <c r="P1160" t="s">
        <v>74</v>
      </c>
      <c r="Q1160" t="s">
        <v>74</v>
      </c>
      <c r="R1160" t="s">
        <v>74</v>
      </c>
      <c r="S1160" t="s">
        <v>74</v>
      </c>
      <c r="T1160" t="s">
        <v>74</v>
      </c>
      <c r="U1160" t="s">
        <v>74</v>
      </c>
      <c r="V1160" s="3" t="s">
        <v>6846</v>
      </c>
      <c r="W1160" t="s">
        <v>74</v>
      </c>
      <c r="X1160" t="s">
        <v>74</v>
      </c>
      <c r="Y1160" t="s">
        <v>74</v>
      </c>
      <c r="Z1160" t="s">
        <v>74</v>
      </c>
      <c r="AA1160" t="s">
        <v>74</v>
      </c>
      <c r="AB1160" t="s">
        <v>74</v>
      </c>
      <c r="AC1160" t="s">
        <v>74</v>
      </c>
      <c r="AD1160" t="s">
        <v>74</v>
      </c>
      <c r="AE1160" t="s">
        <v>74</v>
      </c>
      <c r="AF1160" t="s">
        <v>74</v>
      </c>
      <c r="AG1160" t="s">
        <v>74</v>
      </c>
      <c r="AH1160" t="s">
        <v>74</v>
      </c>
      <c r="AI1160" t="s">
        <v>74</v>
      </c>
      <c r="AJ1160" t="s">
        <v>74</v>
      </c>
      <c r="AK1160" t="s">
        <v>74</v>
      </c>
      <c r="AL1160" t="s">
        <v>74</v>
      </c>
      <c r="AM1160" t="s">
        <v>74</v>
      </c>
      <c r="AN1160" t="s">
        <v>74</v>
      </c>
      <c r="AO1160" t="s">
        <v>5688</v>
      </c>
      <c r="AP1160" t="s">
        <v>5689</v>
      </c>
      <c r="AQ1160" t="s">
        <v>74</v>
      </c>
      <c r="AR1160" t="s">
        <v>74</v>
      </c>
      <c r="AS1160" t="s">
        <v>74</v>
      </c>
      <c r="AT1160" t="s">
        <v>964</v>
      </c>
      <c r="AU1160">
        <v>2011</v>
      </c>
      <c r="AV1160">
        <v>67</v>
      </c>
      <c r="AW1160">
        <v>2</v>
      </c>
      <c r="AX1160" t="s">
        <v>74</v>
      </c>
      <c r="AY1160" t="s">
        <v>74</v>
      </c>
      <c r="AZ1160" t="s">
        <v>74</v>
      </c>
      <c r="BA1160" t="s">
        <v>74</v>
      </c>
      <c r="BB1160">
        <v>162</v>
      </c>
      <c r="BC1160">
        <v>169</v>
      </c>
      <c r="BD1160" t="s">
        <v>74</v>
      </c>
      <c r="BE1160" t="s">
        <v>6847</v>
      </c>
      <c r="BF1160" t="str">
        <f>HYPERLINK("http://dx.doi.org/10.1002/ps.2045","http://dx.doi.org/10.1002/ps.2045")</f>
        <v>http://dx.doi.org/10.1002/ps.2045</v>
      </c>
      <c r="BG1160" t="s">
        <v>74</v>
      </c>
      <c r="BH1160" t="s">
        <v>74</v>
      </c>
      <c r="BI1160" t="s">
        <v>74</v>
      </c>
      <c r="BJ1160" t="s">
        <v>74</v>
      </c>
      <c r="BK1160" t="s">
        <v>74</v>
      </c>
      <c r="BL1160" t="s">
        <v>74</v>
      </c>
      <c r="BM1160" t="s">
        <v>74</v>
      </c>
      <c r="BN1160">
        <v>20981740</v>
      </c>
      <c r="BO1160" t="s">
        <v>74</v>
      </c>
      <c r="BP1160" t="s">
        <v>74</v>
      </c>
      <c r="BQ1160" t="s">
        <v>74</v>
      </c>
      <c r="BR1160" t="s">
        <v>74</v>
      </c>
      <c r="BS1160" t="s">
        <v>6848</v>
      </c>
      <c r="BT1160" t="str">
        <f>HYPERLINK("https%3A%2F%2Fwww.webofscience.com%2Fwos%2Fwoscc%2Ffull-record%2FWOS:000286071200005","View Full Record in Web of Science")</f>
        <v>View Full Record in Web of Science</v>
      </c>
    </row>
    <row r="1161" spans="1:72" x14ac:dyDescent="0.4">
      <c r="A1161" t="s">
        <v>72</v>
      </c>
      <c r="B1161" t="s">
        <v>7665</v>
      </c>
      <c r="C1161" t="s">
        <v>74</v>
      </c>
      <c r="D1161" t="s">
        <v>74</v>
      </c>
      <c r="E1161" t="s">
        <v>74</v>
      </c>
      <c r="F1161" t="s">
        <v>7666</v>
      </c>
      <c r="G1161" t="s">
        <v>74</v>
      </c>
      <c r="H1161" t="s">
        <v>74</v>
      </c>
      <c r="I1161" t="s">
        <v>7667</v>
      </c>
      <c r="J1161" t="s">
        <v>5937</v>
      </c>
      <c r="K1161" t="s">
        <v>74</v>
      </c>
      <c r="L1161" t="s">
        <v>74</v>
      </c>
      <c r="M1161" t="s">
        <v>74</v>
      </c>
      <c r="N1161" t="s">
        <v>74</v>
      </c>
      <c r="O1161" t="s">
        <v>74</v>
      </c>
      <c r="P1161" t="s">
        <v>74</v>
      </c>
      <c r="Q1161" t="s">
        <v>74</v>
      </c>
      <c r="R1161" t="s">
        <v>74</v>
      </c>
      <c r="S1161" t="s">
        <v>74</v>
      </c>
      <c r="T1161" t="s">
        <v>74</v>
      </c>
      <c r="U1161" t="s">
        <v>74</v>
      </c>
      <c r="V1161" s="3" t="s">
        <v>7668</v>
      </c>
      <c r="W1161" t="s">
        <v>74</v>
      </c>
      <c r="X1161" t="s">
        <v>74</v>
      </c>
      <c r="Y1161" t="s">
        <v>74</v>
      </c>
      <c r="Z1161" t="s">
        <v>74</v>
      </c>
      <c r="AA1161" t="s">
        <v>7669</v>
      </c>
      <c r="AB1161" t="s">
        <v>7670</v>
      </c>
      <c r="AC1161" t="s">
        <v>74</v>
      </c>
      <c r="AD1161" t="s">
        <v>74</v>
      </c>
      <c r="AE1161" t="s">
        <v>74</v>
      </c>
      <c r="AF1161" t="s">
        <v>74</v>
      </c>
      <c r="AG1161" t="s">
        <v>74</v>
      </c>
      <c r="AH1161" t="s">
        <v>74</v>
      </c>
      <c r="AI1161" t="s">
        <v>74</v>
      </c>
      <c r="AJ1161" t="s">
        <v>74</v>
      </c>
      <c r="AK1161" t="s">
        <v>74</v>
      </c>
      <c r="AL1161" t="s">
        <v>74</v>
      </c>
      <c r="AM1161" t="s">
        <v>74</v>
      </c>
      <c r="AN1161" t="s">
        <v>74</v>
      </c>
      <c r="AO1161" t="s">
        <v>5941</v>
      </c>
      <c r="AP1161" t="s">
        <v>74</v>
      </c>
      <c r="AQ1161" t="s">
        <v>74</v>
      </c>
      <c r="AR1161" t="s">
        <v>74</v>
      </c>
      <c r="AS1161" t="s">
        <v>74</v>
      </c>
      <c r="AT1161" t="s">
        <v>964</v>
      </c>
      <c r="AU1161">
        <v>2023</v>
      </c>
      <c r="AV1161">
        <v>13</v>
      </c>
      <c r="AW1161">
        <v>4</v>
      </c>
      <c r="AX1161" t="s">
        <v>74</v>
      </c>
      <c r="AY1161" t="s">
        <v>74</v>
      </c>
      <c r="AZ1161" t="s">
        <v>74</v>
      </c>
      <c r="BA1161" t="s">
        <v>74</v>
      </c>
      <c r="BB1161" t="s">
        <v>74</v>
      </c>
      <c r="BC1161" t="s">
        <v>74</v>
      </c>
      <c r="BD1161">
        <v>753</v>
      </c>
      <c r="BE1161" t="s">
        <v>7671</v>
      </c>
      <c r="BF1161" t="str">
        <f>HYPERLINK("http://dx.doi.org/10.3390/ani13040753","http://dx.doi.org/10.3390/ani13040753")</f>
        <v>http://dx.doi.org/10.3390/ani13040753</v>
      </c>
      <c r="BG1161" t="s">
        <v>74</v>
      </c>
      <c r="BH1161" t="s">
        <v>74</v>
      </c>
      <c r="BI1161" t="s">
        <v>74</v>
      </c>
      <c r="BJ1161" t="s">
        <v>74</v>
      </c>
      <c r="BK1161" t="s">
        <v>74</v>
      </c>
      <c r="BL1161" t="s">
        <v>74</v>
      </c>
      <c r="BM1161" t="s">
        <v>74</v>
      </c>
      <c r="BN1161">
        <v>36830540</v>
      </c>
      <c r="BO1161" t="s">
        <v>74</v>
      </c>
      <c r="BP1161" t="s">
        <v>74</v>
      </c>
      <c r="BQ1161" t="s">
        <v>74</v>
      </c>
      <c r="BR1161" t="s">
        <v>74</v>
      </c>
      <c r="BS1161" t="s">
        <v>7672</v>
      </c>
      <c r="BT1161" t="str">
        <f>HYPERLINK("https%3A%2F%2Fwww.webofscience.com%2Fwos%2Fwoscc%2Ffull-record%2FWOS:000938298300001","View Full Record in Web of Science")</f>
        <v>View Full Record in Web of Science</v>
      </c>
    </row>
    <row r="1162" spans="1:72" x14ac:dyDescent="0.4">
      <c r="A1162" t="s">
        <v>72</v>
      </c>
      <c r="B1162" t="s">
        <v>137</v>
      </c>
      <c r="C1162" t="s">
        <v>74</v>
      </c>
      <c r="D1162" t="s">
        <v>74</v>
      </c>
      <c r="E1162" t="s">
        <v>74</v>
      </c>
      <c r="F1162" t="s">
        <v>138</v>
      </c>
      <c r="G1162" t="s">
        <v>74</v>
      </c>
      <c r="H1162" t="s">
        <v>74</v>
      </c>
      <c r="I1162" t="s">
        <v>139</v>
      </c>
      <c r="J1162" t="s">
        <v>140</v>
      </c>
      <c r="K1162" t="s">
        <v>74</v>
      </c>
      <c r="L1162" t="s">
        <v>74</v>
      </c>
      <c r="M1162" t="s">
        <v>74</v>
      </c>
      <c r="N1162" t="s">
        <v>74</v>
      </c>
      <c r="O1162" t="s">
        <v>74</v>
      </c>
      <c r="P1162" t="s">
        <v>74</v>
      </c>
      <c r="Q1162" t="s">
        <v>74</v>
      </c>
      <c r="R1162" t="s">
        <v>74</v>
      </c>
      <c r="S1162" t="s">
        <v>74</v>
      </c>
      <c r="T1162" t="s">
        <v>74</v>
      </c>
      <c r="U1162" t="s">
        <v>74</v>
      </c>
      <c r="V1162" s="3" t="s">
        <v>141</v>
      </c>
      <c r="W1162" t="s">
        <v>74</v>
      </c>
      <c r="X1162" t="s">
        <v>74</v>
      </c>
      <c r="Y1162" t="s">
        <v>74</v>
      </c>
      <c r="Z1162" t="s">
        <v>74</v>
      </c>
      <c r="AA1162" t="s">
        <v>74</v>
      </c>
      <c r="AB1162" t="s">
        <v>142</v>
      </c>
      <c r="AC1162" t="s">
        <v>74</v>
      </c>
      <c r="AD1162" t="s">
        <v>74</v>
      </c>
      <c r="AE1162" t="s">
        <v>74</v>
      </c>
      <c r="AF1162" t="s">
        <v>74</v>
      </c>
      <c r="AG1162" t="s">
        <v>74</v>
      </c>
      <c r="AH1162" t="s">
        <v>74</v>
      </c>
      <c r="AI1162" t="s">
        <v>74</v>
      </c>
      <c r="AJ1162" t="s">
        <v>74</v>
      </c>
      <c r="AK1162" t="s">
        <v>74</v>
      </c>
      <c r="AL1162" t="s">
        <v>74</v>
      </c>
      <c r="AM1162" t="s">
        <v>74</v>
      </c>
      <c r="AN1162" t="s">
        <v>74</v>
      </c>
      <c r="AO1162" t="s">
        <v>143</v>
      </c>
      <c r="AP1162" t="s">
        <v>144</v>
      </c>
      <c r="AQ1162" t="s">
        <v>74</v>
      </c>
      <c r="AR1162" t="s">
        <v>74</v>
      </c>
      <c r="AS1162" t="s">
        <v>74</v>
      </c>
      <c r="AT1162" t="s">
        <v>145</v>
      </c>
      <c r="AU1162">
        <v>2015</v>
      </c>
      <c r="AV1162">
        <v>106</v>
      </c>
      <c r="AW1162" t="s">
        <v>74</v>
      </c>
      <c r="AX1162" t="s">
        <v>74</v>
      </c>
      <c r="AY1162" t="s">
        <v>74</v>
      </c>
      <c r="AZ1162" t="s">
        <v>74</v>
      </c>
      <c r="BA1162" t="s">
        <v>74</v>
      </c>
      <c r="BB1162">
        <v>171</v>
      </c>
      <c r="BC1162">
        <v>179</v>
      </c>
      <c r="BD1162" t="s">
        <v>74</v>
      </c>
      <c r="BE1162" t="s">
        <v>146</v>
      </c>
      <c r="BF1162" t="str">
        <f>HYPERLINK("http://dx.doi.org/10.1016/j.anbehav.2015.05.016","http://dx.doi.org/10.1016/j.anbehav.2015.05.016")</f>
        <v>http://dx.doi.org/10.1016/j.anbehav.2015.05.016</v>
      </c>
      <c r="BG1162" t="s">
        <v>74</v>
      </c>
      <c r="BH1162" t="s">
        <v>74</v>
      </c>
      <c r="BI1162" t="s">
        <v>74</v>
      </c>
      <c r="BJ1162" t="s">
        <v>74</v>
      </c>
      <c r="BK1162" t="s">
        <v>74</v>
      </c>
      <c r="BL1162" t="s">
        <v>74</v>
      </c>
      <c r="BM1162" t="s">
        <v>74</v>
      </c>
      <c r="BN1162" t="s">
        <v>74</v>
      </c>
      <c r="BO1162" t="s">
        <v>74</v>
      </c>
      <c r="BP1162" t="s">
        <v>74</v>
      </c>
      <c r="BQ1162" t="s">
        <v>74</v>
      </c>
      <c r="BR1162" t="s">
        <v>74</v>
      </c>
      <c r="BS1162" t="s">
        <v>147</v>
      </c>
      <c r="BT1162" t="str">
        <f>HYPERLINK("https%3A%2F%2Fwww.webofscience.com%2Fwos%2Fwoscc%2Ffull-record%2FWOS:000358315700022","View Full Record in Web of Science")</f>
        <v>View Full Record in Web of Science</v>
      </c>
    </row>
    <row r="1163" spans="1:72" x14ac:dyDescent="0.4">
      <c r="A1163" t="s">
        <v>72</v>
      </c>
      <c r="B1163" t="s">
        <v>4665</v>
      </c>
      <c r="C1163" t="s">
        <v>74</v>
      </c>
      <c r="D1163" t="s">
        <v>74</v>
      </c>
      <c r="E1163" t="s">
        <v>74</v>
      </c>
      <c r="F1163" t="s">
        <v>4666</v>
      </c>
      <c r="G1163" t="s">
        <v>74</v>
      </c>
      <c r="H1163" t="s">
        <v>74</v>
      </c>
      <c r="I1163" t="s">
        <v>4667</v>
      </c>
      <c r="J1163" t="s">
        <v>397</v>
      </c>
      <c r="K1163" t="s">
        <v>74</v>
      </c>
      <c r="L1163" t="s">
        <v>74</v>
      </c>
      <c r="M1163" t="s">
        <v>74</v>
      </c>
      <c r="N1163" t="s">
        <v>74</v>
      </c>
      <c r="O1163" t="s">
        <v>74</v>
      </c>
      <c r="P1163" t="s">
        <v>74</v>
      </c>
      <c r="Q1163" t="s">
        <v>74</v>
      </c>
      <c r="R1163" t="s">
        <v>74</v>
      </c>
      <c r="S1163" t="s">
        <v>74</v>
      </c>
      <c r="T1163" t="s">
        <v>74</v>
      </c>
      <c r="U1163" t="s">
        <v>74</v>
      </c>
      <c r="V1163" s="3" t="s">
        <v>4668</v>
      </c>
      <c r="W1163" t="s">
        <v>74</v>
      </c>
      <c r="X1163" t="s">
        <v>74</v>
      </c>
      <c r="Y1163" t="s">
        <v>74</v>
      </c>
      <c r="Z1163" t="s">
        <v>74</v>
      </c>
      <c r="AA1163" t="s">
        <v>4669</v>
      </c>
      <c r="AB1163" t="s">
        <v>4670</v>
      </c>
      <c r="AC1163" t="s">
        <v>74</v>
      </c>
      <c r="AD1163" t="s">
        <v>74</v>
      </c>
      <c r="AE1163" t="s">
        <v>74</v>
      </c>
      <c r="AF1163" t="s">
        <v>74</v>
      </c>
      <c r="AG1163" t="s">
        <v>74</v>
      </c>
      <c r="AH1163" t="s">
        <v>74</v>
      </c>
      <c r="AI1163" t="s">
        <v>74</v>
      </c>
      <c r="AJ1163" t="s">
        <v>74</v>
      </c>
      <c r="AK1163" t="s">
        <v>74</v>
      </c>
      <c r="AL1163" t="s">
        <v>74</v>
      </c>
      <c r="AM1163" t="s">
        <v>74</v>
      </c>
      <c r="AN1163" t="s">
        <v>74</v>
      </c>
      <c r="AO1163" t="s">
        <v>401</v>
      </c>
      <c r="AP1163" t="s">
        <v>402</v>
      </c>
      <c r="AQ1163" t="s">
        <v>74</v>
      </c>
      <c r="AR1163" t="s">
        <v>74</v>
      </c>
      <c r="AS1163" t="s">
        <v>74</v>
      </c>
      <c r="AT1163" t="s">
        <v>213</v>
      </c>
      <c r="AU1163">
        <v>2015</v>
      </c>
      <c r="AV1163">
        <v>14</v>
      </c>
      <c r="AW1163">
        <v>8</v>
      </c>
      <c r="AX1163" t="s">
        <v>74</v>
      </c>
      <c r="AY1163" t="s">
        <v>74</v>
      </c>
      <c r="AZ1163" t="s">
        <v>74</v>
      </c>
      <c r="BA1163" t="s">
        <v>74</v>
      </c>
      <c r="BB1163">
        <v>641</v>
      </c>
      <c r="BC1163">
        <v>654</v>
      </c>
      <c r="BD1163" t="s">
        <v>74</v>
      </c>
      <c r="BE1163" t="s">
        <v>4671</v>
      </c>
      <c r="BF1163" t="str">
        <f>HYPERLINK("http://dx.doi.org/10.1111/gbb.12252","http://dx.doi.org/10.1111/gbb.12252")</f>
        <v>http://dx.doi.org/10.1111/gbb.12252</v>
      </c>
      <c r="BG1163" t="s">
        <v>74</v>
      </c>
      <c r="BH1163" t="s">
        <v>74</v>
      </c>
      <c r="BI1163" t="s">
        <v>74</v>
      </c>
      <c r="BJ1163" t="s">
        <v>74</v>
      </c>
      <c r="BK1163" t="s">
        <v>74</v>
      </c>
      <c r="BL1163" t="s">
        <v>74</v>
      </c>
      <c r="BM1163" t="s">
        <v>74</v>
      </c>
      <c r="BN1163">
        <v>26463687</v>
      </c>
      <c r="BO1163" t="s">
        <v>74</v>
      </c>
      <c r="BP1163" t="s">
        <v>74</v>
      </c>
      <c r="BQ1163" t="s">
        <v>74</v>
      </c>
      <c r="BR1163" t="s">
        <v>74</v>
      </c>
      <c r="BS1163" t="s">
        <v>4672</v>
      </c>
      <c r="BT1163" t="str">
        <f>HYPERLINK("https%3A%2F%2Fwww.webofscience.com%2Fwos%2Fwoscc%2Ffull-record%2FWOS:000368248600008","View Full Record in Web of Science")</f>
        <v>View Full Record in Web of Science</v>
      </c>
    </row>
  </sheetData>
  <sortState xmlns:xlrd2="http://schemas.microsoft.com/office/spreadsheetml/2017/richdata2" ref="A2:BV1163">
    <sortCondition ref="F2:F1163"/>
  </sortState>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F301A-CE6F-4374-A75E-95D958653195}">
  <dimension ref="A1:BT1163"/>
  <sheetViews>
    <sheetView topLeftCell="F1" zoomScaleNormal="100" workbookViewId="0">
      <selection activeCell="F4" sqref="F4"/>
    </sheetView>
  </sheetViews>
  <sheetFormatPr defaultRowHeight="15" x14ac:dyDescent="0.4"/>
  <cols>
    <col min="1" max="5" width="0" hidden="1" customWidth="1"/>
    <col min="6" max="6" width="19.06640625" customWidth="1"/>
    <col min="7" max="8" width="0" hidden="1" customWidth="1"/>
    <col min="9" max="9" width="245.73046875" bestFit="1" customWidth="1"/>
    <col min="11" max="21" width="0" hidden="1" customWidth="1"/>
    <col min="22" max="22" width="255.59765625" style="3" bestFit="1" customWidth="1"/>
    <col min="23" max="45" width="0" hidden="1" customWidth="1"/>
    <col min="59" max="73" width="0" hidden="1" customWidth="1"/>
  </cols>
  <sheetData>
    <row r="1" spans="1:72"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3"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s="7" customFormat="1" x14ac:dyDescent="0.4">
      <c r="A2" s="1" t="s">
        <v>72</v>
      </c>
      <c r="B2" s="1" t="s">
        <v>3477</v>
      </c>
      <c r="C2" s="1" t="s">
        <v>74</v>
      </c>
      <c r="D2" s="1" t="s">
        <v>74</v>
      </c>
      <c r="E2" s="1" t="s">
        <v>74</v>
      </c>
      <c r="F2" s="1" t="s">
        <v>3477</v>
      </c>
      <c r="G2" s="1" t="s">
        <v>74</v>
      </c>
      <c r="H2" s="1" t="s">
        <v>74</v>
      </c>
      <c r="I2" s="1" t="s">
        <v>3478</v>
      </c>
      <c r="J2" s="1" t="s">
        <v>77</v>
      </c>
      <c r="K2" s="1" t="s">
        <v>74</v>
      </c>
      <c r="L2" s="1" t="s">
        <v>74</v>
      </c>
      <c r="M2" s="1" t="s">
        <v>74</v>
      </c>
      <c r="N2" s="1" t="s">
        <v>74</v>
      </c>
      <c r="O2" s="1" t="s">
        <v>74</v>
      </c>
      <c r="P2" s="1" t="s">
        <v>74</v>
      </c>
      <c r="Q2" s="1" t="s">
        <v>74</v>
      </c>
      <c r="R2" s="1" t="s">
        <v>74</v>
      </c>
      <c r="S2" s="1" t="s">
        <v>74</v>
      </c>
      <c r="T2" s="1" t="s">
        <v>74</v>
      </c>
      <c r="U2" s="1" t="s">
        <v>74</v>
      </c>
      <c r="V2" s="4" t="s">
        <v>3479</v>
      </c>
      <c r="W2" s="1" t="s">
        <v>74</v>
      </c>
      <c r="X2" s="1" t="s">
        <v>74</v>
      </c>
      <c r="Y2" s="1" t="s">
        <v>74</v>
      </c>
      <c r="Z2" s="1" t="s">
        <v>74</v>
      </c>
      <c r="AA2" s="1" t="s">
        <v>74</v>
      </c>
      <c r="AB2" s="1" t="s">
        <v>1774</v>
      </c>
      <c r="AC2" s="1" t="s">
        <v>74</v>
      </c>
      <c r="AD2" s="1" t="s">
        <v>74</v>
      </c>
      <c r="AE2" s="1" t="s">
        <v>74</v>
      </c>
      <c r="AF2" s="1" t="s">
        <v>74</v>
      </c>
      <c r="AG2" s="1" t="s">
        <v>74</v>
      </c>
      <c r="AH2" s="1" t="s">
        <v>74</v>
      </c>
      <c r="AI2" s="1" t="s">
        <v>74</v>
      </c>
      <c r="AJ2" s="1" t="s">
        <v>74</v>
      </c>
      <c r="AK2" s="1" t="s">
        <v>74</v>
      </c>
      <c r="AL2" s="1" t="s">
        <v>74</v>
      </c>
      <c r="AM2" s="1" t="s">
        <v>74</v>
      </c>
      <c r="AN2" s="1" t="s">
        <v>74</v>
      </c>
      <c r="AO2" s="1" t="s">
        <v>81</v>
      </c>
      <c r="AP2" s="1" t="s">
        <v>74</v>
      </c>
      <c r="AQ2" s="1" t="s">
        <v>74</v>
      </c>
      <c r="AR2" s="1" t="s">
        <v>74</v>
      </c>
      <c r="AS2" s="1" t="s">
        <v>74</v>
      </c>
      <c r="AT2" s="1" t="s">
        <v>305</v>
      </c>
      <c r="AU2" s="1">
        <v>1996</v>
      </c>
      <c r="AV2" s="1">
        <v>133</v>
      </c>
      <c r="AW2" s="1" t="s">
        <v>74</v>
      </c>
      <c r="AX2" s="1" t="s">
        <v>3480</v>
      </c>
      <c r="AY2" s="1" t="s">
        <v>74</v>
      </c>
      <c r="AZ2" s="1" t="s">
        <v>74</v>
      </c>
      <c r="BA2" s="1" t="s">
        <v>74</v>
      </c>
      <c r="BB2" s="1">
        <v>1265</v>
      </c>
      <c r="BC2" s="1">
        <v>1279</v>
      </c>
      <c r="BD2" s="1" t="s">
        <v>74</v>
      </c>
      <c r="BE2" s="1" t="s">
        <v>3481</v>
      </c>
      <c r="BF2" s="1" t="str">
        <f>HYPERLINK("http://dx.doi.org/10.1163/156853996X00396","http://dx.doi.org/10.1163/156853996X00396")</f>
        <v>http://dx.doi.org/10.1163/156853996X00396</v>
      </c>
      <c r="BG2" s="1" t="s">
        <v>74</v>
      </c>
      <c r="BH2" s="1" t="s">
        <v>74</v>
      </c>
      <c r="BI2" s="1" t="s">
        <v>74</v>
      </c>
      <c r="BJ2" s="1" t="s">
        <v>74</v>
      </c>
      <c r="BK2" s="1" t="s">
        <v>74</v>
      </c>
      <c r="BL2" s="1" t="s">
        <v>74</v>
      </c>
      <c r="BM2" s="1" t="s">
        <v>74</v>
      </c>
      <c r="BN2" s="1" t="s">
        <v>74</v>
      </c>
      <c r="BO2" s="1" t="s">
        <v>74</v>
      </c>
      <c r="BP2" s="1" t="s">
        <v>74</v>
      </c>
      <c r="BQ2" s="1" t="s">
        <v>74</v>
      </c>
      <c r="BR2" s="1" t="s">
        <v>74</v>
      </c>
      <c r="BS2" s="1" t="s">
        <v>3482</v>
      </c>
      <c r="BT2" s="1" t="str">
        <f>HYPERLINK("https%3A%2F%2Fwww.webofscience.com%2Fwos%2Fwoscc%2Ffull-record%2FWOS:A1996WF81400008","View Full Record in Web of Science")</f>
        <v>View Full Record in Web of Science</v>
      </c>
    </row>
    <row r="3" spans="1:72" s="2" customFormat="1" x14ac:dyDescent="0.4">
      <c r="A3" s="1" t="s">
        <v>72</v>
      </c>
      <c r="B3" s="1" t="s">
        <v>1585</v>
      </c>
      <c r="C3" s="1" t="s">
        <v>74</v>
      </c>
      <c r="D3" s="1" t="s">
        <v>74</v>
      </c>
      <c r="E3" s="1" t="s">
        <v>74</v>
      </c>
      <c r="F3" s="1" t="s">
        <v>1586</v>
      </c>
      <c r="G3" s="1" t="s">
        <v>74</v>
      </c>
      <c r="H3" s="1" t="s">
        <v>74</v>
      </c>
      <c r="I3" s="1" t="s">
        <v>1587</v>
      </c>
      <c r="J3" s="1" t="s">
        <v>775</v>
      </c>
      <c r="K3" s="1" t="s">
        <v>74</v>
      </c>
      <c r="L3" s="1" t="s">
        <v>74</v>
      </c>
      <c r="M3" s="1" t="s">
        <v>74</v>
      </c>
      <c r="N3" s="1" t="s">
        <v>74</v>
      </c>
      <c r="O3" s="1" t="s">
        <v>74</v>
      </c>
      <c r="P3" s="1" t="s">
        <v>74</v>
      </c>
      <c r="Q3" s="1" t="s">
        <v>74</v>
      </c>
      <c r="R3" s="1" t="s">
        <v>74</v>
      </c>
      <c r="S3" s="1" t="s">
        <v>74</v>
      </c>
      <c r="T3" s="1" t="s">
        <v>74</v>
      </c>
      <c r="U3" s="1" t="s">
        <v>74</v>
      </c>
      <c r="V3" s="4" t="s">
        <v>1588</v>
      </c>
      <c r="W3" s="1" t="s">
        <v>74</v>
      </c>
      <c r="X3" s="1" t="s">
        <v>74</v>
      </c>
      <c r="Y3" s="1" t="s">
        <v>74</v>
      </c>
      <c r="Z3" s="1" t="s">
        <v>74</v>
      </c>
      <c r="AA3" s="1" t="s">
        <v>1589</v>
      </c>
      <c r="AB3" s="1" t="s">
        <v>1590</v>
      </c>
      <c r="AC3" s="1" t="s">
        <v>74</v>
      </c>
      <c r="AD3" s="1" t="s">
        <v>74</v>
      </c>
      <c r="AE3" s="1" t="s">
        <v>74</v>
      </c>
      <c r="AF3" s="1" t="s">
        <v>74</v>
      </c>
      <c r="AG3" s="1" t="s">
        <v>74</v>
      </c>
      <c r="AH3" s="1" t="s">
        <v>74</v>
      </c>
      <c r="AI3" s="1" t="s">
        <v>74</v>
      </c>
      <c r="AJ3" s="1" t="s">
        <v>74</v>
      </c>
      <c r="AK3" s="1" t="s">
        <v>74</v>
      </c>
      <c r="AL3" s="1" t="s">
        <v>74</v>
      </c>
      <c r="AM3" s="1" t="s">
        <v>74</v>
      </c>
      <c r="AN3" s="1" t="s">
        <v>74</v>
      </c>
      <c r="AO3" s="1" t="s">
        <v>778</v>
      </c>
      <c r="AP3" s="1" t="s">
        <v>779</v>
      </c>
      <c r="AQ3" s="1" t="s">
        <v>74</v>
      </c>
      <c r="AR3" s="1" t="s">
        <v>74</v>
      </c>
      <c r="AS3" s="1" t="s">
        <v>74</v>
      </c>
      <c r="AT3" s="1" t="s">
        <v>964</v>
      </c>
      <c r="AU3" s="1">
        <v>2017</v>
      </c>
      <c r="AV3" s="1">
        <v>63</v>
      </c>
      <c r="AW3" s="1">
        <v>1</v>
      </c>
      <c r="AX3" s="1" t="s">
        <v>74</v>
      </c>
      <c r="AY3" s="1" t="s">
        <v>74</v>
      </c>
      <c r="AZ3" s="1" t="s">
        <v>74</v>
      </c>
      <c r="BA3" s="1" t="s">
        <v>74</v>
      </c>
      <c r="BB3" s="1">
        <v>45</v>
      </c>
      <c r="BC3" s="1">
        <v>54</v>
      </c>
      <c r="BD3" s="1" t="s">
        <v>74</v>
      </c>
      <c r="BE3" s="1" t="s">
        <v>1591</v>
      </c>
      <c r="BF3" s="1" t="str">
        <f>HYPERLINK("http://dx.doi.org/10.1093/cz/zow086","http://dx.doi.org/10.1093/cz/zow086")</f>
        <v>http://dx.doi.org/10.1093/cz/zow086</v>
      </c>
      <c r="BG3" s="1" t="s">
        <v>74</v>
      </c>
      <c r="BH3" s="1" t="s">
        <v>74</v>
      </c>
      <c r="BI3" s="1" t="s">
        <v>74</v>
      </c>
      <c r="BJ3" s="1" t="s">
        <v>74</v>
      </c>
      <c r="BK3" s="1" t="s">
        <v>74</v>
      </c>
      <c r="BL3" s="1" t="s">
        <v>74</v>
      </c>
      <c r="BM3" s="1" t="s">
        <v>74</v>
      </c>
      <c r="BN3" s="1">
        <v>29491962</v>
      </c>
      <c r="BO3" s="1" t="s">
        <v>74</v>
      </c>
      <c r="BP3" s="1" t="s">
        <v>74</v>
      </c>
      <c r="BQ3" s="1" t="s">
        <v>74</v>
      </c>
      <c r="BR3" s="1" t="s">
        <v>74</v>
      </c>
      <c r="BS3" s="1" t="s">
        <v>1592</v>
      </c>
      <c r="BT3" s="1" t="str">
        <f>HYPERLINK("https%3A%2F%2Fwww.webofscience.com%2Fwos%2Fwoscc%2Ffull-record%2FWOS:000396213400006","View Full Record in Web of Science")</f>
        <v>View Full Record in Web of Science</v>
      </c>
    </row>
    <row r="4" spans="1:72" s="2" customFormat="1" x14ac:dyDescent="0.4">
      <c r="A4" s="1" t="s">
        <v>72</v>
      </c>
      <c r="B4" s="1" t="s">
        <v>3178</v>
      </c>
      <c r="C4" s="1" t="s">
        <v>74</v>
      </c>
      <c r="D4" s="1" t="s">
        <v>74</v>
      </c>
      <c r="E4" s="1" t="s">
        <v>74</v>
      </c>
      <c r="F4" s="1" t="s">
        <v>3178</v>
      </c>
      <c r="G4" s="1" t="s">
        <v>74</v>
      </c>
      <c r="H4" s="1" t="s">
        <v>74</v>
      </c>
      <c r="I4" s="1" t="s">
        <v>3179</v>
      </c>
      <c r="J4" s="1" t="s">
        <v>77</v>
      </c>
      <c r="K4" s="1" t="s">
        <v>74</v>
      </c>
      <c r="L4" s="1" t="s">
        <v>74</v>
      </c>
      <c r="M4" s="1" t="s">
        <v>74</v>
      </c>
      <c r="N4" s="1" t="s">
        <v>74</v>
      </c>
      <c r="O4" s="1" t="s">
        <v>74</v>
      </c>
      <c r="P4" s="1" t="s">
        <v>74</v>
      </c>
      <c r="Q4" s="1" t="s">
        <v>74</v>
      </c>
      <c r="R4" s="1" t="s">
        <v>74</v>
      </c>
      <c r="S4" s="1" t="s">
        <v>74</v>
      </c>
      <c r="T4" s="1" t="s">
        <v>74</v>
      </c>
      <c r="U4" s="1" t="s">
        <v>74</v>
      </c>
      <c r="V4" s="4" t="s">
        <v>3180</v>
      </c>
      <c r="W4" s="1" t="s">
        <v>74</v>
      </c>
      <c r="X4" s="1" t="s">
        <v>74</v>
      </c>
      <c r="Y4" s="1" t="s">
        <v>74</v>
      </c>
      <c r="Z4" s="1" t="s">
        <v>74</v>
      </c>
      <c r="AA4" s="1" t="s">
        <v>74</v>
      </c>
      <c r="AB4" s="1" t="s">
        <v>74</v>
      </c>
      <c r="AC4" s="1" t="s">
        <v>74</v>
      </c>
      <c r="AD4" s="1" t="s">
        <v>74</v>
      </c>
      <c r="AE4" s="1" t="s">
        <v>74</v>
      </c>
      <c r="AF4" s="1" t="s">
        <v>74</v>
      </c>
      <c r="AG4" s="1" t="s">
        <v>74</v>
      </c>
      <c r="AH4" s="1" t="s">
        <v>74</v>
      </c>
      <c r="AI4" s="1" t="s">
        <v>74</v>
      </c>
      <c r="AJ4" s="1" t="s">
        <v>74</v>
      </c>
      <c r="AK4" s="1" t="s">
        <v>74</v>
      </c>
      <c r="AL4" s="1" t="s">
        <v>74</v>
      </c>
      <c r="AM4" s="1" t="s">
        <v>74</v>
      </c>
      <c r="AN4" s="1" t="s">
        <v>74</v>
      </c>
      <c r="AO4" s="1" t="s">
        <v>81</v>
      </c>
      <c r="AP4" s="1" t="s">
        <v>74</v>
      </c>
      <c r="AQ4" s="1" t="s">
        <v>74</v>
      </c>
      <c r="AR4" s="1" t="s">
        <v>74</v>
      </c>
      <c r="AS4" s="1" t="s">
        <v>74</v>
      </c>
      <c r="AT4" s="1" t="s">
        <v>145</v>
      </c>
      <c r="AU4" s="1">
        <v>1994</v>
      </c>
      <c r="AV4" s="1">
        <v>130</v>
      </c>
      <c r="AW4" s="1" t="s">
        <v>74</v>
      </c>
      <c r="AX4" s="1" t="s">
        <v>548</v>
      </c>
      <c r="AY4" s="1" t="s">
        <v>74</v>
      </c>
      <c r="AZ4" s="1" t="s">
        <v>74</v>
      </c>
      <c r="BA4" s="1" t="s">
        <v>74</v>
      </c>
      <c r="BB4" s="1">
        <v>77</v>
      </c>
      <c r="BC4" s="1">
        <v>112</v>
      </c>
      <c r="BD4" s="1" t="s">
        <v>74</v>
      </c>
      <c r="BE4" s="1" t="s">
        <v>3181</v>
      </c>
      <c r="BF4" s="1" t="str">
        <f>HYPERLINK("http://dx.doi.org/10.1163/156853994X00154","http://dx.doi.org/10.1163/156853994X00154")</f>
        <v>http://dx.doi.org/10.1163/156853994X00154</v>
      </c>
      <c r="BG4" s="1" t="s">
        <v>74</v>
      </c>
      <c r="BH4" s="1" t="s">
        <v>74</v>
      </c>
      <c r="BI4" s="1" t="s">
        <v>74</v>
      </c>
      <c r="BJ4" s="1" t="s">
        <v>74</v>
      </c>
      <c r="BK4" s="1" t="s">
        <v>74</v>
      </c>
      <c r="BL4" s="1" t="s">
        <v>74</v>
      </c>
      <c r="BM4" s="1" t="s">
        <v>74</v>
      </c>
      <c r="BN4" s="1" t="s">
        <v>74</v>
      </c>
      <c r="BO4" s="1" t="s">
        <v>74</v>
      </c>
      <c r="BP4" s="1" t="s">
        <v>74</v>
      </c>
      <c r="BQ4" s="1" t="s">
        <v>74</v>
      </c>
      <c r="BR4" s="1" t="s">
        <v>74</v>
      </c>
      <c r="BS4" s="1" t="s">
        <v>3182</v>
      </c>
      <c r="BT4" s="1" t="str">
        <f>HYPERLINK("https%3A%2F%2Fwww.webofscience.com%2Fwos%2Fwoscc%2Ffull-record%2FWOS:A1994PR38500006","View Full Record in Web of Science")</f>
        <v>View Full Record in Web of Science</v>
      </c>
    </row>
    <row r="5" spans="1:72" s="2" customFormat="1" x14ac:dyDescent="0.4">
      <c r="A5" s="1" t="s">
        <v>72</v>
      </c>
      <c r="B5" s="1" t="s">
        <v>6484</v>
      </c>
      <c r="C5" s="1" t="s">
        <v>74</v>
      </c>
      <c r="D5" s="1" t="s">
        <v>74</v>
      </c>
      <c r="E5" s="1" t="s">
        <v>74</v>
      </c>
      <c r="F5" s="1" t="s">
        <v>6485</v>
      </c>
      <c r="G5" s="1" t="s">
        <v>74</v>
      </c>
      <c r="H5" s="1" t="s">
        <v>74</v>
      </c>
      <c r="I5" s="1" t="s">
        <v>6486</v>
      </c>
      <c r="J5" s="1" t="s">
        <v>140</v>
      </c>
      <c r="K5" s="1" t="s">
        <v>74</v>
      </c>
      <c r="L5" s="1" t="s">
        <v>74</v>
      </c>
      <c r="M5" s="1" t="s">
        <v>74</v>
      </c>
      <c r="N5" s="1" t="s">
        <v>74</v>
      </c>
      <c r="O5" s="1" t="s">
        <v>74</v>
      </c>
      <c r="P5" s="1" t="s">
        <v>74</v>
      </c>
      <c r="Q5" s="1" t="s">
        <v>74</v>
      </c>
      <c r="R5" s="1" t="s">
        <v>74</v>
      </c>
      <c r="S5" s="1" t="s">
        <v>74</v>
      </c>
      <c r="T5" s="1" t="s">
        <v>74</v>
      </c>
      <c r="U5" s="1" t="s">
        <v>74</v>
      </c>
      <c r="V5" s="4" t="s">
        <v>6487</v>
      </c>
      <c r="W5" s="1" t="s">
        <v>74</v>
      </c>
      <c r="X5" s="1" t="s">
        <v>74</v>
      </c>
      <c r="Y5" s="1" t="s">
        <v>74</v>
      </c>
      <c r="Z5" s="1" t="s">
        <v>74</v>
      </c>
      <c r="AA5" s="1" t="s">
        <v>6488</v>
      </c>
      <c r="AB5" s="1" t="s">
        <v>6489</v>
      </c>
      <c r="AC5" s="1" t="s">
        <v>74</v>
      </c>
      <c r="AD5" s="1" t="s">
        <v>74</v>
      </c>
      <c r="AE5" s="1" t="s">
        <v>74</v>
      </c>
      <c r="AF5" s="1" t="s">
        <v>74</v>
      </c>
      <c r="AG5" s="1" t="s">
        <v>74</v>
      </c>
      <c r="AH5" s="1" t="s">
        <v>74</v>
      </c>
      <c r="AI5" s="1" t="s">
        <v>74</v>
      </c>
      <c r="AJ5" s="1" t="s">
        <v>74</v>
      </c>
      <c r="AK5" s="1" t="s">
        <v>74</v>
      </c>
      <c r="AL5" s="1" t="s">
        <v>74</v>
      </c>
      <c r="AM5" s="1" t="s">
        <v>74</v>
      </c>
      <c r="AN5" s="1" t="s">
        <v>74</v>
      </c>
      <c r="AO5" s="1" t="s">
        <v>143</v>
      </c>
      <c r="AP5" s="1" t="s">
        <v>144</v>
      </c>
      <c r="AQ5" s="1" t="s">
        <v>74</v>
      </c>
      <c r="AR5" s="1" t="s">
        <v>74</v>
      </c>
      <c r="AS5" s="1" t="s">
        <v>74</v>
      </c>
      <c r="AT5" s="1" t="s">
        <v>964</v>
      </c>
      <c r="AU5" s="1">
        <v>2015</v>
      </c>
      <c r="AV5" s="1">
        <v>100</v>
      </c>
      <c r="AW5" s="1" t="s">
        <v>74</v>
      </c>
      <c r="AX5" s="1" t="s">
        <v>74</v>
      </c>
      <c r="AY5" s="1" t="s">
        <v>74</v>
      </c>
      <c r="AZ5" s="1" t="s">
        <v>74</v>
      </c>
      <c r="BA5" s="1" t="s">
        <v>74</v>
      </c>
      <c r="BB5" s="1">
        <v>116</v>
      </c>
      <c r="BC5" s="1">
        <v>124</v>
      </c>
      <c r="BD5" s="1" t="s">
        <v>74</v>
      </c>
      <c r="BE5" s="1" t="s">
        <v>6490</v>
      </c>
      <c r="BF5" s="1" t="str">
        <f>HYPERLINK("http://dx.doi.org/10.1016/j.anbehav.2014.11.016","http://dx.doi.org/10.1016/j.anbehav.2014.11.016")</f>
        <v>http://dx.doi.org/10.1016/j.anbehav.2014.11.016</v>
      </c>
      <c r="BG5" s="1" t="s">
        <v>74</v>
      </c>
      <c r="BH5" s="1" t="s">
        <v>74</v>
      </c>
      <c r="BI5" s="1" t="s">
        <v>74</v>
      </c>
      <c r="BJ5" s="1" t="s">
        <v>74</v>
      </c>
      <c r="BK5" s="1" t="s">
        <v>74</v>
      </c>
      <c r="BL5" s="1" t="s">
        <v>74</v>
      </c>
      <c r="BM5" s="1" t="s">
        <v>74</v>
      </c>
      <c r="BN5" s="1" t="s">
        <v>74</v>
      </c>
      <c r="BO5" s="1" t="s">
        <v>74</v>
      </c>
      <c r="BP5" s="1" t="s">
        <v>74</v>
      </c>
      <c r="BQ5" s="1" t="s">
        <v>74</v>
      </c>
      <c r="BR5" s="1" t="s">
        <v>74</v>
      </c>
      <c r="BS5" s="1" t="s">
        <v>6491</v>
      </c>
      <c r="BT5" s="1" t="str">
        <f>HYPERLINK("https%3A%2F%2Fwww.webofscience.com%2Fwos%2Fwoscc%2Ffull-record%2FWOS:000348449000017","View Full Record in Web of Science")</f>
        <v>View Full Record in Web of Science</v>
      </c>
    </row>
    <row r="6" spans="1:72" s="2" customFormat="1" x14ac:dyDescent="0.4">
      <c r="A6" s="1" t="s">
        <v>72</v>
      </c>
      <c r="B6" s="1" t="s">
        <v>7654</v>
      </c>
      <c r="C6" s="1" t="s">
        <v>74</v>
      </c>
      <c r="D6" s="1" t="s">
        <v>74</v>
      </c>
      <c r="E6" s="1" t="s">
        <v>74</v>
      </c>
      <c r="F6" s="1" t="s">
        <v>7654</v>
      </c>
      <c r="G6" s="1" t="s">
        <v>74</v>
      </c>
      <c r="H6" s="1" t="s">
        <v>74</v>
      </c>
      <c r="I6" s="1" t="s">
        <v>7655</v>
      </c>
      <c r="J6" s="1" t="s">
        <v>140</v>
      </c>
      <c r="K6" s="1" t="s">
        <v>74</v>
      </c>
      <c r="L6" s="1" t="s">
        <v>74</v>
      </c>
      <c r="M6" s="1" t="s">
        <v>74</v>
      </c>
      <c r="N6" s="1" t="s">
        <v>74</v>
      </c>
      <c r="O6" s="1" t="s">
        <v>74</v>
      </c>
      <c r="P6" s="1" t="s">
        <v>74</v>
      </c>
      <c r="Q6" s="1" t="s">
        <v>74</v>
      </c>
      <c r="R6" s="1" t="s">
        <v>74</v>
      </c>
      <c r="S6" s="1" t="s">
        <v>74</v>
      </c>
      <c r="T6" s="1" t="s">
        <v>74</v>
      </c>
      <c r="U6" s="1" t="s">
        <v>74</v>
      </c>
      <c r="V6" s="4" t="s">
        <v>7656</v>
      </c>
      <c r="W6" s="1" t="s">
        <v>74</v>
      </c>
      <c r="X6" s="1" t="s">
        <v>74</v>
      </c>
      <c r="Y6" s="1" t="s">
        <v>74</v>
      </c>
      <c r="Z6" s="1" t="s">
        <v>74</v>
      </c>
      <c r="AA6" s="1" t="s">
        <v>74</v>
      </c>
      <c r="AB6" s="1" t="s">
        <v>74</v>
      </c>
      <c r="AC6" s="1" t="s">
        <v>74</v>
      </c>
      <c r="AD6" s="1" t="s">
        <v>74</v>
      </c>
      <c r="AE6" s="1" t="s">
        <v>74</v>
      </c>
      <c r="AF6" s="1" t="s">
        <v>74</v>
      </c>
      <c r="AG6" s="1" t="s">
        <v>74</v>
      </c>
      <c r="AH6" s="1" t="s">
        <v>74</v>
      </c>
      <c r="AI6" s="1" t="s">
        <v>74</v>
      </c>
      <c r="AJ6" s="1" t="s">
        <v>74</v>
      </c>
      <c r="AK6" s="1" t="s">
        <v>74</v>
      </c>
      <c r="AL6" s="1" t="s">
        <v>74</v>
      </c>
      <c r="AM6" s="1" t="s">
        <v>74</v>
      </c>
      <c r="AN6" s="1" t="s">
        <v>74</v>
      </c>
      <c r="AO6" s="1" t="s">
        <v>143</v>
      </c>
      <c r="AP6" s="1" t="s">
        <v>144</v>
      </c>
      <c r="AQ6" s="1" t="s">
        <v>74</v>
      </c>
      <c r="AR6" s="1" t="s">
        <v>74</v>
      </c>
      <c r="AS6" s="1" t="s">
        <v>74</v>
      </c>
      <c r="AT6" s="1" t="s">
        <v>633</v>
      </c>
      <c r="AU6" s="1">
        <v>1997</v>
      </c>
      <c r="AV6" s="1">
        <v>53</v>
      </c>
      <c r="AW6" s="1" t="s">
        <v>74</v>
      </c>
      <c r="AX6" s="1">
        <v>4</v>
      </c>
      <c r="AY6" s="1" t="s">
        <v>74</v>
      </c>
      <c r="AZ6" s="1" t="s">
        <v>74</v>
      </c>
      <c r="BA6" s="1" t="s">
        <v>74</v>
      </c>
      <c r="BB6" s="1">
        <v>819</v>
      </c>
      <c r="BC6" s="1">
        <v>833</v>
      </c>
      <c r="BD6" s="1" t="s">
        <v>74</v>
      </c>
      <c r="BE6" s="1" t="s">
        <v>7657</v>
      </c>
      <c r="BF6" s="1" t="str">
        <f>HYPERLINK("http://dx.doi.org/10.1006/anbe.1996.0347","http://dx.doi.org/10.1006/anbe.1996.0347")</f>
        <v>http://dx.doi.org/10.1006/anbe.1996.0347</v>
      </c>
      <c r="BG6" s="1" t="s">
        <v>74</v>
      </c>
      <c r="BH6" s="1" t="s">
        <v>74</v>
      </c>
      <c r="BI6" s="1" t="s">
        <v>74</v>
      </c>
      <c r="BJ6" s="1" t="s">
        <v>74</v>
      </c>
      <c r="BK6" s="1" t="s">
        <v>74</v>
      </c>
      <c r="BL6" s="1" t="s">
        <v>74</v>
      </c>
      <c r="BM6" s="1" t="s">
        <v>74</v>
      </c>
      <c r="BN6" s="1" t="s">
        <v>74</v>
      </c>
      <c r="BO6" s="1" t="s">
        <v>74</v>
      </c>
      <c r="BP6" s="1" t="s">
        <v>74</v>
      </c>
      <c r="BQ6" s="1" t="s">
        <v>74</v>
      </c>
      <c r="BR6" s="1" t="s">
        <v>74</v>
      </c>
      <c r="BS6" s="1" t="s">
        <v>7658</v>
      </c>
      <c r="BT6" s="1" t="str">
        <f>HYPERLINK("https%3A%2F%2Fwww.webofscience.com%2Fwos%2Fwoscc%2Ffull-record%2FWOS:A1997WW45300013","View Full Record in Web of Science")</f>
        <v>View Full Record in Web of Science</v>
      </c>
    </row>
    <row r="7" spans="1:72" s="2" customFormat="1" x14ac:dyDescent="0.4">
      <c r="A7" s="1" t="s">
        <v>72</v>
      </c>
      <c r="B7" s="1" t="s">
        <v>1016</v>
      </c>
      <c r="C7" s="1" t="s">
        <v>74</v>
      </c>
      <c r="D7" s="1" t="s">
        <v>74</v>
      </c>
      <c r="E7" s="1" t="s">
        <v>74</v>
      </c>
      <c r="F7" s="1" t="s">
        <v>1017</v>
      </c>
      <c r="G7" s="1" t="s">
        <v>74</v>
      </c>
      <c r="H7" s="1" t="s">
        <v>74</v>
      </c>
      <c r="I7" s="1" t="s">
        <v>1018</v>
      </c>
      <c r="J7" s="1" t="s">
        <v>140</v>
      </c>
      <c r="K7" s="1" t="s">
        <v>74</v>
      </c>
      <c r="L7" s="1" t="s">
        <v>74</v>
      </c>
      <c r="M7" s="1" t="s">
        <v>74</v>
      </c>
      <c r="N7" s="1" t="s">
        <v>74</v>
      </c>
      <c r="O7" s="1" t="s">
        <v>74</v>
      </c>
      <c r="P7" s="1" t="s">
        <v>74</v>
      </c>
      <c r="Q7" s="1" t="s">
        <v>74</v>
      </c>
      <c r="R7" s="1" t="s">
        <v>74</v>
      </c>
      <c r="S7" s="1" t="s">
        <v>74</v>
      </c>
      <c r="T7" s="1" t="s">
        <v>74</v>
      </c>
      <c r="U7" s="1" t="s">
        <v>74</v>
      </c>
      <c r="V7" s="4" t="s">
        <v>1019</v>
      </c>
      <c r="W7" s="1" t="s">
        <v>74</v>
      </c>
      <c r="X7" s="1" t="s">
        <v>74</v>
      </c>
      <c r="Y7" s="1" t="s">
        <v>74</v>
      </c>
      <c r="Z7" s="1" t="s">
        <v>74</v>
      </c>
      <c r="AA7" s="1" t="s">
        <v>74</v>
      </c>
      <c r="AB7" s="1" t="s">
        <v>1020</v>
      </c>
      <c r="AC7" s="1" t="s">
        <v>74</v>
      </c>
      <c r="AD7" s="1" t="s">
        <v>74</v>
      </c>
      <c r="AE7" s="1" t="s">
        <v>74</v>
      </c>
      <c r="AF7" s="1" t="s">
        <v>74</v>
      </c>
      <c r="AG7" s="1" t="s">
        <v>74</v>
      </c>
      <c r="AH7" s="1" t="s">
        <v>74</v>
      </c>
      <c r="AI7" s="1" t="s">
        <v>74</v>
      </c>
      <c r="AJ7" s="1" t="s">
        <v>74</v>
      </c>
      <c r="AK7" s="1" t="s">
        <v>74</v>
      </c>
      <c r="AL7" s="1" t="s">
        <v>74</v>
      </c>
      <c r="AM7" s="1" t="s">
        <v>74</v>
      </c>
      <c r="AN7" s="1" t="s">
        <v>74</v>
      </c>
      <c r="AO7" s="1" t="s">
        <v>143</v>
      </c>
      <c r="AP7" s="1" t="s">
        <v>144</v>
      </c>
      <c r="AQ7" s="1" t="s">
        <v>74</v>
      </c>
      <c r="AR7" s="1" t="s">
        <v>74</v>
      </c>
      <c r="AS7" s="1" t="s">
        <v>74</v>
      </c>
      <c r="AT7" s="1" t="s">
        <v>145</v>
      </c>
      <c r="AU7" s="1">
        <v>2018</v>
      </c>
      <c r="AV7" s="1">
        <v>142</v>
      </c>
      <c r="AW7" s="1" t="s">
        <v>74</v>
      </c>
      <c r="AX7" s="1" t="s">
        <v>74</v>
      </c>
      <c r="AY7" s="1" t="s">
        <v>74</v>
      </c>
      <c r="AZ7" s="1" t="s">
        <v>74</v>
      </c>
      <c r="BA7" s="1" t="s">
        <v>74</v>
      </c>
      <c r="BB7" s="1">
        <v>119</v>
      </c>
      <c r="BC7" s="1">
        <v>128</v>
      </c>
      <c r="BD7" s="1" t="s">
        <v>74</v>
      </c>
      <c r="BE7" s="1" t="s">
        <v>1021</v>
      </c>
      <c r="BF7" s="1" t="str">
        <f>HYPERLINK("http://dx.doi.org/10.1016/j.anbehav.2018.06.012","http://dx.doi.org/10.1016/j.anbehav.2018.06.012")</f>
        <v>http://dx.doi.org/10.1016/j.anbehav.2018.06.012</v>
      </c>
      <c r="BG7" s="1" t="s">
        <v>74</v>
      </c>
      <c r="BH7" s="1" t="s">
        <v>74</v>
      </c>
      <c r="BI7" s="1" t="s">
        <v>74</v>
      </c>
      <c r="BJ7" s="1" t="s">
        <v>74</v>
      </c>
      <c r="BK7" s="1" t="s">
        <v>74</v>
      </c>
      <c r="BL7" s="1" t="s">
        <v>74</v>
      </c>
      <c r="BM7" s="1" t="s">
        <v>74</v>
      </c>
      <c r="BN7" s="1" t="s">
        <v>74</v>
      </c>
      <c r="BO7" s="1" t="s">
        <v>74</v>
      </c>
      <c r="BP7" s="1" t="s">
        <v>74</v>
      </c>
      <c r="BQ7" s="1" t="s">
        <v>74</v>
      </c>
      <c r="BR7" s="1" t="s">
        <v>74</v>
      </c>
      <c r="BS7" s="1" t="s">
        <v>1022</v>
      </c>
      <c r="BT7" s="1" t="str">
        <f>HYPERLINK("https%3A%2F%2Fwww.webofscience.com%2Fwos%2Fwoscc%2Ffull-record%2FWOS:000441515500014","View Full Record in Web of Science")</f>
        <v>View Full Record in Web of Science</v>
      </c>
    </row>
    <row r="8" spans="1:72" s="2" customFormat="1" x14ac:dyDescent="0.4">
      <c r="A8" s="1" t="s">
        <v>72</v>
      </c>
      <c r="B8" s="1" t="s">
        <v>3874</v>
      </c>
      <c r="C8" s="1" t="s">
        <v>74</v>
      </c>
      <c r="D8" s="1" t="s">
        <v>74</v>
      </c>
      <c r="E8" s="1" t="s">
        <v>74</v>
      </c>
      <c r="F8" s="1" t="s">
        <v>3874</v>
      </c>
      <c r="G8" s="1" t="s">
        <v>74</v>
      </c>
      <c r="H8" s="1" t="s">
        <v>74</v>
      </c>
      <c r="I8" s="1" t="s">
        <v>3875</v>
      </c>
      <c r="J8" s="1" t="s">
        <v>140</v>
      </c>
      <c r="K8" s="1" t="s">
        <v>74</v>
      </c>
      <c r="L8" s="1" t="s">
        <v>74</v>
      </c>
      <c r="M8" s="1" t="s">
        <v>74</v>
      </c>
      <c r="N8" s="1" t="s">
        <v>74</v>
      </c>
      <c r="O8" s="1" t="s">
        <v>74</v>
      </c>
      <c r="P8" s="1" t="s">
        <v>74</v>
      </c>
      <c r="Q8" s="1" t="s">
        <v>74</v>
      </c>
      <c r="R8" s="1" t="s">
        <v>74</v>
      </c>
      <c r="S8" s="1" t="s">
        <v>74</v>
      </c>
      <c r="T8" s="1" t="s">
        <v>74</v>
      </c>
      <c r="U8" s="1" t="s">
        <v>74</v>
      </c>
      <c r="V8" s="4" t="s">
        <v>3876</v>
      </c>
      <c r="W8" s="1" t="s">
        <v>74</v>
      </c>
      <c r="X8" s="1" t="s">
        <v>74</v>
      </c>
      <c r="Y8" s="1" t="s">
        <v>74</v>
      </c>
      <c r="Z8" s="1" t="s">
        <v>74</v>
      </c>
      <c r="AA8" s="1" t="s">
        <v>74</v>
      </c>
      <c r="AB8" s="1" t="s">
        <v>74</v>
      </c>
      <c r="AC8" s="1" t="s">
        <v>74</v>
      </c>
      <c r="AD8" s="1" t="s">
        <v>74</v>
      </c>
      <c r="AE8" s="1" t="s">
        <v>74</v>
      </c>
      <c r="AF8" s="1" t="s">
        <v>74</v>
      </c>
      <c r="AG8" s="1" t="s">
        <v>74</v>
      </c>
      <c r="AH8" s="1" t="s">
        <v>74</v>
      </c>
      <c r="AI8" s="1" t="s">
        <v>74</v>
      </c>
      <c r="AJ8" s="1" t="s">
        <v>74</v>
      </c>
      <c r="AK8" s="1" t="s">
        <v>74</v>
      </c>
      <c r="AL8" s="1" t="s">
        <v>74</v>
      </c>
      <c r="AM8" s="1" t="s">
        <v>74</v>
      </c>
      <c r="AN8" s="1" t="s">
        <v>74</v>
      </c>
      <c r="AO8" s="1" t="s">
        <v>143</v>
      </c>
      <c r="AP8" s="1" t="s">
        <v>74</v>
      </c>
      <c r="AQ8" s="1" t="s">
        <v>74</v>
      </c>
      <c r="AR8" s="1" t="s">
        <v>74</v>
      </c>
      <c r="AS8" s="1" t="s">
        <v>74</v>
      </c>
      <c r="AT8" s="1" t="s">
        <v>175</v>
      </c>
      <c r="AU8" s="1">
        <v>1998</v>
      </c>
      <c r="AV8" s="1">
        <v>56</v>
      </c>
      <c r="AW8" s="1" t="s">
        <v>74</v>
      </c>
      <c r="AX8" s="1">
        <v>4</v>
      </c>
      <c r="AY8" s="1" t="s">
        <v>74</v>
      </c>
      <c r="AZ8" s="1" t="s">
        <v>74</v>
      </c>
      <c r="BA8" s="1" t="s">
        <v>74</v>
      </c>
      <c r="BB8" s="1">
        <v>1021</v>
      </c>
      <c r="BC8" s="1">
        <v>1026</v>
      </c>
      <c r="BD8" s="1" t="s">
        <v>74</v>
      </c>
      <c r="BE8" s="1" t="s">
        <v>3877</v>
      </c>
      <c r="BF8" s="1" t="str">
        <f>HYPERLINK("http://dx.doi.org/10.1006/anbe.1998.0868","http://dx.doi.org/10.1006/anbe.1998.0868")</f>
        <v>http://dx.doi.org/10.1006/anbe.1998.0868</v>
      </c>
      <c r="BG8" s="1" t="s">
        <v>74</v>
      </c>
      <c r="BH8" s="1" t="s">
        <v>74</v>
      </c>
      <c r="BI8" s="1" t="s">
        <v>74</v>
      </c>
      <c r="BJ8" s="1" t="s">
        <v>74</v>
      </c>
      <c r="BK8" s="1" t="s">
        <v>74</v>
      </c>
      <c r="BL8" s="1" t="s">
        <v>74</v>
      </c>
      <c r="BM8" s="1" t="s">
        <v>74</v>
      </c>
      <c r="BN8" s="1">
        <v>9790714</v>
      </c>
      <c r="BO8" s="1" t="s">
        <v>74</v>
      </c>
      <c r="BP8" s="1" t="s">
        <v>74</v>
      </c>
      <c r="BQ8" s="1" t="s">
        <v>74</v>
      </c>
      <c r="BR8" s="1" t="s">
        <v>74</v>
      </c>
      <c r="BS8" s="1" t="s">
        <v>3878</v>
      </c>
      <c r="BT8" s="1" t="str">
        <f>HYPERLINK("https%3A%2F%2Fwww.webofscience.com%2Fwos%2Fwoscc%2Ffull-record%2FWOS:000076755700025","View Full Record in Web of Science")</f>
        <v>View Full Record in Web of Science</v>
      </c>
    </row>
    <row r="9" spans="1:72" s="2" customFormat="1" x14ac:dyDescent="0.4">
      <c r="A9" s="1" t="s">
        <v>72</v>
      </c>
      <c r="B9" s="1" t="s">
        <v>1485</v>
      </c>
      <c r="C9" s="1" t="s">
        <v>74</v>
      </c>
      <c r="D9" s="1" t="s">
        <v>74</v>
      </c>
      <c r="E9" s="1" t="s">
        <v>74</v>
      </c>
      <c r="F9" s="1" t="s">
        <v>1486</v>
      </c>
      <c r="G9" s="1" t="s">
        <v>74</v>
      </c>
      <c r="H9" s="1" t="s">
        <v>74</v>
      </c>
      <c r="I9" s="1" t="s">
        <v>1487</v>
      </c>
      <c r="J9" s="1" t="s">
        <v>333</v>
      </c>
      <c r="K9" s="1" t="s">
        <v>74</v>
      </c>
      <c r="L9" s="1" t="s">
        <v>74</v>
      </c>
      <c r="M9" s="1" t="s">
        <v>74</v>
      </c>
      <c r="N9" s="1" t="s">
        <v>74</v>
      </c>
      <c r="O9" s="1" t="s">
        <v>74</v>
      </c>
      <c r="P9" s="1" t="s">
        <v>74</v>
      </c>
      <c r="Q9" s="1" t="s">
        <v>74</v>
      </c>
      <c r="R9" s="1" t="s">
        <v>74</v>
      </c>
      <c r="S9" s="1" t="s">
        <v>74</v>
      </c>
      <c r="T9" s="1" t="s">
        <v>74</v>
      </c>
      <c r="U9" s="1" t="s">
        <v>74</v>
      </c>
      <c r="V9" s="4" t="s">
        <v>1488</v>
      </c>
      <c r="W9" s="1" t="s">
        <v>74</v>
      </c>
      <c r="X9" s="1" t="s">
        <v>74</v>
      </c>
      <c r="Y9" s="1" t="s">
        <v>74</v>
      </c>
      <c r="Z9" s="1" t="s">
        <v>74</v>
      </c>
      <c r="AA9" s="1" t="s">
        <v>74</v>
      </c>
      <c r="AB9" s="1" t="s">
        <v>74</v>
      </c>
      <c r="AC9" s="1" t="s">
        <v>74</v>
      </c>
      <c r="AD9" s="1" t="s">
        <v>74</v>
      </c>
      <c r="AE9" s="1" t="s">
        <v>74</v>
      </c>
      <c r="AF9" s="1" t="s">
        <v>74</v>
      </c>
      <c r="AG9" s="1" t="s">
        <v>74</v>
      </c>
      <c r="AH9" s="1" t="s">
        <v>74</v>
      </c>
      <c r="AI9" s="1" t="s">
        <v>74</v>
      </c>
      <c r="AJ9" s="1" t="s">
        <v>74</v>
      </c>
      <c r="AK9" s="1" t="s">
        <v>74</v>
      </c>
      <c r="AL9" s="1" t="s">
        <v>74</v>
      </c>
      <c r="AM9" s="1" t="s">
        <v>74</v>
      </c>
      <c r="AN9" s="1" t="s">
        <v>74</v>
      </c>
      <c r="AO9" s="1" t="s">
        <v>337</v>
      </c>
      <c r="AP9" s="1" t="s">
        <v>338</v>
      </c>
      <c r="AQ9" s="1" t="s">
        <v>74</v>
      </c>
      <c r="AR9" s="1" t="s">
        <v>74</v>
      </c>
      <c r="AS9" s="1" t="s">
        <v>74</v>
      </c>
      <c r="AT9" s="1" t="s">
        <v>1475</v>
      </c>
      <c r="AU9" s="1">
        <v>2009</v>
      </c>
      <c r="AV9" s="1">
        <v>20</v>
      </c>
      <c r="AW9" s="1">
        <v>1</v>
      </c>
      <c r="AX9" s="1" t="s">
        <v>74</v>
      </c>
      <c r="AY9" s="1" t="s">
        <v>74</v>
      </c>
      <c r="AZ9" s="1" t="s">
        <v>74</v>
      </c>
      <c r="BA9" s="1" t="s">
        <v>74</v>
      </c>
      <c r="BB9" s="1">
        <v>180</v>
      </c>
      <c r="BC9" s="1">
        <v>185</v>
      </c>
      <c r="BD9" s="1" t="s">
        <v>74</v>
      </c>
      <c r="BE9" s="1" t="s">
        <v>1489</v>
      </c>
      <c r="BF9" s="1" t="str">
        <f>HYPERLINK("http://dx.doi.org/10.1093/beheco/arn132","http://dx.doi.org/10.1093/beheco/arn132")</f>
        <v>http://dx.doi.org/10.1093/beheco/arn132</v>
      </c>
      <c r="BG9" s="1" t="s">
        <v>74</v>
      </c>
      <c r="BH9" s="1" t="s">
        <v>74</v>
      </c>
      <c r="BI9" s="1" t="s">
        <v>74</v>
      </c>
      <c r="BJ9" s="1" t="s">
        <v>74</v>
      </c>
      <c r="BK9" s="1" t="s">
        <v>74</v>
      </c>
      <c r="BL9" s="1" t="s">
        <v>74</v>
      </c>
      <c r="BM9" s="1" t="s">
        <v>74</v>
      </c>
      <c r="BN9" s="1" t="s">
        <v>74</v>
      </c>
      <c r="BO9" s="1" t="s">
        <v>74</v>
      </c>
      <c r="BP9" s="1" t="s">
        <v>74</v>
      </c>
      <c r="BQ9" s="1" t="s">
        <v>74</v>
      </c>
      <c r="BR9" s="1" t="s">
        <v>74</v>
      </c>
      <c r="BS9" s="1" t="s">
        <v>1490</v>
      </c>
      <c r="BT9" s="1" t="str">
        <f>HYPERLINK("https%3A%2F%2Fwww.webofscience.com%2Fwos%2Fwoscc%2Ffull-record%2FWOS:000262152300024","View Full Record in Web of Science")</f>
        <v>View Full Record in Web of Science</v>
      </c>
    </row>
    <row r="10" spans="1:72" s="2" customFormat="1" x14ac:dyDescent="0.4">
      <c r="A10" s="1" t="s">
        <v>72</v>
      </c>
      <c r="B10" s="1" t="s">
        <v>528</v>
      </c>
      <c r="C10" s="1" t="s">
        <v>74</v>
      </c>
      <c r="D10" s="1" t="s">
        <v>74</v>
      </c>
      <c r="E10" s="1" t="s">
        <v>74</v>
      </c>
      <c r="F10" s="1" t="s">
        <v>528</v>
      </c>
      <c r="G10" s="1" t="s">
        <v>74</v>
      </c>
      <c r="H10" s="1" t="s">
        <v>74</v>
      </c>
      <c r="I10" s="1" t="s">
        <v>529</v>
      </c>
      <c r="J10" s="1" t="s">
        <v>530</v>
      </c>
      <c r="K10" s="1" t="s">
        <v>74</v>
      </c>
      <c r="L10" s="1" t="s">
        <v>74</v>
      </c>
      <c r="M10" s="1" t="s">
        <v>74</v>
      </c>
      <c r="N10" s="1" t="s">
        <v>74</v>
      </c>
      <c r="O10" s="1" t="s">
        <v>74</v>
      </c>
      <c r="P10" s="1" t="s">
        <v>74</v>
      </c>
      <c r="Q10" s="1" t="s">
        <v>74</v>
      </c>
      <c r="R10" s="1" t="s">
        <v>74</v>
      </c>
      <c r="S10" s="1" t="s">
        <v>74</v>
      </c>
      <c r="T10" s="1" t="s">
        <v>74</v>
      </c>
      <c r="U10" s="1" t="s">
        <v>74</v>
      </c>
      <c r="V10" s="4" t="s">
        <v>531</v>
      </c>
      <c r="W10" s="1" t="s">
        <v>74</v>
      </c>
      <c r="X10" s="1" t="s">
        <v>74</v>
      </c>
      <c r="Y10" s="1" t="s">
        <v>74</v>
      </c>
      <c r="Z10" s="1" t="s">
        <v>74</v>
      </c>
      <c r="AA10" s="1" t="s">
        <v>74</v>
      </c>
      <c r="AB10" s="1" t="s">
        <v>74</v>
      </c>
      <c r="AC10" s="1" t="s">
        <v>74</v>
      </c>
      <c r="AD10" s="1" t="s">
        <v>74</v>
      </c>
      <c r="AE10" s="1" t="s">
        <v>74</v>
      </c>
      <c r="AF10" s="1" t="s">
        <v>74</v>
      </c>
      <c r="AG10" s="1" t="s">
        <v>74</v>
      </c>
      <c r="AH10" s="1" t="s">
        <v>74</v>
      </c>
      <c r="AI10" s="1" t="s">
        <v>74</v>
      </c>
      <c r="AJ10" s="1" t="s">
        <v>74</v>
      </c>
      <c r="AK10" s="1" t="s">
        <v>74</v>
      </c>
      <c r="AL10" s="1" t="s">
        <v>74</v>
      </c>
      <c r="AM10" s="1" t="s">
        <v>74</v>
      </c>
      <c r="AN10" s="1" t="s">
        <v>74</v>
      </c>
      <c r="AO10" s="1" t="s">
        <v>532</v>
      </c>
      <c r="AP10" s="1" t="s">
        <v>533</v>
      </c>
      <c r="AQ10" s="1" t="s">
        <v>74</v>
      </c>
      <c r="AR10" s="1" t="s">
        <v>74</v>
      </c>
      <c r="AS10" s="1" t="s">
        <v>74</v>
      </c>
      <c r="AT10" s="1" t="s">
        <v>74</v>
      </c>
      <c r="AU10" s="1">
        <v>1981</v>
      </c>
      <c r="AV10" s="1">
        <v>64</v>
      </c>
      <c r="AW10" s="1">
        <v>1</v>
      </c>
      <c r="AX10" s="1" t="s">
        <v>74</v>
      </c>
      <c r="AY10" s="1" t="s">
        <v>74</v>
      </c>
      <c r="AZ10" s="1" t="s">
        <v>74</v>
      </c>
      <c r="BA10" s="1" t="s">
        <v>74</v>
      </c>
      <c r="BB10" s="1">
        <v>85</v>
      </c>
      <c r="BC10" s="1">
        <v>93</v>
      </c>
      <c r="BD10" s="1" t="s">
        <v>74</v>
      </c>
      <c r="BE10" s="1" t="s">
        <v>534</v>
      </c>
      <c r="BF10" s="1" t="str">
        <f>HYPERLINK("http://dx.doi.org/10.1007/BF00394084","http://dx.doi.org/10.1007/BF00394084")</f>
        <v>http://dx.doi.org/10.1007/BF00394084</v>
      </c>
      <c r="BG10" s="1" t="s">
        <v>74</v>
      </c>
      <c r="BH10" s="1" t="s">
        <v>74</v>
      </c>
      <c r="BI10" s="1" t="s">
        <v>74</v>
      </c>
      <c r="BJ10" s="1" t="s">
        <v>74</v>
      </c>
      <c r="BK10" s="1" t="s">
        <v>74</v>
      </c>
      <c r="BL10" s="1" t="s">
        <v>74</v>
      </c>
      <c r="BM10" s="1" t="s">
        <v>74</v>
      </c>
      <c r="BN10" s="1" t="s">
        <v>74</v>
      </c>
      <c r="BO10" s="1" t="s">
        <v>74</v>
      </c>
      <c r="BP10" s="1" t="s">
        <v>74</v>
      </c>
      <c r="BQ10" s="1" t="s">
        <v>74</v>
      </c>
      <c r="BR10" s="1" t="s">
        <v>74</v>
      </c>
      <c r="BS10" s="1" t="s">
        <v>535</v>
      </c>
      <c r="BT10" s="1" t="str">
        <f>HYPERLINK("https%3A%2F%2Fwww.webofscience.com%2Fwos%2Fwoscc%2Ffull-record%2FWOS:A1981MG93600010","View Full Record in Web of Science")</f>
        <v>View Full Record in Web of Science</v>
      </c>
    </row>
    <row r="11" spans="1:72" s="2" customFormat="1" x14ac:dyDescent="0.4">
      <c r="A11" s="1" t="s">
        <v>72</v>
      </c>
      <c r="B11" s="1" t="s">
        <v>1862</v>
      </c>
      <c r="C11" s="1" t="s">
        <v>74</v>
      </c>
      <c r="D11" s="1" t="s">
        <v>74</v>
      </c>
      <c r="E11" s="1" t="s">
        <v>74</v>
      </c>
      <c r="F11" s="1" t="s">
        <v>1863</v>
      </c>
      <c r="G11" s="1" t="s">
        <v>74</v>
      </c>
      <c r="H11" s="1" t="s">
        <v>74</v>
      </c>
      <c r="I11" s="1" t="s">
        <v>1864</v>
      </c>
      <c r="J11" s="1" t="s">
        <v>77</v>
      </c>
      <c r="K11" s="1" t="s">
        <v>74</v>
      </c>
      <c r="L11" s="1" t="s">
        <v>74</v>
      </c>
      <c r="M11" s="1" t="s">
        <v>74</v>
      </c>
      <c r="N11" s="1" t="s">
        <v>74</v>
      </c>
      <c r="O11" s="1" t="s">
        <v>74</v>
      </c>
      <c r="P11" s="1" t="s">
        <v>74</v>
      </c>
      <c r="Q11" s="1" t="s">
        <v>74</v>
      </c>
      <c r="R11" s="1" t="s">
        <v>74</v>
      </c>
      <c r="S11" s="1" t="s">
        <v>74</v>
      </c>
      <c r="T11" s="1" t="s">
        <v>74</v>
      </c>
      <c r="U11" s="1" t="s">
        <v>74</v>
      </c>
      <c r="V11" s="4" t="s">
        <v>1865</v>
      </c>
      <c r="W11" s="1" t="s">
        <v>74</v>
      </c>
      <c r="X11" s="1" t="s">
        <v>74</v>
      </c>
      <c r="Y11" s="1" t="s">
        <v>74</v>
      </c>
      <c r="Z11" s="1" t="s">
        <v>74</v>
      </c>
      <c r="AA11" s="1" t="s">
        <v>74</v>
      </c>
      <c r="AB11" s="1" t="s">
        <v>74</v>
      </c>
      <c r="AC11" s="1" t="s">
        <v>74</v>
      </c>
      <c r="AD11" s="1" t="s">
        <v>74</v>
      </c>
      <c r="AE11" s="1" t="s">
        <v>74</v>
      </c>
      <c r="AF11" s="1" t="s">
        <v>74</v>
      </c>
      <c r="AG11" s="1" t="s">
        <v>74</v>
      </c>
      <c r="AH11" s="1" t="s">
        <v>74</v>
      </c>
      <c r="AI11" s="1" t="s">
        <v>74</v>
      </c>
      <c r="AJ11" s="1" t="s">
        <v>74</v>
      </c>
      <c r="AK11" s="1" t="s">
        <v>74</v>
      </c>
      <c r="AL11" s="1" t="s">
        <v>74</v>
      </c>
      <c r="AM11" s="1" t="s">
        <v>74</v>
      </c>
      <c r="AN11" s="1" t="s">
        <v>74</v>
      </c>
      <c r="AO11" s="1" t="s">
        <v>81</v>
      </c>
      <c r="AP11" s="1" t="s">
        <v>82</v>
      </c>
      <c r="AQ11" s="1" t="s">
        <v>74</v>
      </c>
      <c r="AR11" s="1" t="s">
        <v>74</v>
      </c>
      <c r="AS11" s="1" t="s">
        <v>74</v>
      </c>
      <c r="AT11" s="1" t="s">
        <v>74</v>
      </c>
      <c r="AU11" s="1">
        <v>2018</v>
      </c>
      <c r="AV11" s="1">
        <v>155</v>
      </c>
      <c r="AW11" s="1">
        <v>6</v>
      </c>
      <c r="AX11" s="1" t="s">
        <v>74</v>
      </c>
      <c r="AY11" s="1" t="s">
        <v>74</v>
      </c>
      <c r="AZ11" s="1" t="s">
        <v>74</v>
      </c>
      <c r="BA11" s="1" t="s">
        <v>74</v>
      </c>
      <c r="BB11" s="1">
        <v>443</v>
      </c>
      <c r="BC11" s="1">
        <v>463</v>
      </c>
      <c r="BD11" s="1" t="s">
        <v>74</v>
      </c>
      <c r="BE11" s="1" t="s">
        <v>1866</v>
      </c>
      <c r="BF11" s="1" t="str">
        <f>HYPERLINK("http://dx.doi.org/10.1163/1568539X-00003498","http://dx.doi.org/10.1163/1568539X-00003498")</f>
        <v>http://dx.doi.org/10.1163/1568539X-00003498</v>
      </c>
      <c r="BG11" s="1" t="s">
        <v>74</v>
      </c>
      <c r="BH11" s="1" t="s">
        <v>74</v>
      </c>
      <c r="BI11" s="1" t="s">
        <v>74</v>
      </c>
      <c r="BJ11" s="1" t="s">
        <v>74</v>
      </c>
      <c r="BK11" s="1" t="s">
        <v>74</v>
      </c>
      <c r="BL11" s="1" t="s">
        <v>74</v>
      </c>
      <c r="BM11" s="1" t="s">
        <v>74</v>
      </c>
      <c r="BN11" s="1" t="s">
        <v>74</v>
      </c>
      <c r="BO11" s="1" t="s">
        <v>74</v>
      </c>
      <c r="BP11" s="1" t="s">
        <v>74</v>
      </c>
      <c r="BQ11" s="1" t="s">
        <v>74</v>
      </c>
      <c r="BR11" s="1" t="s">
        <v>74</v>
      </c>
      <c r="BS11" s="1" t="s">
        <v>1867</v>
      </c>
      <c r="BT11" s="1" t="str">
        <f>HYPERLINK("https%3A%2F%2Fwww.webofscience.com%2Fwos%2Fwoscc%2Ffull-record%2FWOS:000437348800001","View Full Record in Web of Science")</f>
        <v>View Full Record in Web of Science</v>
      </c>
    </row>
    <row r="12" spans="1:72" s="2" customFormat="1" x14ac:dyDescent="0.4">
      <c r="A12" s="1" t="s">
        <v>72</v>
      </c>
      <c r="B12" s="1" t="s">
        <v>643</v>
      </c>
      <c r="C12" s="1" t="s">
        <v>74</v>
      </c>
      <c r="D12" s="1" t="s">
        <v>74</v>
      </c>
      <c r="E12" s="1" t="s">
        <v>74</v>
      </c>
      <c r="F12" s="1" t="s">
        <v>644</v>
      </c>
      <c r="G12" s="1" t="s">
        <v>74</v>
      </c>
      <c r="H12" s="1" t="s">
        <v>74</v>
      </c>
      <c r="I12" s="1" t="s">
        <v>645</v>
      </c>
      <c r="J12" s="1" t="s">
        <v>129</v>
      </c>
      <c r="K12" s="1" t="s">
        <v>74</v>
      </c>
      <c r="L12" s="1" t="s">
        <v>74</v>
      </c>
      <c r="M12" s="1" t="s">
        <v>74</v>
      </c>
      <c r="N12" s="1" t="s">
        <v>74</v>
      </c>
      <c r="O12" s="1" t="s">
        <v>74</v>
      </c>
      <c r="P12" s="1" t="s">
        <v>74</v>
      </c>
      <c r="Q12" s="1" t="s">
        <v>74</v>
      </c>
      <c r="R12" s="1" t="s">
        <v>74</v>
      </c>
      <c r="S12" s="1" t="s">
        <v>74</v>
      </c>
      <c r="T12" s="1" t="s">
        <v>74</v>
      </c>
      <c r="U12" s="1" t="s">
        <v>74</v>
      </c>
      <c r="V12" s="4" t="s">
        <v>646</v>
      </c>
      <c r="W12" s="1" t="s">
        <v>74</v>
      </c>
      <c r="X12" s="1" t="s">
        <v>74</v>
      </c>
      <c r="Y12" s="1" t="s">
        <v>74</v>
      </c>
      <c r="Z12" s="1" t="s">
        <v>74</v>
      </c>
      <c r="AA12" s="1" t="s">
        <v>647</v>
      </c>
      <c r="AB12" s="1" t="s">
        <v>648</v>
      </c>
      <c r="AC12" s="1" t="s">
        <v>74</v>
      </c>
      <c r="AD12" s="1" t="s">
        <v>74</v>
      </c>
      <c r="AE12" s="1" t="s">
        <v>74</v>
      </c>
      <c r="AF12" s="1" t="s">
        <v>74</v>
      </c>
      <c r="AG12" s="1" t="s">
        <v>74</v>
      </c>
      <c r="AH12" s="1" t="s">
        <v>74</v>
      </c>
      <c r="AI12" s="1" t="s">
        <v>74</v>
      </c>
      <c r="AJ12" s="1" t="s">
        <v>74</v>
      </c>
      <c r="AK12" s="1" t="s">
        <v>74</v>
      </c>
      <c r="AL12" s="1" t="s">
        <v>74</v>
      </c>
      <c r="AM12" s="1" t="s">
        <v>74</v>
      </c>
      <c r="AN12" s="1" t="s">
        <v>74</v>
      </c>
      <c r="AO12" s="1" t="s">
        <v>132</v>
      </c>
      <c r="AP12" s="1" t="s">
        <v>133</v>
      </c>
      <c r="AQ12" s="1" t="s">
        <v>74</v>
      </c>
      <c r="AR12" s="1" t="s">
        <v>74</v>
      </c>
      <c r="AS12" s="1" t="s">
        <v>74</v>
      </c>
      <c r="AT12" s="1" t="s">
        <v>102</v>
      </c>
      <c r="AU12" s="1">
        <v>2019</v>
      </c>
      <c r="AV12" s="1">
        <v>73</v>
      </c>
      <c r="AW12" s="1">
        <v>6</v>
      </c>
      <c r="AX12" s="1" t="s">
        <v>74</v>
      </c>
      <c r="AY12" s="1" t="s">
        <v>74</v>
      </c>
      <c r="AZ12" s="1" t="s">
        <v>74</v>
      </c>
      <c r="BA12" s="1" t="s">
        <v>74</v>
      </c>
      <c r="BB12" s="1" t="s">
        <v>74</v>
      </c>
      <c r="BC12" s="1" t="s">
        <v>74</v>
      </c>
      <c r="BD12" s="1">
        <v>72</v>
      </c>
      <c r="BE12" s="1" t="s">
        <v>649</v>
      </c>
      <c r="BF12" s="1" t="str">
        <f>HYPERLINK("http://dx.doi.org/10.1007/s00265-019-2673-0","http://dx.doi.org/10.1007/s00265-019-2673-0")</f>
        <v>http://dx.doi.org/10.1007/s00265-019-2673-0</v>
      </c>
      <c r="BG12" s="1" t="s">
        <v>74</v>
      </c>
      <c r="BH12" s="1" t="s">
        <v>74</v>
      </c>
      <c r="BI12" s="1" t="s">
        <v>74</v>
      </c>
      <c r="BJ12" s="1" t="s">
        <v>74</v>
      </c>
      <c r="BK12" s="1" t="s">
        <v>74</v>
      </c>
      <c r="BL12" s="1" t="s">
        <v>74</v>
      </c>
      <c r="BM12" s="1" t="s">
        <v>74</v>
      </c>
      <c r="BN12" s="1" t="s">
        <v>74</v>
      </c>
      <c r="BO12" s="1" t="s">
        <v>74</v>
      </c>
      <c r="BP12" s="1" t="s">
        <v>74</v>
      </c>
      <c r="BQ12" s="1" t="s">
        <v>74</v>
      </c>
      <c r="BR12" s="1" t="s">
        <v>74</v>
      </c>
      <c r="BS12" s="1" t="s">
        <v>650</v>
      </c>
      <c r="BT12" s="1" t="str">
        <f>HYPERLINK("https%3A%2F%2Fwww.webofscience.com%2Fwos%2Fwoscc%2Ffull-record%2FWOS:000467390400001","View Full Record in Web of Science")</f>
        <v>View Full Record in Web of Science</v>
      </c>
    </row>
    <row r="13" spans="1:72" s="2" customFormat="1" x14ac:dyDescent="0.4">
      <c r="A13" s="1" t="s">
        <v>72</v>
      </c>
      <c r="B13" s="1" t="s">
        <v>8739</v>
      </c>
      <c r="C13" s="1" t="s">
        <v>74</v>
      </c>
      <c r="D13" s="1" t="s">
        <v>74</v>
      </c>
      <c r="E13" s="1" t="s">
        <v>74</v>
      </c>
      <c r="F13" s="1" t="s">
        <v>8740</v>
      </c>
      <c r="G13" s="1" t="s">
        <v>74</v>
      </c>
      <c r="H13" s="1" t="s">
        <v>74</v>
      </c>
      <c r="I13" s="1" t="s">
        <v>8741</v>
      </c>
      <c r="J13" s="1" t="s">
        <v>8742</v>
      </c>
      <c r="K13" s="1" t="s">
        <v>74</v>
      </c>
      <c r="L13" s="1" t="s">
        <v>74</v>
      </c>
      <c r="M13" s="1" t="s">
        <v>74</v>
      </c>
      <c r="N13" s="1" t="s">
        <v>74</v>
      </c>
      <c r="O13" s="1" t="s">
        <v>74</v>
      </c>
      <c r="P13" s="1" t="s">
        <v>74</v>
      </c>
      <c r="Q13" s="1" t="s">
        <v>74</v>
      </c>
      <c r="R13" s="1" t="s">
        <v>74</v>
      </c>
      <c r="S13" s="1" t="s">
        <v>74</v>
      </c>
      <c r="T13" s="1" t="s">
        <v>74</v>
      </c>
      <c r="U13" s="1" t="s">
        <v>74</v>
      </c>
      <c r="V13" s="4" t="s">
        <v>8743</v>
      </c>
      <c r="W13" s="1" t="s">
        <v>74</v>
      </c>
      <c r="X13" s="1" t="s">
        <v>74</v>
      </c>
      <c r="Y13" s="1" t="s">
        <v>74</v>
      </c>
      <c r="Z13" s="1" t="s">
        <v>74</v>
      </c>
      <c r="AA13" s="1" t="s">
        <v>8744</v>
      </c>
      <c r="AB13" s="1" t="s">
        <v>74</v>
      </c>
      <c r="AC13" s="1" t="s">
        <v>74</v>
      </c>
      <c r="AD13" s="1" t="s">
        <v>74</v>
      </c>
      <c r="AE13" s="1" t="s">
        <v>74</v>
      </c>
      <c r="AF13" s="1" t="s">
        <v>74</v>
      </c>
      <c r="AG13" s="1" t="s">
        <v>74</v>
      </c>
      <c r="AH13" s="1" t="s">
        <v>74</v>
      </c>
      <c r="AI13" s="1" t="s">
        <v>74</v>
      </c>
      <c r="AJ13" s="1" t="s">
        <v>74</v>
      </c>
      <c r="AK13" s="1" t="s">
        <v>74</v>
      </c>
      <c r="AL13" s="1" t="s">
        <v>74</v>
      </c>
      <c r="AM13" s="1" t="s">
        <v>74</v>
      </c>
      <c r="AN13" s="1" t="s">
        <v>74</v>
      </c>
      <c r="AO13" s="1" t="s">
        <v>8745</v>
      </c>
      <c r="AP13" s="1" t="s">
        <v>74</v>
      </c>
      <c r="AQ13" s="1" t="s">
        <v>74</v>
      </c>
      <c r="AR13" s="1" t="s">
        <v>74</v>
      </c>
      <c r="AS13" s="1" t="s">
        <v>74</v>
      </c>
      <c r="AT13" s="1" t="s">
        <v>1146</v>
      </c>
      <c r="AU13" s="1">
        <v>2014</v>
      </c>
      <c r="AV13" s="1">
        <v>8</v>
      </c>
      <c r="AW13" s="1" t="s">
        <v>74</v>
      </c>
      <c r="AX13" s="1" t="s">
        <v>74</v>
      </c>
      <c r="AY13" s="1" t="s">
        <v>74</v>
      </c>
      <c r="AZ13" s="1" t="s">
        <v>74</v>
      </c>
      <c r="BA13" s="1" t="s">
        <v>74</v>
      </c>
      <c r="BB13" s="1" t="s">
        <v>74</v>
      </c>
      <c r="BC13" s="1" t="s">
        <v>74</v>
      </c>
      <c r="BD13" s="1">
        <v>259</v>
      </c>
      <c r="BE13" s="1" t="s">
        <v>8746</v>
      </c>
      <c r="BF13" s="1" t="str">
        <f>HYPERLINK("http://dx.doi.org/10.3389/fnbeh.2014.00259","http://dx.doi.org/10.3389/fnbeh.2014.00259")</f>
        <v>http://dx.doi.org/10.3389/fnbeh.2014.00259</v>
      </c>
      <c r="BG13" s="1" t="s">
        <v>74</v>
      </c>
      <c r="BH13" s="1" t="s">
        <v>74</v>
      </c>
      <c r="BI13" s="1" t="s">
        <v>74</v>
      </c>
      <c r="BJ13" s="1" t="s">
        <v>74</v>
      </c>
      <c r="BK13" s="1" t="s">
        <v>74</v>
      </c>
      <c r="BL13" s="1" t="s">
        <v>74</v>
      </c>
      <c r="BM13" s="1" t="s">
        <v>74</v>
      </c>
      <c r="BN13" s="1">
        <v>25136298</v>
      </c>
      <c r="BO13" s="1" t="s">
        <v>74</v>
      </c>
      <c r="BP13" s="1" t="s">
        <v>74</v>
      </c>
      <c r="BQ13" s="1" t="s">
        <v>74</v>
      </c>
      <c r="BR13" s="1" t="s">
        <v>74</v>
      </c>
      <c r="BS13" s="1" t="s">
        <v>8747</v>
      </c>
      <c r="BT13" s="1" t="str">
        <f>HYPERLINK("https%3A%2F%2Fwww.webofscience.com%2Fwos%2Fwoscc%2Ffull-record%2FWOS:000340901400001","View Full Record in Web of Science")</f>
        <v>View Full Record in Web of Science</v>
      </c>
    </row>
    <row r="14" spans="1:72" s="2" customFormat="1" x14ac:dyDescent="0.4">
      <c r="A14" s="1" t="s">
        <v>72</v>
      </c>
      <c r="B14" s="1" t="s">
        <v>4026</v>
      </c>
      <c r="C14" s="1" t="s">
        <v>74</v>
      </c>
      <c r="D14" s="1" t="s">
        <v>74</v>
      </c>
      <c r="E14" s="1" t="s">
        <v>74</v>
      </c>
      <c r="F14" s="1" t="s">
        <v>4027</v>
      </c>
      <c r="G14" s="1" t="s">
        <v>74</v>
      </c>
      <c r="H14" s="1" t="s">
        <v>74</v>
      </c>
      <c r="I14" s="1" t="s">
        <v>4028</v>
      </c>
      <c r="J14" s="1" t="s">
        <v>140</v>
      </c>
      <c r="K14" s="1" t="s">
        <v>74</v>
      </c>
      <c r="L14" s="1" t="s">
        <v>74</v>
      </c>
      <c r="M14" s="1" t="s">
        <v>74</v>
      </c>
      <c r="N14" s="1" t="s">
        <v>74</v>
      </c>
      <c r="O14" s="1" t="s">
        <v>74</v>
      </c>
      <c r="P14" s="1" t="s">
        <v>74</v>
      </c>
      <c r="Q14" s="1" t="s">
        <v>74</v>
      </c>
      <c r="R14" s="1" t="s">
        <v>74</v>
      </c>
      <c r="S14" s="1" t="s">
        <v>74</v>
      </c>
      <c r="T14" s="1" t="s">
        <v>74</v>
      </c>
      <c r="U14" s="1" t="s">
        <v>74</v>
      </c>
      <c r="V14" s="4" t="s">
        <v>4029</v>
      </c>
      <c r="W14" s="1" t="s">
        <v>74</v>
      </c>
      <c r="X14" s="1" t="s">
        <v>74</v>
      </c>
      <c r="Y14" s="1" t="s">
        <v>74</v>
      </c>
      <c r="Z14" s="1" t="s">
        <v>74</v>
      </c>
      <c r="AA14" s="1" t="s">
        <v>4030</v>
      </c>
      <c r="AB14" s="1" t="s">
        <v>74</v>
      </c>
      <c r="AC14" s="1" t="s">
        <v>74</v>
      </c>
      <c r="AD14" s="1" t="s">
        <v>74</v>
      </c>
      <c r="AE14" s="1" t="s">
        <v>74</v>
      </c>
      <c r="AF14" s="1" t="s">
        <v>74</v>
      </c>
      <c r="AG14" s="1" t="s">
        <v>74</v>
      </c>
      <c r="AH14" s="1" t="s">
        <v>74</v>
      </c>
      <c r="AI14" s="1" t="s">
        <v>74</v>
      </c>
      <c r="AJ14" s="1" t="s">
        <v>74</v>
      </c>
      <c r="AK14" s="1" t="s">
        <v>74</v>
      </c>
      <c r="AL14" s="1" t="s">
        <v>74</v>
      </c>
      <c r="AM14" s="1" t="s">
        <v>74</v>
      </c>
      <c r="AN14" s="1" t="s">
        <v>74</v>
      </c>
      <c r="AO14" s="1" t="s">
        <v>143</v>
      </c>
      <c r="AP14" s="1" t="s">
        <v>144</v>
      </c>
      <c r="AQ14" s="1" t="s">
        <v>74</v>
      </c>
      <c r="AR14" s="1" t="s">
        <v>74</v>
      </c>
      <c r="AS14" s="1" t="s">
        <v>74</v>
      </c>
      <c r="AT14" s="1" t="s">
        <v>352</v>
      </c>
      <c r="AU14" s="1">
        <v>2008</v>
      </c>
      <c r="AV14" s="1">
        <v>76</v>
      </c>
      <c r="AW14" s="1" t="s">
        <v>74</v>
      </c>
      <c r="AX14" s="1">
        <v>3</v>
      </c>
      <c r="AY14" s="1" t="s">
        <v>74</v>
      </c>
      <c r="AZ14" s="1" t="s">
        <v>74</v>
      </c>
      <c r="BA14" s="1" t="s">
        <v>74</v>
      </c>
      <c r="BB14" s="1">
        <v>657</v>
      </c>
      <c r="BC14" s="1">
        <v>667</v>
      </c>
      <c r="BD14" s="1" t="s">
        <v>74</v>
      </c>
      <c r="BE14" s="1" t="s">
        <v>4031</v>
      </c>
      <c r="BF14" s="1" t="str">
        <f>HYPERLINK("http://dx.doi.org/10.1016/j.anbehav.2008.03.014","http://dx.doi.org/10.1016/j.anbehav.2008.03.014")</f>
        <v>http://dx.doi.org/10.1016/j.anbehav.2008.03.014</v>
      </c>
      <c r="BG14" s="1" t="s">
        <v>74</v>
      </c>
      <c r="BH14" s="1" t="s">
        <v>74</v>
      </c>
      <c r="BI14" s="1" t="s">
        <v>74</v>
      </c>
      <c r="BJ14" s="1" t="s">
        <v>74</v>
      </c>
      <c r="BK14" s="1" t="s">
        <v>74</v>
      </c>
      <c r="BL14" s="1" t="s">
        <v>74</v>
      </c>
      <c r="BM14" s="1" t="s">
        <v>74</v>
      </c>
      <c r="BN14" s="1" t="s">
        <v>74</v>
      </c>
      <c r="BO14" s="1" t="s">
        <v>74</v>
      </c>
      <c r="BP14" s="1" t="s">
        <v>74</v>
      </c>
      <c r="BQ14" s="1" t="s">
        <v>74</v>
      </c>
      <c r="BR14" s="1" t="s">
        <v>74</v>
      </c>
      <c r="BS14" s="1" t="s">
        <v>4032</v>
      </c>
      <c r="BT14" s="1" t="str">
        <f>HYPERLINK("https%3A%2F%2Fwww.webofscience.com%2Fwos%2Fwoscc%2Ffull-record%2FWOS:000258490800016","View Full Record in Web of Science")</f>
        <v>View Full Record in Web of Science</v>
      </c>
    </row>
    <row r="15" spans="1:72" s="2" customFormat="1" x14ac:dyDescent="0.4">
      <c r="A15" s="1" t="s">
        <v>72</v>
      </c>
      <c r="B15" s="1" t="s">
        <v>3203</v>
      </c>
      <c r="C15" s="1" t="s">
        <v>74</v>
      </c>
      <c r="D15" s="1" t="s">
        <v>74</v>
      </c>
      <c r="E15" s="1" t="s">
        <v>74</v>
      </c>
      <c r="F15" s="1" t="s">
        <v>3203</v>
      </c>
      <c r="G15" s="1" t="s">
        <v>74</v>
      </c>
      <c r="H15" s="1" t="s">
        <v>74</v>
      </c>
      <c r="I15" s="1" t="s">
        <v>3204</v>
      </c>
      <c r="J15" s="1" t="s">
        <v>509</v>
      </c>
      <c r="K15" s="1" t="s">
        <v>74</v>
      </c>
      <c r="L15" s="1" t="s">
        <v>74</v>
      </c>
      <c r="M15" s="1" t="s">
        <v>74</v>
      </c>
      <c r="N15" s="1" t="s">
        <v>74</v>
      </c>
      <c r="O15" s="1" t="s">
        <v>74</v>
      </c>
      <c r="P15" s="1" t="s">
        <v>74</v>
      </c>
      <c r="Q15" s="1" t="s">
        <v>74</v>
      </c>
      <c r="R15" s="1" t="s">
        <v>74</v>
      </c>
      <c r="S15" s="1" t="s">
        <v>74</v>
      </c>
      <c r="T15" s="1" t="s">
        <v>74</v>
      </c>
      <c r="U15" s="1" t="s">
        <v>74</v>
      </c>
      <c r="V15" s="4" t="s">
        <v>3205</v>
      </c>
      <c r="W15" s="1" t="s">
        <v>74</v>
      </c>
      <c r="X15" s="1" t="s">
        <v>74</v>
      </c>
      <c r="Y15" s="1" t="s">
        <v>74</v>
      </c>
      <c r="Z15" s="1" t="s">
        <v>74</v>
      </c>
      <c r="AA15" s="1" t="s">
        <v>74</v>
      </c>
      <c r="AB15" s="1" t="s">
        <v>74</v>
      </c>
      <c r="AC15" s="1" t="s">
        <v>74</v>
      </c>
      <c r="AD15" s="1" t="s">
        <v>74</v>
      </c>
      <c r="AE15" s="1" t="s">
        <v>74</v>
      </c>
      <c r="AF15" s="1" t="s">
        <v>74</v>
      </c>
      <c r="AG15" s="1" t="s">
        <v>74</v>
      </c>
      <c r="AH15" s="1" t="s">
        <v>74</v>
      </c>
      <c r="AI15" s="1" t="s">
        <v>74</v>
      </c>
      <c r="AJ15" s="1" t="s">
        <v>74</v>
      </c>
      <c r="AK15" s="1" t="s">
        <v>74</v>
      </c>
      <c r="AL15" s="1" t="s">
        <v>74</v>
      </c>
      <c r="AM15" s="1" t="s">
        <v>74</v>
      </c>
      <c r="AN15" s="1" t="s">
        <v>74</v>
      </c>
      <c r="AO15" s="1" t="s">
        <v>511</v>
      </c>
      <c r="AP15" s="1" t="s">
        <v>512</v>
      </c>
      <c r="AQ15" s="1" t="s">
        <v>74</v>
      </c>
      <c r="AR15" s="1" t="s">
        <v>74</v>
      </c>
      <c r="AS15" s="1" t="s">
        <v>74</v>
      </c>
      <c r="AT15" s="1" t="s">
        <v>123</v>
      </c>
      <c r="AU15" s="1">
        <v>2005</v>
      </c>
      <c r="AV15" s="1">
        <v>47</v>
      </c>
      <c r="AW15" s="1">
        <v>3</v>
      </c>
      <c r="AX15" s="1" t="s">
        <v>74</v>
      </c>
      <c r="AY15" s="1" t="s">
        <v>74</v>
      </c>
      <c r="AZ15" s="1" t="s">
        <v>74</v>
      </c>
      <c r="BA15" s="1" t="s">
        <v>74</v>
      </c>
      <c r="BB15" s="1">
        <v>336</v>
      </c>
      <c r="BC15" s="1">
        <v>342</v>
      </c>
      <c r="BD15" s="1" t="s">
        <v>74</v>
      </c>
      <c r="BE15" s="1" t="s">
        <v>3206</v>
      </c>
      <c r="BF15" s="1" t="str">
        <f>HYPERLINK("http://dx.doi.org/10.1016/j.yhbeh.2004.11.014","http://dx.doi.org/10.1016/j.yhbeh.2004.11.014")</f>
        <v>http://dx.doi.org/10.1016/j.yhbeh.2004.11.014</v>
      </c>
      <c r="BG15" s="1" t="s">
        <v>74</v>
      </c>
      <c r="BH15" s="1" t="s">
        <v>74</v>
      </c>
      <c r="BI15" s="1" t="s">
        <v>74</v>
      </c>
      <c r="BJ15" s="1" t="s">
        <v>74</v>
      </c>
      <c r="BK15" s="1" t="s">
        <v>74</v>
      </c>
      <c r="BL15" s="1" t="s">
        <v>74</v>
      </c>
      <c r="BM15" s="1" t="s">
        <v>74</v>
      </c>
      <c r="BN15" s="1">
        <v>15708763</v>
      </c>
      <c r="BO15" s="1" t="s">
        <v>74</v>
      </c>
      <c r="BP15" s="1" t="s">
        <v>74</v>
      </c>
      <c r="BQ15" s="1" t="s">
        <v>74</v>
      </c>
      <c r="BR15" s="1" t="s">
        <v>74</v>
      </c>
      <c r="BS15" s="1" t="s">
        <v>3207</v>
      </c>
      <c r="BT15" s="1" t="str">
        <f>HYPERLINK("https%3A%2F%2Fwww.webofscience.com%2Fwos%2Fwoscc%2Ffull-record%2FWOS:000227326100013","View Full Record in Web of Science")</f>
        <v>View Full Record in Web of Science</v>
      </c>
    </row>
    <row r="16" spans="1:72" s="2" customFormat="1" x14ac:dyDescent="0.4">
      <c r="A16" s="1" t="s">
        <v>72</v>
      </c>
      <c r="B16" s="1" t="s">
        <v>1524</v>
      </c>
      <c r="C16" s="1" t="s">
        <v>74</v>
      </c>
      <c r="D16" s="1" t="s">
        <v>74</v>
      </c>
      <c r="E16" s="1" t="s">
        <v>74</v>
      </c>
      <c r="F16" s="1" t="s">
        <v>1524</v>
      </c>
      <c r="G16" s="1" t="s">
        <v>74</v>
      </c>
      <c r="H16" s="1" t="s">
        <v>74</v>
      </c>
      <c r="I16" s="1" t="s">
        <v>1525</v>
      </c>
      <c r="J16" s="1" t="s">
        <v>1526</v>
      </c>
      <c r="K16" s="1" t="s">
        <v>74</v>
      </c>
      <c r="L16" s="1" t="s">
        <v>74</v>
      </c>
      <c r="M16" s="1" t="s">
        <v>74</v>
      </c>
      <c r="N16" s="1" t="s">
        <v>74</v>
      </c>
      <c r="O16" s="1" t="s">
        <v>74</v>
      </c>
      <c r="P16" s="1" t="s">
        <v>74</v>
      </c>
      <c r="Q16" s="1" t="s">
        <v>74</v>
      </c>
      <c r="R16" s="1" t="s">
        <v>74</v>
      </c>
      <c r="S16" s="1" t="s">
        <v>74</v>
      </c>
      <c r="T16" s="1" t="s">
        <v>74</v>
      </c>
      <c r="U16" s="1" t="s">
        <v>74</v>
      </c>
      <c r="V16" s="4" t="s">
        <v>1527</v>
      </c>
      <c r="W16" s="1" t="s">
        <v>74</v>
      </c>
      <c r="X16" s="1" t="s">
        <v>74</v>
      </c>
      <c r="Y16" s="1" t="s">
        <v>74</v>
      </c>
      <c r="Z16" s="1" t="s">
        <v>74</v>
      </c>
      <c r="AA16" s="1" t="s">
        <v>74</v>
      </c>
      <c r="AB16" s="1" t="s">
        <v>74</v>
      </c>
      <c r="AC16" s="1" t="s">
        <v>74</v>
      </c>
      <c r="AD16" s="1" t="s">
        <v>74</v>
      </c>
      <c r="AE16" s="1" t="s">
        <v>74</v>
      </c>
      <c r="AF16" s="1" t="s">
        <v>74</v>
      </c>
      <c r="AG16" s="1" t="s">
        <v>74</v>
      </c>
      <c r="AH16" s="1" t="s">
        <v>74</v>
      </c>
      <c r="AI16" s="1" t="s">
        <v>74</v>
      </c>
      <c r="AJ16" s="1" t="s">
        <v>74</v>
      </c>
      <c r="AK16" s="1" t="s">
        <v>74</v>
      </c>
      <c r="AL16" s="1" t="s">
        <v>74</v>
      </c>
      <c r="AM16" s="1" t="s">
        <v>74</v>
      </c>
      <c r="AN16" s="1" t="s">
        <v>74</v>
      </c>
      <c r="AO16" s="1" t="s">
        <v>1528</v>
      </c>
      <c r="AP16" s="1" t="s">
        <v>74</v>
      </c>
      <c r="AQ16" s="1" t="s">
        <v>74</v>
      </c>
      <c r="AR16" s="1" t="s">
        <v>74</v>
      </c>
      <c r="AS16" s="1" t="s">
        <v>74</v>
      </c>
      <c r="AT16" s="1" t="s">
        <v>213</v>
      </c>
      <c r="AU16" s="1">
        <v>1999</v>
      </c>
      <c r="AV16" s="1">
        <v>101</v>
      </c>
      <c r="AW16" s="1">
        <v>4</v>
      </c>
      <c r="AX16" s="1" t="s">
        <v>74</v>
      </c>
      <c r="AY16" s="1" t="s">
        <v>74</v>
      </c>
      <c r="AZ16" s="1" t="s">
        <v>74</v>
      </c>
      <c r="BA16" s="1" t="s">
        <v>74</v>
      </c>
      <c r="BB16" s="1">
        <v>842</v>
      </c>
      <c r="BC16" s="1">
        <v>845</v>
      </c>
      <c r="BD16" s="1" t="s">
        <v>74</v>
      </c>
      <c r="BE16" s="1" t="s">
        <v>1529</v>
      </c>
      <c r="BF16" s="1" t="str">
        <f>HYPERLINK("http://dx.doi.org/10.2307/1370072","http://dx.doi.org/10.2307/1370072")</f>
        <v>http://dx.doi.org/10.2307/1370072</v>
      </c>
      <c r="BG16" s="1" t="s">
        <v>74</v>
      </c>
      <c r="BH16" s="1" t="s">
        <v>74</v>
      </c>
      <c r="BI16" s="1" t="s">
        <v>74</v>
      </c>
      <c r="BJ16" s="1" t="s">
        <v>74</v>
      </c>
      <c r="BK16" s="1" t="s">
        <v>74</v>
      </c>
      <c r="BL16" s="1" t="s">
        <v>74</v>
      </c>
      <c r="BM16" s="1" t="s">
        <v>74</v>
      </c>
      <c r="BN16" s="1" t="s">
        <v>74</v>
      </c>
      <c r="BO16" s="1" t="s">
        <v>74</v>
      </c>
      <c r="BP16" s="1" t="s">
        <v>74</v>
      </c>
      <c r="BQ16" s="1" t="s">
        <v>74</v>
      </c>
      <c r="BR16" s="1" t="s">
        <v>74</v>
      </c>
      <c r="BS16" s="1" t="s">
        <v>1530</v>
      </c>
      <c r="BT16" s="1" t="str">
        <f>HYPERLINK("https%3A%2F%2Fwww.webofscience.com%2Fwos%2Fwoscc%2Ffull-record%2FWOS:000083884100014","View Full Record in Web of Science")</f>
        <v>View Full Record in Web of Science</v>
      </c>
    </row>
    <row r="17" spans="1:72" s="2" customFormat="1" x14ac:dyDescent="0.4">
      <c r="A17" s="1" t="s">
        <v>72</v>
      </c>
      <c r="B17" s="1" t="s">
        <v>3983</v>
      </c>
      <c r="C17" s="1" t="s">
        <v>74</v>
      </c>
      <c r="D17" s="1" t="s">
        <v>74</v>
      </c>
      <c r="E17" s="1" t="s">
        <v>74</v>
      </c>
      <c r="F17" s="1" t="s">
        <v>3984</v>
      </c>
      <c r="G17" s="1" t="s">
        <v>74</v>
      </c>
      <c r="H17" s="1" t="s">
        <v>74</v>
      </c>
      <c r="I17" s="1" t="s">
        <v>3985</v>
      </c>
      <c r="J17" s="1" t="s">
        <v>333</v>
      </c>
      <c r="K17" s="1" t="s">
        <v>74</v>
      </c>
      <c r="L17" s="1" t="s">
        <v>74</v>
      </c>
      <c r="M17" s="1" t="s">
        <v>74</v>
      </c>
      <c r="N17" s="1" t="s">
        <v>74</v>
      </c>
      <c r="O17" s="1" t="s">
        <v>74</v>
      </c>
      <c r="P17" s="1" t="s">
        <v>74</v>
      </c>
      <c r="Q17" s="1" t="s">
        <v>74</v>
      </c>
      <c r="R17" s="1" t="s">
        <v>74</v>
      </c>
      <c r="S17" s="1" t="s">
        <v>74</v>
      </c>
      <c r="T17" s="1" t="s">
        <v>74</v>
      </c>
      <c r="U17" s="1" t="s">
        <v>74</v>
      </c>
      <c r="V17" s="4" t="s">
        <v>3986</v>
      </c>
      <c r="W17" s="1" t="s">
        <v>74</v>
      </c>
      <c r="X17" s="1" t="s">
        <v>74</v>
      </c>
      <c r="Y17" s="1" t="s">
        <v>74</v>
      </c>
      <c r="Z17" s="1" t="s">
        <v>74</v>
      </c>
      <c r="AA17" s="1" t="s">
        <v>74</v>
      </c>
      <c r="AB17" s="1" t="s">
        <v>74</v>
      </c>
      <c r="AC17" s="1" t="s">
        <v>74</v>
      </c>
      <c r="AD17" s="1" t="s">
        <v>74</v>
      </c>
      <c r="AE17" s="1" t="s">
        <v>74</v>
      </c>
      <c r="AF17" s="1" t="s">
        <v>74</v>
      </c>
      <c r="AG17" s="1" t="s">
        <v>74</v>
      </c>
      <c r="AH17" s="1" t="s">
        <v>74</v>
      </c>
      <c r="AI17" s="1" t="s">
        <v>74</v>
      </c>
      <c r="AJ17" s="1" t="s">
        <v>74</v>
      </c>
      <c r="AK17" s="1" t="s">
        <v>74</v>
      </c>
      <c r="AL17" s="1" t="s">
        <v>74</v>
      </c>
      <c r="AM17" s="1" t="s">
        <v>74</v>
      </c>
      <c r="AN17" s="1" t="s">
        <v>74</v>
      </c>
      <c r="AO17" s="1" t="s">
        <v>337</v>
      </c>
      <c r="AP17" s="1" t="s">
        <v>338</v>
      </c>
      <c r="AQ17" s="1" t="s">
        <v>74</v>
      </c>
      <c r="AR17" s="1" t="s">
        <v>74</v>
      </c>
      <c r="AS17" s="1" t="s">
        <v>74</v>
      </c>
      <c r="AT17" s="1" t="s">
        <v>1038</v>
      </c>
      <c r="AU17" s="1">
        <v>2015</v>
      </c>
      <c r="AV17" s="1">
        <v>26</v>
      </c>
      <c r="AW17" s="1">
        <v>2</v>
      </c>
      <c r="AX17" s="1" t="s">
        <v>74</v>
      </c>
      <c r="AY17" s="1" t="s">
        <v>74</v>
      </c>
      <c r="AZ17" s="1" t="s">
        <v>74</v>
      </c>
      <c r="BA17" s="1" t="s">
        <v>74</v>
      </c>
      <c r="BB17" s="1">
        <v>560</v>
      </c>
      <c r="BC17" s="1">
        <v>568</v>
      </c>
      <c r="BD17" s="1" t="s">
        <v>74</v>
      </c>
      <c r="BE17" s="1" t="s">
        <v>3987</v>
      </c>
      <c r="BF17" s="1" t="str">
        <f>HYPERLINK("http://dx.doi.org/10.1093/beheco/aru231","http://dx.doi.org/10.1093/beheco/aru231")</f>
        <v>http://dx.doi.org/10.1093/beheco/aru231</v>
      </c>
      <c r="BG17" s="1" t="s">
        <v>74</v>
      </c>
      <c r="BH17" s="1" t="s">
        <v>74</v>
      </c>
      <c r="BI17" s="1" t="s">
        <v>74</v>
      </c>
      <c r="BJ17" s="1" t="s">
        <v>74</v>
      </c>
      <c r="BK17" s="1" t="s">
        <v>74</v>
      </c>
      <c r="BL17" s="1" t="s">
        <v>74</v>
      </c>
      <c r="BM17" s="1" t="s">
        <v>74</v>
      </c>
      <c r="BN17" s="1" t="s">
        <v>74</v>
      </c>
      <c r="BO17" s="1" t="s">
        <v>74</v>
      </c>
      <c r="BP17" s="1" t="s">
        <v>74</v>
      </c>
      <c r="BQ17" s="1" t="s">
        <v>74</v>
      </c>
      <c r="BR17" s="1" t="s">
        <v>74</v>
      </c>
      <c r="BS17" s="1" t="s">
        <v>3988</v>
      </c>
      <c r="BT17" s="1" t="str">
        <f>HYPERLINK("https%3A%2F%2Fwww.webofscience.com%2Fwos%2Fwoscc%2Ffull-record%2FWOS:000352271800037","View Full Record in Web of Science")</f>
        <v>View Full Record in Web of Science</v>
      </c>
    </row>
    <row r="18" spans="1:72" s="2" customFormat="1" x14ac:dyDescent="0.4">
      <c r="A18" s="1" t="s">
        <v>72</v>
      </c>
      <c r="B18" s="1" t="s">
        <v>7079</v>
      </c>
      <c r="C18" s="1" t="s">
        <v>74</v>
      </c>
      <c r="D18" s="1" t="s">
        <v>74</v>
      </c>
      <c r="E18" s="1" t="s">
        <v>74</v>
      </c>
      <c r="F18" s="1" t="s">
        <v>7080</v>
      </c>
      <c r="G18" s="1" t="s">
        <v>74</v>
      </c>
      <c r="H18" s="1" t="s">
        <v>74</v>
      </c>
      <c r="I18" s="1" t="s">
        <v>7081</v>
      </c>
      <c r="J18" s="1" t="s">
        <v>171</v>
      </c>
      <c r="K18" s="1" t="s">
        <v>74</v>
      </c>
      <c r="L18" s="1" t="s">
        <v>74</v>
      </c>
      <c r="M18" s="1" t="s">
        <v>74</v>
      </c>
      <c r="N18" s="1" t="s">
        <v>74</v>
      </c>
      <c r="O18" s="1" t="s">
        <v>74</v>
      </c>
      <c r="P18" s="1" t="s">
        <v>74</v>
      </c>
      <c r="Q18" s="1" t="s">
        <v>74</v>
      </c>
      <c r="R18" s="1" t="s">
        <v>74</v>
      </c>
      <c r="S18" s="1" t="s">
        <v>74</v>
      </c>
      <c r="T18" s="1" t="s">
        <v>74</v>
      </c>
      <c r="U18" s="1" t="s">
        <v>74</v>
      </c>
      <c r="V18" s="4" t="s">
        <v>7082</v>
      </c>
      <c r="W18" s="1" t="s">
        <v>74</v>
      </c>
      <c r="X18" s="1" t="s">
        <v>74</v>
      </c>
      <c r="Y18" s="1" t="s">
        <v>74</v>
      </c>
      <c r="Z18" s="1" t="s">
        <v>74</v>
      </c>
      <c r="AA18" s="1" t="s">
        <v>74</v>
      </c>
      <c r="AB18" s="1" t="s">
        <v>74</v>
      </c>
      <c r="AC18" s="1" t="s">
        <v>74</v>
      </c>
      <c r="AD18" s="1" t="s">
        <v>74</v>
      </c>
      <c r="AE18" s="1" t="s">
        <v>74</v>
      </c>
      <c r="AF18" s="1" t="s">
        <v>74</v>
      </c>
      <c r="AG18" s="1" t="s">
        <v>74</v>
      </c>
      <c r="AH18" s="1" t="s">
        <v>74</v>
      </c>
      <c r="AI18" s="1" t="s">
        <v>74</v>
      </c>
      <c r="AJ18" s="1" t="s">
        <v>74</v>
      </c>
      <c r="AK18" s="1" t="s">
        <v>74</v>
      </c>
      <c r="AL18" s="1" t="s">
        <v>74</v>
      </c>
      <c r="AM18" s="1" t="s">
        <v>74</v>
      </c>
      <c r="AN18" s="1" t="s">
        <v>74</v>
      </c>
      <c r="AO18" s="1" t="s">
        <v>173</v>
      </c>
      <c r="AP18" s="1" t="s">
        <v>174</v>
      </c>
      <c r="AQ18" s="1" t="s">
        <v>74</v>
      </c>
      <c r="AR18" s="1" t="s">
        <v>74</v>
      </c>
      <c r="AS18" s="1" t="s">
        <v>74</v>
      </c>
      <c r="AT18" s="1" t="s">
        <v>964</v>
      </c>
      <c r="AU18" s="1">
        <v>2011</v>
      </c>
      <c r="AV18" s="1">
        <v>65</v>
      </c>
      <c r="AW18" s="1">
        <v>2</v>
      </c>
      <c r="AX18" s="1" t="s">
        <v>74</v>
      </c>
      <c r="AY18" s="1" t="s">
        <v>74</v>
      </c>
      <c r="AZ18" s="1" t="s">
        <v>74</v>
      </c>
      <c r="BA18" s="1" t="s">
        <v>74</v>
      </c>
      <c r="BB18" s="1">
        <v>599</v>
      </c>
      <c r="BC18" s="1">
        <v>605</v>
      </c>
      <c r="BD18" s="1" t="s">
        <v>74</v>
      </c>
      <c r="BE18" s="1" t="s">
        <v>7083</v>
      </c>
      <c r="BF18" s="1" t="str">
        <f>HYPERLINK("http://dx.doi.org/10.1111/j.1558-5646.2010.01154.x","http://dx.doi.org/10.1111/j.1558-5646.2010.01154.x")</f>
        <v>http://dx.doi.org/10.1111/j.1558-5646.2010.01154.x</v>
      </c>
      <c r="BG18" s="1" t="s">
        <v>74</v>
      </c>
      <c r="BH18" s="1" t="s">
        <v>74</v>
      </c>
      <c r="BI18" s="1" t="s">
        <v>74</v>
      </c>
      <c r="BJ18" s="1" t="s">
        <v>74</v>
      </c>
      <c r="BK18" s="1" t="s">
        <v>74</v>
      </c>
      <c r="BL18" s="1" t="s">
        <v>74</v>
      </c>
      <c r="BM18" s="1" t="s">
        <v>74</v>
      </c>
      <c r="BN18" s="1">
        <v>21271999</v>
      </c>
      <c r="BO18" s="1" t="s">
        <v>74</v>
      </c>
      <c r="BP18" s="1" t="s">
        <v>74</v>
      </c>
      <c r="BQ18" s="1" t="s">
        <v>74</v>
      </c>
      <c r="BR18" s="1" t="s">
        <v>74</v>
      </c>
      <c r="BS18" s="1" t="s">
        <v>7084</v>
      </c>
      <c r="BT18" s="1" t="str">
        <f>HYPERLINK("https%3A%2F%2Fwww.webofscience.com%2Fwos%2Fwoscc%2Ffull-record%2FWOS:000286629100024","View Full Record in Web of Science")</f>
        <v>View Full Record in Web of Science</v>
      </c>
    </row>
    <row r="19" spans="1:72" s="2" customFormat="1" x14ac:dyDescent="0.4">
      <c r="A19" s="1" t="s">
        <v>72</v>
      </c>
      <c r="B19" s="1" t="s">
        <v>5785</v>
      </c>
      <c r="C19" s="1" t="s">
        <v>74</v>
      </c>
      <c r="D19" s="1" t="s">
        <v>74</v>
      </c>
      <c r="E19" s="1" t="s">
        <v>74</v>
      </c>
      <c r="F19" s="1" t="s">
        <v>5785</v>
      </c>
      <c r="G19" s="1" t="s">
        <v>74</v>
      </c>
      <c r="H19" s="1" t="s">
        <v>74</v>
      </c>
      <c r="I19" s="1" t="s">
        <v>5786</v>
      </c>
      <c r="J19" s="1" t="s">
        <v>431</v>
      </c>
      <c r="K19" s="1" t="s">
        <v>74</v>
      </c>
      <c r="L19" s="1" t="s">
        <v>74</v>
      </c>
      <c r="M19" s="1" t="s">
        <v>74</v>
      </c>
      <c r="N19" s="1" t="s">
        <v>74</v>
      </c>
      <c r="O19" s="1" t="s">
        <v>74</v>
      </c>
      <c r="P19" s="1" t="s">
        <v>74</v>
      </c>
      <c r="Q19" s="1" t="s">
        <v>74</v>
      </c>
      <c r="R19" s="1" t="s">
        <v>74</v>
      </c>
      <c r="S19" s="1" t="s">
        <v>74</v>
      </c>
      <c r="T19" s="1" t="s">
        <v>74</v>
      </c>
      <c r="U19" s="1" t="s">
        <v>74</v>
      </c>
      <c r="V19" s="4" t="s">
        <v>5787</v>
      </c>
      <c r="W19" s="1" t="s">
        <v>74</v>
      </c>
      <c r="X19" s="1" t="s">
        <v>74</v>
      </c>
      <c r="Y19" s="1" t="s">
        <v>74</v>
      </c>
      <c r="Z19" s="1" t="s">
        <v>74</v>
      </c>
      <c r="AA19" s="1" t="s">
        <v>74</v>
      </c>
      <c r="AB19" s="1" t="s">
        <v>74</v>
      </c>
      <c r="AC19" s="1" t="s">
        <v>74</v>
      </c>
      <c r="AD19" s="1" t="s">
        <v>74</v>
      </c>
      <c r="AE19" s="1" t="s">
        <v>74</v>
      </c>
      <c r="AF19" s="1" t="s">
        <v>74</v>
      </c>
      <c r="AG19" s="1" t="s">
        <v>74</v>
      </c>
      <c r="AH19" s="1" t="s">
        <v>74</v>
      </c>
      <c r="AI19" s="1" t="s">
        <v>74</v>
      </c>
      <c r="AJ19" s="1" t="s">
        <v>74</v>
      </c>
      <c r="AK19" s="1" t="s">
        <v>74</v>
      </c>
      <c r="AL19" s="1" t="s">
        <v>74</v>
      </c>
      <c r="AM19" s="1" t="s">
        <v>74</v>
      </c>
      <c r="AN19" s="1" t="s">
        <v>74</v>
      </c>
      <c r="AO19" s="1" t="s">
        <v>1458</v>
      </c>
      <c r="AP19" s="1" t="s">
        <v>435</v>
      </c>
      <c r="AQ19" s="1" t="s">
        <v>74</v>
      </c>
      <c r="AR19" s="1" t="s">
        <v>74</v>
      </c>
      <c r="AS19" s="1" t="s">
        <v>74</v>
      </c>
      <c r="AT19" s="1" t="s">
        <v>175</v>
      </c>
      <c r="AU19" s="1">
        <v>1996</v>
      </c>
      <c r="AV19" s="1">
        <v>113</v>
      </c>
      <c r="AW19" s="1">
        <v>4</v>
      </c>
      <c r="AX19" s="1" t="s">
        <v>74</v>
      </c>
      <c r="AY19" s="1" t="s">
        <v>74</v>
      </c>
      <c r="AZ19" s="1" t="s">
        <v>74</v>
      </c>
      <c r="BA19" s="1" t="s">
        <v>74</v>
      </c>
      <c r="BB19" s="1">
        <v>849</v>
      </c>
      <c r="BC19" s="1">
        <v>857</v>
      </c>
      <c r="BD19" s="1" t="s">
        <v>74</v>
      </c>
      <c r="BE19" s="1" t="s">
        <v>5788</v>
      </c>
      <c r="BF19" s="1" t="str">
        <f>HYPERLINK("http://dx.doi.org/10.2307/4088863","http://dx.doi.org/10.2307/4088863")</f>
        <v>http://dx.doi.org/10.2307/4088863</v>
      </c>
      <c r="BG19" s="1" t="s">
        <v>74</v>
      </c>
      <c r="BH19" s="1" t="s">
        <v>74</v>
      </c>
      <c r="BI19" s="1" t="s">
        <v>74</v>
      </c>
      <c r="BJ19" s="1" t="s">
        <v>74</v>
      </c>
      <c r="BK19" s="1" t="s">
        <v>74</v>
      </c>
      <c r="BL19" s="1" t="s">
        <v>74</v>
      </c>
      <c r="BM19" s="1" t="s">
        <v>74</v>
      </c>
      <c r="BN19" s="1" t="s">
        <v>74</v>
      </c>
      <c r="BO19" s="1" t="s">
        <v>74</v>
      </c>
      <c r="BP19" s="1" t="s">
        <v>74</v>
      </c>
      <c r="BQ19" s="1" t="s">
        <v>74</v>
      </c>
      <c r="BR19" s="1" t="s">
        <v>74</v>
      </c>
      <c r="BS19" s="1" t="s">
        <v>5789</v>
      </c>
      <c r="BT19" s="1" t="str">
        <f>HYPERLINK("https%3A%2F%2Fwww.webofscience.com%2Fwos%2Fwoscc%2Ffull-record%2FWOS:A1996VN96300011","View Full Record in Web of Science")</f>
        <v>View Full Record in Web of Science</v>
      </c>
    </row>
    <row r="20" spans="1:72" s="2" customFormat="1" x14ac:dyDescent="0.4">
      <c r="A20" s="1" t="s">
        <v>72</v>
      </c>
      <c r="B20" s="1" t="s">
        <v>4789</v>
      </c>
      <c r="C20" s="1" t="s">
        <v>74</v>
      </c>
      <c r="D20" s="1" t="s">
        <v>74</v>
      </c>
      <c r="E20" s="1" t="s">
        <v>74</v>
      </c>
      <c r="F20" s="1" t="s">
        <v>4789</v>
      </c>
      <c r="G20" s="1" t="s">
        <v>74</v>
      </c>
      <c r="H20" s="1" t="s">
        <v>74</v>
      </c>
      <c r="I20" s="1" t="s">
        <v>4790</v>
      </c>
      <c r="J20" s="1" t="s">
        <v>4791</v>
      </c>
      <c r="K20" s="1" t="s">
        <v>74</v>
      </c>
      <c r="L20" s="1" t="s">
        <v>74</v>
      </c>
      <c r="M20" s="1" t="s">
        <v>74</v>
      </c>
      <c r="N20" s="1" t="s">
        <v>74</v>
      </c>
      <c r="O20" s="1" t="s">
        <v>74</v>
      </c>
      <c r="P20" s="1" t="s">
        <v>74</v>
      </c>
      <c r="Q20" s="1" t="s">
        <v>74</v>
      </c>
      <c r="R20" s="1" t="s">
        <v>74</v>
      </c>
      <c r="S20" s="1" t="s">
        <v>74</v>
      </c>
      <c r="T20" s="1" t="s">
        <v>74</v>
      </c>
      <c r="U20" s="1" t="s">
        <v>74</v>
      </c>
      <c r="V20" s="4" t="s">
        <v>4792</v>
      </c>
      <c r="W20" s="1" t="s">
        <v>74</v>
      </c>
      <c r="X20" s="1" t="s">
        <v>74</v>
      </c>
      <c r="Y20" s="1" t="s">
        <v>74</v>
      </c>
      <c r="Z20" s="1" t="s">
        <v>74</v>
      </c>
      <c r="AA20" s="1" t="s">
        <v>74</v>
      </c>
      <c r="AB20" s="1" t="s">
        <v>74</v>
      </c>
      <c r="AC20" s="1" t="s">
        <v>74</v>
      </c>
      <c r="AD20" s="1" t="s">
        <v>74</v>
      </c>
      <c r="AE20" s="1" t="s">
        <v>74</v>
      </c>
      <c r="AF20" s="1" t="s">
        <v>74</v>
      </c>
      <c r="AG20" s="1" t="s">
        <v>74</v>
      </c>
      <c r="AH20" s="1" t="s">
        <v>74</v>
      </c>
      <c r="AI20" s="1" t="s">
        <v>74</v>
      </c>
      <c r="AJ20" s="1" t="s">
        <v>74</v>
      </c>
      <c r="AK20" s="1" t="s">
        <v>74</v>
      </c>
      <c r="AL20" s="1" t="s">
        <v>74</v>
      </c>
      <c r="AM20" s="1" t="s">
        <v>74</v>
      </c>
      <c r="AN20" s="1" t="s">
        <v>74</v>
      </c>
      <c r="AO20" s="1" t="s">
        <v>4793</v>
      </c>
      <c r="AP20" s="1" t="s">
        <v>74</v>
      </c>
      <c r="AQ20" s="1" t="s">
        <v>74</v>
      </c>
      <c r="AR20" s="1" t="s">
        <v>74</v>
      </c>
      <c r="AS20" s="1" t="s">
        <v>74</v>
      </c>
      <c r="AT20" s="1" t="s">
        <v>361</v>
      </c>
      <c r="AU20" s="1">
        <v>1997</v>
      </c>
      <c r="AV20" s="1">
        <v>278</v>
      </c>
      <c r="AW20" s="1">
        <v>1</v>
      </c>
      <c r="AX20" s="1" t="s">
        <v>74</v>
      </c>
      <c r="AY20" s="1" t="s">
        <v>74</v>
      </c>
      <c r="AZ20" s="1" t="s">
        <v>74</v>
      </c>
      <c r="BA20" s="1" t="s">
        <v>74</v>
      </c>
      <c r="BB20" s="1">
        <v>9</v>
      </c>
      <c r="BC20" s="1">
        <v>21</v>
      </c>
      <c r="BD20" s="1" t="s">
        <v>74</v>
      </c>
      <c r="BE20" s="1" t="s">
        <v>4794</v>
      </c>
      <c r="BF20" s="1" t="str">
        <f>HYPERLINK("http://dx.doi.org/10.1002/(SICI)1097-010X(19970501)278:1&lt;9::AID-JEZ2&gt;3.0.CO;2-T","http://dx.doi.org/10.1002/(SICI)1097-010X(19970501)278:1&lt;9::AID-JEZ2&gt;3.0.CO;2-T")</f>
        <v>http://dx.doi.org/10.1002/(SICI)1097-010X(19970501)278:1&lt;9::AID-JEZ2&gt;3.0.CO;2-T</v>
      </c>
      <c r="BG20" s="1" t="s">
        <v>74</v>
      </c>
      <c r="BH20" s="1" t="s">
        <v>74</v>
      </c>
      <c r="BI20" s="1" t="s">
        <v>74</v>
      </c>
      <c r="BJ20" s="1" t="s">
        <v>74</v>
      </c>
      <c r="BK20" s="1" t="s">
        <v>74</v>
      </c>
      <c r="BL20" s="1" t="s">
        <v>74</v>
      </c>
      <c r="BM20" s="1" t="s">
        <v>74</v>
      </c>
      <c r="BN20" s="1" t="s">
        <v>74</v>
      </c>
      <c r="BO20" s="1" t="s">
        <v>74</v>
      </c>
      <c r="BP20" s="1" t="s">
        <v>74</v>
      </c>
      <c r="BQ20" s="1" t="s">
        <v>74</v>
      </c>
      <c r="BR20" s="1" t="s">
        <v>74</v>
      </c>
      <c r="BS20" s="1" t="s">
        <v>4795</v>
      </c>
      <c r="BT20" s="1" t="str">
        <f>HYPERLINK("https%3A%2F%2Fwww.webofscience.com%2Fwos%2Fwoscc%2Ffull-record%2FWOS:A1997WW30700002","View Full Record in Web of Science")</f>
        <v>View Full Record in Web of Science</v>
      </c>
    </row>
    <row r="21" spans="1:72" s="2" customFormat="1" x14ac:dyDescent="0.4">
      <c r="A21" s="1" t="s">
        <v>72</v>
      </c>
      <c r="B21" s="1" t="s">
        <v>1469</v>
      </c>
      <c r="C21" s="1" t="s">
        <v>74</v>
      </c>
      <c r="D21" s="1" t="s">
        <v>74</v>
      </c>
      <c r="E21" s="1" t="s">
        <v>74</v>
      </c>
      <c r="F21" s="1" t="s">
        <v>1470</v>
      </c>
      <c r="G21" s="1" t="s">
        <v>74</v>
      </c>
      <c r="H21" s="1" t="s">
        <v>74</v>
      </c>
      <c r="I21" s="1" t="s">
        <v>1471</v>
      </c>
      <c r="J21" s="1" t="s">
        <v>333</v>
      </c>
      <c r="K21" s="1" t="s">
        <v>74</v>
      </c>
      <c r="L21" s="1" t="s">
        <v>74</v>
      </c>
      <c r="M21" s="1" t="s">
        <v>74</v>
      </c>
      <c r="N21" s="1" t="s">
        <v>74</v>
      </c>
      <c r="O21" s="1" t="s">
        <v>74</v>
      </c>
      <c r="P21" s="1" t="s">
        <v>74</v>
      </c>
      <c r="Q21" s="1" t="s">
        <v>74</v>
      </c>
      <c r="R21" s="1" t="s">
        <v>74</v>
      </c>
      <c r="S21" s="1" t="s">
        <v>74</v>
      </c>
      <c r="T21" s="1" t="s">
        <v>74</v>
      </c>
      <c r="U21" s="1" t="s">
        <v>74</v>
      </c>
      <c r="V21" s="4" t="s">
        <v>1472</v>
      </c>
      <c r="W21" s="1" t="s">
        <v>74</v>
      </c>
      <c r="X21" s="1" t="s">
        <v>74</v>
      </c>
      <c r="Y21" s="1" t="s">
        <v>74</v>
      </c>
      <c r="Z21" s="1" t="s">
        <v>74</v>
      </c>
      <c r="AA21" s="1" t="s">
        <v>1473</v>
      </c>
      <c r="AB21" s="1" t="s">
        <v>1474</v>
      </c>
      <c r="AC21" s="1" t="s">
        <v>74</v>
      </c>
      <c r="AD21" s="1" t="s">
        <v>74</v>
      </c>
      <c r="AE21" s="1" t="s">
        <v>74</v>
      </c>
      <c r="AF21" s="1" t="s">
        <v>74</v>
      </c>
      <c r="AG21" s="1" t="s">
        <v>74</v>
      </c>
      <c r="AH21" s="1" t="s">
        <v>74</v>
      </c>
      <c r="AI21" s="1" t="s">
        <v>74</v>
      </c>
      <c r="AJ21" s="1" t="s">
        <v>74</v>
      </c>
      <c r="AK21" s="1" t="s">
        <v>74</v>
      </c>
      <c r="AL21" s="1" t="s">
        <v>74</v>
      </c>
      <c r="AM21" s="1" t="s">
        <v>74</v>
      </c>
      <c r="AN21" s="1" t="s">
        <v>74</v>
      </c>
      <c r="AO21" s="1" t="s">
        <v>337</v>
      </c>
      <c r="AP21" s="1" t="s">
        <v>338</v>
      </c>
      <c r="AQ21" s="1" t="s">
        <v>74</v>
      </c>
      <c r="AR21" s="1" t="s">
        <v>74</v>
      </c>
      <c r="AS21" s="1" t="s">
        <v>74</v>
      </c>
      <c r="AT21" s="1" t="s">
        <v>1475</v>
      </c>
      <c r="AU21" s="1">
        <v>2009</v>
      </c>
      <c r="AV21" s="1">
        <v>20</v>
      </c>
      <c r="AW21" s="1">
        <v>1</v>
      </c>
      <c r="AX21" s="1" t="s">
        <v>74</v>
      </c>
      <c r="AY21" s="1" t="s">
        <v>74</v>
      </c>
      <c r="AZ21" s="1" t="s">
        <v>74</v>
      </c>
      <c r="BA21" s="1" t="s">
        <v>74</v>
      </c>
      <c r="BB21" s="1">
        <v>138</v>
      </c>
      <c r="BC21" s="1">
        <v>144</v>
      </c>
      <c r="BD21" s="1" t="s">
        <v>74</v>
      </c>
      <c r="BE21" s="1" t="s">
        <v>1476</v>
      </c>
      <c r="BF21" s="1" t="str">
        <f>HYPERLINK("http://dx.doi.org/10.1093/beheco/arn125","http://dx.doi.org/10.1093/beheco/arn125")</f>
        <v>http://dx.doi.org/10.1093/beheco/arn125</v>
      </c>
      <c r="BG21" s="1" t="s">
        <v>74</v>
      </c>
      <c r="BH21" s="1" t="s">
        <v>74</v>
      </c>
      <c r="BI21" s="1" t="s">
        <v>74</v>
      </c>
      <c r="BJ21" s="1" t="s">
        <v>74</v>
      </c>
      <c r="BK21" s="1" t="s">
        <v>74</v>
      </c>
      <c r="BL21" s="1" t="s">
        <v>74</v>
      </c>
      <c r="BM21" s="1" t="s">
        <v>74</v>
      </c>
      <c r="BN21" s="1" t="s">
        <v>74</v>
      </c>
      <c r="BO21" s="1" t="s">
        <v>74</v>
      </c>
      <c r="BP21" s="1" t="s">
        <v>74</v>
      </c>
      <c r="BQ21" s="1" t="s">
        <v>74</v>
      </c>
      <c r="BR21" s="1" t="s">
        <v>74</v>
      </c>
      <c r="BS21" s="1" t="s">
        <v>1477</v>
      </c>
      <c r="BT21" s="1" t="str">
        <f>HYPERLINK("https%3A%2F%2Fwww.webofscience.com%2Fwos%2Fwoscc%2Ffull-record%2FWOS:000262152300018","View Full Record in Web of Science")</f>
        <v>View Full Record in Web of Science</v>
      </c>
    </row>
    <row r="22" spans="1:72" s="2" customFormat="1" x14ac:dyDescent="0.4">
      <c r="A22" s="1" t="s">
        <v>72</v>
      </c>
      <c r="B22" s="1" t="s">
        <v>1360</v>
      </c>
      <c r="C22" s="1" t="s">
        <v>74</v>
      </c>
      <c r="D22" s="1" t="s">
        <v>74</v>
      </c>
      <c r="E22" s="1" t="s">
        <v>74</v>
      </c>
      <c r="F22" s="1" t="s">
        <v>1361</v>
      </c>
      <c r="G22" s="1" t="s">
        <v>74</v>
      </c>
      <c r="H22" s="1" t="s">
        <v>74</v>
      </c>
      <c r="I22" s="1" t="s">
        <v>1362</v>
      </c>
      <c r="J22" s="1" t="s">
        <v>333</v>
      </c>
      <c r="K22" s="1" t="s">
        <v>74</v>
      </c>
      <c r="L22" s="1" t="s">
        <v>74</v>
      </c>
      <c r="M22" s="1" t="s">
        <v>74</v>
      </c>
      <c r="N22" s="1" t="s">
        <v>74</v>
      </c>
      <c r="O22" s="1" t="s">
        <v>74</v>
      </c>
      <c r="P22" s="1" t="s">
        <v>74</v>
      </c>
      <c r="Q22" s="1" t="s">
        <v>74</v>
      </c>
      <c r="R22" s="1" t="s">
        <v>74</v>
      </c>
      <c r="S22" s="1" t="s">
        <v>74</v>
      </c>
      <c r="T22" s="1" t="s">
        <v>74</v>
      </c>
      <c r="U22" s="1" t="s">
        <v>74</v>
      </c>
      <c r="V22" s="4" t="s">
        <v>1363</v>
      </c>
      <c r="W22" s="1" t="s">
        <v>74</v>
      </c>
      <c r="X22" s="1" t="s">
        <v>74</v>
      </c>
      <c r="Y22" s="1" t="s">
        <v>74</v>
      </c>
      <c r="Z22" s="1" t="s">
        <v>74</v>
      </c>
      <c r="AA22" s="1" t="s">
        <v>484</v>
      </c>
      <c r="AB22" s="1" t="s">
        <v>485</v>
      </c>
      <c r="AC22" s="1" t="s">
        <v>74</v>
      </c>
      <c r="AD22" s="1" t="s">
        <v>74</v>
      </c>
      <c r="AE22" s="1" t="s">
        <v>74</v>
      </c>
      <c r="AF22" s="1" t="s">
        <v>74</v>
      </c>
      <c r="AG22" s="1" t="s">
        <v>74</v>
      </c>
      <c r="AH22" s="1" t="s">
        <v>74</v>
      </c>
      <c r="AI22" s="1" t="s">
        <v>74</v>
      </c>
      <c r="AJ22" s="1" t="s">
        <v>74</v>
      </c>
      <c r="AK22" s="1" t="s">
        <v>74</v>
      </c>
      <c r="AL22" s="1" t="s">
        <v>74</v>
      </c>
      <c r="AM22" s="1" t="s">
        <v>74</v>
      </c>
      <c r="AN22" s="1" t="s">
        <v>74</v>
      </c>
      <c r="AO22" s="1" t="s">
        <v>337</v>
      </c>
      <c r="AP22" s="1" t="s">
        <v>338</v>
      </c>
      <c r="AQ22" s="1" t="s">
        <v>74</v>
      </c>
      <c r="AR22" s="1" t="s">
        <v>74</v>
      </c>
      <c r="AS22" s="1" t="s">
        <v>74</v>
      </c>
      <c r="AT22" s="1" t="s">
        <v>808</v>
      </c>
      <c r="AU22" s="1">
        <v>2009</v>
      </c>
      <c r="AV22" s="1">
        <v>20</v>
      </c>
      <c r="AW22" s="1">
        <v>3</v>
      </c>
      <c r="AX22" s="1" t="s">
        <v>74</v>
      </c>
      <c r="AY22" s="1" t="s">
        <v>74</v>
      </c>
      <c r="AZ22" s="1" t="s">
        <v>74</v>
      </c>
      <c r="BA22" s="1" t="s">
        <v>74</v>
      </c>
      <c r="BB22" s="1">
        <v>593</v>
      </c>
      <c r="BC22" s="1">
        <v>600</v>
      </c>
      <c r="BD22" s="1" t="s">
        <v>74</v>
      </c>
      <c r="BE22" s="1" t="s">
        <v>1364</v>
      </c>
      <c r="BF22" s="1" t="str">
        <f>HYPERLINK("http://dx.doi.org/10.1093/beheco/arp036","http://dx.doi.org/10.1093/beheco/arp036")</f>
        <v>http://dx.doi.org/10.1093/beheco/arp036</v>
      </c>
      <c r="BG22" s="1" t="s">
        <v>74</v>
      </c>
      <c r="BH22" s="1" t="s">
        <v>74</v>
      </c>
      <c r="BI22" s="1" t="s">
        <v>74</v>
      </c>
      <c r="BJ22" s="1" t="s">
        <v>74</v>
      </c>
      <c r="BK22" s="1" t="s">
        <v>74</v>
      </c>
      <c r="BL22" s="1" t="s">
        <v>74</v>
      </c>
      <c r="BM22" s="1" t="s">
        <v>74</v>
      </c>
      <c r="BN22" s="1" t="s">
        <v>74</v>
      </c>
      <c r="BO22" s="1" t="s">
        <v>74</v>
      </c>
      <c r="BP22" s="1" t="s">
        <v>74</v>
      </c>
      <c r="BQ22" s="1" t="s">
        <v>74</v>
      </c>
      <c r="BR22" s="1" t="s">
        <v>74</v>
      </c>
      <c r="BS22" s="1" t="s">
        <v>1365</v>
      </c>
      <c r="BT22" s="1" t="str">
        <f>HYPERLINK("https%3A%2F%2Fwww.webofscience.com%2Fwos%2Fwoscc%2Ffull-record%2FWOS:000265950200018","View Full Record in Web of Science")</f>
        <v>View Full Record in Web of Science</v>
      </c>
    </row>
    <row r="23" spans="1:72" s="2" customFormat="1" x14ac:dyDescent="0.4">
      <c r="A23" s="1" t="s">
        <v>72</v>
      </c>
      <c r="B23" s="1" t="s">
        <v>8064</v>
      </c>
      <c r="C23" s="1" t="s">
        <v>74</v>
      </c>
      <c r="D23" s="1" t="s">
        <v>74</v>
      </c>
      <c r="E23" s="1" t="s">
        <v>74</v>
      </c>
      <c r="F23" s="1" t="s">
        <v>8065</v>
      </c>
      <c r="G23" s="1" t="s">
        <v>74</v>
      </c>
      <c r="H23" s="1" t="s">
        <v>74</v>
      </c>
      <c r="I23" s="1" t="s">
        <v>8066</v>
      </c>
      <c r="J23" s="1" t="s">
        <v>8067</v>
      </c>
      <c r="K23" s="1" t="s">
        <v>74</v>
      </c>
      <c r="L23" s="1" t="s">
        <v>74</v>
      </c>
      <c r="M23" s="1" t="s">
        <v>74</v>
      </c>
      <c r="N23" s="1" t="s">
        <v>74</v>
      </c>
      <c r="O23" s="1" t="s">
        <v>74</v>
      </c>
      <c r="P23" s="1" t="s">
        <v>74</v>
      </c>
      <c r="Q23" s="1" t="s">
        <v>74</v>
      </c>
      <c r="R23" s="1" t="s">
        <v>74</v>
      </c>
      <c r="S23" s="1" t="s">
        <v>74</v>
      </c>
      <c r="T23" s="1" t="s">
        <v>74</v>
      </c>
      <c r="U23" s="1" t="s">
        <v>74</v>
      </c>
      <c r="V23" s="4" t="s">
        <v>8068</v>
      </c>
      <c r="W23" s="1" t="s">
        <v>74</v>
      </c>
      <c r="X23" s="1" t="s">
        <v>74</v>
      </c>
      <c r="Y23" s="1" t="s">
        <v>74</v>
      </c>
      <c r="Z23" s="1" t="s">
        <v>74</v>
      </c>
      <c r="AA23" s="1" t="s">
        <v>8069</v>
      </c>
      <c r="AB23" s="1" t="s">
        <v>8070</v>
      </c>
      <c r="AC23" s="1" t="s">
        <v>74</v>
      </c>
      <c r="AD23" s="1" t="s">
        <v>74</v>
      </c>
      <c r="AE23" s="1" t="s">
        <v>74</v>
      </c>
      <c r="AF23" s="1" t="s">
        <v>74</v>
      </c>
      <c r="AG23" s="1" t="s">
        <v>74</v>
      </c>
      <c r="AH23" s="1" t="s">
        <v>74</v>
      </c>
      <c r="AI23" s="1" t="s">
        <v>74</v>
      </c>
      <c r="AJ23" s="1" t="s">
        <v>74</v>
      </c>
      <c r="AK23" s="1" t="s">
        <v>74</v>
      </c>
      <c r="AL23" s="1" t="s">
        <v>74</v>
      </c>
      <c r="AM23" s="1" t="s">
        <v>74</v>
      </c>
      <c r="AN23" s="1" t="s">
        <v>74</v>
      </c>
      <c r="AO23" s="1" t="s">
        <v>8071</v>
      </c>
      <c r="AP23" s="1" t="s">
        <v>8072</v>
      </c>
      <c r="AQ23" s="1" t="s">
        <v>74</v>
      </c>
      <c r="AR23" s="1" t="s">
        <v>74</v>
      </c>
      <c r="AS23" s="1" t="s">
        <v>74</v>
      </c>
      <c r="AT23" s="1" t="s">
        <v>769</v>
      </c>
      <c r="AU23" s="1">
        <v>2019</v>
      </c>
      <c r="AV23" s="1">
        <v>236</v>
      </c>
      <c r="AW23" s="1">
        <v>1</v>
      </c>
      <c r="AX23" s="1" t="s">
        <v>74</v>
      </c>
      <c r="AY23" s="1" t="s">
        <v>74</v>
      </c>
      <c r="AZ23" s="1" t="s">
        <v>74</v>
      </c>
      <c r="BA23" s="1" t="s">
        <v>74</v>
      </c>
      <c r="BB23" s="1">
        <v>43</v>
      </c>
      <c r="BC23" s="1">
        <v>54</v>
      </c>
      <c r="BD23" s="1" t="s">
        <v>74</v>
      </c>
      <c r="BE23" s="1" t="s">
        <v>8073</v>
      </c>
      <c r="BF23" s="1" t="str">
        <f>HYPERLINK("http://dx.doi.org/10.1086/700836","http://dx.doi.org/10.1086/700836")</f>
        <v>http://dx.doi.org/10.1086/700836</v>
      </c>
      <c r="BG23" s="1" t="s">
        <v>74</v>
      </c>
      <c r="BH23" s="1" t="s">
        <v>74</v>
      </c>
      <c r="BI23" s="1" t="s">
        <v>74</v>
      </c>
      <c r="BJ23" s="1" t="s">
        <v>74</v>
      </c>
      <c r="BK23" s="1" t="s">
        <v>74</v>
      </c>
      <c r="BL23" s="1" t="s">
        <v>74</v>
      </c>
      <c r="BM23" s="1" t="s">
        <v>74</v>
      </c>
      <c r="BN23" s="1">
        <v>30707606</v>
      </c>
      <c r="BO23" s="1" t="s">
        <v>74</v>
      </c>
      <c r="BP23" s="1" t="s">
        <v>74</v>
      </c>
      <c r="BQ23" s="1" t="s">
        <v>74</v>
      </c>
      <c r="BR23" s="1" t="s">
        <v>74</v>
      </c>
      <c r="BS23" s="1" t="s">
        <v>8074</v>
      </c>
      <c r="BT23" s="1" t="str">
        <f>HYPERLINK("https%3A%2F%2Fwww.webofscience.com%2Fwos%2Fwoscc%2Ffull-record%2FWOS:000457792100004","View Full Record in Web of Science")</f>
        <v>View Full Record in Web of Science</v>
      </c>
    </row>
    <row r="24" spans="1:72" s="2" customFormat="1" x14ac:dyDescent="0.4">
      <c r="A24" s="1" t="s">
        <v>72</v>
      </c>
      <c r="B24" s="1" t="s">
        <v>3298</v>
      </c>
      <c r="C24" s="1" t="s">
        <v>74</v>
      </c>
      <c r="D24" s="1" t="s">
        <v>74</v>
      </c>
      <c r="E24" s="1" t="s">
        <v>74</v>
      </c>
      <c r="F24" s="1" t="s">
        <v>3298</v>
      </c>
      <c r="G24" s="1" t="s">
        <v>74</v>
      </c>
      <c r="H24" s="1" t="s">
        <v>74</v>
      </c>
      <c r="I24" s="1" t="s">
        <v>3299</v>
      </c>
      <c r="J24" s="1" t="s">
        <v>1244</v>
      </c>
      <c r="K24" s="1" t="s">
        <v>74</v>
      </c>
      <c r="L24" s="1" t="s">
        <v>74</v>
      </c>
      <c r="M24" s="1" t="s">
        <v>74</v>
      </c>
      <c r="N24" s="1" t="s">
        <v>74</v>
      </c>
      <c r="O24" s="1" t="s">
        <v>74</v>
      </c>
      <c r="P24" s="1" t="s">
        <v>74</v>
      </c>
      <c r="Q24" s="1" t="s">
        <v>74</v>
      </c>
      <c r="R24" s="1" t="s">
        <v>74</v>
      </c>
      <c r="S24" s="1" t="s">
        <v>74</v>
      </c>
      <c r="T24" s="1" t="s">
        <v>74</v>
      </c>
      <c r="U24" s="1" t="s">
        <v>74</v>
      </c>
      <c r="V24" s="4" t="s">
        <v>3300</v>
      </c>
      <c r="W24" s="1" t="s">
        <v>74</v>
      </c>
      <c r="X24" s="1" t="s">
        <v>74</v>
      </c>
      <c r="Y24" s="1" t="s">
        <v>74</v>
      </c>
      <c r="Z24" s="1" t="s">
        <v>74</v>
      </c>
      <c r="AA24" s="1" t="s">
        <v>3301</v>
      </c>
      <c r="AB24" s="1" t="s">
        <v>74</v>
      </c>
      <c r="AC24" s="1" t="s">
        <v>74</v>
      </c>
      <c r="AD24" s="1" t="s">
        <v>74</v>
      </c>
      <c r="AE24" s="1" t="s">
        <v>74</v>
      </c>
      <c r="AF24" s="1" t="s">
        <v>74</v>
      </c>
      <c r="AG24" s="1" t="s">
        <v>74</v>
      </c>
      <c r="AH24" s="1" t="s">
        <v>74</v>
      </c>
      <c r="AI24" s="1" t="s">
        <v>74</v>
      </c>
      <c r="AJ24" s="1" t="s">
        <v>74</v>
      </c>
      <c r="AK24" s="1" t="s">
        <v>74</v>
      </c>
      <c r="AL24" s="1" t="s">
        <v>74</v>
      </c>
      <c r="AM24" s="1" t="s">
        <v>74</v>
      </c>
      <c r="AN24" s="1" t="s">
        <v>74</v>
      </c>
      <c r="AO24" s="1" t="s">
        <v>1246</v>
      </c>
      <c r="AP24" s="1" t="s">
        <v>74</v>
      </c>
      <c r="AQ24" s="1" t="s">
        <v>74</v>
      </c>
      <c r="AR24" s="1" t="s">
        <v>74</v>
      </c>
      <c r="AS24" s="1" t="s">
        <v>74</v>
      </c>
      <c r="AT24" s="1" t="s">
        <v>3302</v>
      </c>
      <c r="AU24" s="1">
        <v>2006</v>
      </c>
      <c r="AV24" s="1">
        <v>35</v>
      </c>
      <c r="AW24" s="1">
        <v>1</v>
      </c>
      <c r="AX24" s="1" t="s">
        <v>74</v>
      </c>
      <c r="AY24" s="1" t="s">
        <v>74</v>
      </c>
      <c r="AZ24" s="1" t="s">
        <v>74</v>
      </c>
      <c r="BA24" s="1" t="s">
        <v>74</v>
      </c>
      <c r="BB24" s="1">
        <v>15</v>
      </c>
      <c r="BC24" s="1">
        <v>22</v>
      </c>
      <c r="BD24" s="1" t="s">
        <v>74</v>
      </c>
      <c r="BE24" s="1" t="s">
        <v>74</v>
      </c>
      <c r="BF24" s="1" t="s">
        <v>74</v>
      </c>
      <c r="BG24" s="1" t="s">
        <v>74</v>
      </c>
      <c r="BH24" s="1" t="s">
        <v>74</v>
      </c>
      <c r="BI24" s="1" t="s">
        <v>74</v>
      </c>
      <c r="BJ24" s="1" t="s">
        <v>74</v>
      </c>
      <c r="BK24" s="1" t="s">
        <v>74</v>
      </c>
      <c r="BL24" s="1" t="s">
        <v>74</v>
      </c>
      <c r="BM24" s="1" t="s">
        <v>74</v>
      </c>
      <c r="BN24" s="1" t="s">
        <v>74</v>
      </c>
      <c r="BO24" s="1" t="s">
        <v>74</v>
      </c>
      <c r="BP24" s="1" t="s">
        <v>74</v>
      </c>
      <c r="BQ24" s="1" t="s">
        <v>74</v>
      </c>
      <c r="BR24" s="1" t="s">
        <v>74</v>
      </c>
      <c r="BS24" s="1" t="s">
        <v>3303</v>
      </c>
      <c r="BT24" s="1" t="str">
        <f>HYPERLINK("https%3A%2F%2Fwww.webofscience.com%2Fwos%2Fwoscc%2Ffull-record%2FWOS:000235795700002","View Full Record in Web of Science")</f>
        <v>View Full Record in Web of Science</v>
      </c>
    </row>
    <row r="25" spans="1:72" s="2" customFormat="1" x14ac:dyDescent="0.4">
      <c r="A25" s="1" t="s">
        <v>72</v>
      </c>
      <c r="B25" s="1" t="s">
        <v>2342</v>
      </c>
      <c r="C25" s="1" t="s">
        <v>74</v>
      </c>
      <c r="D25" s="1" t="s">
        <v>74</v>
      </c>
      <c r="E25" s="1" t="s">
        <v>74</v>
      </c>
      <c r="F25" s="1" t="s">
        <v>2342</v>
      </c>
      <c r="G25" s="1" t="s">
        <v>74</v>
      </c>
      <c r="H25" s="1" t="s">
        <v>74</v>
      </c>
      <c r="I25" s="1" t="s">
        <v>2343</v>
      </c>
      <c r="J25" s="1" t="s">
        <v>108</v>
      </c>
      <c r="K25" s="1" t="s">
        <v>74</v>
      </c>
      <c r="L25" s="1" t="s">
        <v>74</v>
      </c>
      <c r="M25" s="1" t="s">
        <v>74</v>
      </c>
      <c r="N25" s="1" t="s">
        <v>74</v>
      </c>
      <c r="O25" s="1" t="s">
        <v>74</v>
      </c>
      <c r="P25" s="1" t="s">
        <v>74</v>
      </c>
      <c r="Q25" s="1" t="s">
        <v>74</v>
      </c>
      <c r="R25" s="1" t="s">
        <v>74</v>
      </c>
      <c r="S25" s="1" t="s">
        <v>74</v>
      </c>
      <c r="T25" s="1" t="s">
        <v>74</v>
      </c>
      <c r="U25" s="1" t="s">
        <v>74</v>
      </c>
      <c r="V25" s="4" t="s">
        <v>2344</v>
      </c>
      <c r="W25" s="1" t="s">
        <v>74</v>
      </c>
      <c r="X25" s="1" t="s">
        <v>74</v>
      </c>
      <c r="Y25" s="1" t="s">
        <v>74</v>
      </c>
      <c r="Z25" s="1" t="s">
        <v>74</v>
      </c>
      <c r="AA25" s="1" t="s">
        <v>74</v>
      </c>
      <c r="AB25" s="1" t="s">
        <v>74</v>
      </c>
      <c r="AC25" s="1" t="s">
        <v>74</v>
      </c>
      <c r="AD25" s="1" t="s">
        <v>74</v>
      </c>
      <c r="AE25" s="1" t="s">
        <v>74</v>
      </c>
      <c r="AF25" s="1" t="s">
        <v>74</v>
      </c>
      <c r="AG25" s="1" t="s">
        <v>74</v>
      </c>
      <c r="AH25" s="1" t="s">
        <v>74</v>
      </c>
      <c r="AI25" s="1" t="s">
        <v>74</v>
      </c>
      <c r="AJ25" s="1" t="s">
        <v>74</v>
      </c>
      <c r="AK25" s="1" t="s">
        <v>74</v>
      </c>
      <c r="AL25" s="1" t="s">
        <v>74</v>
      </c>
      <c r="AM25" s="1" t="s">
        <v>74</v>
      </c>
      <c r="AN25" s="1" t="s">
        <v>74</v>
      </c>
      <c r="AO25" s="1" t="s">
        <v>111</v>
      </c>
      <c r="AP25" s="1" t="s">
        <v>112</v>
      </c>
      <c r="AQ25" s="1" t="s">
        <v>74</v>
      </c>
      <c r="AR25" s="1" t="s">
        <v>74</v>
      </c>
      <c r="AS25" s="1" t="s">
        <v>74</v>
      </c>
      <c r="AT25" s="1" t="s">
        <v>2345</v>
      </c>
      <c r="AU25" s="1">
        <v>2003</v>
      </c>
      <c r="AV25" s="1">
        <v>270</v>
      </c>
      <c r="AW25" s="1">
        <v>1519</v>
      </c>
      <c r="AX25" s="1" t="s">
        <v>74</v>
      </c>
      <c r="AY25" s="1" t="s">
        <v>74</v>
      </c>
      <c r="AZ25" s="1" t="s">
        <v>74</v>
      </c>
      <c r="BA25" s="1" t="s">
        <v>74</v>
      </c>
      <c r="BB25" s="1">
        <v>1033</v>
      </c>
      <c r="BC25" s="1">
        <v>1040</v>
      </c>
      <c r="BD25" s="1" t="s">
        <v>74</v>
      </c>
      <c r="BE25" s="1" t="s">
        <v>2346</v>
      </c>
      <c r="BF25" s="1" t="str">
        <f>HYPERLINK("http://dx.doi.org/10.1098/rspb.2003.2348","http://dx.doi.org/10.1098/rspb.2003.2348")</f>
        <v>http://dx.doi.org/10.1098/rspb.2003.2348</v>
      </c>
      <c r="BG25" s="1" t="s">
        <v>74</v>
      </c>
      <c r="BH25" s="1" t="s">
        <v>74</v>
      </c>
      <c r="BI25" s="1" t="s">
        <v>74</v>
      </c>
      <c r="BJ25" s="1" t="s">
        <v>74</v>
      </c>
      <c r="BK25" s="1" t="s">
        <v>74</v>
      </c>
      <c r="BL25" s="1" t="s">
        <v>74</v>
      </c>
      <c r="BM25" s="1" t="s">
        <v>74</v>
      </c>
      <c r="BN25" s="1">
        <v>12803892</v>
      </c>
      <c r="BO25" s="1" t="s">
        <v>74</v>
      </c>
      <c r="BP25" s="1" t="s">
        <v>74</v>
      </c>
      <c r="BQ25" s="1" t="s">
        <v>74</v>
      </c>
      <c r="BR25" s="1" t="s">
        <v>74</v>
      </c>
      <c r="BS25" s="1" t="s">
        <v>2347</v>
      </c>
      <c r="BT25" s="1" t="str">
        <f>HYPERLINK("https%3A%2F%2Fwww.webofscience.com%2Fwos%2Fwoscc%2Ffull-record%2FWOS:000182969100005","View Full Record in Web of Science")</f>
        <v>View Full Record in Web of Science</v>
      </c>
    </row>
    <row r="26" spans="1:72" s="2" customFormat="1" x14ac:dyDescent="0.4">
      <c r="A26" s="1" t="s">
        <v>72</v>
      </c>
      <c r="B26" s="1" t="s">
        <v>3689</v>
      </c>
      <c r="C26" s="1" t="s">
        <v>74</v>
      </c>
      <c r="D26" s="1" t="s">
        <v>74</v>
      </c>
      <c r="E26" s="1" t="s">
        <v>74</v>
      </c>
      <c r="F26" s="1" t="s">
        <v>3690</v>
      </c>
      <c r="G26" s="1" t="s">
        <v>74</v>
      </c>
      <c r="H26" s="1" t="s">
        <v>74</v>
      </c>
      <c r="I26" s="1" t="s">
        <v>3691</v>
      </c>
      <c r="J26" s="1" t="s">
        <v>140</v>
      </c>
      <c r="K26" s="1" t="s">
        <v>74</v>
      </c>
      <c r="L26" s="1" t="s">
        <v>74</v>
      </c>
      <c r="M26" s="1" t="s">
        <v>74</v>
      </c>
      <c r="N26" s="1" t="s">
        <v>74</v>
      </c>
      <c r="O26" s="1" t="s">
        <v>74</v>
      </c>
      <c r="P26" s="1" t="s">
        <v>74</v>
      </c>
      <c r="Q26" s="1" t="s">
        <v>74</v>
      </c>
      <c r="R26" s="1" t="s">
        <v>74</v>
      </c>
      <c r="S26" s="1" t="s">
        <v>74</v>
      </c>
      <c r="T26" s="1" t="s">
        <v>74</v>
      </c>
      <c r="U26" s="1" t="s">
        <v>74</v>
      </c>
      <c r="V26" s="4" t="s">
        <v>3692</v>
      </c>
      <c r="W26" s="1" t="s">
        <v>74</v>
      </c>
      <c r="X26" s="1" t="s">
        <v>74</v>
      </c>
      <c r="Y26" s="1" t="s">
        <v>74</v>
      </c>
      <c r="Z26" s="1" t="s">
        <v>74</v>
      </c>
      <c r="AA26" s="1" t="s">
        <v>3693</v>
      </c>
      <c r="AB26" s="1" t="s">
        <v>3694</v>
      </c>
      <c r="AC26" s="1" t="s">
        <v>74</v>
      </c>
      <c r="AD26" s="1" t="s">
        <v>74</v>
      </c>
      <c r="AE26" s="1" t="s">
        <v>74</v>
      </c>
      <c r="AF26" s="1" t="s">
        <v>74</v>
      </c>
      <c r="AG26" s="1" t="s">
        <v>74</v>
      </c>
      <c r="AH26" s="1" t="s">
        <v>74</v>
      </c>
      <c r="AI26" s="1" t="s">
        <v>74</v>
      </c>
      <c r="AJ26" s="1" t="s">
        <v>74</v>
      </c>
      <c r="AK26" s="1" t="s">
        <v>74</v>
      </c>
      <c r="AL26" s="1" t="s">
        <v>74</v>
      </c>
      <c r="AM26" s="1" t="s">
        <v>74</v>
      </c>
      <c r="AN26" s="1" t="s">
        <v>74</v>
      </c>
      <c r="AO26" s="1" t="s">
        <v>143</v>
      </c>
      <c r="AP26" s="1" t="s">
        <v>144</v>
      </c>
      <c r="AQ26" s="1" t="s">
        <v>74</v>
      </c>
      <c r="AR26" s="1" t="s">
        <v>74</v>
      </c>
      <c r="AS26" s="1" t="s">
        <v>74</v>
      </c>
      <c r="AT26" s="1" t="s">
        <v>204</v>
      </c>
      <c r="AU26" s="1">
        <v>2014</v>
      </c>
      <c r="AV26" s="1">
        <v>93</v>
      </c>
      <c r="AW26" s="1" t="s">
        <v>74</v>
      </c>
      <c r="AX26" s="1" t="s">
        <v>74</v>
      </c>
      <c r="AY26" s="1" t="s">
        <v>74</v>
      </c>
      <c r="AZ26" s="1" t="s">
        <v>74</v>
      </c>
      <c r="BA26" s="1" t="s">
        <v>74</v>
      </c>
      <c r="BB26" s="1">
        <v>207</v>
      </c>
      <c r="BC26" s="1">
        <v>219</v>
      </c>
      <c r="BD26" s="1" t="s">
        <v>74</v>
      </c>
      <c r="BE26" s="1" t="s">
        <v>3695</v>
      </c>
      <c r="BF26" s="1" t="str">
        <f>HYPERLINK("http://dx.doi.org/10.1016/j.anbehav.2014.04.015","http://dx.doi.org/10.1016/j.anbehav.2014.04.015")</f>
        <v>http://dx.doi.org/10.1016/j.anbehav.2014.04.015</v>
      </c>
      <c r="BG26" s="1" t="s">
        <v>74</v>
      </c>
      <c r="BH26" s="1" t="s">
        <v>74</v>
      </c>
      <c r="BI26" s="1" t="s">
        <v>74</v>
      </c>
      <c r="BJ26" s="1" t="s">
        <v>74</v>
      </c>
      <c r="BK26" s="1" t="s">
        <v>74</v>
      </c>
      <c r="BL26" s="1" t="s">
        <v>74</v>
      </c>
      <c r="BM26" s="1" t="s">
        <v>74</v>
      </c>
      <c r="BN26" s="1">
        <v>25045171</v>
      </c>
      <c r="BO26" s="1" t="s">
        <v>74</v>
      </c>
      <c r="BP26" s="1" t="s">
        <v>74</v>
      </c>
      <c r="BQ26" s="1" t="s">
        <v>74</v>
      </c>
      <c r="BR26" s="1" t="s">
        <v>74</v>
      </c>
      <c r="BS26" s="1" t="s">
        <v>3696</v>
      </c>
      <c r="BT26" s="1" t="str">
        <f>HYPERLINK("https%3A%2F%2Fwww.webofscience.com%2Fwos%2Fwoscc%2Ffull-record%2FWOS:000338712900026","View Full Record in Web of Science")</f>
        <v>View Full Record in Web of Science</v>
      </c>
    </row>
    <row r="27" spans="1:72" s="2" customFormat="1" x14ac:dyDescent="0.4">
      <c r="A27" s="1" t="s">
        <v>72</v>
      </c>
      <c r="B27" s="1" t="s">
        <v>4844</v>
      </c>
      <c r="C27" s="1" t="s">
        <v>74</v>
      </c>
      <c r="D27" s="1" t="s">
        <v>74</v>
      </c>
      <c r="E27" s="1" t="s">
        <v>74</v>
      </c>
      <c r="F27" s="1" t="s">
        <v>4844</v>
      </c>
      <c r="G27" s="1" t="s">
        <v>74</v>
      </c>
      <c r="H27" s="1" t="s">
        <v>74</v>
      </c>
      <c r="I27" s="1" t="s">
        <v>4845</v>
      </c>
      <c r="J27" s="1" t="s">
        <v>140</v>
      </c>
      <c r="K27" s="1" t="s">
        <v>74</v>
      </c>
      <c r="L27" s="1" t="s">
        <v>74</v>
      </c>
      <c r="M27" s="1" t="s">
        <v>74</v>
      </c>
      <c r="N27" s="1" t="s">
        <v>74</v>
      </c>
      <c r="O27" s="1" t="s">
        <v>74</v>
      </c>
      <c r="P27" s="1" t="s">
        <v>74</v>
      </c>
      <c r="Q27" s="1" t="s">
        <v>74</v>
      </c>
      <c r="R27" s="1" t="s">
        <v>74</v>
      </c>
      <c r="S27" s="1" t="s">
        <v>74</v>
      </c>
      <c r="T27" s="1" t="s">
        <v>74</v>
      </c>
      <c r="U27" s="1" t="s">
        <v>74</v>
      </c>
      <c r="V27" s="4" t="s">
        <v>74</v>
      </c>
      <c r="W27" s="1" t="s">
        <v>74</v>
      </c>
      <c r="X27" s="1" t="s">
        <v>74</v>
      </c>
      <c r="Y27" s="1" t="s">
        <v>74</v>
      </c>
      <c r="Z27" s="1" t="s">
        <v>74</v>
      </c>
      <c r="AA27" s="1" t="s">
        <v>74</v>
      </c>
      <c r="AB27" s="1" t="s">
        <v>74</v>
      </c>
      <c r="AC27" s="1" t="s">
        <v>74</v>
      </c>
      <c r="AD27" s="1" t="s">
        <v>74</v>
      </c>
      <c r="AE27" s="1" t="s">
        <v>74</v>
      </c>
      <c r="AF27" s="1" t="s">
        <v>74</v>
      </c>
      <c r="AG27" s="1" t="s">
        <v>74</v>
      </c>
      <c r="AH27" s="1" t="s">
        <v>74</v>
      </c>
      <c r="AI27" s="1" t="s">
        <v>74</v>
      </c>
      <c r="AJ27" s="1" t="s">
        <v>74</v>
      </c>
      <c r="AK27" s="1" t="s">
        <v>74</v>
      </c>
      <c r="AL27" s="1" t="s">
        <v>74</v>
      </c>
      <c r="AM27" s="1" t="s">
        <v>74</v>
      </c>
      <c r="AN27" s="1" t="s">
        <v>74</v>
      </c>
      <c r="AO27" s="1" t="s">
        <v>143</v>
      </c>
      <c r="AP27" s="1" t="s">
        <v>144</v>
      </c>
      <c r="AQ27" s="1" t="s">
        <v>74</v>
      </c>
      <c r="AR27" s="1" t="s">
        <v>74</v>
      </c>
      <c r="AS27" s="1" t="s">
        <v>74</v>
      </c>
      <c r="AT27" s="1" t="s">
        <v>123</v>
      </c>
      <c r="AU27" s="1">
        <v>1993</v>
      </c>
      <c r="AV27" s="1">
        <v>45</v>
      </c>
      <c r="AW27" s="1">
        <v>3</v>
      </c>
      <c r="AX27" s="1" t="s">
        <v>74</v>
      </c>
      <c r="AY27" s="1" t="s">
        <v>74</v>
      </c>
      <c r="AZ27" s="1" t="s">
        <v>74</v>
      </c>
      <c r="BA27" s="1" t="s">
        <v>74</v>
      </c>
      <c r="BB27" s="1">
        <v>511</v>
      </c>
      <c r="BC27" s="1">
        <v>518</v>
      </c>
      <c r="BD27" s="1" t="s">
        <v>74</v>
      </c>
      <c r="BE27" s="1" t="s">
        <v>4846</v>
      </c>
      <c r="BF27" s="1" t="str">
        <f>HYPERLINK("http://dx.doi.org/10.1006/anbe.1993.1062","http://dx.doi.org/10.1006/anbe.1993.1062")</f>
        <v>http://dx.doi.org/10.1006/anbe.1993.1062</v>
      </c>
      <c r="BG27" s="1" t="s">
        <v>74</v>
      </c>
      <c r="BH27" s="1" t="s">
        <v>74</v>
      </c>
      <c r="BI27" s="1" t="s">
        <v>74</v>
      </c>
      <c r="BJ27" s="1" t="s">
        <v>74</v>
      </c>
      <c r="BK27" s="1" t="s">
        <v>74</v>
      </c>
      <c r="BL27" s="1" t="s">
        <v>74</v>
      </c>
      <c r="BM27" s="1" t="s">
        <v>74</v>
      </c>
      <c r="BN27" s="1" t="s">
        <v>74</v>
      </c>
      <c r="BO27" s="1" t="s">
        <v>74</v>
      </c>
      <c r="BP27" s="1" t="s">
        <v>74</v>
      </c>
      <c r="BQ27" s="1" t="s">
        <v>74</v>
      </c>
      <c r="BR27" s="1" t="s">
        <v>74</v>
      </c>
      <c r="BS27" s="1" t="s">
        <v>4847</v>
      </c>
      <c r="BT27" s="1" t="str">
        <f>HYPERLINK("https%3A%2F%2Fwww.webofscience.com%2Fwos%2Fwoscc%2Ffull-record%2FWOS:A1993KW24700009","View Full Record in Web of Science")</f>
        <v>View Full Record in Web of Science</v>
      </c>
    </row>
    <row r="28" spans="1:72" s="1" customFormat="1" x14ac:dyDescent="0.4">
      <c r="A28" s="1" t="s">
        <v>72</v>
      </c>
      <c r="B28" s="1" t="s">
        <v>5544</v>
      </c>
      <c r="C28" s="1" t="s">
        <v>74</v>
      </c>
      <c r="D28" s="1" t="s">
        <v>74</v>
      </c>
      <c r="E28" s="1" t="s">
        <v>74</v>
      </c>
      <c r="F28" s="1" t="s">
        <v>5544</v>
      </c>
      <c r="G28" s="1" t="s">
        <v>74</v>
      </c>
      <c r="H28" s="1" t="s">
        <v>74</v>
      </c>
      <c r="I28" s="1" t="s">
        <v>5545</v>
      </c>
      <c r="J28" s="1" t="s">
        <v>140</v>
      </c>
      <c r="K28" s="1" t="s">
        <v>74</v>
      </c>
      <c r="L28" s="1" t="s">
        <v>74</v>
      </c>
      <c r="M28" s="1" t="s">
        <v>74</v>
      </c>
      <c r="N28" s="1" t="s">
        <v>74</v>
      </c>
      <c r="O28" s="1" t="s">
        <v>74</v>
      </c>
      <c r="P28" s="1" t="s">
        <v>74</v>
      </c>
      <c r="Q28" s="1" t="s">
        <v>74</v>
      </c>
      <c r="R28" s="1" t="s">
        <v>74</v>
      </c>
      <c r="S28" s="1" t="s">
        <v>74</v>
      </c>
      <c r="T28" s="1" t="s">
        <v>74</v>
      </c>
      <c r="U28" s="1" t="s">
        <v>74</v>
      </c>
      <c r="V28" s="4" t="s">
        <v>5546</v>
      </c>
      <c r="W28" s="1" t="s">
        <v>74</v>
      </c>
      <c r="X28" s="1" t="s">
        <v>74</v>
      </c>
      <c r="Y28" s="1" t="s">
        <v>74</v>
      </c>
      <c r="Z28" s="1" t="s">
        <v>74</v>
      </c>
      <c r="AA28" s="1" t="s">
        <v>74</v>
      </c>
      <c r="AB28" s="1" t="s">
        <v>74</v>
      </c>
      <c r="AC28" s="1" t="s">
        <v>74</v>
      </c>
      <c r="AD28" s="1" t="s">
        <v>74</v>
      </c>
      <c r="AE28" s="1" t="s">
        <v>74</v>
      </c>
      <c r="AF28" s="1" t="s">
        <v>74</v>
      </c>
      <c r="AG28" s="1" t="s">
        <v>74</v>
      </c>
      <c r="AH28" s="1" t="s">
        <v>74</v>
      </c>
      <c r="AI28" s="1" t="s">
        <v>74</v>
      </c>
      <c r="AJ28" s="1" t="s">
        <v>74</v>
      </c>
      <c r="AK28" s="1" t="s">
        <v>74</v>
      </c>
      <c r="AL28" s="1" t="s">
        <v>74</v>
      </c>
      <c r="AM28" s="1" t="s">
        <v>74</v>
      </c>
      <c r="AN28" s="1" t="s">
        <v>74</v>
      </c>
      <c r="AO28" s="1" t="s">
        <v>143</v>
      </c>
      <c r="AP28" s="1" t="s">
        <v>144</v>
      </c>
      <c r="AQ28" s="1" t="s">
        <v>74</v>
      </c>
      <c r="AR28" s="1" t="s">
        <v>74</v>
      </c>
      <c r="AS28" s="1" t="s">
        <v>74</v>
      </c>
      <c r="AT28" s="1" t="s">
        <v>134</v>
      </c>
      <c r="AU28" s="1">
        <v>2004</v>
      </c>
      <c r="AV28" s="1">
        <v>67</v>
      </c>
      <c r="AW28" s="1" t="s">
        <v>74</v>
      </c>
      <c r="AX28" s="1">
        <v>5</v>
      </c>
      <c r="AY28" s="1" t="s">
        <v>74</v>
      </c>
      <c r="AZ28" s="1" t="s">
        <v>74</v>
      </c>
      <c r="BA28" s="1" t="s">
        <v>74</v>
      </c>
      <c r="BB28" s="1">
        <v>875</v>
      </c>
      <c r="BC28" s="1">
        <v>882</v>
      </c>
      <c r="BD28" s="1" t="s">
        <v>74</v>
      </c>
      <c r="BE28" s="1" t="s">
        <v>5547</v>
      </c>
      <c r="BF28" s="1" t="str">
        <f>HYPERLINK("http://dx.doi.org/10.1016/j.anbehav.2003.05.015","http://dx.doi.org/10.1016/j.anbehav.2003.05.015")</f>
        <v>http://dx.doi.org/10.1016/j.anbehav.2003.05.015</v>
      </c>
      <c r="BG28" s="1" t="s">
        <v>74</v>
      </c>
      <c r="BH28" s="1" t="s">
        <v>74</v>
      </c>
      <c r="BI28" s="1" t="s">
        <v>74</v>
      </c>
      <c r="BJ28" s="1" t="s">
        <v>74</v>
      </c>
      <c r="BK28" s="1" t="s">
        <v>74</v>
      </c>
      <c r="BL28" s="1" t="s">
        <v>74</v>
      </c>
      <c r="BM28" s="1" t="s">
        <v>74</v>
      </c>
      <c r="BN28" s="1" t="s">
        <v>74</v>
      </c>
      <c r="BO28" s="1" t="s">
        <v>74</v>
      </c>
      <c r="BP28" s="1" t="s">
        <v>74</v>
      </c>
      <c r="BQ28" s="1" t="s">
        <v>74</v>
      </c>
      <c r="BR28" s="1" t="s">
        <v>74</v>
      </c>
      <c r="BS28" s="1" t="s">
        <v>5548</v>
      </c>
      <c r="BT28" s="1" t="str">
        <f>HYPERLINK("https%3A%2F%2Fwww.webofscience.com%2Fwos%2Fwoscc%2Ffull-record%2FWOS:000221541600007","View Full Record in Web of Science")</f>
        <v>View Full Record in Web of Science</v>
      </c>
    </row>
    <row r="29" spans="1:72" s="2" customFormat="1" x14ac:dyDescent="0.4">
      <c r="A29" s="1" t="s">
        <v>72</v>
      </c>
      <c r="B29" s="1" t="s">
        <v>8663</v>
      </c>
      <c r="C29" s="1" t="s">
        <v>74</v>
      </c>
      <c r="D29" s="1" t="s">
        <v>74</v>
      </c>
      <c r="E29" s="1" t="s">
        <v>74</v>
      </c>
      <c r="F29" s="1" t="s">
        <v>8664</v>
      </c>
      <c r="G29" s="1" t="s">
        <v>74</v>
      </c>
      <c r="H29" s="1" t="s">
        <v>74</v>
      </c>
      <c r="I29" s="1" t="s">
        <v>8665</v>
      </c>
      <c r="J29" s="1" t="s">
        <v>8666</v>
      </c>
      <c r="K29" s="1" t="s">
        <v>74</v>
      </c>
      <c r="L29" s="1" t="s">
        <v>74</v>
      </c>
      <c r="M29" s="1" t="s">
        <v>74</v>
      </c>
      <c r="N29" s="1" t="s">
        <v>74</v>
      </c>
      <c r="O29" s="1" t="s">
        <v>74</v>
      </c>
      <c r="P29" s="1" t="s">
        <v>74</v>
      </c>
      <c r="Q29" s="1" t="s">
        <v>74</v>
      </c>
      <c r="R29" s="1" t="s">
        <v>74</v>
      </c>
      <c r="S29" s="1" t="s">
        <v>74</v>
      </c>
      <c r="T29" s="1" t="s">
        <v>74</v>
      </c>
      <c r="U29" s="1" t="s">
        <v>74</v>
      </c>
      <c r="V29" s="4" t="s">
        <v>8667</v>
      </c>
      <c r="W29" s="1" t="s">
        <v>74</v>
      </c>
      <c r="X29" s="1" t="s">
        <v>74</v>
      </c>
      <c r="Y29" s="1" t="s">
        <v>74</v>
      </c>
      <c r="Z29" s="1" t="s">
        <v>74</v>
      </c>
      <c r="AA29" s="1" t="s">
        <v>8668</v>
      </c>
      <c r="AB29" s="1" t="s">
        <v>8669</v>
      </c>
      <c r="AC29" s="1" t="s">
        <v>74</v>
      </c>
      <c r="AD29" s="1" t="s">
        <v>74</v>
      </c>
      <c r="AE29" s="1" t="s">
        <v>74</v>
      </c>
      <c r="AF29" s="1" t="s">
        <v>74</v>
      </c>
      <c r="AG29" s="1" t="s">
        <v>74</v>
      </c>
      <c r="AH29" s="1" t="s">
        <v>74</v>
      </c>
      <c r="AI29" s="1" t="s">
        <v>74</v>
      </c>
      <c r="AJ29" s="1" t="s">
        <v>74</v>
      </c>
      <c r="AK29" s="1" t="s">
        <v>74</v>
      </c>
      <c r="AL29" s="1" t="s">
        <v>74</v>
      </c>
      <c r="AM29" s="1" t="s">
        <v>74</v>
      </c>
      <c r="AN29" s="1" t="s">
        <v>74</v>
      </c>
      <c r="AO29" s="1" t="s">
        <v>8670</v>
      </c>
      <c r="AP29" s="1" t="s">
        <v>8671</v>
      </c>
      <c r="AQ29" s="1" t="s">
        <v>74</v>
      </c>
      <c r="AR29" s="1" t="s">
        <v>74</v>
      </c>
      <c r="AS29" s="1" t="s">
        <v>74</v>
      </c>
      <c r="AT29" s="1" t="s">
        <v>123</v>
      </c>
      <c r="AU29" s="1">
        <v>2011</v>
      </c>
      <c r="AV29" s="1">
        <v>41</v>
      </c>
      <c r="AW29" s="1">
        <v>2</v>
      </c>
      <c r="AX29" s="1" t="s">
        <v>74</v>
      </c>
      <c r="AY29" s="1" t="s">
        <v>74</v>
      </c>
      <c r="AZ29" s="1" t="s">
        <v>74</v>
      </c>
      <c r="BA29" s="1" t="s">
        <v>74</v>
      </c>
      <c r="BB29" s="1">
        <v>312</v>
      </c>
      <c r="BC29" s="1">
        <v>322</v>
      </c>
      <c r="BD29" s="1" t="s">
        <v>74</v>
      </c>
      <c r="BE29" s="1" t="s">
        <v>8672</v>
      </c>
      <c r="BF29" s="1" t="str">
        <f>HYPERLINK("http://dx.doi.org/10.1007/s10519-010-9379-4","http://dx.doi.org/10.1007/s10519-010-9379-4")</f>
        <v>http://dx.doi.org/10.1007/s10519-010-9379-4</v>
      </c>
      <c r="BG29" s="1" t="s">
        <v>74</v>
      </c>
      <c r="BH29" s="1" t="s">
        <v>74</v>
      </c>
      <c r="BI29" s="1" t="s">
        <v>74</v>
      </c>
      <c r="BJ29" s="1" t="s">
        <v>74</v>
      </c>
      <c r="BK29" s="1" t="s">
        <v>74</v>
      </c>
      <c r="BL29" s="1" t="s">
        <v>74</v>
      </c>
      <c r="BM29" s="1" t="s">
        <v>74</v>
      </c>
      <c r="BN29" s="1">
        <v>20623330</v>
      </c>
      <c r="BO29" s="1" t="s">
        <v>74</v>
      </c>
      <c r="BP29" s="1" t="s">
        <v>74</v>
      </c>
      <c r="BQ29" s="1" t="s">
        <v>74</v>
      </c>
      <c r="BR29" s="1" t="s">
        <v>74</v>
      </c>
      <c r="BS29" s="1" t="s">
        <v>8673</v>
      </c>
      <c r="BT29" s="1" t="str">
        <f>HYPERLINK("https%3A%2F%2Fwww.webofscience.com%2Fwos%2Fwoscc%2Ffull-record%2FWOS:000287749700015","View Full Record in Web of Science")</f>
        <v>View Full Record in Web of Science</v>
      </c>
    </row>
    <row r="30" spans="1:72" s="2" customFormat="1" x14ac:dyDescent="0.4">
      <c r="A30" s="1" t="s">
        <v>72</v>
      </c>
      <c r="B30" s="1" t="s">
        <v>1166</v>
      </c>
      <c r="C30" s="1" t="s">
        <v>74</v>
      </c>
      <c r="D30" s="1" t="s">
        <v>74</v>
      </c>
      <c r="E30" s="1" t="s">
        <v>74</v>
      </c>
      <c r="F30" s="1" t="s">
        <v>1167</v>
      </c>
      <c r="G30" s="1" t="s">
        <v>74</v>
      </c>
      <c r="H30" s="1" t="s">
        <v>74</v>
      </c>
      <c r="I30" s="1" t="s">
        <v>1168</v>
      </c>
      <c r="J30" s="1" t="s">
        <v>119</v>
      </c>
      <c r="K30" s="1" t="s">
        <v>74</v>
      </c>
      <c r="L30" s="1" t="s">
        <v>74</v>
      </c>
      <c r="M30" s="1" t="s">
        <v>74</v>
      </c>
      <c r="N30" s="1" t="s">
        <v>74</v>
      </c>
      <c r="O30" s="1" t="s">
        <v>74</v>
      </c>
      <c r="P30" s="1" t="s">
        <v>74</v>
      </c>
      <c r="Q30" s="1" t="s">
        <v>74</v>
      </c>
      <c r="R30" s="1" t="s">
        <v>74</v>
      </c>
      <c r="S30" s="1" t="s">
        <v>74</v>
      </c>
      <c r="T30" s="1" t="s">
        <v>74</v>
      </c>
      <c r="U30" s="1" t="s">
        <v>74</v>
      </c>
      <c r="V30" s="4" t="s">
        <v>1169</v>
      </c>
      <c r="W30" s="1" t="s">
        <v>74</v>
      </c>
      <c r="X30" s="1" t="s">
        <v>74</v>
      </c>
      <c r="Y30" s="1" t="s">
        <v>74</v>
      </c>
      <c r="Z30" s="1" t="s">
        <v>74</v>
      </c>
      <c r="AA30" s="1" t="s">
        <v>74</v>
      </c>
      <c r="AB30" s="1" t="s">
        <v>74</v>
      </c>
      <c r="AC30" s="1" t="s">
        <v>74</v>
      </c>
      <c r="AD30" s="1" t="s">
        <v>74</v>
      </c>
      <c r="AE30" s="1" t="s">
        <v>74</v>
      </c>
      <c r="AF30" s="1" t="s">
        <v>74</v>
      </c>
      <c r="AG30" s="1" t="s">
        <v>74</v>
      </c>
      <c r="AH30" s="1" t="s">
        <v>74</v>
      </c>
      <c r="AI30" s="1" t="s">
        <v>74</v>
      </c>
      <c r="AJ30" s="1" t="s">
        <v>74</v>
      </c>
      <c r="AK30" s="1" t="s">
        <v>74</v>
      </c>
      <c r="AL30" s="1" t="s">
        <v>74</v>
      </c>
      <c r="AM30" s="1" t="s">
        <v>74</v>
      </c>
      <c r="AN30" s="1" t="s">
        <v>74</v>
      </c>
      <c r="AO30" s="1" t="s">
        <v>121</v>
      </c>
      <c r="AP30" s="1" t="s">
        <v>122</v>
      </c>
      <c r="AQ30" s="1" t="s">
        <v>74</v>
      </c>
      <c r="AR30" s="1" t="s">
        <v>74</v>
      </c>
      <c r="AS30" s="1" t="s">
        <v>74</v>
      </c>
      <c r="AT30" s="1" t="s">
        <v>102</v>
      </c>
      <c r="AU30" s="1">
        <v>2010</v>
      </c>
      <c r="AV30" s="1">
        <v>84</v>
      </c>
      <c r="AW30" s="1">
        <v>2</v>
      </c>
      <c r="AX30" s="1" t="s">
        <v>74</v>
      </c>
      <c r="AY30" s="1" t="s">
        <v>74</v>
      </c>
      <c r="AZ30" s="1" t="s">
        <v>74</v>
      </c>
      <c r="BA30" s="1" t="s">
        <v>74</v>
      </c>
      <c r="BB30" s="1">
        <v>568</v>
      </c>
      <c r="BC30" s="1">
        <v>572</v>
      </c>
      <c r="BD30" s="1" t="s">
        <v>74</v>
      </c>
      <c r="BE30" s="1" t="s">
        <v>1170</v>
      </c>
      <c r="BF30" s="1" t="str">
        <f>HYPERLINK("http://dx.doi.org/10.1016/j.beproc.2010.02.012","http://dx.doi.org/10.1016/j.beproc.2010.02.012")</f>
        <v>http://dx.doi.org/10.1016/j.beproc.2010.02.012</v>
      </c>
      <c r="BG30" s="1" t="s">
        <v>74</v>
      </c>
      <c r="BH30" s="1" t="s">
        <v>74</v>
      </c>
      <c r="BI30" s="1" t="s">
        <v>74</v>
      </c>
      <c r="BJ30" s="1" t="s">
        <v>74</v>
      </c>
      <c r="BK30" s="1" t="s">
        <v>74</v>
      </c>
      <c r="BL30" s="1" t="s">
        <v>74</v>
      </c>
      <c r="BM30" s="1" t="s">
        <v>74</v>
      </c>
      <c r="BN30" s="1">
        <v>20176091</v>
      </c>
      <c r="BO30" s="1" t="s">
        <v>74</v>
      </c>
      <c r="BP30" s="1" t="s">
        <v>74</v>
      </c>
      <c r="BQ30" s="1" t="s">
        <v>74</v>
      </c>
      <c r="BR30" s="1" t="s">
        <v>74</v>
      </c>
      <c r="BS30" s="1" t="s">
        <v>1171</v>
      </c>
      <c r="BT30" s="1" t="str">
        <f>HYPERLINK("https%3A%2F%2Fwww.webofscience.com%2Fwos%2Fwoscc%2Ffull-record%2FWOS:000279096400004","View Full Record in Web of Science")</f>
        <v>View Full Record in Web of Science</v>
      </c>
    </row>
    <row r="31" spans="1:72" s="2" customFormat="1" x14ac:dyDescent="0.4">
      <c r="A31" s="1" t="s">
        <v>72</v>
      </c>
      <c r="B31" s="1" t="s">
        <v>3217</v>
      </c>
      <c r="C31" s="1" t="s">
        <v>74</v>
      </c>
      <c r="D31" s="1" t="s">
        <v>74</v>
      </c>
      <c r="E31" s="1" t="s">
        <v>74</v>
      </c>
      <c r="F31" s="1" t="s">
        <v>3218</v>
      </c>
      <c r="G31" s="1" t="s">
        <v>74</v>
      </c>
      <c r="H31" s="1" t="s">
        <v>74</v>
      </c>
      <c r="I31" s="1" t="s">
        <v>3219</v>
      </c>
      <c r="J31" s="1" t="s">
        <v>77</v>
      </c>
      <c r="K31" s="1" t="s">
        <v>74</v>
      </c>
      <c r="L31" s="1" t="s">
        <v>74</v>
      </c>
      <c r="M31" s="1" t="s">
        <v>74</v>
      </c>
      <c r="N31" s="1" t="s">
        <v>74</v>
      </c>
      <c r="O31" s="1" t="s">
        <v>74</v>
      </c>
      <c r="P31" s="1" t="s">
        <v>74</v>
      </c>
      <c r="Q31" s="1" t="s">
        <v>74</v>
      </c>
      <c r="R31" s="1" t="s">
        <v>74</v>
      </c>
      <c r="S31" s="1" t="s">
        <v>74</v>
      </c>
      <c r="T31" s="1" t="s">
        <v>74</v>
      </c>
      <c r="U31" s="1" t="s">
        <v>74</v>
      </c>
      <c r="V31" s="4" t="s">
        <v>3220</v>
      </c>
      <c r="W31" s="1" t="s">
        <v>74</v>
      </c>
      <c r="X31" s="1" t="s">
        <v>74</v>
      </c>
      <c r="Y31" s="1" t="s">
        <v>74</v>
      </c>
      <c r="Z31" s="1" t="s">
        <v>74</v>
      </c>
      <c r="AA31" s="1" t="s">
        <v>3221</v>
      </c>
      <c r="AB31" s="1" t="s">
        <v>3222</v>
      </c>
      <c r="AC31" s="1" t="s">
        <v>74</v>
      </c>
      <c r="AD31" s="1" t="s">
        <v>74</v>
      </c>
      <c r="AE31" s="1" t="s">
        <v>74</v>
      </c>
      <c r="AF31" s="1" t="s">
        <v>74</v>
      </c>
      <c r="AG31" s="1" t="s">
        <v>74</v>
      </c>
      <c r="AH31" s="1" t="s">
        <v>74</v>
      </c>
      <c r="AI31" s="1" t="s">
        <v>74</v>
      </c>
      <c r="AJ31" s="1" t="s">
        <v>74</v>
      </c>
      <c r="AK31" s="1" t="s">
        <v>74</v>
      </c>
      <c r="AL31" s="1" t="s">
        <v>74</v>
      </c>
      <c r="AM31" s="1" t="s">
        <v>74</v>
      </c>
      <c r="AN31" s="1" t="s">
        <v>74</v>
      </c>
      <c r="AO31" s="1" t="s">
        <v>81</v>
      </c>
      <c r="AP31" s="1" t="s">
        <v>82</v>
      </c>
      <c r="AQ31" s="1" t="s">
        <v>74</v>
      </c>
      <c r="AR31" s="1" t="s">
        <v>74</v>
      </c>
      <c r="AS31" s="1" t="s">
        <v>74</v>
      </c>
      <c r="AT31" s="1" t="s">
        <v>633</v>
      </c>
      <c r="AU31" s="1">
        <v>2007</v>
      </c>
      <c r="AV31" s="1">
        <v>144</v>
      </c>
      <c r="AW31" s="1" t="s">
        <v>74</v>
      </c>
      <c r="AX31" s="1">
        <v>4</v>
      </c>
      <c r="AY31" s="1" t="s">
        <v>74</v>
      </c>
      <c r="AZ31" s="1" t="s">
        <v>74</v>
      </c>
      <c r="BA31" s="1" t="s">
        <v>74</v>
      </c>
      <c r="BB31" s="1">
        <v>447</v>
      </c>
      <c r="BC31" s="1">
        <v>470</v>
      </c>
      <c r="BD31" s="1" t="s">
        <v>74</v>
      </c>
      <c r="BE31" s="1" t="s">
        <v>3223</v>
      </c>
      <c r="BF31" s="1" t="str">
        <f>HYPERLINK("http://dx.doi.org/10.1163/156853907780756030","http://dx.doi.org/10.1163/156853907780756030")</f>
        <v>http://dx.doi.org/10.1163/156853907780756030</v>
      </c>
      <c r="BG31" s="1" t="s">
        <v>74</v>
      </c>
      <c r="BH31" s="1" t="s">
        <v>74</v>
      </c>
      <c r="BI31" s="1" t="s">
        <v>74</v>
      </c>
      <c r="BJ31" s="1" t="s">
        <v>74</v>
      </c>
      <c r="BK31" s="1" t="s">
        <v>74</v>
      </c>
      <c r="BL31" s="1" t="s">
        <v>74</v>
      </c>
      <c r="BM31" s="1" t="s">
        <v>74</v>
      </c>
      <c r="BN31" s="1" t="s">
        <v>74</v>
      </c>
      <c r="BO31" s="1" t="s">
        <v>74</v>
      </c>
      <c r="BP31" s="1" t="s">
        <v>74</v>
      </c>
      <c r="BQ31" s="1" t="s">
        <v>74</v>
      </c>
      <c r="BR31" s="1" t="s">
        <v>74</v>
      </c>
      <c r="BS31" s="1" t="s">
        <v>3224</v>
      </c>
      <c r="BT31" s="1" t="str">
        <f>HYPERLINK("https%3A%2F%2Fwww.webofscience.com%2Fwos%2Fwoscc%2Ffull-record%2FWOS:000247125600005","View Full Record in Web of Science")</f>
        <v>View Full Record in Web of Science</v>
      </c>
    </row>
    <row r="32" spans="1:72" s="2" customFormat="1" x14ac:dyDescent="0.4">
      <c r="A32" s="1" t="s">
        <v>72</v>
      </c>
      <c r="B32" s="1" t="s">
        <v>851</v>
      </c>
      <c r="C32" s="1" t="s">
        <v>74</v>
      </c>
      <c r="D32" s="1" t="s">
        <v>74</v>
      </c>
      <c r="E32" s="1" t="s">
        <v>74</v>
      </c>
      <c r="F32" s="1" t="s">
        <v>852</v>
      </c>
      <c r="G32" s="1" t="s">
        <v>74</v>
      </c>
      <c r="H32" s="1" t="s">
        <v>74</v>
      </c>
      <c r="I32" s="1" t="s">
        <v>853</v>
      </c>
      <c r="J32" s="1" t="s">
        <v>509</v>
      </c>
      <c r="K32" s="1" t="s">
        <v>74</v>
      </c>
      <c r="L32" s="1" t="s">
        <v>74</v>
      </c>
      <c r="M32" s="1" t="s">
        <v>74</v>
      </c>
      <c r="N32" s="1" t="s">
        <v>74</v>
      </c>
      <c r="O32" s="1" t="s">
        <v>74</v>
      </c>
      <c r="P32" s="1" t="s">
        <v>74</v>
      </c>
      <c r="Q32" s="1" t="s">
        <v>74</v>
      </c>
      <c r="R32" s="1" t="s">
        <v>74</v>
      </c>
      <c r="S32" s="1" t="s">
        <v>74</v>
      </c>
      <c r="T32" s="1" t="s">
        <v>74</v>
      </c>
      <c r="U32" s="1" t="s">
        <v>74</v>
      </c>
      <c r="V32" s="4" t="s">
        <v>854</v>
      </c>
      <c r="W32" s="1" t="s">
        <v>74</v>
      </c>
      <c r="X32" s="1" t="s">
        <v>74</v>
      </c>
      <c r="Y32" s="1" t="s">
        <v>74</v>
      </c>
      <c r="Z32" s="1" t="s">
        <v>74</v>
      </c>
      <c r="AA32" s="1" t="s">
        <v>855</v>
      </c>
      <c r="AB32" s="1" t="s">
        <v>856</v>
      </c>
      <c r="AC32" s="1" t="s">
        <v>74</v>
      </c>
      <c r="AD32" s="1" t="s">
        <v>74</v>
      </c>
      <c r="AE32" s="1" t="s">
        <v>74</v>
      </c>
      <c r="AF32" s="1" t="s">
        <v>74</v>
      </c>
      <c r="AG32" s="1" t="s">
        <v>74</v>
      </c>
      <c r="AH32" s="1" t="s">
        <v>74</v>
      </c>
      <c r="AI32" s="1" t="s">
        <v>74</v>
      </c>
      <c r="AJ32" s="1" t="s">
        <v>74</v>
      </c>
      <c r="AK32" s="1" t="s">
        <v>74</v>
      </c>
      <c r="AL32" s="1" t="s">
        <v>74</v>
      </c>
      <c r="AM32" s="1" t="s">
        <v>74</v>
      </c>
      <c r="AN32" s="1" t="s">
        <v>74</v>
      </c>
      <c r="AO32" s="1" t="s">
        <v>511</v>
      </c>
      <c r="AP32" s="1" t="s">
        <v>512</v>
      </c>
      <c r="AQ32" s="1" t="s">
        <v>74</v>
      </c>
      <c r="AR32" s="1" t="s">
        <v>74</v>
      </c>
      <c r="AS32" s="1" t="s">
        <v>74</v>
      </c>
      <c r="AT32" s="1" t="s">
        <v>145</v>
      </c>
      <c r="AU32" s="1">
        <v>2008</v>
      </c>
      <c r="AV32" s="1">
        <v>54</v>
      </c>
      <c r="AW32" s="1">
        <v>3</v>
      </c>
      <c r="AX32" s="1" t="s">
        <v>74</v>
      </c>
      <c r="AY32" s="1" t="s">
        <v>74</v>
      </c>
      <c r="AZ32" s="1" t="s">
        <v>74</v>
      </c>
      <c r="BA32" s="1" t="s">
        <v>74</v>
      </c>
      <c r="BB32" s="1">
        <v>463</v>
      </c>
      <c r="BC32" s="1">
        <v>470</v>
      </c>
      <c r="BD32" s="1" t="s">
        <v>74</v>
      </c>
      <c r="BE32" s="1" t="s">
        <v>857</v>
      </c>
      <c r="BF32" s="1" t="str">
        <f>HYPERLINK("http://dx.doi.org/10.1016/j.yhbeh.2008.05.006","http://dx.doi.org/10.1016/j.yhbeh.2008.05.006")</f>
        <v>http://dx.doi.org/10.1016/j.yhbeh.2008.05.006</v>
      </c>
      <c r="BG32" s="1" t="s">
        <v>74</v>
      </c>
      <c r="BH32" s="1" t="s">
        <v>74</v>
      </c>
      <c r="BI32" s="1" t="s">
        <v>74</v>
      </c>
      <c r="BJ32" s="1" t="s">
        <v>74</v>
      </c>
      <c r="BK32" s="1" t="s">
        <v>74</v>
      </c>
      <c r="BL32" s="1" t="s">
        <v>74</v>
      </c>
      <c r="BM32" s="1" t="s">
        <v>74</v>
      </c>
      <c r="BN32" s="1">
        <v>18586245</v>
      </c>
      <c r="BO32" s="1" t="s">
        <v>74</v>
      </c>
      <c r="BP32" s="1" t="s">
        <v>74</v>
      </c>
      <c r="BQ32" s="1" t="s">
        <v>74</v>
      </c>
      <c r="BR32" s="1" t="s">
        <v>74</v>
      </c>
      <c r="BS32" s="1" t="s">
        <v>858</v>
      </c>
      <c r="BT32" s="1" t="str">
        <f>HYPERLINK("https%3A%2F%2Fwww.webofscience.com%2Fwos%2Fwoscc%2Ffull-record%2FWOS:000258812900017","View Full Record in Web of Science")</f>
        <v>View Full Record in Web of Science</v>
      </c>
    </row>
    <row r="33" spans="1:72" s="7" customFormat="1" x14ac:dyDescent="0.4">
      <c r="A33" s="1" t="s">
        <v>72</v>
      </c>
      <c r="B33" s="1" t="s">
        <v>6344</v>
      </c>
      <c r="C33" s="1" t="s">
        <v>74</v>
      </c>
      <c r="D33" s="1" t="s">
        <v>74</v>
      </c>
      <c r="E33" s="1" t="s">
        <v>74</v>
      </c>
      <c r="F33" s="1" t="s">
        <v>6345</v>
      </c>
      <c r="G33" s="1" t="s">
        <v>74</v>
      </c>
      <c r="H33" s="1" t="s">
        <v>74</v>
      </c>
      <c r="I33" s="1" t="s">
        <v>6346</v>
      </c>
      <c r="J33" s="1" t="s">
        <v>140</v>
      </c>
      <c r="K33" s="1" t="s">
        <v>74</v>
      </c>
      <c r="L33" s="1" t="s">
        <v>74</v>
      </c>
      <c r="M33" s="1" t="s">
        <v>74</v>
      </c>
      <c r="N33" s="1" t="s">
        <v>74</v>
      </c>
      <c r="O33" s="1" t="s">
        <v>74</v>
      </c>
      <c r="P33" s="1" t="s">
        <v>74</v>
      </c>
      <c r="Q33" s="1" t="s">
        <v>74</v>
      </c>
      <c r="R33" s="1" t="s">
        <v>74</v>
      </c>
      <c r="S33" s="1" t="s">
        <v>74</v>
      </c>
      <c r="T33" s="1" t="s">
        <v>74</v>
      </c>
      <c r="U33" s="1" t="s">
        <v>74</v>
      </c>
      <c r="V33" s="4" t="s">
        <v>6347</v>
      </c>
      <c r="W33" s="1" t="s">
        <v>74</v>
      </c>
      <c r="X33" s="1" t="s">
        <v>74</v>
      </c>
      <c r="Y33" s="1" t="s">
        <v>74</v>
      </c>
      <c r="Z33" s="1" t="s">
        <v>74</v>
      </c>
      <c r="AA33" s="1" t="s">
        <v>6348</v>
      </c>
      <c r="AB33" s="1" t="s">
        <v>6349</v>
      </c>
      <c r="AC33" s="1" t="s">
        <v>74</v>
      </c>
      <c r="AD33" s="1" t="s">
        <v>74</v>
      </c>
      <c r="AE33" s="1" t="s">
        <v>74</v>
      </c>
      <c r="AF33" s="1" t="s">
        <v>74</v>
      </c>
      <c r="AG33" s="1" t="s">
        <v>74</v>
      </c>
      <c r="AH33" s="1" t="s">
        <v>74</v>
      </c>
      <c r="AI33" s="1" t="s">
        <v>74</v>
      </c>
      <c r="AJ33" s="1" t="s">
        <v>74</v>
      </c>
      <c r="AK33" s="1" t="s">
        <v>74</v>
      </c>
      <c r="AL33" s="1" t="s">
        <v>74</v>
      </c>
      <c r="AM33" s="1" t="s">
        <v>74</v>
      </c>
      <c r="AN33" s="1" t="s">
        <v>74</v>
      </c>
      <c r="AO33" s="1" t="s">
        <v>143</v>
      </c>
      <c r="AP33" s="1" t="s">
        <v>144</v>
      </c>
      <c r="AQ33" s="1" t="s">
        <v>74</v>
      </c>
      <c r="AR33" s="1" t="s">
        <v>74</v>
      </c>
      <c r="AS33" s="1" t="s">
        <v>74</v>
      </c>
      <c r="AT33" s="1" t="s">
        <v>305</v>
      </c>
      <c r="AU33" s="1">
        <v>2015</v>
      </c>
      <c r="AV33" s="1">
        <v>110</v>
      </c>
      <c r="AW33" s="1" t="s">
        <v>74</v>
      </c>
      <c r="AX33" s="1" t="s">
        <v>74</v>
      </c>
      <c r="AY33" s="1" t="s">
        <v>74</v>
      </c>
      <c r="AZ33" s="1" t="s">
        <v>74</v>
      </c>
      <c r="BA33" s="1" t="s">
        <v>74</v>
      </c>
      <c r="BB33" s="1">
        <v>155</v>
      </c>
      <c r="BC33" s="1">
        <v>161</v>
      </c>
      <c r="BD33" s="1" t="s">
        <v>74</v>
      </c>
      <c r="BE33" s="1" t="s">
        <v>6350</v>
      </c>
      <c r="BF33" s="1" t="str">
        <f>HYPERLINK("http://dx.doi.org/10.1016/j.anbehav.2015.09.025","http://dx.doi.org/10.1016/j.anbehav.2015.09.025")</f>
        <v>http://dx.doi.org/10.1016/j.anbehav.2015.09.025</v>
      </c>
      <c r="BG33" s="1" t="s">
        <v>74</v>
      </c>
      <c r="BH33" s="1" t="s">
        <v>74</v>
      </c>
      <c r="BI33" s="1" t="s">
        <v>74</v>
      </c>
      <c r="BJ33" s="1" t="s">
        <v>74</v>
      </c>
      <c r="BK33" s="1" t="s">
        <v>74</v>
      </c>
      <c r="BL33" s="1" t="s">
        <v>74</v>
      </c>
      <c r="BM33" s="1" t="s">
        <v>74</v>
      </c>
      <c r="BN33" s="1" t="s">
        <v>74</v>
      </c>
      <c r="BO33" s="1" t="s">
        <v>74</v>
      </c>
      <c r="BP33" s="1" t="s">
        <v>74</v>
      </c>
      <c r="BQ33" s="1" t="s">
        <v>74</v>
      </c>
      <c r="BR33" s="1" t="s">
        <v>74</v>
      </c>
      <c r="BS33" s="1" t="s">
        <v>6351</v>
      </c>
      <c r="BT33" s="1" t="str">
        <f>HYPERLINK("https%3A%2F%2Fwww.webofscience.com%2Fwos%2Fwoscc%2Ffull-record%2FWOS:000366731500022","View Full Record in Web of Science")</f>
        <v>View Full Record in Web of Science</v>
      </c>
    </row>
    <row r="34" spans="1:72" s="2" customFormat="1" x14ac:dyDescent="0.4">
      <c r="A34" s="1" t="s">
        <v>72</v>
      </c>
      <c r="B34" s="1" t="s">
        <v>627</v>
      </c>
      <c r="C34" s="1" t="s">
        <v>74</v>
      </c>
      <c r="D34" s="1" t="s">
        <v>74</v>
      </c>
      <c r="E34" s="1" t="s">
        <v>74</v>
      </c>
      <c r="F34" s="1" t="s">
        <v>628</v>
      </c>
      <c r="G34" s="1" t="s">
        <v>74</v>
      </c>
      <c r="H34" s="1" t="s">
        <v>74</v>
      </c>
      <c r="I34" s="1" t="s">
        <v>629</v>
      </c>
      <c r="J34" s="1" t="s">
        <v>140</v>
      </c>
      <c r="K34" s="1" t="s">
        <v>74</v>
      </c>
      <c r="L34" s="1" t="s">
        <v>74</v>
      </c>
      <c r="M34" s="1" t="s">
        <v>74</v>
      </c>
      <c r="N34" s="1" t="s">
        <v>74</v>
      </c>
      <c r="O34" s="1" t="s">
        <v>74</v>
      </c>
      <c r="P34" s="1" t="s">
        <v>74</v>
      </c>
      <c r="Q34" s="1" t="s">
        <v>74</v>
      </c>
      <c r="R34" s="1" t="s">
        <v>74</v>
      </c>
      <c r="S34" s="1" t="s">
        <v>74</v>
      </c>
      <c r="T34" s="1" t="s">
        <v>74</v>
      </c>
      <c r="U34" s="1" t="s">
        <v>74</v>
      </c>
      <c r="V34" s="4" t="s">
        <v>630</v>
      </c>
      <c r="W34" s="1" t="s">
        <v>74</v>
      </c>
      <c r="X34" s="1" t="s">
        <v>74</v>
      </c>
      <c r="Y34" s="1" t="s">
        <v>74</v>
      </c>
      <c r="Z34" s="1" t="s">
        <v>74</v>
      </c>
      <c r="AA34" s="1" t="s">
        <v>631</v>
      </c>
      <c r="AB34" s="1" t="s">
        <v>632</v>
      </c>
      <c r="AC34" s="1" t="s">
        <v>74</v>
      </c>
      <c r="AD34" s="1" t="s">
        <v>74</v>
      </c>
      <c r="AE34" s="1" t="s">
        <v>74</v>
      </c>
      <c r="AF34" s="1" t="s">
        <v>74</v>
      </c>
      <c r="AG34" s="1" t="s">
        <v>74</v>
      </c>
      <c r="AH34" s="1" t="s">
        <v>74</v>
      </c>
      <c r="AI34" s="1" t="s">
        <v>74</v>
      </c>
      <c r="AJ34" s="1" t="s">
        <v>74</v>
      </c>
      <c r="AK34" s="1" t="s">
        <v>74</v>
      </c>
      <c r="AL34" s="1" t="s">
        <v>74</v>
      </c>
      <c r="AM34" s="1" t="s">
        <v>74</v>
      </c>
      <c r="AN34" s="1" t="s">
        <v>74</v>
      </c>
      <c r="AO34" s="1" t="s">
        <v>143</v>
      </c>
      <c r="AP34" s="1" t="s">
        <v>144</v>
      </c>
      <c r="AQ34" s="1" t="s">
        <v>74</v>
      </c>
      <c r="AR34" s="1" t="s">
        <v>74</v>
      </c>
      <c r="AS34" s="1" t="s">
        <v>74</v>
      </c>
      <c r="AT34" s="1" t="s">
        <v>633</v>
      </c>
      <c r="AU34" s="1">
        <v>2019</v>
      </c>
      <c r="AV34" s="1">
        <v>150</v>
      </c>
      <c r="AW34" s="1" t="s">
        <v>74</v>
      </c>
      <c r="AX34" s="1" t="s">
        <v>74</v>
      </c>
      <c r="AY34" s="1" t="s">
        <v>74</v>
      </c>
      <c r="AZ34" s="1" t="s">
        <v>74</v>
      </c>
      <c r="BA34" s="1" t="s">
        <v>74</v>
      </c>
      <c r="BB34" s="1">
        <v>285</v>
      </c>
      <c r="BC34" s="1">
        <v>301</v>
      </c>
      <c r="BD34" s="1" t="s">
        <v>74</v>
      </c>
      <c r="BE34" s="1" t="s">
        <v>634</v>
      </c>
      <c r="BF34" s="1" t="str">
        <f>HYPERLINK("http://dx.doi.org/10.1016/j.anbehav.2019.01.025","http://dx.doi.org/10.1016/j.anbehav.2019.01.025")</f>
        <v>http://dx.doi.org/10.1016/j.anbehav.2019.01.025</v>
      </c>
      <c r="BG34" s="1" t="s">
        <v>74</v>
      </c>
      <c r="BH34" s="1" t="s">
        <v>74</v>
      </c>
      <c r="BI34" s="1" t="s">
        <v>74</v>
      </c>
      <c r="BJ34" s="1" t="s">
        <v>74</v>
      </c>
      <c r="BK34" s="1" t="s">
        <v>74</v>
      </c>
      <c r="BL34" s="1" t="s">
        <v>74</v>
      </c>
      <c r="BM34" s="1" t="s">
        <v>74</v>
      </c>
      <c r="BN34" s="1" t="s">
        <v>74</v>
      </c>
      <c r="BO34" s="1" t="s">
        <v>74</v>
      </c>
      <c r="BP34" s="1" t="s">
        <v>74</v>
      </c>
      <c r="BQ34" s="1" t="s">
        <v>74</v>
      </c>
      <c r="BR34" s="1" t="s">
        <v>74</v>
      </c>
      <c r="BS34" s="1" t="s">
        <v>635</v>
      </c>
      <c r="BT34" s="1" t="str">
        <f>HYPERLINK("https%3A%2F%2Fwww.webofscience.com%2Fwos%2Fwoscc%2Ffull-record%2FWOS:000463590000025","View Full Record in Web of Science")</f>
        <v>View Full Record in Web of Science</v>
      </c>
    </row>
    <row r="35" spans="1:72" s="2" customFormat="1" x14ac:dyDescent="0.4">
      <c r="A35" s="1" t="s">
        <v>72</v>
      </c>
      <c r="B35" s="1" t="s">
        <v>1119</v>
      </c>
      <c r="C35" s="1" t="s">
        <v>74</v>
      </c>
      <c r="D35" s="1" t="s">
        <v>74</v>
      </c>
      <c r="E35" s="1" t="s">
        <v>74</v>
      </c>
      <c r="F35" s="1" t="s">
        <v>1119</v>
      </c>
      <c r="G35" s="1" t="s">
        <v>74</v>
      </c>
      <c r="H35" s="1" t="s">
        <v>74</v>
      </c>
      <c r="I35" s="1" t="s">
        <v>1120</v>
      </c>
      <c r="J35" s="1" t="s">
        <v>140</v>
      </c>
      <c r="K35" s="1" t="s">
        <v>74</v>
      </c>
      <c r="L35" s="1" t="s">
        <v>74</v>
      </c>
      <c r="M35" s="1" t="s">
        <v>74</v>
      </c>
      <c r="N35" s="1" t="s">
        <v>74</v>
      </c>
      <c r="O35" s="1" t="s">
        <v>74</v>
      </c>
      <c r="P35" s="1" t="s">
        <v>74</v>
      </c>
      <c r="Q35" s="1" t="s">
        <v>74</v>
      </c>
      <c r="R35" s="1" t="s">
        <v>74</v>
      </c>
      <c r="S35" s="1" t="s">
        <v>74</v>
      </c>
      <c r="T35" s="1" t="s">
        <v>74</v>
      </c>
      <c r="U35" s="1" t="s">
        <v>74</v>
      </c>
      <c r="V35" s="4" t="s">
        <v>1121</v>
      </c>
      <c r="W35" s="1" t="s">
        <v>74</v>
      </c>
      <c r="X35" s="1" t="s">
        <v>74</v>
      </c>
      <c r="Y35" s="1" t="s">
        <v>74</v>
      </c>
      <c r="Z35" s="1" t="s">
        <v>74</v>
      </c>
      <c r="AA35" s="1" t="s">
        <v>74</v>
      </c>
      <c r="AB35" s="1" t="s">
        <v>1122</v>
      </c>
      <c r="AC35" s="1" t="s">
        <v>74</v>
      </c>
      <c r="AD35" s="1" t="s">
        <v>74</v>
      </c>
      <c r="AE35" s="1" t="s">
        <v>74</v>
      </c>
      <c r="AF35" s="1" t="s">
        <v>74</v>
      </c>
      <c r="AG35" s="1" t="s">
        <v>74</v>
      </c>
      <c r="AH35" s="1" t="s">
        <v>74</v>
      </c>
      <c r="AI35" s="1" t="s">
        <v>74</v>
      </c>
      <c r="AJ35" s="1" t="s">
        <v>74</v>
      </c>
      <c r="AK35" s="1" t="s">
        <v>74</v>
      </c>
      <c r="AL35" s="1" t="s">
        <v>74</v>
      </c>
      <c r="AM35" s="1" t="s">
        <v>74</v>
      </c>
      <c r="AN35" s="1" t="s">
        <v>74</v>
      </c>
      <c r="AO35" s="1" t="s">
        <v>143</v>
      </c>
      <c r="AP35" s="1" t="s">
        <v>144</v>
      </c>
      <c r="AQ35" s="1" t="s">
        <v>74</v>
      </c>
      <c r="AR35" s="1" t="s">
        <v>74</v>
      </c>
      <c r="AS35" s="1" t="s">
        <v>74</v>
      </c>
      <c r="AT35" s="1" t="s">
        <v>74</v>
      </c>
      <c r="AU35" s="1">
        <v>1981</v>
      </c>
      <c r="AV35" s="1">
        <v>29</v>
      </c>
      <c r="AW35" s="1" t="s">
        <v>134</v>
      </c>
      <c r="AX35" s="1" t="s">
        <v>74</v>
      </c>
      <c r="AY35" s="1" t="s">
        <v>74</v>
      </c>
      <c r="AZ35" s="1" t="s">
        <v>74</v>
      </c>
      <c r="BA35" s="1" t="s">
        <v>74</v>
      </c>
      <c r="BB35" s="1">
        <v>325</v>
      </c>
      <c r="BC35" s="1">
        <v>331</v>
      </c>
      <c r="BD35" s="1" t="s">
        <v>74</v>
      </c>
      <c r="BE35" s="1" t="s">
        <v>1123</v>
      </c>
      <c r="BF35" s="1" t="str">
        <f>HYPERLINK("http://dx.doi.org/10.1016/S0003-3472(81)80092-9","http://dx.doi.org/10.1016/S0003-3472(81)80092-9")</f>
        <v>http://dx.doi.org/10.1016/S0003-3472(81)80092-9</v>
      </c>
      <c r="BG35" s="1" t="s">
        <v>74</v>
      </c>
      <c r="BH35" s="1" t="s">
        <v>74</v>
      </c>
      <c r="BI35" s="1" t="s">
        <v>74</v>
      </c>
      <c r="BJ35" s="1" t="s">
        <v>74</v>
      </c>
      <c r="BK35" s="1" t="s">
        <v>74</v>
      </c>
      <c r="BL35" s="1" t="s">
        <v>74</v>
      </c>
      <c r="BM35" s="1" t="s">
        <v>74</v>
      </c>
      <c r="BN35" s="1" t="s">
        <v>74</v>
      </c>
      <c r="BO35" s="1" t="s">
        <v>74</v>
      </c>
      <c r="BP35" s="1" t="s">
        <v>74</v>
      </c>
      <c r="BQ35" s="1" t="s">
        <v>74</v>
      </c>
      <c r="BR35" s="1" t="s">
        <v>74</v>
      </c>
      <c r="BS35" s="1" t="s">
        <v>1124</v>
      </c>
      <c r="BT35" s="1" t="str">
        <f>HYPERLINK("https%3A%2F%2Fwww.webofscience.com%2Fwos%2Fwoscc%2Ffull-record%2FWOS:A1981LQ60200001","View Full Record in Web of Science")</f>
        <v>View Full Record in Web of Science</v>
      </c>
    </row>
    <row r="36" spans="1:72" s="2" customFormat="1" x14ac:dyDescent="0.4">
      <c r="A36" s="1" t="s">
        <v>72</v>
      </c>
      <c r="B36" s="1" t="s">
        <v>4634</v>
      </c>
      <c r="C36" s="1" t="s">
        <v>74</v>
      </c>
      <c r="D36" s="1" t="s">
        <v>74</v>
      </c>
      <c r="E36" s="1" t="s">
        <v>74</v>
      </c>
      <c r="F36" s="1" t="s">
        <v>4634</v>
      </c>
      <c r="G36" s="1" t="s">
        <v>74</v>
      </c>
      <c r="H36" s="1" t="s">
        <v>74</v>
      </c>
      <c r="I36" s="1" t="s">
        <v>4635</v>
      </c>
      <c r="J36" s="1" t="s">
        <v>171</v>
      </c>
      <c r="K36" s="1" t="s">
        <v>74</v>
      </c>
      <c r="L36" s="1" t="s">
        <v>74</v>
      </c>
      <c r="M36" s="1" t="s">
        <v>74</v>
      </c>
      <c r="N36" s="1" t="s">
        <v>74</v>
      </c>
      <c r="O36" s="1" t="s">
        <v>74</v>
      </c>
      <c r="P36" s="1" t="s">
        <v>74</v>
      </c>
      <c r="Q36" s="1" t="s">
        <v>74</v>
      </c>
      <c r="R36" s="1" t="s">
        <v>74</v>
      </c>
      <c r="S36" s="1" t="s">
        <v>74</v>
      </c>
      <c r="T36" s="1" t="s">
        <v>74</v>
      </c>
      <c r="U36" s="1" t="s">
        <v>74</v>
      </c>
      <c r="V36" s="4" t="s">
        <v>4636</v>
      </c>
      <c r="W36" s="1" t="s">
        <v>74</v>
      </c>
      <c r="X36" s="1" t="s">
        <v>74</v>
      </c>
      <c r="Y36" s="1" t="s">
        <v>74</v>
      </c>
      <c r="Z36" s="1" t="s">
        <v>74</v>
      </c>
      <c r="AA36" s="1" t="s">
        <v>4637</v>
      </c>
      <c r="AB36" s="1" t="s">
        <v>4638</v>
      </c>
      <c r="AC36" s="1" t="s">
        <v>74</v>
      </c>
      <c r="AD36" s="1" t="s">
        <v>74</v>
      </c>
      <c r="AE36" s="1" t="s">
        <v>74</v>
      </c>
      <c r="AF36" s="1" t="s">
        <v>74</v>
      </c>
      <c r="AG36" s="1" t="s">
        <v>74</v>
      </c>
      <c r="AH36" s="1" t="s">
        <v>74</v>
      </c>
      <c r="AI36" s="1" t="s">
        <v>74</v>
      </c>
      <c r="AJ36" s="1" t="s">
        <v>74</v>
      </c>
      <c r="AK36" s="1" t="s">
        <v>74</v>
      </c>
      <c r="AL36" s="1" t="s">
        <v>74</v>
      </c>
      <c r="AM36" s="1" t="s">
        <v>74</v>
      </c>
      <c r="AN36" s="1" t="s">
        <v>74</v>
      </c>
      <c r="AO36" s="1" t="s">
        <v>173</v>
      </c>
      <c r="AP36" s="1" t="s">
        <v>174</v>
      </c>
      <c r="AQ36" s="1" t="s">
        <v>74</v>
      </c>
      <c r="AR36" s="1" t="s">
        <v>74</v>
      </c>
      <c r="AS36" s="1" t="s">
        <v>74</v>
      </c>
      <c r="AT36" s="1" t="s">
        <v>204</v>
      </c>
      <c r="AU36" s="1">
        <v>2001</v>
      </c>
      <c r="AV36" s="1">
        <v>55</v>
      </c>
      <c r="AW36" s="1">
        <v>7</v>
      </c>
      <c r="AX36" s="1" t="s">
        <v>74</v>
      </c>
      <c r="AY36" s="1" t="s">
        <v>74</v>
      </c>
      <c r="AZ36" s="1" t="s">
        <v>74</v>
      </c>
      <c r="BA36" s="1" t="s">
        <v>74</v>
      </c>
      <c r="BB36" s="1">
        <v>1443</v>
      </c>
      <c r="BC36" s="1">
        <v>1451</v>
      </c>
      <c r="BD36" s="1" t="s">
        <v>74</v>
      </c>
      <c r="BE36" s="1" t="s">
        <v>74</v>
      </c>
      <c r="BF36" s="1" t="s">
        <v>74</v>
      </c>
      <c r="BG36" s="1" t="s">
        <v>74</v>
      </c>
      <c r="BH36" s="1" t="s">
        <v>74</v>
      </c>
      <c r="BI36" s="1" t="s">
        <v>74</v>
      </c>
      <c r="BJ36" s="1" t="s">
        <v>74</v>
      </c>
      <c r="BK36" s="1" t="s">
        <v>74</v>
      </c>
      <c r="BL36" s="1" t="s">
        <v>74</v>
      </c>
      <c r="BM36" s="1" t="s">
        <v>74</v>
      </c>
      <c r="BN36" s="1">
        <v>11525466</v>
      </c>
      <c r="BO36" s="1" t="s">
        <v>74</v>
      </c>
      <c r="BP36" s="1" t="s">
        <v>74</v>
      </c>
      <c r="BQ36" s="1" t="s">
        <v>74</v>
      </c>
      <c r="BR36" s="1" t="s">
        <v>74</v>
      </c>
      <c r="BS36" s="1" t="s">
        <v>4639</v>
      </c>
      <c r="BT36" s="1" t="str">
        <f>HYPERLINK("https%3A%2F%2Fwww.webofscience.com%2Fwos%2Fwoscc%2Ffull-record%2FWOS:000170699300015","View Full Record in Web of Science")</f>
        <v>View Full Record in Web of Science</v>
      </c>
    </row>
    <row r="37" spans="1:72" s="2" customFormat="1" x14ac:dyDescent="0.4">
      <c r="A37" s="1" t="s">
        <v>72</v>
      </c>
      <c r="B37" s="1" t="s">
        <v>4172</v>
      </c>
      <c r="C37" s="1" t="s">
        <v>74</v>
      </c>
      <c r="D37" s="1" t="s">
        <v>74</v>
      </c>
      <c r="E37" s="1" t="s">
        <v>74</v>
      </c>
      <c r="F37" s="1" t="s">
        <v>4173</v>
      </c>
      <c r="G37" s="1" t="s">
        <v>74</v>
      </c>
      <c r="H37" s="1" t="s">
        <v>74</v>
      </c>
      <c r="I37" s="1" t="s">
        <v>4174</v>
      </c>
      <c r="J37" s="1" t="s">
        <v>610</v>
      </c>
      <c r="K37" s="1" t="s">
        <v>74</v>
      </c>
      <c r="L37" s="1" t="s">
        <v>74</v>
      </c>
      <c r="M37" s="1" t="s">
        <v>74</v>
      </c>
      <c r="N37" s="1" t="s">
        <v>74</v>
      </c>
      <c r="O37" s="1" t="s">
        <v>74</v>
      </c>
      <c r="P37" s="1" t="s">
        <v>74</v>
      </c>
      <c r="Q37" s="1" t="s">
        <v>74</v>
      </c>
      <c r="R37" s="1" t="s">
        <v>74</v>
      </c>
      <c r="S37" s="1" t="s">
        <v>74</v>
      </c>
      <c r="T37" s="1" t="s">
        <v>74</v>
      </c>
      <c r="U37" s="1" t="s">
        <v>74</v>
      </c>
      <c r="V37" s="4" t="s">
        <v>4175</v>
      </c>
      <c r="W37" s="1" t="s">
        <v>74</v>
      </c>
      <c r="X37" s="1" t="s">
        <v>74</v>
      </c>
      <c r="Y37" s="1" t="s">
        <v>74</v>
      </c>
      <c r="Z37" s="1" t="s">
        <v>74</v>
      </c>
      <c r="AA37" s="1" t="s">
        <v>74</v>
      </c>
      <c r="AB37" s="1" t="s">
        <v>74</v>
      </c>
      <c r="AC37" s="1" t="s">
        <v>74</v>
      </c>
      <c r="AD37" s="1" t="s">
        <v>74</v>
      </c>
      <c r="AE37" s="1" t="s">
        <v>74</v>
      </c>
      <c r="AF37" s="1" t="s">
        <v>74</v>
      </c>
      <c r="AG37" s="1" t="s">
        <v>74</v>
      </c>
      <c r="AH37" s="1" t="s">
        <v>74</v>
      </c>
      <c r="AI37" s="1" t="s">
        <v>74</v>
      </c>
      <c r="AJ37" s="1" t="s">
        <v>74</v>
      </c>
      <c r="AK37" s="1" t="s">
        <v>74</v>
      </c>
      <c r="AL37" s="1" t="s">
        <v>74</v>
      </c>
      <c r="AM37" s="1" t="s">
        <v>74</v>
      </c>
      <c r="AN37" s="1" t="s">
        <v>74</v>
      </c>
      <c r="AO37" s="1" t="s">
        <v>614</v>
      </c>
      <c r="AP37" s="1" t="s">
        <v>615</v>
      </c>
      <c r="AQ37" s="1" t="s">
        <v>74</v>
      </c>
      <c r="AR37" s="1" t="s">
        <v>74</v>
      </c>
      <c r="AS37" s="1" t="s">
        <v>74</v>
      </c>
      <c r="AT37" s="1" t="s">
        <v>213</v>
      </c>
      <c r="AU37" s="1">
        <v>2007</v>
      </c>
      <c r="AV37" s="1">
        <v>113</v>
      </c>
      <c r="AW37" s="1">
        <v>11</v>
      </c>
      <c r="AX37" s="1" t="s">
        <v>74</v>
      </c>
      <c r="AY37" s="1" t="s">
        <v>74</v>
      </c>
      <c r="AZ37" s="1" t="s">
        <v>74</v>
      </c>
      <c r="BA37" s="1" t="s">
        <v>74</v>
      </c>
      <c r="BB37" s="1">
        <v>1113</v>
      </c>
      <c r="BC37" s="1">
        <v>1122</v>
      </c>
      <c r="BD37" s="1" t="s">
        <v>74</v>
      </c>
      <c r="BE37" s="1" t="s">
        <v>4176</v>
      </c>
      <c r="BF37" s="1" t="str">
        <f>HYPERLINK("http://dx.doi.org/10.1111/j.1439-0310.2007.01420.x","http://dx.doi.org/10.1111/j.1439-0310.2007.01420.x")</f>
        <v>http://dx.doi.org/10.1111/j.1439-0310.2007.01420.x</v>
      </c>
      <c r="BG37" s="1" t="s">
        <v>74</v>
      </c>
      <c r="BH37" s="1" t="s">
        <v>74</v>
      </c>
      <c r="BI37" s="1" t="s">
        <v>74</v>
      </c>
      <c r="BJ37" s="1" t="s">
        <v>74</v>
      </c>
      <c r="BK37" s="1" t="s">
        <v>74</v>
      </c>
      <c r="BL37" s="1" t="s">
        <v>74</v>
      </c>
      <c r="BM37" s="1" t="s">
        <v>74</v>
      </c>
      <c r="BN37" s="1" t="s">
        <v>74</v>
      </c>
      <c r="BO37" s="1" t="s">
        <v>74</v>
      </c>
      <c r="BP37" s="1" t="s">
        <v>74</v>
      </c>
      <c r="BQ37" s="1" t="s">
        <v>74</v>
      </c>
      <c r="BR37" s="1" t="s">
        <v>74</v>
      </c>
      <c r="BS37" s="1" t="s">
        <v>4177</v>
      </c>
      <c r="BT37" s="1" t="str">
        <f>HYPERLINK("https%3A%2F%2Fwww.webofscience.com%2Fwos%2Fwoscc%2Ffull-record%2FWOS:000250262400011","View Full Record in Web of Science")</f>
        <v>View Full Record in Web of Science</v>
      </c>
    </row>
    <row r="38" spans="1:72" s="2" customFormat="1" x14ac:dyDescent="0.4">
      <c r="A38" s="1" t="s">
        <v>72</v>
      </c>
      <c r="B38" s="1" t="s">
        <v>1825</v>
      </c>
      <c r="C38" s="1" t="s">
        <v>74</v>
      </c>
      <c r="D38" s="1" t="s">
        <v>74</v>
      </c>
      <c r="E38" s="1" t="s">
        <v>74</v>
      </c>
      <c r="F38" s="1" t="s">
        <v>1826</v>
      </c>
      <c r="G38" s="1" t="s">
        <v>74</v>
      </c>
      <c r="H38" s="1" t="s">
        <v>74</v>
      </c>
      <c r="I38" s="1" t="s">
        <v>1827</v>
      </c>
      <c r="J38" s="1" t="s">
        <v>77</v>
      </c>
      <c r="K38" s="1" t="s">
        <v>74</v>
      </c>
      <c r="L38" s="1" t="s">
        <v>74</v>
      </c>
      <c r="M38" s="1" t="s">
        <v>74</v>
      </c>
      <c r="N38" s="1" t="s">
        <v>74</v>
      </c>
      <c r="O38" s="1" t="s">
        <v>74</v>
      </c>
      <c r="P38" s="1" t="s">
        <v>74</v>
      </c>
      <c r="Q38" s="1" t="s">
        <v>74</v>
      </c>
      <c r="R38" s="1" t="s">
        <v>74</v>
      </c>
      <c r="S38" s="1" t="s">
        <v>74</v>
      </c>
      <c r="T38" s="1" t="s">
        <v>74</v>
      </c>
      <c r="U38" s="1" t="s">
        <v>74</v>
      </c>
      <c r="V38" s="4" t="s">
        <v>1828</v>
      </c>
      <c r="W38" s="1" t="s">
        <v>74</v>
      </c>
      <c r="X38" s="1" t="s">
        <v>74</v>
      </c>
      <c r="Y38" s="1" t="s">
        <v>74</v>
      </c>
      <c r="Z38" s="1" t="s">
        <v>74</v>
      </c>
      <c r="AA38" s="1" t="s">
        <v>74</v>
      </c>
      <c r="AB38" s="1" t="s">
        <v>74</v>
      </c>
      <c r="AC38" s="1" t="s">
        <v>74</v>
      </c>
      <c r="AD38" s="1" t="s">
        <v>74</v>
      </c>
      <c r="AE38" s="1" t="s">
        <v>74</v>
      </c>
      <c r="AF38" s="1" t="s">
        <v>74</v>
      </c>
      <c r="AG38" s="1" t="s">
        <v>74</v>
      </c>
      <c r="AH38" s="1" t="s">
        <v>74</v>
      </c>
      <c r="AI38" s="1" t="s">
        <v>74</v>
      </c>
      <c r="AJ38" s="1" t="s">
        <v>74</v>
      </c>
      <c r="AK38" s="1" t="s">
        <v>74</v>
      </c>
      <c r="AL38" s="1" t="s">
        <v>74</v>
      </c>
      <c r="AM38" s="1" t="s">
        <v>74</v>
      </c>
      <c r="AN38" s="1" t="s">
        <v>74</v>
      </c>
      <c r="AO38" s="1" t="s">
        <v>81</v>
      </c>
      <c r="AP38" s="1" t="s">
        <v>74</v>
      </c>
      <c r="AQ38" s="1" t="s">
        <v>74</v>
      </c>
      <c r="AR38" s="1" t="s">
        <v>74</v>
      </c>
      <c r="AS38" s="1" t="s">
        <v>74</v>
      </c>
      <c r="AT38" s="1" t="s">
        <v>964</v>
      </c>
      <c r="AU38" s="1">
        <v>2007</v>
      </c>
      <c r="AV38" s="1">
        <v>144</v>
      </c>
      <c r="AW38" s="1" t="s">
        <v>74</v>
      </c>
      <c r="AX38" s="1">
        <v>2</v>
      </c>
      <c r="AY38" s="1" t="s">
        <v>74</v>
      </c>
      <c r="AZ38" s="1" t="s">
        <v>74</v>
      </c>
      <c r="BA38" s="1" t="s">
        <v>74</v>
      </c>
      <c r="BB38" s="1">
        <v>165</v>
      </c>
      <c r="BC38" s="1">
        <v>178</v>
      </c>
      <c r="BD38" s="1" t="s">
        <v>74</v>
      </c>
      <c r="BE38" s="1" t="s">
        <v>1829</v>
      </c>
      <c r="BF38" s="1" t="str">
        <f>HYPERLINK("http://dx.doi.org/10.1163/156853907779947328","http://dx.doi.org/10.1163/156853907779947328")</f>
        <v>http://dx.doi.org/10.1163/156853907779947328</v>
      </c>
      <c r="BG38" s="1" t="s">
        <v>74</v>
      </c>
      <c r="BH38" s="1" t="s">
        <v>74</v>
      </c>
      <c r="BI38" s="1" t="s">
        <v>74</v>
      </c>
      <c r="BJ38" s="1" t="s">
        <v>74</v>
      </c>
      <c r="BK38" s="1" t="s">
        <v>74</v>
      </c>
      <c r="BL38" s="1" t="s">
        <v>74</v>
      </c>
      <c r="BM38" s="1" t="s">
        <v>74</v>
      </c>
      <c r="BN38" s="1" t="s">
        <v>74</v>
      </c>
      <c r="BO38" s="1" t="s">
        <v>74</v>
      </c>
      <c r="BP38" s="1" t="s">
        <v>74</v>
      </c>
      <c r="BQ38" s="1" t="s">
        <v>74</v>
      </c>
      <c r="BR38" s="1" t="s">
        <v>74</v>
      </c>
      <c r="BS38" s="1" t="s">
        <v>1830</v>
      </c>
      <c r="BT38" s="1" t="str">
        <f>HYPERLINK("https%3A%2F%2Fwww.webofscience.com%2Fwos%2Fwoscc%2Ffull-record%2FWOS:000245544800002","View Full Record in Web of Science")</f>
        <v>View Full Record in Web of Science</v>
      </c>
    </row>
    <row r="39" spans="1:72" s="2" customFormat="1" x14ac:dyDescent="0.4">
      <c r="A39" s="1" t="s">
        <v>72</v>
      </c>
      <c r="B39" s="1" t="s">
        <v>6764</v>
      </c>
      <c r="C39" s="1" t="s">
        <v>74</v>
      </c>
      <c r="D39" s="1" t="s">
        <v>74</v>
      </c>
      <c r="E39" s="1" t="s">
        <v>74</v>
      </c>
      <c r="F39" s="1" t="s">
        <v>6764</v>
      </c>
      <c r="G39" s="1" t="s">
        <v>74</v>
      </c>
      <c r="H39" s="1" t="s">
        <v>74</v>
      </c>
      <c r="I39" s="1" t="s">
        <v>6765</v>
      </c>
      <c r="J39" s="1" t="s">
        <v>129</v>
      </c>
      <c r="K39" s="1" t="s">
        <v>74</v>
      </c>
      <c r="L39" s="1" t="s">
        <v>74</v>
      </c>
      <c r="M39" s="1" t="s">
        <v>74</v>
      </c>
      <c r="N39" s="1" t="s">
        <v>74</v>
      </c>
      <c r="O39" s="1" t="s">
        <v>74</v>
      </c>
      <c r="P39" s="1" t="s">
        <v>74</v>
      </c>
      <c r="Q39" s="1" t="s">
        <v>74</v>
      </c>
      <c r="R39" s="1" t="s">
        <v>74</v>
      </c>
      <c r="S39" s="1" t="s">
        <v>74</v>
      </c>
      <c r="T39" s="1" t="s">
        <v>74</v>
      </c>
      <c r="U39" s="1" t="s">
        <v>74</v>
      </c>
      <c r="V39" s="4" t="s">
        <v>6766</v>
      </c>
      <c r="W39" s="1" t="s">
        <v>74</v>
      </c>
      <c r="X39" s="1" t="s">
        <v>74</v>
      </c>
      <c r="Y39" s="1" t="s">
        <v>74</v>
      </c>
      <c r="Z39" s="1" t="s">
        <v>74</v>
      </c>
      <c r="AA39" s="1" t="s">
        <v>6220</v>
      </c>
      <c r="AB39" s="1" t="s">
        <v>6221</v>
      </c>
      <c r="AC39" s="1" t="s">
        <v>74</v>
      </c>
      <c r="AD39" s="1" t="s">
        <v>74</v>
      </c>
      <c r="AE39" s="1" t="s">
        <v>74</v>
      </c>
      <c r="AF39" s="1" t="s">
        <v>74</v>
      </c>
      <c r="AG39" s="1" t="s">
        <v>74</v>
      </c>
      <c r="AH39" s="1" t="s">
        <v>74</v>
      </c>
      <c r="AI39" s="1" t="s">
        <v>74</v>
      </c>
      <c r="AJ39" s="1" t="s">
        <v>74</v>
      </c>
      <c r="AK39" s="1" t="s">
        <v>74</v>
      </c>
      <c r="AL39" s="1" t="s">
        <v>74</v>
      </c>
      <c r="AM39" s="1" t="s">
        <v>74</v>
      </c>
      <c r="AN39" s="1" t="s">
        <v>74</v>
      </c>
      <c r="AO39" s="1" t="s">
        <v>132</v>
      </c>
      <c r="AP39" s="1" t="s">
        <v>133</v>
      </c>
      <c r="AQ39" s="1" t="s">
        <v>74</v>
      </c>
      <c r="AR39" s="1" t="s">
        <v>74</v>
      </c>
      <c r="AS39" s="1" t="s">
        <v>74</v>
      </c>
      <c r="AT39" s="1" t="s">
        <v>255</v>
      </c>
      <c r="AU39" s="1">
        <v>2003</v>
      </c>
      <c r="AV39" s="1">
        <v>53</v>
      </c>
      <c r="AW39" s="1">
        <v>2</v>
      </c>
      <c r="AX39" s="1" t="s">
        <v>74</v>
      </c>
      <c r="AY39" s="1" t="s">
        <v>74</v>
      </c>
      <c r="AZ39" s="1" t="s">
        <v>74</v>
      </c>
      <c r="BA39" s="1" t="s">
        <v>74</v>
      </c>
      <c r="BB39" s="1">
        <v>116</v>
      </c>
      <c r="BC39" s="1">
        <v>122</v>
      </c>
      <c r="BD39" s="1" t="s">
        <v>74</v>
      </c>
      <c r="BE39" s="1" t="s">
        <v>6767</v>
      </c>
      <c r="BF39" s="1" t="str">
        <f>HYPERLINK("http://dx.doi.org/10.1007/s00265-002-0558-z","http://dx.doi.org/10.1007/s00265-002-0558-z")</f>
        <v>http://dx.doi.org/10.1007/s00265-002-0558-z</v>
      </c>
      <c r="BG39" s="1" t="s">
        <v>74</v>
      </c>
      <c r="BH39" s="1" t="s">
        <v>74</v>
      </c>
      <c r="BI39" s="1" t="s">
        <v>74</v>
      </c>
      <c r="BJ39" s="1" t="s">
        <v>74</v>
      </c>
      <c r="BK39" s="1" t="s">
        <v>74</v>
      </c>
      <c r="BL39" s="1" t="s">
        <v>74</v>
      </c>
      <c r="BM39" s="1" t="s">
        <v>74</v>
      </c>
      <c r="BN39" s="1" t="s">
        <v>74</v>
      </c>
      <c r="BO39" s="1" t="s">
        <v>74</v>
      </c>
      <c r="BP39" s="1" t="s">
        <v>74</v>
      </c>
      <c r="BQ39" s="1" t="s">
        <v>74</v>
      </c>
      <c r="BR39" s="1" t="s">
        <v>74</v>
      </c>
      <c r="BS39" s="1" t="s">
        <v>6768</v>
      </c>
      <c r="BT39" s="1" t="str">
        <f>HYPERLINK("https%3A%2F%2Fwww.webofscience.com%2Fwos%2Fwoscc%2Ffull-record%2FWOS:000180871900007","View Full Record in Web of Science")</f>
        <v>View Full Record in Web of Science</v>
      </c>
    </row>
    <row r="40" spans="1:72" s="2" customFormat="1" x14ac:dyDescent="0.4">
      <c r="A40" s="1" t="s">
        <v>72</v>
      </c>
      <c r="B40" s="1" t="s">
        <v>2447</v>
      </c>
      <c r="C40" s="1" t="s">
        <v>74</v>
      </c>
      <c r="D40" s="1" t="s">
        <v>74</v>
      </c>
      <c r="E40" s="1" t="s">
        <v>74</v>
      </c>
      <c r="F40" s="1" t="s">
        <v>2448</v>
      </c>
      <c r="G40" s="1" t="s">
        <v>74</v>
      </c>
      <c r="H40" s="1" t="s">
        <v>74</v>
      </c>
      <c r="I40" s="1" t="s">
        <v>2449</v>
      </c>
      <c r="J40" s="1" t="s">
        <v>218</v>
      </c>
      <c r="K40" s="1" t="s">
        <v>74</v>
      </c>
      <c r="L40" s="1" t="s">
        <v>74</v>
      </c>
      <c r="M40" s="1" t="s">
        <v>74</v>
      </c>
      <c r="N40" s="1" t="s">
        <v>74</v>
      </c>
      <c r="O40" s="1" t="s">
        <v>74</v>
      </c>
      <c r="P40" s="1" t="s">
        <v>74</v>
      </c>
      <c r="Q40" s="1" t="s">
        <v>74</v>
      </c>
      <c r="R40" s="1" t="s">
        <v>74</v>
      </c>
      <c r="S40" s="1" t="s">
        <v>74</v>
      </c>
      <c r="T40" s="1" t="s">
        <v>74</v>
      </c>
      <c r="U40" s="1" t="s">
        <v>74</v>
      </c>
      <c r="V40" s="4" t="s">
        <v>2450</v>
      </c>
      <c r="W40" s="1" t="s">
        <v>74</v>
      </c>
      <c r="X40" s="1" t="s">
        <v>74</v>
      </c>
      <c r="Y40" s="1" t="s">
        <v>74</v>
      </c>
      <c r="Z40" s="1" t="s">
        <v>74</v>
      </c>
      <c r="AA40" s="1" t="s">
        <v>2451</v>
      </c>
      <c r="AB40" s="1" t="s">
        <v>2452</v>
      </c>
      <c r="AC40" s="1" t="s">
        <v>74</v>
      </c>
      <c r="AD40" s="1" t="s">
        <v>74</v>
      </c>
      <c r="AE40" s="1" t="s">
        <v>74</v>
      </c>
      <c r="AF40" s="1" t="s">
        <v>74</v>
      </c>
      <c r="AG40" s="1" t="s">
        <v>74</v>
      </c>
      <c r="AH40" s="1" t="s">
        <v>74</v>
      </c>
      <c r="AI40" s="1" t="s">
        <v>74</v>
      </c>
      <c r="AJ40" s="1" t="s">
        <v>74</v>
      </c>
      <c r="AK40" s="1" t="s">
        <v>74</v>
      </c>
      <c r="AL40" s="1" t="s">
        <v>74</v>
      </c>
      <c r="AM40" s="1" t="s">
        <v>74</v>
      </c>
      <c r="AN40" s="1" t="s">
        <v>74</v>
      </c>
      <c r="AO40" s="1" t="s">
        <v>221</v>
      </c>
      <c r="AP40" s="1" t="s">
        <v>222</v>
      </c>
      <c r="AQ40" s="1" t="s">
        <v>74</v>
      </c>
      <c r="AR40" s="1" t="s">
        <v>74</v>
      </c>
      <c r="AS40" s="1" t="s">
        <v>74</v>
      </c>
      <c r="AT40" s="1" t="s">
        <v>213</v>
      </c>
      <c r="AU40" s="1">
        <v>2016</v>
      </c>
      <c r="AV40" s="1">
        <v>29</v>
      </c>
      <c r="AW40" s="1">
        <v>11</v>
      </c>
      <c r="AX40" s="1" t="s">
        <v>74</v>
      </c>
      <c r="AY40" s="1" t="s">
        <v>74</v>
      </c>
      <c r="AZ40" s="1" t="s">
        <v>74</v>
      </c>
      <c r="BA40" s="1" t="s">
        <v>74</v>
      </c>
      <c r="BB40" s="1">
        <v>2256</v>
      </c>
      <c r="BC40" s="1">
        <v>2265</v>
      </c>
      <c r="BD40" s="1" t="s">
        <v>74</v>
      </c>
      <c r="BE40" s="1" t="s">
        <v>2453</v>
      </c>
      <c r="BF40" s="1" t="str">
        <f>HYPERLINK("http://dx.doi.org/10.1111/jeb.12953","http://dx.doi.org/10.1111/jeb.12953")</f>
        <v>http://dx.doi.org/10.1111/jeb.12953</v>
      </c>
      <c r="BG40" s="1" t="s">
        <v>74</v>
      </c>
      <c r="BH40" s="1" t="s">
        <v>74</v>
      </c>
      <c r="BI40" s="1" t="s">
        <v>74</v>
      </c>
      <c r="BJ40" s="1" t="s">
        <v>74</v>
      </c>
      <c r="BK40" s="1" t="s">
        <v>74</v>
      </c>
      <c r="BL40" s="1" t="s">
        <v>74</v>
      </c>
      <c r="BM40" s="1" t="s">
        <v>74</v>
      </c>
      <c r="BN40" s="1">
        <v>27467980</v>
      </c>
      <c r="BO40" s="1" t="s">
        <v>74</v>
      </c>
      <c r="BP40" s="1" t="s">
        <v>74</v>
      </c>
      <c r="BQ40" s="1" t="s">
        <v>74</v>
      </c>
      <c r="BR40" s="1" t="s">
        <v>74</v>
      </c>
      <c r="BS40" s="1" t="s">
        <v>2454</v>
      </c>
      <c r="BT40" s="1" t="str">
        <f>HYPERLINK("https%3A%2F%2Fwww.webofscience.com%2Fwos%2Fwoscc%2Ffull-record%2FWOS:000388312300013","View Full Record in Web of Science")</f>
        <v>View Full Record in Web of Science</v>
      </c>
    </row>
    <row r="41" spans="1:72" s="2" customFormat="1" x14ac:dyDescent="0.4">
      <c r="A41" s="1" t="s">
        <v>72</v>
      </c>
      <c r="B41" s="1" t="s">
        <v>4710</v>
      </c>
      <c r="C41" s="1" t="s">
        <v>74</v>
      </c>
      <c r="D41" s="1" t="s">
        <v>74</v>
      </c>
      <c r="E41" s="1" t="s">
        <v>74</v>
      </c>
      <c r="F41" s="1" t="s">
        <v>4711</v>
      </c>
      <c r="G41" s="1" t="s">
        <v>74</v>
      </c>
      <c r="H41" s="1" t="s">
        <v>74</v>
      </c>
      <c r="I41" s="1" t="s">
        <v>4712</v>
      </c>
      <c r="J41" s="1" t="s">
        <v>1112</v>
      </c>
      <c r="K41" s="1" t="s">
        <v>74</v>
      </c>
      <c r="L41" s="1" t="s">
        <v>74</v>
      </c>
      <c r="M41" s="1" t="s">
        <v>74</v>
      </c>
      <c r="N41" s="1" t="s">
        <v>74</v>
      </c>
      <c r="O41" s="1" t="s">
        <v>74</v>
      </c>
      <c r="P41" s="1" t="s">
        <v>74</v>
      </c>
      <c r="Q41" s="1" t="s">
        <v>74</v>
      </c>
      <c r="R41" s="1" t="s">
        <v>74</v>
      </c>
      <c r="S41" s="1" t="s">
        <v>74</v>
      </c>
      <c r="T41" s="1" t="s">
        <v>74</v>
      </c>
      <c r="U41" s="1" t="s">
        <v>74</v>
      </c>
      <c r="V41" s="4" t="s">
        <v>4713</v>
      </c>
      <c r="W41" s="1" t="s">
        <v>74</v>
      </c>
      <c r="X41" s="1" t="s">
        <v>74</v>
      </c>
      <c r="Y41" s="1" t="s">
        <v>74</v>
      </c>
      <c r="Z41" s="1" t="s">
        <v>74</v>
      </c>
      <c r="AA41" s="1" t="s">
        <v>4714</v>
      </c>
      <c r="AB41" s="1" t="s">
        <v>4715</v>
      </c>
      <c r="AC41" s="1" t="s">
        <v>74</v>
      </c>
      <c r="AD41" s="1" t="s">
        <v>74</v>
      </c>
      <c r="AE41" s="1" t="s">
        <v>74</v>
      </c>
      <c r="AF41" s="1" t="s">
        <v>74</v>
      </c>
      <c r="AG41" s="1" t="s">
        <v>74</v>
      </c>
      <c r="AH41" s="1" t="s">
        <v>74</v>
      </c>
      <c r="AI41" s="1" t="s">
        <v>74</v>
      </c>
      <c r="AJ41" s="1" t="s">
        <v>74</v>
      </c>
      <c r="AK41" s="1" t="s">
        <v>74</v>
      </c>
      <c r="AL41" s="1" t="s">
        <v>74</v>
      </c>
      <c r="AM41" s="1" t="s">
        <v>74</v>
      </c>
      <c r="AN41" s="1" t="s">
        <v>74</v>
      </c>
      <c r="AO41" s="1" t="s">
        <v>1114</v>
      </c>
      <c r="AP41" s="1" t="s">
        <v>74</v>
      </c>
      <c r="AQ41" s="1" t="s">
        <v>74</v>
      </c>
      <c r="AR41" s="1" t="s">
        <v>74</v>
      </c>
      <c r="AS41" s="1" t="s">
        <v>74</v>
      </c>
      <c r="AT41" s="1" t="s">
        <v>4716</v>
      </c>
      <c r="AU41" s="1">
        <v>2011</v>
      </c>
      <c r="AV41" s="1">
        <v>135</v>
      </c>
      <c r="AW41" s="1">
        <v>4</v>
      </c>
      <c r="AX41" s="1" t="s">
        <v>74</v>
      </c>
      <c r="AY41" s="1" t="s">
        <v>74</v>
      </c>
      <c r="AZ41" s="1" t="s">
        <v>74</v>
      </c>
      <c r="BA41" s="1" t="s">
        <v>74</v>
      </c>
      <c r="BB41" s="1">
        <v>293</v>
      </c>
      <c r="BC41" s="1">
        <v>299</v>
      </c>
      <c r="BD41" s="1" t="s">
        <v>74</v>
      </c>
      <c r="BE41" s="1" t="s">
        <v>4717</v>
      </c>
      <c r="BF41" s="1" t="str">
        <f>HYPERLINK("http://dx.doi.org/10.1016/j.applanim.2011.09.011","http://dx.doi.org/10.1016/j.applanim.2011.09.011")</f>
        <v>http://dx.doi.org/10.1016/j.applanim.2011.09.011</v>
      </c>
      <c r="BG41" s="1" t="s">
        <v>74</v>
      </c>
      <c r="BH41" s="1" t="s">
        <v>74</v>
      </c>
      <c r="BI41" s="1" t="s">
        <v>74</v>
      </c>
      <c r="BJ41" s="1" t="s">
        <v>74</v>
      </c>
      <c r="BK41" s="1" t="s">
        <v>74</v>
      </c>
      <c r="BL41" s="1" t="s">
        <v>74</v>
      </c>
      <c r="BM41" s="1" t="s">
        <v>74</v>
      </c>
      <c r="BN41" s="1" t="s">
        <v>74</v>
      </c>
      <c r="BO41" s="1" t="s">
        <v>74</v>
      </c>
      <c r="BP41" s="1" t="s">
        <v>74</v>
      </c>
      <c r="BQ41" s="1" t="s">
        <v>74</v>
      </c>
      <c r="BR41" s="1" t="s">
        <v>74</v>
      </c>
      <c r="BS41" s="1" t="s">
        <v>4718</v>
      </c>
      <c r="BT41" s="1" t="str">
        <f>HYPERLINK("https%3A%2F%2Fwww.webofscience.com%2Fwos%2Fwoscc%2Ffull-record%2FWOS:000298775100005","View Full Record in Web of Science")</f>
        <v>View Full Record in Web of Science</v>
      </c>
    </row>
    <row r="42" spans="1:72" s="2" customFormat="1" x14ac:dyDescent="0.4">
      <c r="A42" s="1" t="s">
        <v>72</v>
      </c>
      <c r="B42" s="1" t="s">
        <v>6919</v>
      </c>
      <c r="C42" s="1" t="s">
        <v>74</v>
      </c>
      <c r="D42" s="1" t="s">
        <v>74</v>
      </c>
      <c r="E42" s="1" t="s">
        <v>74</v>
      </c>
      <c r="F42" s="1" t="s">
        <v>6919</v>
      </c>
      <c r="G42" s="1" t="s">
        <v>74</v>
      </c>
      <c r="H42" s="1" t="s">
        <v>74</v>
      </c>
      <c r="I42" s="1" t="s">
        <v>6920</v>
      </c>
      <c r="J42" s="1" t="s">
        <v>140</v>
      </c>
      <c r="K42" s="1" t="s">
        <v>74</v>
      </c>
      <c r="L42" s="1" t="s">
        <v>74</v>
      </c>
      <c r="M42" s="1" t="s">
        <v>74</v>
      </c>
      <c r="N42" s="1" t="s">
        <v>74</v>
      </c>
      <c r="O42" s="1" t="s">
        <v>74</v>
      </c>
      <c r="P42" s="1" t="s">
        <v>74</v>
      </c>
      <c r="Q42" s="1" t="s">
        <v>74</v>
      </c>
      <c r="R42" s="1" t="s">
        <v>74</v>
      </c>
      <c r="S42" s="1" t="s">
        <v>74</v>
      </c>
      <c r="T42" s="1" t="s">
        <v>74</v>
      </c>
      <c r="U42" s="1" t="s">
        <v>74</v>
      </c>
      <c r="V42" s="4" t="s">
        <v>6921</v>
      </c>
      <c r="W42" s="1" t="s">
        <v>74</v>
      </c>
      <c r="X42" s="1" t="s">
        <v>74</v>
      </c>
      <c r="Y42" s="1" t="s">
        <v>74</v>
      </c>
      <c r="Z42" s="1" t="s">
        <v>74</v>
      </c>
      <c r="AA42" s="1" t="s">
        <v>1295</v>
      </c>
      <c r="AB42" s="1" t="s">
        <v>6922</v>
      </c>
      <c r="AC42" s="1" t="s">
        <v>74</v>
      </c>
      <c r="AD42" s="1" t="s">
        <v>74</v>
      </c>
      <c r="AE42" s="1" t="s">
        <v>74</v>
      </c>
      <c r="AF42" s="1" t="s">
        <v>74</v>
      </c>
      <c r="AG42" s="1" t="s">
        <v>74</v>
      </c>
      <c r="AH42" s="1" t="s">
        <v>74</v>
      </c>
      <c r="AI42" s="1" t="s">
        <v>74</v>
      </c>
      <c r="AJ42" s="1" t="s">
        <v>74</v>
      </c>
      <c r="AK42" s="1" t="s">
        <v>74</v>
      </c>
      <c r="AL42" s="1" t="s">
        <v>74</v>
      </c>
      <c r="AM42" s="1" t="s">
        <v>74</v>
      </c>
      <c r="AN42" s="1" t="s">
        <v>74</v>
      </c>
      <c r="AO42" s="1" t="s">
        <v>143</v>
      </c>
      <c r="AP42" s="1" t="s">
        <v>144</v>
      </c>
      <c r="AQ42" s="1" t="s">
        <v>74</v>
      </c>
      <c r="AR42" s="1" t="s">
        <v>74</v>
      </c>
      <c r="AS42" s="1" t="s">
        <v>74</v>
      </c>
      <c r="AT42" s="1" t="s">
        <v>305</v>
      </c>
      <c r="AU42" s="1">
        <v>1999</v>
      </c>
      <c r="AV42" s="1">
        <v>58</v>
      </c>
      <c r="AW42" s="1" t="s">
        <v>74</v>
      </c>
      <c r="AX42" s="1">
        <v>6</v>
      </c>
      <c r="AY42" s="1" t="s">
        <v>74</v>
      </c>
      <c r="AZ42" s="1" t="s">
        <v>74</v>
      </c>
      <c r="BA42" s="1" t="s">
        <v>74</v>
      </c>
      <c r="BB42" s="1">
        <v>1269</v>
      </c>
      <c r="BC42" s="1">
        <v>1276</v>
      </c>
      <c r="BD42" s="1" t="s">
        <v>74</v>
      </c>
      <c r="BE42" s="1" t="s">
        <v>6923</v>
      </c>
      <c r="BF42" s="1" t="str">
        <f>HYPERLINK("http://dx.doi.org/10.1006/anbe.1999.1260","http://dx.doi.org/10.1006/anbe.1999.1260")</f>
        <v>http://dx.doi.org/10.1006/anbe.1999.1260</v>
      </c>
      <c r="BG42" s="1" t="s">
        <v>74</v>
      </c>
      <c r="BH42" s="1" t="s">
        <v>74</v>
      </c>
      <c r="BI42" s="1" t="s">
        <v>74</v>
      </c>
      <c r="BJ42" s="1" t="s">
        <v>74</v>
      </c>
      <c r="BK42" s="1" t="s">
        <v>74</v>
      </c>
      <c r="BL42" s="1" t="s">
        <v>74</v>
      </c>
      <c r="BM42" s="1" t="s">
        <v>74</v>
      </c>
      <c r="BN42" s="1">
        <v>10600149</v>
      </c>
      <c r="BO42" s="1" t="s">
        <v>74</v>
      </c>
      <c r="BP42" s="1" t="s">
        <v>74</v>
      </c>
      <c r="BQ42" s="1" t="s">
        <v>74</v>
      </c>
      <c r="BR42" s="1" t="s">
        <v>74</v>
      </c>
      <c r="BS42" s="1" t="s">
        <v>6924</v>
      </c>
      <c r="BT42" s="1" t="str">
        <f>HYPERLINK("https%3A%2F%2Fwww.webofscience.com%2Fwos%2Fwoscc%2Ffull-record%2FWOS:000085094300014","View Full Record in Web of Science")</f>
        <v>View Full Record in Web of Science</v>
      </c>
    </row>
    <row r="43" spans="1:72" s="2" customFormat="1" x14ac:dyDescent="0.4">
      <c r="A43" s="1" t="s">
        <v>72</v>
      </c>
      <c r="B43" s="1" t="s">
        <v>3008</v>
      </c>
      <c r="C43" s="1" t="s">
        <v>74</v>
      </c>
      <c r="D43" s="1" t="s">
        <v>74</v>
      </c>
      <c r="E43" s="1" t="s">
        <v>74</v>
      </c>
      <c r="F43" s="1" t="s">
        <v>3009</v>
      </c>
      <c r="G43" s="1" t="s">
        <v>74</v>
      </c>
      <c r="H43" s="1" t="s">
        <v>74</v>
      </c>
      <c r="I43" s="1" t="s">
        <v>3010</v>
      </c>
      <c r="J43" s="1" t="s">
        <v>610</v>
      </c>
      <c r="K43" s="1" t="s">
        <v>74</v>
      </c>
      <c r="L43" s="1" t="s">
        <v>74</v>
      </c>
      <c r="M43" s="1" t="s">
        <v>74</v>
      </c>
      <c r="N43" s="1" t="s">
        <v>74</v>
      </c>
      <c r="O43" s="1" t="s">
        <v>74</v>
      </c>
      <c r="P43" s="1" t="s">
        <v>74</v>
      </c>
      <c r="Q43" s="1" t="s">
        <v>74</v>
      </c>
      <c r="R43" s="1" t="s">
        <v>74</v>
      </c>
      <c r="S43" s="1" t="s">
        <v>74</v>
      </c>
      <c r="T43" s="1" t="s">
        <v>74</v>
      </c>
      <c r="U43" s="1" t="s">
        <v>74</v>
      </c>
      <c r="V43" s="4" t="s">
        <v>3011</v>
      </c>
      <c r="W43" s="1" t="s">
        <v>74</v>
      </c>
      <c r="X43" s="1" t="s">
        <v>74</v>
      </c>
      <c r="Y43" s="1" t="s">
        <v>74</v>
      </c>
      <c r="Z43" s="1" t="s">
        <v>74</v>
      </c>
      <c r="AA43" s="1" t="s">
        <v>3012</v>
      </c>
      <c r="AB43" s="1" t="s">
        <v>3013</v>
      </c>
      <c r="AC43" s="1" t="s">
        <v>74</v>
      </c>
      <c r="AD43" s="1" t="s">
        <v>74</v>
      </c>
      <c r="AE43" s="1" t="s">
        <v>74</v>
      </c>
      <c r="AF43" s="1" t="s">
        <v>74</v>
      </c>
      <c r="AG43" s="1" t="s">
        <v>74</v>
      </c>
      <c r="AH43" s="1" t="s">
        <v>74</v>
      </c>
      <c r="AI43" s="1" t="s">
        <v>74</v>
      </c>
      <c r="AJ43" s="1" t="s">
        <v>74</v>
      </c>
      <c r="AK43" s="1" t="s">
        <v>74</v>
      </c>
      <c r="AL43" s="1" t="s">
        <v>74</v>
      </c>
      <c r="AM43" s="1" t="s">
        <v>74</v>
      </c>
      <c r="AN43" s="1" t="s">
        <v>74</v>
      </c>
      <c r="AO43" s="1" t="s">
        <v>614</v>
      </c>
      <c r="AP43" s="1" t="s">
        <v>615</v>
      </c>
      <c r="AQ43" s="1" t="s">
        <v>74</v>
      </c>
      <c r="AR43" s="1" t="s">
        <v>74</v>
      </c>
      <c r="AS43" s="1" t="s">
        <v>74</v>
      </c>
      <c r="AT43" s="1" t="s">
        <v>123</v>
      </c>
      <c r="AU43" s="1">
        <v>2015</v>
      </c>
      <c r="AV43" s="1">
        <v>121</v>
      </c>
      <c r="AW43" s="1">
        <v>3</v>
      </c>
      <c r="AX43" s="1" t="s">
        <v>74</v>
      </c>
      <c r="AY43" s="1" t="s">
        <v>74</v>
      </c>
      <c r="AZ43" s="1" t="s">
        <v>74</v>
      </c>
      <c r="BA43" s="1" t="s">
        <v>74</v>
      </c>
      <c r="BB43" s="1">
        <v>300</v>
      </c>
      <c r="BC43" s="1">
        <v>307</v>
      </c>
      <c r="BD43" s="1" t="s">
        <v>74</v>
      </c>
      <c r="BE43" s="1" t="s">
        <v>3014</v>
      </c>
      <c r="BF43" s="1" t="str">
        <f>HYPERLINK("http://dx.doi.org/10.1111/eth.12339","http://dx.doi.org/10.1111/eth.12339")</f>
        <v>http://dx.doi.org/10.1111/eth.12339</v>
      </c>
      <c r="BG43" s="1" t="s">
        <v>74</v>
      </c>
      <c r="BH43" s="1" t="s">
        <v>74</v>
      </c>
      <c r="BI43" s="1" t="s">
        <v>74</v>
      </c>
      <c r="BJ43" s="1" t="s">
        <v>74</v>
      </c>
      <c r="BK43" s="1" t="s">
        <v>74</v>
      </c>
      <c r="BL43" s="1" t="s">
        <v>74</v>
      </c>
      <c r="BM43" s="1" t="s">
        <v>74</v>
      </c>
      <c r="BN43" s="1" t="s">
        <v>74</v>
      </c>
      <c r="BO43" s="1" t="s">
        <v>74</v>
      </c>
      <c r="BP43" s="1" t="s">
        <v>74</v>
      </c>
      <c r="BQ43" s="1" t="s">
        <v>74</v>
      </c>
      <c r="BR43" s="1" t="s">
        <v>74</v>
      </c>
      <c r="BS43" s="1" t="s">
        <v>3015</v>
      </c>
      <c r="BT43" s="1" t="str">
        <f>HYPERLINK("https%3A%2F%2Fwww.webofscience.com%2Fwos%2Fwoscc%2Ffull-record%2FWOS:000348908100009","View Full Record in Web of Science")</f>
        <v>View Full Record in Web of Science</v>
      </c>
    </row>
    <row r="44" spans="1:72" s="2" customFormat="1" x14ac:dyDescent="0.4">
      <c r="A44" s="1" t="s">
        <v>72</v>
      </c>
      <c r="B44" s="1" t="s">
        <v>2429</v>
      </c>
      <c r="C44" s="1" t="s">
        <v>74</v>
      </c>
      <c r="D44" s="1" t="s">
        <v>74</v>
      </c>
      <c r="E44" s="1" t="s">
        <v>74</v>
      </c>
      <c r="F44" s="1" t="s">
        <v>2429</v>
      </c>
      <c r="G44" s="1" t="s">
        <v>74</v>
      </c>
      <c r="H44" s="1" t="s">
        <v>74</v>
      </c>
      <c r="I44" s="1" t="s">
        <v>3771</v>
      </c>
      <c r="J44" s="1" t="s">
        <v>1112</v>
      </c>
      <c r="K44" s="1" t="s">
        <v>74</v>
      </c>
      <c r="L44" s="1" t="s">
        <v>74</v>
      </c>
      <c r="M44" s="1" t="s">
        <v>74</v>
      </c>
      <c r="N44" s="1" t="s">
        <v>74</v>
      </c>
      <c r="O44" s="1" t="s">
        <v>74</v>
      </c>
      <c r="P44" s="1" t="s">
        <v>74</v>
      </c>
      <c r="Q44" s="1" t="s">
        <v>74</v>
      </c>
      <c r="R44" s="1" t="s">
        <v>74</v>
      </c>
      <c r="S44" s="1" t="s">
        <v>74</v>
      </c>
      <c r="T44" s="1" t="s">
        <v>74</v>
      </c>
      <c r="U44" s="1" t="s">
        <v>74</v>
      </c>
      <c r="V44" s="4" t="s">
        <v>3772</v>
      </c>
      <c r="W44" s="1" t="s">
        <v>74</v>
      </c>
      <c r="X44" s="1" t="s">
        <v>74</v>
      </c>
      <c r="Y44" s="1" t="s">
        <v>74</v>
      </c>
      <c r="Z44" s="1" t="s">
        <v>74</v>
      </c>
      <c r="AA44" s="1" t="s">
        <v>805</v>
      </c>
      <c r="AB44" s="1" t="s">
        <v>2432</v>
      </c>
      <c r="AC44" s="1" t="s">
        <v>74</v>
      </c>
      <c r="AD44" s="1" t="s">
        <v>74</v>
      </c>
      <c r="AE44" s="1" t="s">
        <v>74</v>
      </c>
      <c r="AF44" s="1" t="s">
        <v>74</v>
      </c>
      <c r="AG44" s="1" t="s">
        <v>74</v>
      </c>
      <c r="AH44" s="1" t="s">
        <v>74</v>
      </c>
      <c r="AI44" s="1" t="s">
        <v>74</v>
      </c>
      <c r="AJ44" s="1" t="s">
        <v>74</v>
      </c>
      <c r="AK44" s="1" t="s">
        <v>74</v>
      </c>
      <c r="AL44" s="1" t="s">
        <v>74</v>
      </c>
      <c r="AM44" s="1" t="s">
        <v>74</v>
      </c>
      <c r="AN44" s="1" t="s">
        <v>74</v>
      </c>
      <c r="AO44" s="1" t="s">
        <v>1114</v>
      </c>
      <c r="AP44" s="1" t="s">
        <v>74</v>
      </c>
      <c r="AQ44" s="1" t="s">
        <v>74</v>
      </c>
      <c r="AR44" s="1" t="s">
        <v>74</v>
      </c>
      <c r="AS44" s="1" t="s">
        <v>74</v>
      </c>
      <c r="AT44" s="1" t="s">
        <v>633</v>
      </c>
      <c r="AU44" s="1">
        <v>1996</v>
      </c>
      <c r="AV44" s="1">
        <v>47</v>
      </c>
      <c r="AW44" s="1" t="s">
        <v>548</v>
      </c>
      <c r="AX44" s="1" t="s">
        <v>74</v>
      </c>
      <c r="AY44" s="1" t="s">
        <v>74</v>
      </c>
      <c r="AZ44" s="1" t="s">
        <v>74</v>
      </c>
      <c r="BA44" s="1" t="s">
        <v>74</v>
      </c>
      <c r="BB44" s="1">
        <v>75</v>
      </c>
      <c r="BC44" s="1">
        <v>89</v>
      </c>
      <c r="BD44" s="1" t="s">
        <v>74</v>
      </c>
      <c r="BE44" s="1" t="s">
        <v>3773</v>
      </c>
      <c r="BF44" s="1" t="str">
        <f>HYPERLINK("http://dx.doi.org/10.1016/0168-1591(95)01012-2","http://dx.doi.org/10.1016/0168-1591(95)01012-2")</f>
        <v>http://dx.doi.org/10.1016/0168-1591(95)01012-2</v>
      </c>
      <c r="BG44" s="1" t="s">
        <v>74</v>
      </c>
      <c r="BH44" s="1" t="s">
        <v>74</v>
      </c>
      <c r="BI44" s="1" t="s">
        <v>74</v>
      </c>
      <c r="BJ44" s="1" t="s">
        <v>74</v>
      </c>
      <c r="BK44" s="1" t="s">
        <v>74</v>
      </c>
      <c r="BL44" s="1" t="s">
        <v>74</v>
      </c>
      <c r="BM44" s="1" t="s">
        <v>74</v>
      </c>
      <c r="BN44" s="1" t="s">
        <v>74</v>
      </c>
      <c r="BO44" s="1" t="s">
        <v>74</v>
      </c>
      <c r="BP44" s="1" t="s">
        <v>74</v>
      </c>
      <c r="BQ44" s="1" t="s">
        <v>74</v>
      </c>
      <c r="BR44" s="1" t="s">
        <v>74</v>
      </c>
      <c r="BS44" s="1" t="s">
        <v>3774</v>
      </c>
      <c r="BT44" s="1" t="str">
        <f>HYPERLINK("https%3A%2F%2Fwww.webofscience.com%2Fwos%2Fwoscc%2Ffull-record%2FWOS:A1996UR65000008","View Full Record in Web of Science")</f>
        <v>View Full Record in Web of Science</v>
      </c>
    </row>
    <row r="45" spans="1:72" s="2" customFormat="1" x14ac:dyDescent="0.4">
      <c r="A45" s="1" t="s">
        <v>72</v>
      </c>
      <c r="B45" s="1" t="s">
        <v>1153</v>
      </c>
      <c r="C45" s="1" t="s">
        <v>74</v>
      </c>
      <c r="D45" s="1" t="s">
        <v>74</v>
      </c>
      <c r="E45" s="1" t="s">
        <v>74</v>
      </c>
      <c r="F45" s="1" t="s">
        <v>1154</v>
      </c>
      <c r="G45" s="1" t="s">
        <v>74</v>
      </c>
      <c r="H45" s="1" t="s">
        <v>74</v>
      </c>
      <c r="I45" s="1" t="s">
        <v>1155</v>
      </c>
      <c r="J45" s="1" t="s">
        <v>312</v>
      </c>
      <c r="K45" s="1" t="s">
        <v>74</v>
      </c>
      <c r="L45" s="1" t="s">
        <v>74</v>
      </c>
      <c r="M45" s="1" t="s">
        <v>74</v>
      </c>
      <c r="N45" s="1" t="s">
        <v>74</v>
      </c>
      <c r="O45" s="1" t="s">
        <v>74</v>
      </c>
      <c r="P45" s="1" t="s">
        <v>74</v>
      </c>
      <c r="Q45" s="1" t="s">
        <v>74</v>
      </c>
      <c r="R45" s="1" t="s">
        <v>74</v>
      </c>
      <c r="S45" s="1" t="s">
        <v>74</v>
      </c>
      <c r="T45" s="1" t="s">
        <v>74</v>
      </c>
      <c r="U45" s="1" t="s">
        <v>74</v>
      </c>
      <c r="V45" s="4" t="s">
        <v>1156</v>
      </c>
      <c r="W45" s="1" t="s">
        <v>74</v>
      </c>
      <c r="X45" s="1" t="s">
        <v>74</v>
      </c>
      <c r="Y45" s="1" t="s">
        <v>74</v>
      </c>
      <c r="Z45" s="1" t="s">
        <v>74</v>
      </c>
      <c r="AA45" s="1" t="s">
        <v>433</v>
      </c>
      <c r="AB45" s="1" t="s">
        <v>434</v>
      </c>
      <c r="AC45" s="1" t="s">
        <v>74</v>
      </c>
      <c r="AD45" s="1" t="s">
        <v>74</v>
      </c>
      <c r="AE45" s="1" t="s">
        <v>74</v>
      </c>
      <c r="AF45" s="1" t="s">
        <v>74</v>
      </c>
      <c r="AG45" s="1" t="s">
        <v>74</v>
      </c>
      <c r="AH45" s="1" t="s">
        <v>74</v>
      </c>
      <c r="AI45" s="1" t="s">
        <v>74</v>
      </c>
      <c r="AJ45" s="1" t="s">
        <v>74</v>
      </c>
      <c r="AK45" s="1" t="s">
        <v>74</v>
      </c>
      <c r="AL45" s="1" t="s">
        <v>74</v>
      </c>
      <c r="AM45" s="1" t="s">
        <v>74</v>
      </c>
      <c r="AN45" s="1" t="s">
        <v>74</v>
      </c>
      <c r="AO45" s="1" t="s">
        <v>314</v>
      </c>
      <c r="AP45" s="1" t="s">
        <v>315</v>
      </c>
      <c r="AQ45" s="1" t="s">
        <v>74</v>
      </c>
      <c r="AR45" s="1" t="s">
        <v>74</v>
      </c>
      <c r="AS45" s="1" t="s">
        <v>74</v>
      </c>
      <c r="AT45" s="1" t="s">
        <v>175</v>
      </c>
      <c r="AU45" s="1">
        <v>2009</v>
      </c>
      <c r="AV45" s="1">
        <v>174</v>
      </c>
      <c r="AW45" s="1">
        <v>4</v>
      </c>
      <c r="AX45" s="1" t="s">
        <v>74</v>
      </c>
      <c r="AY45" s="1" t="s">
        <v>74</v>
      </c>
      <c r="AZ45" s="1" t="s">
        <v>74</v>
      </c>
      <c r="BA45" s="1" t="s">
        <v>74</v>
      </c>
      <c r="BB45" s="1">
        <v>455</v>
      </c>
      <c r="BC45" s="1">
        <v>464</v>
      </c>
      <c r="BD45" s="1" t="s">
        <v>74</v>
      </c>
      <c r="BE45" s="1" t="s">
        <v>1157</v>
      </c>
      <c r="BF45" s="1" t="str">
        <f>HYPERLINK("http://dx.doi.org/10.1086/605376","http://dx.doi.org/10.1086/605376")</f>
        <v>http://dx.doi.org/10.1086/605376</v>
      </c>
      <c r="BG45" s="1" t="s">
        <v>74</v>
      </c>
      <c r="BH45" s="1" t="s">
        <v>74</v>
      </c>
      <c r="BI45" s="1" t="s">
        <v>74</v>
      </c>
      <c r="BJ45" s="1" t="s">
        <v>74</v>
      </c>
      <c r="BK45" s="1" t="s">
        <v>74</v>
      </c>
      <c r="BL45" s="1" t="s">
        <v>74</v>
      </c>
      <c r="BM45" s="1" t="s">
        <v>74</v>
      </c>
      <c r="BN45" s="1">
        <v>19689213</v>
      </c>
      <c r="BO45" s="1" t="s">
        <v>74</v>
      </c>
      <c r="BP45" s="1" t="s">
        <v>74</v>
      </c>
      <c r="BQ45" s="1" t="s">
        <v>74</v>
      </c>
      <c r="BR45" s="1" t="s">
        <v>74</v>
      </c>
      <c r="BS45" s="1" t="s">
        <v>1158</v>
      </c>
      <c r="BT45" s="1" t="str">
        <f>HYPERLINK("https%3A%2F%2Fwww.webofscience.com%2Fwos%2Fwoscc%2Ffull-record%2FWOS:000269824800004","View Full Record in Web of Science")</f>
        <v>View Full Record in Web of Science</v>
      </c>
    </row>
    <row r="46" spans="1:72" s="2" customFormat="1" x14ac:dyDescent="0.4">
      <c r="A46" s="1" t="s">
        <v>72</v>
      </c>
      <c r="B46" s="1" t="s">
        <v>1836</v>
      </c>
      <c r="C46" s="1" t="s">
        <v>74</v>
      </c>
      <c r="D46" s="1" t="s">
        <v>74</v>
      </c>
      <c r="E46" s="1" t="s">
        <v>74</v>
      </c>
      <c r="F46" s="1" t="s">
        <v>1836</v>
      </c>
      <c r="G46" s="1" t="s">
        <v>74</v>
      </c>
      <c r="H46" s="1" t="s">
        <v>74</v>
      </c>
      <c r="I46" s="1" t="s">
        <v>1837</v>
      </c>
      <c r="J46" s="1" t="s">
        <v>140</v>
      </c>
      <c r="K46" s="1" t="s">
        <v>74</v>
      </c>
      <c r="L46" s="1" t="s">
        <v>74</v>
      </c>
      <c r="M46" s="1" t="s">
        <v>74</v>
      </c>
      <c r="N46" s="1" t="s">
        <v>74</v>
      </c>
      <c r="O46" s="1" t="s">
        <v>74</v>
      </c>
      <c r="P46" s="1" t="s">
        <v>74</v>
      </c>
      <c r="Q46" s="1" t="s">
        <v>74</v>
      </c>
      <c r="R46" s="1" t="s">
        <v>74</v>
      </c>
      <c r="S46" s="1" t="s">
        <v>74</v>
      </c>
      <c r="T46" s="1" t="s">
        <v>74</v>
      </c>
      <c r="U46" s="1" t="s">
        <v>74</v>
      </c>
      <c r="V46" s="4" t="s">
        <v>1838</v>
      </c>
      <c r="W46" s="1" t="s">
        <v>74</v>
      </c>
      <c r="X46" s="1" t="s">
        <v>74</v>
      </c>
      <c r="Y46" s="1" t="s">
        <v>74</v>
      </c>
      <c r="Z46" s="1" t="s">
        <v>74</v>
      </c>
      <c r="AA46" s="1" t="s">
        <v>1839</v>
      </c>
      <c r="AB46" s="1" t="s">
        <v>1840</v>
      </c>
      <c r="AC46" s="1" t="s">
        <v>74</v>
      </c>
      <c r="AD46" s="1" t="s">
        <v>74</v>
      </c>
      <c r="AE46" s="1" t="s">
        <v>74</v>
      </c>
      <c r="AF46" s="1" t="s">
        <v>74</v>
      </c>
      <c r="AG46" s="1" t="s">
        <v>74</v>
      </c>
      <c r="AH46" s="1" t="s">
        <v>74</v>
      </c>
      <c r="AI46" s="1" t="s">
        <v>74</v>
      </c>
      <c r="AJ46" s="1" t="s">
        <v>74</v>
      </c>
      <c r="AK46" s="1" t="s">
        <v>74</v>
      </c>
      <c r="AL46" s="1" t="s">
        <v>74</v>
      </c>
      <c r="AM46" s="1" t="s">
        <v>74</v>
      </c>
      <c r="AN46" s="1" t="s">
        <v>74</v>
      </c>
      <c r="AO46" s="1" t="s">
        <v>143</v>
      </c>
      <c r="AP46" s="1" t="s">
        <v>144</v>
      </c>
      <c r="AQ46" s="1" t="s">
        <v>74</v>
      </c>
      <c r="AR46" s="1" t="s">
        <v>74</v>
      </c>
      <c r="AS46" s="1" t="s">
        <v>74</v>
      </c>
      <c r="AT46" s="1" t="s">
        <v>175</v>
      </c>
      <c r="AU46" s="1">
        <v>2001</v>
      </c>
      <c r="AV46" s="1">
        <v>62</v>
      </c>
      <c r="AW46" s="1" t="s">
        <v>74</v>
      </c>
      <c r="AX46" s="1">
        <v>4</v>
      </c>
      <c r="AY46" s="1" t="s">
        <v>74</v>
      </c>
      <c r="AZ46" s="1" t="s">
        <v>74</v>
      </c>
      <c r="BA46" s="1" t="s">
        <v>74</v>
      </c>
      <c r="BB46" s="1">
        <v>695</v>
      </c>
      <c r="BC46" s="1">
        <v>704</v>
      </c>
      <c r="BD46" s="1" t="s">
        <v>74</v>
      </c>
      <c r="BE46" s="1" t="s">
        <v>1841</v>
      </c>
      <c r="BF46" s="1" t="str">
        <f>HYPERLINK("http://dx.doi.org/10.1006/anbe.2001.1804","http://dx.doi.org/10.1006/anbe.2001.1804")</f>
        <v>http://dx.doi.org/10.1006/anbe.2001.1804</v>
      </c>
      <c r="BG46" s="1" t="s">
        <v>74</v>
      </c>
      <c r="BH46" s="1" t="s">
        <v>74</v>
      </c>
      <c r="BI46" s="1" t="s">
        <v>74</v>
      </c>
      <c r="BJ46" s="1" t="s">
        <v>74</v>
      </c>
      <c r="BK46" s="1" t="s">
        <v>74</v>
      </c>
      <c r="BL46" s="1" t="s">
        <v>74</v>
      </c>
      <c r="BM46" s="1" t="s">
        <v>74</v>
      </c>
      <c r="BN46" s="1" t="s">
        <v>74</v>
      </c>
      <c r="BO46" s="1" t="s">
        <v>74</v>
      </c>
      <c r="BP46" s="1" t="s">
        <v>74</v>
      </c>
      <c r="BQ46" s="1" t="s">
        <v>74</v>
      </c>
      <c r="BR46" s="1" t="s">
        <v>74</v>
      </c>
      <c r="BS46" s="1" t="s">
        <v>1842</v>
      </c>
      <c r="BT46" s="1" t="str">
        <f>HYPERLINK("https%3A%2F%2Fwww.webofscience.com%2Fwos%2Fwoscc%2Ffull-record%2FWOS:000172189400010","View Full Record in Web of Science")</f>
        <v>View Full Record in Web of Science</v>
      </c>
    </row>
    <row r="47" spans="1:72" s="2" customFormat="1" x14ac:dyDescent="0.4">
      <c r="A47" s="1" t="s">
        <v>72</v>
      </c>
      <c r="B47" s="1" t="s">
        <v>5549</v>
      </c>
      <c r="C47" s="1" t="s">
        <v>74</v>
      </c>
      <c r="D47" s="1" t="s">
        <v>74</v>
      </c>
      <c r="E47" s="1" t="s">
        <v>74</v>
      </c>
      <c r="F47" s="1" t="s">
        <v>5550</v>
      </c>
      <c r="G47" s="1" t="s">
        <v>74</v>
      </c>
      <c r="H47" s="1" t="s">
        <v>74</v>
      </c>
      <c r="I47" s="1" t="s">
        <v>5551</v>
      </c>
      <c r="J47" s="1" t="s">
        <v>1126</v>
      </c>
      <c r="K47" s="1" t="s">
        <v>74</v>
      </c>
      <c r="L47" s="1" t="s">
        <v>74</v>
      </c>
      <c r="M47" s="1" t="s">
        <v>74</v>
      </c>
      <c r="N47" s="1" t="s">
        <v>74</v>
      </c>
      <c r="O47" s="1" t="s">
        <v>74</v>
      </c>
      <c r="P47" s="1" t="s">
        <v>74</v>
      </c>
      <c r="Q47" s="1" t="s">
        <v>74</v>
      </c>
      <c r="R47" s="1" t="s">
        <v>74</v>
      </c>
      <c r="S47" s="1" t="s">
        <v>74</v>
      </c>
      <c r="T47" s="1" t="s">
        <v>74</v>
      </c>
      <c r="U47" s="1" t="s">
        <v>74</v>
      </c>
      <c r="V47" s="4" t="s">
        <v>5552</v>
      </c>
      <c r="W47" s="1" t="s">
        <v>74</v>
      </c>
      <c r="X47" s="1" t="s">
        <v>74</v>
      </c>
      <c r="Y47" s="1" t="s">
        <v>74</v>
      </c>
      <c r="Z47" s="1" t="s">
        <v>74</v>
      </c>
      <c r="AA47" s="1" t="s">
        <v>74</v>
      </c>
      <c r="AB47" s="1" t="s">
        <v>74</v>
      </c>
      <c r="AC47" s="1" t="s">
        <v>74</v>
      </c>
      <c r="AD47" s="1" t="s">
        <v>74</v>
      </c>
      <c r="AE47" s="1" t="s">
        <v>74</v>
      </c>
      <c r="AF47" s="1" t="s">
        <v>74</v>
      </c>
      <c r="AG47" s="1" t="s">
        <v>74</v>
      </c>
      <c r="AH47" s="1" t="s">
        <v>74</v>
      </c>
      <c r="AI47" s="1" t="s">
        <v>74</v>
      </c>
      <c r="AJ47" s="1" t="s">
        <v>74</v>
      </c>
      <c r="AK47" s="1" t="s">
        <v>74</v>
      </c>
      <c r="AL47" s="1" t="s">
        <v>74</v>
      </c>
      <c r="AM47" s="1" t="s">
        <v>74</v>
      </c>
      <c r="AN47" s="1" t="s">
        <v>74</v>
      </c>
      <c r="AO47" s="1" t="s">
        <v>1128</v>
      </c>
      <c r="AP47" s="1" t="s">
        <v>1129</v>
      </c>
      <c r="AQ47" s="1" t="s">
        <v>74</v>
      </c>
      <c r="AR47" s="1" t="s">
        <v>74</v>
      </c>
      <c r="AS47" s="1" t="s">
        <v>74</v>
      </c>
      <c r="AT47" s="1" t="s">
        <v>305</v>
      </c>
      <c r="AU47" s="1">
        <v>2014</v>
      </c>
      <c r="AV47" s="1" t="s">
        <v>74</v>
      </c>
      <c r="AW47" s="1">
        <v>3</v>
      </c>
      <c r="AX47" s="1" t="s">
        <v>74</v>
      </c>
      <c r="AY47" s="1" t="s">
        <v>74</v>
      </c>
      <c r="AZ47" s="1" t="s">
        <v>74</v>
      </c>
      <c r="BA47" s="1" t="s">
        <v>74</v>
      </c>
      <c r="BB47" s="1">
        <v>481</v>
      </c>
      <c r="BC47" s="1">
        <v>488</v>
      </c>
      <c r="BD47" s="1" t="s">
        <v>74</v>
      </c>
      <c r="BE47" s="1" t="s">
        <v>5553</v>
      </c>
      <c r="BF47" s="1" t="str">
        <f>HYPERLINK("http://dx.doi.org/10.1643/CE-13-154","http://dx.doi.org/10.1643/CE-13-154")</f>
        <v>http://dx.doi.org/10.1643/CE-13-154</v>
      </c>
      <c r="BG47" s="1" t="s">
        <v>74</v>
      </c>
      <c r="BH47" s="1" t="s">
        <v>74</v>
      </c>
      <c r="BI47" s="1" t="s">
        <v>74</v>
      </c>
      <c r="BJ47" s="1" t="s">
        <v>74</v>
      </c>
      <c r="BK47" s="1" t="s">
        <v>74</v>
      </c>
      <c r="BL47" s="1" t="s">
        <v>74</v>
      </c>
      <c r="BM47" s="1" t="s">
        <v>74</v>
      </c>
      <c r="BN47" s="1" t="s">
        <v>74</v>
      </c>
      <c r="BO47" s="1" t="s">
        <v>74</v>
      </c>
      <c r="BP47" s="1" t="s">
        <v>74</v>
      </c>
      <c r="BQ47" s="1" t="s">
        <v>74</v>
      </c>
      <c r="BR47" s="1" t="s">
        <v>74</v>
      </c>
      <c r="BS47" s="1" t="s">
        <v>5554</v>
      </c>
      <c r="BT47" s="1" t="str">
        <f>HYPERLINK("https%3A%2F%2Fwww.webofscience.com%2Fwos%2Fwoscc%2Ffull-record%2FWOS:000348516300003","View Full Record in Web of Science")</f>
        <v>View Full Record in Web of Science</v>
      </c>
    </row>
    <row r="48" spans="1:72" s="7" customFormat="1" x14ac:dyDescent="0.4">
      <c r="A48" s="1" t="s">
        <v>72</v>
      </c>
      <c r="B48" s="1" t="s">
        <v>4949</v>
      </c>
      <c r="C48" s="1" t="s">
        <v>74</v>
      </c>
      <c r="D48" s="1" t="s">
        <v>74</v>
      </c>
      <c r="E48" s="1" t="s">
        <v>74</v>
      </c>
      <c r="F48" s="1" t="s">
        <v>4950</v>
      </c>
      <c r="G48" s="1" t="s">
        <v>74</v>
      </c>
      <c r="H48" s="1" t="s">
        <v>74</v>
      </c>
      <c r="I48" s="1" t="s">
        <v>4951</v>
      </c>
      <c r="J48" s="1" t="s">
        <v>509</v>
      </c>
      <c r="K48" s="1" t="s">
        <v>74</v>
      </c>
      <c r="L48" s="1" t="s">
        <v>74</v>
      </c>
      <c r="M48" s="1" t="s">
        <v>74</v>
      </c>
      <c r="N48" s="1" t="s">
        <v>74</v>
      </c>
      <c r="O48" s="1" t="s">
        <v>74</v>
      </c>
      <c r="P48" s="1" t="s">
        <v>74</v>
      </c>
      <c r="Q48" s="1" t="s">
        <v>74</v>
      </c>
      <c r="R48" s="1" t="s">
        <v>74</v>
      </c>
      <c r="S48" s="1" t="s">
        <v>74</v>
      </c>
      <c r="T48" s="1" t="s">
        <v>74</v>
      </c>
      <c r="U48" s="1" t="s">
        <v>74</v>
      </c>
      <c r="V48" s="4" t="s">
        <v>4952</v>
      </c>
      <c r="W48" s="1" t="s">
        <v>74</v>
      </c>
      <c r="X48" s="1" t="s">
        <v>74</v>
      </c>
      <c r="Y48" s="1" t="s">
        <v>74</v>
      </c>
      <c r="Z48" s="1" t="s">
        <v>74</v>
      </c>
      <c r="AA48" s="1" t="s">
        <v>4953</v>
      </c>
      <c r="AB48" s="1" t="s">
        <v>4954</v>
      </c>
      <c r="AC48" s="1" t="s">
        <v>74</v>
      </c>
      <c r="AD48" s="1" t="s">
        <v>74</v>
      </c>
      <c r="AE48" s="1" t="s">
        <v>74</v>
      </c>
      <c r="AF48" s="1" t="s">
        <v>74</v>
      </c>
      <c r="AG48" s="1" t="s">
        <v>74</v>
      </c>
      <c r="AH48" s="1" t="s">
        <v>74</v>
      </c>
      <c r="AI48" s="1" t="s">
        <v>74</v>
      </c>
      <c r="AJ48" s="1" t="s">
        <v>74</v>
      </c>
      <c r="AK48" s="1" t="s">
        <v>74</v>
      </c>
      <c r="AL48" s="1" t="s">
        <v>74</v>
      </c>
      <c r="AM48" s="1" t="s">
        <v>74</v>
      </c>
      <c r="AN48" s="1" t="s">
        <v>74</v>
      </c>
      <c r="AO48" s="1" t="s">
        <v>511</v>
      </c>
      <c r="AP48" s="1" t="s">
        <v>74</v>
      </c>
      <c r="AQ48" s="1" t="s">
        <v>74</v>
      </c>
      <c r="AR48" s="1" t="s">
        <v>74</v>
      </c>
      <c r="AS48" s="1" t="s">
        <v>74</v>
      </c>
      <c r="AT48" s="1" t="s">
        <v>633</v>
      </c>
      <c r="AU48" s="1">
        <v>2012</v>
      </c>
      <c r="AV48" s="1">
        <v>61</v>
      </c>
      <c r="AW48" s="1">
        <v>4</v>
      </c>
      <c r="AX48" s="1" t="s">
        <v>74</v>
      </c>
      <c r="AY48" s="1" t="s">
        <v>74</v>
      </c>
      <c r="AZ48" s="1" t="s">
        <v>74</v>
      </c>
      <c r="BA48" s="1" t="s">
        <v>74</v>
      </c>
      <c r="BB48" s="1">
        <v>496</v>
      </c>
      <c r="BC48" s="1">
        <v>503</v>
      </c>
      <c r="BD48" s="1" t="s">
        <v>74</v>
      </c>
      <c r="BE48" s="1" t="s">
        <v>4955</v>
      </c>
      <c r="BF48" s="1" t="str">
        <f>HYPERLINK("http://dx.doi.org/10.1016/j.yhbeh.2012.01.006","http://dx.doi.org/10.1016/j.yhbeh.2012.01.006")</f>
        <v>http://dx.doi.org/10.1016/j.yhbeh.2012.01.006</v>
      </c>
      <c r="BG48" s="1" t="s">
        <v>74</v>
      </c>
      <c r="BH48" s="1" t="s">
        <v>74</v>
      </c>
      <c r="BI48" s="1" t="s">
        <v>74</v>
      </c>
      <c r="BJ48" s="1" t="s">
        <v>74</v>
      </c>
      <c r="BK48" s="1" t="s">
        <v>74</v>
      </c>
      <c r="BL48" s="1" t="s">
        <v>74</v>
      </c>
      <c r="BM48" s="1" t="s">
        <v>74</v>
      </c>
      <c r="BN48" s="1">
        <v>22285646</v>
      </c>
      <c r="BO48" s="1" t="s">
        <v>74</v>
      </c>
      <c r="BP48" s="1" t="s">
        <v>74</v>
      </c>
      <c r="BQ48" s="1" t="s">
        <v>74</v>
      </c>
      <c r="BR48" s="1" t="s">
        <v>74</v>
      </c>
      <c r="BS48" s="1" t="s">
        <v>4956</v>
      </c>
      <c r="BT48" s="1" t="str">
        <f>HYPERLINK("https%3A%2F%2Fwww.webofscience.com%2Fwos%2Fwoscc%2Ffull-record%2FWOS:000302763700005","View Full Record in Web of Science")</f>
        <v>View Full Record in Web of Science</v>
      </c>
    </row>
    <row r="49" spans="1:72" s="2" customFormat="1" x14ac:dyDescent="0.4">
      <c r="A49" s="1" t="s">
        <v>72</v>
      </c>
      <c r="B49" s="1" t="s">
        <v>3119</v>
      </c>
      <c r="C49" s="1" t="s">
        <v>74</v>
      </c>
      <c r="D49" s="1" t="s">
        <v>74</v>
      </c>
      <c r="E49" s="1" t="s">
        <v>74</v>
      </c>
      <c r="F49" s="1" t="s">
        <v>3120</v>
      </c>
      <c r="G49" s="1" t="s">
        <v>74</v>
      </c>
      <c r="H49" s="1" t="s">
        <v>74</v>
      </c>
      <c r="I49" s="1" t="s">
        <v>3121</v>
      </c>
      <c r="J49" s="1" t="s">
        <v>218</v>
      </c>
      <c r="K49" s="1" t="s">
        <v>74</v>
      </c>
      <c r="L49" s="1" t="s">
        <v>74</v>
      </c>
      <c r="M49" s="1" t="s">
        <v>74</v>
      </c>
      <c r="N49" s="1" t="s">
        <v>74</v>
      </c>
      <c r="O49" s="1" t="s">
        <v>74</v>
      </c>
      <c r="P49" s="1" t="s">
        <v>74</v>
      </c>
      <c r="Q49" s="1" t="s">
        <v>74</v>
      </c>
      <c r="R49" s="1" t="s">
        <v>74</v>
      </c>
      <c r="S49" s="1" t="s">
        <v>74</v>
      </c>
      <c r="T49" s="1" t="s">
        <v>74</v>
      </c>
      <c r="U49" s="1" t="s">
        <v>74</v>
      </c>
      <c r="V49" s="4" t="s">
        <v>3122</v>
      </c>
      <c r="W49" s="1" t="s">
        <v>74</v>
      </c>
      <c r="X49" s="1" t="s">
        <v>74</v>
      </c>
      <c r="Y49" s="1" t="s">
        <v>74</v>
      </c>
      <c r="Z49" s="1" t="s">
        <v>74</v>
      </c>
      <c r="AA49" s="1" t="s">
        <v>74</v>
      </c>
      <c r="AB49" s="1" t="s">
        <v>74</v>
      </c>
      <c r="AC49" s="1" t="s">
        <v>74</v>
      </c>
      <c r="AD49" s="1" t="s">
        <v>74</v>
      </c>
      <c r="AE49" s="1" t="s">
        <v>74</v>
      </c>
      <c r="AF49" s="1" t="s">
        <v>74</v>
      </c>
      <c r="AG49" s="1" t="s">
        <v>74</v>
      </c>
      <c r="AH49" s="1" t="s">
        <v>74</v>
      </c>
      <c r="AI49" s="1" t="s">
        <v>74</v>
      </c>
      <c r="AJ49" s="1" t="s">
        <v>74</v>
      </c>
      <c r="AK49" s="1" t="s">
        <v>74</v>
      </c>
      <c r="AL49" s="1" t="s">
        <v>74</v>
      </c>
      <c r="AM49" s="1" t="s">
        <v>74</v>
      </c>
      <c r="AN49" s="1" t="s">
        <v>74</v>
      </c>
      <c r="AO49" s="1" t="s">
        <v>221</v>
      </c>
      <c r="AP49" s="1" t="s">
        <v>74</v>
      </c>
      <c r="AQ49" s="1" t="s">
        <v>74</v>
      </c>
      <c r="AR49" s="1" t="s">
        <v>74</v>
      </c>
      <c r="AS49" s="1" t="s">
        <v>74</v>
      </c>
      <c r="AT49" s="1" t="s">
        <v>352</v>
      </c>
      <c r="AU49" s="1">
        <v>2010</v>
      </c>
      <c r="AV49" s="1">
        <v>23</v>
      </c>
      <c r="AW49" s="1">
        <v>9</v>
      </c>
      <c r="AX49" s="1" t="s">
        <v>74</v>
      </c>
      <c r="AY49" s="1" t="s">
        <v>74</v>
      </c>
      <c r="AZ49" s="1" t="s">
        <v>74</v>
      </c>
      <c r="BA49" s="1" t="s">
        <v>74</v>
      </c>
      <c r="BB49" s="1">
        <v>1928</v>
      </c>
      <c r="BC49" s="1">
        <v>1936</v>
      </c>
      <c r="BD49" s="1" t="s">
        <v>74</v>
      </c>
      <c r="BE49" s="1" t="s">
        <v>3123</v>
      </c>
      <c r="BF49" s="1" t="str">
        <f>HYPERLINK("http://dx.doi.org/10.1111/j.1420-9101.2010.02063.x","http://dx.doi.org/10.1111/j.1420-9101.2010.02063.x")</f>
        <v>http://dx.doi.org/10.1111/j.1420-9101.2010.02063.x</v>
      </c>
      <c r="BG49" s="1" t="s">
        <v>74</v>
      </c>
      <c r="BH49" s="1" t="s">
        <v>74</v>
      </c>
      <c r="BI49" s="1" t="s">
        <v>74</v>
      </c>
      <c r="BJ49" s="1" t="s">
        <v>74</v>
      </c>
      <c r="BK49" s="1" t="s">
        <v>74</v>
      </c>
      <c r="BL49" s="1" t="s">
        <v>74</v>
      </c>
      <c r="BM49" s="1" t="s">
        <v>74</v>
      </c>
      <c r="BN49" s="1">
        <v>20695966</v>
      </c>
      <c r="BO49" s="1" t="s">
        <v>74</v>
      </c>
      <c r="BP49" s="1" t="s">
        <v>74</v>
      </c>
      <c r="BQ49" s="1" t="s">
        <v>74</v>
      </c>
      <c r="BR49" s="1" t="s">
        <v>74</v>
      </c>
      <c r="BS49" s="1" t="s">
        <v>3124</v>
      </c>
      <c r="BT49" s="1" t="str">
        <f>HYPERLINK("https%3A%2F%2Fwww.webofscience.com%2Fwos%2Fwoscc%2Ffull-record%2FWOS:000281141800011","View Full Record in Web of Science")</f>
        <v>View Full Record in Web of Science</v>
      </c>
    </row>
    <row r="50" spans="1:72" s="2" customFormat="1" x14ac:dyDescent="0.4">
      <c r="A50" s="1" t="s">
        <v>72</v>
      </c>
      <c r="B50" s="1" t="s">
        <v>3753</v>
      </c>
      <c r="C50" s="1" t="s">
        <v>74</v>
      </c>
      <c r="D50" s="1" t="s">
        <v>74</v>
      </c>
      <c r="E50" s="1" t="s">
        <v>74</v>
      </c>
      <c r="F50" s="1" t="s">
        <v>3754</v>
      </c>
      <c r="G50" s="1" t="s">
        <v>74</v>
      </c>
      <c r="H50" s="1" t="s">
        <v>74</v>
      </c>
      <c r="I50" s="1" t="s">
        <v>3755</v>
      </c>
      <c r="J50" s="1" t="s">
        <v>3756</v>
      </c>
      <c r="K50" s="1" t="s">
        <v>74</v>
      </c>
      <c r="L50" s="1" t="s">
        <v>74</v>
      </c>
      <c r="M50" s="1" t="s">
        <v>74</v>
      </c>
      <c r="N50" s="1" t="s">
        <v>74</v>
      </c>
      <c r="O50" s="1" t="s">
        <v>74</v>
      </c>
      <c r="P50" s="1" t="s">
        <v>74</v>
      </c>
      <c r="Q50" s="1" t="s">
        <v>74</v>
      </c>
      <c r="R50" s="1" t="s">
        <v>74</v>
      </c>
      <c r="S50" s="1" t="s">
        <v>74</v>
      </c>
      <c r="T50" s="1" t="s">
        <v>74</v>
      </c>
      <c r="U50" s="1" t="s">
        <v>74</v>
      </c>
      <c r="V50" s="4" t="s">
        <v>3757</v>
      </c>
      <c r="W50" s="1" t="s">
        <v>74</v>
      </c>
      <c r="X50" s="1" t="s">
        <v>74</v>
      </c>
      <c r="Y50" s="1" t="s">
        <v>74</v>
      </c>
      <c r="Z50" s="1" t="s">
        <v>74</v>
      </c>
      <c r="AA50" s="1" t="s">
        <v>3758</v>
      </c>
      <c r="AB50" s="1" t="s">
        <v>3759</v>
      </c>
      <c r="AC50" s="1" t="s">
        <v>74</v>
      </c>
      <c r="AD50" s="1" t="s">
        <v>74</v>
      </c>
      <c r="AE50" s="1" t="s">
        <v>74</v>
      </c>
      <c r="AF50" s="1" t="s">
        <v>74</v>
      </c>
      <c r="AG50" s="1" t="s">
        <v>74</v>
      </c>
      <c r="AH50" s="1" t="s">
        <v>74</v>
      </c>
      <c r="AI50" s="1" t="s">
        <v>74</v>
      </c>
      <c r="AJ50" s="1" t="s">
        <v>74</v>
      </c>
      <c r="AK50" s="1" t="s">
        <v>74</v>
      </c>
      <c r="AL50" s="1" t="s">
        <v>74</v>
      </c>
      <c r="AM50" s="1" t="s">
        <v>74</v>
      </c>
      <c r="AN50" s="1" t="s">
        <v>74</v>
      </c>
      <c r="AO50" s="1" t="s">
        <v>3760</v>
      </c>
      <c r="AP50" s="1" t="s">
        <v>74</v>
      </c>
      <c r="AQ50" s="1" t="s">
        <v>74</v>
      </c>
      <c r="AR50" s="1" t="s">
        <v>74</v>
      </c>
      <c r="AS50" s="1" t="s">
        <v>74</v>
      </c>
      <c r="AT50" s="1" t="s">
        <v>175</v>
      </c>
      <c r="AU50" s="1">
        <v>2019</v>
      </c>
      <c r="AV50" s="1">
        <v>12</v>
      </c>
      <c r="AW50" s="1">
        <v>9</v>
      </c>
      <c r="AX50" s="1" t="s">
        <v>74</v>
      </c>
      <c r="AY50" s="1" t="s">
        <v>74</v>
      </c>
      <c r="AZ50" s="1" t="s">
        <v>74</v>
      </c>
      <c r="BA50" s="1" t="s">
        <v>74</v>
      </c>
      <c r="BB50" s="1">
        <v>1757</v>
      </c>
      <c r="BC50" s="1">
        <v>1771</v>
      </c>
      <c r="BD50" s="1" t="s">
        <v>74</v>
      </c>
      <c r="BE50" s="1" t="s">
        <v>3761</v>
      </c>
      <c r="BF50" s="1" t="str">
        <f>HYPERLINK("http://dx.doi.org/10.1111/eva.12830","http://dx.doi.org/10.1111/eva.12830")</f>
        <v>http://dx.doi.org/10.1111/eva.12830</v>
      </c>
      <c r="BG50" s="1" t="s">
        <v>74</v>
      </c>
      <c r="BH50" s="1" t="s">
        <v>3762</v>
      </c>
      <c r="BI50" s="1" t="s">
        <v>74</v>
      </c>
      <c r="BJ50" s="1" t="s">
        <v>74</v>
      </c>
      <c r="BK50" s="1" t="s">
        <v>74</v>
      </c>
      <c r="BL50" s="1" t="s">
        <v>74</v>
      </c>
      <c r="BM50" s="1" t="s">
        <v>74</v>
      </c>
      <c r="BN50" s="1">
        <v>31548855</v>
      </c>
      <c r="BO50" s="1" t="s">
        <v>74</v>
      </c>
      <c r="BP50" s="1" t="s">
        <v>74</v>
      </c>
      <c r="BQ50" s="1" t="s">
        <v>74</v>
      </c>
      <c r="BR50" s="1" t="s">
        <v>74</v>
      </c>
      <c r="BS50" s="1" t="s">
        <v>3763</v>
      </c>
      <c r="BT50" s="1" t="str">
        <f>HYPERLINK("https%3A%2F%2Fwww.webofscience.com%2Fwos%2Fwoscc%2Ffull-record%2FWOS:000476434800001","View Full Record in Web of Science")</f>
        <v>View Full Record in Web of Science</v>
      </c>
    </row>
    <row r="51" spans="1:72" s="2" customFormat="1" x14ac:dyDescent="0.4">
      <c r="A51" s="1" t="s">
        <v>72</v>
      </c>
      <c r="B51" s="1" t="s">
        <v>607</v>
      </c>
      <c r="C51" s="1" t="s">
        <v>74</v>
      </c>
      <c r="D51" s="1" t="s">
        <v>74</v>
      </c>
      <c r="E51" s="1" t="s">
        <v>74</v>
      </c>
      <c r="F51" s="1" t="s">
        <v>608</v>
      </c>
      <c r="G51" s="1" t="s">
        <v>74</v>
      </c>
      <c r="H51" s="1" t="s">
        <v>74</v>
      </c>
      <c r="I51" s="1" t="s">
        <v>609</v>
      </c>
      <c r="J51" s="1" t="s">
        <v>610</v>
      </c>
      <c r="K51" s="1" t="s">
        <v>74</v>
      </c>
      <c r="L51" s="1" t="s">
        <v>74</v>
      </c>
      <c r="M51" s="1" t="s">
        <v>74</v>
      </c>
      <c r="N51" s="1" t="s">
        <v>74</v>
      </c>
      <c r="O51" s="1" t="s">
        <v>74</v>
      </c>
      <c r="P51" s="1" t="s">
        <v>74</v>
      </c>
      <c r="Q51" s="1" t="s">
        <v>74</v>
      </c>
      <c r="R51" s="1" t="s">
        <v>74</v>
      </c>
      <c r="S51" s="1" t="s">
        <v>74</v>
      </c>
      <c r="T51" s="1" t="s">
        <v>74</v>
      </c>
      <c r="U51" s="1" t="s">
        <v>74</v>
      </c>
      <c r="V51" s="4" t="s">
        <v>611</v>
      </c>
      <c r="W51" s="1" t="s">
        <v>74</v>
      </c>
      <c r="X51" s="1" t="s">
        <v>74</v>
      </c>
      <c r="Y51" s="1" t="s">
        <v>74</v>
      </c>
      <c r="Z51" s="1" t="s">
        <v>74</v>
      </c>
      <c r="AA51" s="1" t="s">
        <v>612</v>
      </c>
      <c r="AB51" s="1" t="s">
        <v>613</v>
      </c>
      <c r="AC51" s="1" t="s">
        <v>74</v>
      </c>
      <c r="AD51" s="1" t="s">
        <v>74</v>
      </c>
      <c r="AE51" s="1" t="s">
        <v>74</v>
      </c>
      <c r="AF51" s="1" t="s">
        <v>74</v>
      </c>
      <c r="AG51" s="1" t="s">
        <v>74</v>
      </c>
      <c r="AH51" s="1" t="s">
        <v>74</v>
      </c>
      <c r="AI51" s="1" t="s">
        <v>74</v>
      </c>
      <c r="AJ51" s="1" t="s">
        <v>74</v>
      </c>
      <c r="AK51" s="1" t="s">
        <v>74</v>
      </c>
      <c r="AL51" s="1" t="s">
        <v>74</v>
      </c>
      <c r="AM51" s="1" t="s">
        <v>74</v>
      </c>
      <c r="AN51" s="1" t="s">
        <v>74</v>
      </c>
      <c r="AO51" s="1" t="s">
        <v>614</v>
      </c>
      <c r="AP51" s="1" t="s">
        <v>615</v>
      </c>
      <c r="AQ51" s="1" t="s">
        <v>74</v>
      </c>
      <c r="AR51" s="1" t="s">
        <v>74</v>
      </c>
      <c r="AS51" s="1" t="s">
        <v>74</v>
      </c>
      <c r="AT51" s="1" t="s">
        <v>352</v>
      </c>
      <c r="AU51" s="1">
        <v>2020</v>
      </c>
      <c r="AV51" s="1">
        <v>126</v>
      </c>
      <c r="AW51" s="1">
        <v>9</v>
      </c>
      <c r="AX51" s="1" t="s">
        <v>74</v>
      </c>
      <c r="AY51" s="1" t="s">
        <v>74</v>
      </c>
      <c r="AZ51" s="1" t="s">
        <v>74</v>
      </c>
      <c r="BA51" s="1" t="s">
        <v>74</v>
      </c>
      <c r="BB51" s="1">
        <v>900</v>
      </c>
      <c r="BC51" s="1">
        <v>913</v>
      </c>
      <c r="BD51" s="1" t="s">
        <v>74</v>
      </c>
      <c r="BE51" s="1" t="s">
        <v>616</v>
      </c>
      <c r="BF51" s="1" t="str">
        <f>HYPERLINK("http://dx.doi.org/10.1111/eth.13067","http://dx.doi.org/10.1111/eth.13067")</f>
        <v>http://dx.doi.org/10.1111/eth.13067</v>
      </c>
      <c r="BG51" s="1" t="s">
        <v>74</v>
      </c>
      <c r="BH51" s="1" t="s">
        <v>617</v>
      </c>
      <c r="BI51" s="1" t="s">
        <v>74</v>
      </c>
      <c r="BJ51" s="1" t="s">
        <v>74</v>
      </c>
      <c r="BK51" s="1" t="s">
        <v>74</v>
      </c>
      <c r="BL51" s="1" t="s">
        <v>74</v>
      </c>
      <c r="BM51" s="1" t="s">
        <v>74</v>
      </c>
      <c r="BN51" s="1" t="s">
        <v>74</v>
      </c>
      <c r="BO51" s="1" t="s">
        <v>74</v>
      </c>
      <c r="BP51" s="1" t="s">
        <v>74</v>
      </c>
      <c r="BQ51" s="1" t="s">
        <v>74</v>
      </c>
      <c r="BR51" s="1" t="s">
        <v>74</v>
      </c>
      <c r="BS51" s="1" t="s">
        <v>618</v>
      </c>
      <c r="BT51" s="1" t="str">
        <f>HYPERLINK("https%3A%2F%2Fwww.webofscience.com%2Fwos%2Fwoscc%2Ffull-record%2FWOS:000538660200001","View Full Record in Web of Science")</f>
        <v>View Full Record in Web of Science</v>
      </c>
    </row>
    <row r="52" spans="1:72" s="2" customFormat="1" x14ac:dyDescent="0.4">
      <c r="A52" s="1" t="s">
        <v>72</v>
      </c>
      <c r="B52" s="1" t="s">
        <v>2197</v>
      </c>
      <c r="C52" s="1" t="s">
        <v>74</v>
      </c>
      <c r="D52" s="1" t="s">
        <v>74</v>
      </c>
      <c r="E52" s="1" t="s">
        <v>74</v>
      </c>
      <c r="F52" s="1" t="s">
        <v>2198</v>
      </c>
      <c r="G52" s="1" t="s">
        <v>74</v>
      </c>
      <c r="H52" s="1" t="s">
        <v>74</v>
      </c>
      <c r="I52" s="1" t="s">
        <v>2199</v>
      </c>
      <c r="J52" s="1" t="s">
        <v>408</v>
      </c>
      <c r="K52" s="1" t="s">
        <v>74</v>
      </c>
      <c r="L52" s="1" t="s">
        <v>74</v>
      </c>
      <c r="M52" s="1" t="s">
        <v>74</v>
      </c>
      <c r="N52" s="1" t="s">
        <v>74</v>
      </c>
      <c r="O52" s="1" t="s">
        <v>74</v>
      </c>
      <c r="P52" s="1" t="s">
        <v>74</v>
      </c>
      <c r="Q52" s="1" t="s">
        <v>74</v>
      </c>
      <c r="R52" s="1" t="s">
        <v>74</v>
      </c>
      <c r="S52" s="1" t="s">
        <v>74</v>
      </c>
      <c r="T52" s="1" t="s">
        <v>74</v>
      </c>
      <c r="U52" s="1" t="s">
        <v>74</v>
      </c>
      <c r="V52" s="4" t="s">
        <v>2200</v>
      </c>
      <c r="W52" s="1" t="s">
        <v>74</v>
      </c>
      <c r="X52" s="1" t="s">
        <v>74</v>
      </c>
      <c r="Y52" s="1" t="s">
        <v>74</v>
      </c>
      <c r="Z52" s="1" t="s">
        <v>74</v>
      </c>
      <c r="AA52" s="1" t="s">
        <v>2201</v>
      </c>
      <c r="AB52" s="1" t="s">
        <v>2202</v>
      </c>
      <c r="AC52" s="1" t="s">
        <v>74</v>
      </c>
      <c r="AD52" s="1" t="s">
        <v>74</v>
      </c>
      <c r="AE52" s="1" t="s">
        <v>74</v>
      </c>
      <c r="AF52" s="1" t="s">
        <v>74</v>
      </c>
      <c r="AG52" s="1" t="s">
        <v>74</v>
      </c>
      <c r="AH52" s="1" t="s">
        <v>74</v>
      </c>
      <c r="AI52" s="1" t="s">
        <v>74</v>
      </c>
      <c r="AJ52" s="1" t="s">
        <v>74</v>
      </c>
      <c r="AK52" s="1" t="s">
        <v>74</v>
      </c>
      <c r="AL52" s="1" t="s">
        <v>74</v>
      </c>
      <c r="AM52" s="1" t="s">
        <v>74</v>
      </c>
      <c r="AN52" s="1" t="s">
        <v>74</v>
      </c>
      <c r="AO52" s="1" t="s">
        <v>412</v>
      </c>
      <c r="AP52" s="1" t="s">
        <v>413</v>
      </c>
      <c r="AQ52" s="1" t="s">
        <v>74</v>
      </c>
      <c r="AR52" s="1" t="s">
        <v>74</v>
      </c>
      <c r="AS52" s="1" t="s">
        <v>74</v>
      </c>
      <c r="AT52" s="1" t="s">
        <v>255</v>
      </c>
      <c r="AU52" s="1">
        <v>2013</v>
      </c>
      <c r="AV52" s="1">
        <v>108</v>
      </c>
      <c r="AW52" s="1">
        <v>1</v>
      </c>
      <c r="AX52" s="1" t="s">
        <v>74</v>
      </c>
      <c r="AY52" s="1" t="s">
        <v>74</v>
      </c>
      <c r="AZ52" s="1" t="s">
        <v>74</v>
      </c>
      <c r="BA52" s="1" t="s">
        <v>74</v>
      </c>
      <c r="BB52" s="1">
        <v>116</v>
      </c>
      <c r="BC52" s="1">
        <v>126</v>
      </c>
      <c r="BD52" s="1" t="s">
        <v>74</v>
      </c>
      <c r="BE52" s="1" t="s">
        <v>2203</v>
      </c>
      <c r="BF52" s="1" t="str">
        <f>HYPERLINK("http://dx.doi.org/10.1111/j.1095-8312.2012.02006.x","http://dx.doi.org/10.1111/j.1095-8312.2012.02006.x")</f>
        <v>http://dx.doi.org/10.1111/j.1095-8312.2012.02006.x</v>
      </c>
      <c r="BG52" s="1" t="s">
        <v>74</v>
      </c>
      <c r="BH52" s="1" t="s">
        <v>74</v>
      </c>
      <c r="BI52" s="1" t="s">
        <v>74</v>
      </c>
      <c r="BJ52" s="1" t="s">
        <v>74</v>
      </c>
      <c r="BK52" s="1" t="s">
        <v>74</v>
      </c>
      <c r="BL52" s="1" t="s">
        <v>74</v>
      </c>
      <c r="BM52" s="1" t="s">
        <v>74</v>
      </c>
      <c r="BN52" s="1" t="s">
        <v>74</v>
      </c>
      <c r="BO52" s="1" t="s">
        <v>74</v>
      </c>
      <c r="BP52" s="1" t="s">
        <v>74</v>
      </c>
      <c r="BQ52" s="1" t="s">
        <v>74</v>
      </c>
      <c r="BR52" s="1" t="s">
        <v>74</v>
      </c>
      <c r="BS52" s="1" t="s">
        <v>2204</v>
      </c>
      <c r="BT52" s="1" t="str">
        <f>HYPERLINK("https%3A%2F%2Fwww.webofscience.com%2Fwos%2Fwoscc%2Ffull-record%2FWOS:000312543100011","View Full Record in Web of Science")</f>
        <v>View Full Record in Web of Science</v>
      </c>
    </row>
    <row r="53" spans="1:72" s="2" customFormat="1" x14ac:dyDescent="0.4">
      <c r="A53" s="1" t="s">
        <v>72</v>
      </c>
      <c r="B53" s="1" t="s">
        <v>1501</v>
      </c>
      <c r="C53" s="1" t="s">
        <v>74</v>
      </c>
      <c r="D53" s="1" t="s">
        <v>74</v>
      </c>
      <c r="E53" s="1" t="s">
        <v>74</v>
      </c>
      <c r="F53" s="1" t="s">
        <v>1502</v>
      </c>
      <c r="G53" s="1" t="s">
        <v>74</v>
      </c>
      <c r="H53" s="1" t="s">
        <v>74</v>
      </c>
      <c r="I53" s="1" t="s">
        <v>1503</v>
      </c>
      <c r="J53" s="1" t="s">
        <v>814</v>
      </c>
      <c r="K53" s="1" t="s">
        <v>74</v>
      </c>
      <c r="L53" s="1" t="s">
        <v>74</v>
      </c>
      <c r="M53" s="1" t="s">
        <v>74</v>
      </c>
      <c r="N53" s="1" t="s">
        <v>74</v>
      </c>
      <c r="O53" s="1" t="s">
        <v>74</v>
      </c>
      <c r="P53" s="1" t="s">
        <v>74</v>
      </c>
      <c r="Q53" s="1" t="s">
        <v>74</v>
      </c>
      <c r="R53" s="1" t="s">
        <v>74</v>
      </c>
      <c r="S53" s="1" t="s">
        <v>74</v>
      </c>
      <c r="T53" s="1" t="s">
        <v>74</v>
      </c>
      <c r="U53" s="1" t="s">
        <v>74</v>
      </c>
      <c r="V53" s="4" t="s">
        <v>1504</v>
      </c>
      <c r="W53" s="1" t="s">
        <v>74</v>
      </c>
      <c r="X53" s="1" t="s">
        <v>74</v>
      </c>
      <c r="Y53" s="1" t="s">
        <v>74</v>
      </c>
      <c r="Z53" s="1" t="s">
        <v>74</v>
      </c>
      <c r="AA53" s="1" t="s">
        <v>74</v>
      </c>
      <c r="AB53" s="1" t="s">
        <v>74</v>
      </c>
      <c r="AC53" s="1" t="s">
        <v>74</v>
      </c>
      <c r="AD53" s="1" t="s">
        <v>74</v>
      </c>
      <c r="AE53" s="1" t="s">
        <v>74</v>
      </c>
      <c r="AF53" s="1" t="s">
        <v>74</v>
      </c>
      <c r="AG53" s="1" t="s">
        <v>74</v>
      </c>
      <c r="AH53" s="1" t="s">
        <v>74</v>
      </c>
      <c r="AI53" s="1" t="s">
        <v>74</v>
      </c>
      <c r="AJ53" s="1" t="s">
        <v>74</v>
      </c>
      <c r="AK53" s="1" t="s">
        <v>74</v>
      </c>
      <c r="AL53" s="1" t="s">
        <v>74</v>
      </c>
      <c r="AM53" s="1" t="s">
        <v>74</v>
      </c>
      <c r="AN53" s="1" t="s">
        <v>74</v>
      </c>
      <c r="AO53" s="1" t="s">
        <v>818</v>
      </c>
      <c r="AP53" s="1" t="s">
        <v>1505</v>
      </c>
      <c r="AQ53" s="1" t="s">
        <v>74</v>
      </c>
      <c r="AR53" s="1" t="s">
        <v>74</v>
      </c>
      <c r="AS53" s="1" t="s">
        <v>74</v>
      </c>
      <c r="AT53" s="1" t="s">
        <v>102</v>
      </c>
      <c r="AU53" s="1">
        <v>2017</v>
      </c>
      <c r="AV53" s="1">
        <v>122</v>
      </c>
      <c r="AW53" s="1" t="s">
        <v>74</v>
      </c>
      <c r="AX53" s="1" t="s">
        <v>74</v>
      </c>
      <c r="AY53" s="1" t="s">
        <v>74</v>
      </c>
      <c r="AZ53" s="1" t="s">
        <v>74</v>
      </c>
      <c r="BA53" s="1" t="s">
        <v>74</v>
      </c>
      <c r="BB53" s="1">
        <v>115</v>
      </c>
      <c r="BC53" s="1">
        <v>125</v>
      </c>
      <c r="BD53" s="1" t="s">
        <v>74</v>
      </c>
      <c r="BE53" s="1" t="s">
        <v>1506</v>
      </c>
      <c r="BF53" s="1" t="str">
        <f>HYPERLINK("http://dx.doi.org/10.1016/j.zool.2017.05.002","http://dx.doi.org/10.1016/j.zool.2017.05.002")</f>
        <v>http://dx.doi.org/10.1016/j.zool.2017.05.002</v>
      </c>
      <c r="BG53" s="1" t="s">
        <v>74</v>
      </c>
      <c r="BH53" s="1" t="s">
        <v>74</v>
      </c>
      <c r="BI53" s="1" t="s">
        <v>74</v>
      </c>
      <c r="BJ53" s="1" t="s">
        <v>74</v>
      </c>
      <c r="BK53" s="1" t="s">
        <v>74</v>
      </c>
      <c r="BL53" s="1" t="s">
        <v>74</v>
      </c>
      <c r="BM53" s="1" t="s">
        <v>74</v>
      </c>
      <c r="BN53" s="1">
        <v>28546067</v>
      </c>
      <c r="BO53" s="1" t="s">
        <v>74</v>
      </c>
      <c r="BP53" s="1" t="s">
        <v>74</v>
      </c>
      <c r="BQ53" s="1" t="s">
        <v>74</v>
      </c>
      <c r="BR53" s="1" t="s">
        <v>74</v>
      </c>
      <c r="BS53" s="1" t="s">
        <v>1507</v>
      </c>
      <c r="BT53" s="1" t="str">
        <f>HYPERLINK("https%3A%2F%2Fwww.webofscience.com%2Fwos%2Fwoscc%2Ffull-record%2FWOS:000404310700015","View Full Record in Web of Science")</f>
        <v>View Full Record in Web of Science</v>
      </c>
    </row>
    <row r="54" spans="1:72" s="2" customFormat="1" x14ac:dyDescent="0.4">
      <c r="A54" s="1" t="s">
        <v>72</v>
      </c>
      <c r="B54" s="1" t="s">
        <v>4740</v>
      </c>
      <c r="C54" s="1" t="s">
        <v>74</v>
      </c>
      <c r="D54" s="1" t="s">
        <v>74</v>
      </c>
      <c r="E54" s="1" t="s">
        <v>74</v>
      </c>
      <c r="F54" s="1" t="s">
        <v>4741</v>
      </c>
      <c r="G54" s="1" t="s">
        <v>74</v>
      </c>
      <c r="H54" s="1" t="s">
        <v>74</v>
      </c>
      <c r="I54" s="1" t="s">
        <v>4742</v>
      </c>
      <c r="J54" s="1" t="s">
        <v>691</v>
      </c>
      <c r="K54" s="1" t="s">
        <v>74</v>
      </c>
      <c r="L54" s="1" t="s">
        <v>74</v>
      </c>
      <c r="M54" s="1" t="s">
        <v>74</v>
      </c>
      <c r="N54" s="1" t="s">
        <v>74</v>
      </c>
      <c r="O54" s="1" t="s">
        <v>74</v>
      </c>
      <c r="P54" s="1" t="s">
        <v>74</v>
      </c>
      <c r="Q54" s="1" t="s">
        <v>74</v>
      </c>
      <c r="R54" s="1" t="s">
        <v>74</v>
      </c>
      <c r="S54" s="1" t="s">
        <v>74</v>
      </c>
      <c r="T54" s="1" t="s">
        <v>74</v>
      </c>
      <c r="U54" s="1" t="s">
        <v>74</v>
      </c>
      <c r="V54" s="4" t="s">
        <v>4743</v>
      </c>
      <c r="W54" s="1" t="s">
        <v>74</v>
      </c>
      <c r="X54" s="1" t="s">
        <v>74</v>
      </c>
      <c r="Y54" s="1" t="s">
        <v>74</v>
      </c>
      <c r="Z54" s="1" t="s">
        <v>74</v>
      </c>
      <c r="AA54" s="1" t="s">
        <v>74</v>
      </c>
      <c r="AB54" s="1" t="s">
        <v>74</v>
      </c>
      <c r="AC54" s="1" t="s">
        <v>74</v>
      </c>
      <c r="AD54" s="1" t="s">
        <v>74</v>
      </c>
      <c r="AE54" s="1" t="s">
        <v>74</v>
      </c>
      <c r="AF54" s="1" t="s">
        <v>74</v>
      </c>
      <c r="AG54" s="1" t="s">
        <v>74</v>
      </c>
      <c r="AH54" s="1" t="s">
        <v>74</v>
      </c>
      <c r="AI54" s="1" t="s">
        <v>74</v>
      </c>
      <c r="AJ54" s="1" t="s">
        <v>74</v>
      </c>
      <c r="AK54" s="1" t="s">
        <v>74</v>
      </c>
      <c r="AL54" s="1" t="s">
        <v>74</v>
      </c>
      <c r="AM54" s="1" t="s">
        <v>74</v>
      </c>
      <c r="AN54" s="1" t="s">
        <v>74</v>
      </c>
      <c r="AO54" s="1" t="s">
        <v>695</v>
      </c>
      <c r="AP54" s="1" t="s">
        <v>74</v>
      </c>
      <c r="AQ54" s="1" t="s">
        <v>74</v>
      </c>
      <c r="AR54" s="1" t="s">
        <v>74</v>
      </c>
      <c r="AS54" s="1" t="s">
        <v>74</v>
      </c>
      <c r="AT54" s="1" t="s">
        <v>4744</v>
      </c>
      <c r="AU54" s="1">
        <v>2016</v>
      </c>
      <c r="AV54" s="1">
        <v>163</v>
      </c>
      <c r="AW54" s="1" t="s">
        <v>74</v>
      </c>
      <c r="AX54" s="1" t="s">
        <v>74</v>
      </c>
      <c r="AY54" s="1" t="s">
        <v>74</v>
      </c>
      <c r="AZ54" s="1" t="s">
        <v>74</v>
      </c>
      <c r="BA54" s="1" t="s">
        <v>74</v>
      </c>
      <c r="BB54" s="1">
        <v>70</v>
      </c>
      <c r="BC54" s="1">
        <v>80</v>
      </c>
      <c r="BD54" s="1" t="s">
        <v>74</v>
      </c>
      <c r="BE54" s="1" t="s">
        <v>4745</v>
      </c>
      <c r="BF54" s="1" t="str">
        <f>HYPERLINK("http://dx.doi.org/10.1016/j.physbeh.2016.04.039","http://dx.doi.org/10.1016/j.physbeh.2016.04.039")</f>
        <v>http://dx.doi.org/10.1016/j.physbeh.2016.04.039</v>
      </c>
      <c r="BG54" s="1" t="s">
        <v>74</v>
      </c>
      <c r="BH54" s="1" t="s">
        <v>74</v>
      </c>
      <c r="BI54" s="1" t="s">
        <v>74</v>
      </c>
      <c r="BJ54" s="1" t="s">
        <v>74</v>
      </c>
      <c r="BK54" s="1" t="s">
        <v>74</v>
      </c>
      <c r="BL54" s="1" t="s">
        <v>74</v>
      </c>
      <c r="BM54" s="1" t="s">
        <v>74</v>
      </c>
      <c r="BN54" s="1">
        <v>27137079</v>
      </c>
      <c r="BO54" s="1" t="s">
        <v>74</v>
      </c>
      <c r="BP54" s="1" t="s">
        <v>74</v>
      </c>
      <c r="BQ54" s="1" t="s">
        <v>74</v>
      </c>
      <c r="BR54" s="1" t="s">
        <v>74</v>
      </c>
      <c r="BS54" s="1" t="s">
        <v>4746</v>
      </c>
      <c r="BT54" s="1" t="str">
        <f>HYPERLINK("https%3A%2F%2Fwww.webofscience.com%2Fwos%2Fwoscc%2Ffull-record%2FWOS:000380597400010","View Full Record in Web of Science")</f>
        <v>View Full Record in Web of Science</v>
      </c>
    </row>
    <row r="55" spans="1:72" s="2" customFormat="1" x14ac:dyDescent="0.4">
      <c r="A55" s="1" t="s">
        <v>72</v>
      </c>
      <c r="B55" s="1" t="s">
        <v>4740</v>
      </c>
      <c r="C55" s="1" t="s">
        <v>74</v>
      </c>
      <c r="D55" s="1" t="s">
        <v>74</v>
      </c>
      <c r="E55" s="1" t="s">
        <v>74</v>
      </c>
      <c r="F55" s="1" t="s">
        <v>4741</v>
      </c>
      <c r="G55" s="1" t="s">
        <v>74</v>
      </c>
      <c r="H55" s="1" t="s">
        <v>74</v>
      </c>
      <c r="I55" s="1" t="s">
        <v>6585</v>
      </c>
      <c r="J55" s="1" t="s">
        <v>6042</v>
      </c>
      <c r="K55" s="1" t="s">
        <v>74</v>
      </c>
      <c r="L55" s="1" t="s">
        <v>74</v>
      </c>
      <c r="M55" s="1" t="s">
        <v>74</v>
      </c>
      <c r="N55" s="1" t="s">
        <v>74</v>
      </c>
      <c r="O55" s="1" t="s">
        <v>74</v>
      </c>
      <c r="P55" s="1" t="s">
        <v>74</v>
      </c>
      <c r="Q55" s="1" t="s">
        <v>74</v>
      </c>
      <c r="R55" s="1" t="s">
        <v>74</v>
      </c>
      <c r="S55" s="1" t="s">
        <v>74</v>
      </c>
      <c r="T55" s="1" t="s">
        <v>74</v>
      </c>
      <c r="U55" s="1" t="s">
        <v>74</v>
      </c>
      <c r="V55" s="4" t="s">
        <v>6586</v>
      </c>
      <c r="W55" s="1" t="s">
        <v>74</v>
      </c>
      <c r="X55" s="1" t="s">
        <v>74</v>
      </c>
      <c r="Y55" s="1" t="s">
        <v>74</v>
      </c>
      <c r="Z55" s="1" t="s">
        <v>74</v>
      </c>
      <c r="AA55" s="1" t="s">
        <v>74</v>
      </c>
      <c r="AB55" s="1" t="s">
        <v>274</v>
      </c>
      <c r="AC55" s="1" t="s">
        <v>74</v>
      </c>
      <c r="AD55" s="1" t="s">
        <v>74</v>
      </c>
      <c r="AE55" s="1" t="s">
        <v>74</v>
      </c>
      <c r="AF55" s="1" t="s">
        <v>74</v>
      </c>
      <c r="AG55" s="1" t="s">
        <v>74</v>
      </c>
      <c r="AH55" s="1" t="s">
        <v>74</v>
      </c>
      <c r="AI55" s="1" t="s">
        <v>74</v>
      </c>
      <c r="AJ55" s="1" t="s">
        <v>74</v>
      </c>
      <c r="AK55" s="1" t="s">
        <v>74</v>
      </c>
      <c r="AL55" s="1" t="s">
        <v>74</v>
      </c>
      <c r="AM55" s="1" t="s">
        <v>74</v>
      </c>
      <c r="AN55" s="1" t="s">
        <v>74</v>
      </c>
      <c r="AO55" s="1" t="s">
        <v>6045</v>
      </c>
      <c r="AP55" s="1" t="s">
        <v>74</v>
      </c>
      <c r="AQ55" s="1" t="s">
        <v>74</v>
      </c>
      <c r="AR55" s="1" t="s">
        <v>74</v>
      </c>
      <c r="AS55" s="1" t="s">
        <v>74</v>
      </c>
      <c r="AT55" s="1" t="s">
        <v>175</v>
      </c>
      <c r="AU55" s="1">
        <v>2017</v>
      </c>
      <c r="AV55" s="1">
        <v>327</v>
      </c>
      <c r="AW55" s="1">
        <v>8</v>
      </c>
      <c r="AX55" s="1" t="s">
        <v>74</v>
      </c>
      <c r="AY55" s="1" t="s">
        <v>74</v>
      </c>
      <c r="AZ55" s="1" t="s">
        <v>74</v>
      </c>
      <c r="BA55" s="1" t="s">
        <v>74</v>
      </c>
      <c r="BB55" s="1">
        <v>481</v>
      </c>
      <c r="BC55" s="1">
        <v>492</v>
      </c>
      <c r="BD55" s="1" t="s">
        <v>74</v>
      </c>
      <c r="BE55" s="1" t="s">
        <v>6587</v>
      </c>
      <c r="BF55" s="1" t="str">
        <f>HYPERLINK("http://dx.doi.org/10.1002/jez.2133","http://dx.doi.org/10.1002/jez.2133")</f>
        <v>http://dx.doi.org/10.1002/jez.2133</v>
      </c>
      <c r="BG55" s="1" t="s">
        <v>74</v>
      </c>
      <c r="BH55" s="1" t="s">
        <v>74</v>
      </c>
      <c r="BI55" s="1" t="s">
        <v>74</v>
      </c>
      <c r="BJ55" s="1" t="s">
        <v>74</v>
      </c>
      <c r="BK55" s="1" t="s">
        <v>74</v>
      </c>
      <c r="BL55" s="1" t="s">
        <v>74</v>
      </c>
      <c r="BM55" s="1" t="s">
        <v>74</v>
      </c>
      <c r="BN55" s="1">
        <v>29356435</v>
      </c>
      <c r="BO55" s="1" t="s">
        <v>74</v>
      </c>
      <c r="BP55" s="1" t="s">
        <v>74</v>
      </c>
      <c r="BQ55" s="1" t="s">
        <v>74</v>
      </c>
      <c r="BR55" s="1" t="s">
        <v>74</v>
      </c>
      <c r="BS55" s="1" t="s">
        <v>6588</v>
      </c>
      <c r="BT55" s="1" t="str">
        <f>HYPERLINK("https%3A%2F%2Fwww.webofscience.com%2Fwos%2Fwoscc%2Ffull-record%2FWOS:000422728900001","View Full Record in Web of Science")</f>
        <v>View Full Record in Web of Science</v>
      </c>
    </row>
    <row r="56" spans="1:72" s="2" customFormat="1" x14ac:dyDescent="0.4">
      <c r="A56" s="1" t="s">
        <v>72</v>
      </c>
      <c r="B56" s="1" t="s">
        <v>2420</v>
      </c>
      <c r="C56" s="1" t="s">
        <v>74</v>
      </c>
      <c r="D56" s="1" t="s">
        <v>74</v>
      </c>
      <c r="E56" s="1" t="s">
        <v>74</v>
      </c>
      <c r="F56" s="1" t="s">
        <v>2420</v>
      </c>
      <c r="G56" s="1" t="s">
        <v>74</v>
      </c>
      <c r="H56" s="1" t="s">
        <v>74</v>
      </c>
      <c r="I56" s="1" t="s">
        <v>2421</v>
      </c>
      <c r="J56" s="1" t="s">
        <v>2422</v>
      </c>
      <c r="K56" s="1" t="s">
        <v>74</v>
      </c>
      <c r="L56" s="1" t="s">
        <v>74</v>
      </c>
      <c r="M56" s="1" t="s">
        <v>74</v>
      </c>
      <c r="N56" s="1" t="s">
        <v>74</v>
      </c>
      <c r="O56" s="1" t="s">
        <v>74</v>
      </c>
      <c r="P56" s="1" t="s">
        <v>74</v>
      </c>
      <c r="Q56" s="1" t="s">
        <v>74</v>
      </c>
      <c r="R56" s="1" t="s">
        <v>74</v>
      </c>
      <c r="S56" s="1" t="s">
        <v>74</v>
      </c>
      <c r="T56" s="1" t="s">
        <v>74</v>
      </c>
      <c r="U56" s="1" t="s">
        <v>74</v>
      </c>
      <c r="V56" s="4" t="s">
        <v>2423</v>
      </c>
      <c r="W56" s="1" t="s">
        <v>74</v>
      </c>
      <c r="X56" s="1" t="s">
        <v>74</v>
      </c>
      <c r="Y56" s="1" t="s">
        <v>74</v>
      </c>
      <c r="Z56" s="1" t="s">
        <v>74</v>
      </c>
      <c r="AA56" s="1" t="s">
        <v>2424</v>
      </c>
      <c r="AB56" s="1" t="s">
        <v>2425</v>
      </c>
      <c r="AC56" s="1" t="s">
        <v>74</v>
      </c>
      <c r="AD56" s="1" t="s">
        <v>74</v>
      </c>
      <c r="AE56" s="1" t="s">
        <v>74</v>
      </c>
      <c r="AF56" s="1" t="s">
        <v>74</v>
      </c>
      <c r="AG56" s="1" t="s">
        <v>74</v>
      </c>
      <c r="AH56" s="1" t="s">
        <v>74</v>
      </c>
      <c r="AI56" s="1" t="s">
        <v>74</v>
      </c>
      <c r="AJ56" s="1" t="s">
        <v>74</v>
      </c>
      <c r="AK56" s="1" t="s">
        <v>74</v>
      </c>
      <c r="AL56" s="1" t="s">
        <v>74</v>
      </c>
      <c r="AM56" s="1" t="s">
        <v>74</v>
      </c>
      <c r="AN56" s="1" t="s">
        <v>74</v>
      </c>
      <c r="AO56" s="1" t="s">
        <v>2426</v>
      </c>
      <c r="AP56" s="1" t="s">
        <v>74</v>
      </c>
      <c r="AQ56" s="1" t="s">
        <v>74</v>
      </c>
      <c r="AR56" s="1" t="s">
        <v>74</v>
      </c>
      <c r="AS56" s="1" t="s">
        <v>74</v>
      </c>
      <c r="AT56" s="1" t="s">
        <v>134</v>
      </c>
      <c r="AU56" s="1">
        <v>2006</v>
      </c>
      <c r="AV56" s="1">
        <v>31</v>
      </c>
      <c r="AW56" s="1">
        <v>4</v>
      </c>
      <c r="AX56" s="1" t="s">
        <v>74</v>
      </c>
      <c r="AY56" s="1" t="s">
        <v>74</v>
      </c>
      <c r="AZ56" s="1" t="s">
        <v>74</v>
      </c>
      <c r="BA56" s="1" t="s">
        <v>74</v>
      </c>
      <c r="BB56" s="1">
        <v>362</v>
      </c>
      <c r="BC56" s="1">
        <v>369</v>
      </c>
      <c r="BD56" s="1" t="s">
        <v>74</v>
      </c>
      <c r="BE56" s="1" t="s">
        <v>2427</v>
      </c>
      <c r="BF56" s="1" t="str">
        <f>HYPERLINK("http://dx.doi.org/10.1016/j.jtherbio.2006.01.008","http://dx.doi.org/10.1016/j.jtherbio.2006.01.008")</f>
        <v>http://dx.doi.org/10.1016/j.jtherbio.2006.01.008</v>
      </c>
      <c r="BG56" s="1" t="s">
        <v>74</v>
      </c>
      <c r="BH56" s="1" t="s">
        <v>74</v>
      </c>
      <c r="BI56" s="1" t="s">
        <v>74</v>
      </c>
      <c r="BJ56" s="1" t="s">
        <v>74</v>
      </c>
      <c r="BK56" s="1" t="s">
        <v>74</v>
      </c>
      <c r="BL56" s="1" t="s">
        <v>74</v>
      </c>
      <c r="BM56" s="1" t="s">
        <v>74</v>
      </c>
      <c r="BN56" s="1" t="s">
        <v>74</v>
      </c>
      <c r="BO56" s="1" t="s">
        <v>74</v>
      </c>
      <c r="BP56" s="1" t="s">
        <v>74</v>
      </c>
      <c r="BQ56" s="1" t="s">
        <v>74</v>
      </c>
      <c r="BR56" s="1" t="s">
        <v>74</v>
      </c>
      <c r="BS56" s="1" t="s">
        <v>2428</v>
      </c>
      <c r="BT56" s="1" t="str">
        <f>HYPERLINK("https%3A%2F%2Fwww.webofscience.com%2Fwos%2Fwoscc%2Ffull-record%2FWOS:000237171000013","View Full Record in Web of Science")</f>
        <v>View Full Record in Web of Science</v>
      </c>
    </row>
    <row r="57" spans="1:72" s="2" customFormat="1" x14ac:dyDescent="0.4">
      <c r="A57" s="1" t="s">
        <v>72</v>
      </c>
      <c r="B57" s="1" t="s">
        <v>349</v>
      </c>
      <c r="C57" s="1" t="s">
        <v>74</v>
      </c>
      <c r="D57" s="1" t="s">
        <v>74</v>
      </c>
      <c r="E57" s="1" t="s">
        <v>74</v>
      </c>
      <c r="F57" s="1" t="s">
        <v>349</v>
      </c>
      <c r="G57" s="1" t="s">
        <v>74</v>
      </c>
      <c r="H57" s="1" t="s">
        <v>74</v>
      </c>
      <c r="I57" s="1" t="s">
        <v>350</v>
      </c>
      <c r="J57" s="1" t="s">
        <v>201</v>
      </c>
      <c r="K57" s="1" t="s">
        <v>74</v>
      </c>
      <c r="L57" s="1" t="s">
        <v>74</v>
      </c>
      <c r="M57" s="1" t="s">
        <v>74</v>
      </c>
      <c r="N57" s="1" t="s">
        <v>74</v>
      </c>
      <c r="O57" s="1" t="s">
        <v>74</v>
      </c>
      <c r="P57" s="1" t="s">
        <v>74</v>
      </c>
      <c r="Q57" s="1" t="s">
        <v>74</v>
      </c>
      <c r="R57" s="1" t="s">
        <v>74</v>
      </c>
      <c r="S57" s="1" t="s">
        <v>74</v>
      </c>
      <c r="T57" s="1" t="s">
        <v>74</v>
      </c>
      <c r="U57" s="1" t="s">
        <v>74</v>
      </c>
      <c r="V57" s="4" t="s">
        <v>351</v>
      </c>
      <c r="W57" s="1" t="s">
        <v>74</v>
      </c>
      <c r="X57" s="1" t="s">
        <v>74</v>
      </c>
      <c r="Y57" s="1" t="s">
        <v>74</v>
      </c>
      <c r="Z57" s="1" t="s">
        <v>74</v>
      </c>
      <c r="AA57" s="1" t="s">
        <v>74</v>
      </c>
      <c r="AB57" s="1" t="s">
        <v>74</v>
      </c>
      <c r="AC57" s="1" t="s">
        <v>74</v>
      </c>
      <c r="AD57" s="1" t="s">
        <v>74</v>
      </c>
      <c r="AE57" s="1" t="s">
        <v>74</v>
      </c>
      <c r="AF57" s="1" t="s">
        <v>74</v>
      </c>
      <c r="AG57" s="1" t="s">
        <v>74</v>
      </c>
      <c r="AH57" s="1" t="s">
        <v>74</v>
      </c>
      <c r="AI57" s="1" t="s">
        <v>74</v>
      </c>
      <c r="AJ57" s="1" t="s">
        <v>74</v>
      </c>
      <c r="AK57" s="1" t="s">
        <v>74</v>
      </c>
      <c r="AL57" s="1" t="s">
        <v>74</v>
      </c>
      <c r="AM57" s="1" t="s">
        <v>74</v>
      </c>
      <c r="AN57" s="1" t="s">
        <v>74</v>
      </c>
      <c r="AO57" s="1" t="s">
        <v>203</v>
      </c>
      <c r="AP57" s="1" t="s">
        <v>74</v>
      </c>
      <c r="AQ57" s="1" t="s">
        <v>74</v>
      </c>
      <c r="AR57" s="1" t="s">
        <v>74</v>
      </c>
      <c r="AS57" s="1" t="s">
        <v>74</v>
      </c>
      <c r="AT57" s="1" t="s">
        <v>352</v>
      </c>
      <c r="AU57" s="1">
        <v>2002</v>
      </c>
      <c r="AV57" s="1">
        <v>61</v>
      </c>
      <c r="AW57" s="1">
        <v>3</v>
      </c>
      <c r="AX57" s="1" t="s">
        <v>74</v>
      </c>
      <c r="AY57" s="1" t="s">
        <v>74</v>
      </c>
      <c r="AZ57" s="1" t="s">
        <v>74</v>
      </c>
      <c r="BA57" s="1" t="s">
        <v>74</v>
      </c>
      <c r="BB57" s="1">
        <v>606</v>
      </c>
      <c r="BC57" s="1">
        <v>614</v>
      </c>
      <c r="BD57" s="1" t="s">
        <v>74</v>
      </c>
      <c r="BE57" s="1" t="s">
        <v>353</v>
      </c>
      <c r="BF57" s="1" t="str">
        <f>HYPERLINK("http://dx.doi.org/10.1006/jfbi.2002.2084","http://dx.doi.org/10.1006/jfbi.2002.2084")</f>
        <v>http://dx.doi.org/10.1006/jfbi.2002.2084</v>
      </c>
      <c r="BG57" s="1" t="s">
        <v>74</v>
      </c>
      <c r="BH57" s="1" t="s">
        <v>74</v>
      </c>
      <c r="BI57" s="1" t="s">
        <v>74</v>
      </c>
      <c r="BJ57" s="1" t="s">
        <v>74</v>
      </c>
      <c r="BK57" s="1" t="s">
        <v>74</v>
      </c>
      <c r="BL57" s="1" t="s">
        <v>74</v>
      </c>
      <c r="BM57" s="1" t="s">
        <v>74</v>
      </c>
      <c r="BN57" s="1" t="s">
        <v>74</v>
      </c>
      <c r="BO57" s="1" t="s">
        <v>74</v>
      </c>
      <c r="BP57" s="1" t="s">
        <v>74</v>
      </c>
      <c r="BQ57" s="1" t="s">
        <v>74</v>
      </c>
      <c r="BR57" s="1" t="s">
        <v>74</v>
      </c>
      <c r="BS57" s="1" t="s">
        <v>354</v>
      </c>
      <c r="BT57" s="1" t="str">
        <f>HYPERLINK("https%3A%2F%2Fwww.webofscience.com%2Fwos%2Fwoscc%2Ffull-record%2FWOS:000179168400007","View Full Record in Web of Science")</f>
        <v>View Full Record in Web of Science</v>
      </c>
    </row>
    <row r="58" spans="1:72" s="1" customFormat="1" x14ac:dyDescent="0.4">
      <c r="A58" s="1" t="s">
        <v>72</v>
      </c>
      <c r="B58" s="1" t="s">
        <v>3275</v>
      </c>
      <c r="C58" s="1" t="s">
        <v>74</v>
      </c>
      <c r="D58" s="1" t="s">
        <v>74</v>
      </c>
      <c r="E58" s="1" t="s">
        <v>74</v>
      </c>
      <c r="F58" s="1" t="s">
        <v>3276</v>
      </c>
      <c r="G58" s="1" t="s">
        <v>74</v>
      </c>
      <c r="H58" s="1" t="s">
        <v>74</v>
      </c>
      <c r="I58" s="1" t="s">
        <v>3277</v>
      </c>
      <c r="J58" s="1" t="s">
        <v>610</v>
      </c>
      <c r="K58" s="1" t="s">
        <v>74</v>
      </c>
      <c r="L58" s="1" t="s">
        <v>74</v>
      </c>
      <c r="M58" s="1" t="s">
        <v>74</v>
      </c>
      <c r="N58" s="1" t="s">
        <v>74</v>
      </c>
      <c r="O58" s="1" t="s">
        <v>74</v>
      </c>
      <c r="P58" s="1" t="s">
        <v>74</v>
      </c>
      <c r="Q58" s="1" t="s">
        <v>74</v>
      </c>
      <c r="R58" s="1" t="s">
        <v>74</v>
      </c>
      <c r="S58" s="1" t="s">
        <v>74</v>
      </c>
      <c r="T58" s="1" t="s">
        <v>74</v>
      </c>
      <c r="U58" s="1" t="s">
        <v>74</v>
      </c>
      <c r="V58" s="4" t="s">
        <v>3278</v>
      </c>
      <c r="W58" s="1" t="s">
        <v>74</v>
      </c>
      <c r="X58" s="1" t="s">
        <v>74</v>
      </c>
      <c r="Y58" s="1" t="s">
        <v>74</v>
      </c>
      <c r="Z58" s="1" t="s">
        <v>74</v>
      </c>
      <c r="AA58" s="1" t="s">
        <v>74</v>
      </c>
      <c r="AB58" s="1" t="s">
        <v>3279</v>
      </c>
      <c r="AC58" s="1" t="s">
        <v>74</v>
      </c>
      <c r="AD58" s="1" t="s">
        <v>74</v>
      </c>
      <c r="AE58" s="1" t="s">
        <v>74</v>
      </c>
      <c r="AF58" s="1" t="s">
        <v>74</v>
      </c>
      <c r="AG58" s="1" t="s">
        <v>74</v>
      </c>
      <c r="AH58" s="1" t="s">
        <v>74</v>
      </c>
      <c r="AI58" s="1" t="s">
        <v>74</v>
      </c>
      <c r="AJ58" s="1" t="s">
        <v>74</v>
      </c>
      <c r="AK58" s="1" t="s">
        <v>74</v>
      </c>
      <c r="AL58" s="1" t="s">
        <v>74</v>
      </c>
      <c r="AM58" s="1" t="s">
        <v>74</v>
      </c>
      <c r="AN58" s="1" t="s">
        <v>74</v>
      </c>
      <c r="AO58" s="1" t="s">
        <v>614</v>
      </c>
      <c r="AP58" s="1" t="s">
        <v>615</v>
      </c>
      <c r="AQ58" s="1" t="s">
        <v>74</v>
      </c>
      <c r="AR58" s="1" t="s">
        <v>74</v>
      </c>
      <c r="AS58" s="1" t="s">
        <v>74</v>
      </c>
      <c r="AT58" s="1" t="s">
        <v>213</v>
      </c>
      <c r="AU58" s="1">
        <v>2016</v>
      </c>
      <c r="AV58" s="1">
        <v>122</v>
      </c>
      <c r="AW58" s="1">
        <v>11</v>
      </c>
      <c r="AX58" s="1" t="s">
        <v>74</v>
      </c>
      <c r="AY58" s="1" t="s">
        <v>74</v>
      </c>
      <c r="AZ58" s="1" t="s">
        <v>74</v>
      </c>
      <c r="BA58" s="1" t="s">
        <v>74</v>
      </c>
      <c r="BB58" s="1">
        <v>892</v>
      </c>
      <c r="BC58" s="1">
        <v>901</v>
      </c>
      <c r="BD58" s="1" t="s">
        <v>74</v>
      </c>
      <c r="BE58" s="1" t="s">
        <v>3280</v>
      </c>
      <c r="BF58" s="1" t="str">
        <f>HYPERLINK("http://dx.doi.org/10.1111/eth.12534","http://dx.doi.org/10.1111/eth.12534")</f>
        <v>http://dx.doi.org/10.1111/eth.12534</v>
      </c>
      <c r="BG58" s="1" t="s">
        <v>74</v>
      </c>
      <c r="BH58" s="1" t="s">
        <v>74</v>
      </c>
      <c r="BI58" s="1" t="s">
        <v>74</v>
      </c>
      <c r="BJ58" s="1" t="s">
        <v>74</v>
      </c>
      <c r="BK58" s="1" t="s">
        <v>74</v>
      </c>
      <c r="BL58" s="1" t="s">
        <v>74</v>
      </c>
      <c r="BM58" s="1" t="s">
        <v>74</v>
      </c>
      <c r="BN58" s="1" t="s">
        <v>74</v>
      </c>
      <c r="BO58" s="1" t="s">
        <v>74</v>
      </c>
      <c r="BP58" s="1" t="s">
        <v>74</v>
      </c>
      <c r="BQ58" s="1" t="s">
        <v>74</v>
      </c>
      <c r="BR58" s="1" t="s">
        <v>74</v>
      </c>
      <c r="BS58" s="1" t="s">
        <v>3281</v>
      </c>
      <c r="BT58" s="1" t="str">
        <f>HYPERLINK("https%3A%2F%2Fwww.webofscience.com%2Fwos%2Fwoscc%2Ffull-record%2FWOS:000385572700005","View Full Record in Web of Science")</f>
        <v>View Full Record in Web of Science</v>
      </c>
    </row>
    <row r="59" spans="1:72" s="7" customFormat="1" x14ac:dyDescent="0.4">
      <c r="A59" s="1" t="s">
        <v>72</v>
      </c>
      <c r="B59" s="1" t="s">
        <v>991</v>
      </c>
      <c r="C59" s="1" t="s">
        <v>74</v>
      </c>
      <c r="D59" s="1" t="s">
        <v>74</v>
      </c>
      <c r="E59" s="1" t="s">
        <v>74</v>
      </c>
      <c r="F59" s="1" t="s">
        <v>992</v>
      </c>
      <c r="G59" s="1" t="s">
        <v>74</v>
      </c>
      <c r="H59" s="1" t="s">
        <v>74</v>
      </c>
      <c r="I59" s="1" t="s">
        <v>993</v>
      </c>
      <c r="J59" s="1" t="s">
        <v>775</v>
      </c>
      <c r="K59" s="1" t="s">
        <v>74</v>
      </c>
      <c r="L59" s="1" t="s">
        <v>74</v>
      </c>
      <c r="M59" s="1" t="s">
        <v>74</v>
      </c>
      <c r="N59" s="1" t="s">
        <v>74</v>
      </c>
      <c r="O59" s="1" t="s">
        <v>74</v>
      </c>
      <c r="P59" s="1" t="s">
        <v>74</v>
      </c>
      <c r="Q59" s="1" t="s">
        <v>74</v>
      </c>
      <c r="R59" s="1" t="s">
        <v>74</v>
      </c>
      <c r="S59" s="1" t="s">
        <v>74</v>
      </c>
      <c r="T59" s="1" t="s">
        <v>74</v>
      </c>
      <c r="U59" s="1" t="s">
        <v>74</v>
      </c>
      <c r="V59" s="4" t="s">
        <v>994</v>
      </c>
      <c r="W59" s="1" t="s">
        <v>74</v>
      </c>
      <c r="X59" s="1" t="s">
        <v>74</v>
      </c>
      <c r="Y59" s="1" t="s">
        <v>74</v>
      </c>
      <c r="Z59" s="1" t="s">
        <v>74</v>
      </c>
      <c r="AA59" s="1" t="s">
        <v>995</v>
      </c>
      <c r="AB59" s="1" t="s">
        <v>996</v>
      </c>
      <c r="AC59" s="1" t="s">
        <v>74</v>
      </c>
      <c r="AD59" s="1" t="s">
        <v>74</v>
      </c>
      <c r="AE59" s="1" t="s">
        <v>74</v>
      </c>
      <c r="AF59" s="1" t="s">
        <v>74</v>
      </c>
      <c r="AG59" s="1" t="s">
        <v>74</v>
      </c>
      <c r="AH59" s="1" t="s">
        <v>74</v>
      </c>
      <c r="AI59" s="1" t="s">
        <v>74</v>
      </c>
      <c r="AJ59" s="1" t="s">
        <v>74</v>
      </c>
      <c r="AK59" s="1" t="s">
        <v>74</v>
      </c>
      <c r="AL59" s="1" t="s">
        <v>74</v>
      </c>
      <c r="AM59" s="1" t="s">
        <v>74</v>
      </c>
      <c r="AN59" s="1" t="s">
        <v>74</v>
      </c>
      <c r="AO59" s="1" t="s">
        <v>778</v>
      </c>
      <c r="AP59" s="1" t="s">
        <v>779</v>
      </c>
      <c r="AQ59" s="1" t="s">
        <v>74</v>
      </c>
      <c r="AR59" s="1" t="s">
        <v>74</v>
      </c>
      <c r="AS59" s="1" t="s">
        <v>74</v>
      </c>
      <c r="AT59" s="1" t="s">
        <v>964</v>
      </c>
      <c r="AU59" s="1">
        <v>2018</v>
      </c>
      <c r="AV59" s="1">
        <v>64</v>
      </c>
      <c r="AW59" s="1">
        <v>1</v>
      </c>
      <c r="AX59" s="1" t="s">
        <v>74</v>
      </c>
      <c r="AY59" s="1" t="s">
        <v>74</v>
      </c>
      <c r="AZ59" s="1" t="s">
        <v>74</v>
      </c>
      <c r="BA59" s="1" t="s">
        <v>74</v>
      </c>
      <c r="BB59" s="1">
        <v>115</v>
      </c>
      <c r="BC59" s="1">
        <v>123</v>
      </c>
      <c r="BD59" s="1" t="s">
        <v>74</v>
      </c>
      <c r="BE59" s="1" t="s">
        <v>997</v>
      </c>
      <c r="BF59" s="1" t="str">
        <f>HYPERLINK("http://dx.doi.org/10.1093/cz/zox070","http://dx.doi.org/10.1093/cz/zox070")</f>
        <v>http://dx.doi.org/10.1093/cz/zox070</v>
      </c>
      <c r="BG59" s="1" t="s">
        <v>74</v>
      </c>
      <c r="BH59" s="1" t="s">
        <v>74</v>
      </c>
      <c r="BI59" s="1" t="s">
        <v>74</v>
      </c>
      <c r="BJ59" s="1" t="s">
        <v>74</v>
      </c>
      <c r="BK59" s="1" t="s">
        <v>74</v>
      </c>
      <c r="BL59" s="1" t="s">
        <v>74</v>
      </c>
      <c r="BM59" s="1" t="s">
        <v>74</v>
      </c>
      <c r="BN59" s="1">
        <v>29492044</v>
      </c>
      <c r="BO59" s="1" t="s">
        <v>74</v>
      </c>
      <c r="BP59" s="1" t="s">
        <v>74</v>
      </c>
      <c r="BQ59" s="1" t="s">
        <v>74</v>
      </c>
      <c r="BR59" s="1" t="s">
        <v>74</v>
      </c>
      <c r="BS59" s="1" t="s">
        <v>998</v>
      </c>
      <c r="BT59" s="1" t="str">
        <f>HYPERLINK("https%3A%2F%2Fwww.webofscience.com%2Fwos%2Fwoscc%2Ffull-record%2FWOS:000425719000012","View Full Record in Web of Science")</f>
        <v>View Full Record in Web of Science</v>
      </c>
    </row>
    <row r="60" spans="1:72" s="2" customFormat="1" x14ac:dyDescent="0.4">
      <c r="A60" s="1" t="s">
        <v>72</v>
      </c>
      <c r="B60" s="1" t="s">
        <v>4578</v>
      </c>
      <c r="C60" s="1" t="s">
        <v>74</v>
      </c>
      <c r="D60" s="1" t="s">
        <v>74</v>
      </c>
      <c r="E60" s="1" t="s">
        <v>74</v>
      </c>
      <c r="F60" s="1" t="s">
        <v>4579</v>
      </c>
      <c r="G60" s="1" t="s">
        <v>74</v>
      </c>
      <c r="H60" s="1" t="s">
        <v>74</v>
      </c>
      <c r="I60" s="1" t="s">
        <v>4580</v>
      </c>
      <c r="J60" s="1" t="s">
        <v>333</v>
      </c>
      <c r="K60" s="1" t="s">
        <v>74</v>
      </c>
      <c r="L60" s="1" t="s">
        <v>74</v>
      </c>
      <c r="M60" s="1" t="s">
        <v>74</v>
      </c>
      <c r="N60" s="1" t="s">
        <v>74</v>
      </c>
      <c r="O60" s="1" t="s">
        <v>74</v>
      </c>
      <c r="P60" s="1" t="s">
        <v>74</v>
      </c>
      <c r="Q60" s="1" t="s">
        <v>74</v>
      </c>
      <c r="R60" s="1" t="s">
        <v>74</v>
      </c>
      <c r="S60" s="1" t="s">
        <v>74</v>
      </c>
      <c r="T60" s="1" t="s">
        <v>74</v>
      </c>
      <c r="U60" s="1" t="s">
        <v>74</v>
      </c>
      <c r="V60" s="4" t="s">
        <v>4581</v>
      </c>
      <c r="W60" s="1" t="s">
        <v>74</v>
      </c>
      <c r="X60" s="1" t="s">
        <v>74</v>
      </c>
      <c r="Y60" s="1" t="s">
        <v>74</v>
      </c>
      <c r="Z60" s="1" t="s">
        <v>74</v>
      </c>
      <c r="AA60" s="1" t="s">
        <v>995</v>
      </c>
      <c r="AB60" s="1" t="s">
        <v>4582</v>
      </c>
      <c r="AC60" s="1" t="s">
        <v>74</v>
      </c>
      <c r="AD60" s="1" t="s">
        <v>74</v>
      </c>
      <c r="AE60" s="1" t="s">
        <v>74</v>
      </c>
      <c r="AF60" s="1" t="s">
        <v>74</v>
      </c>
      <c r="AG60" s="1" t="s">
        <v>74</v>
      </c>
      <c r="AH60" s="1" t="s">
        <v>74</v>
      </c>
      <c r="AI60" s="1" t="s">
        <v>74</v>
      </c>
      <c r="AJ60" s="1" t="s">
        <v>74</v>
      </c>
      <c r="AK60" s="1" t="s">
        <v>74</v>
      </c>
      <c r="AL60" s="1" t="s">
        <v>74</v>
      </c>
      <c r="AM60" s="1" t="s">
        <v>74</v>
      </c>
      <c r="AN60" s="1" t="s">
        <v>74</v>
      </c>
      <c r="AO60" s="1" t="s">
        <v>337</v>
      </c>
      <c r="AP60" s="1" t="s">
        <v>338</v>
      </c>
      <c r="AQ60" s="1" t="s">
        <v>74</v>
      </c>
      <c r="AR60" s="1" t="s">
        <v>74</v>
      </c>
      <c r="AS60" s="1" t="s">
        <v>74</v>
      </c>
      <c r="AT60" s="1" t="s">
        <v>1038</v>
      </c>
      <c r="AU60" s="1">
        <v>2015</v>
      </c>
      <c r="AV60" s="1">
        <v>26</v>
      </c>
      <c r="AW60" s="1">
        <v>2</v>
      </c>
      <c r="AX60" s="1" t="s">
        <v>74</v>
      </c>
      <c r="AY60" s="1" t="s">
        <v>74</v>
      </c>
      <c r="AZ60" s="1" t="s">
        <v>74</v>
      </c>
      <c r="BA60" s="1" t="s">
        <v>74</v>
      </c>
      <c r="BB60" s="1">
        <v>609</v>
      </c>
      <c r="BC60" s="1">
        <v>616</v>
      </c>
      <c r="BD60" s="1" t="s">
        <v>74</v>
      </c>
      <c r="BE60" s="1" t="s">
        <v>4583</v>
      </c>
      <c r="BF60" s="1" t="str">
        <f>HYPERLINK("http://dx.doi.org/10.1093/beheco/aru242","http://dx.doi.org/10.1093/beheco/aru242")</f>
        <v>http://dx.doi.org/10.1093/beheco/aru242</v>
      </c>
      <c r="BG60" s="1" t="s">
        <v>74</v>
      </c>
      <c r="BH60" s="1" t="s">
        <v>74</v>
      </c>
      <c r="BI60" s="1" t="s">
        <v>74</v>
      </c>
      <c r="BJ60" s="1" t="s">
        <v>74</v>
      </c>
      <c r="BK60" s="1" t="s">
        <v>74</v>
      </c>
      <c r="BL60" s="1" t="s">
        <v>74</v>
      </c>
      <c r="BM60" s="1" t="s">
        <v>74</v>
      </c>
      <c r="BN60" s="1" t="s">
        <v>74</v>
      </c>
      <c r="BO60" s="1" t="s">
        <v>74</v>
      </c>
      <c r="BP60" s="1" t="s">
        <v>74</v>
      </c>
      <c r="BQ60" s="1" t="s">
        <v>74</v>
      </c>
      <c r="BR60" s="1" t="s">
        <v>74</v>
      </c>
      <c r="BS60" s="1" t="s">
        <v>4584</v>
      </c>
      <c r="BT60" s="1" t="str">
        <f>HYPERLINK("https%3A%2F%2Fwww.webofscience.com%2Fwos%2Fwoscc%2Ffull-record%2FWOS:000352271800043","View Full Record in Web of Science")</f>
        <v>View Full Record in Web of Science</v>
      </c>
    </row>
    <row r="61" spans="1:72" s="7" customFormat="1" x14ac:dyDescent="0.4">
      <c r="A61" s="1" t="s">
        <v>72</v>
      </c>
      <c r="B61" s="1" t="s">
        <v>714</v>
      </c>
      <c r="C61" s="1" t="s">
        <v>74</v>
      </c>
      <c r="D61" s="1" t="s">
        <v>74</v>
      </c>
      <c r="E61" s="1" t="s">
        <v>74</v>
      </c>
      <c r="F61" s="1" t="s">
        <v>715</v>
      </c>
      <c r="G61" s="1" t="s">
        <v>74</v>
      </c>
      <c r="H61" s="1" t="s">
        <v>74</v>
      </c>
      <c r="I61" s="1" t="s">
        <v>716</v>
      </c>
      <c r="J61" s="1" t="s">
        <v>456</v>
      </c>
      <c r="K61" s="1" t="s">
        <v>74</v>
      </c>
      <c r="L61" s="1" t="s">
        <v>74</v>
      </c>
      <c r="M61" s="1" t="s">
        <v>74</v>
      </c>
      <c r="N61" s="1" t="s">
        <v>74</v>
      </c>
      <c r="O61" s="1" t="s">
        <v>74</v>
      </c>
      <c r="P61" s="1" t="s">
        <v>74</v>
      </c>
      <c r="Q61" s="1" t="s">
        <v>74</v>
      </c>
      <c r="R61" s="1" t="s">
        <v>74</v>
      </c>
      <c r="S61" s="1" t="s">
        <v>74</v>
      </c>
      <c r="T61" s="1" t="s">
        <v>74</v>
      </c>
      <c r="U61" s="1" t="s">
        <v>74</v>
      </c>
      <c r="V61" s="4" t="s">
        <v>717</v>
      </c>
      <c r="W61" s="1" t="s">
        <v>74</v>
      </c>
      <c r="X61" s="1" t="s">
        <v>74</v>
      </c>
      <c r="Y61" s="1" t="s">
        <v>74</v>
      </c>
      <c r="Z61" s="1" t="s">
        <v>74</v>
      </c>
      <c r="AA61" s="1" t="s">
        <v>718</v>
      </c>
      <c r="AB61" s="1" t="s">
        <v>719</v>
      </c>
      <c r="AC61" s="1" t="s">
        <v>74</v>
      </c>
      <c r="AD61" s="1" t="s">
        <v>74</v>
      </c>
      <c r="AE61" s="1" t="s">
        <v>74</v>
      </c>
      <c r="AF61" s="1" t="s">
        <v>74</v>
      </c>
      <c r="AG61" s="1" t="s">
        <v>74</v>
      </c>
      <c r="AH61" s="1" t="s">
        <v>74</v>
      </c>
      <c r="AI61" s="1" t="s">
        <v>74</v>
      </c>
      <c r="AJ61" s="1" t="s">
        <v>74</v>
      </c>
      <c r="AK61" s="1" t="s">
        <v>74</v>
      </c>
      <c r="AL61" s="1" t="s">
        <v>74</v>
      </c>
      <c r="AM61" s="1" t="s">
        <v>74</v>
      </c>
      <c r="AN61" s="1" t="s">
        <v>74</v>
      </c>
      <c r="AO61" s="1" t="s">
        <v>460</v>
      </c>
      <c r="AP61" s="1" t="s">
        <v>461</v>
      </c>
      <c r="AQ61" s="1" t="s">
        <v>74</v>
      </c>
      <c r="AR61" s="1" t="s">
        <v>74</v>
      </c>
      <c r="AS61" s="1" t="s">
        <v>74</v>
      </c>
      <c r="AT61" s="1" t="s">
        <v>633</v>
      </c>
      <c r="AU61" s="1">
        <v>2018</v>
      </c>
      <c r="AV61" s="1">
        <v>304</v>
      </c>
      <c r="AW61" s="1">
        <v>4</v>
      </c>
      <c r="AX61" s="1" t="s">
        <v>74</v>
      </c>
      <c r="AY61" s="1" t="s">
        <v>74</v>
      </c>
      <c r="AZ61" s="1" t="s">
        <v>74</v>
      </c>
      <c r="BA61" s="1" t="s">
        <v>74</v>
      </c>
      <c r="BB61" s="1">
        <v>260</v>
      </c>
      <c r="BC61" s="1">
        <v>267</v>
      </c>
      <c r="BD61" s="1" t="s">
        <v>74</v>
      </c>
      <c r="BE61" s="1" t="s">
        <v>720</v>
      </c>
      <c r="BF61" s="1" t="str">
        <f>HYPERLINK("http://dx.doi.org/10.1111/jzo.12524","http://dx.doi.org/10.1111/jzo.12524")</f>
        <v>http://dx.doi.org/10.1111/jzo.12524</v>
      </c>
      <c r="BG61" s="1" t="s">
        <v>74</v>
      </c>
      <c r="BH61" s="1" t="s">
        <v>74</v>
      </c>
      <c r="BI61" s="1" t="s">
        <v>74</v>
      </c>
      <c r="BJ61" s="1" t="s">
        <v>74</v>
      </c>
      <c r="BK61" s="1" t="s">
        <v>74</v>
      </c>
      <c r="BL61" s="1" t="s">
        <v>74</v>
      </c>
      <c r="BM61" s="1" t="s">
        <v>74</v>
      </c>
      <c r="BN61" s="1" t="s">
        <v>74</v>
      </c>
      <c r="BO61" s="1" t="s">
        <v>74</v>
      </c>
      <c r="BP61" s="1" t="s">
        <v>74</v>
      </c>
      <c r="BQ61" s="1" t="s">
        <v>74</v>
      </c>
      <c r="BR61" s="1" t="s">
        <v>74</v>
      </c>
      <c r="BS61" s="1" t="s">
        <v>721</v>
      </c>
      <c r="BT61" s="1" t="str">
        <f>HYPERLINK("https%3A%2F%2Fwww.webofscience.com%2Fwos%2Fwoscc%2Ffull-record%2FWOS:000429420900005","View Full Record in Web of Science")</f>
        <v>View Full Record in Web of Science</v>
      </c>
    </row>
    <row r="62" spans="1:72" s="2" customFormat="1" x14ac:dyDescent="0.4">
      <c r="A62" s="1" t="s">
        <v>72</v>
      </c>
      <c r="B62" s="1" t="s">
        <v>2084</v>
      </c>
      <c r="C62" s="1" t="s">
        <v>74</v>
      </c>
      <c r="D62" s="1" t="s">
        <v>74</v>
      </c>
      <c r="E62" s="1" t="s">
        <v>74</v>
      </c>
      <c r="F62" s="1" t="s">
        <v>2085</v>
      </c>
      <c r="G62" s="1" t="s">
        <v>74</v>
      </c>
      <c r="H62" s="1" t="s">
        <v>74</v>
      </c>
      <c r="I62" s="1" t="s">
        <v>2086</v>
      </c>
      <c r="J62" s="1" t="s">
        <v>2087</v>
      </c>
      <c r="K62" s="1" t="s">
        <v>74</v>
      </c>
      <c r="L62" s="1" t="s">
        <v>74</v>
      </c>
      <c r="M62" s="1" t="s">
        <v>74</v>
      </c>
      <c r="N62" s="1" t="s">
        <v>74</v>
      </c>
      <c r="O62" s="1" t="s">
        <v>74</v>
      </c>
      <c r="P62" s="1" t="s">
        <v>74</v>
      </c>
      <c r="Q62" s="1" t="s">
        <v>74</v>
      </c>
      <c r="R62" s="1" t="s">
        <v>74</v>
      </c>
      <c r="S62" s="1" t="s">
        <v>74</v>
      </c>
      <c r="T62" s="1" t="s">
        <v>74</v>
      </c>
      <c r="U62" s="1" t="s">
        <v>74</v>
      </c>
      <c r="V62" s="4" t="s">
        <v>2088</v>
      </c>
      <c r="W62" s="1" t="s">
        <v>74</v>
      </c>
      <c r="X62" s="1" t="s">
        <v>74</v>
      </c>
      <c r="Y62" s="1" t="s">
        <v>74</v>
      </c>
      <c r="Z62" s="1" t="s">
        <v>74</v>
      </c>
      <c r="AA62" s="1" t="s">
        <v>74</v>
      </c>
      <c r="AB62" s="1" t="s">
        <v>74</v>
      </c>
      <c r="AC62" s="1" t="s">
        <v>74</v>
      </c>
      <c r="AD62" s="1" t="s">
        <v>74</v>
      </c>
      <c r="AE62" s="1" t="s">
        <v>74</v>
      </c>
      <c r="AF62" s="1" t="s">
        <v>74</v>
      </c>
      <c r="AG62" s="1" t="s">
        <v>74</v>
      </c>
      <c r="AH62" s="1" t="s">
        <v>74</v>
      </c>
      <c r="AI62" s="1" t="s">
        <v>74</v>
      </c>
      <c r="AJ62" s="1" t="s">
        <v>74</v>
      </c>
      <c r="AK62" s="1" t="s">
        <v>74</v>
      </c>
      <c r="AL62" s="1" t="s">
        <v>74</v>
      </c>
      <c r="AM62" s="1" t="s">
        <v>74</v>
      </c>
      <c r="AN62" s="1" t="s">
        <v>74</v>
      </c>
      <c r="AO62" s="1" t="s">
        <v>2089</v>
      </c>
      <c r="AP62" s="1" t="s">
        <v>74</v>
      </c>
      <c r="AQ62" s="1" t="s">
        <v>74</v>
      </c>
      <c r="AR62" s="1" t="s">
        <v>74</v>
      </c>
      <c r="AS62" s="1" t="s">
        <v>74</v>
      </c>
      <c r="AT62" s="1" t="s">
        <v>74</v>
      </c>
      <c r="AU62" s="1">
        <v>2008</v>
      </c>
      <c r="AV62" s="1">
        <v>15</v>
      </c>
      <c r="AW62" s="1">
        <v>3</v>
      </c>
      <c r="AX62" s="1" t="s">
        <v>74</v>
      </c>
      <c r="AY62" s="1" t="s">
        <v>74</v>
      </c>
      <c r="AZ62" s="1" t="s">
        <v>74</v>
      </c>
      <c r="BA62" s="1" t="s">
        <v>74</v>
      </c>
      <c r="BB62" s="1">
        <v>320</v>
      </c>
      <c r="BC62" s="1">
        <v>326</v>
      </c>
      <c r="BD62" s="1" t="s">
        <v>74</v>
      </c>
      <c r="BE62" s="1" t="s">
        <v>2090</v>
      </c>
      <c r="BF62" s="1" t="str">
        <f>HYPERLINK("http://dx.doi.org/10.2980/15-3-3135","http://dx.doi.org/10.2980/15-3-3135")</f>
        <v>http://dx.doi.org/10.2980/15-3-3135</v>
      </c>
      <c r="BG62" s="1" t="s">
        <v>74</v>
      </c>
      <c r="BH62" s="1" t="s">
        <v>74</v>
      </c>
      <c r="BI62" s="1" t="s">
        <v>74</v>
      </c>
      <c r="BJ62" s="1" t="s">
        <v>74</v>
      </c>
      <c r="BK62" s="1" t="s">
        <v>74</v>
      </c>
      <c r="BL62" s="1" t="s">
        <v>74</v>
      </c>
      <c r="BM62" s="1" t="s">
        <v>74</v>
      </c>
      <c r="BN62" s="1" t="s">
        <v>74</v>
      </c>
      <c r="BO62" s="1" t="s">
        <v>74</v>
      </c>
      <c r="BP62" s="1" t="s">
        <v>74</v>
      </c>
      <c r="BQ62" s="1" t="s">
        <v>74</v>
      </c>
      <c r="BR62" s="1" t="s">
        <v>74</v>
      </c>
      <c r="BS62" s="1" t="s">
        <v>2091</v>
      </c>
      <c r="BT62" s="1" t="str">
        <f>HYPERLINK("https%3A%2F%2Fwww.webofscience.com%2Fwos%2Fwoscc%2Ffull-record%2FWOS:000259841500005","View Full Record in Web of Science")</f>
        <v>View Full Record in Web of Science</v>
      </c>
    </row>
    <row r="63" spans="1:72" s="2" customFormat="1" x14ac:dyDescent="0.4">
      <c r="A63" s="1" t="s">
        <v>72</v>
      </c>
      <c r="B63" s="1" t="s">
        <v>1461</v>
      </c>
      <c r="C63" s="1" t="s">
        <v>74</v>
      </c>
      <c r="D63" s="1" t="s">
        <v>74</v>
      </c>
      <c r="E63" s="1" t="s">
        <v>74</v>
      </c>
      <c r="F63" s="1" t="s">
        <v>1462</v>
      </c>
      <c r="G63" s="1" t="s">
        <v>74</v>
      </c>
      <c r="H63" s="1" t="s">
        <v>74</v>
      </c>
      <c r="I63" s="1" t="s">
        <v>1463</v>
      </c>
      <c r="J63" s="1" t="s">
        <v>140</v>
      </c>
      <c r="K63" s="1" t="s">
        <v>74</v>
      </c>
      <c r="L63" s="1" t="s">
        <v>74</v>
      </c>
      <c r="M63" s="1" t="s">
        <v>74</v>
      </c>
      <c r="N63" s="1" t="s">
        <v>74</v>
      </c>
      <c r="O63" s="1" t="s">
        <v>74</v>
      </c>
      <c r="P63" s="1" t="s">
        <v>74</v>
      </c>
      <c r="Q63" s="1" t="s">
        <v>74</v>
      </c>
      <c r="R63" s="1" t="s">
        <v>74</v>
      </c>
      <c r="S63" s="1" t="s">
        <v>74</v>
      </c>
      <c r="T63" s="1" t="s">
        <v>74</v>
      </c>
      <c r="U63" s="1" t="s">
        <v>74</v>
      </c>
      <c r="V63" s="4" t="s">
        <v>1464</v>
      </c>
      <c r="W63" s="1" t="s">
        <v>74</v>
      </c>
      <c r="X63" s="1" t="s">
        <v>74</v>
      </c>
      <c r="Y63" s="1" t="s">
        <v>74</v>
      </c>
      <c r="Z63" s="1" t="s">
        <v>74</v>
      </c>
      <c r="AA63" s="1" t="s">
        <v>1465</v>
      </c>
      <c r="AB63" s="1" t="s">
        <v>1466</v>
      </c>
      <c r="AC63" s="1" t="s">
        <v>74</v>
      </c>
      <c r="AD63" s="1" t="s">
        <v>74</v>
      </c>
      <c r="AE63" s="1" t="s">
        <v>74</v>
      </c>
      <c r="AF63" s="1" t="s">
        <v>74</v>
      </c>
      <c r="AG63" s="1" t="s">
        <v>74</v>
      </c>
      <c r="AH63" s="1" t="s">
        <v>74</v>
      </c>
      <c r="AI63" s="1" t="s">
        <v>74</v>
      </c>
      <c r="AJ63" s="1" t="s">
        <v>74</v>
      </c>
      <c r="AK63" s="1" t="s">
        <v>74</v>
      </c>
      <c r="AL63" s="1" t="s">
        <v>74</v>
      </c>
      <c r="AM63" s="1" t="s">
        <v>74</v>
      </c>
      <c r="AN63" s="1" t="s">
        <v>74</v>
      </c>
      <c r="AO63" s="1" t="s">
        <v>143</v>
      </c>
      <c r="AP63" s="1" t="s">
        <v>144</v>
      </c>
      <c r="AQ63" s="1" t="s">
        <v>74</v>
      </c>
      <c r="AR63" s="1" t="s">
        <v>74</v>
      </c>
      <c r="AS63" s="1" t="s">
        <v>74</v>
      </c>
      <c r="AT63" s="1" t="s">
        <v>204</v>
      </c>
      <c r="AU63" s="1">
        <v>2012</v>
      </c>
      <c r="AV63" s="1">
        <v>84</v>
      </c>
      <c r="AW63" s="1">
        <v>1</v>
      </c>
      <c r="AX63" s="1" t="s">
        <v>74</v>
      </c>
      <c r="AY63" s="1" t="s">
        <v>74</v>
      </c>
      <c r="AZ63" s="1" t="s">
        <v>74</v>
      </c>
      <c r="BA63" s="1" t="s">
        <v>74</v>
      </c>
      <c r="BB63" s="1">
        <v>159</v>
      </c>
      <c r="BC63" s="1">
        <v>165</v>
      </c>
      <c r="BD63" s="1" t="s">
        <v>74</v>
      </c>
      <c r="BE63" s="1" t="s">
        <v>1467</v>
      </c>
      <c r="BF63" s="1" t="str">
        <f>HYPERLINK("http://dx.doi.org/10.1016/j.anbehav.2012.04.025","http://dx.doi.org/10.1016/j.anbehav.2012.04.025")</f>
        <v>http://dx.doi.org/10.1016/j.anbehav.2012.04.025</v>
      </c>
      <c r="BG63" s="1" t="s">
        <v>74</v>
      </c>
      <c r="BH63" s="1" t="s">
        <v>74</v>
      </c>
      <c r="BI63" s="1" t="s">
        <v>74</v>
      </c>
      <c r="BJ63" s="1" t="s">
        <v>74</v>
      </c>
      <c r="BK63" s="1" t="s">
        <v>74</v>
      </c>
      <c r="BL63" s="1" t="s">
        <v>74</v>
      </c>
      <c r="BM63" s="1" t="s">
        <v>74</v>
      </c>
      <c r="BN63" s="1" t="s">
        <v>74</v>
      </c>
      <c r="BO63" s="1" t="s">
        <v>74</v>
      </c>
      <c r="BP63" s="1" t="s">
        <v>74</v>
      </c>
      <c r="BQ63" s="1" t="s">
        <v>74</v>
      </c>
      <c r="BR63" s="1" t="s">
        <v>74</v>
      </c>
      <c r="BS63" s="1" t="s">
        <v>1468</v>
      </c>
      <c r="BT63" s="1" t="str">
        <f>HYPERLINK("https%3A%2F%2Fwww.webofscience.com%2Fwos%2Fwoscc%2Ffull-record%2FWOS:000305748000020","View Full Record in Web of Science")</f>
        <v>View Full Record in Web of Science</v>
      </c>
    </row>
    <row r="64" spans="1:72" s="2" customFormat="1" x14ac:dyDescent="0.4">
      <c r="A64" s="1" t="s">
        <v>72</v>
      </c>
      <c r="B64" s="1" t="s">
        <v>585</v>
      </c>
      <c r="C64" s="1" t="s">
        <v>74</v>
      </c>
      <c r="D64" s="1" t="s">
        <v>74</v>
      </c>
      <c r="E64" s="1" t="s">
        <v>74</v>
      </c>
      <c r="F64" s="1" t="s">
        <v>586</v>
      </c>
      <c r="G64" s="1" t="s">
        <v>74</v>
      </c>
      <c r="H64" s="1" t="s">
        <v>74</v>
      </c>
      <c r="I64" s="1" t="s">
        <v>587</v>
      </c>
      <c r="J64" s="1" t="s">
        <v>218</v>
      </c>
      <c r="K64" s="1" t="s">
        <v>74</v>
      </c>
      <c r="L64" s="1" t="s">
        <v>74</v>
      </c>
      <c r="M64" s="1" t="s">
        <v>74</v>
      </c>
      <c r="N64" s="1" t="s">
        <v>74</v>
      </c>
      <c r="O64" s="1" t="s">
        <v>74</v>
      </c>
      <c r="P64" s="1" t="s">
        <v>74</v>
      </c>
      <c r="Q64" s="1" t="s">
        <v>74</v>
      </c>
      <c r="R64" s="1" t="s">
        <v>74</v>
      </c>
      <c r="S64" s="1" t="s">
        <v>74</v>
      </c>
      <c r="T64" s="1" t="s">
        <v>74</v>
      </c>
      <c r="U64" s="1" t="s">
        <v>74</v>
      </c>
      <c r="V64" s="4" t="s">
        <v>588</v>
      </c>
      <c r="W64" s="1" t="s">
        <v>74</v>
      </c>
      <c r="X64" s="1" t="s">
        <v>74</v>
      </c>
      <c r="Y64" s="1" t="s">
        <v>74</v>
      </c>
      <c r="Z64" s="1" t="s">
        <v>74</v>
      </c>
      <c r="AA64" s="1" t="s">
        <v>589</v>
      </c>
      <c r="AB64" s="1" t="s">
        <v>590</v>
      </c>
      <c r="AC64" s="1" t="s">
        <v>74</v>
      </c>
      <c r="AD64" s="1" t="s">
        <v>74</v>
      </c>
      <c r="AE64" s="1" t="s">
        <v>74</v>
      </c>
      <c r="AF64" s="1" t="s">
        <v>74</v>
      </c>
      <c r="AG64" s="1" t="s">
        <v>74</v>
      </c>
      <c r="AH64" s="1" t="s">
        <v>74</v>
      </c>
      <c r="AI64" s="1" t="s">
        <v>74</v>
      </c>
      <c r="AJ64" s="1" t="s">
        <v>74</v>
      </c>
      <c r="AK64" s="1" t="s">
        <v>74</v>
      </c>
      <c r="AL64" s="1" t="s">
        <v>74</v>
      </c>
      <c r="AM64" s="1" t="s">
        <v>74</v>
      </c>
      <c r="AN64" s="1" t="s">
        <v>74</v>
      </c>
      <c r="AO64" s="1" t="s">
        <v>221</v>
      </c>
      <c r="AP64" s="1" t="s">
        <v>222</v>
      </c>
      <c r="AQ64" s="1" t="s">
        <v>74</v>
      </c>
      <c r="AR64" s="1" t="s">
        <v>74</v>
      </c>
      <c r="AS64" s="1" t="s">
        <v>74</v>
      </c>
      <c r="AT64" s="1" t="s">
        <v>123</v>
      </c>
      <c r="AU64" s="1">
        <v>2018</v>
      </c>
      <c r="AV64" s="1">
        <v>31</v>
      </c>
      <c r="AW64" s="1">
        <v>3</v>
      </c>
      <c r="AX64" s="1" t="s">
        <v>74</v>
      </c>
      <c r="AY64" s="1" t="s">
        <v>74</v>
      </c>
      <c r="AZ64" s="1" t="s">
        <v>74</v>
      </c>
      <c r="BA64" s="1" t="s">
        <v>74</v>
      </c>
      <c r="BB64" s="1">
        <v>457</v>
      </c>
      <c r="BC64" s="1">
        <v>468</v>
      </c>
      <c r="BD64" s="1" t="s">
        <v>74</v>
      </c>
      <c r="BE64" s="1" t="s">
        <v>591</v>
      </c>
      <c r="BF64" s="1" t="str">
        <f>HYPERLINK("http://dx.doi.org/10.1111/jeb.13243","http://dx.doi.org/10.1111/jeb.13243")</f>
        <v>http://dx.doi.org/10.1111/jeb.13243</v>
      </c>
      <c r="BG64" s="1" t="s">
        <v>74</v>
      </c>
      <c r="BH64" s="1" t="s">
        <v>74</v>
      </c>
      <c r="BI64" s="1" t="s">
        <v>74</v>
      </c>
      <c r="BJ64" s="1" t="s">
        <v>74</v>
      </c>
      <c r="BK64" s="1" t="s">
        <v>74</v>
      </c>
      <c r="BL64" s="1" t="s">
        <v>74</v>
      </c>
      <c r="BM64" s="1" t="s">
        <v>74</v>
      </c>
      <c r="BN64" s="1">
        <v>29345026</v>
      </c>
      <c r="BO64" s="1" t="s">
        <v>74</v>
      </c>
      <c r="BP64" s="1" t="s">
        <v>74</v>
      </c>
      <c r="BQ64" s="1" t="s">
        <v>74</v>
      </c>
      <c r="BR64" s="1" t="s">
        <v>74</v>
      </c>
      <c r="BS64" s="1" t="s">
        <v>592</v>
      </c>
      <c r="BT64" s="1" t="str">
        <f>HYPERLINK("https%3A%2F%2Fwww.webofscience.com%2Fwos%2Fwoscc%2Ffull-record%2FWOS:000426731400012","View Full Record in Web of Science")</f>
        <v>View Full Record in Web of Science</v>
      </c>
    </row>
    <row r="65" spans="1:72" s="2" customFormat="1" x14ac:dyDescent="0.4">
      <c r="A65" s="1" t="s">
        <v>72</v>
      </c>
      <c r="B65" s="1" t="s">
        <v>258</v>
      </c>
      <c r="C65" s="1" t="s">
        <v>74</v>
      </c>
      <c r="D65" s="1" t="s">
        <v>74</v>
      </c>
      <c r="E65" s="1" t="s">
        <v>74</v>
      </c>
      <c r="F65" s="1" t="s">
        <v>259</v>
      </c>
      <c r="G65" s="1" t="s">
        <v>74</v>
      </c>
      <c r="H65" s="1" t="s">
        <v>74</v>
      </c>
      <c r="I65" s="1" t="s">
        <v>260</v>
      </c>
      <c r="J65" s="1" t="s">
        <v>140</v>
      </c>
      <c r="K65" s="1" t="s">
        <v>74</v>
      </c>
      <c r="L65" s="1" t="s">
        <v>74</v>
      </c>
      <c r="M65" s="1" t="s">
        <v>74</v>
      </c>
      <c r="N65" s="1" t="s">
        <v>74</v>
      </c>
      <c r="O65" s="1" t="s">
        <v>74</v>
      </c>
      <c r="P65" s="1" t="s">
        <v>74</v>
      </c>
      <c r="Q65" s="1" t="s">
        <v>74</v>
      </c>
      <c r="R65" s="1" t="s">
        <v>74</v>
      </c>
      <c r="S65" s="1" t="s">
        <v>74</v>
      </c>
      <c r="T65" s="1" t="s">
        <v>74</v>
      </c>
      <c r="U65" s="1" t="s">
        <v>74</v>
      </c>
      <c r="V65" s="4" t="s">
        <v>261</v>
      </c>
      <c r="W65" s="1" t="s">
        <v>74</v>
      </c>
      <c r="X65" s="1" t="s">
        <v>74</v>
      </c>
      <c r="Y65" s="1" t="s">
        <v>74</v>
      </c>
      <c r="Z65" s="1" t="s">
        <v>74</v>
      </c>
      <c r="AA65" s="1" t="s">
        <v>74</v>
      </c>
      <c r="AB65" s="1" t="s">
        <v>262</v>
      </c>
      <c r="AC65" s="1" t="s">
        <v>74</v>
      </c>
      <c r="AD65" s="1" t="s">
        <v>74</v>
      </c>
      <c r="AE65" s="1" t="s">
        <v>74</v>
      </c>
      <c r="AF65" s="1" t="s">
        <v>74</v>
      </c>
      <c r="AG65" s="1" t="s">
        <v>74</v>
      </c>
      <c r="AH65" s="1" t="s">
        <v>74</v>
      </c>
      <c r="AI65" s="1" t="s">
        <v>74</v>
      </c>
      <c r="AJ65" s="1" t="s">
        <v>74</v>
      </c>
      <c r="AK65" s="1" t="s">
        <v>74</v>
      </c>
      <c r="AL65" s="1" t="s">
        <v>74</v>
      </c>
      <c r="AM65" s="1" t="s">
        <v>74</v>
      </c>
      <c r="AN65" s="1" t="s">
        <v>74</v>
      </c>
      <c r="AO65" s="1" t="s">
        <v>143</v>
      </c>
      <c r="AP65" s="1" t="s">
        <v>144</v>
      </c>
      <c r="AQ65" s="1" t="s">
        <v>74</v>
      </c>
      <c r="AR65" s="1" t="s">
        <v>74</v>
      </c>
      <c r="AS65" s="1" t="s">
        <v>74</v>
      </c>
      <c r="AT65" s="1" t="s">
        <v>255</v>
      </c>
      <c r="AU65" s="1">
        <v>2016</v>
      </c>
      <c r="AV65" s="1">
        <v>111</v>
      </c>
      <c r="AW65" s="1" t="s">
        <v>74</v>
      </c>
      <c r="AX65" s="1" t="s">
        <v>74</v>
      </c>
      <c r="AY65" s="1" t="s">
        <v>74</v>
      </c>
      <c r="AZ65" s="1" t="s">
        <v>74</v>
      </c>
      <c r="BA65" s="1" t="s">
        <v>74</v>
      </c>
      <c r="BB65" s="1">
        <v>329</v>
      </c>
      <c r="BC65" s="1">
        <v>339</v>
      </c>
      <c r="BD65" s="1" t="s">
        <v>74</v>
      </c>
      <c r="BE65" s="1" t="s">
        <v>263</v>
      </c>
      <c r="BF65" s="1" t="str">
        <f>HYPERLINK("http://dx.doi.org/10.1016/j.anbehav.2015.10.029","http://dx.doi.org/10.1016/j.anbehav.2015.10.029")</f>
        <v>http://dx.doi.org/10.1016/j.anbehav.2015.10.029</v>
      </c>
      <c r="BG65" s="1" t="s">
        <v>74</v>
      </c>
      <c r="BH65" s="1" t="s">
        <v>74</v>
      </c>
      <c r="BI65" s="1" t="s">
        <v>74</v>
      </c>
      <c r="BJ65" s="1" t="s">
        <v>74</v>
      </c>
      <c r="BK65" s="1" t="s">
        <v>74</v>
      </c>
      <c r="BL65" s="1" t="s">
        <v>74</v>
      </c>
      <c r="BM65" s="1" t="s">
        <v>74</v>
      </c>
      <c r="BN65" s="1" t="s">
        <v>74</v>
      </c>
      <c r="BO65" s="1" t="s">
        <v>74</v>
      </c>
      <c r="BP65" s="1" t="s">
        <v>74</v>
      </c>
      <c r="BQ65" s="1" t="s">
        <v>74</v>
      </c>
      <c r="BR65" s="1" t="s">
        <v>74</v>
      </c>
      <c r="BS65" s="1" t="s">
        <v>264</v>
      </c>
      <c r="BT65" s="1" t="str">
        <f>HYPERLINK("https%3A%2F%2Fwww.webofscience.com%2Fwos%2Fwoscc%2Ffull-record%2FWOS:000367374000038","View Full Record in Web of Science")</f>
        <v>View Full Record in Web of Science</v>
      </c>
    </row>
    <row r="66" spans="1:72" s="2" customFormat="1" x14ac:dyDescent="0.4">
      <c r="A66" s="1" t="s">
        <v>72</v>
      </c>
      <c r="B66" s="1" t="s">
        <v>772</v>
      </c>
      <c r="C66" s="1" t="s">
        <v>74</v>
      </c>
      <c r="D66" s="1" t="s">
        <v>74</v>
      </c>
      <c r="E66" s="1" t="s">
        <v>74</v>
      </c>
      <c r="F66" s="1" t="s">
        <v>773</v>
      </c>
      <c r="G66" s="1" t="s">
        <v>74</v>
      </c>
      <c r="H66" s="1" t="s">
        <v>74</v>
      </c>
      <c r="I66" s="1" t="s">
        <v>774</v>
      </c>
      <c r="J66" s="1" t="s">
        <v>775</v>
      </c>
      <c r="K66" s="1" t="s">
        <v>74</v>
      </c>
      <c r="L66" s="1" t="s">
        <v>74</v>
      </c>
      <c r="M66" s="1" t="s">
        <v>74</v>
      </c>
      <c r="N66" s="1" t="s">
        <v>74</v>
      </c>
      <c r="O66" s="1" t="s">
        <v>74</v>
      </c>
      <c r="P66" s="1" t="s">
        <v>74</v>
      </c>
      <c r="Q66" s="1" t="s">
        <v>74</v>
      </c>
      <c r="R66" s="1" t="s">
        <v>74</v>
      </c>
      <c r="S66" s="1" t="s">
        <v>74</v>
      </c>
      <c r="T66" s="1" t="s">
        <v>74</v>
      </c>
      <c r="U66" s="1" t="s">
        <v>74</v>
      </c>
      <c r="V66" s="4" t="s">
        <v>776</v>
      </c>
      <c r="W66" s="1" t="s">
        <v>74</v>
      </c>
      <c r="X66" s="1" t="s">
        <v>74</v>
      </c>
      <c r="Y66" s="1" t="s">
        <v>74</v>
      </c>
      <c r="Z66" s="1" t="s">
        <v>74</v>
      </c>
      <c r="AA66" s="1" t="s">
        <v>74</v>
      </c>
      <c r="AB66" s="1" t="s">
        <v>777</v>
      </c>
      <c r="AC66" s="1" t="s">
        <v>74</v>
      </c>
      <c r="AD66" s="1" t="s">
        <v>74</v>
      </c>
      <c r="AE66" s="1" t="s">
        <v>74</v>
      </c>
      <c r="AF66" s="1" t="s">
        <v>74</v>
      </c>
      <c r="AG66" s="1" t="s">
        <v>74</v>
      </c>
      <c r="AH66" s="1" t="s">
        <v>74</v>
      </c>
      <c r="AI66" s="1" t="s">
        <v>74</v>
      </c>
      <c r="AJ66" s="1" t="s">
        <v>74</v>
      </c>
      <c r="AK66" s="1" t="s">
        <v>74</v>
      </c>
      <c r="AL66" s="1" t="s">
        <v>74</v>
      </c>
      <c r="AM66" s="1" t="s">
        <v>74</v>
      </c>
      <c r="AN66" s="1" t="s">
        <v>74</v>
      </c>
      <c r="AO66" s="1" t="s">
        <v>778</v>
      </c>
      <c r="AP66" s="1" t="s">
        <v>779</v>
      </c>
      <c r="AQ66" s="1" t="s">
        <v>74</v>
      </c>
      <c r="AR66" s="1" t="s">
        <v>74</v>
      </c>
      <c r="AS66" s="1" t="s">
        <v>74</v>
      </c>
      <c r="AT66" s="1" t="s">
        <v>102</v>
      </c>
      <c r="AU66" s="1">
        <v>2018</v>
      </c>
      <c r="AV66" s="1">
        <v>64</v>
      </c>
      <c r="AW66" s="1">
        <v>3</v>
      </c>
      <c r="AX66" s="1" t="s">
        <v>74</v>
      </c>
      <c r="AY66" s="1" t="s">
        <v>74</v>
      </c>
      <c r="AZ66" s="1" t="s">
        <v>74</v>
      </c>
      <c r="BA66" s="1" t="s">
        <v>74</v>
      </c>
      <c r="BB66" s="1">
        <v>345</v>
      </c>
      <c r="BC66" s="1">
        <v>350</v>
      </c>
      <c r="BD66" s="1" t="s">
        <v>74</v>
      </c>
      <c r="BE66" s="1" t="s">
        <v>780</v>
      </c>
      <c r="BF66" s="1" t="str">
        <f>HYPERLINK("http://dx.doi.org/10.1093/cz/zoy020","http://dx.doi.org/10.1093/cz/zoy020")</f>
        <v>http://dx.doi.org/10.1093/cz/zoy020</v>
      </c>
      <c r="BG66" s="1" t="s">
        <v>74</v>
      </c>
      <c r="BH66" s="1" t="s">
        <v>74</v>
      </c>
      <c r="BI66" s="1" t="s">
        <v>74</v>
      </c>
      <c r="BJ66" s="1" t="s">
        <v>74</v>
      </c>
      <c r="BK66" s="1" t="s">
        <v>74</v>
      </c>
      <c r="BL66" s="1" t="s">
        <v>74</v>
      </c>
      <c r="BM66" s="1" t="s">
        <v>74</v>
      </c>
      <c r="BN66" s="1">
        <v>30402077</v>
      </c>
      <c r="BO66" s="1" t="s">
        <v>74</v>
      </c>
      <c r="BP66" s="1" t="s">
        <v>74</v>
      </c>
      <c r="BQ66" s="1" t="s">
        <v>74</v>
      </c>
      <c r="BR66" s="1" t="s">
        <v>74</v>
      </c>
      <c r="BS66" s="1" t="s">
        <v>781</v>
      </c>
      <c r="BT66" s="1" t="str">
        <f>HYPERLINK("https%3A%2F%2Fwww.webofscience.com%2Fwos%2Fwoscc%2Ffull-record%2FWOS:000436421000011","View Full Record in Web of Science")</f>
        <v>View Full Record in Web of Science</v>
      </c>
    </row>
    <row r="67" spans="1:72" s="2" customFormat="1" x14ac:dyDescent="0.4">
      <c r="A67" s="1" t="s">
        <v>72</v>
      </c>
      <c r="B67" s="1" t="s">
        <v>1785</v>
      </c>
      <c r="C67" s="1" t="s">
        <v>74</v>
      </c>
      <c r="D67" s="1" t="s">
        <v>74</v>
      </c>
      <c r="E67" s="1" t="s">
        <v>74</v>
      </c>
      <c r="F67" s="1" t="s">
        <v>1786</v>
      </c>
      <c r="G67" s="1" t="s">
        <v>74</v>
      </c>
      <c r="H67" s="1" t="s">
        <v>74</v>
      </c>
      <c r="I67" s="1" t="s">
        <v>1787</v>
      </c>
      <c r="J67" s="1" t="s">
        <v>333</v>
      </c>
      <c r="K67" s="1" t="s">
        <v>74</v>
      </c>
      <c r="L67" s="1" t="s">
        <v>74</v>
      </c>
      <c r="M67" s="1" t="s">
        <v>74</v>
      </c>
      <c r="N67" s="1" t="s">
        <v>74</v>
      </c>
      <c r="O67" s="1" t="s">
        <v>74</v>
      </c>
      <c r="P67" s="1" t="s">
        <v>74</v>
      </c>
      <c r="Q67" s="1" t="s">
        <v>74</v>
      </c>
      <c r="R67" s="1" t="s">
        <v>74</v>
      </c>
      <c r="S67" s="1" t="s">
        <v>74</v>
      </c>
      <c r="T67" s="1" t="s">
        <v>74</v>
      </c>
      <c r="U67" s="1" t="s">
        <v>74</v>
      </c>
      <c r="V67" s="4" t="s">
        <v>1788</v>
      </c>
      <c r="W67" s="1" t="s">
        <v>74</v>
      </c>
      <c r="X67" s="1" t="s">
        <v>74</v>
      </c>
      <c r="Y67" s="1" t="s">
        <v>74</v>
      </c>
      <c r="Z67" s="1" t="s">
        <v>74</v>
      </c>
      <c r="AA67" s="1" t="s">
        <v>1789</v>
      </c>
      <c r="AB67" s="1" t="s">
        <v>1790</v>
      </c>
      <c r="AC67" s="1" t="s">
        <v>74</v>
      </c>
      <c r="AD67" s="1" t="s">
        <v>74</v>
      </c>
      <c r="AE67" s="1" t="s">
        <v>74</v>
      </c>
      <c r="AF67" s="1" t="s">
        <v>74</v>
      </c>
      <c r="AG67" s="1" t="s">
        <v>74</v>
      </c>
      <c r="AH67" s="1" t="s">
        <v>74</v>
      </c>
      <c r="AI67" s="1" t="s">
        <v>74</v>
      </c>
      <c r="AJ67" s="1" t="s">
        <v>74</v>
      </c>
      <c r="AK67" s="1" t="s">
        <v>74</v>
      </c>
      <c r="AL67" s="1" t="s">
        <v>74</v>
      </c>
      <c r="AM67" s="1" t="s">
        <v>74</v>
      </c>
      <c r="AN67" s="1" t="s">
        <v>74</v>
      </c>
      <c r="AO67" s="1" t="s">
        <v>337</v>
      </c>
      <c r="AP67" s="1" t="s">
        <v>338</v>
      </c>
      <c r="AQ67" s="1" t="s">
        <v>74</v>
      </c>
      <c r="AR67" s="1" t="s">
        <v>74</v>
      </c>
      <c r="AS67" s="1" t="s">
        <v>74</v>
      </c>
      <c r="AT67" s="1" t="s">
        <v>339</v>
      </c>
      <c r="AU67" s="1">
        <v>2015</v>
      </c>
      <c r="AV67" s="1">
        <v>26</v>
      </c>
      <c r="AW67" s="1">
        <v>4</v>
      </c>
      <c r="AX67" s="1" t="s">
        <v>74</v>
      </c>
      <c r="AY67" s="1" t="s">
        <v>74</v>
      </c>
      <c r="AZ67" s="1" t="s">
        <v>74</v>
      </c>
      <c r="BA67" s="1" t="s">
        <v>74</v>
      </c>
      <c r="BB67" s="1">
        <v>1030</v>
      </c>
      <c r="BC67" s="1">
        <v>1038</v>
      </c>
      <c r="BD67" s="1" t="s">
        <v>74</v>
      </c>
      <c r="BE67" s="1" t="s">
        <v>1791</v>
      </c>
      <c r="BF67" s="1" t="str">
        <f>HYPERLINK("http://dx.doi.org/10.1093/beheco/arv037","http://dx.doi.org/10.1093/beheco/arv037")</f>
        <v>http://dx.doi.org/10.1093/beheco/arv037</v>
      </c>
      <c r="BG67" s="1" t="s">
        <v>74</v>
      </c>
      <c r="BH67" s="1" t="s">
        <v>74</v>
      </c>
      <c r="BI67" s="1" t="s">
        <v>74</v>
      </c>
      <c r="BJ67" s="1" t="s">
        <v>74</v>
      </c>
      <c r="BK67" s="1" t="s">
        <v>74</v>
      </c>
      <c r="BL67" s="1" t="s">
        <v>74</v>
      </c>
      <c r="BM67" s="1" t="s">
        <v>74</v>
      </c>
      <c r="BN67" s="1" t="s">
        <v>74</v>
      </c>
      <c r="BO67" s="1" t="s">
        <v>74</v>
      </c>
      <c r="BP67" s="1" t="s">
        <v>74</v>
      </c>
      <c r="BQ67" s="1" t="s">
        <v>74</v>
      </c>
      <c r="BR67" s="1" t="s">
        <v>74</v>
      </c>
      <c r="BS67" s="1" t="s">
        <v>1792</v>
      </c>
      <c r="BT67" s="1" t="str">
        <f>HYPERLINK("https%3A%2F%2Fwww.webofscience.com%2Fwos%2Fwoscc%2Ffull-record%2FWOS:000358171600013","View Full Record in Web of Science")</f>
        <v>View Full Record in Web of Science</v>
      </c>
    </row>
    <row r="68" spans="1:72" s="2" customFormat="1" x14ac:dyDescent="0.4">
      <c r="A68" s="1" t="s">
        <v>72</v>
      </c>
      <c r="B68" s="1" t="s">
        <v>4665</v>
      </c>
      <c r="C68" s="1" t="s">
        <v>74</v>
      </c>
      <c r="D68" s="1" t="s">
        <v>74</v>
      </c>
      <c r="E68" s="1" t="s">
        <v>74</v>
      </c>
      <c r="F68" s="1" t="s">
        <v>4666</v>
      </c>
      <c r="G68" s="1" t="s">
        <v>74</v>
      </c>
      <c r="H68" s="1" t="s">
        <v>74</v>
      </c>
      <c r="I68" s="1" t="s">
        <v>4667</v>
      </c>
      <c r="J68" s="1" t="s">
        <v>397</v>
      </c>
      <c r="K68" s="1" t="s">
        <v>74</v>
      </c>
      <c r="L68" s="1" t="s">
        <v>74</v>
      </c>
      <c r="M68" s="1" t="s">
        <v>74</v>
      </c>
      <c r="N68" s="1" t="s">
        <v>74</v>
      </c>
      <c r="O68" s="1" t="s">
        <v>74</v>
      </c>
      <c r="P68" s="1" t="s">
        <v>74</v>
      </c>
      <c r="Q68" s="1" t="s">
        <v>74</v>
      </c>
      <c r="R68" s="1" t="s">
        <v>74</v>
      </c>
      <c r="S68" s="1" t="s">
        <v>74</v>
      </c>
      <c r="T68" s="1" t="s">
        <v>74</v>
      </c>
      <c r="U68" s="1" t="s">
        <v>74</v>
      </c>
      <c r="V68" s="4" t="s">
        <v>4668</v>
      </c>
      <c r="W68" s="1" t="s">
        <v>74</v>
      </c>
      <c r="X68" s="1" t="s">
        <v>74</v>
      </c>
      <c r="Y68" s="1" t="s">
        <v>74</v>
      </c>
      <c r="Z68" s="1" t="s">
        <v>74</v>
      </c>
      <c r="AA68" s="1" t="s">
        <v>4669</v>
      </c>
      <c r="AB68" s="1" t="s">
        <v>4670</v>
      </c>
      <c r="AC68" s="1" t="s">
        <v>74</v>
      </c>
      <c r="AD68" s="1" t="s">
        <v>74</v>
      </c>
      <c r="AE68" s="1" t="s">
        <v>74</v>
      </c>
      <c r="AF68" s="1" t="s">
        <v>74</v>
      </c>
      <c r="AG68" s="1" t="s">
        <v>74</v>
      </c>
      <c r="AH68" s="1" t="s">
        <v>74</v>
      </c>
      <c r="AI68" s="1" t="s">
        <v>74</v>
      </c>
      <c r="AJ68" s="1" t="s">
        <v>74</v>
      </c>
      <c r="AK68" s="1" t="s">
        <v>74</v>
      </c>
      <c r="AL68" s="1" t="s">
        <v>74</v>
      </c>
      <c r="AM68" s="1" t="s">
        <v>74</v>
      </c>
      <c r="AN68" s="1" t="s">
        <v>74</v>
      </c>
      <c r="AO68" s="1" t="s">
        <v>401</v>
      </c>
      <c r="AP68" s="1" t="s">
        <v>402</v>
      </c>
      <c r="AQ68" s="1" t="s">
        <v>74</v>
      </c>
      <c r="AR68" s="1" t="s">
        <v>74</v>
      </c>
      <c r="AS68" s="1" t="s">
        <v>74</v>
      </c>
      <c r="AT68" s="1" t="s">
        <v>213</v>
      </c>
      <c r="AU68" s="1">
        <v>2015</v>
      </c>
      <c r="AV68" s="1">
        <v>14</v>
      </c>
      <c r="AW68" s="1">
        <v>8</v>
      </c>
      <c r="AX68" s="1" t="s">
        <v>74</v>
      </c>
      <c r="AY68" s="1" t="s">
        <v>74</v>
      </c>
      <c r="AZ68" s="1" t="s">
        <v>74</v>
      </c>
      <c r="BA68" s="1" t="s">
        <v>74</v>
      </c>
      <c r="BB68" s="1">
        <v>641</v>
      </c>
      <c r="BC68" s="1">
        <v>654</v>
      </c>
      <c r="BD68" s="1" t="s">
        <v>74</v>
      </c>
      <c r="BE68" s="1" t="s">
        <v>4671</v>
      </c>
      <c r="BF68" s="1" t="str">
        <f>HYPERLINK("http://dx.doi.org/10.1111/gbb.12252","http://dx.doi.org/10.1111/gbb.12252")</f>
        <v>http://dx.doi.org/10.1111/gbb.12252</v>
      </c>
      <c r="BG68" s="1" t="s">
        <v>74</v>
      </c>
      <c r="BH68" s="1" t="s">
        <v>74</v>
      </c>
      <c r="BI68" s="1" t="s">
        <v>74</v>
      </c>
      <c r="BJ68" s="1" t="s">
        <v>74</v>
      </c>
      <c r="BK68" s="1" t="s">
        <v>74</v>
      </c>
      <c r="BL68" s="1" t="s">
        <v>74</v>
      </c>
      <c r="BM68" s="1" t="s">
        <v>74</v>
      </c>
      <c r="BN68" s="1">
        <v>26463687</v>
      </c>
      <c r="BO68" s="1" t="s">
        <v>74</v>
      </c>
      <c r="BP68" s="1" t="s">
        <v>74</v>
      </c>
      <c r="BQ68" s="1" t="s">
        <v>74</v>
      </c>
      <c r="BR68" s="1" t="s">
        <v>74</v>
      </c>
      <c r="BS68" s="1" t="s">
        <v>4672</v>
      </c>
      <c r="BT68" s="1" t="str">
        <f>HYPERLINK("https%3A%2F%2Fwww.webofscience.com%2Fwos%2Fwoscc%2Ffull-record%2FWOS:000368248600008","View Full Record in Web of Science")</f>
        <v>View Full Record in Web of Science</v>
      </c>
    </row>
    <row r="69" spans="1:72" s="2" customFormat="1" x14ac:dyDescent="0.4">
      <c r="A69" s="7" t="s">
        <v>72</v>
      </c>
      <c r="B69" s="7" t="s">
        <v>1614</v>
      </c>
      <c r="C69" s="7" t="s">
        <v>74</v>
      </c>
      <c r="D69" s="7" t="s">
        <v>74</v>
      </c>
      <c r="E69" s="7" t="s">
        <v>74</v>
      </c>
      <c r="F69" s="7" t="s">
        <v>1615</v>
      </c>
      <c r="G69" s="7" t="s">
        <v>74</v>
      </c>
      <c r="H69" s="7" t="s">
        <v>74</v>
      </c>
      <c r="I69" s="7" t="s">
        <v>1616</v>
      </c>
      <c r="J69" s="7" t="s">
        <v>333</v>
      </c>
      <c r="K69" s="7" t="s">
        <v>74</v>
      </c>
      <c r="L69" s="7" t="s">
        <v>74</v>
      </c>
      <c r="M69" s="7" t="s">
        <v>74</v>
      </c>
      <c r="N69" s="7" t="s">
        <v>74</v>
      </c>
      <c r="O69" s="7" t="s">
        <v>74</v>
      </c>
      <c r="P69" s="7" t="s">
        <v>74</v>
      </c>
      <c r="Q69" s="7" t="s">
        <v>74</v>
      </c>
      <c r="R69" s="7" t="s">
        <v>74</v>
      </c>
      <c r="S69" s="7" t="s">
        <v>74</v>
      </c>
      <c r="T69" s="7" t="s">
        <v>74</v>
      </c>
      <c r="U69" s="7" t="s">
        <v>74</v>
      </c>
      <c r="V69" s="6" t="s">
        <v>1617</v>
      </c>
      <c r="W69" s="7" t="s">
        <v>74</v>
      </c>
      <c r="X69" s="7" t="s">
        <v>74</v>
      </c>
      <c r="Y69" s="7" t="s">
        <v>74</v>
      </c>
      <c r="Z69" s="7" t="s">
        <v>74</v>
      </c>
      <c r="AA69" s="7" t="s">
        <v>1618</v>
      </c>
      <c r="AB69" s="7" t="s">
        <v>1619</v>
      </c>
      <c r="AC69" s="7" t="s">
        <v>74</v>
      </c>
      <c r="AD69" s="7" t="s">
        <v>74</v>
      </c>
      <c r="AE69" s="7" t="s">
        <v>74</v>
      </c>
      <c r="AF69" s="7" t="s">
        <v>74</v>
      </c>
      <c r="AG69" s="7" t="s">
        <v>74</v>
      </c>
      <c r="AH69" s="7" t="s">
        <v>74</v>
      </c>
      <c r="AI69" s="7" t="s">
        <v>74</v>
      </c>
      <c r="AJ69" s="7" t="s">
        <v>74</v>
      </c>
      <c r="AK69" s="7" t="s">
        <v>74</v>
      </c>
      <c r="AL69" s="7" t="s">
        <v>74</v>
      </c>
      <c r="AM69" s="7" t="s">
        <v>74</v>
      </c>
      <c r="AN69" s="7" t="s">
        <v>74</v>
      </c>
      <c r="AO69" s="7" t="s">
        <v>337</v>
      </c>
      <c r="AP69" s="7" t="s">
        <v>338</v>
      </c>
      <c r="AQ69" s="7" t="s">
        <v>74</v>
      </c>
      <c r="AR69" s="7" t="s">
        <v>74</v>
      </c>
      <c r="AS69" s="7" t="s">
        <v>74</v>
      </c>
      <c r="AT69" s="7" t="s">
        <v>1620</v>
      </c>
      <c r="AU69" s="7">
        <v>2024</v>
      </c>
      <c r="AV69" s="7">
        <v>35</v>
      </c>
      <c r="AW69" s="7">
        <v>4</v>
      </c>
      <c r="AX69" s="7" t="s">
        <v>74</v>
      </c>
      <c r="AY69" s="7" t="s">
        <v>74</v>
      </c>
      <c r="AZ69" s="7" t="s">
        <v>74</v>
      </c>
      <c r="BA69" s="7" t="s">
        <v>74</v>
      </c>
      <c r="BB69" s="7" t="s">
        <v>74</v>
      </c>
      <c r="BC69" s="7" t="s">
        <v>74</v>
      </c>
      <c r="BD69" s="7" t="s">
        <v>1621</v>
      </c>
      <c r="BE69" s="7" t="s">
        <v>1622</v>
      </c>
      <c r="BF69" s="7" t="str">
        <f>HYPERLINK("http://dx.doi.org/10.1093/beheco/arae045","http://dx.doi.org/10.1093/beheco/arae045")</f>
        <v>http://dx.doi.org/10.1093/beheco/arae045</v>
      </c>
      <c r="BG69" s="7" t="s">
        <v>74</v>
      </c>
      <c r="BH69" s="7" t="s">
        <v>74</v>
      </c>
      <c r="BI69" s="7" t="s">
        <v>74</v>
      </c>
      <c r="BJ69" s="7" t="s">
        <v>74</v>
      </c>
      <c r="BK69" s="7" t="s">
        <v>74</v>
      </c>
      <c r="BL69" s="7" t="s">
        <v>74</v>
      </c>
      <c r="BM69" s="7" t="s">
        <v>74</v>
      </c>
      <c r="BN69" s="7" t="s">
        <v>74</v>
      </c>
      <c r="BO69" s="7" t="s">
        <v>74</v>
      </c>
      <c r="BP69" s="7" t="s">
        <v>74</v>
      </c>
      <c r="BQ69" s="7" t="s">
        <v>74</v>
      </c>
      <c r="BR69" s="7" t="s">
        <v>74</v>
      </c>
      <c r="BS69" s="7" t="s">
        <v>1623</v>
      </c>
      <c r="BT69" s="7" t="str">
        <f>HYPERLINK("https%3A%2F%2Fwww.webofscience.com%2Fwos%2Fwoscc%2Ffull-record%2FWOS:001258741000002","View Full Record in Web of Science")</f>
        <v>View Full Record in Web of Science</v>
      </c>
    </row>
    <row r="70" spans="1:72" s="7" customFormat="1" x14ac:dyDescent="0.4">
      <c r="A70" s="7" t="s">
        <v>72</v>
      </c>
      <c r="B70" s="7" t="s">
        <v>6707</v>
      </c>
      <c r="C70" s="7" t="s">
        <v>74</v>
      </c>
      <c r="D70" s="7" t="s">
        <v>74</v>
      </c>
      <c r="E70" s="7" t="s">
        <v>74</v>
      </c>
      <c r="F70" s="7" t="s">
        <v>6708</v>
      </c>
      <c r="G70" s="7" t="s">
        <v>74</v>
      </c>
      <c r="H70" s="7" t="s">
        <v>74</v>
      </c>
      <c r="I70" s="7" t="s">
        <v>6709</v>
      </c>
      <c r="J70" s="7" t="s">
        <v>970</v>
      </c>
      <c r="K70" s="7" t="s">
        <v>74</v>
      </c>
      <c r="L70" s="7" t="s">
        <v>74</v>
      </c>
      <c r="M70" s="7" t="s">
        <v>74</v>
      </c>
      <c r="N70" s="7" t="s">
        <v>74</v>
      </c>
      <c r="O70" s="7" t="s">
        <v>74</v>
      </c>
      <c r="P70" s="7" t="s">
        <v>74</v>
      </c>
      <c r="Q70" s="7" t="s">
        <v>74</v>
      </c>
      <c r="R70" s="7" t="s">
        <v>74</v>
      </c>
      <c r="S70" s="7" t="s">
        <v>74</v>
      </c>
      <c r="T70" s="7" t="s">
        <v>74</v>
      </c>
      <c r="U70" s="7" t="s">
        <v>74</v>
      </c>
      <c r="V70" s="6" t="s">
        <v>6710</v>
      </c>
      <c r="W70" s="7" t="s">
        <v>74</v>
      </c>
      <c r="X70" s="7" t="s">
        <v>74</v>
      </c>
      <c r="Y70" s="7" t="s">
        <v>74</v>
      </c>
      <c r="Z70" s="7" t="s">
        <v>74</v>
      </c>
      <c r="AA70" s="7" t="s">
        <v>6711</v>
      </c>
      <c r="AB70" s="7" t="s">
        <v>6712</v>
      </c>
      <c r="AC70" s="7" t="s">
        <v>74</v>
      </c>
      <c r="AD70" s="7" t="s">
        <v>74</v>
      </c>
      <c r="AE70" s="7" t="s">
        <v>74</v>
      </c>
      <c r="AF70" s="7" t="s">
        <v>74</v>
      </c>
      <c r="AG70" s="7" t="s">
        <v>74</v>
      </c>
      <c r="AH70" s="7" t="s">
        <v>74</v>
      </c>
      <c r="AI70" s="7" t="s">
        <v>74</v>
      </c>
      <c r="AJ70" s="7" t="s">
        <v>74</v>
      </c>
      <c r="AK70" s="7" t="s">
        <v>74</v>
      </c>
      <c r="AL70" s="7" t="s">
        <v>74</v>
      </c>
      <c r="AM70" s="7" t="s">
        <v>74</v>
      </c>
      <c r="AN70" s="7" t="s">
        <v>74</v>
      </c>
      <c r="AO70" s="7" t="s">
        <v>974</v>
      </c>
      <c r="AP70" s="7" t="s">
        <v>975</v>
      </c>
      <c r="AQ70" s="7" t="s">
        <v>74</v>
      </c>
      <c r="AR70" s="7" t="s">
        <v>74</v>
      </c>
      <c r="AS70" s="7" t="s">
        <v>74</v>
      </c>
      <c r="AT70" s="7" t="s">
        <v>633</v>
      </c>
      <c r="AU70" s="7">
        <v>2023</v>
      </c>
      <c r="AV70" s="7">
        <v>164</v>
      </c>
      <c r="AW70" s="7">
        <v>2</v>
      </c>
      <c r="AX70" s="7" t="s">
        <v>74</v>
      </c>
      <c r="AY70" s="7" t="s">
        <v>74</v>
      </c>
      <c r="AZ70" s="7" t="s">
        <v>74</v>
      </c>
      <c r="BA70" s="7" t="s">
        <v>74</v>
      </c>
      <c r="BB70" s="7">
        <v>417</v>
      </c>
      <c r="BC70" s="7">
        <v>431</v>
      </c>
      <c r="BD70" s="7" t="s">
        <v>74</v>
      </c>
      <c r="BE70" s="7" t="s">
        <v>6713</v>
      </c>
      <c r="BF70" s="7" t="str">
        <f>HYPERLINK("http://dx.doi.org/10.1007/s10336-022-02035-7","http://dx.doi.org/10.1007/s10336-022-02035-7")</f>
        <v>http://dx.doi.org/10.1007/s10336-022-02035-7</v>
      </c>
      <c r="BG70" s="7" t="s">
        <v>74</v>
      </c>
      <c r="BH70" s="7" t="s">
        <v>2298</v>
      </c>
      <c r="BI70" s="7" t="s">
        <v>74</v>
      </c>
      <c r="BJ70" s="7" t="s">
        <v>74</v>
      </c>
      <c r="BK70" s="7" t="s">
        <v>74</v>
      </c>
      <c r="BL70" s="7" t="s">
        <v>74</v>
      </c>
      <c r="BM70" s="7" t="s">
        <v>74</v>
      </c>
      <c r="BN70" s="7" t="s">
        <v>74</v>
      </c>
      <c r="BO70" s="7" t="s">
        <v>74</v>
      </c>
      <c r="BP70" s="7" t="s">
        <v>74</v>
      </c>
      <c r="BQ70" s="7" t="s">
        <v>74</v>
      </c>
      <c r="BR70" s="7" t="s">
        <v>74</v>
      </c>
      <c r="BS70" s="7" t="s">
        <v>6714</v>
      </c>
      <c r="BT70" s="7" t="str">
        <f>HYPERLINK("https%3A%2F%2Fwww.webofscience.com%2Fwos%2Fwoscc%2Ffull-record%2FWOS:000890108600001","View Full Record in Web of Science")</f>
        <v>View Full Record in Web of Science</v>
      </c>
    </row>
    <row r="71" spans="1:72" s="1" customFormat="1" x14ac:dyDescent="0.4">
      <c r="A71" s="7" t="s">
        <v>72</v>
      </c>
      <c r="B71" s="7" t="s">
        <v>6961</v>
      </c>
      <c r="C71" s="7" t="s">
        <v>74</v>
      </c>
      <c r="D71" s="7" t="s">
        <v>74</v>
      </c>
      <c r="E71" s="7" t="s">
        <v>74</v>
      </c>
      <c r="F71" s="7" t="s">
        <v>6961</v>
      </c>
      <c r="G71" s="7" t="s">
        <v>74</v>
      </c>
      <c r="H71" s="7" t="s">
        <v>74</v>
      </c>
      <c r="I71" s="7" t="s">
        <v>6962</v>
      </c>
      <c r="J71" s="7" t="s">
        <v>5129</v>
      </c>
      <c r="K71" s="7" t="s">
        <v>74</v>
      </c>
      <c r="L71" s="7" t="s">
        <v>74</v>
      </c>
      <c r="M71" s="7" t="s">
        <v>74</v>
      </c>
      <c r="N71" s="7" t="s">
        <v>74</v>
      </c>
      <c r="O71" s="7" t="s">
        <v>74</v>
      </c>
      <c r="P71" s="7" t="s">
        <v>74</v>
      </c>
      <c r="Q71" s="7" t="s">
        <v>74</v>
      </c>
      <c r="R71" s="7" t="s">
        <v>74</v>
      </c>
      <c r="S71" s="7" t="s">
        <v>74</v>
      </c>
      <c r="T71" s="7" t="s">
        <v>74</v>
      </c>
      <c r="U71" s="7" t="s">
        <v>74</v>
      </c>
      <c r="V71" s="6" t="s">
        <v>6963</v>
      </c>
      <c r="W71" s="7" t="s">
        <v>74</v>
      </c>
      <c r="X71" s="7" t="s">
        <v>74</v>
      </c>
      <c r="Y71" s="7" t="s">
        <v>74</v>
      </c>
      <c r="Z71" s="7" t="s">
        <v>74</v>
      </c>
      <c r="AA71" s="7" t="s">
        <v>74</v>
      </c>
      <c r="AB71" s="7" t="s">
        <v>74</v>
      </c>
      <c r="AC71" s="7" t="s">
        <v>74</v>
      </c>
      <c r="AD71" s="7" t="s">
        <v>74</v>
      </c>
      <c r="AE71" s="7" t="s">
        <v>74</v>
      </c>
      <c r="AF71" s="7" t="s">
        <v>74</v>
      </c>
      <c r="AG71" s="7" t="s">
        <v>74</v>
      </c>
      <c r="AH71" s="7" t="s">
        <v>74</v>
      </c>
      <c r="AI71" s="7" t="s">
        <v>74</v>
      </c>
      <c r="AJ71" s="7" t="s">
        <v>74</v>
      </c>
      <c r="AK71" s="7" t="s">
        <v>74</v>
      </c>
      <c r="AL71" s="7" t="s">
        <v>74</v>
      </c>
      <c r="AM71" s="7" t="s">
        <v>74</v>
      </c>
      <c r="AN71" s="7" t="s">
        <v>74</v>
      </c>
      <c r="AO71" s="7" t="s">
        <v>5131</v>
      </c>
      <c r="AP71" s="7" t="s">
        <v>5132</v>
      </c>
      <c r="AQ71" s="7" t="s">
        <v>74</v>
      </c>
      <c r="AR71" s="7" t="s">
        <v>74</v>
      </c>
      <c r="AS71" s="7" t="s">
        <v>74</v>
      </c>
      <c r="AT71" s="7" t="s">
        <v>74</v>
      </c>
      <c r="AU71" s="7">
        <v>1979</v>
      </c>
      <c r="AV71" s="7">
        <v>67</v>
      </c>
      <c r="AW71" s="7" t="s">
        <v>548</v>
      </c>
      <c r="AX71" s="7" t="s">
        <v>74</v>
      </c>
      <c r="AY71" s="7" t="s">
        <v>74</v>
      </c>
      <c r="AZ71" s="7" t="s">
        <v>74</v>
      </c>
      <c r="BA71" s="7" t="s">
        <v>74</v>
      </c>
      <c r="BB71" s="7">
        <v>28</v>
      </c>
      <c r="BC71" s="7">
        <v>41</v>
      </c>
      <c r="BD71" s="7" t="s">
        <v>74</v>
      </c>
      <c r="BE71" s="7" t="s">
        <v>74</v>
      </c>
      <c r="BF71" s="7" t="s">
        <v>74</v>
      </c>
      <c r="BG71" s="7" t="s">
        <v>74</v>
      </c>
      <c r="BH71" s="7" t="s">
        <v>74</v>
      </c>
      <c r="BI71" s="7" t="s">
        <v>74</v>
      </c>
      <c r="BJ71" s="7" t="s">
        <v>74</v>
      </c>
      <c r="BK71" s="7" t="s">
        <v>74</v>
      </c>
      <c r="BL71" s="7" t="s">
        <v>74</v>
      </c>
      <c r="BM71" s="7" t="s">
        <v>74</v>
      </c>
      <c r="BN71" s="7" t="s">
        <v>74</v>
      </c>
      <c r="BO71" s="7" t="s">
        <v>74</v>
      </c>
      <c r="BP71" s="7" t="s">
        <v>74</v>
      </c>
      <c r="BQ71" s="7" t="s">
        <v>74</v>
      </c>
      <c r="BR71" s="7" t="s">
        <v>74</v>
      </c>
      <c r="BS71" s="7" t="s">
        <v>6964</v>
      </c>
      <c r="BT71" s="7" t="str">
        <f>HYPERLINK("https%3A%2F%2Fwww.webofscience.com%2Fwos%2Fwoscc%2Ffull-record%2FWOS:A1979JH79300004","View Full Record in Web of Science")</f>
        <v>View Full Record in Web of Science</v>
      </c>
    </row>
    <row r="72" spans="1:72" s="2" customFormat="1" x14ac:dyDescent="0.4">
      <c r="A72" s="7" t="s">
        <v>72</v>
      </c>
      <c r="B72" s="7" t="s">
        <v>4593</v>
      </c>
      <c r="C72" s="7" t="s">
        <v>74</v>
      </c>
      <c r="D72" s="7" t="s">
        <v>74</v>
      </c>
      <c r="E72" s="7" t="s">
        <v>74</v>
      </c>
      <c r="F72" s="7" t="s">
        <v>4594</v>
      </c>
      <c r="G72" s="7" t="s">
        <v>74</v>
      </c>
      <c r="H72" s="7" t="s">
        <v>74</v>
      </c>
      <c r="I72" s="7" t="s">
        <v>4595</v>
      </c>
      <c r="J72" s="7" t="s">
        <v>201</v>
      </c>
      <c r="K72" s="7" t="s">
        <v>74</v>
      </c>
      <c r="L72" s="7" t="s">
        <v>74</v>
      </c>
      <c r="M72" s="7" t="s">
        <v>74</v>
      </c>
      <c r="N72" s="7" t="s">
        <v>74</v>
      </c>
      <c r="O72" s="7" t="s">
        <v>74</v>
      </c>
      <c r="P72" s="7" t="s">
        <v>74</v>
      </c>
      <c r="Q72" s="7" t="s">
        <v>74</v>
      </c>
      <c r="R72" s="7" t="s">
        <v>74</v>
      </c>
      <c r="S72" s="7" t="s">
        <v>74</v>
      </c>
      <c r="T72" s="7" t="s">
        <v>74</v>
      </c>
      <c r="U72" s="7" t="s">
        <v>74</v>
      </c>
      <c r="V72" s="6" t="s">
        <v>4596</v>
      </c>
      <c r="W72" s="7" t="s">
        <v>74</v>
      </c>
      <c r="X72" s="7" t="s">
        <v>74</v>
      </c>
      <c r="Y72" s="7" t="s">
        <v>74</v>
      </c>
      <c r="Z72" s="7" t="s">
        <v>74</v>
      </c>
      <c r="AA72" s="7" t="s">
        <v>4597</v>
      </c>
      <c r="AB72" s="7" t="s">
        <v>4598</v>
      </c>
      <c r="AC72" s="7" t="s">
        <v>74</v>
      </c>
      <c r="AD72" s="7" t="s">
        <v>74</v>
      </c>
      <c r="AE72" s="7" t="s">
        <v>74</v>
      </c>
      <c r="AF72" s="7" t="s">
        <v>74</v>
      </c>
      <c r="AG72" s="7" t="s">
        <v>74</v>
      </c>
      <c r="AH72" s="7" t="s">
        <v>74</v>
      </c>
      <c r="AI72" s="7" t="s">
        <v>74</v>
      </c>
      <c r="AJ72" s="7" t="s">
        <v>74</v>
      </c>
      <c r="AK72" s="7" t="s">
        <v>74</v>
      </c>
      <c r="AL72" s="7" t="s">
        <v>74</v>
      </c>
      <c r="AM72" s="7" t="s">
        <v>74</v>
      </c>
      <c r="AN72" s="7" t="s">
        <v>74</v>
      </c>
      <c r="AO72" s="7" t="s">
        <v>203</v>
      </c>
      <c r="AP72" s="7" t="s">
        <v>1192</v>
      </c>
      <c r="AQ72" s="7" t="s">
        <v>74</v>
      </c>
      <c r="AR72" s="7" t="s">
        <v>74</v>
      </c>
      <c r="AS72" s="7" t="s">
        <v>74</v>
      </c>
      <c r="AT72" s="7" t="s">
        <v>134</v>
      </c>
      <c r="AU72" s="7">
        <v>2022</v>
      </c>
      <c r="AV72" s="7">
        <v>100</v>
      </c>
      <c r="AW72" s="7">
        <v>5</v>
      </c>
      <c r="AX72" s="7" t="s">
        <v>74</v>
      </c>
      <c r="AY72" s="7" t="s">
        <v>74</v>
      </c>
      <c r="AZ72" s="7" t="s">
        <v>74</v>
      </c>
      <c r="BA72" s="7" t="s">
        <v>74</v>
      </c>
      <c r="BB72" s="7">
        <v>1264</v>
      </c>
      <c r="BC72" s="7">
        <v>1271</v>
      </c>
      <c r="BD72" s="7" t="s">
        <v>74</v>
      </c>
      <c r="BE72" s="7" t="s">
        <v>4599</v>
      </c>
      <c r="BF72" s="7" t="str">
        <f>HYPERLINK("http://dx.doi.org/10.1111/jfb.15040","http://dx.doi.org/10.1111/jfb.15040")</f>
        <v>http://dx.doi.org/10.1111/jfb.15040</v>
      </c>
      <c r="BG72" s="7" t="s">
        <v>74</v>
      </c>
      <c r="BH72" s="7" t="s">
        <v>415</v>
      </c>
      <c r="BI72" s="7" t="s">
        <v>74</v>
      </c>
      <c r="BJ72" s="7" t="s">
        <v>74</v>
      </c>
      <c r="BK72" s="7" t="s">
        <v>74</v>
      </c>
      <c r="BL72" s="7" t="s">
        <v>74</v>
      </c>
      <c r="BM72" s="7" t="s">
        <v>74</v>
      </c>
      <c r="BN72" s="7">
        <v>35289932</v>
      </c>
      <c r="BO72" s="7" t="s">
        <v>74</v>
      </c>
      <c r="BP72" s="7" t="s">
        <v>74</v>
      </c>
      <c r="BQ72" s="7" t="s">
        <v>74</v>
      </c>
      <c r="BR72" s="7" t="s">
        <v>74</v>
      </c>
      <c r="BS72" s="7" t="s">
        <v>4600</v>
      </c>
      <c r="BT72" s="7" t="str">
        <f>HYPERLINK("https%3A%2F%2Fwww.webofscience.com%2Fwos%2Fwoscc%2Ffull-record%2FWOS:000774829300001","View Full Record in Web of Science")</f>
        <v>View Full Record in Web of Science</v>
      </c>
    </row>
    <row r="73" spans="1:72" s="2" customFormat="1" x14ac:dyDescent="0.4">
      <c r="A73" s="7" t="s">
        <v>72</v>
      </c>
      <c r="B73" s="7" t="s">
        <v>5652</v>
      </c>
      <c r="C73" s="7" t="s">
        <v>74</v>
      </c>
      <c r="D73" s="7" t="s">
        <v>74</v>
      </c>
      <c r="E73" s="7" t="s">
        <v>74</v>
      </c>
      <c r="F73" s="7" t="s">
        <v>5653</v>
      </c>
      <c r="G73" s="7" t="s">
        <v>74</v>
      </c>
      <c r="H73" s="7" t="s">
        <v>74</v>
      </c>
      <c r="I73" s="7" t="s">
        <v>5654</v>
      </c>
      <c r="J73" s="7" t="s">
        <v>5655</v>
      </c>
      <c r="K73" s="7" t="s">
        <v>74</v>
      </c>
      <c r="L73" s="7" t="s">
        <v>74</v>
      </c>
      <c r="M73" s="7" t="s">
        <v>74</v>
      </c>
      <c r="N73" s="7" t="s">
        <v>74</v>
      </c>
      <c r="O73" s="7" t="s">
        <v>74</v>
      </c>
      <c r="P73" s="7" t="s">
        <v>74</v>
      </c>
      <c r="Q73" s="7" t="s">
        <v>74</v>
      </c>
      <c r="R73" s="7" t="s">
        <v>74</v>
      </c>
      <c r="S73" s="7" t="s">
        <v>74</v>
      </c>
      <c r="T73" s="7" t="s">
        <v>74</v>
      </c>
      <c r="U73" s="7" t="s">
        <v>74</v>
      </c>
      <c r="V73" s="6" t="s">
        <v>5656</v>
      </c>
      <c r="W73" s="7" t="s">
        <v>74</v>
      </c>
      <c r="X73" s="7" t="s">
        <v>74</v>
      </c>
      <c r="Y73" s="7" t="s">
        <v>74</v>
      </c>
      <c r="Z73" s="7" t="s">
        <v>74</v>
      </c>
      <c r="AA73" s="7" t="s">
        <v>74</v>
      </c>
      <c r="AB73" s="7" t="s">
        <v>74</v>
      </c>
      <c r="AC73" s="7" t="s">
        <v>74</v>
      </c>
      <c r="AD73" s="7" t="s">
        <v>74</v>
      </c>
      <c r="AE73" s="7" t="s">
        <v>74</v>
      </c>
      <c r="AF73" s="7" t="s">
        <v>74</v>
      </c>
      <c r="AG73" s="7" t="s">
        <v>74</v>
      </c>
      <c r="AH73" s="7" t="s">
        <v>74</v>
      </c>
      <c r="AI73" s="7" t="s">
        <v>74</v>
      </c>
      <c r="AJ73" s="7" t="s">
        <v>74</v>
      </c>
      <c r="AK73" s="7" t="s">
        <v>74</v>
      </c>
      <c r="AL73" s="7" t="s">
        <v>74</v>
      </c>
      <c r="AM73" s="7" t="s">
        <v>74</v>
      </c>
      <c r="AN73" s="7" t="s">
        <v>74</v>
      </c>
      <c r="AO73" s="7" t="s">
        <v>5657</v>
      </c>
      <c r="AP73" s="7" t="s">
        <v>74</v>
      </c>
      <c r="AQ73" s="7" t="s">
        <v>74</v>
      </c>
      <c r="AR73" s="7" t="s">
        <v>74</v>
      </c>
      <c r="AS73" s="7" t="s">
        <v>74</v>
      </c>
      <c r="AT73" s="7" t="s">
        <v>74</v>
      </c>
      <c r="AU73" s="7">
        <v>2020</v>
      </c>
      <c r="AV73" s="7">
        <v>19</v>
      </c>
      <c r="AW73" s="7">
        <v>6</v>
      </c>
      <c r="AX73" s="7" t="s">
        <v>74</v>
      </c>
      <c r="AY73" s="7" t="s">
        <v>74</v>
      </c>
      <c r="AZ73" s="7" t="s">
        <v>74</v>
      </c>
      <c r="BA73" s="7" t="s">
        <v>74</v>
      </c>
      <c r="BB73" s="7">
        <v>2770</v>
      </c>
      <c r="BC73" s="7">
        <v>2789</v>
      </c>
      <c r="BD73" s="7" t="s">
        <v>74</v>
      </c>
      <c r="BE73" s="7" t="s">
        <v>5658</v>
      </c>
      <c r="BF73" s="7" t="str">
        <f>HYPERLINK("http://dx.doi.org/10.22092/ijfs.2020.122739","http://dx.doi.org/10.22092/ijfs.2020.122739")</f>
        <v>http://dx.doi.org/10.22092/ijfs.2020.122739</v>
      </c>
      <c r="BG73" s="7" t="s">
        <v>74</v>
      </c>
      <c r="BH73" s="7" t="s">
        <v>74</v>
      </c>
      <c r="BI73" s="7" t="s">
        <v>74</v>
      </c>
      <c r="BJ73" s="7" t="s">
        <v>74</v>
      </c>
      <c r="BK73" s="7" t="s">
        <v>74</v>
      </c>
      <c r="BL73" s="7" t="s">
        <v>74</v>
      </c>
      <c r="BM73" s="7" t="s">
        <v>74</v>
      </c>
      <c r="BN73" s="7" t="s">
        <v>74</v>
      </c>
      <c r="BO73" s="7" t="s">
        <v>74</v>
      </c>
      <c r="BP73" s="7" t="s">
        <v>74</v>
      </c>
      <c r="BQ73" s="7" t="s">
        <v>74</v>
      </c>
      <c r="BR73" s="7" t="s">
        <v>74</v>
      </c>
      <c r="BS73" s="7" t="s">
        <v>5659</v>
      </c>
      <c r="BT73" s="7" t="str">
        <f>HYPERLINK("https%3A%2F%2Fwww.webofscience.com%2Fwos%2Fwoscc%2Ffull-record%2FWOS:000600344000002","View Full Record in Web of Science")</f>
        <v>View Full Record in Web of Science</v>
      </c>
    </row>
    <row r="74" spans="1:72" s="2" customFormat="1" x14ac:dyDescent="0.4">
      <c r="A74" s="7" t="s">
        <v>72</v>
      </c>
      <c r="B74" s="7" t="s">
        <v>6129</v>
      </c>
      <c r="C74" s="7" t="s">
        <v>74</v>
      </c>
      <c r="D74" s="7" t="s">
        <v>74</v>
      </c>
      <c r="E74" s="7" t="s">
        <v>74</v>
      </c>
      <c r="F74" s="7" t="s">
        <v>6129</v>
      </c>
      <c r="G74" s="7" t="s">
        <v>74</v>
      </c>
      <c r="H74" s="7" t="s">
        <v>74</v>
      </c>
      <c r="I74" s="7" t="s">
        <v>6130</v>
      </c>
      <c r="J74" s="7" t="s">
        <v>129</v>
      </c>
      <c r="K74" s="7" t="s">
        <v>74</v>
      </c>
      <c r="L74" s="7" t="s">
        <v>74</v>
      </c>
      <c r="M74" s="7" t="s">
        <v>74</v>
      </c>
      <c r="N74" s="7" t="s">
        <v>74</v>
      </c>
      <c r="O74" s="7" t="s">
        <v>74</v>
      </c>
      <c r="P74" s="7" t="s">
        <v>74</v>
      </c>
      <c r="Q74" s="7" t="s">
        <v>74</v>
      </c>
      <c r="R74" s="7" t="s">
        <v>74</v>
      </c>
      <c r="S74" s="7" t="s">
        <v>74</v>
      </c>
      <c r="T74" s="7" t="s">
        <v>74</v>
      </c>
      <c r="U74" s="7" t="s">
        <v>74</v>
      </c>
      <c r="V74" s="6" t="s">
        <v>6131</v>
      </c>
      <c r="W74" s="7" t="s">
        <v>74</v>
      </c>
      <c r="X74" s="7" t="s">
        <v>74</v>
      </c>
      <c r="Y74" s="7" t="s">
        <v>74</v>
      </c>
      <c r="Z74" s="7" t="s">
        <v>74</v>
      </c>
      <c r="AA74" s="7" t="s">
        <v>74</v>
      </c>
      <c r="AB74" s="7" t="s">
        <v>74</v>
      </c>
      <c r="AC74" s="7" t="s">
        <v>74</v>
      </c>
      <c r="AD74" s="7" t="s">
        <v>74</v>
      </c>
      <c r="AE74" s="7" t="s">
        <v>74</v>
      </c>
      <c r="AF74" s="7" t="s">
        <v>74</v>
      </c>
      <c r="AG74" s="7" t="s">
        <v>74</v>
      </c>
      <c r="AH74" s="7" t="s">
        <v>74</v>
      </c>
      <c r="AI74" s="7" t="s">
        <v>74</v>
      </c>
      <c r="AJ74" s="7" t="s">
        <v>74</v>
      </c>
      <c r="AK74" s="7" t="s">
        <v>74</v>
      </c>
      <c r="AL74" s="7" t="s">
        <v>74</v>
      </c>
      <c r="AM74" s="7" t="s">
        <v>74</v>
      </c>
      <c r="AN74" s="7" t="s">
        <v>74</v>
      </c>
      <c r="AO74" s="7" t="s">
        <v>132</v>
      </c>
      <c r="AP74" s="7" t="s">
        <v>133</v>
      </c>
      <c r="AQ74" s="7" t="s">
        <v>74</v>
      </c>
      <c r="AR74" s="7" t="s">
        <v>74</v>
      </c>
      <c r="AS74" s="7" t="s">
        <v>74</v>
      </c>
      <c r="AT74" s="7" t="s">
        <v>74</v>
      </c>
      <c r="AU74" s="7">
        <v>1986</v>
      </c>
      <c r="AV74" s="7">
        <v>19</v>
      </c>
      <c r="AW74" s="7">
        <v>1</v>
      </c>
      <c r="AX74" s="7" t="s">
        <v>74</v>
      </c>
      <c r="AY74" s="7" t="s">
        <v>74</v>
      </c>
      <c r="AZ74" s="7" t="s">
        <v>74</v>
      </c>
      <c r="BA74" s="7" t="s">
        <v>74</v>
      </c>
      <c r="BB74" s="7">
        <v>1</v>
      </c>
      <c r="BC74" s="7">
        <v>8</v>
      </c>
      <c r="BD74" s="7" t="s">
        <v>74</v>
      </c>
      <c r="BE74" s="7" t="s">
        <v>6132</v>
      </c>
      <c r="BF74" s="7" t="str">
        <f>HYPERLINK("http://dx.doi.org/10.1007/BF00303836","http://dx.doi.org/10.1007/BF00303836")</f>
        <v>http://dx.doi.org/10.1007/BF00303836</v>
      </c>
      <c r="BG74" s="7" t="s">
        <v>74</v>
      </c>
      <c r="BH74" s="7" t="s">
        <v>74</v>
      </c>
      <c r="BI74" s="7" t="s">
        <v>74</v>
      </c>
      <c r="BJ74" s="7" t="s">
        <v>74</v>
      </c>
      <c r="BK74" s="7" t="s">
        <v>74</v>
      </c>
      <c r="BL74" s="7" t="s">
        <v>74</v>
      </c>
      <c r="BM74" s="7" t="s">
        <v>74</v>
      </c>
      <c r="BN74" s="7" t="s">
        <v>74</v>
      </c>
      <c r="BO74" s="7" t="s">
        <v>74</v>
      </c>
      <c r="BP74" s="7" t="s">
        <v>74</v>
      </c>
      <c r="BQ74" s="7" t="s">
        <v>74</v>
      </c>
      <c r="BR74" s="7" t="s">
        <v>74</v>
      </c>
      <c r="BS74" s="7" t="s">
        <v>6133</v>
      </c>
      <c r="BT74" s="7" t="str">
        <f>HYPERLINK("https%3A%2F%2Fwww.webofscience.com%2Fwos%2Fwoscc%2Ffull-record%2FWOS:A1986C822500001","View Full Record in Web of Science")</f>
        <v>View Full Record in Web of Science</v>
      </c>
    </row>
    <row r="75" spans="1:72" s="2" customFormat="1" x14ac:dyDescent="0.4">
      <c r="A75" s="7" t="s">
        <v>72</v>
      </c>
      <c r="B75" s="7" t="s">
        <v>3570</v>
      </c>
      <c r="C75" s="7" t="s">
        <v>74</v>
      </c>
      <c r="D75" s="7" t="s">
        <v>74</v>
      </c>
      <c r="E75" s="7" t="s">
        <v>74</v>
      </c>
      <c r="F75" s="7" t="s">
        <v>3571</v>
      </c>
      <c r="G75" s="7" t="s">
        <v>74</v>
      </c>
      <c r="H75" s="7" t="s">
        <v>74</v>
      </c>
      <c r="I75" s="7" t="s">
        <v>3572</v>
      </c>
      <c r="J75" s="7" t="s">
        <v>140</v>
      </c>
      <c r="K75" s="7" t="s">
        <v>74</v>
      </c>
      <c r="L75" s="7" t="s">
        <v>74</v>
      </c>
      <c r="M75" s="7" t="s">
        <v>74</v>
      </c>
      <c r="N75" s="7" t="s">
        <v>74</v>
      </c>
      <c r="O75" s="7" t="s">
        <v>74</v>
      </c>
      <c r="P75" s="7" t="s">
        <v>74</v>
      </c>
      <c r="Q75" s="7" t="s">
        <v>74</v>
      </c>
      <c r="R75" s="7" t="s">
        <v>74</v>
      </c>
      <c r="S75" s="7" t="s">
        <v>74</v>
      </c>
      <c r="T75" s="7" t="s">
        <v>74</v>
      </c>
      <c r="U75" s="7" t="s">
        <v>74</v>
      </c>
      <c r="V75" s="6" t="s">
        <v>3573</v>
      </c>
      <c r="W75" s="7" t="s">
        <v>74</v>
      </c>
      <c r="X75" s="7" t="s">
        <v>74</v>
      </c>
      <c r="Y75" s="7" t="s">
        <v>74</v>
      </c>
      <c r="Z75" s="7" t="s">
        <v>74</v>
      </c>
      <c r="AA75" s="7" t="s">
        <v>3574</v>
      </c>
      <c r="AB75" s="7" t="s">
        <v>3575</v>
      </c>
      <c r="AC75" s="7" t="s">
        <v>74</v>
      </c>
      <c r="AD75" s="7" t="s">
        <v>74</v>
      </c>
      <c r="AE75" s="7" t="s">
        <v>74</v>
      </c>
      <c r="AF75" s="7" t="s">
        <v>74</v>
      </c>
      <c r="AG75" s="7" t="s">
        <v>74</v>
      </c>
      <c r="AH75" s="7" t="s">
        <v>74</v>
      </c>
      <c r="AI75" s="7" t="s">
        <v>74</v>
      </c>
      <c r="AJ75" s="7" t="s">
        <v>74</v>
      </c>
      <c r="AK75" s="7" t="s">
        <v>74</v>
      </c>
      <c r="AL75" s="7" t="s">
        <v>74</v>
      </c>
      <c r="AM75" s="7" t="s">
        <v>74</v>
      </c>
      <c r="AN75" s="7" t="s">
        <v>74</v>
      </c>
      <c r="AO75" s="7" t="s">
        <v>143</v>
      </c>
      <c r="AP75" s="7" t="s">
        <v>144</v>
      </c>
      <c r="AQ75" s="7" t="s">
        <v>74</v>
      </c>
      <c r="AR75" s="7" t="s">
        <v>74</v>
      </c>
      <c r="AS75" s="7" t="s">
        <v>74</v>
      </c>
      <c r="AT75" s="7" t="s">
        <v>305</v>
      </c>
      <c r="AU75" s="7">
        <v>2021</v>
      </c>
      <c r="AV75" s="7">
        <v>182</v>
      </c>
      <c r="AW75" s="7" t="s">
        <v>74</v>
      </c>
      <c r="AX75" s="7" t="s">
        <v>74</v>
      </c>
      <c r="AY75" s="7" t="s">
        <v>74</v>
      </c>
      <c r="AZ75" s="7" t="s">
        <v>74</v>
      </c>
      <c r="BA75" s="7" t="s">
        <v>74</v>
      </c>
      <c r="BB75" s="7">
        <v>239</v>
      </c>
      <c r="BC75" s="7">
        <v>250</v>
      </c>
      <c r="BD75" s="7" t="s">
        <v>74</v>
      </c>
      <c r="BE75" s="7" t="s">
        <v>3576</v>
      </c>
      <c r="BF75" s="7" t="str">
        <f>HYPERLINK("http://dx.doi.org/10.1016/j.anbehav.2021.09.011","http://dx.doi.org/10.1016/j.anbehav.2021.09.011")</f>
        <v>http://dx.doi.org/10.1016/j.anbehav.2021.09.011</v>
      </c>
      <c r="BG75" s="7" t="s">
        <v>74</v>
      </c>
      <c r="BH75" s="7" t="s">
        <v>74</v>
      </c>
      <c r="BI75" s="7" t="s">
        <v>74</v>
      </c>
      <c r="BJ75" s="7" t="s">
        <v>74</v>
      </c>
      <c r="BK75" s="7" t="s">
        <v>74</v>
      </c>
      <c r="BL75" s="7" t="s">
        <v>74</v>
      </c>
      <c r="BM75" s="7" t="s">
        <v>74</v>
      </c>
      <c r="BN75" s="7" t="s">
        <v>74</v>
      </c>
      <c r="BO75" s="7" t="s">
        <v>74</v>
      </c>
      <c r="BP75" s="7" t="s">
        <v>74</v>
      </c>
      <c r="BQ75" s="7" t="s">
        <v>74</v>
      </c>
      <c r="BR75" s="7" t="s">
        <v>74</v>
      </c>
      <c r="BS75" s="7" t="s">
        <v>3577</v>
      </c>
      <c r="BT75" s="7" t="str">
        <f>HYPERLINK("https%3A%2F%2Fwww.webofscience.com%2Fwos%2Fwoscc%2Ffull-record%2FWOS:000907004000003","View Full Record in Web of Science")</f>
        <v>View Full Record in Web of Science</v>
      </c>
    </row>
    <row r="76" spans="1:72" s="2" customFormat="1" x14ac:dyDescent="0.4">
      <c r="A76" s="7" t="s">
        <v>72</v>
      </c>
      <c r="B76" s="7" t="s">
        <v>573</v>
      </c>
      <c r="C76" s="7" t="s">
        <v>74</v>
      </c>
      <c r="D76" s="7" t="s">
        <v>74</v>
      </c>
      <c r="E76" s="7" t="s">
        <v>74</v>
      </c>
      <c r="F76" s="7" t="s">
        <v>574</v>
      </c>
      <c r="G76" s="7" t="s">
        <v>74</v>
      </c>
      <c r="H76" s="7" t="s">
        <v>74</v>
      </c>
      <c r="I76" s="7" t="s">
        <v>575</v>
      </c>
      <c r="J76" s="7" t="s">
        <v>576</v>
      </c>
      <c r="K76" s="7" t="s">
        <v>74</v>
      </c>
      <c r="L76" s="7" t="s">
        <v>74</v>
      </c>
      <c r="M76" s="7" t="s">
        <v>74</v>
      </c>
      <c r="N76" s="7" t="s">
        <v>74</v>
      </c>
      <c r="O76" s="7" t="s">
        <v>74</v>
      </c>
      <c r="P76" s="7" t="s">
        <v>74</v>
      </c>
      <c r="Q76" s="7" t="s">
        <v>74</v>
      </c>
      <c r="R76" s="7" t="s">
        <v>74</v>
      </c>
      <c r="S76" s="7" t="s">
        <v>74</v>
      </c>
      <c r="T76" s="7" t="s">
        <v>74</v>
      </c>
      <c r="U76" s="7" t="s">
        <v>74</v>
      </c>
      <c r="V76" s="6" t="s">
        <v>577</v>
      </c>
      <c r="W76" s="7" t="s">
        <v>74</v>
      </c>
      <c r="X76" s="7" t="s">
        <v>74</v>
      </c>
      <c r="Y76" s="7" t="s">
        <v>74</v>
      </c>
      <c r="Z76" s="7" t="s">
        <v>74</v>
      </c>
      <c r="AA76" s="7" t="s">
        <v>74</v>
      </c>
      <c r="AB76" s="7" t="s">
        <v>578</v>
      </c>
      <c r="AC76" s="7" t="s">
        <v>74</v>
      </c>
      <c r="AD76" s="7" t="s">
        <v>74</v>
      </c>
      <c r="AE76" s="7" t="s">
        <v>74</v>
      </c>
      <c r="AF76" s="7" t="s">
        <v>74</v>
      </c>
      <c r="AG76" s="7" t="s">
        <v>74</v>
      </c>
      <c r="AH76" s="7" t="s">
        <v>74</v>
      </c>
      <c r="AI76" s="7" t="s">
        <v>74</v>
      </c>
      <c r="AJ76" s="7" t="s">
        <v>74</v>
      </c>
      <c r="AK76" s="7" t="s">
        <v>74</v>
      </c>
      <c r="AL76" s="7" t="s">
        <v>74</v>
      </c>
      <c r="AM76" s="7" t="s">
        <v>74</v>
      </c>
      <c r="AN76" s="7" t="s">
        <v>74</v>
      </c>
      <c r="AO76" s="7" t="s">
        <v>579</v>
      </c>
      <c r="AP76" s="7" t="s">
        <v>580</v>
      </c>
      <c r="AQ76" s="7" t="s">
        <v>74</v>
      </c>
      <c r="AR76" s="7" t="s">
        <v>74</v>
      </c>
      <c r="AS76" s="7" t="s">
        <v>74</v>
      </c>
      <c r="AT76" s="7" t="s">
        <v>581</v>
      </c>
      <c r="AU76" s="7">
        <v>2024</v>
      </c>
      <c r="AV76" s="7" t="s">
        <v>74</v>
      </c>
      <c r="AW76" s="7" t="s">
        <v>74</v>
      </c>
      <c r="AX76" s="7" t="s">
        <v>74</v>
      </c>
      <c r="AY76" s="7" t="s">
        <v>74</v>
      </c>
      <c r="AZ76" s="7" t="s">
        <v>74</v>
      </c>
      <c r="BA76" s="7" t="s">
        <v>74</v>
      </c>
      <c r="BB76" s="7" t="s">
        <v>74</v>
      </c>
      <c r="BC76" s="7" t="s">
        <v>74</v>
      </c>
      <c r="BD76" s="7" t="s">
        <v>74</v>
      </c>
      <c r="BE76" s="7" t="s">
        <v>582</v>
      </c>
      <c r="BF76" s="7" t="str">
        <f>HYPERLINK("http://dx.doi.org/10.1007/s10682-023-10285-x","http://dx.doi.org/10.1007/s10682-023-10285-x")</f>
        <v>http://dx.doi.org/10.1007/s10682-023-10285-x</v>
      </c>
      <c r="BG76" s="7" t="s">
        <v>74</v>
      </c>
      <c r="BH76" s="7" t="s">
        <v>583</v>
      </c>
      <c r="BI76" s="7" t="s">
        <v>74</v>
      </c>
      <c r="BJ76" s="7" t="s">
        <v>74</v>
      </c>
      <c r="BK76" s="7" t="s">
        <v>74</v>
      </c>
      <c r="BL76" s="7" t="s">
        <v>74</v>
      </c>
      <c r="BM76" s="7" t="s">
        <v>74</v>
      </c>
      <c r="BN76" s="7" t="s">
        <v>74</v>
      </c>
      <c r="BO76" s="7" t="s">
        <v>74</v>
      </c>
      <c r="BP76" s="7" t="s">
        <v>74</v>
      </c>
      <c r="BQ76" s="7" t="s">
        <v>74</v>
      </c>
      <c r="BR76" s="7" t="s">
        <v>74</v>
      </c>
      <c r="BS76" s="7" t="s">
        <v>584</v>
      </c>
      <c r="BT76" s="7" t="str">
        <f>HYPERLINK("https%3A%2F%2Fwww.webofscience.com%2Fwos%2Fwoscc%2Ffull-record%2FWOS:001150340400001","View Full Record in Web of Science")</f>
        <v>View Full Record in Web of Science</v>
      </c>
    </row>
    <row r="77" spans="1:72" s="1" customFormat="1" x14ac:dyDescent="0.4">
      <c r="A77" s="7" t="s">
        <v>72</v>
      </c>
      <c r="B77" s="7" t="s">
        <v>5902</v>
      </c>
      <c r="C77" s="7" t="s">
        <v>74</v>
      </c>
      <c r="D77" s="7" t="s">
        <v>74</v>
      </c>
      <c r="E77" s="7" t="s">
        <v>74</v>
      </c>
      <c r="F77" s="7" t="s">
        <v>5903</v>
      </c>
      <c r="G77" s="7" t="s">
        <v>74</v>
      </c>
      <c r="H77" s="7" t="s">
        <v>74</v>
      </c>
      <c r="I77" s="7" t="s">
        <v>5904</v>
      </c>
      <c r="J77" s="7" t="s">
        <v>775</v>
      </c>
      <c r="K77" s="7" t="s">
        <v>74</v>
      </c>
      <c r="L77" s="7" t="s">
        <v>74</v>
      </c>
      <c r="M77" s="7" t="s">
        <v>74</v>
      </c>
      <c r="N77" s="7" t="s">
        <v>74</v>
      </c>
      <c r="O77" s="7" t="s">
        <v>74</v>
      </c>
      <c r="P77" s="7" t="s">
        <v>74</v>
      </c>
      <c r="Q77" s="7" t="s">
        <v>74</v>
      </c>
      <c r="R77" s="7" t="s">
        <v>74</v>
      </c>
      <c r="S77" s="7" t="s">
        <v>74</v>
      </c>
      <c r="T77" s="7" t="s">
        <v>74</v>
      </c>
      <c r="U77" s="7" t="s">
        <v>74</v>
      </c>
      <c r="V77" s="6" t="s">
        <v>5905</v>
      </c>
      <c r="W77" s="7" t="s">
        <v>74</v>
      </c>
      <c r="X77" s="7" t="s">
        <v>74</v>
      </c>
      <c r="Y77" s="7" t="s">
        <v>74</v>
      </c>
      <c r="Z77" s="7" t="s">
        <v>74</v>
      </c>
      <c r="AA77" s="7" t="s">
        <v>5906</v>
      </c>
      <c r="AB77" s="7" t="s">
        <v>5907</v>
      </c>
      <c r="AC77" s="7" t="s">
        <v>74</v>
      </c>
      <c r="AD77" s="7" t="s">
        <v>74</v>
      </c>
      <c r="AE77" s="7" t="s">
        <v>74</v>
      </c>
      <c r="AF77" s="7" t="s">
        <v>74</v>
      </c>
      <c r="AG77" s="7" t="s">
        <v>74</v>
      </c>
      <c r="AH77" s="7" t="s">
        <v>74</v>
      </c>
      <c r="AI77" s="7" t="s">
        <v>74</v>
      </c>
      <c r="AJ77" s="7" t="s">
        <v>74</v>
      </c>
      <c r="AK77" s="7" t="s">
        <v>74</v>
      </c>
      <c r="AL77" s="7" t="s">
        <v>74</v>
      </c>
      <c r="AM77" s="7" t="s">
        <v>74</v>
      </c>
      <c r="AN77" s="7" t="s">
        <v>74</v>
      </c>
      <c r="AO77" s="7" t="s">
        <v>778</v>
      </c>
      <c r="AP77" s="7" t="s">
        <v>779</v>
      </c>
      <c r="AQ77" s="7" t="s">
        <v>74</v>
      </c>
      <c r="AR77" s="7" t="s">
        <v>74</v>
      </c>
      <c r="AS77" s="7" t="s">
        <v>74</v>
      </c>
      <c r="AT77" s="7" t="s">
        <v>2296</v>
      </c>
      <c r="AU77" s="7">
        <v>2024</v>
      </c>
      <c r="AV77" s="7">
        <v>70</v>
      </c>
      <c r="AW77" s="7">
        <v>1</v>
      </c>
      <c r="AX77" s="7" t="s">
        <v>74</v>
      </c>
      <c r="AY77" s="7" t="s">
        <v>74</v>
      </c>
      <c r="AZ77" s="7" t="s">
        <v>74</v>
      </c>
      <c r="BA77" s="7" t="s">
        <v>74</v>
      </c>
      <c r="BB77" s="7">
        <v>70</v>
      </c>
      <c r="BC77" s="7">
        <v>78</v>
      </c>
      <c r="BD77" s="7" t="s">
        <v>74</v>
      </c>
      <c r="BE77" s="7" t="s">
        <v>5908</v>
      </c>
      <c r="BF77" s="7" t="str">
        <f>HYPERLINK("http://dx.doi.org/10.1093/cz/zoac100","http://dx.doi.org/10.1093/cz/zoac100")</f>
        <v>http://dx.doi.org/10.1093/cz/zoac100</v>
      </c>
      <c r="BG77" s="7" t="s">
        <v>74</v>
      </c>
      <c r="BH77" s="7" t="s">
        <v>5909</v>
      </c>
      <c r="BI77" s="7" t="s">
        <v>74</v>
      </c>
      <c r="BJ77" s="7" t="s">
        <v>74</v>
      </c>
      <c r="BK77" s="7" t="s">
        <v>74</v>
      </c>
      <c r="BL77" s="7" t="s">
        <v>74</v>
      </c>
      <c r="BM77" s="7" t="s">
        <v>74</v>
      </c>
      <c r="BN77" s="7">
        <v>38476131</v>
      </c>
      <c r="BO77" s="7" t="s">
        <v>74</v>
      </c>
      <c r="BP77" s="7" t="s">
        <v>74</v>
      </c>
      <c r="BQ77" s="7" t="s">
        <v>74</v>
      </c>
      <c r="BR77" s="7" t="s">
        <v>74</v>
      </c>
      <c r="BS77" s="7" t="s">
        <v>5910</v>
      </c>
      <c r="BT77" s="7" t="str">
        <f>HYPERLINK("https%3A%2F%2Fwww.webofscience.com%2Fwos%2Fwoscc%2Ffull-record%2FWOS:000941795100001","View Full Record in Web of Science")</f>
        <v>View Full Record in Web of Science</v>
      </c>
    </row>
    <row r="78" spans="1:72" s="2" customFormat="1" x14ac:dyDescent="0.4">
      <c r="A78" s="7" t="s">
        <v>72</v>
      </c>
      <c r="B78" s="7" t="s">
        <v>7116</v>
      </c>
      <c r="C78" s="7" t="s">
        <v>74</v>
      </c>
      <c r="D78" s="7" t="s">
        <v>74</v>
      </c>
      <c r="E78" s="7" t="s">
        <v>74</v>
      </c>
      <c r="F78" s="7" t="s">
        <v>7117</v>
      </c>
      <c r="G78" s="7" t="s">
        <v>74</v>
      </c>
      <c r="H78" s="7" t="s">
        <v>74</v>
      </c>
      <c r="I78" s="7" t="s">
        <v>7118</v>
      </c>
      <c r="J78" s="7" t="s">
        <v>5577</v>
      </c>
      <c r="K78" s="7" t="s">
        <v>74</v>
      </c>
      <c r="L78" s="7" t="s">
        <v>74</v>
      </c>
      <c r="M78" s="7" t="s">
        <v>74</v>
      </c>
      <c r="N78" s="7" t="s">
        <v>74</v>
      </c>
      <c r="O78" s="7" t="s">
        <v>74</v>
      </c>
      <c r="P78" s="7" t="s">
        <v>74</v>
      </c>
      <c r="Q78" s="7" t="s">
        <v>74</v>
      </c>
      <c r="R78" s="7" t="s">
        <v>74</v>
      </c>
      <c r="S78" s="7" t="s">
        <v>74</v>
      </c>
      <c r="T78" s="7" t="s">
        <v>74</v>
      </c>
      <c r="U78" s="7" t="s">
        <v>74</v>
      </c>
      <c r="V78" s="6" t="s">
        <v>7119</v>
      </c>
      <c r="W78" s="7" t="s">
        <v>74</v>
      </c>
      <c r="X78" s="7" t="s">
        <v>74</v>
      </c>
      <c r="Y78" s="7" t="s">
        <v>74</v>
      </c>
      <c r="Z78" s="7" t="s">
        <v>74</v>
      </c>
      <c r="AA78" s="7" t="s">
        <v>74</v>
      </c>
      <c r="AB78" s="7" t="s">
        <v>74</v>
      </c>
      <c r="AC78" s="7" t="s">
        <v>74</v>
      </c>
      <c r="AD78" s="7" t="s">
        <v>74</v>
      </c>
      <c r="AE78" s="7" t="s">
        <v>74</v>
      </c>
      <c r="AF78" s="7" t="s">
        <v>74</v>
      </c>
      <c r="AG78" s="7" t="s">
        <v>74</v>
      </c>
      <c r="AH78" s="7" t="s">
        <v>74</v>
      </c>
      <c r="AI78" s="7" t="s">
        <v>74</v>
      </c>
      <c r="AJ78" s="7" t="s">
        <v>74</v>
      </c>
      <c r="AK78" s="7" t="s">
        <v>74</v>
      </c>
      <c r="AL78" s="7" t="s">
        <v>74</v>
      </c>
      <c r="AM78" s="7" t="s">
        <v>74</v>
      </c>
      <c r="AN78" s="7" t="s">
        <v>74</v>
      </c>
      <c r="AO78" s="7" t="s">
        <v>5579</v>
      </c>
      <c r="AP78" s="7" t="s">
        <v>74</v>
      </c>
      <c r="AQ78" s="7" t="s">
        <v>74</v>
      </c>
      <c r="AR78" s="7" t="s">
        <v>74</v>
      </c>
      <c r="AS78" s="7" t="s">
        <v>74</v>
      </c>
      <c r="AT78" s="7" t="s">
        <v>123</v>
      </c>
      <c r="AU78" s="7">
        <v>2022</v>
      </c>
      <c r="AV78" s="7">
        <v>101</v>
      </c>
      <c r="AW78" s="7">
        <v>3</v>
      </c>
      <c r="AX78" s="7" t="s">
        <v>74</v>
      </c>
      <c r="AY78" s="7" t="s">
        <v>74</v>
      </c>
      <c r="AZ78" s="7" t="s">
        <v>74</v>
      </c>
      <c r="BA78" s="7" t="s">
        <v>74</v>
      </c>
      <c r="BB78" s="7">
        <v>326</v>
      </c>
      <c r="BC78" s="7">
        <v>335</v>
      </c>
      <c r="BD78" s="7" t="s">
        <v>74</v>
      </c>
      <c r="BE78" s="7" t="s">
        <v>7120</v>
      </c>
      <c r="BF78" s="7" t="str">
        <f>HYPERLINK("http://dx.doi.org/10.31857/S0044513422010056","http://dx.doi.org/10.31857/S0044513422010056")</f>
        <v>http://dx.doi.org/10.31857/S0044513422010056</v>
      </c>
      <c r="BG78" s="7" t="s">
        <v>74</v>
      </c>
      <c r="BH78" s="7" t="s">
        <v>74</v>
      </c>
      <c r="BI78" s="7" t="s">
        <v>74</v>
      </c>
      <c r="BJ78" s="7" t="s">
        <v>74</v>
      </c>
      <c r="BK78" s="7" t="s">
        <v>74</v>
      </c>
      <c r="BL78" s="7" t="s">
        <v>74</v>
      </c>
      <c r="BM78" s="7" t="s">
        <v>74</v>
      </c>
      <c r="BN78" s="7" t="s">
        <v>74</v>
      </c>
      <c r="BO78" s="7" t="s">
        <v>74</v>
      </c>
      <c r="BP78" s="7" t="s">
        <v>74</v>
      </c>
      <c r="BQ78" s="7" t="s">
        <v>74</v>
      </c>
      <c r="BR78" s="7" t="s">
        <v>74</v>
      </c>
      <c r="BS78" s="7" t="s">
        <v>7121</v>
      </c>
      <c r="BT78" s="7" t="str">
        <f>HYPERLINK("https%3A%2F%2Fwww.webofscience.com%2Fwos%2Fwoscc%2Ffull-record%2FWOS:000851044400007","View Full Record in Web of Science")</f>
        <v>View Full Record in Web of Science</v>
      </c>
    </row>
    <row r="79" spans="1:72" s="2" customFormat="1" x14ac:dyDescent="0.4">
      <c r="A79" s="7" t="s">
        <v>72</v>
      </c>
      <c r="B79" s="7" t="s">
        <v>3892</v>
      </c>
      <c r="C79" s="7" t="s">
        <v>74</v>
      </c>
      <c r="D79" s="7" t="s">
        <v>74</v>
      </c>
      <c r="E79" s="7" t="s">
        <v>74</v>
      </c>
      <c r="F79" s="7" t="s">
        <v>3893</v>
      </c>
      <c r="G79" s="7" t="s">
        <v>74</v>
      </c>
      <c r="H79" s="7" t="s">
        <v>74</v>
      </c>
      <c r="I79" s="7" t="s">
        <v>3894</v>
      </c>
      <c r="J79" s="7" t="s">
        <v>140</v>
      </c>
      <c r="K79" s="7" t="s">
        <v>74</v>
      </c>
      <c r="L79" s="7" t="s">
        <v>74</v>
      </c>
      <c r="M79" s="7" t="s">
        <v>74</v>
      </c>
      <c r="N79" s="7" t="s">
        <v>74</v>
      </c>
      <c r="O79" s="7" t="s">
        <v>74</v>
      </c>
      <c r="P79" s="7" t="s">
        <v>74</v>
      </c>
      <c r="Q79" s="7" t="s">
        <v>74</v>
      </c>
      <c r="R79" s="7" t="s">
        <v>74</v>
      </c>
      <c r="S79" s="7" t="s">
        <v>74</v>
      </c>
      <c r="T79" s="7" t="s">
        <v>74</v>
      </c>
      <c r="U79" s="7" t="s">
        <v>74</v>
      </c>
      <c r="V79" s="6" t="s">
        <v>3895</v>
      </c>
      <c r="W79" s="7" t="s">
        <v>74</v>
      </c>
      <c r="X79" s="7" t="s">
        <v>74</v>
      </c>
      <c r="Y79" s="7" t="s">
        <v>74</v>
      </c>
      <c r="Z79" s="7" t="s">
        <v>74</v>
      </c>
      <c r="AA79" s="7" t="s">
        <v>3896</v>
      </c>
      <c r="AB79" s="7" t="s">
        <v>3897</v>
      </c>
      <c r="AC79" s="7" t="s">
        <v>74</v>
      </c>
      <c r="AD79" s="7" t="s">
        <v>74</v>
      </c>
      <c r="AE79" s="7" t="s">
        <v>74</v>
      </c>
      <c r="AF79" s="7" t="s">
        <v>74</v>
      </c>
      <c r="AG79" s="7" t="s">
        <v>74</v>
      </c>
      <c r="AH79" s="7" t="s">
        <v>74</v>
      </c>
      <c r="AI79" s="7" t="s">
        <v>74</v>
      </c>
      <c r="AJ79" s="7" t="s">
        <v>74</v>
      </c>
      <c r="AK79" s="7" t="s">
        <v>74</v>
      </c>
      <c r="AL79" s="7" t="s">
        <v>74</v>
      </c>
      <c r="AM79" s="7" t="s">
        <v>74</v>
      </c>
      <c r="AN79" s="7" t="s">
        <v>74</v>
      </c>
      <c r="AO79" s="7" t="s">
        <v>143</v>
      </c>
      <c r="AP79" s="7" t="s">
        <v>144</v>
      </c>
      <c r="AQ79" s="7" t="s">
        <v>74</v>
      </c>
      <c r="AR79" s="7" t="s">
        <v>74</v>
      </c>
      <c r="AS79" s="7" t="s">
        <v>74</v>
      </c>
      <c r="AT79" s="7" t="s">
        <v>305</v>
      </c>
      <c r="AU79" s="7">
        <v>2020</v>
      </c>
      <c r="AV79" s="7">
        <v>170</v>
      </c>
      <c r="AW79" s="7" t="s">
        <v>74</v>
      </c>
      <c r="AX79" s="7" t="s">
        <v>74</v>
      </c>
      <c r="AY79" s="7" t="s">
        <v>74</v>
      </c>
      <c r="AZ79" s="7" t="s">
        <v>74</v>
      </c>
      <c r="BA79" s="7" t="s">
        <v>74</v>
      </c>
      <c r="BB79" s="7">
        <v>167</v>
      </c>
      <c r="BC79" s="7">
        <v>176</v>
      </c>
      <c r="BD79" s="7" t="s">
        <v>74</v>
      </c>
      <c r="BE79" s="7" t="s">
        <v>3898</v>
      </c>
      <c r="BF79" s="7" t="str">
        <f>HYPERLINK("http://dx.doi.org/10.1016/j.anbehav.2020.10.014","http://dx.doi.org/10.1016/j.anbehav.2020.10.014")</f>
        <v>http://dx.doi.org/10.1016/j.anbehav.2020.10.014</v>
      </c>
      <c r="BG79" s="7" t="s">
        <v>74</v>
      </c>
      <c r="BH79" s="7" t="s">
        <v>74</v>
      </c>
      <c r="BI79" s="7" t="s">
        <v>74</v>
      </c>
      <c r="BJ79" s="7" t="s">
        <v>74</v>
      </c>
      <c r="BK79" s="7" t="s">
        <v>74</v>
      </c>
      <c r="BL79" s="7" t="s">
        <v>74</v>
      </c>
      <c r="BM79" s="7" t="s">
        <v>74</v>
      </c>
      <c r="BN79" s="7" t="s">
        <v>74</v>
      </c>
      <c r="BO79" s="7" t="s">
        <v>74</v>
      </c>
      <c r="BP79" s="7" t="s">
        <v>74</v>
      </c>
      <c r="BQ79" s="7" t="s">
        <v>74</v>
      </c>
      <c r="BR79" s="7" t="s">
        <v>74</v>
      </c>
      <c r="BS79" s="7" t="s">
        <v>3899</v>
      </c>
      <c r="BT79" s="7" t="str">
        <f>HYPERLINK("https%3A%2F%2Fwww.webofscience.com%2Fwos%2Fwoscc%2Ffull-record%2FWOS:000598905300016","View Full Record in Web of Science")</f>
        <v>View Full Record in Web of Science</v>
      </c>
    </row>
    <row r="80" spans="1:72" s="2" customFormat="1" x14ac:dyDescent="0.4">
      <c r="A80" s="7" t="s">
        <v>72</v>
      </c>
      <c r="B80" s="7" t="s">
        <v>8700</v>
      </c>
      <c r="C80" s="7" t="s">
        <v>74</v>
      </c>
      <c r="D80" s="7" t="s">
        <v>74</v>
      </c>
      <c r="E80" s="7" t="s">
        <v>74</v>
      </c>
      <c r="F80" s="7" t="s">
        <v>8701</v>
      </c>
      <c r="G80" s="7" t="s">
        <v>74</v>
      </c>
      <c r="H80" s="7" t="s">
        <v>74</v>
      </c>
      <c r="I80" s="7" t="s">
        <v>8702</v>
      </c>
      <c r="J80" s="7" t="s">
        <v>610</v>
      </c>
      <c r="K80" s="7" t="s">
        <v>74</v>
      </c>
      <c r="L80" s="7" t="s">
        <v>74</v>
      </c>
      <c r="M80" s="7" t="s">
        <v>74</v>
      </c>
      <c r="N80" s="7" t="s">
        <v>74</v>
      </c>
      <c r="O80" s="7" t="s">
        <v>74</v>
      </c>
      <c r="P80" s="7" t="s">
        <v>74</v>
      </c>
      <c r="Q80" s="7" t="s">
        <v>74</v>
      </c>
      <c r="R80" s="7" t="s">
        <v>74</v>
      </c>
      <c r="S80" s="7" t="s">
        <v>74</v>
      </c>
      <c r="T80" s="7" t="s">
        <v>74</v>
      </c>
      <c r="U80" s="7" t="s">
        <v>74</v>
      </c>
      <c r="V80" s="6" t="s">
        <v>8703</v>
      </c>
      <c r="W80" s="7" t="s">
        <v>74</v>
      </c>
      <c r="X80" s="7" t="s">
        <v>74</v>
      </c>
      <c r="Y80" s="7" t="s">
        <v>74</v>
      </c>
      <c r="Z80" s="7" t="s">
        <v>74</v>
      </c>
      <c r="AA80" s="7" t="s">
        <v>74</v>
      </c>
      <c r="AB80" s="7" t="s">
        <v>74</v>
      </c>
      <c r="AC80" s="7" t="s">
        <v>74</v>
      </c>
      <c r="AD80" s="7" t="s">
        <v>74</v>
      </c>
      <c r="AE80" s="7" t="s">
        <v>74</v>
      </c>
      <c r="AF80" s="7" t="s">
        <v>74</v>
      </c>
      <c r="AG80" s="7" t="s">
        <v>74</v>
      </c>
      <c r="AH80" s="7" t="s">
        <v>74</v>
      </c>
      <c r="AI80" s="7" t="s">
        <v>74</v>
      </c>
      <c r="AJ80" s="7" t="s">
        <v>74</v>
      </c>
      <c r="AK80" s="7" t="s">
        <v>74</v>
      </c>
      <c r="AL80" s="7" t="s">
        <v>74</v>
      </c>
      <c r="AM80" s="7" t="s">
        <v>74</v>
      </c>
      <c r="AN80" s="7" t="s">
        <v>74</v>
      </c>
      <c r="AO80" s="7" t="s">
        <v>614</v>
      </c>
      <c r="AP80" s="7" t="s">
        <v>615</v>
      </c>
      <c r="AQ80" s="7" t="s">
        <v>74</v>
      </c>
      <c r="AR80" s="7" t="s">
        <v>74</v>
      </c>
      <c r="AS80" s="7" t="s">
        <v>74</v>
      </c>
      <c r="AT80" s="7" t="s">
        <v>255</v>
      </c>
      <c r="AU80" s="7">
        <v>2024</v>
      </c>
      <c r="AV80" s="7">
        <v>130</v>
      </c>
      <c r="AW80" s="7">
        <v>1</v>
      </c>
      <c r="AX80" s="7" t="s">
        <v>74</v>
      </c>
      <c r="AY80" s="7" t="s">
        <v>74</v>
      </c>
      <c r="AZ80" s="7" t="s">
        <v>74</v>
      </c>
      <c r="BA80" s="7" t="s">
        <v>74</v>
      </c>
      <c r="BB80" s="7" t="s">
        <v>74</v>
      </c>
      <c r="BC80" s="7" t="s">
        <v>74</v>
      </c>
      <c r="BD80" s="7" t="s">
        <v>74</v>
      </c>
      <c r="BE80" s="7" t="s">
        <v>8704</v>
      </c>
      <c r="BF80" s="7" t="str">
        <f>HYPERLINK("http://dx.doi.org/10.1111/eth.13410","http://dx.doi.org/10.1111/eth.13410")</f>
        <v>http://dx.doi.org/10.1111/eth.13410</v>
      </c>
      <c r="BG80" s="7" t="s">
        <v>74</v>
      </c>
      <c r="BH80" s="7" t="s">
        <v>902</v>
      </c>
      <c r="BI80" s="7" t="s">
        <v>74</v>
      </c>
      <c r="BJ80" s="7" t="s">
        <v>74</v>
      </c>
      <c r="BK80" s="7" t="s">
        <v>74</v>
      </c>
      <c r="BL80" s="7" t="s">
        <v>74</v>
      </c>
      <c r="BM80" s="7" t="s">
        <v>74</v>
      </c>
      <c r="BN80" s="7" t="s">
        <v>74</v>
      </c>
      <c r="BO80" s="7" t="s">
        <v>74</v>
      </c>
      <c r="BP80" s="7" t="s">
        <v>74</v>
      </c>
      <c r="BQ80" s="7" t="s">
        <v>74</v>
      </c>
      <c r="BR80" s="7" t="s">
        <v>74</v>
      </c>
      <c r="BS80" s="7" t="s">
        <v>8705</v>
      </c>
      <c r="BT80" s="7" t="str">
        <f>HYPERLINK("https%3A%2F%2Fwww.webofscience.com%2Fwos%2Fwoscc%2Ffull-record%2FWOS:001084830100001","View Full Record in Web of Science")</f>
        <v>View Full Record in Web of Science</v>
      </c>
    </row>
    <row r="81" spans="1:72" s="2" customFormat="1" x14ac:dyDescent="0.4">
      <c r="A81" s="7" t="s">
        <v>72</v>
      </c>
      <c r="B81" s="7" t="s">
        <v>2108</v>
      </c>
      <c r="C81" s="7" t="s">
        <v>74</v>
      </c>
      <c r="D81" s="7" t="s">
        <v>74</v>
      </c>
      <c r="E81" s="7" t="s">
        <v>74</v>
      </c>
      <c r="F81" s="7" t="s">
        <v>2108</v>
      </c>
      <c r="G81" s="7" t="s">
        <v>74</v>
      </c>
      <c r="H81" s="7" t="s">
        <v>74</v>
      </c>
      <c r="I81" s="7" t="s">
        <v>2109</v>
      </c>
      <c r="J81" s="7" t="s">
        <v>2110</v>
      </c>
      <c r="K81" s="7" t="s">
        <v>74</v>
      </c>
      <c r="L81" s="7" t="s">
        <v>74</v>
      </c>
      <c r="M81" s="7" t="s">
        <v>74</v>
      </c>
      <c r="N81" s="7" t="s">
        <v>74</v>
      </c>
      <c r="O81" s="7" t="s">
        <v>74</v>
      </c>
      <c r="P81" s="7" t="s">
        <v>74</v>
      </c>
      <c r="Q81" s="7" t="s">
        <v>74</v>
      </c>
      <c r="R81" s="7" t="s">
        <v>74</v>
      </c>
      <c r="S81" s="7" t="s">
        <v>74</v>
      </c>
      <c r="T81" s="7" t="s">
        <v>74</v>
      </c>
      <c r="U81" s="7" t="s">
        <v>74</v>
      </c>
      <c r="V81" s="6" t="s">
        <v>2111</v>
      </c>
      <c r="W81" s="7" t="s">
        <v>74</v>
      </c>
      <c r="X81" s="7" t="s">
        <v>74</v>
      </c>
      <c r="Y81" s="7" t="s">
        <v>74</v>
      </c>
      <c r="Z81" s="7" t="s">
        <v>74</v>
      </c>
      <c r="AA81" s="7" t="s">
        <v>74</v>
      </c>
      <c r="AB81" s="7" t="s">
        <v>74</v>
      </c>
      <c r="AC81" s="7" t="s">
        <v>74</v>
      </c>
      <c r="AD81" s="7" t="s">
        <v>74</v>
      </c>
      <c r="AE81" s="7" t="s">
        <v>74</v>
      </c>
      <c r="AF81" s="7" t="s">
        <v>74</v>
      </c>
      <c r="AG81" s="7" t="s">
        <v>74</v>
      </c>
      <c r="AH81" s="7" t="s">
        <v>74</v>
      </c>
      <c r="AI81" s="7" t="s">
        <v>74</v>
      </c>
      <c r="AJ81" s="7" t="s">
        <v>74</v>
      </c>
      <c r="AK81" s="7" t="s">
        <v>74</v>
      </c>
      <c r="AL81" s="7" t="s">
        <v>74</v>
      </c>
      <c r="AM81" s="7" t="s">
        <v>74</v>
      </c>
      <c r="AN81" s="7" t="s">
        <v>74</v>
      </c>
      <c r="AO81" s="7" t="s">
        <v>2112</v>
      </c>
      <c r="AP81" s="7" t="s">
        <v>74</v>
      </c>
      <c r="AQ81" s="7" t="s">
        <v>74</v>
      </c>
      <c r="AR81" s="7" t="s">
        <v>74</v>
      </c>
      <c r="AS81" s="7" t="s">
        <v>74</v>
      </c>
      <c r="AT81" s="7" t="s">
        <v>74</v>
      </c>
      <c r="AU81" s="7">
        <v>1978</v>
      </c>
      <c r="AV81" s="7">
        <v>46</v>
      </c>
      <c r="AW81" s="7">
        <v>1</v>
      </c>
      <c r="AX81" s="7" t="s">
        <v>74</v>
      </c>
      <c r="AY81" s="7" t="s">
        <v>74</v>
      </c>
      <c r="AZ81" s="7" t="s">
        <v>74</v>
      </c>
      <c r="BA81" s="7" t="s">
        <v>74</v>
      </c>
      <c r="BB81" s="7">
        <v>43</v>
      </c>
      <c r="BC81" s="7">
        <v>57</v>
      </c>
      <c r="BD81" s="7" t="s">
        <v>74</v>
      </c>
      <c r="BE81" s="7" t="s">
        <v>74</v>
      </c>
      <c r="BF81" s="7" t="s">
        <v>74</v>
      </c>
      <c r="BG81" s="7" t="s">
        <v>74</v>
      </c>
      <c r="BH81" s="7" t="s">
        <v>74</v>
      </c>
      <c r="BI81" s="7" t="s">
        <v>74</v>
      </c>
      <c r="BJ81" s="7" t="s">
        <v>74</v>
      </c>
      <c r="BK81" s="7" t="s">
        <v>74</v>
      </c>
      <c r="BL81" s="7" t="s">
        <v>74</v>
      </c>
      <c r="BM81" s="7" t="s">
        <v>74</v>
      </c>
      <c r="BN81" s="7">
        <v>566001</v>
      </c>
      <c r="BO81" s="7" t="s">
        <v>74</v>
      </c>
      <c r="BP81" s="7" t="s">
        <v>74</v>
      </c>
      <c r="BQ81" s="7" t="s">
        <v>74</v>
      </c>
      <c r="BR81" s="7" t="s">
        <v>74</v>
      </c>
      <c r="BS81" s="7" t="s">
        <v>2113</v>
      </c>
      <c r="BT81" s="7" t="str">
        <f>HYPERLINK("https%3A%2F%2Fwww.webofscience.com%2Fwos%2Fwoscc%2Ffull-record%2FWOS:A1978ES06300004","View Full Record in Web of Science")</f>
        <v>View Full Record in Web of Science</v>
      </c>
    </row>
    <row r="82" spans="1:72" s="2" customFormat="1" x14ac:dyDescent="0.4">
      <c r="A82" s="7" t="s">
        <v>72</v>
      </c>
      <c r="B82" s="7" t="s">
        <v>3431</v>
      </c>
      <c r="C82" s="7" t="s">
        <v>74</v>
      </c>
      <c r="D82" s="7" t="s">
        <v>74</v>
      </c>
      <c r="E82" s="7" t="s">
        <v>74</v>
      </c>
      <c r="F82" s="7" t="s">
        <v>3432</v>
      </c>
      <c r="G82" s="7" t="s">
        <v>74</v>
      </c>
      <c r="H82" s="7" t="s">
        <v>74</v>
      </c>
      <c r="I82" s="7" t="s">
        <v>3433</v>
      </c>
      <c r="J82" s="7" t="s">
        <v>610</v>
      </c>
      <c r="K82" s="7" t="s">
        <v>74</v>
      </c>
      <c r="L82" s="7" t="s">
        <v>74</v>
      </c>
      <c r="M82" s="7" t="s">
        <v>74</v>
      </c>
      <c r="N82" s="7" t="s">
        <v>74</v>
      </c>
      <c r="O82" s="7" t="s">
        <v>74</v>
      </c>
      <c r="P82" s="7" t="s">
        <v>74</v>
      </c>
      <c r="Q82" s="7" t="s">
        <v>74</v>
      </c>
      <c r="R82" s="7" t="s">
        <v>74</v>
      </c>
      <c r="S82" s="7" t="s">
        <v>74</v>
      </c>
      <c r="T82" s="7" t="s">
        <v>74</v>
      </c>
      <c r="U82" s="7" t="s">
        <v>74</v>
      </c>
      <c r="V82" s="6" t="s">
        <v>3434</v>
      </c>
      <c r="W82" s="7" t="s">
        <v>74</v>
      </c>
      <c r="X82" s="7" t="s">
        <v>74</v>
      </c>
      <c r="Y82" s="7" t="s">
        <v>74</v>
      </c>
      <c r="Z82" s="7" t="s">
        <v>74</v>
      </c>
      <c r="AA82" s="7" t="s">
        <v>3435</v>
      </c>
      <c r="AB82" s="7" t="s">
        <v>3436</v>
      </c>
      <c r="AC82" s="7" t="s">
        <v>74</v>
      </c>
      <c r="AD82" s="7" t="s">
        <v>74</v>
      </c>
      <c r="AE82" s="7" t="s">
        <v>74</v>
      </c>
      <c r="AF82" s="7" t="s">
        <v>74</v>
      </c>
      <c r="AG82" s="7" t="s">
        <v>74</v>
      </c>
      <c r="AH82" s="7" t="s">
        <v>74</v>
      </c>
      <c r="AI82" s="7" t="s">
        <v>74</v>
      </c>
      <c r="AJ82" s="7" t="s">
        <v>74</v>
      </c>
      <c r="AK82" s="7" t="s">
        <v>74</v>
      </c>
      <c r="AL82" s="7" t="s">
        <v>74</v>
      </c>
      <c r="AM82" s="7" t="s">
        <v>74</v>
      </c>
      <c r="AN82" s="7" t="s">
        <v>74</v>
      </c>
      <c r="AO82" s="7" t="s">
        <v>614</v>
      </c>
      <c r="AP82" s="7" t="s">
        <v>615</v>
      </c>
      <c r="AQ82" s="7" t="s">
        <v>74</v>
      </c>
      <c r="AR82" s="7" t="s">
        <v>74</v>
      </c>
      <c r="AS82" s="7" t="s">
        <v>74</v>
      </c>
      <c r="AT82" s="7" t="s">
        <v>305</v>
      </c>
      <c r="AU82" s="7">
        <v>2021</v>
      </c>
      <c r="AV82" s="7">
        <v>127</v>
      </c>
      <c r="AW82" s="7">
        <v>12</v>
      </c>
      <c r="AX82" s="7" t="s">
        <v>74</v>
      </c>
      <c r="AY82" s="7" t="s">
        <v>74</v>
      </c>
      <c r="AZ82" s="7" t="s">
        <v>74</v>
      </c>
      <c r="BA82" s="7" t="s">
        <v>74</v>
      </c>
      <c r="BB82" s="7">
        <v>1053</v>
      </c>
      <c r="BC82" s="7">
        <v>1063</v>
      </c>
      <c r="BD82" s="7" t="s">
        <v>74</v>
      </c>
      <c r="BE82" s="7" t="s">
        <v>3437</v>
      </c>
      <c r="BF82" s="7" t="str">
        <f>HYPERLINK("http://dx.doi.org/10.1111/eth.13228","http://dx.doi.org/10.1111/eth.13228")</f>
        <v>http://dx.doi.org/10.1111/eth.13228</v>
      </c>
      <c r="BG82" s="7" t="s">
        <v>74</v>
      </c>
      <c r="BH82" s="7" t="s">
        <v>675</v>
      </c>
      <c r="BI82" s="7" t="s">
        <v>74</v>
      </c>
      <c r="BJ82" s="7" t="s">
        <v>74</v>
      </c>
      <c r="BK82" s="7" t="s">
        <v>74</v>
      </c>
      <c r="BL82" s="7" t="s">
        <v>74</v>
      </c>
      <c r="BM82" s="7" t="s">
        <v>74</v>
      </c>
      <c r="BN82" s="7" t="s">
        <v>74</v>
      </c>
      <c r="BO82" s="7" t="s">
        <v>74</v>
      </c>
      <c r="BP82" s="7" t="s">
        <v>74</v>
      </c>
      <c r="BQ82" s="7" t="s">
        <v>74</v>
      </c>
      <c r="BR82" s="7" t="s">
        <v>74</v>
      </c>
      <c r="BS82" s="7" t="s">
        <v>3438</v>
      </c>
      <c r="BT82" s="7" t="str">
        <f>HYPERLINK("https%3A%2F%2Fwww.webofscience.com%2Fwos%2Fwoscc%2Ffull-record%2FWOS:000692844500001","View Full Record in Web of Science")</f>
        <v>View Full Record in Web of Science</v>
      </c>
    </row>
    <row r="83" spans="1:72" s="2" customFormat="1" x14ac:dyDescent="0.4">
      <c r="A83" s="7" t="s">
        <v>72</v>
      </c>
      <c r="B83" s="7" t="s">
        <v>6520</v>
      </c>
      <c r="C83" s="7" t="s">
        <v>74</v>
      </c>
      <c r="D83" s="7" t="s">
        <v>74</v>
      </c>
      <c r="E83" s="7" t="s">
        <v>74</v>
      </c>
      <c r="F83" s="7" t="s">
        <v>6521</v>
      </c>
      <c r="G83" s="7" t="s">
        <v>74</v>
      </c>
      <c r="H83" s="7" t="s">
        <v>74</v>
      </c>
      <c r="I83" s="7" t="s">
        <v>6522</v>
      </c>
      <c r="J83" s="7" t="s">
        <v>129</v>
      </c>
      <c r="K83" s="7" t="s">
        <v>74</v>
      </c>
      <c r="L83" s="7" t="s">
        <v>74</v>
      </c>
      <c r="M83" s="7" t="s">
        <v>74</v>
      </c>
      <c r="N83" s="7" t="s">
        <v>74</v>
      </c>
      <c r="O83" s="7" t="s">
        <v>74</v>
      </c>
      <c r="P83" s="7" t="s">
        <v>74</v>
      </c>
      <c r="Q83" s="7" t="s">
        <v>74</v>
      </c>
      <c r="R83" s="7" t="s">
        <v>74</v>
      </c>
      <c r="S83" s="7" t="s">
        <v>74</v>
      </c>
      <c r="T83" s="7" t="s">
        <v>74</v>
      </c>
      <c r="U83" s="7" t="s">
        <v>74</v>
      </c>
      <c r="V83" s="6" t="s">
        <v>6523</v>
      </c>
      <c r="W83" s="7" t="s">
        <v>74</v>
      </c>
      <c r="X83" s="7" t="s">
        <v>74</v>
      </c>
      <c r="Y83" s="7" t="s">
        <v>74</v>
      </c>
      <c r="Z83" s="7" t="s">
        <v>74</v>
      </c>
      <c r="AA83" s="7" t="s">
        <v>6524</v>
      </c>
      <c r="AB83" s="7" t="s">
        <v>6525</v>
      </c>
      <c r="AC83" s="7" t="s">
        <v>74</v>
      </c>
      <c r="AD83" s="7" t="s">
        <v>74</v>
      </c>
      <c r="AE83" s="7" t="s">
        <v>74</v>
      </c>
      <c r="AF83" s="7" t="s">
        <v>74</v>
      </c>
      <c r="AG83" s="7" t="s">
        <v>74</v>
      </c>
      <c r="AH83" s="7" t="s">
        <v>74</v>
      </c>
      <c r="AI83" s="7" t="s">
        <v>74</v>
      </c>
      <c r="AJ83" s="7" t="s">
        <v>74</v>
      </c>
      <c r="AK83" s="7" t="s">
        <v>74</v>
      </c>
      <c r="AL83" s="7" t="s">
        <v>74</v>
      </c>
      <c r="AM83" s="7" t="s">
        <v>74</v>
      </c>
      <c r="AN83" s="7" t="s">
        <v>74</v>
      </c>
      <c r="AO83" s="7" t="s">
        <v>132</v>
      </c>
      <c r="AP83" s="7" t="s">
        <v>133</v>
      </c>
      <c r="AQ83" s="7" t="s">
        <v>74</v>
      </c>
      <c r="AR83" s="7" t="s">
        <v>74</v>
      </c>
      <c r="AS83" s="7" t="s">
        <v>74</v>
      </c>
      <c r="AT83" s="7" t="s">
        <v>6526</v>
      </c>
      <c r="AU83" s="7">
        <v>2020</v>
      </c>
      <c r="AV83" s="7">
        <v>74</v>
      </c>
      <c r="AW83" s="7">
        <v>11</v>
      </c>
      <c r="AX83" s="7" t="s">
        <v>74</v>
      </c>
      <c r="AY83" s="7" t="s">
        <v>74</v>
      </c>
      <c r="AZ83" s="7" t="s">
        <v>74</v>
      </c>
      <c r="BA83" s="7" t="s">
        <v>74</v>
      </c>
      <c r="BB83" s="7" t="s">
        <v>74</v>
      </c>
      <c r="BC83" s="7" t="s">
        <v>74</v>
      </c>
      <c r="BD83" s="7">
        <v>137</v>
      </c>
      <c r="BE83" s="7" t="s">
        <v>6527</v>
      </c>
      <c r="BF83" s="7" t="str">
        <f>HYPERLINK("http://dx.doi.org/10.1007/s00265-020-02920-2","http://dx.doi.org/10.1007/s00265-020-02920-2")</f>
        <v>http://dx.doi.org/10.1007/s00265-020-02920-2</v>
      </c>
      <c r="BG83" s="7" t="s">
        <v>74</v>
      </c>
      <c r="BH83" s="7" t="s">
        <v>74</v>
      </c>
      <c r="BI83" s="7" t="s">
        <v>74</v>
      </c>
      <c r="BJ83" s="7" t="s">
        <v>74</v>
      </c>
      <c r="BK83" s="7" t="s">
        <v>74</v>
      </c>
      <c r="BL83" s="7" t="s">
        <v>74</v>
      </c>
      <c r="BM83" s="7" t="s">
        <v>74</v>
      </c>
      <c r="BN83" s="7" t="s">
        <v>74</v>
      </c>
      <c r="BO83" s="7" t="s">
        <v>74</v>
      </c>
      <c r="BP83" s="7" t="s">
        <v>74</v>
      </c>
      <c r="BQ83" s="7" t="s">
        <v>74</v>
      </c>
      <c r="BR83" s="7" t="s">
        <v>74</v>
      </c>
      <c r="BS83" s="7" t="s">
        <v>6528</v>
      </c>
      <c r="BT83" s="7" t="str">
        <f>HYPERLINK("https%3A%2F%2Fwww.webofscience.com%2Fwos%2Fwoscc%2Ffull-record%2FWOS:000588357200001","View Full Record in Web of Science")</f>
        <v>View Full Record in Web of Science</v>
      </c>
    </row>
    <row r="84" spans="1:72" s="2" customFormat="1" x14ac:dyDescent="0.4">
      <c r="A84" s="7" t="s">
        <v>72</v>
      </c>
      <c r="B84" s="7" t="s">
        <v>1443</v>
      </c>
      <c r="C84" s="7" t="s">
        <v>74</v>
      </c>
      <c r="D84" s="7" t="s">
        <v>74</v>
      </c>
      <c r="E84" s="7" t="s">
        <v>74</v>
      </c>
      <c r="F84" s="7" t="s">
        <v>1444</v>
      </c>
      <c r="G84" s="7" t="s">
        <v>74</v>
      </c>
      <c r="H84" s="7" t="s">
        <v>74</v>
      </c>
      <c r="I84" s="7" t="s">
        <v>1445</v>
      </c>
      <c r="J84" s="7" t="s">
        <v>1446</v>
      </c>
      <c r="K84" s="7" t="s">
        <v>74</v>
      </c>
      <c r="L84" s="7" t="s">
        <v>74</v>
      </c>
      <c r="M84" s="7" t="s">
        <v>74</v>
      </c>
      <c r="N84" s="7" t="s">
        <v>74</v>
      </c>
      <c r="O84" s="7" t="s">
        <v>74</v>
      </c>
      <c r="P84" s="7" t="s">
        <v>74</v>
      </c>
      <c r="Q84" s="7" t="s">
        <v>74</v>
      </c>
      <c r="R84" s="7" t="s">
        <v>74</v>
      </c>
      <c r="S84" s="7" t="s">
        <v>74</v>
      </c>
      <c r="T84" s="7" t="s">
        <v>74</v>
      </c>
      <c r="U84" s="7" t="s">
        <v>74</v>
      </c>
      <c r="V84" s="6" t="s">
        <v>1447</v>
      </c>
      <c r="W84" s="7" t="s">
        <v>74</v>
      </c>
      <c r="X84" s="7" t="s">
        <v>74</v>
      </c>
      <c r="Y84" s="7" t="s">
        <v>74</v>
      </c>
      <c r="Z84" s="7" t="s">
        <v>74</v>
      </c>
      <c r="AA84" s="7" t="s">
        <v>74</v>
      </c>
      <c r="AB84" s="7" t="s">
        <v>1448</v>
      </c>
      <c r="AC84" s="7" t="s">
        <v>74</v>
      </c>
      <c r="AD84" s="7" t="s">
        <v>74</v>
      </c>
      <c r="AE84" s="7" t="s">
        <v>74</v>
      </c>
      <c r="AF84" s="7" t="s">
        <v>74</v>
      </c>
      <c r="AG84" s="7" t="s">
        <v>74</v>
      </c>
      <c r="AH84" s="7" t="s">
        <v>74</v>
      </c>
      <c r="AI84" s="7" t="s">
        <v>74</v>
      </c>
      <c r="AJ84" s="7" t="s">
        <v>74</v>
      </c>
      <c r="AK84" s="7" t="s">
        <v>74</v>
      </c>
      <c r="AL84" s="7" t="s">
        <v>74</v>
      </c>
      <c r="AM84" s="7" t="s">
        <v>74</v>
      </c>
      <c r="AN84" s="7" t="s">
        <v>74</v>
      </c>
      <c r="AO84" s="7" t="s">
        <v>74</v>
      </c>
      <c r="AP84" s="7" t="s">
        <v>1449</v>
      </c>
      <c r="AQ84" s="7" t="s">
        <v>74</v>
      </c>
      <c r="AR84" s="7" t="s">
        <v>74</v>
      </c>
      <c r="AS84" s="7" t="s">
        <v>74</v>
      </c>
      <c r="AT84" s="7" t="s">
        <v>361</v>
      </c>
      <c r="AU84" s="7">
        <v>2021</v>
      </c>
      <c r="AV84" s="7">
        <v>6</v>
      </c>
      <c r="AW84" s="7">
        <v>1</v>
      </c>
      <c r="AX84" s="7" t="s">
        <v>74</v>
      </c>
      <c r="AY84" s="7" t="s">
        <v>74</v>
      </c>
      <c r="AZ84" s="7" t="s">
        <v>74</v>
      </c>
      <c r="BA84" s="7" t="s">
        <v>74</v>
      </c>
      <c r="BB84" s="7" t="s">
        <v>74</v>
      </c>
      <c r="BC84" s="7" t="s">
        <v>74</v>
      </c>
      <c r="BD84" s="7">
        <v>9</v>
      </c>
      <c r="BE84" s="7" t="s">
        <v>1450</v>
      </c>
      <c r="BF84" s="7" t="str">
        <f>HYPERLINK("http://dx.doi.org/10.1186/s40850-021-00075-9","http://dx.doi.org/10.1186/s40850-021-00075-9")</f>
        <v>http://dx.doi.org/10.1186/s40850-021-00075-9</v>
      </c>
      <c r="BG84" s="7" t="s">
        <v>74</v>
      </c>
      <c r="BH84" s="7" t="s">
        <v>74</v>
      </c>
      <c r="BI84" s="7" t="s">
        <v>74</v>
      </c>
      <c r="BJ84" s="7" t="s">
        <v>74</v>
      </c>
      <c r="BK84" s="7" t="s">
        <v>74</v>
      </c>
      <c r="BL84" s="7" t="s">
        <v>74</v>
      </c>
      <c r="BM84" s="7" t="s">
        <v>74</v>
      </c>
      <c r="BN84" s="7">
        <v>37170176</v>
      </c>
      <c r="BO84" s="7" t="s">
        <v>74</v>
      </c>
      <c r="BP84" s="7" t="s">
        <v>74</v>
      </c>
      <c r="BQ84" s="7" t="s">
        <v>74</v>
      </c>
      <c r="BR84" s="7" t="s">
        <v>74</v>
      </c>
      <c r="BS84" s="7" t="s">
        <v>1451</v>
      </c>
      <c r="BT84" s="7" t="str">
        <f>HYPERLINK("https%3A%2F%2Fwww.webofscience.com%2Fwos%2Fwoscc%2Ffull-record%2FWOS:000646554600001","View Full Record in Web of Science")</f>
        <v>View Full Record in Web of Science</v>
      </c>
    </row>
    <row r="85" spans="1:72" s="2" customFormat="1" x14ac:dyDescent="0.4">
      <c r="A85" s="7" t="s">
        <v>72</v>
      </c>
      <c r="B85" s="7" t="s">
        <v>6889</v>
      </c>
      <c r="C85" s="7" t="s">
        <v>74</v>
      </c>
      <c r="D85" s="7" t="s">
        <v>74</v>
      </c>
      <c r="E85" s="7" t="s">
        <v>74</v>
      </c>
      <c r="F85" s="7" t="s">
        <v>6890</v>
      </c>
      <c r="G85" s="7" t="s">
        <v>74</v>
      </c>
      <c r="H85" s="7" t="s">
        <v>74</v>
      </c>
      <c r="I85" s="7" t="s">
        <v>6891</v>
      </c>
      <c r="J85" s="7" t="s">
        <v>129</v>
      </c>
      <c r="K85" s="7" t="s">
        <v>74</v>
      </c>
      <c r="L85" s="7" t="s">
        <v>74</v>
      </c>
      <c r="M85" s="7" t="s">
        <v>74</v>
      </c>
      <c r="N85" s="7" t="s">
        <v>74</v>
      </c>
      <c r="O85" s="7" t="s">
        <v>74</v>
      </c>
      <c r="P85" s="7" t="s">
        <v>74</v>
      </c>
      <c r="Q85" s="7" t="s">
        <v>74</v>
      </c>
      <c r="R85" s="7" t="s">
        <v>74</v>
      </c>
      <c r="S85" s="7" t="s">
        <v>74</v>
      </c>
      <c r="T85" s="7" t="s">
        <v>74</v>
      </c>
      <c r="U85" s="7" t="s">
        <v>74</v>
      </c>
      <c r="V85" s="6" t="s">
        <v>6892</v>
      </c>
      <c r="W85" s="7" t="s">
        <v>74</v>
      </c>
      <c r="X85" s="7" t="s">
        <v>74</v>
      </c>
      <c r="Y85" s="7" t="s">
        <v>74</v>
      </c>
      <c r="Z85" s="7" t="s">
        <v>74</v>
      </c>
      <c r="AA85" s="7" t="s">
        <v>6893</v>
      </c>
      <c r="AB85" s="7" t="s">
        <v>6894</v>
      </c>
      <c r="AC85" s="7" t="s">
        <v>74</v>
      </c>
      <c r="AD85" s="7" t="s">
        <v>74</v>
      </c>
      <c r="AE85" s="7" t="s">
        <v>74</v>
      </c>
      <c r="AF85" s="7" t="s">
        <v>74</v>
      </c>
      <c r="AG85" s="7" t="s">
        <v>74</v>
      </c>
      <c r="AH85" s="7" t="s">
        <v>74</v>
      </c>
      <c r="AI85" s="7" t="s">
        <v>74</v>
      </c>
      <c r="AJ85" s="7" t="s">
        <v>74</v>
      </c>
      <c r="AK85" s="7" t="s">
        <v>74</v>
      </c>
      <c r="AL85" s="7" t="s">
        <v>74</v>
      </c>
      <c r="AM85" s="7" t="s">
        <v>74</v>
      </c>
      <c r="AN85" s="7" t="s">
        <v>74</v>
      </c>
      <c r="AO85" s="7" t="s">
        <v>132</v>
      </c>
      <c r="AP85" s="7" t="s">
        <v>133</v>
      </c>
      <c r="AQ85" s="7" t="s">
        <v>74</v>
      </c>
      <c r="AR85" s="7" t="s">
        <v>74</v>
      </c>
      <c r="AS85" s="7" t="s">
        <v>74</v>
      </c>
      <c r="AT85" s="7" t="s">
        <v>633</v>
      </c>
      <c r="AU85" s="7">
        <v>2008</v>
      </c>
      <c r="AV85" s="7">
        <v>62</v>
      </c>
      <c r="AW85" s="7">
        <v>8</v>
      </c>
      <c r="AX85" s="7" t="s">
        <v>74</v>
      </c>
      <c r="AY85" s="7" t="s">
        <v>74</v>
      </c>
      <c r="AZ85" s="7" t="s">
        <v>74</v>
      </c>
      <c r="BA85" s="7" t="s">
        <v>74</v>
      </c>
      <c r="BB85" s="7">
        <v>1277</v>
      </c>
      <c r="BC85" s="7">
        <v>1288</v>
      </c>
      <c r="BD85" s="7" t="s">
        <v>74</v>
      </c>
      <c r="BE85" s="7" t="s">
        <v>6895</v>
      </c>
      <c r="BF85" s="7" t="str">
        <f>HYPERLINK("http://dx.doi.org/10.1007/s00265-008-0556-x","http://dx.doi.org/10.1007/s00265-008-0556-x")</f>
        <v>http://dx.doi.org/10.1007/s00265-008-0556-x</v>
      </c>
      <c r="BG85" s="7" t="s">
        <v>74</v>
      </c>
      <c r="BH85" s="7" t="s">
        <v>74</v>
      </c>
      <c r="BI85" s="7" t="s">
        <v>74</v>
      </c>
      <c r="BJ85" s="7" t="s">
        <v>74</v>
      </c>
      <c r="BK85" s="7" t="s">
        <v>74</v>
      </c>
      <c r="BL85" s="7" t="s">
        <v>74</v>
      </c>
      <c r="BM85" s="7" t="s">
        <v>74</v>
      </c>
      <c r="BN85" s="7" t="s">
        <v>74</v>
      </c>
      <c r="BO85" s="7" t="s">
        <v>74</v>
      </c>
      <c r="BP85" s="7" t="s">
        <v>74</v>
      </c>
      <c r="BQ85" s="7" t="s">
        <v>74</v>
      </c>
      <c r="BR85" s="7" t="s">
        <v>74</v>
      </c>
      <c r="BS85" s="7" t="s">
        <v>6896</v>
      </c>
      <c r="BT85" s="7" t="str">
        <f>HYPERLINK("https%3A%2F%2Fwww.webofscience.com%2Fwos%2Fwoscc%2Ffull-record%2FWOS:000255851400007","View Full Record in Web of Science")</f>
        <v>View Full Record in Web of Science</v>
      </c>
    </row>
    <row r="86" spans="1:72" s="2" customFormat="1" x14ac:dyDescent="0.4">
      <c r="A86" s="7" t="s">
        <v>72</v>
      </c>
      <c r="B86" s="7" t="s">
        <v>405</v>
      </c>
      <c r="C86" s="7" t="s">
        <v>74</v>
      </c>
      <c r="D86" s="7" t="s">
        <v>74</v>
      </c>
      <c r="E86" s="7" t="s">
        <v>74</v>
      </c>
      <c r="F86" s="7" t="s">
        <v>406</v>
      </c>
      <c r="G86" s="7" t="s">
        <v>74</v>
      </c>
      <c r="H86" s="7" t="s">
        <v>74</v>
      </c>
      <c r="I86" s="7" t="s">
        <v>407</v>
      </c>
      <c r="J86" s="7" t="s">
        <v>408</v>
      </c>
      <c r="K86" s="7" t="s">
        <v>74</v>
      </c>
      <c r="L86" s="7" t="s">
        <v>74</v>
      </c>
      <c r="M86" s="7" t="s">
        <v>74</v>
      </c>
      <c r="N86" s="7" t="s">
        <v>74</v>
      </c>
      <c r="O86" s="7" t="s">
        <v>74</v>
      </c>
      <c r="P86" s="7" t="s">
        <v>74</v>
      </c>
      <c r="Q86" s="7" t="s">
        <v>74</v>
      </c>
      <c r="R86" s="7" t="s">
        <v>74</v>
      </c>
      <c r="S86" s="7" t="s">
        <v>74</v>
      </c>
      <c r="T86" s="7" t="s">
        <v>74</v>
      </c>
      <c r="U86" s="7" t="s">
        <v>74</v>
      </c>
      <c r="V86" s="6" t="s">
        <v>409</v>
      </c>
      <c r="W86" s="7" t="s">
        <v>74</v>
      </c>
      <c r="X86" s="7" t="s">
        <v>74</v>
      </c>
      <c r="Y86" s="7" t="s">
        <v>74</v>
      </c>
      <c r="Z86" s="7" t="s">
        <v>74</v>
      </c>
      <c r="AA86" s="7" t="s">
        <v>410</v>
      </c>
      <c r="AB86" s="7" t="s">
        <v>411</v>
      </c>
      <c r="AC86" s="7" t="s">
        <v>74</v>
      </c>
      <c r="AD86" s="7" t="s">
        <v>74</v>
      </c>
      <c r="AE86" s="7" t="s">
        <v>74</v>
      </c>
      <c r="AF86" s="7" t="s">
        <v>74</v>
      </c>
      <c r="AG86" s="7" t="s">
        <v>74</v>
      </c>
      <c r="AH86" s="7" t="s">
        <v>74</v>
      </c>
      <c r="AI86" s="7" t="s">
        <v>74</v>
      </c>
      <c r="AJ86" s="7" t="s">
        <v>74</v>
      </c>
      <c r="AK86" s="7" t="s">
        <v>74</v>
      </c>
      <c r="AL86" s="7" t="s">
        <v>74</v>
      </c>
      <c r="AM86" s="7" t="s">
        <v>74</v>
      </c>
      <c r="AN86" s="7" t="s">
        <v>74</v>
      </c>
      <c r="AO86" s="7" t="s">
        <v>412</v>
      </c>
      <c r="AP86" s="7" t="s">
        <v>413</v>
      </c>
      <c r="AQ86" s="7" t="s">
        <v>74</v>
      </c>
      <c r="AR86" s="7" t="s">
        <v>74</v>
      </c>
      <c r="AS86" s="7" t="s">
        <v>74</v>
      </c>
      <c r="AT86" s="7" t="s">
        <v>275</v>
      </c>
      <c r="AU86" s="7">
        <v>2022</v>
      </c>
      <c r="AV86" s="7">
        <v>136</v>
      </c>
      <c r="AW86" s="7">
        <v>1</v>
      </c>
      <c r="AX86" s="7" t="s">
        <v>74</v>
      </c>
      <c r="AY86" s="7" t="s">
        <v>74</v>
      </c>
      <c r="AZ86" s="7" t="s">
        <v>74</v>
      </c>
      <c r="BA86" s="7" t="s">
        <v>74</v>
      </c>
      <c r="BB86" s="7">
        <v>111</v>
      </c>
      <c r="BC86" s="7">
        <v>119</v>
      </c>
      <c r="BD86" s="7" t="s">
        <v>74</v>
      </c>
      <c r="BE86" s="7" t="s">
        <v>414</v>
      </c>
      <c r="BF86" s="7" t="str">
        <f>HYPERLINK("http://dx.doi.org/10.1093/biolinnean/blac014","http://dx.doi.org/10.1093/biolinnean/blac014")</f>
        <v>http://dx.doi.org/10.1093/biolinnean/blac014</v>
      </c>
      <c r="BG86" s="7" t="s">
        <v>74</v>
      </c>
      <c r="BH86" s="7" t="s">
        <v>415</v>
      </c>
      <c r="BI86" s="7" t="s">
        <v>74</v>
      </c>
      <c r="BJ86" s="7" t="s">
        <v>74</v>
      </c>
      <c r="BK86" s="7" t="s">
        <v>74</v>
      </c>
      <c r="BL86" s="7" t="s">
        <v>74</v>
      </c>
      <c r="BM86" s="7" t="s">
        <v>74</v>
      </c>
      <c r="BN86" s="7" t="s">
        <v>74</v>
      </c>
      <c r="BO86" s="7" t="s">
        <v>74</v>
      </c>
      <c r="BP86" s="7" t="s">
        <v>74</v>
      </c>
      <c r="BQ86" s="7" t="s">
        <v>74</v>
      </c>
      <c r="BR86" s="7" t="s">
        <v>74</v>
      </c>
      <c r="BS86" s="7" t="s">
        <v>416</v>
      </c>
      <c r="BT86" s="7" t="str">
        <f>HYPERLINK("https%3A%2F%2Fwww.webofscience.com%2Fwos%2Fwoscc%2Ffull-record%2FWOS:000768465800001","View Full Record in Web of Science")</f>
        <v>View Full Record in Web of Science</v>
      </c>
    </row>
    <row r="87" spans="1:72" s="2" customFormat="1" x14ac:dyDescent="0.4">
      <c r="A87" s="7" t="s">
        <v>72</v>
      </c>
      <c r="B87" s="7" t="s">
        <v>3483</v>
      </c>
      <c r="C87" s="7" t="s">
        <v>74</v>
      </c>
      <c r="D87" s="7" t="s">
        <v>74</v>
      </c>
      <c r="E87" s="7" t="s">
        <v>74</v>
      </c>
      <c r="F87" s="7" t="s">
        <v>3484</v>
      </c>
      <c r="G87" s="7" t="s">
        <v>74</v>
      </c>
      <c r="H87" s="7" t="s">
        <v>74</v>
      </c>
      <c r="I87" s="7" t="s">
        <v>3485</v>
      </c>
      <c r="J87" s="7" t="s">
        <v>333</v>
      </c>
      <c r="K87" s="7" t="s">
        <v>74</v>
      </c>
      <c r="L87" s="7" t="s">
        <v>74</v>
      </c>
      <c r="M87" s="7" t="s">
        <v>74</v>
      </c>
      <c r="N87" s="7" t="s">
        <v>74</v>
      </c>
      <c r="O87" s="7" t="s">
        <v>74</v>
      </c>
      <c r="P87" s="7" t="s">
        <v>74</v>
      </c>
      <c r="Q87" s="7" t="s">
        <v>74</v>
      </c>
      <c r="R87" s="7" t="s">
        <v>74</v>
      </c>
      <c r="S87" s="7" t="s">
        <v>74</v>
      </c>
      <c r="T87" s="7" t="s">
        <v>74</v>
      </c>
      <c r="U87" s="7" t="s">
        <v>74</v>
      </c>
      <c r="V87" s="6" t="s">
        <v>3486</v>
      </c>
      <c r="W87" s="7" t="s">
        <v>74</v>
      </c>
      <c r="X87" s="7" t="s">
        <v>74</v>
      </c>
      <c r="Y87" s="7" t="s">
        <v>74</v>
      </c>
      <c r="Z87" s="7" t="s">
        <v>74</v>
      </c>
      <c r="AA87" s="7" t="s">
        <v>3487</v>
      </c>
      <c r="AB87" s="7" t="s">
        <v>3488</v>
      </c>
      <c r="AC87" s="7" t="s">
        <v>74</v>
      </c>
      <c r="AD87" s="7" t="s">
        <v>74</v>
      </c>
      <c r="AE87" s="7" t="s">
        <v>74</v>
      </c>
      <c r="AF87" s="7" t="s">
        <v>74</v>
      </c>
      <c r="AG87" s="7" t="s">
        <v>74</v>
      </c>
      <c r="AH87" s="7" t="s">
        <v>74</v>
      </c>
      <c r="AI87" s="7" t="s">
        <v>74</v>
      </c>
      <c r="AJ87" s="7" t="s">
        <v>74</v>
      </c>
      <c r="AK87" s="7" t="s">
        <v>74</v>
      </c>
      <c r="AL87" s="7" t="s">
        <v>74</v>
      </c>
      <c r="AM87" s="7" t="s">
        <v>74</v>
      </c>
      <c r="AN87" s="7" t="s">
        <v>74</v>
      </c>
      <c r="AO87" s="7" t="s">
        <v>337</v>
      </c>
      <c r="AP87" s="7" t="s">
        <v>338</v>
      </c>
      <c r="AQ87" s="7" t="s">
        <v>74</v>
      </c>
      <c r="AR87" s="7" t="s">
        <v>74</v>
      </c>
      <c r="AS87" s="7" t="s">
        <v>74</v>
      </c>
      <c r="AT87" s="7" t="s">
        <v>1130</v>
      </c>
      <c r="AU87" s="7">
        <v>2023</v>
      </c>
      <c r="AV87" s="7">
        <v>34</v>
      </c>
      <c r="AW87" s="7">
        <v>1</v>
      </c>
      <c r="AX87" s="7" t="s">
        <v>74</v>
      </c>
      <c r="AY87" s="7" t="s">
        <v>74</v>
      </c>
      <c r="AZ87" s="7" t="s">
        <v>74</v>
      </c>
      <c r="BA87" s="7" t="s">
        <v>74</v>
      </c>
      <c r="BB87" s="7">
        <v>19</v>
      </c>
      <c r="BC87" s="7">
        <v>32</v>
      </c>
      <c r="BD87" s="7" t="s">
        <v>74</v>
      </c>
      <c r="BE87" s="7" t="s">
        <v>3489</v>
      </c>
      <c r="BF87" s="7" t="str">
        <f>HYPERLINK("http://dx.doi.org/10.1093/beheco/arac089","http://dx.doi.org/10.1093/beheco/arac089")</f>
        <v>http://dx.doi.org/10.1093/beheco/arac089</v>
      </c>
      <c r="BG87" s="7" t="s">
        <v>74</v>
      </c>
      <c r="BH87" s="7" t="s">
        <v>2298</v>
      </c>
      <c r="BI87" s="7" t="s">
        <v>74</v>
      </c>
      <c r="BJ87" s="7" t="s">
        <v>74</v>
      </c>
      <c r="BK87" s="7" t="s">
        <v>74</v>
      </c>
      <c r="BL87" s="7" t="s">
        <v>74</v>
      </c>
      <c r="BM87" s="7" t="s">
        <v>74</v>
      </c>
      <c r="BN87" s="7">
        <v>36789393</v>
      </c>
      <c r="BO87" s="7" t="s">
        <v>74</v>
      </c>
      <c r="BP87" s="7" t="s">
        <v>74</v>
      </c>
      <c r="BQ87" s="7" t="s">
        <v>74</v>
      </c>
      <c r="BR87" s="7" t="s">
        <v>74</v>
      </c>
      <c r="BS87" s="7" t="s">
        <v>3490</v>
      </c>
      <c r="BT87" s="7" t="str">
        <f>HYPERLINK("https%3A%2F%2Fwww.webofscience.com%2Fwos%2Fwoscc%2Ffull-record%2FWOS:000876657000001","View Full Record in Web of Science")</f>
        <v>View Full Record in Web of Science</v>
      </c>
    </row>
    <row r="88" spans="1:72" s="2" customFormat="1" x14ac:dyDescent="0.4">
      <c r="A88" s="7" t="s">
        <v>72</v>
      </c>
      <c r="B88" s="7" t="s">
        <v>2972</v>
      </c>
      <c r="C88" s="7" t="s">
        <v>74</v>
      </c>
      <c r="D88" s="7" t="s">
        <v>74</v>
      </c>
      <c r="E88" s="7" t="s">
        <v>74</v>
      </c>
      <c r="F88" s="7" t="s">
        <v>2973</v>
      </c>
      <c r="G88" s="7" t="s">
        <v>74</v>
      </c>
      <c r="H88" s="7" t="s">
        <v>74</v>
      </c>
      <c r="I88" s="7" t="s">
        <v>2974</v>
      </c>
      <c r="J88" s="7" t="s">
        <v>201</v>
      </c>
      <c r="K88" s="7" t="s">
        <v>74</v>
      </c>
      <c r="L88" s="7" t="s">
        <v>74</v>
      </c>
      <c r="M88" s="7" t="s">
        <v>74</v>
      </c>
      <c r="N88" s="7" t="s">
        <v>74</v>
      </c>
      <c r="O88" s="7" t="s">
        <v>74</v>
      </c>
      <c r="P88" s="7" t="s">
        <v>74</v>
      </c>
      <c r="Q88" s="7" t="s">
        <v>74</v>
      </c>
      <c r="R88" s="7" t="s">
        <v>74</v>
      </c>
      <c r="S88" s="7" t="s">
        <v>74</v>
      </c>
      <c r="T88" s="7" t="s">
        <v>74</v>
      </c>
      <c r="U88" s="7" t="s">
        <v>74</v>
      </c>
      <c r="V88" s="6" t="s">
        <v>2975</v>
      </c>
      <c r="W88" s="7" t="s">
        <v>74</v>
      </c>
      <c r="X88" s="7" t="s">
        <v>74</v>
      </c>
      <c r="Y88" s="7" t="s">
        <v>74</v>
      </c>
      <c r="Z88" s="7" t="s">
        <v>74</v>
      </c>
      <c r="AA88" s="7" t="s">
        <v>74</v>
      </c>
      <c r="AB88" s="7" t="s">
        <v>2976</v>
      </c>
      <c r="AC88" s="7" t="s">
        <v>74</v>
      </c>
      <c r="AD88" s="7" t="s">
        <v>74</v>
      </c>
      <c r="AE88" s="7" t="s">
        <v>74</v>
      </c>
      <c r="AF88" s="7" t="s">
        <v>74</v>
      </c>
      <c r="AG88" s="7" t="s">
        <v>74</v>
      </c>
      <c r="AH88" s="7" t="s">
        <v>74</v>
      </c>
      <c r="AI88" s="7" t="s">
        <v>74</v>
      </c>
      <c r="AJ88" s="7" t="s">
        <v>74</v>
      </c>
      <c r="AK88" s="7" t="s">
        <v>74</v>
      </c>
      <c r="AL88" s="7" t="s">
        <v>74</v>
      </c>
      <c r="AM88" s="7" t="s">
        <v>74</v>
      </c>
      <c r="AN88" s="7" t="s">
        <v>74</v>
      </c>
      <c r="AO88" s="7" t="s">
        <v>203</v>
      </c>
      <c r="AP88" s="7" t="s">
        <v>1192</v>
      </c>
      <c r="AQ88" s="7" t="s">
        <v>74</v>
      </c>
      <c r="AR88" s="7" t="s">
        <v>74</v>
      </c>
      <c r="AS88" s="7" t="s">
        <v>74</v>
      </c>
      <c r="AT88" s="7" t="s">
        <v>633</v>
      </c>
      <c r="AU88" s="7">
        <v>2023</v>
      </c>
      <c r="AV88" s="7">
        <v>102</v>
      </c>
      <c r="AW88" s="7">
        <v>4</v>
      </c>
      <c r="AX88" s="7" t="s">
        <v>74</v>
      </c>
      <c r="AY88" s="7" t="s">
        <v>74</v>
      </c>
      <c r="AZ88" s="7" t="s">
        <v>74</v>
      </c>
      <c r="BA88" s="7" t="s">
        <v>74</v>
      </c>
      <c r="BB88" s="7">
        <v>794</v>
      </c>
      <c r="BC88" s="7">
        <v>802</v>
      </c>
      <c r="BD88" s="7" t="s">
        <v>74</v>
      </c>
      <c r="BE88" s="7" t="s">
        <v>2977</v>
      </c>
      <c r="BF88" s="7" t="str">
        <f>HYPERLINK("http://dx.doi.org/10.1111/jfb.15316","http://dx.doi.org/10.1111/jfb.15316")</f>
        <v>http://dx.doi.org/10.1111/jfb.15316</v>
      </c>
      <c r="BG88" s="7" t="s">
        <v>74</v>
      </c>
      <c r="BH88" s="7" t="s">
        <v>2392</v>
      </c>
      <c r="BI88" s="7" t="s">
        <v>74</v>
      </c>
      <c r="BJ88" s="7" t="s">
        <v>74</v>
      </c>
      <c r="BK88" s="7" t="s">
        <v>74</v>
      </c>
      <c r="BL88" s="7" t="s">
        <v>74</v>
      </c>
      <c r="BM88" s="7" t="s">
        <v>74</v>
      </c>
      <c r="BN88" s="7">
        <v>36648014</v>
      </c>
      <c r="BO88" s="7" t="s">
        <v>74</v>
      </c>
      <c r="BP88" s="7" t="s">
        <v>74</v>
      </c>
      <c r="BQ88" s="7" t="s">
        <v>74</v>
      </c>
      <c r="BR88" s="7" t="s">
        <v>74</v>
      </c>
      <c r="BS88" s="7" t="s">
        <v>2978</v>
      </c>
      <c r="BT88" s="7" t="str">
        <f>HYPERLINK("https%3A%2F%2Fwww.webofscience.com%2Fwos%2Fwoscc%2Ffull-record%2FWOS:000924339000001","View Full Record in Web of Science")</f>
        <v>View Full Record in Web of Science</v>
      </c>
    </row>
    <row r="89" spans="1:72" s="1" customFormat="1" x14ac:dyDescent="0.4">
      <c r="A89" s="7" t="s">
        <v>72</v>
      </c>
      <c r="B89" s="7" t="s">
        <v>2620</v>
      </c>
      <c r="C89" s="7" t="s">
        <v>74</v>
      </c>
      <c r="D89" s="7" t="s">
        <v>74</v>
      </c>
      <c r="E89" s="7" t="s">
        <v>74</v>
      </c>
      <c r="F89" s="7" t="s">
        <v>2621</v>
      </c>
      <c r="G89" s="7" t="s">
        <v>74</v>
      </c>
      <c r="H89" s="7" t="s">
        <v>74</v>
      </c>
      <c r="I89" s="7" t="s">
        <v>2622</v>
      </c>
      <c r="J89" s="7" t="s">
        <v>129</v>
      </c>
      <c r="K89" s="7" t="s">
        <v>74</v>
      </c>
      <c r="L89" s="7" t="s">
        <v>74</v>
      </c>
      <c r="M89" s="7" t="s">
        <v>74</v>
      </c>
      <c r="N89" s="7" t="s">
        <v>74</v>
      </c>
      <c r="O89" s="7" t="s">
        <v>74</v>
      </c>
      <c r="P89" s="7" t="s">
        <v>74</v>
      </c>
      <c r="Q89" s="7" t="s">
        <v>74</v>
      </c>
      <c r="R89" s="7" t="s">
        <v>74</v>
      </c>
      <c r="S89" s="7" t="s">
        <v>74</v>
      </c>
      <c r="T89" s="7" t="s">
        <v>74</v>
      </c>
      <c r="U89" s="7" t="s">
        <v>74</v>
      </c>
      <c r="V89" s="6" t="s">
        <v>2623</v>
      </c>
      <c r="W89" s="7" t="s">
        <v>74</v>
      </c>
      <c r="X89" s="7" t="s">
        <v>74</v>
      </c>
      <c r="Y89" s="7" t="s">
        <v>74</v>
      </c>
      <c r="Z89" s="7" t="s">
        <v>74</v>
      </c>
      <c r="AA89" s="7" t="s">
        <v>74</v>
      </c>
      <c r="AB89" s="7" t="s">
        <v>2624</v>
      </c>
      <c r="AC89" s="7" t="s">
        <v>74</v>
      </c>
      <c r="AD89" s="7" t="s">
        <v>74</v>
      </c>
      <c r="AE89" s="7" t="s">
        <v>74</v>
      </c>
      <c r="AF89" s="7" t="s">
        <v>74</v>
      </c>
      <c r="AG89" s="7" t="s">
        <v>74</v>
      </c>
      <c r="AH89" s="7" t="s">
        <v>74</v>
      </c>
      <c r="AI89" s="7" t="s">
        <v>74</v>
      </c>
      <c r="AJ89" s="7" t="s">
        <v>74</v>
      </c>
      <c r="AK89" s="7" t="s">
        <v>74</v>
      </c>
      <c r="AL89" s="7" t="s">
        <v>74</v>
      </c>
      <c r="AM89" s="7" t="s">
        <v>74</v>
      </c>
      <c r="AN89" s="7" t="s">
        <v>74</v>
      </c>
      <c r="AO89" s="7" t="s">
        <v>132</v>
      </c>
      <c r="AP89" s="7" t="s">
        <v>133</v>
      </c>
      <c r="AQ89" s="7" t="s">
        <v>74</v>
      </c>
      <c r="AR89" s="7" t="s">
        <v>74</v>
      </c>
      <c r="AS89" s="7" t="s">
        <v>74</v>
      </c>
      <c r="AT89" s="7" t="s">
        <v>175</v>
      </c>
      <c r="AU89" s="7">
        <v>2023</v>
      </c>
      <c r="AV89" s="7">
        <v>77</v>
      </c>
      <c r="AW89" s="7">
        <v>10</v>
      </c>
      <c r="AX89" s="7" t="s">
        <v>74</v>
      </c>
      <c r="AY89" s="7" t="s">
        <v>74</v>
      </c>
      <c r="AZ89" s="7" t="s">
        <v>74</v>
      </c>
      <c r="BA89" s="7" t="s">
        <v>74</v>
      </c>
      <c r="BB89" s="7" t="s">
        <v>74</v>
      </c>
      <c r="BC89" s="7" t="s">
        <v>74</v>
      </c>
      <c r="BD89" s="7">
        <v>116</v>
      </c>
      <c r="BE89" s="7" t="s">
        <v>2625</v>
      </c>
      <c r="BF89" s="7" t="str">
        <f>HYPERLINK("http://dx.doi.org/10.1007/s00265-023-03389-5","http://dx.doi.org/10.1007/s00265-023-03389-5")</f>
        <v>http://dx.doi.org/10.1007/s00265-023-03389-5</v>
      </c>
      <c r="BG89" s="7" t="s">
        <v>74</v>
      </c>
      <c r="BH89" s="7" t="s">
        <v>74</v>
      </c>
      <c r="BI89" s="7" t="s">
        <v>74</v>
      </c>
      <c r="BJ89" s="7" t="s">
        <v>74</v>
      </c>
      <c r="BK89" s="7" t="s">
        <v>74</v>
      </c>
      <c r="BL89" s="7" t="s">
        <v>74</v>
      </c>
      <c r="BM89" s="7" t="s">
        <v>74</v>
      </c>
      <c r="BN89" s="7" t="s">
        <v>74</v>
      </c>
      <c r="BO89" s="7" t="s">
        <v>74</v>
      </c>
      <c r="BP89" s="7" t="s">
        <v>74</v>
      </c>
      <c r="BQ89" s="7" t="s">
        <v>74</v>
      </c>
      <c r="BR89" s="7" t="s">
        <v>74</v>
      </c>
      <c r="BS89" s="7" t="s">
        <v>2626</v>
      </c>
      <c r="BT89" s="7" t="str">
        <f>HYPERLINK("https%3A%2F%2Fwww.webofscience.com%2Fwos%2Fwoscc%2Ffull-record%2FWOS:001100527400001","View Full Record in Web of Science")</f>
        <v>View Full Record in Web of Science</v>
      </c>
    </row>
    <row r="90" spans="1:72" s="2" customFormat="1" x14ac:dyDescent="0.4">
      <c r="A90" s="7" t="s">
        <v>72</v>
      </c>
      <c r="B90" s="7" t="s">
        <v>2826</v>
      </c>
      <c r="C90" s="7" t="s">
        <v>74</v>
      </c>
      <c r="D90" s="7" t="s">
        <v>74</v>
      </c>
      <c r="E90" s="7" t="s">
        <v>74</v>
      </c>
      <c r="F90" s="7" t="s">
        <v>2827</v>
      </c>
      <c r="G90" s="7" t="s">
        <v>74</v>
      </c>
      <c r="H90" s="7" t="s">
        <v>74</v>
      </c>
      <c r="I90" s="7" t="s">
        <v>2828</v>
      </c>
      <c r="J90" s="7" t="s">
        <v>140</v>
      </c>
      <c r="K90" s="7" t="s">
        <v>74</v>
      </c>
      <c r="L90" s="7" t="s">
        <v>74</v>
      </c>
      <c r="M90" s="7" t="s">
        <v>74</v>
      </c>
      <c r="N90" s="7" t="s">
        <v>74</v>
      </c>
      <c r="O90" s="7" t="s">
        <v>74</v>
      </c>
      <c r="P90" s="7" t="s">
        <v>74</v>
      </c>
      <c r="Q90" s="7" t="s">
        <v>74</v>
      </c>
      <c r="R90" s="7" t="s">
        <v>74</v>
      </c>
      <c r="S90" s="7" t="s">
        <v>74</v>
      </c>
      <c r="T90" s="7" t="s">
        <v>74</v>
      </c>
      <c r="U90" s="7" t="s">
        <v>74</v>
      </c>
      <c r="V90" s="6" t="s">
        <v>2829</v>
      </c>
      <c r="W90" s="7" t="s">
        <v>74</v>
      </c>
      <c r="X90" s="7" t="s">
        <v>74</v>
      </c>
      <c r="Y90" s="7" t="s">
        <v>74</v>
      </c>
      <c r="Z90" s="7" t="s">
        <v>74</v>
      </c>
      <c r="AA90" s="7" t="s">
        <v>74</v>
      </c>
      <c r="AB90" s="7" t="s">
        <v>2830</v>
      </c>
      <c r="AC90" s="7" t="s">
        <v>74</v>
      </c>
      <c r="AD90" s="7" t="s">
        <v>74</v>
      </c>
      <c r="AE90" s="7" t="s">
        <v>74</v>
      </c>
      <c r="AF90" s="7" t="s">
        <v>74</v>
      </c>
      <c r="AG90" s="7" t="s">
        <v>74</v>
      </c>
      <c r="AH90" s="7" t="s">
        <v>74</v>
      </c>
      <c r="AI90" s="7" t="s">
        <v>74</v>
      </c>
      <c r="AJ90" s="7" t="s">
        <v>74</v>
      </c>
      <c r="AK90" s="7" t="s">
        <v>74</v>
      </c>
      <c r="AL90" s="7" t="s">
        <v>74</v>
      </c>
      <c r="AM90" s="7" t="s">
        <v>74</v>
      </c>
      <c r="AN90" s="7" t="s">
        <v>74</v>
      </c>
      <c r="AO90" s="7" t="s">
        <v>143</v>
      </c>
      <c r="AP90" s="7" t="s">
        <v>144</v>
      </c>
      <c r="AQ90" s="7" t="s">
        <v>74</v>
      </c>
      <c r="AR90" s="7" t="s">
        <v>74</v>
      </c>
      <c r="AS90" s="7" t="s">
        <v>74</v>
      </c>
      <c r="AT90" s="7" t="s">
        <v>145</v>
      </c>
      <c r="AU90" s="7">
        <v>2022</v>
      </c>
      <c r="AV90" s="7">
        <v>190</v>
      </c>
      <c r="AW90" s="7" t="s">
        <v>74</v>
      </c>
      <c r="AX90" s="7" t="s">
        <v>74</v>
      </c>
      <c r="AY90" s="7" t="s">
        <v>74</v>
      </c>
      <c r="AZ90" s="7" t="s">
        <v>74</v>
      </c>
      <c r="BA90" s="7" t="s">
        <v>74</v>
      </c>
      <c r="BB90" s="7">
        <v>233</v>
      </c>
      <c r="BC90" s="7">
        <v>240</v>
      </c>
      <c r="BD90" s="7" t="s">
        <v>74</v>
      </c>
      <c r="BE90" s="7" t="s">
        <v>2831</v>
      </c>
      <c r="BF90" s="7" t="str">
        <f>HYPERLINK("http://dx.doi.org/10.1016/j.anbehav.2022.05.018","http://dx.doi.org/10.1016/j.anbehav.2022.05.018")</f>
        <v>http://dx.doi.org/10.1016/j.anbehav.2022.05.018</v>
      </c>
      <c r="BG90" s="7" t="s">
        <v>74</v>
      </c>
      <c r="BH90" s="7" t="s">
        <v>2832</v>
      </c>
      <c r="BI90" s="7" t="s">
        <v>74</v>
      </c>
      <c r="BJ90" s="7" t="s">
        <v>74</v>
      </c>
      <c r="BK90" s="7" t="s">
        <v>74</v>
      </c>
      <c r="BL90" s="7" t="s">
        <v>74</v>
      </c>
      <c r="BM90" s="7" t="s">
        <v>74</v>
      </c>
      <c r="BN90" s="7" t="s">
        <v>74</v>
      </c>
      <c r="BO90" s="7" t="s">
        <v>74</v>
      </c>
      <c r="BP90" s="7" t="s">
        <v>74</v>
      </c>
      <c r="BQ90" s="7" t="s">
        <v>74</v>
      </c>
      <c r="BR90" s="7" t="s">
        <v>74</v>
      </c>
      <c r="BS90" s="7" t="s">
        <v>2833</v>
      </c>
      <c r="BT90" s="7" t="str">
        <f>HYPERLINK("https%3A%2F%2Fwww.webofscience.com%2Fwos%2Fwoscc%2Ffull-record%2FWOS:000863984000003","View Full Record in Web of Science")</f>
        <v>View Full Record in Web of Science</v>
      </c>
    </row>
    <row r="91" spans="1:72" s="2" customFormat="1" x14ac:dyDescent="0.4">
      <c r="A91" s="7" t="s">
        <v>72</v>
      </c>
      <c r="B91" s="7" t="s">
        <v>859</v>
      </c>
      <c r="C91" s="7" t="s">
        <v>74</v>
      </c>
      <c r="D91" s="7" t="s">
        <v>74</v>
      </c>
      <c r="E91" s="7" t="s">
        <v>74</v>
      </c>
      <c r="F91" s="7" t="s">
        <v>860</v>
      </c>
      <c r="G91" s="7" t="s">
        <v>74</v>
      </c>
      <c r="H91" s="7" t="s">
        <v>74</v>
      </c>
      <c r="I91" s="7" t="s">
        <v>861</v>
      </c>
      <c r="J91" s="7" t="s">
        <v>862</v>
      </c>
      <c r="K91" s="7" t="s">
        <v>74</v>
      </c>
      <c r="L91" s="7" t="s">
        <v>74</v>
      </c>
      <c r="M91" s="7" t="s">
        <v>74</v>
      </c>
      <c r="N91" s="7" t="s">
        <v>74</v>
      </c>
      <c r="O91" s="7" t="s">
        <v>74</v>
      </c>
      <c r="P91" s="7" t="s">
        <v>74</v>
      </c>
      <c r="Q91" s="7" t="s">
        <v>74</v>
      </c>
      <c r="R91" s="7" t="s">
        <v>74</v>
      </c>
      <c r="S91" s="7" t="s">
        <v>74</v>
      </c>
      <c r="T91" s="7" t="s">
        <v>74</v>
      </c>
      <c r="U91" s="7" t="s">
        <v>74</v>
      </c>
      <c r="V91" s="6" t="s">
        <v>863</v>
      </c>
      <c r="W91" s="7" t="s">
        <v>74</v>
      </c>
      <c r="X91" s="7" t="s">
        <v>74</v>
      </c>
      <c r="Y91" s="7" t="s">
        <v>74</v>
      </c>
      <c r="Z91" s="7" t="s">
        <v>74</v>
      </c>
      <c r="AA91" s="7" t="s">
        <v>74</v>
      </c>
      <c r="AB91" s="7" t="s">
        <v>864</v>
      </c>
      <c r="AC91" s="7" t="s">
        <v>74</v>
      </c>
      <c r="AD91" s="7" t="s">
        <v>74</v>
      </c>
      <c r="AE91" s="7" t="s">
        <v>74</v>
      </c>
      <c r="AF91" s="7" t="s">
        <v>74</v>
      </c>
      <c r="AG91" s="7" t="s">
        <v>74</v>
      </c>
      <c r="AH91" s="7" t="s">
        <v>74</v>
      </c>
      <c r="AI91" s="7" t="s">
        <v>74</v>
      </c>
      <c r="AJ91" s="7" t="s">
        <v>74</v>
      </c>
      <c r="AK91" s="7" t="s">
        <v>74</v>
      </c>
      <c r="AL91" s="7" t="s">
        <v>74</v>
      </c>
      <c r="AM91" s="7" t="s">
        <v>74</v>
      </c>
      <c r="AN91" s="7" t="s">
        <v>74</v>
      </c>
      <c r="AO91" s="7" t="s">
        <v>865</v>
      </c>
      <c r="AP91" s="7" t="s">
        <v>866</v>
      </c>
      <c r="AQ91" s="7" t="s">
        <v>74</v>
      </c>
      <c r="AR91" s="7" t="s">
        <v>74</v>
      </c>
      <c r="AS91" s="7" t="s">
        <v>74</v>
      </c>
      <c r="AT91" s="7" t="s">
        <v>867</v>
      </c>
      <c r="AU91" s="7">
        <v>2024</v>
      </c>
      <c r="AV91" s="7" t="s">
        <v>74</v>
      </c>
      <c r="AW91" s="7" t="s">
        <v>74</v>
      </c>
      <c r="AX91" s="7" t="s">
        <v>74</v>
      </c>
      <c r="AY91" s="7" t="s">
        <v>74</v>
      </c>
      <c r="AZ91" s="7" t="s">
        <v>74</v>
      </c>
      <c r="BA91" s="7" t="s">
        <v>74</v>
      </c>
      <c r="BB91" s="7" t="s">
        <v>74</v>
      </c>
      <c r="BC91" s="7" t="s">
        <v>74</v>
      </c>
      <c r="BD91" s="7" t="s">
        <v>74</v>
      </c>
      <c r="BE91" s="7" t="s">
        <v>868</v>
      </c>
      <c r="BF91" s="7" t="str">
        <f>HYPERLINK("http://dx.doi.org/10.1007/s10211-024-00444-w","http://dx.doi.org/10.1007/s10211-024-00444-w")</f>
        <v>http://dx.doi.org/10.1007/s10211-024-00444-w</v>
      </c>
      <c r="BG91" s="7" t="s">
        <v>74</v>
      </c>
      <c r="BH91" s="7" t="s">
        <v>869</v>
      </c>
      <c r="BI91" s="7" t="s">
        <v>74</v>
      </c>
      <c r="BJ91" s="7" t="s">
        <v>74</v>
      </c>
      <c r="BK91" s="7" t="s">
        <v>74</v>
      </c>
      <c r="BL91" s="7" t="s">
        <v>74</v>
      </c>
      <c r="BM91" s="7" t="s">
        <v>74</v>
      </c>
      <c r="BN91" s="7" t="s">
        <v>74</v>
      </c>
      <c r="BO91" s="7" t="s">
        <v>74</v>
      </c>
      <c r="BP91" s="7" t="s">
        <v>74</v>
      </c>
      <c r="BQ91" s="7" t="s">
        <v>74</v>
      </c>
      <c r="BR91" s="7" t="s">
        <v>74</v>
      </c>
      <c r="BS91" s="7" t="s">
        <v>870</v>
      </c>
      <c r="BT91" s="7" t="str">
        <f>HYPERLINK("https%3A%2F%2Fwww.webofscience.com%2Fwos%2Fwoscc%2Ffull-record%2FWOS:001274807200001","View Full Record in Web of Science")</f>
        <v>View Full Record in Web of Science</v>
      </c>
    </row>
    <row r="92" spans="1:72" s="2" customFormat="1" x14ac:dyDescent="0.4">
      <c r="A92" s="7" t="s">
        <v>72</v>
      </c>
      <c r="B92" s="7" t="s">
        <v>4315</v>
      </c>
      <c r="C92" s="7" t="s">
        <v>74</v>
      </c>
      <c r="D92" s="7" t="s">
        <v>74</v>
      </c>
      <c r="E92" s="7" t="s">
        <v>74</v>
      </c>
      <c r="F92" s="7" t="s">
        <v>4316</v>
      </c>
      <c r="G92" s="7" t="s">
        <v>74</v>
      </c>
      <c r="H92" s="7" t="s">
        <v>74</v>
      </c>
      <c r="I92" s="7" t="s">
        <v>4317</v>
      </c>
      <c r="J92" s="7" t="s">
        <v>4318</v>
      </c>
      <c r="K92" s="7" t="s">
        <v>74</v>
      </c>
      <c r="L92" s="7" t="s">
        <v>74</v>
      </c>
      <c r="M92" s="7" t="s">
        <v>74</v>
      </c>
      <c r="N92" s="7" t="s">
        <v>74</v>
      </c>
      <c r="O92" s="7" t="s">
        <v>74</v>
      </c>
      <c r="P92" s="7" t="s">
        <v>74</v>
      </c>
      <c r="Q92" s="7" t="s">
        <v>74</v>
      </c>
      <c r="R92" s="7" t="s">
        <v>74</v>
      </c>
      <c r="S92" s="7" t="s">
        <v>74</v>
      </c>
      <c r="T92" s="7" t="s">
        <v>74</v>
      </c>
      <c r="U92" s="7" t="s">
        <v>74</v>
      </c>
      <c r="V92" s="6" t="s">
        <v>4319</v>
      </c>
      <c r="W92" s="7" t="s">
        <v>74</v>
      </c>
      <c r="X92" s="7" t="s">
        <v>74</v>
      </c>
      <c r="Y92" s="7" t="s">
        <v>74</v>
      </c>
      <c r="Z92" s="7" t="s">
        <v>74</v>
      </c>
      <c r="AA92" s="7" t="s">
        <v>74</v>
      </c>
      <c r="AB92" s="7" t="s">
        <v>4320</v>
      </c>
      <c r="AC92" s="7" t="s">
        <v>74</v>
      </c>
      <c r="AD92" s="7" t="s">
        <v>74</v>
      </c>
      <c r="AE92" s="7" t="s">
        <v>74</v>
      </c>
      <c r="AF92" s="7" t="s">
        <v>74</v>
      </c>
      <c r="AG92" s="7" t="s">
        <v>74</v>
      </c>
      <c r="AH92" s="7" t="s">
        <v>74</v>
      </c>
      <c r="AI92" s="7" t="s">
        <v>74</v>
      </c>
      <c r="AJ92" s="7" t="s">
        <v>74</v>
      </c>
      <c r="AK92" s="7" t="s">
        <v>74</v>
      </c>
      <c r="AL92" s="7" t="s">
        <v>74</v>
      </c>
      <c r="AM92" s="7" t="s">
        <v>74</v>
      </c>
      <c r="AN92" s="7" t="s">
        <v>74</v>
      </c>
      <c r="AO92" s="7" t="s">
        <v>4321</v>
      </c>
      <c r="AP92" s="7" t="s">
        <v>4322</v>
      </c>
      <c r="AQ92" s="7" t="s">
        <v>74</v>
      </c>
      <c r="AR92" s="7" t="s">
        <v>74</v>
      </c>
      <c r="AS92" s="7" t="s">
        <v>74</v>
      </c>
      <c r="AT92" s="7" t="s">
        <v>204</v>
      </c>
      <c r="AU92" s="7">
        <v>2022</v>
      </c>
      <c r="AV92" s="7">
        <v>110</v>
      </c>
      <c r="AW92" s="7">
        <v>2</v>
      </c>
      <c r="AX92" s="7" t="s">
        <v>74</v>
      </c>
      <c r="AY92" s="7" t="s">
        <v>74</v>
      </c>
      <c r="AZ92" s="7" t="s">
        <v>74</v>
      </c>
      <c r="BA92" s="7" t="s">
        <v>74</v>
      </c>
      <c r="BB92" s="7">
        <v>340</v>
      </c>
      <c r="BC92" s="7">
        <v>349</v>
      </c>
      <c r="BD92" s="7" t="s">
        <v>74</v>
      </c>
      <c r="BE92" s="7" t="s">
        <v>4323</v>
      </c>
      <c r="BF92" s="7" t="str">
        <f>HYPERLINK("http://dx.doi.org/10.1643/h2021025","http://dx.doi.org/10.1643/h2021025")</f>
        <v>http://dx.doi.org/10.1643/h2021025</v>
      </c>
      <c r="BG92" s="7" t="s">
        <v>74</v>
      </c>
      <c r="BH92" s="7" t="s">
        <v>74</v>
      </c>
      <c r="BI92" s="7" t="s">
        <v>74</v>
      </c>
      <c r="BJ92" s="7" t="s">
        <v>74</v>
      </c>
      <c r="BK92" s="7" t="s">
        <v>74</v>
      </c>
      <c r="BL92" s="7" t="s">
        <v>74</v>
      </c>
      <c r="BM92" s="7" t="s">
        <v>74</v>
      </c>
      <c r="BN92" s="7" t="s">
        <v>74</v>
      </c>
      <c r="BO92" s="7" t="s">
        <v>74</v>
      </c>
      <c r="BP92" s="7" t="s">
        <v>74</v>
      </c>
      <c r="BQ92" s="7" t="s">
        <v>74</v>
      </c>
      <c r="BR92" s="7" t="s">
        <v>74</v>
      </c>
      <c r="BS92" s="7" t="s">
        <v>4324</v>
      </c>
      <c r="BT92" s="7" t="str">
        <f>HYPERLINK("https%3A%2F%2Fwww.webofscience.com%2Fwos%2Fwoscc%2Ffull-record%2FWOS:000836735000011","View Full Record in Web of Science")</f>
        <v>View Full Record in Web of Science</v>
      </c>
    </row>
    <row r="93" spans="1:72" s="1" customFormat="1" x14ac:dyDescent="0.4">
      <c r="A93" s="7" t="s">
        <v>72</v>
      </c>
      <c r="B93" s="7" t="s">
        <v>1671</v>
      </c>
      <c r="C93" s="7" t="s">
        <v>74</v>
      </c>
      <c r="D93" s="7" t="s">
        <v>74</v>
      </c>
      <c r="E93" s="7" t="s">
        <v>74</v>
      </c>
      <c r="F93" s="7" t="s">
        <v>1671</v>
      </c>
      <c r="G93" s="7" t="s">
        <v>74</v>
      </c>
      <c r="H93" s="7" t="s">
        <v>74</v>
      </c>
      <c r="I93" s="7" t="s">
        <v>1672</v>
      </c>
      <c r="J93" s="7" t="s">
        <v>1673</v>
      </c>
      <c r="K93" s="7" t="s">
        <v>74</v>
      </c>
      <c r="L93" s="7" t="s">
        <v>74</v>
      </c>
      <c r="M93" s="7" t="s">
        <v>74</v>
      </c>
      <c r="N93" s="7" t="s">
        <v>74</v>
      </c>
      <c r="O93" s="7" t="s">
        <v>74</v>
      </c>
      <c r="P93" s="7" t="s">
        <v>74</v>
      </c>
      <c r="Q93" s="7" t="s">
        <v>74</v>
      </c>
      <c r="R93" s="7" t="s">
        <v>74</v>
      </c>
      <c r="S93" s="7" t="s">
        <v>74</v>
      </c>
      <c r="T93" s="7" t="s">
        <v>74</v>
      </c>
      <c r="U93" s="7" t="s">
        <v>74</v>
      </c>
      <c r="V93" s="6" t="s">
        <v>1674</v>
      </c>
      <c r="W93" s="7" t="s">
        <v>74</v>
      </c>
      <c r="X93" s="7" t="s">
        <v>74</v>
      </c>
      <c r="Y93" s="7" t="s">
        <v>74</v>
      </c>
      <c r="Z93" s="7" t="s">
        <v>74</v>
      </c>
      <c r="AA93" s="7" t="s">
        <v>74</v>
      </c>
      <c r="AB93" s="7" t="s">
        <v>74</v>
      </c>
      <c r="AC93" s="7" t="s">
        <v>74</v>
      </c>
      <c r="AD93" s="7" t="s">
        <v>74</v>
      </c>
      <c r="AE93" s="7" t="s">
        <v>74</v>
      </c>
      <c r="AF93" s="7" t="s">
        <v>74</v>
      </c>
      <c r="AG93" s="7" t="s">
        <v>74</v>
      </c>
      <c r="AH93" s="7" t="s">
        <v>74</v>
      </c>
      <c r="AI93" s="7" t="s">
        <v>74</v>
      </c>
      <c r="AJ93" s="7" t="s">
        <v>74</v>
      </c>
      <c r="AK93" s="7" t="s">
        <v>74</v>
      </c>
      <c r="AL93" s="7" t="s">
        <v>74</v>
      </c>
      <c r="AM93" s="7" t="s">
        <v>74</v>
      </c>
      <c r="AN93" s="7" t="s">
        <v>74</v>
      </c>
      <c r="AO93" s="7" t="s">
        <v>1239</v>
      </c>
      <c r="AP93" s="7" t="s">
        <v>1675</v>
      </c>
      <c r="AQ93" s="7" t="s">
        <v>74</v>
      </c>
      <c r="AR93" s="7" t="s">
        <v>74</v>
      </c>
      <c r="AS93" s="7" t="s">
        <v>74</v>
      </c>
      <c r="AT93" s="7" t="s">
        <v>74</v>
      </c>
      <c r="AU93" s="7">
        <v>1984</v>
      </c>
      <c r="AV93" s="7">
        <v>62</v>
      </c>
      <c r="AW93" s="7">
        <v>6</v>
      </c>
      <c r="AX93" s="7" t="s">
        <v>74</v>
      </c>
      <c r="AY93" s="7" t="s">
        <v>74</v>
      </c>
      <c r="AZ93" s="7" t="s">
        <v>74</v>
      </c>
      <c r="BA93" s="7" t="s">
        <v>74</v>
      </c>
      <c r="BB93" s="7">
        <v>999</v>
      </c>
      <c r="BC93" s="7">
        <v>1004</v>
      </c>
      <c r="BD93" s="7" t="s">
        <v>74</v>
      </c>
      <c r="BE93" s="7" t="s">
        <v>1676</v>
      </c>
      <c r="BF93" s="7" t="str">
        <f>HYPERLINK("http://dx.doi.org/10.1139/z84-141","http://dx.doi.org/10.1139/z84-141")</f>
        <v>http://dx.doi.org/10.1139/z84-141</v>
      </c>
      <c r="BG93" s="7" t="s">
        <v>74</v>
      </c>
      <c r="BH93" s="7" t="s">
        <v>74</v>
      </c>
      <c r="BI93" s="7" t="s">
        <v>74</v>
      </c>
      <c r="BJ93" s="7" t="s">
        <v>74</v>
      </c>
      <c r="BK93" s="7" t="s">
        <v>74</v>
      </c>
      <c r="BL93" s="7" t="s">
        <v>74</v>
      </c>
      <c r="BM93" s="7" t="s">
        <v>74</v>
      </c>
      <c r="BN93" s="7" t="s">
        <v>74</v>
      </c>
      <c r="BO93" s="7" t="s">
        <v>74</v>
      </c>
      <c r="BP93" s="7" t="s">
        <v>74</v>
      </c>
      <c r="BQ93" s="7" t="s">
        <v>74</v>
      </c>
      <c r="BR93" s="7" t="s">
        <v>74</v>
      </c>
      <c r="BS93" s="7" t="s">
        <v>1677</v>
      </c>
      <c r="BT93" s="7" t="str">
        <f>HYPERLINK("https%3A%2F%2Fwww.webofscience.com%2Fwos%2Fwoscc%2Ffull-record%2FWOS:A1984TE15700001","View Full Record in Web of Science")</f>
        <v>View Full Record in Web of Science</v>
      </c>
    </row>
    <row r="94" spans="1:72" s="2" customFormat="1" x14ac:dyDescent="0.4">
      <c r="A94" s="7" t="s">
        <v>72</v>
      </c>
      <c r="B94" s="7" t="s">
        <v>3086</v>
      </c>
      <c r="C94" s="7" t="s">
        <v>74</v>
      </c>
      <c r="D94" s="7" t="s">
        <v>74</v>
      </c>
      <c r="E94" s="7" t="s">
        <v>74</v>
      </c>
      <c r="F94" s="7" t="s">
        <v>3087</v>
      </c>
      <c r="G94" s="7" t="s">
        <v>74</v>
      </c>
      <c r="H94" s="7" t="s">
        <v>74</v>
      </c>
      <c r="I94" s="7" t="s">
        <v>3088</v>
      </c>
      <c r="J94" s="7" t="s">
        <v>3089</v>
      </c>
      <c r="K94" s="7" t="s">
        <v>74</v>
      </c>
      <c r="L94" s="7" t="s">
        <v>74</v>
      </c>
      <c r="M94" s="7" t="s">
        <v>74</v>
      </c>
      <c r="N94" s="7" t="s">
        <v>74</v>
      </c>
      <c r="O94" s="7" t="s">
        <v>74</v>
      </c>
      <c r="P94" s="7" t="s">
        <v>74</v>
      </c>
      <c r="Q94" s="7" t="s">
        <v>74</v>
      </c>
      <c r="R94" s="7" t="s">
        <v>74</v>
      </c>
      <c r="S94" s="7" t="s">
        <v>74</v>
      </c>
      <c r="T94" s="7" t="s">
        <v>74</v>
      </c>
      <c r="U94" s="7" t="s">
        <v>74</v>
      </c>
      <c r="V94" s="6" t="s">
        <v>3090</v>
      </c>
      <c r="W94" s="7" t="s">
        <v>74</v>
      </c>
      <c r="X94" s="7" t="s">
        <v>74</v>
      </c>
      <c r="Y94" s="7" t="s">
        <v>74</v>
      </c>
      <c r="Z94" s="7" t="s">
        <v>74</v>
      </c>
      <c r="AA94" s="7" t="s">
        <v>3091</v>
      </c>
      <c r="AB94" s="7" t="s">
        <v>3092</v>
      </c>
      <c r="AC94" s="7" t="s">
        <v>74</v>
      </c>
      <c r="AD94" s="7" t="s">
        <v>74</v>
      </c>
      <c r="AE94" s="7" t="s">
        <v>74</v>
      </c>
      <c r="AF94" s="7" t="s">
        <v>74</v>
      </c>
      <c r="AG94" s="7" t="s">
        <v>74</v>
      </c>
      <c r="AH94" s="7" t="s">
        <v>74</v>
      </c>
      <c r="AI94" s="7" t="s">
        <v>74</v>
      </c>
      <c r="AJ94" s="7" t="s">
        <v>74</v>
      </c>
      <c r="AK94" s="7" t="s">
        <v>74</v>
      </c>
      <c r="AL94" s="7" t="s">
        <v>74</v>
      </c>
      <c r="AM94" s="7" t="s">
        <v>74</v>
      </c>
      <c r="AN94" s="7" t="s">
        <v>74</v>
      </c>
      <c r="AO94" s="7" t="s">
        <v>3093</v>
      </c>
      <c r="AP94" s="7" t="s">
        <v>3094</v>
      </c>
      <c r="AQ94" s="7" t="s">
        <v>74</v>
      </c>
      <c r="AR94" s="7" t="s">
        <v>74</v>
      </c>
      <c r="AS94" s="7" t="s">
        <v>74</v>
      </c>
      <c r="AT94" s="7" t="s">
        <v>134</v>
      </c>
      <c r="AU94" s="7">
        <v>2021</v>
      </c>
      <c r="AV94" s="7">
        <v>39</v>
      </c>
      <c r="AW94" s="7">
        <v>2</v>
      </c>
      <c r="AX94" s="7" t="s">
        <v>74</v>
      </c>
      <c r="AY94" s="7" t="s">
        <v>74</v>
      </c>
      <c r="AZ94" s="7" t="s">
        <v>74</v>
      </c>
      <c r="BA94" s="7" t="s">
        <v>74</v>
      </c>
      <c r="BB94" s="7">
        <v>179</v>
      </c>
      <c r="BC94" s="7">
        <v>189</v>
      </c>
      <c r="BD94" s="7" t="s">
        <v>74</v>
      </c>
      <c r="BE94" s="7" t="s">
        <v>3095</v>
      </c>
      <c r="BF94" s="7" t="str">
        <f>HYPERLINK("http://dx.doi.org/10.1007/s10164-021-00690-6","http://dx.doi.org/10.1007/s10164-021-00690-6")</f>
        <v>http://dx.doi.org/10.1007/s10164-021-00690-6</v>
      </c>
      <c r="BG94" s="7" t="s">
        <v>74</v>
      </c>
      <c r="BH94" s="7" t="s">
        <v>2411</v>
      </c>
      <c r="BI94" s="7" t="s">
        <v>74</v>
      </c>
      <c r="BJ94" s="7" t="s">
        <v>74</v>
      </c>
      <c r="BK94" s="7" t="s">
        <v>74</v>
      </c>
      <c r="BL94" s="7" t="s">
        <v>74</v>
      </c>
      <c r="BM94" s="7" t="s">
        <v>74</v>
      </c>
      <c r="BN94" s="7" t="s">
        <v>74</v>
      </c>
      <c r="BO94" s="7" t="s">
        <v>74</v>
      </c>
      <c r="BP94" s="7" t="s">
        <v>74</v>
      </c>
      <c r="BQ94" s="7" t="s">
        <v>74</v>
      </c>
      <c r="BR94" s="7" t="s">
        <v>74</v>
      </c>
      <c r="BS94" s="7" t="s">
        <v>3096</v>
      </c>
      <c r="BT94" s="7" t="str">
        <f>HYPERLINK("https%3A%2F%2Fwww.webofscience.com%2Fwos%2Fwoscc%2Ffull-record%2FWOS:000614674500001","View Full Record in Web of Science")</f>
        <v>View Full Record in Web of Science</v>
      </c>
    </row>
    <row r="95" spans="1:72" s="1" customFormat="1" x14ac:dyDescent="0.4">
      <c r="A95" s="7" t="s">
        <v>72</v>
      </c>
      <c r="B95" s="7" t="s">
        <v>226</v>
      </c>
      <c r="C95" s="7" t="s">
        <v>74</v>
      </c>
      <c r="D95" s="7" t="s">
        <v>74</v>
      </c>
      <c r="E95" s="7" t="s">
        <v>74</v>
      </c>
      <c r="F95" s="7" t="s">
        <v>227</v>
      </c>
      <c r="G95" s="7" t="s">
        <v>74</v>
      </c>
      <c r="H95" s="7" t="s">
        <v>74</v>
      </c>
      <c r="I95" s="7" t="s">
        <v>228</v>
      </c>
      <c r="J95" s="7" t="s">
        <v>229</v>
      </c>
      <c r="K95" s="7" t="s">
        <v>74</v>
      </c>
      <c r="L95" s="7" t="s">
        <v>74</v>
      </c>
      <c r="M95" s="7" t="s">
        <v>74</v>
      </c>
      <c r="N95" s="7" t="s">
        <v>74</v>
      </c>
      <c r="O95" s="7" t="s">
        <v>74</v>
      </c>
      <c r="P95" s="7" t="s">
        <v>74</v>
      </c>
      <c r="Q95" s="7" t="s">
        <v>74</v>
      </c>
      <c r="R95" s="7" t="s">
        <v>74</v>
      </c>
      <c r="S95" s="7" t="s">
        <v>74</v>
      </c>
      <c r="T95" s="7" t="s">
        <v>74</v>
      </c>
      <c r="U95" s="7" t="s">
        <v>74</v>
      </c>
      <c r="V95" s="6" t="s">
        <v>230</v>
      </c>
      <c r="W95" s="7" t="s">
        <v>74</v>
      </c>
      <c r="X95" s="7" t="s">
        <v>74</v>
      </c>
      <c r="Y95" s="7" t="s">
        <v>74</v>
      </c>
      <c r="Z95" s="7" t="s">
        <v>74</v>
      </c>
      <c r="AA95" s="7" t="s">
        <v>231</v>
      </c>
      <c r="AB95" s="7" t="s">
        <v>232</v>
      </c>
      <c r="AC95" s="7" t="s">
        <v>74</v>
      </c>
      <c r="AD95" s="7" t="s">
        <v>74</v>
      </c>
      <c r="AE95" s="7" t="s">
        <v>74</v>
      </c>
      <c r="AF95" s="7" t="s">
        <v>74</v>
      </c>
      <c r="AG95" s="7" t="s">
        <v>74</v>
      </c>
      <c r="AH95" s="7" t="s">
        <v>74</v>
      </c>
      <c r="AI95" s="7" t="s">
        <v>74</v>
      </c>
      <c r="AJ95" s="7" t="s">
        <v>74</v>
      </c>
      <c r="AK95" s="7" t="s">
        <v>74</v>
      </c>
      <c r="AL95" s="7" t="s">
        <v>74</v>
      </c>
      <c r="AM95" s="7" t="s">
        <v>74</v>
      </c>
      <c r="AN95" s="7" t="s">
        <v>74</v>
      </c>
      <c r="AO95" s="7" t="s">
        <v>233</v>
      </c>
      <c r="AP95" s="7" t="s">
        <v>234</v>
      </c>
      <c r="AQ95" s="7" t="s">
        <v>74</v>
      </c>
      <c r="AR95" s="7" t="s">
        <v>74</v>
      </c>
      <c r="AS95" s="7" t="s">
        <v>74</v>
      </c>
      <c r="AT95" s="7" t="s">
        <v>204</v>
      </c>
      <c r="AU95" s="7">
        <v>2021</v>
      </c>
      <c r="AV95" s="7">
        <v>47</v>
      </c>
      <c r="AW95" s="7">
        <v>4</v>
      </c>
      <c r="AX95" s="7" t="s">
        <v>74</v>
      </c>
      <c r="AY95" s="7" t="s">
        <v>74</v>
      </c>
      <c r="AZ95" s="7" t="s">
        <v>74</v>
      </c>
      <c r="BA95" s="7" t="s">
        <v>74</v>
      </c>
      <c r="BB95" s="7">
        <v>430</v>
      </c>
      <c r="BC95" s="7">
        <v>438</v>
      </c>
      <c r="BD95" s="7" t="s">
        <v>74</v>
      </c>
      <c r="BE95" s="7" t="s">
        <v>235</v>
      </c>
      <c r="BF95" s="7" t="str">
        <f>HYPERLINK("http://dx.doi.org/10.1002/ab.21961","http://dx.doi.org/10.1002/ab.21961")</f>
        <v>http://dx.doi.org/10.1002/ab.21961</v>
      </c>
      <c r="BG95" s="7" t="s">
        <v>74</v>
      </c>
      <c r="BH95" s="7" t="s">
        <v>236</v>
      </c>
      <c r="BI95" s="7" t="s">
        <v>74</v>
      </c>
      <c r="BJ95" s="7" t="s">
        <v>74</v>
      </c>
      <c r="BK95" s="7" t="s">
        <v>74</v>
      </c>
      <c r="BL95" s="7" t="s">
        <v>74</v>
      </c>
      <c r="BM95" s="7" t="s">
        <v>74</v>
      </c>
      <c r="BN95" s="7">
        <v>33682154</v>
      </c>
      <c r="BO95" s="7" t="s">
        <v>74</v>
      </c>
      <c r="BP95" s="7" t="s">
        <v>74</v>
      </c>
      <c r="BQ95" s="7" t="s">
        <v>74</v>
      </c>
      <c r="BR95" s="7" t="s">
        <v>74</v>
      </c>
      <c r="BS95" s="7" t="s">
        <v>237</v>
      </c>
      <c r="BT95" s="7" t="str">
        <f>HYPERLINK("https%3A%2F%2Fwww.webofscience.com%2Fwos%2Fwoscc%2Ffull-record%2FWOS:000625980800001","View Full Record in Web of Science")</f>
        <v>View Full Record in Web of Science</v>
      </c>
    </row>
    <row r="96" spans="1:72" s="2" customFormat="1" x14ac:dyDescent="0.4">
      <c r="A96" s="7" t="s">
        <v>72</v>
      </c>
      <c r="B96" s="7" t="s">
        <v>6676</v>
      </c>
      <c r="C96" s="7" t="s">
        <v>74</v>
      </c>
      <c r="D96" s="7" t="s">
        <v>74</v>
      </c>
      <c r="E96" s="7" t="s">
        <v>74</v>
      </c>
      <c r="F96" s="7" t="s">
        <v>6677</v>
      </c>
      <c r="G96" s="7" t="s">
        <v>74</v>
      </c>
      <c r="H96" s="7" t="s">
        <v>74</v>
      </c>
      <c r="I96" s="7" t="s">
        <v>6678</v>
      </c>
      <c r="J96" s="7" t="s">
        <v>140</v>
      </c>
      <c r="K96" s="7" t="s">
        <v>74</v>
      </c>
      <c r="L96" s="7" t="s">
        <v>74</v>
      </c>
      <c r="M96" s="7" t="s">
        <v>74</v>
      </c>
      <c r="N96" s="7" t="s">
        <v>74</v>
      </c>
      <c r="O96" s="7" t="s">
        <v>74</v>
      </c>
      <c r="P96" s="7" t="s">
        <v>74</v>
      </c>
      <c r="Q96" s="7" t="s">
        <v>74</v>
      </c>
      <c r="R96" s="7" t="s">
        <v>74</v>
      </c>
      <c r="S96" s="7" t="s">
        <v>74</v>
      </c>
      <c r="T96" s="7" t="s">
        <v>74</v>
      </c>
      <c r="U96" s="7" t="s">
        <v>74</v>
      </c>
      <c r="V96" s="6" t="s">
        <v>6679</v>
      </c>
      <c r="W96" s="7" t="s">
        <v>74</v>
      </c>
      <c r="X96" s="7" t="s">
        <v>74</v>
      </c>
      <c r="Y96" s="7" t="s">
        <v>74</v>
      </c>
      <c r="Z96" s="7" t="s">
        <v>74</v>
      </c>
      <c r="AA96" s="7" t="s">
        <v>6680</v>
      </c>
      <c r="AB96" s="7" t="s">
        <v>6681</v>
      </c>
      <c r="AC96" s="7" t="s">
        <v>74</v>
      </c>
      <c r="AD96" s="7" t="s">
        <v>74</v>
      </c>
      <c r="AE96" s="7" t="s">
        <v>74</v>
      </c>
      <c r="AF96" s="7" t="s">
        <v>74</v>
      </c>
      <c r="AG96" s="7" t="s">
        <v>74</v>
      </c>
      <c r="AH96" s="7" t="s">
        <v>74</v>
      </c>
      <c r="AI96" s="7" t="s">
        <v>74</v>
      </c>
      <c r="AJ96" s="7" t="s">
        <v>74</v>
      </c>
      <c r="AK96" s="7" t="s">
        <v>74</v>
      </c>
      <c r="AL96" s="7" t="s">
        <v>74</v>
      </c>
      <c r="AM96" s="7" t="s">
        <v>74</v>
      </c>
      <c r="AN96" s="7" t="s">
        <v>74</v>
      </c>
      <c r="AO96" s="7" t="s">
        <v>143</v>
      </c>
      <c r="AP96" s="7" t="s">
        <v>144</v>
      </c>
      <c r="AQ96" s="7" t="s">
        <v>74</v>
      </c>
      <c r="AR96" s="7" t="s">
        <v>74</v>
      </c>
      <c r="AS96" s="7" t="s">
        <v>74</v>
      </c>
      <c r="AT96" s="7" t="s">
        <v>204</v>
      </c>
      <c r="AU96" s="7">
        <v>2015</v>
      </c>
      <c r="AV96" s="7">
        <v>105</v>
      </c>
      <c r="AW96" s="7" t="s">
        <v>74</v>
      </c>
      <c r="AX96" s="7" t="s">
        <v>74</v>
      </c>
      <c r="AY96" s="7" t="s">
        <v>74</v>
      </c>
      <c r="AZ96" s="7" t="s">
        <v>74</v>
      </c>
      <c r="BA96" s="7" t="s">
        <v>74</v>
      </c>
      <c r="BB96" s="7">
        <v>201</v>
      </c>
      <c r="BC96" s="7">
        <v>209</v>
      </c>
      <c r="BD96" s="7" t="s">
        <v>74</v>
      </c>
      <c r="BE96" s="7" t="s">
        <v>6682</v>
      </c>
      <c r="BF96" s="7" t="str">
        <f>HYPERLINK("http://dx.doi.org/10.1016/j.anbehav.2015.04.024","http://dx.doi.org/10.1016/j.anbehav.2015.04.024")</f>
        <v>http://dx.doi.org/10.1016/j.anbehav.2015.04.024</v>
      </c>
      <c r="BG96" s="7" t="s">
        <v>74</v>
      </c>
      <c r="BH96" s="7" t="s">
        <v>74</v>
      </c>
      <c r="BI96" s="7" t="s">
        <v>74</v>
      </c>
      <c r="BJ96" s="7" t="s">
        <v>74</v>
      </c>
      <c r="BK96" s="7" t="s">
        <v>74</v>
      </c>
      <c r="BL96" s="7" t="s">
        <v>74</v>
      </c>
      <c r="BM96" s="7" t="s">
        <v>74</v>
      </c>
      <c r="BN96" s="7" t="s">
        <v>74</v>
      </c>
      <c r="BO96" s="7" t="s">
        <v>74</v>
      </c>
      <c r="BP96" s="7" t="s">
        <v>74</v>
      </c>
      <c r="BQ96" s="7" t="s">
        <v>74</v>
      </c>
      <c r="BR96" s="7" t="s">
        <v>74</v>
      </c>
      <c r="BS96" s="7" t="s">
        <v>6683</v>
      </c>
      <c r="BT96" s="7" t="str">
        <f>HYPERLINK("https%3A%2F%2Fwww.webofscience.com%2Fwos%2Fwoscc%2Ffull-record%2FWOS:000356611200022","View Full Record in Web of Science")</f>
        <v>View Full Record in Web of Science</v>
      </c>
    </row>
    <row r="97" spans="1:72" s="2" customFormat="1" x14ac:dyDescent="0.4">
      <c r="A97" s="7" t="s">
        <v>72</v>
      </c>
      <c r="B97" s="7" t="s">
        <v>2948</v>
      </c>
      <c r="C97" s="7" t="s">
        <v>74</v>
      </c>
      <c r="D97" s="7" t="s">
        <v>74</v>
      </c>
      <c r="E97" s="7" t="s">
        <v>74</v>
      </c>
      <c r="F97" s="7" t="s">
        <v>2948</v>
      </c>
      <c r="G97" s="7" t="s">
        <v>74</v>
      </c>
      <c r="H97" s="7" t="s">
        <v>74</v>
      </c>
      <c r="I97" s="7" t="s">
        <v>2949</v>
      </c>
      <c r="J97" s="7" t="s">
        <v>140</v>
      </c>
      <c r="K97" s="7" t="s">
        <v>74</v>
      </c>
      <c r="L97" s="7" t="s">
        <v>74</v>
      </c>
      <c r="M97" s="7" t="s">
        <v>74</v>
      </c>
      <c r="N97" s="7" t="s">
        <v>74</v>
      </c>
      <c r="O97" s="7" t="s">
        <v>74</v>
      </c>
      <c r="P97" s="7" t="s">
        <v>74</v>
      </c>
      <c r="Q97" s="7" t="s">
        <v>74</v>
      </c>
      <c r="R97" s="7" t="s">
        <v>74</v>
      </c>
      <c r="S97" s="7" t="s">
        <v>74</v>
      </c>
      <c r="T97" s="7" t="s">
        <v>74</v>
      </c>
      <c r="U97" s="7" t="s">
        <v>74</v>
      </c>
      <c r="V97" s="6" t="s">
        <v>2950</v>
      </c>
      <c r="W97" s="7" t="s">
        <v>74</v>
      </c>
      <c r="X97" s="7" t="s">
        <v>74</v>
      </c>
      <c r="Y97" s="7" t="s">
        <v>74</v>
      </c>
      <c r="Z97" s="7" t="s">
        <v>74</v>
      </c>
      <c r="AA97" s="7" t="s">
        <v>2951</v>
      </c>
      <c r="AB97" s="7" t="s">
        <v>2952</v>
      </c>
      <c r="AC97" s="7" t="s">
        <v>74</v>
      </c>
      <c r="AD97" s="7" t="s">
        <v>74</v>
      </c>
      <c r="AE97" s="7" t="s">
        <v>74</v>
      </c>
      <c r="AF97" s="7" t="s">
        <v>74</v>
      </c>
      <c r="AG97" s="7" t="s">
        <v>74</v>
      </c>
      <c r="AH97" s="7" t="s">
        <v>74</v>
      </c>
      <c r="AI97" s="7" t="s">
        <v>74</v>
      </c>
      <c r="AJ97" s="7" t="s">
        <v>74</v>
      </c>
      <c r="AK97" s="7" t="s">
        <v>74</v>
      </c>
      <c r="AL97" s="7" t="s">
        <v>74</v>
      </c>
      <c r="AM97" s="7" t="s">
        <v>74</v>
      </c>
      <c r="AN97" s="7" t="s">
        <v>74</v>
      </c>
      <c r="AO97" s="7" t="s">
        <v>143</v>
      </c>
      <c r="AP97" s="7" t="s">
        <v>74</v>
      </c>
      <c r="AQ97" s="7" t="s">
        <v>74</v>
      </c>
      <c r="AR97" s="7" t="s">
        <v>74</v>
      </c>
      <c r="AS97" s="7" t="s">
        <v>74</v>
      </c>
      <c r="AT97" s="7" t="s">
        <v>145</v>
      </c>
      <c r="AU97" s="7">
        <v>2004</v>
      </c>
      <c r="AV97" s="7">
        <v>68</v>
      </c>
      <c r="AW97" s="7" t="s">
        <v>74</v>
      </c>
      <c r="AX97" s="7">
        <v>2</v>
      </c>
      <c r="AY97" s="7" t="s">
        <v>74</v>
      </c>
      <c r="AZ97" s="7" t="s">
        <v>74</v>
      </c>
      <c r="BA97" s="7" t="s">
        <v>74</v>
      </c>
      <c r="BB97" s="7">
        <v>273</v>
      </c>
      <c r="BC97" s="7">
        <v>282</v>
      </c>
      <c r="BD97" s="7" t="s">
        <v>74</v>
      </c>
      <c r="BE97" s="7" t="s">
        <v>2953</v>
      </c>
      <c r="BF97" s="7" t="str">
        <f>HYPERLINK("http://dx.doi.org/10.1016/j.anbehav.2003.11.010","http://dx.doi.org/10.1016/j.anbehav.2003.11.010")</f>
        <v>http://dx.doi.org/10.1016/j.anbehav.2003.11.010</v>
      </c>
      <c r="BG97" s="7" t="s">
        <v>74</v>
      </c>
      <c r="BH97" s="7" t="s">
        <v>74</v>
      </c>
      <c r="BI97" s="7" t="s">
        <v>74</v>
      </c>
      <c r="BJ97" s="7" t="s">
        <v>74</v>
      </c>
      <c r="BK97" s="7" t="s">
        <v>74</v>
      </c>
      <c r="BL97" s="7" t="s">
        <v>74</v>
      </c>
      <c r="BM97" s="7" t="s">
        <v>74</v>
      </c>
      <c r="BN97" s="7" t="s">
        <v>74</v>
      </c>
      <c r="BO97" s="7" t="s">
        <v>74</v>
      </c>
      <c r="BP97" s="7" t="s">
        <v>74</v>
      </c>
      <c r="BQ97" s="7" t="s">
        <v>74</v>
      </c>
      <c r="BR97" s="7" t="s">
        <v>74</v>
      </c>
      <c r="BS97" s="7" t="s">
        <v>2954</v>
      </c>
      <c r="BT97" s="7" t="str">
        <f>HYPERLINK("https%3A%2F%2Fwww.webofscience.com%2Fwos%2Fwoscc%2Ffull-record%2FWOS:000223614300006","View Full Record in Web of Science")</f>
        <v>View Full Record in Web of Science</v>
      </c>
    </row>
    <row r="98" spans="1:72" s="2" customFormat="1" x14ac:dyDescent="0.4">
      <c r="A98" s="7" t="s">
        <v>72</v>
      </c>
      <c r="B98" s="7" t="s">
        <v>4227</v>
      </c>
      <c r="C98" s="7" t="s">
        <v>74</v>
      </c>
      <c r="D98" s="7" t="s">
        <v>74</v>
      </c>
      <c r="E98" s="7" t="s">
        <v>74</v>
      </c>
      <c r="F98" s="7" t="s">
        <v>4227</v>
      </c>
      <c r="G98" s="7" t="s">
        <v>74</v>
      </c>
      <c r="H98" s="7" t="s">
        <v>74</v>
      </c>
      <c r="I98" s="7" t="s">
        <v>4228</v>
      </c>
      <c r="J98" s="7" t="s">
        <v>77</v>
      </c>
      <c r="K98" s="7" t="s">
        <v>74</v>
      </c>
      <c r="L98" s="7" t="s">
        <v>74</v>
      </c>
      <c r="M98" s="7" t="s">
        <v>74</v>
      </c>
      <c r="N98" s="7" t="s">
        <v>74</v>
      </c>
      <c r="O98" s="7" t="s">
        <v>74</v>
      </c>
      <c r="P98" s="7" t="s">
        <v>74</v>
      </c>
      <c r="Q98" s="7" t="s">
        <v>74</v>
      </c>
      <c r="R98" s="7" t="s">
        <v>74</v>
      </c>
      <c r="S98" s="7" t="s">
        <v>74</v>
      </c>
      <c r="T98" s="7" t="s">
        <v>74</v>
      </c>
      <c r="U98" s="7" t="s">
        <v>74</v>
      </c>
      <c r="V98" s="6" t="s">
        <v>4229</v>
      </c>
      <c r="W98" s="7" t="s">
        <v>74</v>
      </c>
      <c r="X98" s="7" t="s">
        <v>74</v>
      </c>
      <c r="Y98" s="7" t="s">
        <v>74</v>
      </c>
      <c r="Z98" s="7" t="s">
        <v>74</v>
      </c>
      <c r="AA98" s="7" t="s">
        <v>74</v>
      </c>
      <c r="AB98" s="7" t="s">
        <v>74</v>
      </c>
      <c r="AC98" s="7" t="s">
        <v>74</v>
      </c>
      <c r="AD98" s="7" t="s">
        <v>74</v>
      </c>
      <c r="AE98" s="7" t="s">
        <v>74</v>
      </c>
      <c r="AF98" s="7" t="s">
        <v>74</v>
      </c>
      <c r="AG98" s="7" t="s">
        <v>74</v>
      </c>
      <c r="AH98" s="7" t="s">
        <v>74</v>
      </c>
      <c r="AI98" s="7" t="s">
        <v>74</v>
      </c>
      <c r="AJ98" s="7" t="s">
        <v>74</v>
      </c>
      <c r="AK98" s="7" t="s">
        <v>74</v>
      </c>
      <c r="AL98" s="7" t="s">
        <v>74</v>
      </c>
      <c r="AM98" s="7" t="s">
        <v>74</v>
      </c>
      <c r="AN98" s="7" t="s">
        <v>74</v>
      </c>
      <c r="AO98" s="7" t="s">
        <v>81</v>
      </c>
      <c r="AP98" s="7" t="s">
        <v>82</v>
      </c>
      <c r="AQ98" s="7" t="s">
        <v>74</v>
      </c>
      <c r="AR98" s="7" t="s">
        <v>74</v>
      </c>
      <c r="AS98" s="7" t="s">
        <v>74</v>
      </c>
      <c r="AT98" s="7" t="s">
        <v>74</v>
      </c>
      <c r="AU98" s="7">
        <v>1978</v>
      </c>
      <c r="AV98" s="7">
        <v>64</v>
      </c>
      <c r="AW98" s="7" t="s">
        <v>74</v>
      </c>
      <c r="AX98" s="7" t="s">
        <v>1276</v>
      </c>
      <c r="AY98" s="7" t="s">
        <v>74</v>
      </c>
      <c r="AZ98" s="7" t="s">
        <v>74</v>
      </c>
      <c r="BA98" s="7" t="s">
        <v>74</v>
      </c>
      <c r="BB98" s="7">
        <v>271</v>
      </c>
      <c r="BC98" s="7">
        <v>297</v>
      </c>
      <c r="BD98" s="7" t="s">
        <v>74</v>
      </c>
      <c r="BE98" s="7" t="s">
        <v>4230</v>
      </c>
      <c r="BF98" s="7" t="str">
        <f>HYPERLINK("http://dx.doi.org/10.1163/156853978X00062","http://dx.doi.org/10.1163/156853978X00062")</f>
        <v>http://dx.doi.org/10.1163/156853978X00062</v>
      </c>
      <c r="BG98" s="7" t="s">
        <v>74</v>
      </c>
      <c r="BH98" s="7" t="s">
        <v>74</v>
      </c>
      <c r="BI98" s="7" t="s">
        <v>74</v>
      </c>
      <c r="BJ98" s="7" t="s">
        <v>74</v>
      </c>
      <c r="BK98" s="7" t="s">
        <v>74</v>
      </c>
      <c r="BL98" s="7" t="s">
        <v>74</v>
      </c>
      <c r="BM98" s="7" t="s">
        <v>74</v>
      </c>
      <c r="BN98" s="7">
        <v>566542</v>
      </c>
      <c r="BO98" s="7" t="s">
        <v>74</v>
      </c>
      <c r="BP98" s="7" t="s">
        <v>74</v>
      </c>
      <c r="BQ98" s="7" t="s">
        <v>74</v>
      </c>
      <c r="BR98" s="7" t="s">
        <v>74</v>
      </c>
      <c r="BS98" s="7" t="s">
        <v>4231</v>
      </c>
      <c r="BT98" s="7" t="str">
        <f>HYPERLINK("https%3A%2F%2Fwww.webofscience.com%2Fwos%2Fwoscc%2Ffull-record%2FWOS:A1978EY03400006","View Full Record in Web of Science")</f>
        <v>View Full Record in Web of Science</v>
      </c>
    </row>
    <row r="99" spans="1:72" s="7" customFormat="1" x14ac:dyDescent="0.4">
      <c r="A99" s="7" t="s">
        <v>72</v>
      </c>
      <c r="B99" s="7" t="s">
        <v>6117</v>
      </c>
      <c r="C99" s="7" t="s">
        <v>74</v>
      </c>
      <c r="D99" s="7" t="s">
        <v>74</v>
      </c>
      <c r="E99" s="7" t="s">
        <v>74</v>
      </c>
      <c r="F99" s="7" t="s">
        <v>6117</v>
      </c>
      <c r="G99" s="7" t="s">
        <v>74</v>
      </c>
      <c r="H99" s="7" t="s">
        <v>74</v>
      </c>
      <c r="I99" s="7" t="s">
        <v>6118</v>
      </c>
      <c r="J99" s="7" t="s">
        <v>431</v>
      </c>
      <c r="K99" s="7" t="s">
        <v>74</v>
      </c>
      <c r="L99" s="7" t="s">
        <v>74</v>
      </c>
      <c r="M99" s="7" t="s">
        <v>74</v>
      </c>
      <c r="N99" s="7" t="s">
        <v>74</v>
      </c>
      <c r="O99" s="7" t="s">
        <v>74</v>
      </c>
      <c r="P99" s="7" t="s">
        <v>74</v>
      </c>
      <c r="Q99" s="7" t="s">
        <v>74</v>
      </c>
      <c r="R99" s="7" t="s">
        <v>74</v>
      </c>
      <c r="S99" s="7" t="s">
        <v>74</v>
      </c>
      <c r="T99" s="7" t="s">
        <v>74</v>
      </c>
      <c r="U99" s="7" t="s">
        <v>74</v>
      </c>
      <c r="V99" s="6" t="s">
        <v>6119</v>
      </c>
      <c r="W99" s="7" t="s">
        <v>74</v>
      </c>
      <c r="X99" s="7" t="s">
        <v>74</v>
      </c>
      <c r="Y99" s="7" t="s">
        <v>74</v>
      </c>
      <c r="Z99" s="7" t="s">
        <v>74</v>
      </c>
      <c r="AA99" s="7" t="s">
        <v>74</v>
      </c>
      <c r="AB99" s="7" t="s">
        <v>74</v>
      </c>
      <c r="AC99" s="7" t="s">
        <v>74</v>
      </c>
      <c r="AD99" s="7" t="s">
        <v>74</v>
      </c>
      <c r="AE99" s="7" t="s">
        <v>74</v>
      </c>
      <c r="AF99" s="7" t="s">
        <v>74</v>
      </c>
      <c r="AG99" s="7" t="s">
        <v>74</v>
      </c>
      <c r="AH99" s="7" t="s">
        <v>74</v>
      </c>
      <c r="AI99" s="7" t="s">
        <v>74</v>
      </c>
      <c r="AJ99" s="7" t="s">
        <v>74</v>
      </c>
      <c r="AK99" s="7" t="s">
        <v>74</v>
      </c>
      <c r="AL99" s="7" t="s">
        <v>74</v>
      </c>
      <c r="AM99" s="7" t="s">
        <v>74</v>
      </c>
      <c r="AN99" s="7" t="s">
        <v>74</v>
      </c>
      <c r="AO99" s="7" t="s">
        <v>74</v>
      </c>
      <c r="AP99" s="7" t="s">
        <v>435</v>
      </c>
      <c r="AQ99" s="7" t="s">
        <v>74</v>
      </c>
      <c r="AR99" s="7" t="s">
        <v>74</v>
      </c>
      <c r="AS99" s="7" t="s">
        <v>74</v>
      </c>
      <c r="AT99" s="7" t="s">
        <v>175</v>
      </c>
      <c r="AU99" s="7">
        <v>1987</v>
      </c>
      <c r="AV99" s="7">
        <v>104</v>
      </c>
      <c r="AW99" s="7">
        <v>4</v>
      </c>
      <c r="AX99" s="7" t="s">
        <v>74</v>
      </c>
      <c r="AY99" s="7" t="s">
        <v>74</v>
      </c>
      <c r="AZ99" s="7" t="s">
        <v>74</v>
      </c>
      <c r="BA99" s="7" t="s">
        <v>74</v>
      </c>
      <c r="BB99" s="7">
        <v>717</v>
      </c>
      <c r="BC99" s="7">
        <v>723</v>
      </c>
      <c r="BD99" s="7" t="s">
        <v>74</v>
      </c>
      <c r="BE99" s="7" t="s">
        <v>6120</v>
      </c>
      <c r="BF99" s="7" t="str">
        <f>HYPERLINK("http://dx.doi.org/10.1093/auk/104.4.717","http://dx.doi.org/10.1093/auk/104.4.717")</f>
        <v>http://dx.doi.org/10.1093/auk/104.4.717</v>
      </c>
      <c r="BG99" s="7" t="s">
        <v>74</v>
      </c>
      <c r="BH99" s="7" t="s">
        <v>74</v>
      </c>
      <c r="BI99" s="7" t="s">
        <v>74</v>
      </c>
      <c r="BJ99" s="7" t="s">
        <v>74</v>
      </c>
      <c r="BK99" s="7" t="s">
        <v>74</v>
      </c>
      <c r="BL99" s="7" t="s">
        <v>74</v>
      </c>
      <c r="BM99" s="7" t="s">
        <v>74</v>
      </c>
      <c r="BN99" s="7" t="s">
        <v>74</v>
      </c>
      <c r="BO99" s="7" t="s">
        <v>74</v>
      </c>
      <c r="BP99" s="7" t="s">
        <v>74</v>
      </c>
      <c r="BQ99" s="7" t="s">
        <v>74</v>
      </c>
      <c r="BR99" s="7" t="s">
        <v>74</v>
      </c>
      <c r="BS99" s="7" t="s">
        <v>6121</v>
      </c>
      <c r="BT99" s="7" t="str">
        <f>HYPERLINK("https%3A%2F%2Fwww.webofscience.com%2Fwos%2Fwoscc%2Ffull-record%2FWOS:A1987K764400015","View Full Record in Web of Science")</f>
        <v>View Full Record in Web of Science</v>
      </c>
    </row>
    <row r="100" spans="1:72" s="2" customFormat="1" x14ac:dyDescent="0.4">
      <c r="A100" s="7" t="s">
        <v>72</v>
      </c>
      <c r="B100" s="7" t="s">
        <v>6276</v>
      </c>
      <c r="C100" s="7" t="s">
        <v>74</v>
      </c>
      <c r="D100" s="7" t="s">
        <v>74</v>
      </c>
      <c r="E100" s="7" t="s">
        <v>74</v>
      </c>
      <c r="F100" s="7" t="s">
        <v>6276</v>
      </c>
      <c r="G100" s="7" t="s">
        <v>74</v>
      </c>
      <c r="H100" s="7" t="s">
        <v>74</v>
      </c>
      <c r="I100" s="7" t="s">
        <v>6277</v>
      </c>
      <c r="J100" s="7" t="s">
        <v>6278</v>
      </c>
      <c r="K100" s="7" t="s">
        <v>74</v>
      </c>
      <c r="L100" s="7" t="s">
        <v>74</v>
      </c>
      <c r="M100" s="7" t="s">
        <v>74</v>
      </c>
      <c r="N100" s="7" t="s">
        <v>74</v>
      </c>
      <c r="O100" s="7" t="s">
        <v>74</v>
      </c>
      <c r="P100" s="7" t="s">
        <v>74</v>
      </c>
      <c r="Q100" s="7" t="s">
        <v>74</v>
      </c>
      <c r="R100" s="7" t="s">
        <v>74</v>
      </c>
      <c r="S100" s="7" t="s">
        <v>74</v>
      </c>
      <c r="T100" s="7" t="s">
        <v>74</v>
      </c>
      <c r="U100" s="7" t="s">
        <v>74</v>
      </c>
      <c r="V100" s="6" t="s">
        <v>6279</v>
      </c>
      <c r="W100" s="7" t="s">
        <v>74</v>
      </c>
      <c r="X100" s="7" t="s">
        <v>74</v>
      </c>
      <c r="Y100" s="7" t="s">
        <v>74</v>
      </c>
      <c r="Z100" s="7" t="s">
        <v>74</v>
      </c>
      <c r="AA100" s="7" t="s">
        <v>74</v>
      </c>
      <c r="AB100" s="7" t="s">
        <v>74</v>
      </c>
      <c r="AC100" s="7" t="s">
        <v>74</v>
      </c>
      <c r="AD100" s="7" t="s">
        <v>74</v>
      </c>
      <c r="AE100" s="7" t="s">
        <v>74</v>
      </c>
      <c r="AF100" s="7" t="s">
        <v>74</v>
      </c>
      <c r="AG100" s="7" t="s">
        <v>74</v>
      </c>
      <c r="AH100" s="7" t="s">
        <v>74</v>
      </c>
      <c r="AI100" s="7" t="s">
        <v>74</v>
      </c>
      <c r="AJ100" s="7" t="s">
        <v>74</v>
      </c>
      <c r="AK100" s="7" t="s">
        <v>74</v>
      </c>
      <c r="AL100" s="7" t="s">
        <v>74</v>
      </c>
      <c r="AM100" s="7" t="s">
        <v>74</v>
      </c>
      <c r="AN100" s="7" t="s">
        <v>74</v>
      </c>
      <c r="AO100" s="7" t="s">
        <v>6280</v>
      </c>
      <c r="AP100" s="7" t="s">
        <v>6281</v>
      </c>
      <c r="AQ100" s="7" t="s">
        <v>74</v>
      </c>
      <c r="AR100" s="7" t="s">
        <v>74</v>
      </c>
      <c r="AS100" s="7" t="s">
        <v>74</v>
      </c>
      <c r="AT100" s="7" t="s">
        <v>145</v>
      </c>
      <c r="AU100" s="7">
        <v>1989</v>
      </c>
      <c r="AV100" s="7">
        <v>46</v>
      </c>
      <c r="AW100" s="7">
        <v>8</v>
      </c>
      <c r="AX100" s="7" t="s">
        <v>74</v>
      </c>
      <c r="AY100" s="7" t="s">
        <v>74</v>
      </c>
      <c r="AZ100" s="7" t="s">
        <v>74</v>
      </c>
      <c r="BA100" s="7" t="s">
        <v>74</v>
      </c>
      <c r="BB100" s="7">
        <v>1406</v>
      </c>
      <c r="BC100" s="7">
        <v>1414</v>
      </c>
      <c r="BD100" s="7" t="s">
        <v>74</v>
      </c>
      <c r="BE100" s="7" t="s">
        <v>6282</v>
      </c>
      <c r="BF100" s="7" t="str">
        <f>HYPERLINK("http://dx.doi.org/10.1139/f89-180","http://dx.doi.org/10.1139/f89-180")</f>
        <v>http://dx.doi.org/10.1139/f89-180</v>
      </c>
      <c r="BG100" s="7" t="s">
        <v>74</v>
      </c>
      <c r="BH100" s="7" t="s">
        <v>74</v>
      </c>
      <c r="BI100" s="7" t="s">
        <v>74</v>
      </c>
      <c r="BJ100" s="7" t="s">
        <v>74</v>
      </c>
      <c r="BK100" s="7" t="s">
        <v>74</v>
      </c>
      <c r="BL100" s="7" t="s">
        <v>74</v>
      </c>
      <c r="BM100" s="7" t="s">
        <v>74</v>
      </c>
      <c r="BN100" s="7" t="s">
        <v>74</v>
      </c>
      <c r="BO100" s="7" t="s">
        <v>74</v>
      </c>
      <c r="BP100" s="7" t="s">
        <v>74</v>
      </c>
      <c r="BQ100" s="7" t="s">
        <v>74</v>
      </c>
      <c r="BR100" s="7" t="s">
        <v>74</v>
      </c>
      <c r="BS100" s="7" t="s">
        <v>6283</v>
      </c>
      <c r="BT100" s="7" t="str">
        <f>HYPERLINK("https%3A%2F%2Fwww.webofscience.com%2Fwos%2Fwoscc%2Ffull-record%2FWOS:A1989AJ57000018","View Full Record in Web of Science")</f>
        <v>View Full Record in Web of Science</v>
      </c>
    </row>
    <row r="101" spans="1:72" s="2" customFormat="1" x14ac:dyDescent="0.4">
      <c r="A101" s="7" t="s">
        <v>72</v>
      </c>
      <c r="B101" s="7" t="s">
        <v>515</v>
      </c>
      <c r="C101" s="7" t="s">
        <v>74</v>
      </c>
      <c r="D101" s="7" t="s">
        <v>74</v>
      </c>
      <c r="E101" s="7" t="s">
        <v>74</v>
      </c>
      <c r="F101" s="7" t="s">
        <v>515</v>
      </c>
      <c r="G101" s="7" t="s">
        <v>74</v>
      </c>
      <c r="H101" s="7" t="s">
        <v>74</v>
      </c>
      <c r="I101" s="7" t="s">
        <v>516</v>
      </c>
      <c r="J101" s="7" t="s">
        <v>517</v>
      </c>
      <c r="K101" s="7" t="s">
        <v>74</v>
      </c>
      <c r="L101" s="7" t="s">
        <v>74</v>
      </c>
      <c r="M101" s="7" t="s">
        <v>74</v>
      </c>
      <c r="N101" s="7" t="s">
        <v>74</v>
      </c>
      <c r="O101" s="7" t="s">
        <v>518</v>
      </c>
      <c r="P101" s="7" t="s">
        <v>519</v>
      </c>
      <c r="Q101" s="7" t="s">
        <v>520</v>
      </c>
      <c r="R101" s="7" t="s">
        <v>521</v>
      </c>
      <c r="S101" s="7" t="s">
        <v>74</v>
      </c>
      <c r="T101" s="7" t="s">
        <v>74</v>
      </c>
      <c r="U101" s="7" t="s">
        <v>74</v>
      </c>
      <c r="V101" s="6" t="s">
        <v>522</v>
      </c>
      <c r="W101" s="7" t="s">
        <v>74</v>
      </c>
      <c r="X101" s="7" t="s">
        <v>74</v>
      </c>
      <c r="Y101" s="7" t="s">
        <v>74</v>
      </c>
      <c r="Z101" s="7" t="s">
        <v>74</v>
      </c>
      <c r="AA101" s="7" t="s">
        <v>523</v>
      </c>
      <c r="AB101" s="7" t="s">
        <v>524</v>
      </c>
      <c r="AC101" s="7" t="s">
        <v>74</v>
      </c>
      <c r="AD101" s="7" t="s">
        <v>74</v>
      </c>
      <c r="AE101" s="7" t="s">
        <v>74</v>
      </c>
      <c r="AF101" s="7" t="s">
        <v>74</v>
      </c>
      <c r="AG101" s="7" t="s">
        <v>74</v>
      </c>
      <c r="AH101" s="7" t="s">
        <v>74</v>
      </c>
      <c r="AI101" s="7" t="s">
        <v>74</v>
      </c>
      <c r="AJ101" s="7" t="s">
        <v>74</v>
      </c>
      <c r="AK101" s="7" t="s">
        <v>74</v>
      </c>
      <c r="AL101" s="7" t="s">
        <v>74</v>
      </c>
      <c r="AM101" s="7" t="s">
        <v>74</v>
      </c>
      <c r="AN101" s="7" t="s">
        <v>74</v>
      </c>
      <c r="AO101" s="7" t="s">
        <v>525</v>
      </c>
      <c r="AP101" s="7" t="s">
        <v>74</v>
      </c>
      <c r="AQ101" s="7" t="s">
        <v>74</v>
      </c>
      <c r="AR101" s="7" t="s">
        <v>74</v>
      </c>
      <c r="AS101" s="7" t="s">
        <v>74</v>
      </c>
      <c r="AT101" s="7" t="s">
        <v>305</v>
      </c>
      <c r="AU101" s="7">
        <v>2003</v>
      </c>
      <c r="AV101" s="7">
        <v>36</v>
      </c>
      <c r="AW101" s="7">
        <v>12</v>
      </c>
      <c r="AX101" s="7" t="s">
        <v>74</v>
      </c>
      <c r="AY101" s="7" t="s">
        <v>74</v>
      </c>
      <c r="AZ101" s="7" t="s">
        <v>74</v>
      </c>
      <c r="BA101" s="7" t="s">
        <v>74</v>
      </c>
      <c r="BB101" s="7">
        <v>1659</v>
      </c>
      <c r="BC101" s="7">
        <v>1663</v>
      </c>
      <c r="BD101" s="7" t="s">
        <v>74</v>
      </c>
      <c r="BE101" s="7" t="s">
        <v>526</v>
      </c>
      <c r="BF101" s="7" t="str">
        <f>HYPERLINK("http://dx.doi.org/10.1590/S0100-879X2003001200007","http://dx.doi.org/10.1590/S0100-879X2003001200007")</f>
        <v>http://dx.doi.org/10.1590/S0100-879X2003001200007</v>
      </c>
      <c r="BG101" s="7" t="s">
        <v>74</v>
      </c>
      <c r="BH101" s="7" t="s">
        <v>74</v>
      </c>
      <c r="BI101" s="7" t="s">
        <v>74</v>
      </c>
      <c r="BJ101" s="7" t="s">
        <v>74</v>
      </c>
      <c r="BK101" s="7" t="s">
        <v>74</v>
      </c>
      <c r="BL101" s="7" t="s">
        <v>74</v>
      </c>
      <c r="BM101" s="7" t="s">
        <v>74</v>
      </c>
      <c r="BN101" s="7">
        <v>14666250</v>
      </c>
      <c r="BO101" s="7" t="s">
        <v>74</v>
      </c>
      <c r="BP101" s="7" t="s">
        <v>74</v>
      </c>
      <c r="BQ101" s="7" t="s">
        <v>74</v>
      </c>
      <c r="BR101" s="7" t="s">
        <v>74</v>
      </c>
      <c r="BS101" s="7" t="s">
        <v>527</v>
      </c>
      <c r="BT101" s="7" t="str">
        <f>HYPERLINK("https%3A%2F%2Fwww.webofscience.com%2Fwos%2Fwoscc%2Ffull-record%2FWOS:000187175000007","View Full Record in Web of Science")</f>
        <v>View Full Record in Web of Science</v>
      </c>
    </row>
    <row r="102" spans="1:72" s="2" customFormat="1" x14ac:dyDescent="0.4">
      <c r="A102" s="7" t="s">
        <v>72</v>
      </c>
      <c r="B102" s="7" t="s">
        <v>1734</v>
      </c>
      <c r="C102" s="7" t="s">
        <v>74</v>
      </c>
      <c r="D102" s="7" t="s">
        <v>74</v>
      </c>
      <c r="E102" s="7" t="s">
        <v>74</v>
      </c>
      <c r="F102" s="7" t="s">
        <v>1735</v>
      </c>
      <c r="G102" s="7" t="s">
        <v>74</v>
      </c>
      <c r="H102" s="7" t="s">
        <v>74</v>
      </c>
      <c r="I102" s="7" t="s">
        <v>1736</v>
      </c>
      <c r="J102" s="7" t="s">
        <v>610</v>
      </c>
      <c r="K102" s="7" t="s">
        <v>74</v>
      </c>
      <c r="L102" s="7" t="s">
        <v>74</v>
      </c>
      <c r="M102" s="7" t="s">
        <v>74</v>
      </c>
      <c r="N102" s="7" t="s">
        <v>74</v>
      </c>
      <c r="O102" s="7" t="s">
        <v>74</v>
      </c>
      <c r="P102" s="7" t="s">
        <v>74</v>
      </c>
      <c r="Q102" s="7" t="s">
        <v>74</v>
      </c>
      <c r="R102" s="7" t="s">
        <v>74</v>
      </c>
      <c r="S102" s="7" t="s">
        <v>74</v>
      </c>
      <c r="T102" s="7" t="s">
        <v>74</v>
      </c>
      <c r="U102" s="7" t="s">
        <v>74</v>
      </c>
      <c r="V102" s="6" t="s">
        <v>1737</v>
      </c>
      <c r="W102" s="7" t="s">
        <v>74</v>
      </c>
      <c r="X102" s="7" t="s">
        <v>74</v>
      </c>
      <c r="Y102" s="7" t="s">
        <v>74</v>
      </c>
      <c r="Z102" s="7" t="s">
        <v>74</v>
      </c>
      <c r="AA102" s="7" t="s">
        <v>589</v>
      </c>
      <c r="AB102" s="7" t="s">
        <v>590</v>
      </c>
      <c r="AC102" s="7" t="s">
        <v>74</v>
      </c>
      <c r="AD102" s="7" t="s">
        <v>74</v>
      </c>
      <c r="AE102" s="7" t="s">
        <v>74</v>
      </c>
      <c r="AF102" s="7" t="s">
        <v>74</v>
      </c>
      <c r="AG102" s="7" t="s">
        <v>74</v>
      </c>
      <c r="AH102" s="7" t="s">
        <v>74</v>
      </c>
      <c r="AI102" s="7" t="s">
        <v>74</v>
      </c>
      <c r="AJ102" s="7" t="s">
        <v>74</v>
      </c>
      <c r="AK102" s="7" t="s">
        <v>74</v>
      </c>
      <c r="AL102" s="7" t="s">
        <v>74</v>
      </c>
      <c r="AM102" s="7" t="s">
        <v>74</v>
      </c>
      <c r="AN102" s="7" t="s">
        <v>74</v>
      </c>
      <c r="AO102" s="7" t="s">
        <v>614</v>
      </c>
      <c r="AP102" s="7" t="s">
        <v>615</v>
      </c>
      <c r="AQ102" s="7" t="s">
        <v>74</v>
      </c>
      <c r="AR102" s="7" t="s">
        <v>74</v>
      </c>
      <c r="AS102" s="7" t="s">
        <v>74</v>
      </c>
      <c r="AT102" s="7" t="s">
        <v>305</v>
      </c>
      <c r="AU102" s="7">
        <v>2020</v>
      </c>
      <c r="AV102" s="7">
        <v>126</v>
      </c>
      <c r="AW102" s="7">
        <v>12</v>
      </c>
      <c r="AX102" s="7" t="s">
        <v>74</v>
      </c>
      <c r="AY102" s="7" t="s">
        <v>74</v>
      </c>
      <c r="AZ102" s="7" t="s">
        <v>74</v>
      </c>
      <c r="BA102" s="7" t="s">
        <v>74</v>
      </c>
      <c r="BB102" s="7">
        <v>1131</v>
      </c>
      <c r="BC102" s="7">
        <v>1140</v>
      </c>
      <c r="BD102" s="7" t="s">
        <v>74</v>
      </c>
      <c r="BE102" s="7" t="s">
        <v>1738</v>
      </c>
      <c r="BF102" s="7" t="str">
        <f>HYPERLINK("http://dx.doi.org/10.1111/eth.13093","http://dx.doi.org/10.1111/eth.13093")</f>
        <v>http://dx.doi.org/10.1111/eth.13093</v>
      </c>
      <c r="BG102" s="7" t="s">
        <v>74</v>
      </c>
      <c r="BH102" s="7" t="s">
        <v>1067</v>
      </c>
      <c r="BI102" s="7" t="s">
        <v>74</v>
      </c>
      <c r="BJ102" s="7" t="s">
        <v>74</v>
      </c>
      <c r="BK102" s="7" t="s">
        <v>74</v>
      </c>
      <c r="BL102" s="7" t="s">
        <v>74</v>
      </c>
      <c r="BM102" s="7" t="s">
        <v>74</v>
      </c>
      <c r="BN102" s="7" t="s">
        <v>74</v>
      </c>
      <c r="BO102" s="7" t="s">
        <v>74</v>
      </c>
      <c r="BP102" s="7" t="s">
        <v>74</v>
      </c>
      <c r="BQ102" s="7" t="s">
        <v>74</v>
      </c>
      <c r="BR102" s="7" t="s">
        <v>74</v>
      </c>
      <c r="BS102" s="7" t="s">
        <v>1739</v>
      </c>
      <c r="BT102" s="7" t="str">
        <f>HYPERLINK("https%3A%2F%2Fwww.webofscience.com%2Fwos%2Fwoscc%2Ffull-record%2FWOS:000572325900001","View Full Record in Web of Science")</f>
        <v>View Full Record in Web of Science</v>
      </c>
    </row>
    <row r="103" spans="1:72" s="2" customFormat="1" x14ac:dyDescent="0.4">
      <c r="A103" s="2" t="s">
        <v>72</v>
      </c>
      <c r="B103" s="2" t="s">
        <v>3562</v>
      </c>
      <c r="C103" s="2" t="s">
        <v>74</v>
      </c>
      <c r="D103" s="2" t="s">
        <v>74</v>
      </c>
      <c r="E103" s="2" t="s">
        <v>74</v>
      </c>
      <c r="F103" s="2" t="s">
        <v>3563</v>
      </c>
      <c r="G103" s="2" t="s">
        <v>74</v>
      </c>
      <c r="H103" s="2" t="s">
        <v>74</v>
      </c>
      <c r="I103" s="2" t="s">
        <v>3564</v>
      </c>
      <c r="J103" s="2" t="s">
        <v>129</v>
      </c>
      <c r="K103" s="2" t="s">
        <v>74</v>
      </c>
      <c r="L103" s="2" t="s">
        <v>74</v>
      </c>
      <c r="M103" s="2" t="s">
        <v>74</v>
      </c>
      <c r="N103" s="2" t="s">
        <v>74</v>
      </c>
      <c r="O103" s="2" t="s">
        <v>74</v>
      </c>
      <c r="P103" s="2" t="s">
        <v>74</v>
      </c>
      <c r="Q103" s="2" t="s">
        <v>74</v>
      </c>
      <c r="R103" s="2" t="s">
        <v>74</v>
      </c>
      <c r="S103" s="2" t="s">
        <v>74</v>
      </c>
      <c r="T103" s="2" t="s">
        <v>74</v>
      </c>
      <c r="U103" s="2" t="s">
        <v>74</v>
      </c>
      <c r="V103" s="5" t="s">
        <v>3565</v>
      </c>
      <c r="W103" s="2" t="s">
        <v>74</v>
      </c>
      <c r="X103" s="2" t="s">
        <v>74</v>
      </c>
      <c r="Y103" s="2" t="s">
        <v>74</v>
      </c>
      <c r="Z103" s="2" t="s">
        <v>74</v>
      </c>
      <c r="AA103" s="2" t="s">
        <v>3566</v>
      </c>
      <c r="AB103" s="2" t="s">
        <v>3567</v>
      </c>
      <c r="AC103" s="2" t="s">
        <v>74</v>
      </c>
      <c r="AD103" s="2" t="s">
        <v>74</v>
      </c>
      <c r="AE103" s="2" t="s">
        <v>74</v>
      </c>
      <c r="AF103" s="2" t="s">
        <v>74</v>
      </c>
      <c r="AG103" s="2" t="s">
        <v>74</v>
      </c>
      <c r="AH103" s="2" t="s">
        <v>74</v>
      </c>
      <c r="AI103" s="2" t="s">
        <v>74</v>
      </c>
      <c r="AJ103" s="2" t="s">
        <v>74</v>
      </c>
      <c r="AK103" s="2" t="s">
        <v>74</v>
      </c>
      <c r="AL103" s="2" t="s">
        <v>74</v>
      </c>
      <c r="AM103" s="2" t="s">
        <v>74</v>
      </c>
      <c r="AN103" s="2" t="s">
        <v>74</v>
      </c>
      <c r="AO103" s="2" t="s">
        <v>132</v>
      </c>
      <c r="AP103" s="2" t="s">
        <v>133</v>
      </c>
      <c r="AQ103" s="2" t="s">
        <v>74</v>
      </c>
      <c r="AR103" s="2" t="s">
        <v>74</v>
      </c>
      <c r="AS103" s="2" t="s">
        <v>74</v>
      </c>
      <c r="AT103" s="2" t="s">
        <v>204</v>
      </c>
      <c r="AU103" s="2">
        <v>2018</v>
      </c>
      <c r="AV103" s="2">
        <v>72</v>
      </c>
      <c r="AW103" s="2">
        <v>7</v>
      </c>
      <c r="AX103" s="2" t="s">
        <v>74</v>
      </c>
      <c r="AY103" s="2" t="s">
        <v>74</v>
      </c>
      <c r="AZ103" s="2" t="s">
        <v>74</v>
      </c>
      <c r="BA103" s="2" t="s">
        <v>74</v>
      </c>
      <c r="BB103" s="2" t="s">
        <v>74</v>
      </c>
      <c r="BC103" s="2" t="s">
        <v>74</v>
      </c>
      <c r="BD103" s="2">
        <v>122</v>
      </c>
      <c r="BE103" s="2" t="s">
        <v>3568</v>
      </c>
      <c r="BF103" s="2" t="str">
        <f>HYPERLINK("http://dx.doi.org/10.1007/s00265-018-2537-z","http://dx.doi.org/10.1007/s00265-018-2537-z")</f>
        <v>http://dx.doi.org/10.1007/s00265-018-2537-z</v>
      </c>
      <c r="BG103" s="2" t="s">
        <v>74</v>
      </c>
      <c r="BH103" s="2" t="s">
        <v>74</v>
      </c>
      <c r="BI103" s="2" t="s">
        <v>74</v>
      </c>
      <c r="BJ103" s="2" t="s">
        <v>74</v>
      </c>
      <c r="BK103" s="2" t="s">
        <v>74</v>
      </c>
      <c r="BL103" s="2" t="s">
        <v>74</v>
      </c>
      <c r="BM103" s="2" t="s">
        <v>74</v>
      </c>
      <c r="BN103" s="2" t="s">
        <v>74</v>
      </c>
      <c r="BO103" s="2" t="s">
        <v>74</v>
      </c>
      <c r="BP103" s="2" t="s">
        <v>74</v>
      </c>
      <c r="BQ103" s="2" t="s">
        <v>74</v>
      </c>
      <c r="BR103" s="2" t="s">
        <v>74</v>
      </c>
      <c r="BS103" s="2" t="s">
        <v>3569</v>
      </c>
      <c r="BT103" s="2" t="str">
        <f>HYPERLINK("https%3A%2F%2Fwww.webofscience.com%2Fwos%2Fwoscc%2Ffull-record%2FWOS:000437169600001","View Full Record in Web of Science")</f>
        <v>View Full Record in Web of Science</v>
      </c>
    </row>
    <row r="104" spans="1:72" s="2" customFormat="1" x14ac:dyDescent="0.4">
      <c r="A104" s="2" t="s">
        <v>72</v>
      </c>
      <c r="B104" s="2" t="s">
        <v>5798</v>
      </c>
      <c r="C104" s="2" t="s">
        <v>74</v>
      </c>
      <c r="D104" s="2" t="s">
        <v>74</v>
      </c>
      <c r="E104" s="2" t="s">
        <v>74</v>
      </c>
      <c r="F104" s="2" t="s">
        <v>5799</v>
      </c>
      <c r="G104" s="2" t="s">
        <v>74</v>
      </c>
      <c r="H104" s="2" t="s">
        <v>74</v>
      </c>
      <c r="I104" s="2" t="s">
        <v>5800</v>
      </c>
      <c r="J104" s="2" t="s">
        <v>763</v>
      </c>
      <c r="K104" s="2" t="s">
        <v>74</v>
      </c>
      <c r="L104" s="2" t="s">
        <v>74</v>
      </c>
      <c r="M104" s="2" t="s">
        <v>74</v>
      </c>
      <c r="N104" s="2" t="s">
        <v>74</v>
      </c>
      <c r="O104" s="2" t="s">
        <v>74</v>
      </c>
      <c r="P104" s="2" t="s">
        <v>74</v>
      </c>
      <c r="Q104" s="2" t="s">
        <v>74</v>
      </c>
      <c r="R104" s="2" t="s">
        <v>74</v>
      </c>
      <c r="S104" s="2" t="s">
        <v>74</v>
      </c>
      <c r="T104" s="2" t="s">
        <v>74</v>
      </c>
      <c r="U104" s="2" t="s">
        <v>74</v>
      </c>
      <c r="V104" s="5" t="s">
        <v>5801</v>
      </c>
      <c r="W104" s="2" t="s">
        <v>74</v>
      </c>
      <c r="X104" s="2" t="s">
        <v>74</v>
      </c>
      <c r="Y104" s="2" t="s">
        <v>74</v>
      </c>
      <c r="Z104" s="2" t="s">
        <v>74</v>
      </c>
      <c r="AA104" s="2" t="s">
        <v>74</v>
      </c>
      <c r="AB104" s="2" t="s">
        <v>5802</v>
      </c>
      <c r="AC104" s="2" t="s">
        <v>74</v>
      </c>
      <c r="AD104" s="2" t="s">
        <v>74</v>
      </c>
      <c r="AE104" s="2" t="s">
        <v>74</v>
      </c>
      <c r="AF104" s="2" t="s">
        <v>74</v>
      </c>
      <c r="AG104" s="2" t="s">
        <v>74</v>
      </c>
      <c r="AH104" s="2" t="s">
        <v>74</v>
      </c>
      <c r="AI104" s="2" t="s">
        <v>74</v>
      </c>
      <c r="AJ104" s="2" t="s">
        <v>74</v>
      </c>
      <c r="AK104" s="2" t="s">
        <v>74</v>
      </c>
      <c r="AL104" s="2" t="s">
        <v>74</v>
      </c>
      <c r="AM104" s="2" t="s">
        <v>74</v>
      </c>
      <c r="AN104" s="2" t="s">
        <v>74</v>
      </c>
      <c r="AO104" s="2" t="s">
        <v>767</v>
      </c>
      <c r="AP104" s="2" t="s">
        <v>768</v>
      </c>
      <c r="AQ104" s="2" t="s">
        <v>74</v>
      </c>
      <c r="AR104" s="2" t="s">
        <v>74</v>
      </c>
      <c r="AS104" s="2" t="s">
        <v>74</v>
      </c>
      <c r="AT104" s="2" t="s">
        <v>145</v>
      </c>
      <c r="AU104" s="2">
        <v>2019</v>
      </c>
      <c r="AV104" s="2">
        <v>222</v>
      </c>
      <c r="AW104" s="2">
        <v>16</v>
      </c>
      <c r="AX104" s="2" t="s">
        <v>74</v>
      </c>
      <c r="AY104" s="2" t="s">
        <v>74</v>
      </c>
      <c r="AZ104" s="2" t="s">
        <v>74</v>
      </c>
      <c r="BA104" s="2" t="s">
        <v>74</v>
      </c>
      <c r="BB104" s="2" t="s">
        <v>74</v>
      </c>
      <c r="BC104" s="2" t="s">
        <v>74</v>
      </c>
      <c r="BD104" s="2" t="s">
        <v>5803</v>
      </c>
      <c r="BE104" s="2" t="s">
        <v>5804</v>
      </c>
      <c r="BF104" s="2" t="str">
        <f>HYPERLINK("http://dx.doi.org/10.1242/jeb.203414","http://dx.doi.org/10.1242/jeb.203414")</f>
        <v>http://dx.doi.org/10.1242/jeb.203414</v>
      </c>
      <c r="BG104" s="2" t="s">
        <v>74</v>
      </c>
      <c r="BH104" s="2" t="s">
        <v>74</v>
      </c>
      <c r="BI104" s="2" t="s">
        <v>74</v>
      </c>
      <c r="BJ104" s="2" t="s">
        <v>74</v>
      </c>
      <c r="BK104" s="2" t="s">
        <v>74</v>
      </c>
      <c r="BL104" s="2" t="s">
        <v>74</v>
      </c>
      <c r="BM104" s="2" t="s">
        <v>74</v>
      </c>
      <c r="BN104" s="2">
        <v>31315932</v>
      </c>
      <c r="BO104" s="2" t="s">
        <v>74</v>
      </c>
      <c r="BP104" s="2" t="s">
        <v>74</v>
      </c>
      <c r="BQ104" s="2" t="s">
        <v>74</v>
      </c>
      <c r="BR104" s="2" t="s">
        <v>74</v>
      </c>
      <c r="BS104" s="2" t="s">
        <v>5805</v>
      </c>
      <c r="BT104" s="2" t="str">
        <f>HYPERLINK("https%3A%2F%2Fwww.webofscience.com%2Fwos%2Fwoscc%2Ffull-record%2FWOS:000484368200006","View Full Record in Web of Science")</f>
        <v>View Full Record in Web of Science</v>
      </c>
    </row>
    <row r="105" spans="1:72" s="2" customFormat="1" x14ac:dyDescent="0.4">
      <c r="A105" s="2" t="s">
        <v>72</v>
      </c>
      <c r="B105" s="2" t="s">
        <v>6731</v>
      </c>
      <c r="C105" s="2" t="s">
        <v>74</v>
      </c>
      <c r="D105" s="2" t="s">
        <v>74</v>
      </c>
      <c r="E105" s="2" t="s">
        <v>74</v>
      </c>
      <c r="F105" s="2" t="s">
        <v>6732</v>
      </c>
      <c r="G105" s="2" t="s">
        <v>74</v>
      </c>
      <c r="H105" s="2" t="s">
        <v>74</v>
      </c>
      <c r="I105" s="2" t="s">
        <v>6733</v>
      </c>
      <c r="J105" s="2" t="s">
        <v>1656</v>
      </c>
      <c r="K105" s="2" t="s">
        <v>74</v>
      </c>
      <c r="L105" s="2" t="s">
        <v>74</v>
      </c>
      <c r="M105" s="2" t="s">
        <v>74</v>
      </c>
      <c r="N105" s="2" t="s">
        <v>74</v>
      </c>
      <c r="O105" s="2" t="s">
        <v>74</v>
      </c>
      <c r="P105" s="2" t="s">
        <v>74</v>
      </c>
      <c r="Q105" s="2" t="s">
        <v>74</v>
      </c>
      <c r="R105" s="2" t="s">
        <v>74</v>
      </c>
      <c r="S105" s="2" t="s">
        <v>74</v>
      </c>
      <c r="T105" s="2" t="s">
        <v>74</v>
      </c>
      <c r="U105" s="2" t="s">
        <v>74</v>
      </c>
      <c r="V105" s="5" t="s">
        <v>6734</v>
      </c>
      <c r="W105" s="2" t="s">
        <v>74</v>
      </c>
      <c r="X105" s="2" t="s">
        <v>74</v>
      </c>
      <c r="Y105" s="2" t="s">
        <v>74</v>
      </c>
      <c r="Z105" s="2" t="s">
        <v>74</v>
      </c>
      <c r="AA105" s="2" t="s">
        <v>6735</v>
      </c>
      <c r="AB105" s="2" t="s">
        <v>6736</v>
      </c>
      <c r="AC105" s="2" t="s">
        <v>74</v>
      </c>
      <c r="AD105" s="2" t="s">
        <v>74</v>
      </c>
      <c r="AE105" s="2" t="s">
        <v>74</v>
      </c>
      <c r="AF105" s="2" t="s">
        <v>74</v>
      </c>
      <c r="AG105" s="2" t="s">
        <v>74</v>
      </c>
      <c r="AH105" s="2" t="s">
        <v>74</v>
      </c>
      <c r="AI105" s="2" t="s">
        <v>74</v>
      </c>
      <c r="AJ105" s="2" t="s">
        <v>74</v>
      </c>
      <c r="AK105" s="2" t="s">
        <v>74</v>
      </c>
      <c r="AL105" s="2" t="s">
        <v>74</v>
      </c>
      <c r="AM105" s="2" t="s">
        <v>74</v>
      </c>
      <c r="AN105" s="2" t="s">
        <v>74</v>
      </c>
      <c r="AO105" s="2" t="s">
        <v>1658</v>
      </c>
      <c r="AP105" s="2" t="s">
        <v>1659</v>
      </c>
      <c r="AQ105" s="2" t="s">
        <v>74</v>
      </c>
      <c r="AR105" s="2" t="s">
        <v>74</v>
      </c>
      <c r="AS105" s="2" t="s">
        <v>74</v>
      </c>
      <c r="AT105" s="2" t="s">
        <v>4744</v>
      </c>
      <c r="AU105" s="2">
        <v>2017</v>
      </c>
      <c r="AV105" s="2">
        <v>4317</v>
      </c>
      <c r="AW105" s="2">
        <v>1</v>
      </c>
      <c r="AX105" s="2" t="s">
        <v>74</v>
      </c>
      <c r="AY105" s="2" t="s">
        <v>74</v>
      </c>
      <c r="AZ105" s="2" t="s">
        <v>74</v>
      </c>
      <c r="BA105" s="2" t="s">
        <v>74</v>
      </c>
      <c r="BB105" s="2">
        <v>1</v>
      </c>
      <c r="BC105" s="2">
        <v>44</v>
      </c>
      <c r="BD105" s="2" t="s">
        <v>74</v>
      </c>
      <c r="BE105" s="2" t="s">
        <v>6737</v>
      </c>
      <c r="BF105" s="2" t="str">
        <f>HYPERLINK("http://dx.doi.org/10.11646/zootaxa.4317.1.1","http://dx.doi.org/10.11646/zootaxa.4317.1.1")</f>
        <v>http://dx.doi.org/10.11646/zootaxa.4317.1.1</v>
      </c>
      <c r="BG105" s="2" t="s">
        <v>74</v>
      </c>
      <c r="BH105" s="2" t="s">
        <v>74</v>
      </c>
      <c r="BI105" s="2" t="s">
        <v>74</v>
      </c>
      <c r="BJ105" s="2" t="s">
        <v>74</v>
      </c>
      <c r="BK105" s="2" t="s">
        <v>74</v>
      </c>
      <c r="BL105" s="2" t="s">
        <v>74</v>
      </c>
      <c r="BM105" s="2" t="s">
        <v>74</v>
      </c>
      <c r="BN105" s="2" t="s">
        <v>74</v>
      </c>
      <c r="BO105" s="2" t="s">
        <v>74</v>
      </c>
      <c r="BP105" s="2" t="s">
        <v>74</v>
      </c>
      <c r="BQ105" s="2" t="s">
        <v>74</v>
      </c>
      <c r="BR105" s="2" t="s">
        <v>74</v>
      </c>
      <c r="BS105" s="2" t="s">
        <v>6738</v>
      </c>
      <c r="BT105" s="2" t="str">
        <f>HYPERLINK("https%3A%2F%2Fwww.webofscience.com%2Fwos%2Fwoscc%2Ffull-record%2FWOS:000408796800001","View Full Record in Web of Science")</f>
        <v>View Full Record in Web of Science</v>
      </c>
    </row>
    <row r="106" spans="1:72" s="2" customFormat="1" x14ac:dyDescent="0.4">
      <c r="A106" s="2" t="s">
        <v>72</v>
      </c>
      <c r="B106" s="2" t="s">
        <v>2386</v>
      </c>
      <c r="C106" s="2" t="s">
        <v>74</v>
      </c>
      <c r="D106" s="2" t="s">
        <v>74</v>
      </c>
      <c r="E106" s="2" t="s">
        <v>74</v>
      </c>
      <c r="F106" s="2" t="s">
        <v>2387</v>
      </c>
      <c r="G106" s="2" t="s">
        <v>74</v>
      </c>
      <c r="H106" s="2" t="s">
        <v>74</v>
      </c>
      <c r="I106" s="2" t="s">
        <v>2388</v>
      </c>
      <c r="J106" s="2" t="s">
        <v>1755</v>
      </c>
      <c r="K106" s="2" t="s">
        <v>74</v>
      </c>
      <c r="L106" s="2" t="s">
        <v>74</v>
      </c>
      <c r="M106" s="2" t="s">
        <v>74</v>
      </c>
      <c r="N106" s="2" t="s">
        <v>74</v>
      </c>
      <c r="O106" s="2" t="s">
        <v>74</v>
      </c>
      <c r="P106" s="2" t="s">
        <v>74</v>
      </c>
      <c r="Q106" s="2" t="s">
        <v>74</v>
      </c>
      <c r="R106" s="2" t="s">
        <v>74</v>
      </c>
      <c r="S106" s="2" t="s">
        <v>74</v>
      </c>
      <c r="T106" s="2" t="s">
        <v>74</v>
      </c>
      <c r="U106" s="2" t="s">
        <v>74</v>
      </c>
      <c r="V106" s="5" t="s">
        <v>2389</v>
      </c>
      <c r="W106" s="2" t="s">
        <v>74</v>
      </c>
      <c r="X106" s="2" t="s">
        <v>74</v>
      </c>
      <c r="Y106" s="2" t="s">
        <v>74</v>
      </c>
      <c r="Z106" s="2" t="s">
        <v>74</v>
      </c>
      <c r="AA106" s="2" t="s">
        <v>74</v>
      </c>
      <c r="AB106" s="2" t="s">
        <v>2390</v>
      </c>
      <c r="AC106" s="2" t="s">
        <v>74</v>
      </c>
      <c r="AD106" s="2" t="s">
        <v>74</v>
      </c>
      <c r="AE106" s="2" t="s">
        <v>74</v>
      </c>
      <c r="AF106" s="2" t="s">
        <v>74</v>
      </c>
      <c r="AG106" s="2" t="s">
        <v>74</v>
      </c>
      <c r="AH106" s="2" t="s">
        <v>74</v>
      </c>
      <c r="AI106" s="2" t="s">
        <v>74</v>
      </c>
      <c r="AJ106" s="2" t="s">
        <v>74</v>
      </c>
      <c r="AK106" s="2" t="s">
        <v>74</v>
      </c>
      <c r="AL106" s="2" t="s">
        <v>74</v>
      </c>
      <c r="AM106" s="2" t="s">
        <v>74</v>
      </c>
      <c r="AN106" s="2" t="s">
        <v>74</v>
      </c>
      <c r="AO106" s="2" t="s">
        <v>1759</v>
      </c>
      <c r="AP106" s="2" t="s">
        <v>1760</v>
      </c>
      <c r="AQ106" s="2" t="s">
        <v>74</v>
      </c>
      <c r="AR106" s="2" t="s">
        <v>74</v>
      </c>
      <c r="AS106" s="2" t="s">
        <v>74</v>
      </c>
      <c r="AT106" s="2" t="s">
        <v>123</v>
      </c>
      <c r="AU106" s="2">
        <v>2023</v>
      </c>
      <c r="AV106" s="2">
        <v>36</v>
      </c>
      <c r="AW106" s="2">
        <v>1</v>
      </c>
      <c r="AX106" s="2" t="s">
        <v>74</v>
      </c>
      <c r="AY106" s="2" t="s">
        <v>74</v>
      </c>
      <c r="AZ106" s="2" t="s">
        <v>74</v>
      </c>
      <c r="BA106" s="2" t="s">
        <v>74</v>
      </c>
      <c r="BB106" s="2">
        <v>33</v>
      </c>
      <c r="BC106" s="2">
        <v>44</v>
      </c>
      <c r="BD106" s="2" t="s">
        <v>74</v>
      </c>
      <c r="BE106" s="2" t="s">
        <v>2391</v>
      </c>
      <c r="BF106" s="2" t="str">
        <f>HYPERLINK("http://dx.doi.org/10.1007/s10905-023-09817-8","http://dx.doi.org/10.1007/s10905-023-09817-8")</f>
        <v>http://dx.doi.org/10.1007/s10905-023-09817-8</v>
      </c>
      <c r="BG106" s="2" t="s">
        <v>74</v>
      </c>
      <c r="BH106" s="2" t="s">
        <v>2392</v>
      </c>
      <c r="BI106" s="2" t="s">
        <v>74</v>
      </c>
      <c r="BJ106" s="2" t="s">
        <v>74</v>
      </c>
      <c r="BK106" s="2" t="s">
        <v>74</v>
      </c>
      <c r="BL106" s="2" t="s">
        <v>74</v>
      </c>
      <c r="BM106" s="2" t="s">
        <v>74</v>
      </c>
      <c r="BN106" s="2" t="s">
        <v>74</v>
      </c>
      <c r="BO106" s="2" t="s">
        <v>74</v>
      </c>
      <c r="BP106" s="2" t="s">
        <v>74</v>
      </c>
      <c r="BQ106" s="2" t="s">
        <v>74</v>
      </c>
      <c r="BR106" s="2" t="s">
        <v>74</v>
      </c>
      <c r="BS106" s="2" t="s">
        <v>2393</v>
      </c>
      <c r="BT106" s="2" t="str">
        <f>HYPERLINK("https%3A%2F%2Fwww.webofscience.com%2Fwos%2Fwoscc%2Ffull-record%2FWOS:000922274000001","View Full Record in Web of Science")</f>
        <v>View Full Record in Web of Science</v>
      </c>
    </row>
    <row r="107" spans="1:72" s="2" customFormat="1" x14ac:dyDescent="0.4">
      <c r="A107" s="2" t="s">
        <v>72</v>
      </c>
      <c r="B107" s="2" t="s">
        <v>3866</v>
      </c>
      <c r="C107" s="2" t="s">
        <v>74</v>
      </c>
      <c r="D107" s="2" t="s">
        <v>74</v>
      </c>
      <c r="E107" s="2" t="s">
        <v>74</v>
      </c>
      <c r="F107" s="2" t="s">
        <v>3867</v>
      </c>
      <c r="G107" s="2" t="s">
        <v>74</v>
      </c>
      <c r="H107" s="2" t="s">
        <v>74</v>
      </c>
      <c r="I107" s="2" t="s">
        <v>3868</v>
      </c>
      <c r="J107" s="2" t="s">
        <v>129</v>
      </c>
      <c r="K107" s="2" t="s">
        <v>74</v>
      </c>
      <c r="L107" s="2" t="s">
        <v>74</v>
      </c>
      <c r="M107" s="2" t="s">
        <v>74</v>
      </c>
      <c r="N107" s="2" t="s">
        <v>74</v>
      </c>
      <c r="O107" s="2" t="s">
        <v>74</v>
      </c>
      <c r="P107" s="2" t="s">
        <v>74</v>
      </c>
      <c r="Q107" s="2" t="s">
        <v>74</v>
      </c>
      <c r="R107" s="2" t="s">
        <v>74</v>
      </c>
      <c r="S107" s="2" t="s">
        <v>74</v>
      </c>
      <c r="T107" s="2" t="s">
        <v>74</v>
      </c>
      <c r="U107" s="2" t="s">
        <v>74</v>
      </c>
      <c r="V107" s="5" t="s">
        <v>3869</v>
      </c>
      <c r="W107" s="2" t="s">
        <v>74</v>
      </c>
      <c r="X107" s="2" t="s">
        <v>74</v>
      </c>
      <c r="Y107" s="2" t="s">
        <v>74</v>
      </c>
      <c r="Z107" s="2" t="s">
        <v>74</v>
      </c>
      <c r="AA107" s="2" t="s">
        <v>3870</v>
      </c>
      <c r="AB107" s="2" t="s">
        <v>3871</v>
      </c>
      <c r="AC107" s="2" t="s">
        <v>74</v>
      </c>
      <c r="AD107" s="2" t="s">
        <v>74</v>
      </c>
      <c r="AE107" s="2" t="s">
        <v>74</v>
      </c>
      <c r="AF107" s="2" t="s">
        <v>74</v>
      </c>
      <c r="AG107" s="2" t="s">
        <v>74</v>
      </c>
      <c r="AH107" s="2" t="s">
        <v>74</v>
      </c>
      <c r="AI107" s="2" t="s">
        <v>74</v>
      </c>
      <c r="AJ107" s="2" t="s">
        <v>74</v>
      </c>
      <c r="AK107" s="2" t="s">
        <v>74</v>
      </c>
      <c r="AL107" s="2" t="s">
        <v>74</v>
      </c>
      <c r="AM107" s="2" t="s">
        <v>74</v>
      </c>
      <c r="AN107" s="2" t="s">
        <v>74</v>
      </c>
      <c r="AO107" s="2" t="s">
        <v>132</v>
      </c>
      <c r="AP107" s="2" t="s">
        <v>133</v>
      </c>
      <c r="AQ107" s="2" t="s">
        <v>74</v>
      </c>
      <c r="AR107" s="2" t="s">
        <v>74</v>
      </c>
      <c r="AS107" s="2" t="s">
        <v>74</v>
      </c>
      <c r="AT107" s="2" t="s">
        <v>134</v>
      </c>
      <c r="AU107" s="2">
        <v>2023</v>
      </c>
      <c r="AV107" s="2">
        <v>77</v>
      </c>
      <c r="AW107" s="2">
        <v>5</v>
      </c>
      <c r="AX107" s="2" t="s">
        <v>74</v>
      </c>
      <c r="AY107" s="2" t="s">
        <v>74</v>
      </c>
      <c r="AZ107" s="2" t="s">
        <v>74</v>
      </c>
      <c r="BA107" s="2" t="s">
        <v>74</v>
      </c>
      <c r="BB107" s="2" t="s">
        <v>74</v>
      </c>
      <c r="BC107" s="2" t="s">
        <v>74</v>
      </c>
      <c r="BD107" s="2">
        <v>57</v>
      </c>
      <c r="BE107" s="2" t="s">
        <v>3872</v>
      </c>
      <c r="BF107" s="2" t="str">
        <f>HYPERLINK("http://dx.doi.org/10.1007/s00265-023-03336-4","http://dx.doi.org/10.1007/s00265-023-03336-4")</f>
        <v>http://dx.doi.org/10.1007/s00265-023-03336-4</v>
      </c>
      <c r="BG107" s="2" t="s">
        <v>74</v>
      </c>
      <c r="BH107" s="2" t="s">
        <v>74</v>
      </c>
      <c r="BI107" s="2" t="s">
        <v>74</v>
      </c>
      <c r="BJ107" s="2" t="s">
        <v>74</v>
      </c>
      <c r="BK107" s="2" t="s">
        <v>74</v>
      </c>
      <c r="BL107" s="2" t="s">
        <v>74</v>
      </c>
      <c r="BM107" s="2" t="s">
        <v>74</v>
      </c>
      <c r="BN107" s="2" t="s">
        <v>74</v>
      </c>
      <c r="BO107" s="2" t="s">
        <v>74</v>
      </c>
      <c r="BP107" s="2" t="s">
        <v>74</v>
      </c>
      <c r="BQ107" s="2" t="s">
        <v>74</v>
      </c>
      <c r="BR107" s="2" t="s">
        <v>74</v>
      </c>
      <c r="BS107" s="2" t="s">
        <v>3873</v>
      </c>
      <c r="BT107" s="2" t="str">
        <f>HYPERLINK("https%3A%2F%2Fwww.webofscience.com%2Fwos%2Fwoscc%2Ffull-record%2FWOS:000993946500002","View Full Record in Web of Science")</f>
        <v>View Full Record in Web of Science</v>
      </c>
    </row>
    <row r="108" spans="1:72" s="7" customFormat="1" x14ac:dyDescent="0.4">
      <c r="A108" s="2" t="s">
        <v>72</v>
      </c>
      <c r="B108" s="2" t="s">
        <v>5314</v>
      </c>
      <c r="C108" s="2" t="s">
        <v>74</v>
      </c>
      <c r="D108" s="2" t="s">
        <v>74</v>
      </c>
      <c r="E108" s="2" t="s">
        <v>74</v>
      </c>
      <c r="F108" s="2" t="s">
        <v>5314</v>
      </c>
      <c r="G108" s="2" t="s">
        <v>74</v>
      </c>
      <c r="H108" s="2" t="s">
        <v>74</v>
      </c>
      <c r="I108" s="2" t="s">
        <v>5315</v>
      </c>
      <c r="J108" s="2" t="s">
        <v>108</v>
      </c>
      <c r="K108" s="2" t="s">
        <v>74</v>
      </c>
      <c r="L108" s="2" t="s">
        <v>74</v>
      </c>
      <c r="M108" s="2" t="s">
        <v>74</v>
      </c>
      <c r="N108" s="2" t="s">
        <v>74</v>
      </c>
      <c r="O108" s="2" t="s">
        <v>74</v>
      </c>
      <c r="P108" s="2" t="s">
        <v>74</v>
      </c>
      <c r="Q108" s="2" t="s">
        <v>74</v>
      </c>
      <c r="R108" s="2" t="s">
        <v>74</v>
      </c>
      <c r="S108" s="2" t="s">
        <v>74</v>
      </c>
      <c r="T108" s="2" t="s">
        <v>74</v>
      </c>
      <c r="U108" s="2" t="s">
        <v>74</v>
      </c>
      <c r="V108" s="5" t="s">
        <v>5316</v>
      </c>
      <c r="W108" s="2" t="s">
        <v>74</v>
      </c>
      <c r="X108" s="2" t="s">
        <v>74</v>
      </c>
      <c r="Y108" s="2" t="s">
        <v>74</v>
      </c>
      <c r="Z108" s="2" t="s">
        <v>74</v>
      </c>
      <c r="AA108" s="2" t="s">
        <v>5317</v>
      </c>
      <c r="AB108" s="2" t="s">
        <v>5318</v>
      </c>
      <c r="AC108" s="2" t="s">
        <v>74</v>
      </c>
      <c r="AD108" s="2" t="s">
        <v>74</v>
      </c>
      <c r="AE108" s="2" t="s">
        <v>74</v>
      </c>
      <c r="AF108" s="2" t="s">
        <v>74</v>
      </c>
      <c r="AG108" s="2" t="s">
        <v>74</v>
      </c>
      <c r="AH108" s="2" t="s">
        <v>74</v>
      </c>
      <c r="AI108" s="2" t="s">
        <v>74</v>
      </c>
      <c r="AJ108" s="2" t="s">
        <v>74</v>
      </c>
      <c r="AK108" s="2" t="s">
        <v>74</v>
      </c>
      <c r="AL108" s="2" t="s">
        <v>74</v>
      </c>
      <c r="AM108" s="2" t="s">
        <v>74</v>
      </c>
      <c r="AN108" s="2" t="s">
        <v>74</v>
      </c>
      <c r="AO108" s="2" t="s">
        <v>111</v>
      </c>
      <c r="AP108" s="2" t="s">
        <v>74</v>
      </c>
      <c r="AQ108" s="2" t="s">
        <v>74</v>
      </c>
      <c r="AR108" s="2" t="s">
        <v>74</v>
      </c>
      <c r="AS108" s="2" t="s">
        <v>74</v>
      </c>
      <c r="AT108" s="2" t="s">
        <v>5319</v>
      </c>
      <c r="AU108" s="2">
        <v>1994</v>
      </c>
      <c r="AV108" s="2">
        <v>256</v>
      </c>
      <c r="AW108" s="2">
        <v>1346</v>
      </c>
      <c r="AX108" s="2" t="s">
        <v>74</v>
      </c>
      <c r="AY108" s="2" t="s">
        <v>74</v>
      </c>
      <c r="AZ108" s="2" t="s">
        <v>74</v>
      </c>
      <c r="BA108" s="2" t="s">
        <v>74</v>
      </c>
      <c r="BB108" s="2">
        <v>113</v>
      </c>
      <c r="BC108" s="2">
        <v>118</v>
      </c>
      <c r="BD108" s="2" t="s">
        <v>74</v>
      </c>
      <c r="BE108" s="2" t="s">
        <v>5320</v>
      </c>
      <c r="BF108" s="2" t="str">
        <f>HYPERLINK("http://dx.doi.org/10.1098/rspb.1994.0057","http://dx.doi.org/10.1098/rspb.1994.0057")</f>
        <v>http://dx.doi.org/10.1098/rspb.1994.0057</v>
      </c>
      <c r="BG108" s="2" t="s">
        <v>74</v>
      </c>
      <c r="BH108" s="2" t="s">
        <v>74</v>
      </c>
      <c r="BI108" s="2" t="s">
        <v>74</v>
      </c>
      <c r="BJ108" s="2" t="s">
        <v>74</v>
      </c>
      <c r="BK108" s="2" t="s">
        <v>74</v>
      </c>
      <c r="BL108" s="2" t="s">
        <v>74</v>
      </c>
      <c r="BM108" s="2" t="s">
        <v>74</v>
      </c>
      <c r="BN108" s="2" t="s">
        <v>74</v>
      </c>
      <c r="BO108" s="2" t="s">
        <v>74</v>
      </c>
      <c r="BP108" s="2" t="s">
        <v>74</v>
      </c>
      <c r="BQ108" s="2" t="s">
        <v>74</v>
      </c>
      <c r="BR108" s="2" t="s">
        <v>74</v>
      </c>
      <c r="BS108" s="2" t="s">
        <v>5321</v>
      </c>
      <c r="BT108" s="2" t="str">
        <f>HYPERLINK("https%3A%2F%2Fwww.webofscience.com%2Fwos%2Fwoscc%2Ffull-record%2FWOS:A1994NN67200002","View Full Record in Web of Science")</f>
        <v>View Full Record in Web of Science</v>
      </c>
    </row>
    <row r="109" spans="1:72" s="2" customFormat="1" x14ac:dyDescent="0.4">
      <c r="A109" s="2" t="s">
        <v>72</v>
      </c>
      <c r="B109" s="2" t="s">
        <v>3645</v>
      </c>
      <c r="C109" s="2" t="s">
        <v>74</v>
      </c>
      <c r="D109" s="2" t="s">
        <v>74</v>
      </c>
      <c r="E109" s="2" t="s">
        <v>74</v>
      </c>
      <c r="F109" s="2" t="s">
        <v>3646</v>
      </c>
      <c r="G109" s="2" t="s">
        <v>74</v>
      </c>
      <c r="H109" s="2" t="s">
        <v>74</v>
      </c>
      <c r="I109" s="2" t="s">
        <v>3647</v>
      </c>
      <c r="J109" s="2" t="s">
        <v>140</v>
      </c>
      <c r="K109" s="2" t="s">
        <v>74</v>
      </c>
      <c r="L109" s="2" t="s">
        <v>74</v>
      </c>
      <c r="M109" s="2" t="s">
        <v>74</v>
      </c>
      <c r="N109" s="2" t="s">
        <v>74</v>
      </c>
      <c r="O109" s="2" t="s">
        <v>74</v>
      </c>
      <c r="P109" s="2" t="s">
        <v>74</v>
      </c>
      <c r="Q109" s="2" t="s">
        <v>74</v>
      </c>
      <c r="R109" s="2" t="s">
        <v>74</v>
      </c>
      <c r="S109" s="2" t="s">
        <v>74</v>
      </c>
      <c r="T109" s="2" t="s">
        <v>74</v>
      </c>
      <c r="U109" s="2" t="s">
        <v>74</v>
      </c>
      <c r="V109" s="5" t="s">
        <v>3648</v>
      </c>
      <c r="W109" s="2" t="s">
        <v>74</v>
      </c>
      <c r="X109" s="2" t="s">
        <v>74</v>
      </c>
      <c r="Y109" s="2" t="s">
        <v>74</v>
      </c>
      <c r="Z109" s="2" t="s">
        <v>74</v>
      </c>
      <c r="AA109" s="2" t="s">
        <v>74</v>
      </c>
      <c r="AB109" s="2" t="s">
        <v>3649</v>
      </c>
      <c r="AC109" s="2" t="s">
        <v>74</v>
      </c>
      <c r="AD109" s="2" t="s">
        <v>74</v>
      </c>
      <c r="AE109" s="2" t="s">
        <v>74</v>
      </c>
      <c r="AF109" s="2" t="s">
        <v>74</v>
      </c>
      <c r="AG109" s="2" t="s">
        <v>74</v>
      </c>
      <c r="AH109" s="2" t="s">
        <v>74</v>
      </c>
      <c r="AI109" s="2" t="s">
        <v>74</v>
      </c>
      <c r="AJ109" s="2" t="s">
        <v>74</v>
      </c>
      <c r="AK109" s="2" t="s">
        <v>74</v>
      </c>
      <c r="AL109" s="2" t="s">
        <v>74</v>
      </c>
      <c r="AM109" s="2" t="s">
        <v>74</v>
      </c>
      <c r="AN109" s="2" t="s">
        <v>74</v>
      </c>
      <c r="AO109" s="2" t="s">
        <v>143</v>
      </c>
      <c r="AP109" s="2" t="s">
        <v>144</v>
      </c>
      <c r="AQ109" s="2" t="s">
        <v>74</v>
      </c>
      <c r="AR109" s="2" t="s">
        <v>74</v>
      </c>
      <c r="AS109" s="2" t="s">
        <v>74</v>
      </c>
      <c r="AT109" s="2" t="s">
        <v>352</v>
      </c>
      <c r="AU109" s="2">
        <v>2022</v>
      </c>
      <c r="AV109" s="2">
        <v>191</v>
      </c>
      <c r="AW109" s="2" t="s">
        <v>74</v>
      </c>
      <c r="AX109" s="2" t="s">
        <v>74</v>
      </c>
      <c r="AY109" s="2" t="s">
        <v>74</v>
      </c>
      <c r="AZ109" s="2" t="s">
        <v>74</v>
      </c>
      <c r="BA109" s="2" t="s">
        <v>74</v>
      </c>
      <c r="BB109" s="2">
        <v>1</v>
      </c>
      <c r="BC109" s="2">
        <v>13</v>
      </c>
      <c r="BD109" s="2" t="s">
        <v>74</v>
      </c>
      <c r="BE109" s="2" t="s">
        <v>3650</v>
      </c>
      <c r="BF109" s="2" t="str">
        <f>HYPERLINK("http://dx.doi.org/10.1016/j.anbehav.2022.06.013","http://dx.doi.org/10.1016/j.anbehav.2022.06.013")</f>
        <v>http://dx.doi.org/10.1016/j.anbehav.2022.06.013</v>
      </c>
      <c r="BG109" s="2" t="s">
        <v>74</v>
      </c>
      <c r="BH109" s="2" t="s">
        <v>2832</v>
      </c>
      <c r="BI109" s="2" t="s">
        <v>74</v>
      </c>
      <c r="BJ109" s="2" t="s">
        <v>74</v>
      </c>
      <c r="BK109" s="2" t="s">
        <v>74</v>
      </c>
      <c r="BL109" s="2" t="s">
        <v>74</v>
      </c>
      <c r="BM109" s="2" t="s">
        <v>74</v>
      </c>
      <c r="BN109" s="2" t="s">
        <v>74</v>
      </c>
      <c r="BO109" s="2" t="s">
        <v>74</v>
      </c>
      <c r="BP109" s="2" t="s">
        <v>74</v>
      </c>
      <c r="BQ109" s="2" t="s">
        <v>74</v>
      </c>
      <c r="BR109" s="2" t="s">
        <v>74</v>
      </c>
      <c r="BS109" s="2" t="s">
        <v>3651</v>
      </c>
      <c r="BT109" s="2" t="str">
        <f>HYPERLINK("https%3A%2F%2Fwww.webofscience.com%2Fwos%2Fwoscc%2Ffull-record%2FWOS:000860712600001","View Full Record in Web of Science")</f>
        <v>View Full Record in Web of Science</v>
      </c>
    </row>
    <row r="110" spans="1:72" s="2" customFormat="1" x14ac:dyDescent="0.4">
      <c r="A110" s="2" t="s">
        <v>72</v>
      </c>
      <c r="B110" s="2" t="s">
        <v>2740</v>
      </c>
      <c r="C110" s="2" t="s">
        <v>74</v>
      </c>
      <c r="D110" s="2" t="s">
        <v>74</v>
      </c>
      <c r="E110" s="2" t="s">
        <v>74</v>
      </c>
      <c r="F110" s="2" t="s">
        <v>2741</v>
      </c>
      <c r="G110" s="2" t="s">
        <v>74</v>
      </c>
      <c r="H110" s="2" t="s">
        <v>74</v>
      </c>
      <c r="I110" s="2" t="s">
        <v>2742</v>
      </c>
      <c r="J110" s="2" t="s">
        <v>408</v>
      </c>
      <c r="K110" s="2" t="s">
        <v>74</v>
      </c>
      <c r="L110" s="2" t="s">
        <v>74</v>
      </c>
      <c r="M110" s="2" t="s">
        <v>74</v>
      </c>
      <c r="N110" s="2" t="s">
        <v>74</v>
      </c>
      <c r="O110" s="2" t="s">
        <v>74</v>
      </c>
      <c r="P110" s="2" t="s">
        <v>74</v>
      </c>
      <c r="Q110" s="2" t="s">
        <v>74</v>
      </c>
      <c r="R110" s="2" t="s">
        <v>74</v>
      </c>
      <c r="S110" s="2" t="s">
        <v>74</v>
      </c>
      <c r="T110" s="2" t="s">
        <v>74</v>
      </c>
      <c r="U110" s="2" t="s">
        <v>74</v>
      </c>
      <c r="V110" s="5" t="s">
        <v>2743</v>
      </c>
      <c r="W110" s="2" t="s">
        <v>74</v>
      </c>
      <c r="X110" s="2" t="s">
        <v>74</v>
      </c>
      <c r="Y110" s="2" t="s">
        <v>74</v>
      </c>
      <c r="Z110" s="2" t="s">
        <v>74</v>
      </c>
      <c r="AA110" s="2" t="s">
        <v>2744</v>
      </c>
      <c r="AB110" s="2" t="s">
        <v>2745</v>
      </c>
      <c r="AC110" s="2" t="s">
        <v>74</v>
      </c>
      <c r="AD110" s="2" t="s">
        <v>74</v>
      </c>
      <c r="AE110" s="2" t="s">
        <v>74</v>
      </c>
      <c r="AF110" s="2" t="s">
        <v>74</v>
      </c>
      <c r="AG110" s="2" t="s">
        <v>74</v>
      </c>
      <c r="AH110" s="2" t="s">
        <v>74</v>
      </c>
      <c r="AI110" s="2" t="s">
        <v>74</v>
      </c>
      <c r="AJ110" s="2" t="s">
        <v>74</v>
      </c>
      <c r="AK110" s="2" t="s">
        <v>74</v>
      </c>
      <c r="AL110" s="2" t="s">
        <v>74</v>
      </c>
      <c r="AM110" s="2" t="s">
        <v>74</v>
      </c>
      <c r="AN110" s="2" t="s">
        <v>74</v>
      </c>
      <c r="AO110" s="2" t="s">
        <v>412</v>
      </c>
      <c r="AP110" s="2" t="s">
        <v>413</v>
      </c>
      <c r="AQ110" s="2" t="s">
        <v>74</v>
      </c>
      <c r="AR110" s="2" t="s">
        <v>74</v>
      </c>
      <c r="AS110" s="2" t="s">
        <v>74</v>
      </c>
      <c r="AT110" s="2" t="s">
        <v>134</v>
      </c>
      <c r="AU110" s="2">
        <v>2007</v>
      </c>
      <c r="AV110" s="2">
        <v>91</v>
      </c>
      <c r="AW110" s="2">
        <v>1</v>
      </c>
      <c r="AX110" s="2" t="s">
        <v>74</v>
      </c>
      <c r="AY110" s="2" t="s">
        <v>74</v>
      </c>
      <c r="AZ110" s="2" t="s">
        <v>74</v>
      </c>
      <c r="BA110" s="2" t="s">
        <v>74</v>
      </c>
      <c r="BB110" s="2">
        <v>37</v>
      </c>
      <c r="BC110" s="2">
        <v>48</v>
      </c>
      <c r="BD110" s="2" t="s">
        <v>74</v>
      </c>
      <c r="BE110" s="2" t="s">
        <v>2746</v>
      </c>
      <c r="BF110" s="2" t="str">
        <f>HYPERLINK("http://dx.doi.org/10.1111/j.1095-8312.2007.00777.x","http://dx.doi.org/10.1111/j.1095-8312.2007.00777.x")</f>
        <v>http://dx.doi.org/10.1111/j.1095-8312.2007.00777.x</v>
      </c>
      <c r="BG110" s="2" t="s">
        <v>74</v>
      </c>
      <c r="BH110" s="2" t="s">
        <v>74</v>
      </c>
      <c r="BI110" s="2" t="s">
        <v>74</v>
      </c>
      <c r="BJ110" s="2" t="s">
        <v>74</v>
      </c>
      <c r="BK110" s="2" t="s">
        <v>74</v>
      </c>
      <c r="BL110" s="2" t="s">
        <v>74</v>
      </c>
      <c r="BM110" s="2" t="s">
        <v>74</v>
      </c>
      <c r="BN110" s="2" t="s">
        <v>74</v>
      </c>
      <c r="BO110" s="2" t="s">
        <v>74</v>
      </c>
      <c r="BP110" s="2" t="s">
        <v>74</v>
      </c>
      <c r="BQ110" s="2" t="s">
        <v>74</v>
      </c>
      <c r="BR110" s="2" t="s">
        <v>74</v>
      </c>
      <c r="BS110" s="2" t="s">
        <v>2747</v>
      </c>
      <c r="BT110" s="2" t="str">
        <f>HYPERLINK("https%3A%2F%2Fwww.webofscience.com%2Fwos%2Fwoscc%2Ffull-record%2FWOS:000245938100004","View Full Record in Web of Science")</f>
        <v>View Full Record in Web of Science</v>
      </c>
    </row>
    <row r="111" spans="1:72" s="2" customFormat="1" x14ac:dyDescent="0.4">
      <c r="A111" s="2" t="s">
        <v>72</v>
      </c>
      <c r="B111" s="2" t="s">
        <v>7390</v>
      </c>
      <c r="C111" s="2" t="s">
        <v>74</v>
      </c>
      <c r="D111" s="2" t="s">
        <v>74</v>
      </c>
      <c r="E111" s="2" t="s">
        <v>74</v>
      </c>
      <c r="F111" s="2" t="s">
        <v>7391</v>
      </c>
      <c r="G111" s="2" t="s">
        <v>74</v>
      </c>
      <c r="H111" s="2" t="s">
        <v>74</v>
      </c>
      <c r="I111" s="2" t="s">
        <v>7392</v>
      </c>
      <c r="J111" s="2" t="s">
        <v>7393</v>
      </c>
      <c r="K111" s="2" t="s">
        <v>74</v>
      </c>
      <c r="L111" s="2" t="s">
        <v>74</v>
      </c>
      <c r="M111" s="2" t="s">
        <v>74</v>
      </c>
      <c r="N111" s="2" t="s">
        <v>74</v>
      </c>
      <c r="O111" s="2" t="s">
        <v>74</v>
      </c>
      <c r="P111" s="2" t="s">
        <v>74</v>
      </c>
      <c r="Q111" s="2" t="s">
        <v>74</v>
      </c>
      <c r="R111" s="2" t="s">
        <v>74</v>
      </c>
      <c r="S111" s="2" t="s">
        <v>74</v>
      </c>
      <c r="T111" s="2" t="s">
        <v>74</v>
      </c>
      <c r="U111" s="2" t="s">
        <v>74</v>
      </c>
      <c r="V111" s="5" t="s">
        <v>7394</v>
      </c>
      <c r="W111" s="2" t="s">
        <v>74</v>
      </c>
      <c r="X111" s="2" t="s">
        <v>74</v>
      </c>
      <c r="Y111" s="2" t="s">
        <v>74</v>
      </c>
      <c r="Z111" s="2" t="s">
        <v>74</v>
      </c>
      <c r="AA111" s="2" t="s">
        <v>7395</v>
      </c>
      <c r="AB111" s="2" t="s">
        <v>7396</v>
      </c>
      <c r="AC111" s="2" t="s">
        <v>74</v>
      </c>
      <c r="AD111" s="2" t="s">
        <v>74</v>
      </c>
      <c r="AE111" s="2" t="s">
        <v>74</v>
      </c>
      <c r="AF111" s="2" t="s">
        <v>74</v>
      </c>
      <c r="AG111" s="2" t="s">
        <v>74</v>
      </c>
      <c r="AH111" s="2" t="s">
        <v>74</v>
      </c>
      <c r="AI111" s="2" t="s">
        <v>74</v>
      </c>
      <c r="AJ111" s="2" t="s">
        <v>74</v>
      </c>
      <c r="AK111" s="2" t="s">
        <v>74</v>
      </c>
      <c r="AL111" s="2" t="s">
        <v>74</v>
      </c>
      <c r="AM111" s="2" t="s">
        <v>74</v>
      </c>
      <c r="AN111" s="2" t="s">
        <v>74</v>
      </c>
      <c r="AO111" s="2" t="s">
        <v>7397</v>
      </c>
      <c r="AP111" s="2" t="s">
        <v>7398</v>
      </c>
      <c r="AQ111" s="2" t="s">
        <v>74</v>
      </c>
      <c r="AR111" s="2" t="s">
        <v>74</v>
      </c>
      <c r="AS111" s="2" t="s">
        <v>74</v>
      </c>
      <c r="AT111" s="2" t="s">
        <v>352</v>
      </c>
      <c r="AU111" s="2">
        <v>2019</v>
      </c>
      <c r="AV111" s="2">
        <v>107</v>
      </c>
      <c r="AW111" s="2">
        <v>5</v>
      </c>
      <c r="AX111" s="2" t="s">
        <v>74</v>
      </c>
      <c r="AY111" s="2" t="s">
        <v>74</v>
      </c>
      <c r="AZ111" s="2" t="s">
        <v>74</v>
      </c>
      <c r="BA111" s="2" t="s">
        <v>74</v>
      </c>
      <c r="BB111" s="2">
        <v>2167</v>
      </c>
      <c r="BC111" s="2">
        <v>2181</v>
      </c>
      <c r="BD111" s="2" t="s">
        <v>74</v>
      </c>
      <c r="BE111" s="2" t="s">
        <v>7399</v>
      </c>
      <c r="BF111" s="2" t="str">
        <f>HYPERLINK("http://dx.doi.org/10.1111/1365-2745.13183","http://dx.doi.org/10.1111/1365-2745.13183")</f>
        <v>http://dx.doi.org/10.1111/1365-2745.13183</v>
      </c>
      <c r="BG111" s="2" t="s">
        <v>74</v>
      </c>
      <c r="BH111" s="2" t="s">
        <v>74</v>
      </c>
      <c r="BI111" s="2" t="s">
        <v>74</v>
      </c>
      <c r="BJ111" s="2" t="s">
        <v>74</v>
      </c>
      <c r="BK111" s="2" t="s">
        <v>74</v>
      </c>
      <c r="BL111" s="2" t="s">
        <v>74</v>
      </c>
      <c r="BM111" s="2" t="s">
        <v>74</v>
      </c>
      <c r="BN111" s="2" t="s">
        <v>74</v>
      </c>
      <c r="BO111" s="2" t="s">
        <v>74</v>
      </c>
      <c r="BP111" s="2" t="s">
        <v>74</v>
      </c>
      <c r="BQ111" s="2" t="s">
        <v>74</v>
      </c>
      <c r="BR111" s="2" t="s">
        <v>74</v>
      </c>
      <c r="BS111" s="2" t="s">
        <v>7400</v>
      </c>
      <c r="BT111" s="2" t="str">
        <f>HYPERLINK("https%3A%2F%2Fwww.webofscience.com%2Fwos%2Fwoscc%2Ffull-record%2FWOS:000484311000012","View Full Record in Web of Science")</f>
        <v>View Full Record in Web of Science</v>
      </c>
    </row>
    <row r="112" spans="1:72" s="2" customFormat="1" x14ac:dyDescent="0.4">
      <c r="A112" s="2" t="s">
        <v>72</v>
      </c>
      <c r="B112" s="2" t="s">
        <v>4653</v>
      </c>
      <c r="C112" s="2" t="s">
        <v>74</v>
      </c>
      <c r="D112" s="2" t="s">
        <v>74</v>
      </c>
      <c r="E112" s="2" t="s">
        <v>74</v>
      </c>
      <c r="F112" s="2" t="s">
        <v>4653</v>
      </c>
      <c r="G112" s="2" t="s">
        <v>74</v>
      </c>
      <c r="H112" s="2" t="s">
        <v>74</v>
      </c>
      <c r="I112" s="2" t="s">
        <v>4654</v>
      </c>
      <c r="J112" s="2" t="s">
        <v>4655</v>
      </c>
      <c r="K112" s="2" t="s">
        <v>74</v>
      </c>
      <c r="L112" s="2" t="s">
        <v>74</v>
      </c>
      <c r="M112" s="2" t="s">
        <v>74</v>
      </c>
      <c r="N112" s="2" t="s">
        <v>74</v>
      </c>
      <c r="O112" s="2" t="s">
        <v>74</v>
      </c>
      <c r="P112" s="2" t="s">
        <v>74</v>
      </c>
      <c r="Q112" s="2" t="s">
        <v>74</v>
      </c>
      <c r="R112" s="2" t="s">
        <v>74</v>
      </c>
      <c r="S112" s="2" t="s">
        <v>74</v>
      </c>
      <c r="T112" s="2" t="s">
        <v>74</v>
      </c>
      <c r="U112" s="2" t="s">
        <v>74</v>
      </c>
      <c r="V112" s="5" t="s">
        <v>4656</v>
      </c>
      <c r="W112" s="2" t="s">
        <v>74</v>
      </c>
      <c r="X112" s="2" t="s">
        <v>74</v>
      </c>
      <c r="Y112" s="2" t="s">
        <v>74</v>
      </c>
      <c r="Z112" s="2" t="s">
        <v>74</v>
      </c>
      <c r="AA112" s="2" t="s">
        <v>74</v>
      </c>
      <c r="AB112" s="2" t="s">
        <v>74</v>
      </c>
      <c r="AC112" s="2" t="s">
        <v>74</v>
      </c>
      <c r="AD112" s="2" t="s">
        <v>74</v>
      </c>
      <c r="AE112" s="2" t="s">
        <v>74</v>
      </c>
      <c r="AF112" s="2" t="s">
        <v>74</v>
      </c>
      <c r="AG112" s="2" t="s">
        <v>74</v>
      </c>
      <c r="AH112" s="2" t="s">
        <v>74</v>
      </c>
      <c r="AI112" s="2" t="s">
        <v>74</v>
      </c>
      <c r="AJ112" s="2" t="s">
        <v>74</v>
      </c>
      <c r="AK112" s="2" t="s">
        <v>74</v>
      </c>
      <c r="AL112" s="2" t="s">
        <v>74</v>
      </c>
      <c r="AM112" s="2" t="s">
        <v>74</v>
      </c>
      <c r="AN112" s="2" t="s">
        <v>74</v>
      </c>
      <c r="AO112" s="2" t="s">
        <v>4657</v>
      </c>
      <c r="AP112" s="2" t="s">
        <v>74</v>
      </c>
      <c r="AQ112" s="2" t="s">
        <v>74</v>
      </c>
      <c r="AR112" s="2" t="s">
        <v>74</v>
      </c>
      <c r="AS112" s="2" t="s">
        <v>74</v>
      </c>
      <c r="AT112" s="2" t="s">
        <v>74</v>
      </c>
      <c r="AU112" s="2">
        <v>1984</v>
      </c>
      <c r="AV112" s="2">
        <v>96</v>
      </c>
      <c r="AW112" s="2">
        <v>4</v>
      </c>
      <c r="AX112" s="2" t="s">
        <v>74</v>
      </c>
      <c r="AY112" s="2" t="s">
        <v>74</v>
      </c>
      <c r="AZ112" s="2" t="s">
        <v>74</v>
      </c>
      <c r="BA112" s="2" t="s">
        <v>74</v>
      </c>
      <c r="BB112" s="2">
        <v>603</v>
      </c>
      <c r="BC112" s="2">
        <v>618</v>
      </c>
      <c r="BD112" s="2" t="s">
        <v>74</v>
      </c>
      <c r="BE112" s="2" t="s">
        <v>74</v>
      </c>
      <c r="BF112" s="2" t="s">
        <v>74</v>
      </c>
      <c r="BG112" s="2" t="s">
        <v>74</v>
      </c>
      <c r="BH112" s="2" t="s">
        <v>74</v>
      </c>
      <c r="BI112" s="2" t="s">
        <v>74</v>
      </c>
      <c r="BJ112" s="2" t="s">
        <v>74</v>
      </c>
      <c r="BK112" s="2" t="s">
        <v>74</v>
      </c>
      <c r="BL112" s="2" t="s">
        <v>74</v>
      </c>
      <c r="BM112" s="2" t="s">
        <v>74</v>
      </c>
      <c r="BN112" s="2" t="s">
        <v>74</v>
      </c>
      <c r="BO112" s="2" t="s">
        <v>74</v>
      </c>
      <c r="BP112" s="2" t="s">
        <v>74</v>
      </c>
      <c r="BQ112" s="2" t="s">
        <v>74</v>
      </c>
      <c r="BR112" s="2" t="s">
        <v>74</v>
      </c>
      <c r="BS112" s="2" t="s">
        <v>4658</v>
      </c>
      <c r="BT112" s="2" t="str">
        <f>HYPERLINK("https%3A%2F%2Fwww.webofscience.com%2Fwos%2Fwoscc%2Ffull-record%2FWOS:A1984ACX3700007","View Full Record in Web of Science")</f>
        <v>View Full Record in Web of Science</v>
      </c>
    </row>
    <row r="113" spans="1:72" s="2" customFormat="1" x14ac:dyDescent="0.4">
      <c r="A113" s="2" t="s">
        <v>72</v>
      </c>
      <c r="B113" s="2" t="s">
        <v>5607</v>
      </c>
      <c r="C113" s="2" t="s">
        <v>74</v>
      </c>
      <c r="D113" s="2" t="s">
        <v>74</v>
      </c>
      <c r="E113" s="2" t="s">
        <v>74</v>
      </c>
      <c r="F113" s="2" t="s">
        <v>5608</v>
      </c>
      <c r="G113" s="2" t="s">
        <v>74</v>
      </c>
      <c r="H113" s="2" t="s">
        <v>74</v>
      </c>
      <c r="I113" s="2" t="s">
        <v>5609</v>
      </c>
      <c r="J113" s="2" t="s">
        <v>140</v>
      </c>
      <c r="K113" s="2" t="s">
        <v>74</v>
      </c>
      <c r="L113" s="2" t="s">
        <v>74</v>
      </c>
      <c r="M113" s="2" t="s">
        <v>74</v>
      </c>
      <c r="N113" s="2" t="s">
        <v>74</v>
      </c>
      <c r="O113" s="2" t="s">
        <v>74</v>
      </c>
      <c r="P113" s="2" t="s">
        <v>74</v>
      </c>
      <c r="Q113" s="2" t="s">
        <v>74</v>
      </c>
      <c r="R113" s="2" t="s">
        <v>74</v>
      </c>
      <c r="S113" s="2" t="s">
        <v>74</v>
      </c>
      <c r="T113" s="2" t="s">
        <v>74</v>
      </c>
      <c r="U113" s="2" t="s">
        <v>74</v>
      </c>
      <c r="V113" s="5" t="s">
        <v>5610</v>
      </c>
      <c r="W113" s="2" t="s">
        <v>74</v>
      </c>
      <c r="X113" s="2" t="s">
        <v>74</v>
      </c>
      <c r="Y113" s="2" t="s">
        <v>74</v>
      </c>
      <c r="Z113" s="2" t="s">
        <v>74</v>
      </c>
      <c r="AA113" s="2" t="s">
        <v>74</v>
      </c>
      <c r="AB113" s="2" t="s">
        <v>5611</v>
      </c>
      <c r="AC113" s="2" t="s">
        <v>74</v>
      </c>
      <c r="AD113" s="2" t="s">
        <v>74</v>
      </c>
      <c r="AE113" s="2" t="s">
        <v>74</v>
      </c>
      <c r="AF113" s="2" t="s">
        <v>74</v>
      </c>
      <c r="AG113" s="2" t="s">
        <v>74</v>
      </c>
      <c r="AH113" s="2" t="s">
        <v>74</v>
      </c>
      <c r="AI113" s="2" t="s">
        <v>74</v>
      </c>
      <c r="AJ113" s="2" t="s">
        <v>74</v>
      </c>
      <c r="AK113" s="2" t="s">
        <v>74</v>
      </c>
      <c r="AL113" s="2" t="s">
        <v>74</v>
      </c>
      <c r="AM113" s="2" t="s">
        <v>74</v>
      </c>
      <c r="AN113" s="2" t="s">
        <v>74</v>
      </c>
      <c r="AO113" s="2" t="s">
        <v>143</v>
      </c>
      <c r="AP113" s="2" t="s">
        <v>144</v>
      </c>
      <c r="AQ113" s="2" t="s">
        <v>74</v>
      </c>
      <c r="AR113" s="2" t="s">
        <v>74</v>
      </c>
      <c r="AS113" s="2" t="s">
        <v>74</v>
      </c>
      <c r="AT113" s="2" t="s">
        <v>175</v>
      </c>
      <c r="AU113" s="2">
        <v>2021</v>
      </c>
      <c r="AV113" s="2">
        <v>180</v>
      </c>
      <c r="AW113" s="2" t="s">
        <v>74</v>
      </c>
      <c r="AX113" s="2" t="s">
        <v>74</v>
      </c>
      <c r="AY113" s="2" t="s">
        <v>74</v>
      </c>
      <c r="AZ113" s="2" t="s">
        <v>74</v>
      </c>
      <c r="BA113" s="2" t="s">
        <v>74</v>
      </c>
      <c r="BB113" s="2">
        <v>337</v>
      </c>
      <c r="BC113" s="2">
        <v>361</v>
      </c>
      <c r="BD113" s="2" t="s">
        <v>74</v>
      </c>
      <c r="BE113" s="2" t="s">
        <v>5612</v>
      </c>
      <c r="BF113" s="2" t="str">
        <f>HYPERLINK("http://dx.doi.org/10.1016/j.anbehav.2021.08.018","http://dx.doi.org/10.1016/j.anbehav.2021.08.018")</f>
        <v>http://dx.doi.org/10.1016/j.anbehav.2021.08.018</v>
      </c>
      <c r="BG113" s="2" t="s">
        <v>74</v>
      </c>
      <c r="BH113" s="2" t="s">
        <v>675</v>
      </c>
      <c r="BI113" s="2" t="s">
        <v>74</v>
      </c>
      <c r="BJ113" s="2" t="s">
        <v>74</v>
      </c>
      <c r="BK113" s="2" t="s">
        <v>74</v>
      </c>
      <c r="BL113" s="2" t="s">
        <v>74</v>
      </c>
      <c r="BM113" s="2" t="s">
        <v>74</v>
      </c>
      <c r="BN113" s="2" t="s">
        <v>74</v>
      </c>
      <c r="BO113" s="2" t="s">
        <v>74</v>
      </c>
      <c r="BP113" s="2" t="s">
        <v>74</v>
      </c>
      <c r="BQ113" s="2" t="s">
        <v>74</v>
      </c>
      <c r="BR113" s="2" t="s">
        <v>74</v>
      </c>
      <c r="BS113" s="2" t="s">
        <v>5613</v>
      </c>
      <c r="BT113" s="2" t="str">
        <f>HYPERLINK("https%3A%2F%2Fwww.webofscience.com%2Fwos%2Fwoscc%2Ffull-record%2FWOS:000707744600009","View Full Record in Web of Science")</f>
        <v>View Full Record in Web of Science</v>
      </c>
    </row>
    <row r="114" spans="1:72" s="2" customFormat="1" x14ac:dyDescent="0.4">
      <c r="A114" s="2" t="s">
        <v>72</v>
      </c>
      <c r="B114" s="2" t="s">
        <v>6318</v>
      </c>
      <c r="C114" s="2" t="s">
        <v>74</v>
      </c>
      <c r="D114" s="2" t="s">
        <v>74</v>
      </c>
      <c r="E114" s="2" t="s">
        <v>74</v>
      </c>
      <c r="F114" s="2" t="s">
        <v>6319</v>
      </c>
      <c r="G114" s="2" t="s">
        <v>74</v>
      </c>
      <c r="H114" s="2" t="s">
        <v>74</v>
      </c>
      <c r="I114" s="2" t="s">
        <v>6320</v>
      </c>
      <c r="J114" s="2" t="s">
        <v>2207</v>
      </c>
      <c r="K114" s="2" t="s">
        <v>74</v>
      </c>
      <c r="L114" s="2" t="s">
        <v>74</v>
      </c>
      <c r="M114" s="2" t="s">
        <v>74</v>
      </c>
      <c r="N114" s="2" t="s">
        <v>74</v>
      </c>
      <c r="O114" s="2" t="s">
        <v>74</v>
      </c>
      <c r="P114" s="2" t="s">
        <v>74</v>
      </c>
      <c r="Q114" s="2" t="s">
        <v>74</v>
      </c>
      <c r="R114" s="2" t="s">
        <v>74</v>
      </c>
      <c r="S114" s="2" t="s">
        <v>74</v>
      </c>
      <c r="T114" s="2" t="s">
        <v>74</v>
      </c>
      <c r="U114" s="2" t="s">
        <v>74</v>
      </c>
      <c r="V114" s="5" t="s">
        <v>6321</v>
      </c>
      <c r="W114" s="2" t="s">
        <v>74</v>
      </c>
      <c r="X114" s="2" t="s">
        <v>74</v>
      </c>
      <c r="Y114" s="2" t="s">
        <v>74</v>
      </c>
      <c r="Z114" s="2" t="s">
        <v>74</v>
      </c>
      <c r="AA114" s="2" t="s">
        <v>6322</v>
      </c>
      <c r="AB114" s="2" t="s">
        <v>6323</v>
      </c>
      <c r="AC114" s="2" t="s">
        <v>74</v>
      </c>
      <c r="AD114" s="2" t="s">
        <v>74</v>
      </c>
      <c r="AE114" s="2" t="s">
        <v>74</v>
      </c>
      <c r="AF114" s="2" t="s">
        <v>74</v>
      </c>
      <c r="AG114" s="2" t="s">
        <v>74</v>
      </c>
      <c r="AH114" s="2" t="s">
        <v>74</v>
      </c>
      <c r="AI114" s="2" t="s">
        <v>74</v>
      </c>
      <c r="AJ114" s="2" t="s">
        <v>74</v>
      </c>
      <c r="AK114" s="2" t="s">
        <v>74</v>
      </c>
      <c r="AL114" s="2" t="s">
        <v>74</v>
      </c>
      <c r="AM114" s="2" t="s">
        <v>74</v>
      </c>
      <c r="AN114" s="2" t="s">
        <v>74</v>
      </c>
      <c r="AO114" s="2" t="s">
        <v>2211</v>
      </c>
      <c r="AP114" s="2" t="s">
        <v>2461</v>
      </c>
      <c r="AQ114" s="2" t="s">
        <v>74</v>
      </c>
      <c r="AR114" s="2" t="s">
        <v>74</v>
      </c>
      <c r="AS114" s="2" t="s">
        <v>74</v>
      </c>
      <c r="AT114" s="2" t="s">
        <v>255</v>
      </c>
      <c r="AU114" s="2">
        <v>2018</v>
      </c>
      <c r="AV114" s="2">
        <v>49</v>
      </c>
      <c r="AW114" s="2">
        <v>1</v>
      </c>
      <c r="AX114" s="2" t="s">
        <v>74</v>
      </c>
      <c r="AY114" s="2" t="s">
        <v>74</v>
      </c>
      <c r="AZ114" s="2" t="s">
        <v>74</v>
      </c>
      <c r="BA114" s="2" t="s">
        <v>74</v>
      </c>
      <c r="BB114" s="2" t="s">
        <v>74</v>
      </c>
      <c r="BC114" s="2" t="s">
        <v>74</v>
      </c>
      <c r="BD114" s="2" t="s">
        <v>6324</v>
      </c>
      <c r="BE114" s="2" t="s">
        <v>6325</v>
      </c>
      <c r="BF114" s="2" t="str">
        <f>HYPERLINK("http://dx.doi.org/10.1111/jav.01467","http://dx.doi.org/10.1111/jav.01467")</f>
        <v>http://dx.doi.org/10.1111/jav.01467</v>
      </c>
      <c r="BG114" s="2" t="s">
        <v>74</v>
      </c>
      <c r="BH114" s="2" t="s">
        <v>74</v>
      </c>
      <c r="BI114" s="2" t="s">
        <v>74</v>
      </c>
      <c r="BJ114" s="2" t="s">
        <v>74</v>
      </c>
      <c r="BK114" s="2" t="s">
        <v>74</v>
      </c>
      <c r="BL114" s="2" t="s">
        <v>74</v>
      </c>
      <c r="BM114" s="2" t="s">
        <v>74</v>
      </c>
      <c r="BN114" s="2" t="s">
        <v>74</v>
      </c>
      <c r="BO114" s="2" t="s">
        <v>74</v>
      </c>
      <c r="BP114" s="2" t="s">
        <v>74</v>
      </c>
      <c r="BQ114" s="2" t="s">
        <v>74</v>
      </c>
      <c r="BR114" s="2" t="s">
        <v>74</v>
      </c>
      <c r="BS114" s="2" t="s">
        <v>6326</v>
      </c>
      <c r="BT114" s="2" t="str">
        <f>HYPERLINK("https%3A%2F%2Fwww.webofscience.com%2Fwos%2Fwoscc%2Ffull-record%2FWOS:000425085000003","View Full Record in Web of Science")</f>
        <v>View Full Record in Web of Science</v>
      </c>
    </row>
    <row r="115" spans="1:72" s="2" customFormat="1" x14ac:dyDescent="0.4">
      <c r="A115" s="2" t="s">
        <v>72</v>
      </c>
      <c r="B115" s="2" t="s">
        <v>4111</v>
      </c>
      <c r="C115" s="2" t="s">
        <v>74</v>
      </c>
      <c r="D115" s="2" t="s">
        <v>74</v>
      </c>
      <c r="E115" s="2" t="s">
        <v>74</v>
      </c>
      <c r="F115" s="2" t="s">
        <v>4112</v>
      </c>
      <c r="G115" s="2" t="s">
        <v>74</v>
      </c>
      <c r="H115" s="2" t="s">
        <v>74</v>
      </c>
      <c r="I115" s="2" t="s">
        <v>4113</v>
      </c>
      <c r="J115" s="2" t="s">
        <v>4114</v>
      </c>
      <c r="K115" s="2" t="s">
        <v>74</v>
      </c>
      <c r="L115" s="2" t="s">
        <v>74</v>
      </c>
      <c r="M115" s="2" t="s">
        <v>74</v>
      </c>
      <c r="N115" s="2" t="s">
        <v>74</v>
      </c>
      <c r="O115" s="2" t="s">
        <v>74</v>
      </c>
      <c r="P115" s="2" t="s">
        <v>74</v>
      </c>
      <c r="Q115" s="2" t="s">
        <v>74</v>
      </c>
      <c r="R115" s="2" t="s">
        <v>74</v>
      </c>
      <c r="S115" s="2" t="s">
        <v>74</v>
      </c>
      <c r="T115" s="2" t="s">
        <v>74</v>
      </c>
      <c r="U115" s="2" t="s">
        <v>74</v>
      </c>
      <c r="V115" s="5" t="s">
        <v>4115</v>
      </c>
      <c r="W115" s="2" t="s">
        <v>74</v>
      </c>
      <c r="X115" s="2" t="s">
        <v>74</v>
      </c>
      <c r="Y115" s="2" t="s">
        <v>74</v>
      </c>
      <c r="Z115" s="2" t="s">
        <v>74</v>
      </c>
      <c r="AA115" s="2" t="s">
        <v>74</v>
      </c>
      <c r="AB115" s="2" t="s">
        <v>74</v>
      </c>
      <c r="AC115" s="2" t="s">
        <v>74</v>
      </c>
      <c r="AD115" s="2" t="s">
        <v>74</v>
      </c>
      <c r="AE115" s="2" t="s">
        <v>74</v>
      </c>
      <c r="AF115" s="2" t="s">
        <v>74</v>
      </c>
      <c r="AG115" s="2" t="s">
        <v>74</v>
      </c>
      <c r="AH115" s="2" t="s">
        <v>74</v>
      </c>
      <c r="AI115" s="2" t="s">
        <v>74</v>
      </c>
      <c r="AJ115" s="2" t="s">
        <v>74</v>
      </c>
      <c r="AK115" s="2" t="s">
        <v>74</v>
      </c>
      <c r="AL115" s="2" t="s">
        <v>74</v>
      </c>
      <c r="AM115" s="2" t="s">
        <v>74</v>
      </c>
      <c r="AN115" s="2" t="s">
        <v>74</v>
      </c>
      <c r="AO115" s="2" t="s">
        <v>4116</v>
      </c>
      <c r="AP115" s="2" t="s">
        <v>4117</v>
      </c>
      <c r="AQ115" s="2" t="s">
        <v>74</v>
      </c>
      <c r="AR115" s="2" t="s">
        <v>74</v>
      </c>
      <c r="AS115" s="2" t="s">
        <v>74</v>
      </c>
      <c r="AT115" s="2" t="s">
        <v>633</v>
      </c>
      <c r="AU115" s="2">
        <v>2022</v>
      </c>
      <c r="AV115" s="2">
        <v>47</v>
      </c>
      <c r="AW115" s="2">
        <v>2</v>
      </c>
      <c r="AX115" s="2" t="s">
        <v>74</v>
      </c>
      <c r="AY115" s="2" t="s">
        <v>74</v>
      </c>
      <c r="AZ115" s="2" t="s">
        <v>74</v>
      </c>
      <c r="BA115" s="2" t="s">
        <v>74</v>
      </c>
      <c r="BB115" s="2">
        <v>158</v>
      </c>
      <c r="BC115" s="2">
        <v>169</v>
      </c>
      <c r="BD115" s="2" t="s">
        <v>74</v>
      </c>
      <c r="BE115" s="2" t="s">
        <v>4118</v>
      </c>
      <c r="BF115" s="2" t="str">
        <f>HYPERLINK("http://dx.doi.org/10.1111/een.13098","http://dx.doi.org/10.1111/een.13098")</f>
        <v>http://dx.doi.org/10.1111/een.13098</v>
      </c>
      <c r="BG115" s="2" t="s">
        <v>74</v>
      </c>
      <c r="BH115" s="2" t="s">
        <v>4119</v>
      </c>
      <c r="BI115" s="2" t="s">
        <v>74</v>
      </c>
      <c r="BJ115" s="2" t="s">
        <v>74</v>
      </c>
      <c r="BK115" s="2" t="s">
        <v>74</v>
      </c>
      <c r="BL115" s="2" t="s">
        <v>74</v>
      </c>
      <c r="BM115" s="2" t="s">
        <v>74</v>
      </c>
      <c r="BN115" s="2" t="s">
        <v>74</v>
      </c>
      <c r="BO115" s="2" t="s">
        <v>74</v>
      </c>
      <c r="BP115" s="2" t="s">
        <v>74</v>
      </c>
      <c r="BQ115" s="2" t="s">
        <v>74</v>
      </c>
      <c r="BR115" s="2" t="s">
        <v>74</v>
      </c>
      <c r="BS115" s="2" t="s">
        <v>4120</v>
      </c>
      <c r="BT115" s="2" t="str">
        <f>HYPERLINK("https%3A%2F%2Fwww.webofscience.com%2Fwos%2Fwoscc%2Ffull-record%2FWOS:000711895800001","View Full Record in Web of Science")</f>
        <v>View Full Record in Web of Science</v>
      </c>
    </row>
    <row r="116" spans="1:72" s="1" customFormat="1" x14ac:dyDescent="0.4">
      <c r="A116" s="2" t="s">
        <v>72</v>
      </c>
      <c r="B116" s="2" t="s">
        <v>5521</v>
      </c>
      <c r="C116" s="2" t="s">
        <v>74</v>
      </c>
      <c r="D116" s="2" t="s">
        <v>74</v>
      </c>
      <c r="E116" s="2" t="s">
        <v>74</v>
      </c>
      <c r="F116" s="2" t="s">
        <v>5522</v>
      </c>
      <c r="G116" s="2" t="s">
        <v>74</v>
      </c>
      <c r="H116" s="2" t="s">
        <v>74</v>
      </c>
      <c r="I116" s="2" t="s">
        <v>5523</v>
      </c>
      <c r="J116" s="2" t="s">
        <v>218</v>
      </c>
      <c r="K116" s="2" t="s">
        <v>74</v>
      </c>
      <c r="L116" s="2" t="s">
        <v>74</v>
      </c>
      <c r="M116" s="2" t="s">
        <v>74</v>
      </c>
      <c r="N116" s="2" t="s">
        <v>74</v>
      </c>
      <c r="O116" s="2" t="s">
        <v>74</v>
      </c>
      <c r="P116" s="2" t="s">
        <v>74</v>
      </c>
      <c r="Q116" s="2" t="s">
        <v>74</v>
      </c>
      <c r="R116" s="2" t="s">
        <v>74</v>
      </c>
      <c r="S116" s="2" t="s">
        <v>74</v>
      </c>
      <c r="T116" s="2" t="s">
        <v>74</v>
      </c>
      <c r="U116" s="2" t="s">
        <v>74</v>
      </c>
      <c r="V116" s="5" t="s">
        <v>5524</v>
      </c>
      <c r="W116" s="2" t="s">
        <v>74</v>
      </c>
      <c r="X116" s="2" t="s">
        <v>74</v>
      </c>
      <c r="Y116" s="2" t="s">
        <v>74</v>
      </c>
      <c r="Z116" s="2" t="s">
        <v>74</v>
      </c>
      <c r="AA116" s="2" t="s">
        <v>5525</v>
      </c>
      <c r="AB116" s="2" t="s">
        <v>5526</v>
      </c>
      <c r="AC116" s="2" t="s">
        <v>74</v>
      </c>
      <c r="AD116" s="2" t="s">
        <v>74</v>
      </c>
      <c r="AE116" s="2" t="s">
        <v>74</v>
      </c>
      <c r="AF116" s="2" t="s">
        <v>74</v>
      </c>
      <c r="AG116" s="2" t="s">
        <v>74</v>
      </c>
      <c r="AH116" s="2" t="s">
        <v>74</v>
      </c>
      <c r="AI116" s="2" t="s">
        <v>74</v>
      </c>
      <c r="AJ116" s="2" t="s">
        <v>74</v>
      </c>
      <c r="AK116" s="2" t="s">
        <v>74</v>
      </c>
      <c r="AL116" s="2" t="s">
        <v>74</v>
      </c>
      <c r="AM116" s="2" t="s">
        <v>74</v>
      </c>
      <c r="AN116" s="2" t="s">
        <v>74</v>
      </c>
      <c r="AO116" s="2" t="s">
        <v>221</v>
      </c>
      <c r="AP116" s="2" t="s">
        <v>222</v>
      </c>
      <c r="AQ116" s="2" t="s">
        <v>74</v>
      </c>
      <c r="AR116" s="2" t="s">
        <v>74</v>
      </c>
      <c r="AS116" s="2" t="s">
        <v>74</v>
      </c>
      <c r="AT116" s="2" t="s">
        <v>213</v>
      </c>
      <c r="AU116" s="2">
        <v>2008</v>
      </c>
      <c r="AV116" s="2">
        <v>21</v>
      </c>
      <c r="AW116" s="2">
        <v>6</v>
      </c>
      <c r="AX116" s="2" t="s">
        <v>74</v>
      </c>
      <c r="AY116" s="2" t="s">
        <v>74</v>
      </c>
      <c r="AZ116" s="2" t="s">
        <v>74</v>
      </c>
      <c r="BA116" s="2" t="s">
        <v>74</v>
      </c>
      <c r="BB116" s="2">
        <v>1789</v>
      </c>
      <c r="BC116" s="2">
        <v>1797</v>
      </c>
      <c r="BD116" s="2" t="s">
        <v>74</v>
      </c>
      <c r="BE116" s="2" t="s">
        <v>5527</v>
      </c>
      <c r="BF116" s="2" t="str">
        <f>HYPERLINK("http://dx.doi.org/10.1111/j.1420-9101.2008.01591.x","http://dx.doi.org/10.1111/j.1420-9101.2008.01591.x")</f>
        <v>http://dx.doi.org/10.1111/j.1420-9101.2008.01591.x</v>
      </c>
      <c r="BG116" s="2" t="s">
        <v>74</v>
      </c>
      <c r="BH116" s="2" t="s">
        <v>74</v>
      </c>
      <c r="BI116" s="2" t="s">
        <v>74</v>
      </c>
      <c r="BJ116" s="2" t="s">
        <v>74</v>
      </c>
      <c r="BK116" s="2" t="s">
        <v>74</v>
      </c>
      <c r="BL116" s="2" t="s">
        <v>74</v>
      </c>
      <c r="BM116" s="2" t="s">
        <v>74</v>
      </c>
      <c r="BN116" s="2">
        <v>18713241</v>
      </c>
      <c r="BO116" s="2" t="s">
        <v>74</v>
      </c>
      <c r="BP116" s="2" t="s">
        <v>74</v>
      </c>
      <c r="BQ116" s="2" t="s">
        <v>74</v>
      </c>
      <c r="BR116" s="2" t="s">
        <v>74</v>
      </c>
      <c r="BS116" s="2" t="s">
        <v>5528</v>
      </c>
      <c r="BT116" s="2" t="str">
        <f>HYPERLINK("https%3A%2F%2Fwww.webofscience.com%2Fwos%2Fwoscc%2Ffull-record%2FWOS:000260108900032","View Full Record in Web of Science")</f>
        <v>View Full Record in Web of Science</v>
      </c>
    </row>
    <row r="117" spans="1:72" s="2" customFormat="1" x14ac:dyDescent="0.4">
      <c r="A117" s="2" t="s">
        <v>72</v>
      </c>
      <c r="B117" s="2" t="s">
        <v>2128</v>
      </c>
      <c r="C117" s="2" t="s">
        <v>74</v>
      </c>
      <c r="D117" s="2" t="s">
        <v>74</v>
      </c>
      <c r="E117" s="2" t="s">
        <v>74</v>
      </c>
      <c r="F117" s="2" t="s">
        <v>2128</v>
      </c>
      <c r="G117" s="2" t="s">
        <v>74</v>
      </c>
      <c r="H117" s="2" t="s">
        <v>74</v>
      </c>
      <c r="I117" s="2" t="s">
        <v>2129</v>
      </c>
      <c r="J117" s="2" t="s">
        <v>1526</v>
      </c>
      <c r="K117" s="2" t="s">
        <v>74</v>
      </c>
      <c r="L117" s="2" t="s">
        <v>74</v>
      </c>
      <c r="M117" s="2" t="s">
        <v>74</v>
      </c>
      <c r="N117" s="2" t="s">
        <v>74</v>
      </c>
      <c r="O117" s="2" t="s">
        <v>74</v>
      </c>
      <c r="P117" s="2" t="s">
        <v>74</v>
      </c>
      <c r="Q117" s="2" t="s">
        <v>74</v>
      </c>
      <c r="R117" s="2" t="s">
        <v>74</v>
      </c>
      <c r="S117" s="2" t="s">
        <v>74</v>
      </c>
      <c r="T117" s="2" t="s">
        <v>74</v>
      </c>
      <c r="U117" s="2" t="s">
        <v>74</v>
      </c>
      <c r="V117" s="5" t="s">
        <v>2130</v>
      </c>
      <c r="W117" s="2" t="s">
        <v>74</v>
      </c>
      <c r="X117" s="2" t="s">
        <v>74</v>
      </c>
      <c r="Y117" s="2" t="s">
        <v>74</v>
      </c>
      <c r="Z117" s="2" t="s">
        <v>74</v>
      </c>
      <c r="AA117" s="2" t="s">
        <v>74</v>
      </c>
      <c r="AB117" s="2" t="s">
        <v>74</v>
      </c>
      <c r="AC117" s="2" t="s">
        <v>74</v>
      </c>
      <c r="AD117" s="2" t="s">
        <v>74</v>
      </c>
      <c r="AE117" s="2" t="s">
        <v>74</v>
      </c>
      <c r="AF117" s="2" t="s">
        <v>74</v>
      </c>
      <c r="AG117" s="2" t="s">
        <v>74</v>
      </c>
      <c r="AH117" s="2" t="s">
        <v>74</v>
      </c>
      <c r="AI117" s="2" t="s">
        <v>74</v>
      </c>
      <c r="AJ117" s="2" t="s">
        <v>74</v>
      </c>
      <c r="AK117" s="2" t="s">
        <v>74</v>
      </c>
      <c r="AL117" s="2" t="s">
        <v>74</v>
      </c>
      <c r="AM117" s="2" t="s">
        <v>74</v>
      </c>
      <c r="AN117" s="2" t="s">
        <v>74</v>
      </c>
      <c r="AO117" s="2" t="s">
        <v>1528</v>
      </c>
      <c r="AP117" s="2" t="s">
        <v>2131</v>
      </c>
      <c r="AQ117" s="2" t="s">
        <v>74</v>
      </c>
      <c r="AR117" s="2" t="s">
        <v>74</v>
      </c>
      <c r="AS117" s="2" t="s">
        <v>74</v>
      </c>
      <c r="AT117" s="2" t="s">
        <v>145</v>
      </c>
      <c r="AU117" s="2">
        <v>2000</v>
      </c>
      <c r="AV117" s="2">
        <v>102</v>
      </c>
      <c r="AW117" s="2">
        <v>3</v>
      </c>
      <c r="AX117" s="2" t="s">
        <v>74</v>
      </c>
      <c r="AY117" s="2" t="s">
        <v>74</v>
      </c>
      <c r="AZ117" s="2" t="s">
        <v>74</v>
      </c>
      <c r="BA117" s="2" t="s">
        <v>74</v>
      </c>
      <c r="BB117" s="2">
        <v>708</v>
      </c>
      <c r="BC117" s="2">
        <v>712</v>
      </c>
      <c r="BD117" s="2" t="s">
        <v>74</v>
      </c>
      <c r="BE117" s="2" t="s">
        <v>2132</v>
      </c>
      <c r="BF117" s="2" t="str">
        <f>HYPERLINK("http://dx.doi.org/10.1650/0010-5422(2000)102[0708:RBTCPA]2.0.CO;2","http://dx.doi.org/10.1650/0010-5422(2000)102[0708:RBTCPA]2.0.CO;2")</f>
        <v>http://dx.doi.org/10.1650/0010-5422(2000)102[0708:RBTCPA]2.0.CO;2</v>
      </c>
      <c r="BG117" s="2" t="s">
        <v>74</v>
      </c>
      <c r="BH117" s="2" t="s">
        <v>74</v>
      </c>
      <c r="BI117" s="2" t="s">
        <v>74</v>
      </c>
      <c r="BJ117" s="2" t="s">
        <v>74</v>
      </c>
      <c r="BK117" s="2" t="s">
        <v>74</v>
      </c>
      <c r="BL117" s="2" t="s">
        <v>74</v>
      </c>
      <c r="BM117" s="2" t="s">
        <v>74</v>
      </c>
      <c r="BN117" s="2" t="s">
        <v>74</v>
      </c>
      <c r="BO117" s="2" t="s">
        <v>74</v>
      </c>
      <c r="BP117" s="2" t="s">
        <v>74</v>
      </c>
      <c r="BQ117" s="2" t="s">
        <v>74</v>
      </c>
      <c r="BR117" s="2" t="s">
        <v>74</v>
      </c>
      <c r="BS117" s="2" t="s">
        <v>2133</v>
      </c>
      <c r="BT117" s="2" t="str">
        <f>HYPERLINK("https%3A%2F%2Fwww.webofscience.com%2Fwos%2Fwoscc%2Ffull-record%2FWOS:000088716300031","View Full Record in Web of Science")</f>
        <v>View Full Record in Web of Science</v>
      </c>
    </row>
    <row r="118" spans="1:72" s="2" customFormat="1" x14ac:dyDescent="0.4">
      <c r="A118" s="2" t="s">
        <v>72</v>
      </c>
      <c r="B118" s="2" t="s">
        <v>1963</v>
      </c>
      <c r="C118" s="2" t="s">
        <v>74</v>
      </c>
      <c r="D118" s="2" t="s">
        <v>74</v>
      </c>
      <c r="E118" s="2" t="s">
        <v>74</v>
      </c>
      <c r="F118" s="2" t="s">
        <v>1964</v>
      </c>
      <c r="G118" s="2" t="s">
        <v>74</v>
      </c>
      <c r="H118" s="2" t="s">
        <v>74</v>
      </c>
      <c r="I118" s="2" t="s">
        <v>1965</v>
      </c>
      <c r="J118" s="2" t="s">
        <v>803</v>
      </c>
      <c r="K118" s="2" t="s">
        <v>74</v>
      </c>
      <c r="L118" s="2" t="s">
        <v>74</v>
      </c>
      <c r="M118" s="2" t="s">
        <v>74</v>
      </c>
      <c r="N118" s="2" t="s">
        <v>74</v>
      </c>
      <c r="O118" s="2" t="s">
        <v>74</v>
      </c>
      <c r="P118" s="2" t="s">
        <v>74</v>
      </c>
      <c r="Q118" s="2" t="s">
        <v>74</v>
      </c>
      <c r="R118" s="2" t="s">
        <v>74</v>
      </c>
      <c r="S118" s="2" t="s">
        <v>74</v>
      </c>
      <c r="T118" s="2" t="s">
        <v>74</v>
      </c>
      <c r="U118" s="2" t="s">
        <v>74</v>
      </c>
      <c r="V118" s="5" t="s">
        <v>1966</v>
      </c>
      <c r="W118" s="2" t="s">
        <v>74</v>
      </c>
      <c r="X118" s="2" t="s">
        <v>74</v>
      </c>
      <c r="Y118" s="2" t="s">
        <v>74</v>
      </c>
      <c r="Z118" s="2" t="s">
        <v>74</v>
      </c>
      <c r="AA118" s="2" t="s">
        <v>1967</v>
      </c>
      <c r="AB118" s="2" t="s">
        <v>1968</v>
      </c>
      <c r="AC118" s="2" t="s">
        <v>74</v>
      </c>
      <c r="AD118" s="2" t="s">
        <v>74</v>
      </c>
      <c r="AE118" s="2" t="s">
        <v>74</v>
      </c>
      <c r="AF118" s="2" t="s">
        <v>74</v>
      </c>
      <c r="AG118" s="2" t="s">
        <v>74</v>
      </c>
      <c r="AH118" s="2" t="s">
        <v>74</v>
      </c>
      <c r="AI118" s="2" t="s">
        <v>74</v>
      </c>
      <c r="AJ118" s="2" t="s">
        <v>74</v>
      </c>
      <c r="AK118" s="2" t="s">
        <v>74</v>
      </c>
      <c r="AL118" s="2" t="s">
        <v>74</v>
      </c>
      <c r="AM118" s="2" t="s">
        <v>74</v>
      </c>
      <c r="AN118" s="2" t="s">
        <v>74</v>
      </c>
      <c r="AO118" s="2" t="s">
        <v>806</v>
      </c>
      <c r="AP118" s="2" t="s">
        <v>807</v>
      </c>
      <c r="AQ118" s="2" t="s">
        <v>74</v>
      </c>
      <c r="AR118" s="2" t="s">
        <v>74</v>
      </c>
      <c r="AS118" s="2" t="s">
        <v>74</v>
      </c>
      <c r="AT118" s="2" t="s">
        <v>808</v>
      </c>
      <c r="AU118" s="2">
        <v>2009</v>
      </c>
      <c r="AV118" s="2">
        <v>4</v>
      </c>
      <c r="AW118" s="2">
        <v>3</v>
      </c>
      <c r="AX118" s="2" t="s">
        <v>74</v>
      </c>
      <c r="AY118" s="2" t="s">
        <v>74</v>
      </c>
      <c r="AZ118" s="2" t="s">
        <v>74</v>
      </c>
      <c r="BA118" s="2" t="s">
        <v>74</v>
      </c>
      <c r="BB118" s="2">
        <v>111</v>
      </c>
      <c r="BC118" s="2">
        <v>117</v>
      </c>
      <c r="BD118" s="2" t="s">
        <v>74</v>
      </c>
      <c r="BE118" s="2" t="s">
        <v>1969</v>
      </c>
      <c r="BF118" s="2" t="str">
        <f>HYPERLINK("http://dx.doi.org/10.1016/j.jveb.2008.08.010","http://dx.doi.org/10.1016/j.jveb.2008.08.010")</f>
        <v>http://dx.doi.org/10.1016/j.jveb.2008.08.010</v>
      </c>
      <c r="BG118" s="2" t="s">
        <v>74</v>
      </c>
      <c r="BH118" s="2" t="s">
        <v>74</v>
      </c>
      <c r="BI118" s="2" t="s">
        <v>74</v>
      </c>
      <c r="BJ118" s="2" t="s">
        <v>74</v>
      </c>
      <c r="BK118" s="2" t="s">
        <v>74</v>
      </c>
      <c r="BL118" s="2" t="s">
        <v>74</v>
      </c>
      <c r="BM118" s="2" t="s">
        <v>74</v>
      </c>
      <c r="BN118" s="2" t="s">
        <v>74</v>
      </c>
      <c r="BO118" s="2" t="s">
        <v>74</v>
      </c>
      <c r="BP118" s="2" t="s">
        <v>74</v>
      </c>
      <c r="BQ118" s="2" t="s">
        <v>74</v>
      </c>
      <c r="BR118" s="2" t="s">
        <v>74</v>
      </c>
      <c r="BS118" s="2" t="s">
        <v>1970</v>
      </c>
      <c r="BT118" s="2" t="str">
        <f>HYPERLINK("https%3A%2F%2Fwww.webofscience.com%2Fwos%2Fwoscc%2Ffull-record%2FWOS:000266574100002","View Full Record in Web of Science")</f>
        <v>View Full Record in Web of Science</v>
      </c>
    </row>
    <row r="119" spans="1:72" s="2" customFormat="1" x14ac:dyDescent="0.4">
      <c r="A119" s="2" t="s">
        <v>72</v>
      </c>
      <c r="B119" s="2" t="s">
        <v>1565</v>
      </c>
      <c r="C119" s="2" t="s">
        <v>74</v>
      </c>
      <c r="D119" s="2" t="s">
        <v>74</v>
      </c>
      <c r="E119" s="2" t="s">
        <v>74</v>
      </c>
      <c r="F119" s="2" t="s">
        <v>1566</v>
      </c>
      <c r="G119" s="2" t="s">
        <v>74</v>
      </c>
      <c r="H119" s="2" t="s">
        <v>74</v>
      </c>
      <c r="I119" s="2" t="s">
        <v>1567</v>
      </c>
      <c r="J119" s="2" t="s">
        <v>88</v>
      </c>
      <c r="K119" s="2" t="s">
        <v>74</v>
      </c>
      <c r="L119" s="2" t="s">
        <v>74</v>
      </c>
      <c r="M119" s="2" t="s">
        <v>74</v>
      </c>
      <c r="N119" s="2" t="s">
        <v>74</v>
      </c>
      <c r="O119" s="2" t="s">
        <v>74</v>
      </c>
      <c r="P119" s="2" t="s">
        <v>74</v>
      </c>
      <c r="Q119" s="2" t="s">
        <v>74</v>
      </c>
      <c r="R119" s="2" t="s">
        <v>74</v>
      </c>
      <c r="S119" s="2" t="s">
        <v>74</v>
      </c>
      <c r="T119" s="2" t="s">
        <v>74</v>
      </c>
      <c r="U119" s="2" t="s">
        <v>74</v>
      </c>
      <c r="V119" s="5" t="s">
        <v>1568</v>
      </c>
      <c r="W119" s="2" t="s">
        <v>74</v>
      </c>
      <c r="X119" s="2" t="s">
        <v>74</v>
      </c>
      <c r="Y119" s="2" t="s">
        <v>74</v>
      </c>
      <c r="Z119" s="2" t="s">
        <v>74</v>
      </c>
      <c r="AA119" s="2" t="s">
        <v>74</v>
      </c>
      <c r="AB119" s="2" t="s">
        <v>1569</v>
      </c>
      <c r="AC119" s="2" t="s">
        <v>74</v>
      </c>
      <c r="AD119" s="2" t="s">
        <v>74</v>
      </c>
      <c r="AE119" s="2" t="s">
        <v>74</v>
      </c>
      <c r="AF119" s="2" t="s">
        <v>74</v>
      </c>
      <c r="AG119" s="2" t="s">
        <v>74</v>
      </c>
      <c r="AH119" s="2" t="s">
        <v>74</v>
      </c>
      <c r="AI119" s="2" t="s">
        <v>74</v>
      </c>
      <c r="AJ119" s="2" t="s">
        <v>74</v>
      </c>
      <c r="AK119" s="2" t="s">
        <v>74</v>
      </c>
      <c r="AL119" s="2" t="s">
        <v>74</v>
      </c>
      <c r="AM119" s="2" t="s">
        <v>74</v>
      </c>
      <c r="AN119" s="2" t="s">
        <v>74</v>
      </c>
      <c r="AO119" s="2" t="s">
        <v>91</v>
      </c>
      <c r="AP119" s="2" t="s">
        <v>92</v>
      </c>
      <c r="AQ119" s="2" t="s">
        <v>74</v>
      </c>
      <c r="AR119" s="2" t="s">
        <v>74</v>
      </c>
      <c r="AS119" s="2" t="s">
        <v>74</v>
      </c>
      <c r="AT119" s="2" t="s">
        <v>361</v>
      </c>
      <c r="AU119" s="2">
        <v>2019</v>
      </c>
      <c r="AV119" s="2">
        <v>15</v>
      </c>
      <c r="AW119" s="2">
        <v>5</v>
      </c>
      <c r="AX119" s="2" t="s">
        <v>74</v>
      </c>
      <c r="AY119" s="2" t="s">
        <v>74</v>
      </c>
      <c r="AZ119" s="2" t="s">
        <v>74</v>
      </c>
      <c r="BA119" s="2" t="s">
        <v>74</v>
      </c>
      <c r="BB119" s="2" t="s">
        <v>74</v>
      </c>
      <c r="BC119" s="2" t="s">
        <v>74</v>
      </c>
      <c r="BD119" s="2">
        <v>20190207</v>
      </c>
      <c r="BE119" s="2" t="s">
        <v>1570</v>
      </c>
      <c r="BF119" s="2" t="str">
        <f>HYPERLINK("http://dx.doi.org/10.1098/rsbl.2019.0207","http://dx.doi.org/10.1098/rsbl.2019.0207")</f>
        <v>http://dx.doi.org/10.1098/rsbl.2019.0207</v>
      </c>
      <c r="BG119" s="2" t="s">
        <v>74</v>
      </c>
      <c r="BH119" s="2" t="s">
        <v>74</v>
      </c>
      <c r="BI119" s="2" t="s">
        <v>74</v>
      </c>
      <c r="BJ119" s="2" t="s">
        <v>74</v>
      </c>
      <c r="BK119" s="2" t="s">
        <v>74</v>
      </c>
      <c r="BL119" s="2" t="s">
        <v>74</v>
      </c>
      <c r="BM119" s="2" t="s">
        <v>74</v>
      </c>
      <c r="BN119" s="2">
        <v>31088284</v>
      </c>
      <c r="BO119" s="2" t="s">
        <v>74</v>
      </c>
      <c r="BP119" s="2" t="s">
        <v>74</v>
      </c>
      <c r="BQ119" s="2" t="s">
        <v>74</v>
      </c>
      <c r="BR119" s="2" t="s">
        <v>74</v>
      </c>
      <c r="BS119" s="2" t="s">
        <v>1571</v>
      </c>
      <c r="BT119" s="2" t="str">
        <f>HYPERLINK("https%3A%2F%2Fwww.webofscience.com%2Fwos%2Fwoscc%2Ffull-record%2FWOS:000470116400022","View Full Record in Web of Science")</f>
        <v>View Full Record in Web of Science</v>
      </c>
    </row>
    <row r="120" spans="1:72" s="2" customFormat="1" x14ac:dyDescent="0.4">
      <c r="A120" s="2" t="s">
        <v>72</v>
      </c>
      <c r="B120" s="2" t="s">
        <v>1565</v>
      </c>
      <c r="C120" s="2" t="s">
        <v>74</v>
      </c>
      <c r="D120" s="2" t="s">
        <v>74</v>
      </c>
      <c r="E120" s="2" t="s">
        <v>74</v>
      </c>
      <c r="F120" s="2" t="s">
        <v>1566</v>
      </c>
      <c r="G120" s="2" t="s">
        <v>74</v>
      </c>
      <c r="H120" s="2" t="s">
        <v>74</v>
      </c>
      <c r="I120" s="2" t="s">
        <v>1694</v>
      </c>
      <c r="J120" s="2" t="s">
        <v>509</v>
      </c>
      <c r="K120" s="2" t="s">
        <v>74</v>
      </c>
      <c r="L120" s="2" t="s">
        <v>74</v>
      </c>
      <c r="M120" s="2" t="s">
        <v>74</v>
      </c>
      <c r="N120" s="2" t="s">
        <v>74</v>
      </c>
      <c r="O120" s="2" t="s">
        <v>74</v>
      </c>
      <c r="P120" s="2" t="s">
        <v>74</v>
      </c>
      <c r="Q120" s="2" t="s">
        <v>74</v>
      </c>
      <c r="R120" s="2" t="s">
        <v>74</v>
      </c>
      <c r="S120" s="2" t="s">
        <v>74</v>
      </c>
      <c r="T120" s="2" t="s">
        <v>74</v>
      </c>
      <c r="U120" s="2" t="s">
        <v>74</v>
      </c>
      <c r="V120" s="5" t="s">
        <v>1695</v>
      </c>
      <c r="W120" s="2" t="s">
        <v>74</v>
      </c>
      <c r="X120" s="2" t="s">
        <v>74</v>
      </c>
      <c r="Y120" s="2" t="s">
        <v>74</v>
      </c>
      <c r="Z120" s="2" t="s">
        <v>74</v>
      </c>
      <c r="AA120" s="2" t="s">
        <v>74</v>
      </c>
      <c r="AB120" s="2" t="s">
        <v>1696</v>
      </c>
      <c r="AC120" s="2" t="s">
        <v>74</v>
      </c>
      <c r="AD120" s="2" t="s">
        <v>74</v>
      </c>
      <c r="AE120" s="2" t="s">
        <v>74</v>
      </c>
      <c r="AF120" s="2" t="s">
        <v>74</v>
      </c>
      <c r="AG120" s="2" t="s">
        <v>74</v>
      </c>
      <c r="AH120" s="2" t="s">
        <v>74</v>
      </c>
      <c r="AI120" s="2" t="s">
        <v>74</v>
      </c>
      <c r="AJ120" s="2" t="s">
        <v>74</v>
      </c>
      <c r="AK120" s="2" t="s">
        <v>74</v>
      </c>
      <c r="AL120" s="2" t="s">
        <v>74</v>
      </c>
      <c r="AM120" s="2" t="s">
        <v>74</v>
      </c>
      <c r="AN120" s="2" t="s">
        <v>74</v>
      </c>
      <c r="AO120" s="2" t="s">
        <v>511</v>
      </c>
      <c r="AP120" s="2" t="s">
        <v>512</v>
      </c>
      <c r="AQ120" s="2" t="s">
        <v>74</v>
      </c>
      <c r="AR120" s="2" t="s">
        <v>74</v>
      </c>
      <c r="AS120" s="2" t="s">
        <v>74</v>
      </c>
      <c r="AT120" s="2" t="s">
        <v>145</v>
      </c>
      <c r="AU120" s="2">
        <v>2022</v>
      </c>
      <c r="AV120" s="2">
        <v>144</v>
      </c>
      <c r="AW120" s="2" t="s">
        <v>74</v>
      </c>
      <c r="AX120" s="2" t="s">
        <v>74</v>
      </c>
      <c r="AY120" s="2" t="s">
        <v>74</v>
      </c>
      <c r="AZ120" s="2" t="s">
        <v>74</v>
      </c>
      <c r="BA120" s="2" t="s">
        <v>74</v>
      </c>
      <c r="BB120" s="2" t="s">
        <v>74</v>
      </c>
      <c r="BC120" s="2" t="s">
        <v>74</v>
      </c>
      <c r="BD120" s="2">
        <v>105214</v>
      </c>
      <c r="BE120" s="2" t="s">
        <v>1697</v>
      </c>
      <c r="BF120" s="2" t="str">
        <f>HYPERLINK("http://dx.doi.org/10.1016/j.yhbeh.2022.105214","http://dx.doi.org/10.1016/j.yhbeh.2022.105214")</f>
        <v>http://dx.doi.org/10.1016/j.yhbeh.2022.105214</v>
      </c>
      <c r="BG120" s="2" t="s">
        <v>74</v>
      </c>
      <c r="BH120" s="2" t="s">
        <v>1698</v>
      </c>
      <c r="BI120" s="2" t="s">
        <v>74</v>
      </c>
      <c r="BJ120" s="2" t="s">
        <v>74</v>
      </c>
      <c r="BK120" s="2" t="s">
        <v>74</v>
      </c>
      <c r="BL120" s="2" t="s">
        <v>74</v>
      </c>
      <c r="BM120" s="2" t="s">
        <v>74</v>
      </c>
      <c r="BN120" s="2">
        <v>35696781</v>
      </c>
      <c r="BO120" s="2" t="s">
        <v>74</v>
      </c>
      <c r="BP120" s="2" t="s">
        <v>74</v>
      </c>
      <c r="BQ120" s="2" t="s">
        <v>74</v>
      </c>
      <c r="BR120" s="2" t="s">
        <v>74</v>
      </c>
      <c r="BS120" s="2" t="s">
        <v>1699</v>
      </c>
      <c r="BT120" s="2" t="str">
        <f>HYPERLINK("https%3A%2F%2Fwww.webofscience.com%2Fwos%2Fwoscc%2Ffull-record%2FWOS:000815736500002","View Full Record in Web of Science")</f>
        <v>View Full Record in Web of Science</v>
      </c>
    </row>
    <row r="121" spans="1:72" s="2" customFormat="1" x14ac:dyDescent="0.4">
      <c r="A121" s="2" t="s">
        <v>72</v>
      </c>
      <c r="B121" s="2" t="s">
        <v>7495</v>
      </c>
      <c r="C121" s="2" t="s">
        <v>74</v>
      </c>
      <c r="D121" s="2" t="s">
        <v>74</v>
      </c>
      <c r="E121" s="2" t="s">
        <v>74</v>
      </c>
      <c r="F121" s="2" t="s">
        <v>7496</v>
      </c>
      <c r="G121" s="2" t="s">
        <v>74</v>
      </c>
      <c r="H121" s="2" t="s">
        <v>74</v>
      </c>
      <c r="I121" s="2" t="s">
        <v>7497</v>
      </c>
      <c r="J121" s="2" t="s">
        <v>775</v>
      </c>
      <c r="K121" s="2" t="s">
        <v>74</v>
      </c>
      <c r="L121" s="2" t="s">
        <v>74</v>
      </c>
      <c r="M121" s="2" t="s">
        <v>74</v>
      </c>
      <c r="N121" s="2" t="s">
        <v>74</v>
      </c>
      <c r="O121" s="2" t="s">
        <v>74</v>
      </c>
      <c r="P121" s="2" t="s">
        <v>74</v>
      </c>
      <c r="Q121" s="2" t="s">
        <v>74</v>
      </c>
      <c r="R121" s="2" t="s">
        <v>74</v>
      </c>
      <c r="S121" s="2" t="s">
        <v>74</v>
      </c>
      <c r="T121" s="2" t="s">
        <v>74</v>
      </c>
      <c r="U121" s="2" t="s">
        <v>74</v>
      </c>
      <c r="V121" s="5" t="s">
        <v>7498</v>
      </c>
      <c r="W121" s="2" t="s">
        <v>74</v>
      </c>
      <c r="X121" s="2" t="s">
        <v>74</v>
      </c>
      <c r="Y121" s="2" t="s">
        <v>74</v>
      </c>
      <c r="Z121" s="2" t="s">
        <v>74</v>
      </c>
      <c r="AA121" s="2" t="s">
        <v>74</v>
      </c>
      <c r="AB121" s="2" t="s">
        <v>7499</v>
      </c>
      <c r="AC121" s="2" t="s">
        <v>74</v>
      </c>
      <c r="AD121" s="2" t="s">
        <v>74</v>
      </c>
      <c r="AE121" s="2" t="s">
        <v>74</v>
      </c>
      <c r="AF121" s="2" t="s">
        <v>74</v>
      </c>
      <c r="AG121" s="2" t="s">
        <v>74</v>
      </c>
      <c r="AH121" s="2" t="s">
        <v>74</v>
      </c>
      <c r="AI121" s="2" t="s">
        <v>74</v>
      </c>
      <c r="AJ121" s="2" t="s">
        <v>74</v>
      </c>
      <c r="AK121" s="2" t="s">
        <v>74</v>
      </c>
      <c r="AL121" s="2" t="s">
        <v>74</v>
      </c>
      <c r="AM121" s="2" t="s">
        <v>74</v>
      </c>
      <c r="AN121" s="2" t="s">
        <v>74</v>
      </c>
      <c r="AO121" s="2" t="s">
        <v>778</v>
      </c>
      <c r="AP121" s="2" t="s">
        <v>779</v>
      </c>
      <c r="AQ121" s="2" t="s">
        <v>74</v>
      </c>
      <c r="AR121" s="2" t="s">
        <v>74</v>
      </c>
      <c r="AS121" s="2" t="s">
        <v>74</v>
      </c>
      <c r="AT121" s="2" t="s">
        <v>102</v>
      </c>
      <c r="AU121" s="2">
        <v>2018</v>
      </c>
      <c r="AV121" s="2">
        <v>64</v>
      </c>
      <c r="AW121" s="2">
        <v>3</v>
      </c>
      <c r="AX121" s="2" t="s">
        <v>74</v>
      </c>
      <c r="AY121" s="2" t="s">
        <v>74</v>
      </c>
      <c r="AZ121" s="2" t="s">
        <v>74</v>
      </c>
      <c r="BA121" s="2" t="s">
        <v>74</v>
      </c>
      <c r="BB121" s="2">
        <v>363</v>
      </c>
      <c r="BC121" s="2">
        <v>392</v>
      </c>
      <c r="BD121" s="2" t="s">
        <v>74</v>
      </c>
      <c r="BE121" s="2" t="s">
        <v>7500</v>
      </c>
      <c r="BF121" s="2" t="str">
        <f>HYPERLINK("http://dx.doi.org/10.1093/cz/zoy036","http://dx.doi.org/10.1093/cz/zoy036")</f>
        <v>http://dx.doi.org/10.1093/cz/zoy036</v>
      </c>
      <c r="BG121" s="2" t="s">
        <v>74</v>
      </c>
      <c r="BH121" s="2" t="s">
        <v>74</v>
      </c>
      <c r="BI121" s="2" t="s">
        <v>74</v>
      </c>
      <c r="BJ121" s="2" t="s">
        <v>74</v>
      </c>
      <c r="BK121" s="2" t="s">
        <v>74</v>
      </c>
      <c r="BL121" s="2" t="s">
        <v>74</v>
      </c>
      <c r="BM121" s="2" t="s">
        <v>74</v>
      </c>
      <c r="BN121" s="2">
        <v>30402079</v>
      </c>
      <c r="BO121" s="2" t="s">
        <v>74</v>
      </c>
      <c r="BP121" s="2" t="s">
        <v>74</v>
      </c>
      <c r="BQ121" s="2" t="s">
        <v>74</v>
      </c>
      <c r="BR121" s="2" t="s">
        <v>74</v>
      </c>
      <c r="BS121" s="2" t="s">
        <v>7501</v>
      </c>
      <c r="BT121" s="2" t="str">
        <f>HYPERLINK("https%3A%2F%2Fwww.webofscience.com%2Fwos%2Fwoscc%2Ffull-record%2FWOS:000436421000013","View Full Record in Web of Science")</f>
        <v>View Full Record in Web of Science</v>
      </c>
    </row>
    <row r="122" spans="1:72" s="2" customFormat="1" x14ac:dyDescent="0.4">
      <c r="A122" s="2" t="s">
        <v>72</v>
      </c>
      <c r="B122" s="2" t="s">
        <v>126</v>
      </c>
      <c r="C122" s="2" t="s">
        <v>74</v>
      </c>
      <c r="D122" s="2" t="s">
        <v>74</v>
      </c>
      <c r="E122" s="2" t="s">
        <v>74</v>
      </c>
      <c r="F122" s="2" t="s">
        <v>127</v>
      </c>
      <c r="G122" s="2" t="s">
        <v>74</v>
      </c>
      <c r="H122" s="2" t="s">
        <v>74</v>
      </c>
      <c r="I122" s="2" t="s">
        <v>128</v>
      </c>
      <c r="J122" s="2" t="s">
        <v>129</v>
      </c>
      <c r="K122" s="2" t="s">
        <v>74</v>
      </c>
      <c r="L122" s="2" t="s">
        <v>74</v>
      </c>
      <c r="M122" s="2" t="s">
        <v>74</v>
      </c>
      <c r="N122" s="2" t="s">
        <v>74</v>
      </c>
      <c r="O122" s="2" t="s">
        <v>74</v>
      </c>
      <c r="P122" s="2" t="s">
        <v>74</v>
      </c>
      <c r="Q122" s="2" t="s">
        <v>74</v>
      </c>
      <c r="R122" s="2" t="s">
        <v>74</v>
      </c>
      <c r="S122" s="2" t="s">
        <v>74</v>
      </c>
      <c r="T122" s="2" t="s">
        <v>74</v>
      </c>
      <c r="U122" s="2" t="s">
        <v>74</v>
      </c>
      <c r="V122" s="5" t="s">
        <v>130</v>
      </c>
      <c r="W122" s="2" t="s">
        <v>74</v>
      </c>
      <c r="X122" s="2" t="s">
        <v>74</v>
      </c>
      <c r="Y122" s="2" t="s">
        <v>74</v>
      </c>
      <c r="Z122" s="2" t="s">
        <v>74</v>
      </c>
      <c r="AA122" s="2" t="s">
        <v>74</v>
      </c>
      <c r="AB122" s="2" t="s">
        <v>131</v>
      </c>
      <c r="AC122" s="2" t="s">
        <v>74</v>
      </c>
      <c r="AD122" s="2" t="s">
        <v>74</v>
      </c>
      <c r="AE122" s="2" t="s">
        <v>74</v>
      </c>
      <c r="AF122" s="2" t="s">
        <v>74</v>
      </c>
      <c r="AG122" s="2" t="s">
        <v>74</v>
      </c>
      <c r="AH122" s="2" t="s">
        <v>74</v>
      </c>
      <c r="AI122" s="2" t="s">
        <v>74</v>
      </c>
      <c r="AJ122" s="2" t="s">
        <v>74</v>
      </c>
      <c r="AK122" s="2" t="s">
        <v>74</v>
      </c>
      <c r="AL122" s="2" t="s">
        <v>74</v>
      </c>
      <c r="AM122" s="2" t="s">
        <v>74</v>
      </c>
      <c r="AN122" s="2" t="s">
        <v>74</v>
      </c>
      <c r="AO122" s="2" t="s">
        <v>132</v>
      </c>
      <c r="AP122" s="2" t="s">
        <v>133</v>
      </c>
      <c r="AQ122" s="2" t="s">
        <v>74</v>
      </c>
      <c r="AR122" s="2" t="s">
        <v>74</v>
      </c>
      <c r="AS122" s="2" t="s">
        <v>74</v>
      </c>
      <c r="AT122" s="2" t="s">
        <v>134</v>
      </c>
      <c r="AU122" s="2">
        <v>2016</v>
      </c>
      <c r="AV122" s="2">
        <v>70</v>
      </c>
      <c r="AW122" s="2">
        <v>5</v>
      </c>
      <c r="AX122" s="2" t="s">
        <v>74</v>
      </c>
      <c r="AY122" s="2" t="s">
        <v>74</v>
      </c>
      <c r="AZ122" s="2" t="s">
        <v>74</v>
      </c>
      <c r="BA122" s="2" t="s">
        <v>74</v>
      </c>
      <c r="BB122" s="2">
        <v>647</v>
      </c>
      <c r="BC122" s="2">
        <v>657</v>
      </c>
      <c r="BD122" s="2" t="s">
        <v>74</v>
      </c>
      <c r="BE122" s="2" t="s">
        <v>135</v>
      </c>
      <c r="BF122" s="2" t="str">
        <f>HYPERLINK("http://dx.doi.org/10.1007/s00265-016-2085-3","http://dx.doi.org/10.1007/s00265-016-2085-3")</f>
        <v>http://dx.doi.org/10.1007/s00265-016-2085-3</v>
      </c>
      <c r="BG122" s="2" t="s">
        <v>74</v>
      </c>
      <c r="BH122" s="2" t="s">
        <v>74</v>
      </c>
      <c r="BI122" s="2" t="s">
        <v>74</v>
      </c>
      <c r="BJ122" s="2" t="s">
        <v>74</v>
      </c>
      <c r="BK122" s="2" t="s">
        <v>74</v>
      </c>
      <c r="BL122" s="2" t="s">
        <v>74</v>
      </c>
      <c r="BM122" s="2" t="s">
        <v>74</v>
      </c>
      <c r="BN122" s="2" t="s">
        <v>74</v>
      </c>
      <c r="BO122" s="2" t="s">
        <v>74</v>
      </c>
      <c r="BP122" s="2" t="s">
        <v>74</v>
      </c>
      <c r="BQ122" s="2" t="s">
        <v>74</v>
      </c>
      <c r="BR122" s="2" t="s">
        <v>74</v>
      </c>
      <c r="BS122" s="2" t="s">
        <v>136</v>
      </c>
      <c r="BT122" s="2" t="str">
        <f>HYPERLINK("https%3A%2F%2Fwww.webofscience.com%2Fwos%2Fwoscc%2Ffull-record%2FWOS:000374563600001","View Full Record in Web of Science")</f>
        <v>View Full Record in Web of Science</v>
      </c>
    </row>
    <row r="123" spans="1:72" s="2" customFormat="1" x14ac:dyDescent="0.4">
      <c r="A123" s="2" t="s">
        <v>72</v>
      </c>
      <c r="B123" s="2" t="s">
        <v>7325</v>
      </c>
      <c r="C123" s="2" t="s">
        <v>74</v>
      </c>
      <c r="D123" s="2" t="s">
        <v>74</v>
      </c>
      <c r="E123" s="2" t="s">
        <v>74</v>
      </c>
      <c r="F123" s="2" t="s">
        <v>7326</v>
      </c>
      <c r="G123" s="2" t="s">
        <v>74</v>
      </c>
      <c r="H123" s="2" t="s">
        <v>74</v>
      </c>
      <c r="I123" s="2" t="s">
        <v>7327</v>
      </c>
      <c r="J123" s="2" t="s">
        <v>129</v>
      </c>
      <c r="K123" s="2" t="s">
        <v>74</v>
      </c>
      <c r="L123" s="2" t="s">
        <v>74</v>
      </c>
      <c r="M123" s="2" t="s">
        <v>74</v>
      </c>
      <c r="N123" s="2" t="s">
        <v>74</v>
      </c>
      <c r="O123" s="2" t="s">
        <v>74</v>
      </c>
      <c r="P123" s="2" t="s">
        <v>74</v>
      </c>
      <c r="Q123" s="2" t="s">
        <v>74</v>
      </c>
      <c r="R123" s="2" t="s">
        <v>74</v>
      </c>
      <c r="S123" s="2" t="s">
        <v>74</v>
      </c>
      <c r="T123" s="2" t="s">
        <v>74</v>
      </c>
      <c r="U123" s="2" t="s">
        <v>74</v>
      </c>
      <c r="V123" s="5" t="s">
        <v>7328</v>
      </c>
      <c r="W123" s="2" t="s">
        <v>74</v>
      </c>
      <c r="X123" s="2" t="s">
        <v>74</v>
      </c>
      <c r="Y123" s="2" t="s">
        <v>74</v>
      </c>
      <c r="Z123" s="2" t="s">
        <v>74</v>
      </c>
      <c r="AA123" s="2" t="s">
        <v>74</v>
      </c>
      <c r="AB123" s="2" t="s">
        <v>7329</v>
      </c>
      <c r="AC123" s="2" t="s">
        <v>74</v>
      </c>
      <c r="AD123" s="2" t="s">
        <v>74</v>
      </c>
      <c r="AE123" s="2" t="s">
        <v>74</v>
      </c>
      <c r="AF123" s="2" t="s">
        <v>74</v>
      </c>
      <c r="AG123" s="2" t="s">
        <v>74</v>
      </c>
      <c r="AH123" s="2" t="s">
        <v>74</v>
      </c>
      <c r="AI123" s="2" t="s">
        <v>74</v>
      </c>
      <c r="AJ123" s="2" t="s">
        <v>74</v>
      </c>
      <c r="AK123" s="2" t="s">
        <v>74</v>
      </c>
      <c r="AL123" s="2" t="s">
        <v>74</v>
      </c>
      <c r="AM123" s="2" t="s">
        <v>74</v>
      </c>
      <c r="AN123" s="2" t="s">
        <v>74</v>
      </c>
      <c r="AO123" s="2" t="s">
        <v>132</v>
      </c>
      <c r="AP123" s="2" t="s">
        <v>133</v>
      </c>
      <c r="AQ123" s="2" t="s">
        <v>74</v>
      </c>
      <c r="AR123" s="2" t="s">
        <v>74</v>
      </c>
      <c r="AS123" s="2" t="s">
        <v>74</v>
      </c>
      <c r="AT123" s="2" t="s">
        <v>213</v>
      </c>
      <c r="AU123" s="2">
        <v>2022</v>
      </c>
      <c r="AV123" s="2">
        <v>76</v>
      </c>
      <c r="AW123" s="2">
        <v>11</v>
      </c>
      <c r="AX123" s="2" t="s">
        <v>74</v>
      </c>
      <c r="AY123" s="2" t="s">
        <v>74</v>
      </c>
      <c r="AZ123" s="2" t="s">
        <v>74</v>
      </c>
      <c r="BA123" s="2" t="s">
        <v>74</v>
      </c>
      <c r="BB123" s="2" t="s">
        <v>74</v>
      </c>
      <c r="BC123" s="2" t="s">
        <v>74</v>
      </c>
      <c r="BD123" s="2">
        <v>153</v>
      </c>
      <c r="BE123" s="2" t="s">
        <v>7330</v>
      </c>
      <c r="BF123" s="2" t="str">
        <f>HYPERLINK("http://dx.doi.org/10.1007/s00265-022-03256-9","http://dx.doi.org/10.1007/s00265-022-03256-9")</f>
        <v>http://dx.doi.org/10.1007/s00265-022-03256-9</v>
      </c>
      <c r="BG123" s="2" t="s">
        <v>74</v>
      </c>
      <c r="BH123" s="2" t="s">
        <v>74</v>
      </c>
      <c r="BI123" s="2" t="s">
        <v>74</v>
      </c>
      <c r="BJ123" s="2" t="s">
        <v>74</v>
      </c>
      <c r="BK123" s="2" t="s">
        <v>74</v>
      </c>
      <c r="BL123" s="2" t="s">
        <v>74</v>
      </c>
      <c r="BM123" s="2" t="s">
        <v>74</v>
      </c>
      <c r="BN123" s="2" t="s">
        <v>74</v>
      </c>
      <c r="BO123" s="2" t="s">
        <v>74</v>
      </c>
      <c r="BP123" s="2" t="s">
        <v>74</v>
      </c>
      <c r="BQ123" s="2" t="s">
        <v>74</v>
      </c>
      <c r="BR123" s="2" t="s">
        <v>74</v>
      </c>
      <c r="BS123" s="2" t="s">
        <v>7331</v>
      </c>
      <c r="BT123" s="2" t="str">
        <f>HYPERLINK("https%3A%2F%2Fwww.webofscience.com%2Fwos%2Fwoscc%2Ffull-record%2FWOS:000878648300001","View Full Record in Web of Science")</f>
        <v>View Full Record in Web of Science</v>
      </c>
    </row>
    <row r="124" spans="1:72" s="1" customFormat="1" x14ac:dyDescent="0.4">
      <c r="A124" s="2" t="s">
        <v>72</v>
      </c>
      <c r="B124" s="2" t="s">
        <v>935</v>
      </c>
      <c r="C124" s="2" t="s">
        <v>74</v>
      </c>
      <c r="D124" s="2" t="s">
        <v>74</v>
      </c>
      <c r="E124" s="2" t="s">
        <v>74</v>
      </c>
      <c r="F124" s="2" t="s">
        <v>936</v>
      </c>
      <c r="G124" s="2" t="s">
        <v>74</v>
      </c>
      <c r="H124" s="2" t="s">
        <v>74</v>
      </c>
      <c r="I124" s="2" t="s">
        <v>937</v>
      </c>
      <c r="J124" s="2" t="s">
        <v>108</v>
      </c>
      <c r="K124" s="2" t="s">
        <v>74</v>
      </c>
      <c r="L124" s="2" t="s">
        <v>74</v>
      </c>
      <c r="M124" s="2" t="s">
        <v>74</v>
      </c>
      <c r="N124" s="2" t="s">
        <v>74</v>
      </c>
      <c r="O124" s="2" t="s">
        <v>74</v>
      </c>
      <c r="P124" s="2" t="s">
        <v>74</v>
      </c>
      <c r="Q124" s="2" t="s">
        <v>74</v>
      </c>
      <c r="R124" s="2" t="s">
        <v>74</v>
      </c>
      <c r="S124" s="2" t="s">
        <v>74</v>
      </c>
      <c r="T124" s="2" t="s">
        <v>74</v>
      </c>
      <c r="U124" s="2" t="s">
        <v>74</v>
      </c>
      <c r="V124" s="5" t="s">
        <v>938</v>
      </c>
      <c r="W124" s="2" t="s">
        <v>74</v>
      </c>
      <c r="X124" s="2" t="s">
        <v>74</v>
      </c>
      <c r="Y124" s="2" t="s">
        <v>74</v>
      </c>
      <c r="Z124" s="2" t="s">
        <v>74</v>
      </c>
      <c r="AA124" s="2" t="s">
        <v>623</v>
      </c>
      <c r="AB124" s="2" t="s">
        <v>624</v>
      </c>
      <c r="AC124" s="2" t="s">
        <v>74</v>
      </c>
      <c r="AD124" s="2" t="s">
        <v>74</v>
      </c>
      <c r="AE124" s="2" t="s">
        <v>74</v>
      </c>
      <c r="AF124" s="2" t="s">
        <v>74</v>
      </c>
      <c r="AG124" s="2" t="s">
        <v>74</v>
      </c>
      <c r="AH124" s="2" t="s">
        <v>74</v>
      </c>
      <c r="AI124" s="2" t="s">
        <v>74</v>
      </c>
      <c r="AJ124" s="2" t="s">
        <v>74</v>
      </c>
      <c r="AK124" s="2" t="s">
        <v>74</v>
      </c>
      <c r="AL124" s="2" t="s">
        <v>74</v>
      </c>
      <c r="AM124" s="2" t="s">
        <v>74</v>
      </c>
      <c r="AN124" s="2" t="s">
        <v>74</v>
      </c>
      <c r="AO124" s="2" t="s">
        <v>111</v>
      </c>
      <c r="AP124" s="2" t="s">
        <v>112</v>
      </c>
      <c r="AQ124" s="2" t="s">
        <v>74</v>
      </c>
      <c r="AR124" s="2" t="s">
        <v>74</v>
      </c>
      <c r="AS124" s="2" t="s">
        <v>74</v>
      </c>
      <c r="AT124" s="2" t="s">
        <v>939</v>
      </c>
      <c r="AU124" s="2">
        <v>2010</v>
      </c>
      <c r="AV124" s="2">
        <v>277</v>
      </c>
      <c r="AW124" s="2">
        <v>1700</v>
      </c>
      <c r="AX124" s="2" t="s">
        <v>74</v>
      </c>
      <c r="AY124" s="2" t="s">
        <v>74</v>
      </c>
      <c r="AZ124" s="2" t="s">
        <v>74</v>
      </c>
      <c r="BA124" s="2" t="s">
        <v>74</v>
      </c>
      <c r="BB124" s="2">
        <v>3669</v>
      </c>
      <c r="BC124" s="2">
        <v>3675</v>
      </c>
      <c r="BD124" s="2" t="s">
        <v>74</v>
      </c>
      <c r="BE124" s="2" t="s">
        <v>940</v>
      </c>
      <c r="BF124" s="2" t="str">
        <f>HYPERLINK("http://dx.doi.org/10.1098/rspb.2010.0935","http://dx.doi.org/10.1098/rspb.2010.0935")</f>
        <v>http://dx.doi.org/10.1098/rspb.2010.0935</v>
      </c>
      <c r="BG124" s="2" t="s">
        <v>74</v>
      </c>
      <c r="BH124" s="2" t="s">
        <v>74</v>
      </c>
      <c r="BI124" s="2" t="s">
        <v>74</v>
      </c>
      <c r="BJ124" s="2" t="s">
        <v>74</v>
      </c>
      <c r="BK124" s="2" t="s">
        <v>74</v>
      </c>
      <c r="BL124" s="2" t="s">
        <v>74</v>
      </c>
      <c r="BM124" s="2" t="s">
        <v>74</v>
      </c>
      <c r="BN124" s="2">
        <v>20591870</v>
      </c>
      <c r="BO124" s="2" t="s">
        <v>74</v>
      </c>
      <c r="BP124" s="2" t="s">
        <v>74</v>
      </c>
      <c r="BQ124" s="2" t="s">
        <v>74</v>
      </c>
      <c r="BR124" s="2" t="s">
        <v>74</v>
      </c>
      <c r="BS124" s="2" t="s">
        <v>941</v>
      </c>
      <c r="BT124" s="2" t="str">
        <f>HYPERLINK("https%3A%2F%2Fwww.webofscience.com%2Fwos%2Fwoscc%2Ffull-record%2FWOS:000283450100017","View Full Record in Web of Science")</f>
        <v>View Full Record in Web of Science</v>
      </c>
    </row>
    <row r="125" spans="1:72" s="2" customFormat="1" x14ac:dyDescent="0.4">
      <c r="A125" s="2" t="s">
        <v>72</v>
      </c>
      <c r="B125" s="2" t="s">
        <v>1539</v>
      </c>
      <c r="C125" s="2" t="s">
        <v>74</v>
      </c>
      <c r="D125" s="2" t="s">
        <v>74</v>
      </c>
      <c r="E125" s="2" t="s">
        <v>74</v>
      </c>
      <c r="F125" s="2" t="s">
        <v>1539</v>
      </c>
      <c r="G125" s="2" t="s">
        <v>74</v>
      </c>
      <c r="H125" s="2" t="s">
        <v>74</v>
      </c>
      <c r="I125" s="2" t="s">
        <v>1540</v>
      </c>
      <c r="J125" s="2" t="s">
        <v>1541</v>
      </c>
      <c r="K125" s="2" t="s">
        <v>74</v>
      </c>
      <c r="L125" s="2" t="s">
        <v>74</v>
      </c>
      <c r="M125" s="2" t="s">
        <v>74</v>
      </c>
      <c r="N125" s="2" t="s">
        <v>74</v>
      </c>
      <c r="O125" s="2" t="s">
        <v>74</v>
      </c>
      <c r="P125" s="2" t="s">
        <v>74</v>
      </c>
      <c r="Q125" s="2" t="s">
        <v>74</v>
      </c>
      <c r="R125" s="2" t="s">
        <v>74</v>
      </c>
      <c r="S125" s="2" t="s">
        <v>74</v>
      </c>
      <c r="T125" s="2" t="s">
        <v>74</v>
      </c>
      <c r="U125" s="2" t="s">
        <v>74</v>
      </c>
      <c r="V125" s="5" t="s">
        <v>1542</v>
      </c>
      <c r="W125" s="2" t="s">
        <v>74</v>
      </c>
      <c r="X125" s="2" t="s">
        <v>74</v>
      </c>
      <c r="Y125" s="2" t="s">
        <v>74</v>
      </c>
      <c r="Z125" s="2" t="s">
        <v>74</v>
      </c>
      <c r="AA125" s="2" t="s">
        <v>74</v>
      </c>
      <c r="AB125" s="2" t="s">
        <v>74</v>
      </c>
      <c r="AC125" s="2" t="s">
        <v>74</v>
      </c>
      <c r="AD125" s="2" t="s">
        <v>74</v>
      </c>
      <c r="AE125" s="2" t="s">
        <v>74</v>
      </c>
      <c r="AF125" s="2" t="s">
        <v>74</v>
      </c>
      <c r="AG125" s="2" t="s">
        <v>74</v>
      </c>
      <c r="AH125" s="2" t="s">
        <v>74</v>
      </c>
      <c r="AI125" s="2" t="s">
        <v>74</v>
      </c>
      <c r="AJ125" s="2" t="s">
        <v>74</v>
      </c>
      <c r="AK125" s="2" t="s">
        <v>74</v>
      </c>
      <c r="AL125" s="2" t="s">
        <v>74</v>
      </c>
      <c r="AM125" s="2" t="s">
        <v>74</v>
      </c>
      <c r="AN125" s="2" t="s">
        <v>74</v>
      </c>
      <c r="AO125" s="2" t="s">
        <v>1543</v>
      </c>
      <c r="AP125" s="2" t="s">
        <v>1544</v>
      </c>
      <c r="AQ125" s="2" t="s">
        <v>74</v>
      </c>
      <c r="AR125" s="2" t="s">
        <v>74</v>
      </c>
      <c r="AS125" s="2" t="s">
        <v>74</v>
      </c>
      <c r="AT125" s="2" t="s">
        <v>134</v>
      </c>
      <c r="AU125" s="2">
        <v>2001</v>
      </c>
      <c r="AV125" s="2">
        <v>82</v>
      </c>
      <c r="AW125" s="2">
        <v>5</v>
      </c>
      <c r="AX125" s="2" t="s">
        <v>74</v>
      </c>
      <c r="AY125" s="2" t="s">
        <v>74</v>
      </c>
      <c r="AZ125" s="2" t="s">
        <v>74</v>
      </c>
      <c r="BA125" s="2" t="s">
        <v>74</v>
      </c>
      <c r="BB125" s="2">
        <v>1433</v>
      </c>
      <c r="BC125" s="2">
        <v>1442</v>
      </c>
      <c r="BD125" s="2" t="s">
        <v>74</v>
      </c>
      <c r="BE125" s="2" t="s">
        <v>1545</v>
      </c>
      <c r="BF125" s="2" t="str">
        <f>HYPERLINK("http://dx.doi.org/10.1890/0012-9658(2001)082[1433:PFANTR]2.0.CO;2","http://dx.doi.org/10.1890/0012-9658(2001)082[1433:PFANTR]2.0.CO;2")</f>
        <v>http://dx.doi.org/10.1890/0012-9658(2001)082[1433:PFANTR]2.0.CO;2</v>
      </c>
      <c r="BG125" s="2" t="s">
        <v>74</v>
      </c>
      <c r="BH125" s="2" t="s">
        <v>74</v>
      </c>
      <c r="BI125" s="2" t="s">
        <v>74</v>
      </c>
      <c r="BJ125" s="2" t="s">
        <v>74</v>
      </c>
      <c r="BK125" s="2" t="s">
        <v>74</v>
      </c>
      <c r="BL125" s="2" t="s">
        <v>74</v>
      </c>
      <c r="BM125" s="2" t="s">
        <v>74</v>
      </c>
      <c r="BN125" s="2" t="s">
        <v>74</v>
      </c>
      <c r="BO125" s="2" t="s">
        <v>74</v>
      </c>
      <c r="BP125" s="2" t="s">
        <v>74</v>
      </c>
      <c r="BQ125" s="2" t="s">
        <v>74</v>
      </c>
      <c r="BR125" s="2" t="s">
        <v>74</v>
      </c>
      <c r="BS125" s="2" t="s">
        <v>1546</v>
      </c>
      <c r="BT125" s="2" t="str">
        <f>HYPERLINK("https%3A%2F%2Fwww.webofscience.com%2Fwos%2Fwoscc%2Ffull-record%2FWOS:000168844200018","View Full Record in Web of Science")</f>
        <v>View Full Record in Web of Science</v>
      </c>
    </row>
    <row r="126" spans="1:72" s="2" customFormat="1" x14ac:dyDescent="0.4">
      <c r="A126" s="2" t="s">
        <v>72</v>
      </c>
      <c r="B126" s="2" t="s">
        <v>4561</v>
      </c>
      <c r="C126" s="2" t="s">
        <v>74</v>
      </c>
      <c r="D126" s="2" t="s">
        <v>74</v>
      </c>
      <c r="E126" s="2" t="s">
        <v>74</v>
      </c>
      <c r="F126" s="2" t="s">
        <v>4562</v>
      </c>
      <c r="G126" s="2" t="s">
        <v>74</v>
      </c>
      <c r="H126" s="2" t="s">
        <v>74</v>
      </c>
      <c r="I126" s="2" t="s">
        <v>4563</v>
      </c>
      <c r="J126" s="2" t="s">
        <v>129</v>
      </c>
      <c r="K126" s="2" t="s">
        <v>74</v>
      </c>
      <c r="L126" s="2" t="s">
        <v>74</v>
      </c>
      <c r="M126" s="2" t="s">
        <v>74</v>
      </c>
      <c r="N126" s="2" t="s">
        <v>74</v>
      </c>
      <c r="O126" s="2" t="s">
        <v>74</v>
      </c>
      <c r="P126" s="2" t="s">
        <v>74</v>
      </c>
      <c r="Q126" s="2" t="s">
        <v>74</v>
      </c>
      <c r="R126" s="2" t="s">
        <v>74</v>
      </c>
      <c r="S126" s="2" t="s">
        <v>74</v>
      </c>
      <c r="T126" s="2" t="s">
        <v>74</v>
      </c>
      <c r="U126" s="2" t="s">
        <v>74</v>
      </c>
      <c r="V126" s="5" t="s">
        <v>4564</v>
      </c>
      <c r="W126" s="2" t="s">
        <v>74</v>
      </c>
      <c r="X126" s="2" t="s">
        <v>74</v>
      </c>
      <c r="Y126" s="2" t="s">
        <v>74</v>
      </c>
      <c r="Z126" s="2" t="s">
        <v>74</v>
      </c>
      <c r="AA126" s="2" t="s">
        <v>74</v>
      </c>
      <c r="AB126" s="2" t="s">
        <v>74</v>
      </c>
      <c r="AC126" s="2" t="s">
        <v>74</v>
      </c>
      <c r="AD126" s="2" t="s">
        <v>74</v>
      </c>
      <c r="AE126" s="2" t="s">
        <v>74</v>
      </c>
      <c r="AF126" s="2" t="s">
        <v>74</v>
      </c>
      <c r="AG126" s="2" t="s">
        <v>74</v>
      </c>
      <c r="AH126" s="2" t="s">
        <v>74</v>
      </c>
      <c r="AI126" s="2" t="s">
        <v>74</v>
      </c>
      <c r="AJ126" s="2" t="s">
        <v>74</v>
      </c>
      <c r="AK126" s="2" t="s">
        <v>74</v>
      </c>
      <c r="AL126" s="2" t="s">
        <v>74</v>
      </c>
      <c r="AM126" s="2" t="s">
        <v>74</v>
      </c>
      <c r="AN126" s="2" t="s">
        <v>74</v>
      </c>
      <c r="AO126" s="2" t="s">
        <v>132</v>
      </c>
      <c r="AP126" s="2" t="s">
        <v>133</v>
      </c>
      <c r="AQ126" s="2" t="s">
        <v>74</v>
      </c>
      <c r="AR126" s="2" t="s">
        <v>74</v>
      </c>
      <c r="AS126" s="2" t="s">
        <v>74</v>
      </c>
      <c r="AT126" s="2" t="s">
        <v>633</v>
      </c>
      <c r="AU126" s="2">
        <v>2015</v>
      </c>
      <c r="AV126" s="2">
        <v>69</v>
      </c>
      <c r="AW126" s="2">
        <v>4</v>
      </c>
      <c r="AX126" s="2" t="s">
        <v>74</v>
      </c>
      <c r="AY126" s="2" t="s">
        <v>74</v>
      </c>
      <c r="AZ126" s="2" t="s">
        <v>74</v>
      </c>
      <c r="BA126" s="2" t="s">
        <v>74</v>
      </c>
      <c r="BB126" s="2">
        <v>571</v>
      </c>
      <c r="BC126" s="2">
        <v>581</v>
      </c>
      <c r="BD126" s="2" t="s">
        <v>74</v>
      </c>
      <c r="BE126" s="2" t="s">
        <v>4565</v>
      </c>
      <c r="BF126" s="2" t="str">
        <f>HYPERLINK("http://dx.doi.org/10.1007/s00265-014-1868-7","http://dx.doi.org/10.1007/s00265-014-1868-7")</f>
        <v>http://dx.doi.org/10.1007/s00265-014-1868-7</v>
      </c>
      <c r="BG126" s="2" t="s">
        <v>74</v>
      </c>
      <c r="BH126" s="2" t="s">
        <v>74</v>
      </c>
      <c r="BI126" s="2" t="s">
        <v>74</v>
      </c>
      <c r="BJ126" s="2" t="s">
        <v>74</v>
      </c>
      <c r="BK126" s="2" t="s">
        <v>74</v>
      </c>
      <c r="BL126" s="2" t="s">
        <v>74</v>
      </c>
      <c r="BM126" s="2" t="s">
        <v>74</v>
      </c>
      <c r="BN126" s="2" t="s">
        <v>74</v>
      </c>
      <c r="BO126" s="2" t="s">
        <v>74</v>
      </c>
      <c r="BP126" s="2" t="s">
        <v>74</v>
      </c>
      <c r="BQ126" s="2" t="s">
        <v>74</v>
      </c>
      <c r="BR126" s="2" t="s">
        <v>74</v>
      </c>
      <c r="BS126" s="2" t="s">
        <v>4566</v>
      </c>
      <c r="BT126" s="2" t="str">
        <f>HYPERLINK("https%3A%2F%2Fwww.webofscience.com%2Fwos%2Fwoscc%2Ffull-record%2FWOS:000351235100007","View Full Record in Web of Science")</f>
        <v>View Full Record in Web of Science</v>
      </c>
    </row>
    <row r="127" spans="1:72" s="2" customFormat="1" x14ac:dyDescent="0.4">
      <c r="A127" s="2" t="s">
        <v>72</v>
      </c>
      <c r="B127" s="2" t="s">
        <v>1435</v>
      </c>
      <c r="C127" s="2" t="s">
        <v>74</v>
      </c>
      <c r="D127" s="2" t="s">
        <v>74</v>
      </c>
      <c r="E127" s="2" t="s">
        <v>74</v>
      </c>
      <c r="F127" s="2" t="s">
        <v>1435</v>
      </c>
      <c r="G127" s="2" t="s">
        <v>74</v>
      </c>
      <c r="H127" s="2" t="s">
        <v>74</v>
      </c>
      <c r="I127" s="2" t="s">
        <v>1436</v>
      </c>
      <c r="J127" s="2" t="s">
        <v>1437</v>
      </c>
      <c r="K127" s="2" t="s">
        <v>74</v>
      </c>
      <c r="L127" s="2" t="s">
        <v>74</v>
      </c>
      <c r="M127" s="2" t="s">
        <v>74</v>
      </c>
      <c r="N127" s="2" t="s">
        <v>74</v>
      </c>
      <c r="O127" s="2" t="s">
        <v>74</v>
      </c>
      <c r="P127" s="2" t="s">
        <v>74</v>
      </c>
      <c r="Q127" s="2" t="s">
        <v>74</v>
      </c>
      <c r="R127" s="2" t="s">
        <v>74</v>
      </c>
      <c r="S127" s="2" t="s">
        <v>74</v>
      </c>
      <c r="T127" s="2" t="s">
        <v>74</v>
      </c>
      <c r="U127" s="2" t="s">
        <v>74</v>
      </c>
      <c r="V127" s="5" t="s">
        <v>1438</v>
      </c>
      <c r="W127" s="2" t="s">
        <v>74</v>
      </c>
      <c r="X127" s="2" t="s">
        <v>74</v>
      </c>
      <c r="Y127" s="2" t="s">
        <v>74</v>
      </c>
      <c r="Z127" s="2" t="s">
        <v>74</v>
      </c>
      <c r="AA127" s="2" t="s">
        <v>1439</v>
      </c>
      <c r="AB127" s="2" t="s">
        <v>74</v>
      </c>
      <c r="AC127" s="2" t="s">
        <v>74</v>
      </c>
      <c r="AD127" s="2" t="s">
        <v>74</v>
      </c>
      <c r="AE127" s="2" t="s">
        <v>74</v>
      </c>
      <c r="AF127" s="2" t="s">
        <v>74</v>
      </c>
      <c r="AG127" s="2" t="s">
        <v>74</v>
      </c>
      <c r="AH127" s="2" t="s">
        <v>74</v>
      </c>
      <c r="AI127" s="2" t="s">
        <v>74</v>
      </c>
      <c r="AJ127" s="2" t="s">
        <v>74</v>
      </c>
      <c r="AK127" s="2" t="s">
        <v>74</v>
      </c>
      <c r="AL127" s="2" t="s">
        <v>74</v>
      </c>
      <c r="AM127" s="2" t="s">
        <v>74</v>
      </c>
      <c r="AN127" s="2" t="s">
        <v>74</v>
      </c>
      <c r="AO127" s="2" t="s">
        <v>1440</v>
      </c>
      <c r="AP127" s="2" t="s">
        <v>74</v>
      </c>
      <c r="AQ127" s="2" t="s">
        <v>74</v>
      </c>
      <c r="AR127" s="2" t="s">
        <v>74</v>
      </c>
      <c r="AS127" s="2" t="s">
        <v>74</v>
      </c>
      <c r="AT127" s="2" t="s">
        <v>123</v>
      </c>
      <c r="AU127" s="2">
        <v>1999</v>
      </c>
      <c r="AV127" s="2">
        <v>82</v>
      </c>
      <c r="AW127" s="2" t="s">
        <v>74</v>
      </c>
      <c r="AX127" s="2">
        <v>3</v>
      </c>
      <c r="AY127" s="2" t="s">
        <v>74</v>
      </c>
      <c r="AZ127" s="2" t="s">
        <v>74</v>
      </c>
      <c r="BA127" s="2" t="s">
        <v>74</v>
      </c>
      <c r="BB127" s="2">
        <v>328</v>
      </c>
      <c r="BC127" s="2">
        <v>335</v>
      </c>
      <c r="BD127" s="2" t="s">
        <v>74</v>
      </c>
      <c r="BE127" s="2" t="s">
        <v>1441</v>
      </c>
      <c r="BF127" s="2" t="str">
        <f>HYPERLINK("http://dx.doi.org/10.1038/sj.hdy.6884930","http://dx.doi.org/10.1038/sj.hdy.6884930")</f>
        <v>http://dx.doi.org/10.1038/sj.hdy.6884930</v>
      </c>
      <c r="BG127" s="2" t="s">
        <v>74</v>
      </c>
      <c r="BH127" s="2" t="s">
        <v>74</v>
      </c>
      <c r="BI127" s="2" t="s">
        <v>74</v>
      </c>
      <c r="BJ127" s="2" t="s">
        <v>74</v>
      </c>
      <c r="BK127" s="2" t="s">
        <v>74</v>
      </c>
      <c r="BL127" s="2" t="s">
        <v>74</v>
      </c>
      <c r="BM127" s="2" t="s">
        <v>74</v>
      </c>
      <c r="BN127" s="2">
        <v>10336708</v>
      </c>
      <c r="BO127" s="2" t="s">
        <v>74</v>
      </c>
      <c r="BP127" s="2" t="s">
        <v>74</v>
      </c>
      <c r="BQ127" s="2" t="s">
        <v>74</v>
      </c>
      <c r="BR127" s="2" t="s">
        <v>74</v>
      </c>
      <c r="BS127" s="2" t="s">
        <v>1442</v>
      </c>
      <c r="BT127" s="2" t="str">
        <f>HYPERLINK("https%3A%2F%2Fwww.webofscience.com%2Fwos%2Fwoscc%2Ffull-record%2FWOS:000080078300013","View Full Record in Web of Science")</f>
        <v>View Full Record in Web of Science</v>
      </c>
    </row>
    <row r="128" spans="1:72" s="2" customFormat="1" x14ac:dyDescent="0.4">
      <c r="A128" s="2" t="s">
        <v>72</v>
      </c>
      <c r="B128" s="2" t="s">
        <v>2993</v>
      </c>
      <c r="C128" s="2" t="s">
        <v>74</v>
      </c>
      <c r="D128" s="2" t="s">
        <v>74</v>
      </c>
      <c r="E128" s="2" t="s">
        <v>74</v>
      </c>
      <c r="F128" s="2" t="s">
        <v>2993</v>
      </c>
      <c r="G128" s="2" t="s">
        <v>74</v>
      </c>
      <c r="H128" s="2" t="s">
        <v>74</v>
      </c>
      <c r="I128" s="2" t="s">
        <v>2994</v>
      </c>
      <c r="J128" s="2" t="s">
        <v>2995</v>
      </c>
      <c r="K128" s="2" t="s">
        <v>74</v>
      </c>
      <c r="L128" s="2" t="s">
        <v>74</v>
      </c>
      <c r="M128" s="2" t="s">
        <v>74</v>
      </c>
      <c r="N128" s="2" t="s">
        <v>74</v>
      </c>
      <c r="O128" s="2" t="s">
        <v>74</v>
      </c>
      <c r="P128" s="2" t="s">
        <v>74</v>
      </c>
      <c r="Q128" s="2" t="s">
        <v>74</v>
      </c>
      <c r="R128" s="2" t="s">
        <v>74</v>
      </c>
      <c r="S128" s="2" t="s">
        <v>74</v>
      </c>
      <c r="T128" s="2" t="s">
        <v>74</v>
      </c>
      <c r="U128" s="2" t="s">
        <v>74</v>
      </c>
      <c r="V128" s="5" t="s">
        <v>2996</v>
      </c>
      <c r="W128" s="2" t="s">
        <v>74</v>
      </c>
      <c r="X128" s="2" t="s">
        <v>74</v>
      </c>
      <c r="Y128" s="2" t="s">
        <v>74</v>
      </c>
      <c r="Z128" s="2" t="s">
        <v>74</v>
      </c>
      <c r="AA128" s="2" t="s">
        <v>74</v>
      </c>
      <c r="AB128" s="2" t="s">
        <v>74</v>
      </c>
      <c r="AC128" s="2" t="s">
        <v>74</v>
      </c>
      <c r="AD128" s="2" t="s">
        <v>74</v>
      </c>
      <c r="AE128" s="2" t="s">
        <v>74</v>
      </c>
      <c r="AF128" s="2" t="s">
        <v>74</v>
      </c>
      <c r="AG128" s="2" t="s">
        <v>74</v>
      </c>
      <c r="AH128" s="2" t="s">
        <v>74</v>
      </c>
      <c r="AI128" s="2" t="s">
        <v>74</v>
      </c>
      <c r="AJ128" s="2" t="s">
        <v>74</v>
      </c>
      <c r="AK128" s="2" t="s">
        <v>74</v>
      </c>
      <c r="AL128" s="2" t="s">
        <v>74</v>
      </c>
      <c r="AM128" s="2" t="s">
        <v>74</v>
      </c>
      <c r="AN128" s="2" t="s">
        <v>74</v>
      </c>
      <c r="AO128" s="2" t="s">
        <v>2997</v>
      </c>
      <c r="AP128" s="2" t="s">
        <v>2998</v>
      </c>
      <c r="AQ128" s="2" t="s">
        <v>74</v>
      </c>
      <c r="AR128" s="2" t="s">
        <v>74</v>
      </c>
      <c r="AS128" s="2" t="s">
        <v>74</v>
      </c>
      <c r="AT128" s="2" t="s">
        <v>305</v>
      </c>
      <c r="AU128" s="2">
        <v>1990</v>
      </c>
      <c r="AV128" s="2">
        <v>120</v>
      </c>
      <c r="AW128" s="2">
        <v>2</v>
      </c>
      <c r="AX128" s="2" t="s">
        <v>74</v>
      </c>
      <c r="AY128" s="2" t="s">
        <v>74</v>
      </c>
      <c r="AZ128" s="2" t="s">
        <v>74</v>
      </c>
      <c r="BA128" s="2" t="s">
        <v>74</v>
      </c>
      <c r="BB128" s="2">
        <v>165</v>
      </c>
      <c r="BC128" s="2">
        <v>193</v>
      </c>
      <c r="BD128" s="2" t="s">
        <v>74</v>
      </c>
      <c r="BE128" s="2" t="s">
        <v>74</v>
      </c>
      <c r="BF128" s="2" t="s">
        <v>74</v>
      </c>
      <c r="BG128" s="2" t="s">
        <v>74</v>
      </c>
      <c r="BH128" s="2" t="s">
        <v>74</v>
      </c>
      <c r="BI128" s="2" t="s">
        <v>74</v>
      </c>
      <c r="BJ128" s="2" t="s">
        <v>74</v>
      </c>
      <c r="BK128" s="2" t="s">
        <v>74</v>
      </c>
      <c r="BL128" s="2" t="s">
        <v>74</v>
      </c>
      <c r="BM128" s="2" t="s">
        <v>74</v>
      </c>
      <c r="BN128" s="2" t="s">
        <v>74</v>
      </c>
      <c r="BO128" s="2" t="s">
        <v>74</v>
      </c>
      <c r="BP128" s="2" t="s">
        <v>74</v>
      </c>
      <c r="BQ128" s="2" t="s">
        <v>74</v>
      </c>
      <c r="BR128" s="2" t="s">
        <v>74</v>
      </c>
      <c r="BS128" s="2" t="s">
        <v>2999</v>
      </c>
      <c r="BT128" s="2" t="str">
        <f>HYPERLINK("https%3A%2F%2Fwww.webofscience.com%2Fwos%2Fwoscc%2Ffull-record%2FWOS:A1990EQ64700004","View Full Record in Web of Science")</f>
        <v>View Full Record in Web of Science</v>
      </c>
    </row>
    <row r="129" spans="1:72" s="2" customFormat="1" x14ac:dyDescent="0.4">
      <c r="A129" s="2" t="s">
        <v>72</v>
      </c>
      <c r="B129" s="2" t="s">
        <v>3517</v>
      </c>
      <c r="C129" s="2" t="s">
        <v>74</v>
      </c>
      <c r="D129" s="2" t="s">
        <v>74</v>
      </c>
      <c r="E129" s="2" t="s">
        <v>74</v>
      </c>
      <c r="F129" s="2" t="s">
        <v>3518</v>
      </c>
      <c r="G129" s="2" t="s">
        <v>74</v>
      </c>
      <c r="H129" s="2" t="s">
        <v>74</v>
      </c>
      <c r="I129" s="2" t="s">
        <v>3519</v>
      </c>
      <c r="J129" s="2" t="s">
        <v>610</v>
      </c>
      <c r="K129" s="2" t="s">
        <v>74</v>
      </c>
      <c r="L129" s="2" t="s">
        <v>74</v>
      </c>
      <c r="M129" s="2" t="s">
        <v>74</v>
      </c>
      <c r="N129" s="2" t="s">
        <v>74</v>
      </c>
      <c r="O129" s="2" t="s">
        <v>74</v>
      </c>
      <c r="P129" s="2" t="s">
        <v>74</v>
      </c>
      <c r="Q129" s="2" t="s">
        <v>74</v>
      </c>
      <c r="R129" s="2" t="s">
        <v>74</v>
      </c>
      <c r="S129" s="2" t="s">
        <v>74</v>
      </c>
      <c r="T129" s="2" t="s">
        <v>74</v>
      </c>
      <c r="U129" s="2" t="s">
        <v>74</v>
      </c>
      <c r="V129" s="5" t="s">
        <v>3520</v>
      </c>
      <c r="W129" s="2" t="s">
        <v>74</v>
      </c>
      <c r="X129" s="2" t="s">
        <v>74</v>
      </c>
      <c r="Y129" s="2" t="s">
        <v>74</v>
      </c>
      <c r="Z129" s="2" t="s">
        <v>74</v>
      </c>
      <c r="AA129" s="2" t="s">
        <v>3521</v>
      </c>
      <c r="AB129" s="2" t="s">
        <v>3522</v>
      </c>
      <c r="AC129" s="2" t="s">
        <v>74</v>
      </c>
      <c r="AD129" s="2" t="s">
        <v>74</v>
      </c>
      <c r="AE129" s="2" t="s">
        <v>74</v>
      </c>
      <c r="AF129" s="2" t="s">
        <v>74</v>
      </c>
      <c r="AG129" s="2" t="s">
        <v>74</v>
      </c>
      <c r="AH129" s="2" t="s">
        <v>74</v>
      </c>
      <c r="AI129" s="2" t="s">
        <v>74</v>
      </c>
      <c r="AJ129" s="2" t="s">
        <v>74</v>
      </c>
      <c r="AK129" s="2" t="s">
        <v>74</v>
      </c>
      <c r="AL129" s="2" t="s">
        <v>74</v>
      </c>
      <c r="AM129" s="2" t="s">
        <v>74</v>
      </c>
      <c r="AN129" s="2" t="s">
        <v>74</v>
      </c>
      <c r="AO129" s="2" t="s">
        <v>614</v>
      </c>
      <c r="AP129" s="2" t="s">
        <v>74</v>
      </c>
      <c r="AQ129" s="2" t="s">
        <v>74</v>
      </c>
      <c r="AR129" s="2" t="s">
        <v>74</v>
      </c>
      <c r="AS129" s="2" t="s">
        <v>74</v>
      </c>
      <c r="AT129" s="2" t="s">
        <v>305</v>
      </c>
      <c r="AU129" s="2">
        <v>2011</v>
      </c>
      <c r="AV129" s="2">
        <v>117</v>
      </c>
      <c r="AW129" s="2">
        <v>12</v>
      </c>
      <c r="AX129" s="2" t="s">
        <v>74</v>
      </c>
      <c r="AY129" s="2" t="s">
        <v>74</v>
      </c>
      <c r="AZ129" s="2" t="s">
        <v>74</v>
      </c>
      <c r="BA129" s="2" t="s">
        <v>74</v>
      </c>
      <c r="BB129" s="2">
        <v>1128</v>
      </c>
      <c r="BC129" s="2">
        <v>1137</v>
      </c>
      <c r="BD129" s="2" t="s">
        <v>74</v>
      </c>
      <c r="BE129" s="2" t="s">
        <v>3523</v>
      </c>
      <c r="BF129" s="2" t="str">
        <f>HYPERLINK("http://dx.doi.org/10.1111/j.1439-0310.2011.01969.x","http://dx.doi.org/10.1111/j.1439-0310.2011.01969.x")</f>
        <v>http://dx.doi.org/10.1111/j.1439-0310.2011.01969.x</v>
      </c>
      <c r="BG129" s="2" t="s">
        <v>74</v>
      </c>
      <c r="BH129" s="2" t="s">
        <v>74</v>
      </c>
      <c r="BI129" s="2" t="s">
        <v>74</v>
      </c>
      <c r="BJ129" s="2" t="s">
        <v>74</v>
      </c>
      <c r="BK129" s="2" t="s">
        <v>74</v>
      </c>
      <c r="BL129" s="2" t="s">
        <v>74</v>
      </c>
      <c r="BM129" s="2" t="s">
        <v>74</v>
      </c>
      <c r="BN129" s="2" t="s">
        <v>74</v>
      </c>
      <c r="BO129" s="2" t="s">
        <v>74</v>
      </c>
      <c r="BP129" s="2" t="s">
        <v>74</v>
      </c>
      <c r="BQ129" s="2" t="s">
        <v>74</v>
      </c>
      <c r="BR129" s="2" t="s">
        <v>74</v>
      </c>
      <c r="BS129" s="2" t="s">
        <v>3524</v>
      </c>
      <c r="BT129" s="2" t="str">
        <f>HYPERLINK("https%3A%2F%2Fwww.webofscience.com%2Fwos%2Fwoscc%2Ffull-record%2FWOS:000297151600008","View Full Record in Web of Science")</f>
        <v>View Full Record in Web of Science</v>
      </c>
    </row>
    <row r="130" spans="1:72" s="2" customFormat="1" x14ac:dyDescent="0.4">
      <c r="A130" s="2" t="s">
        <v>72</v>
      </c>
      <c r="B130" s="2" t="s">
        <v>4158</v>
      </c>
      <c r="C130" s="2" t="s">
        <v>74</v>
      </c>
      <c r="D130" s="2" t="s">
        <v>74</v>
      </c>
      <c r="E130" s="2" t="s">
        <v>74</v>
      </c>
      <c r="F130" s="2" t="s">
        <v>4159</v>
      </c>
      <c r="G130" s="2" t="s">
        <v>74</v>
      </c>
      <c r="H130" s="2" t="s">
        <v>74</v>
      </c>
      <c r="I130" s="2" t="s">
        <v>4160</v>
      </c>
      <c r="J130" s="2" t="s">
        <v>1375</v>
      </c>
      <c r="K130" s="2" t="s">
        <v>74</v>
      </c>
      <c r="L130" s="2" t="s">
        <v>74</v>
      </c>
      <c r="M130" s="2" t="s">
        <v>74</v>
      </c>
      <c r="N130" s="2" t="s">
        <v>74</v>
      </c>
      <c r="O130" s="2" t="s">
        <v>74</v>
      </c>
      <c r="P130" s="2" t="s">
        <v>74</v>
      </c>
      <c r="Q130" s="2" t="s">
        <v>74</v>
      </c>
      <c r="R130" s="2" t="s">
        <v>74</v>
      </c>
      <c r="S130" s="2" t="s">
        <v>74</v>
      </c>
      <c r="T130" s="2" t="s">
        <v>74</v>
      </c>
      <c r="U130" s="2" t="s">
        <v>74</v>
      </c>
      <c r="V130" s="5" t="s">
        <v>4161</v>
      </c>
      <c r="W130" s="2" t="s">
        <v>74</v>
      </c>
      <c r="X130" s="2" t="s">
        <v>74</v>
      </c>
      <c r="Y130" s="2" t="s">
        <v>74</v>
      </c>
      <c r="Z130" s="2" t="s">
        <v>74</v>
      </c>
      <c r="AA130" s="2" t="s">
        <v>4162</v>
      </c>
      <c r="AB130" s="2" t="s">
        <v>4163</v>
      </c>
      <c r="AC130" s="2" t="s">
        <v>74</v>
      </c>
      <c r="AD130" s="2" t="s">
        <v>74</v>
      </c>
      <c r="AE130" s="2" t="s">
        <v>74</v>
      </c>
      <c r="AF130" s="2" t="s">
        <v>74</v>
      </c>
      <c r="AG130" s="2" t="s">
        <v>74</v>
      </c>
      <c r="AH130" s="2" t="s">
        <v>74</v>
      </c>
      <c r="AI130" s="2" t="s">
        <v>74</v>
      </c>
      <c r="AJ130" s="2" t="s">
        <v>74</v>
      </c>
      <c r="AK130" s="2" t="s">
        <v>74</v>
      </c>
      <c r="AL130" s="2" t="s">
        <v>74</v>
      </c>
      <c r="AM130" s="2" t="s">
        <v>74</v>
      </c>
      <c r="AN130" s="2" t="s">
        <v>74</v>
      </c>
      <c r="AO130" s="2" t="s">
        <v>1378</v>
      </c>
      <c r="AP130" s="2" t="s">
        <v>74</v>
      </c>
      <c r="AQ130" s="2" t="s">
        <v>74</v>
      </c>
      <c r="AR130" s="2" t="s">
        <v>74</v>
      </c>
      <c r="AS130" s="2" t="s">
        <v>74</v>
      </c>
      <c r="AT130" s="2" t="s">
        <v>4164</v>
      </c>
      <c r="AU130" s="2">
        <v>2021</v>
      </c>
      <c r="AV130" s="2">
        <v>12</v>
      </c>
      <c r="AW130" s="2">
        <v>1</v>
      </c>
      <c r="AX130" s="2" t="s">
        <v>74</v>
      </c>
      <c r="AY130" s="2" t="s">
        <v>74</v>
      </c>
      <c r="AZ130" s="2" t="s">
        <v>74</v>
      </c>
      <c r="BA130" s="2" t="s">
        <v>74</v>
      </c>
      <c r="BB130" s="2" t="s">
        <v>74</v>
      </c>
      <c r="BC130" s="2" t="s">
        <v>74</v>
      </c>
      <c r="BD130" s="2">
        <v>45</v>
      </c>
      <c r="BE130" s="2" t="s">
        <v>4165</v>
      </c>
      <c r="BF130" s="2" t="str">
        <f>HYPERLINK("http://dx.doi.org/10.1186/s40657-021-00280-7","http://dx.doi.org/10.1186/s40657-021-00280-7")</f>
        <v>http://dx.doi.org/10.1186/s40657-021-00280-7</v>
      </c>
      <c r="BG130" s="2" t="s">
        <v>74</v>
      </c>
      <c r="BH130" s="2" t="s">
        <v>74</v>
      </c>
      <c r="BI130" s="2" t="s">
        <v>74</v>
      </c>
      <c r="BJ130" s="2" t="s">
        <v>74</v>
      </c>
      <c r="BK130" s="2" t="s">
        <v>74</v>
      </c>
      <c r="BL130" s="2" t="s">
        <v>74</v>
      </c>
      <c r="BM130" s="2" t="s">
        <v>74</v>
      </c>
      <c r="BN130" s="2" t="s">
        <v>74</v>
      </c>
      <c r="BO130" s="2" t="s">
        <v>74</v>
      </c>
      <c r="BP130" s="2" t="s">
        <v>74</v>
      </c>
      <c r="BQ130" s="2" t="s">
        <v>74</v>
      </c>
      <c r="BR130" s="2" t="s">
        <v>74</v>
      </c>
      <c r="BS130" s="2" t="s">
        <v>4166</v>
      </c>
      <c r="BT130" s="2" t="str">
        <f>HYPERLINK("https%3A%2F%2Fwww.webofscience.com%2Fwos%2Fwoscc%2Ffull-record%2FWOS:000695827100001","View Full Record in Web of Science")</f>
        <v>View Full Record in Web of Science</v>
      </c>
    </row>
    <row r="131" spans="1:72" s="2" customFormat="1" x14ac:dyDescent="0.4">
      <c r="A131" s="2" t="s">
        <v>72</v>
      </c>
      <c r="B131" s="2" t="s">
        <v>6550</v>
      </c>
      <c r="C131" s="2" t="s">
        <v>74</v>
      </c>
      <c r="D131" s="2" t="s">
        <v>74</v>
      </c>
      <c r="E131" s="2" t="s">
        <v>74</v>
      </c>
      <c r="F131" s="2" t="s">
        <v>6551</v>
      </c>
      <c r="G131" s="2" t="s">
        <v>74</v>
      </c>
      <c r="H131" s="2" t="s">
        <v>74</v>
      </c>
      <c r="I131" s="2" t="s">
        <v>6552</v>
      </c>
      <c r="J131" s="2" t="s">
        <v>6553</v>
      </c>
      <c r="K131" s="2" t="s">
        <v>74</v>
      </c>
      <c r="L131" s="2" t="s">
        <v>74</v>
      </c>
      <c r="M131" s="2" t="s">
        <v>74</v>
      </c>
      <c r="N131" s="2" t="s">
        <v>74</v>
      </c>
      <c r="O131" s="2" t="s">
        <v>74</v>
      </c>
      <c r="P131" s="2" t="s">
        <v>74</v>
      </c>
      <c r="Q131" s="2" t="s">
        <v>74</v>
      </c>
      <c r="R131" s="2" t="s">
        <v>74</v>
      </c>
      <c r="S131" s="2" t="s">
        <v>74</v>
      </c>
      <c r="T131" s="2" t="s">
        <v>74</v>
      </c>
      <c r="U131" s="2" t="s">
        <v>74</v>
      </c>
      <c r="V131" s="5" t="s">
        <v>6554</v>
      </c>
      <c r="W131" s="2" t="s">
        <v>74</v>
      </c>
      <c r="X131" s="2" t="s">
        <v>74</v>
      </c>
      <c r="Y131" s="2" t="s">
        <v>74</v>
      </c>
      <c r="Z131" s="2" t="s">
        <v>74</v>
      </c>
      <c r="AA131" s="2" t="s">
        <v>74</v>
      </c>
      <c r="AB131" s="2" t="s">
        <v>74</v>
      </c>
      <c r="AC131" s="2" t="s">
        <v>74</v>
      </c>
      <c r="AD131" s="2" t="s">
        <v>74</v>
      </c>
      <c r="AE131" s="2" t="s">
        <v>74</v>
      </c>
      <c r="AF131" s="2" t="s">
        <v>74</v>
      </c>
      <c r="AG131" s="2" t="s">
        <v>74</v>
      </c>
      <c r="AH131" s="2" t="s">
        <v>74</v>
      </c>
      <c r="AI131" s="2" t="s">
        <v>74</v>
      </c>
      <c r="AJ131" s="2" t="s">
        <v>74</v>
      </c>
      <c r="AK131" s="2" t="s">
        <v>74</v>
      </c>
      <c r="AL131" s="2" t="s">
        <v>74</v>
      </c>
      <c r="AM131" s="2" t="s">
        <v>74</v>
      </c>
      <c r="AN131" s="2" t="s">
        <v>74</v>
      </c>
      <c r="AO131" s="2" t="s">
        <v>6555</v>
      </c>
      <c r="AP131" s="2" t="s">
        <v>6556</v>
      </c>
      <c r="AQ131" s="2" t="s">
        <v>74</v>
      </c>
      <c r="AR131" s="2" t="s">
        <v>74</v>
      </c>
      <c r="AS131" s="2" t="s">
        <v>74</v>
      </c>
      <c r="AT131" s="2" t="s">
        <v>74</v>
      </c>
      <c r="AU131" s="2">
        <v>2024</v>
      </c>
      <c r="AV131" s="2">
        <v>35</v>
      </c>
      <c r="AW131" s="2">
        <v>2</v>
      </c>
      <c r="AX131" s="2" t="s">
        <v>74</v>
      </c>
      <c r="AY131" s="2" t="s">
        <v>74</v>
      </c>
      <c r="AZ131" s="2" t="s">
        <v>74</v>
      </c>
      <c r="BA131" s="2" t="s">
        <v>74</v>
      </c>
      <c r="BB131" s="2" t="s">
        <v>74</v>
      </c>
      <c r="BC131" s="2" t="s">
        <v>74</v>
      </c>
      <c r="BD131" s="2" t="s">
        <v>74</v>
      </c>
      <c r="BE131" s="2" t="s">
        <v>6557</v>
      </c>
      <c r="BF131" s="2" t="str">
        <f>HYPERLINK("http://dx.doi.org/10.21315/tlsr2024.35.2.15","http://dx.doi.org/10.21315/tlsr2024.35.2.15")</f>
        <v>http://dx.doi.org/10.21315/tlsr2024.35.2.15</v>
      </c>
      <c r="BG131" s="2" t="s">
        <v>74</v>
      </c>
      <c r="BH131" s="2" t="s">
        <v>74</v>
      </c>
      <c r="BI131" s="2" t="s">
        <v>74</v>
      </c>
      <c r="BJ131" s="2" t="s">
        <v>74</v>
      </c>
      <c r="BK131" s="2" t="s">
        <v>74</v>
      </c>
      <c r="BL131" s="2" t="s">
        <v>74</v>
      </c>
      <c r="BM131" s="2" t="s">
        <v>74</v>
      </c>
      <c r="BN131" s="2" t="s">
        <v>74</v>
      </c>
      <c r="BO131" s="2" t="s">
        <v>74</v>
      </c>
      <c r="BP131" s="2" t="s">
        <v>74</v>
      </c>
      <c r="BQ131" s="2" t="s">
        <v>74</v>
      </c>
      <c r="BR131" s="2" t="s">
        <v>74</v>
      </c>
      <c r="BS131" s="2" t="s">
        <v>6558</v>
      </c>
      <c r="BT131" s="2" t="str">
        <f>HYPERLINK("https%3A%2F%2Fwww.webofscience.com%2Fwos%2Fwoscc%2Ffull-record%2FWOS:001292721100013","View Full Record in Web of Science")</f>
        <v>View Full Record in Web of Science</v>
      </c>
    </row>
    <row r="132" spans="1:72" s="2" customFormat="1" x14ac:dyDescent="0.4">
      <c r="A132" s="2" t="s">
        <v>72</v>
      </c>
      <c r="B132" s="2" t="s">
        <v>506</v>
      </c>
      <c r="C132" s="2" t="s">
        <v>74</v>
      </c>
      <c r="D132" s="2" t="s">
        <v>74</v>
      </c>
      <c r="E132" s="2" t="s">
        <v>74</v>
      </c>
      <c r="F132" s="2" t="s">
        <v>507</v>
      </c>
      <c r="G132" s="2" t="s">
        <v>74</v>
      </c>
      <c r="H132" s="2" t="s">
        <v>74</v>
      </c>
      <c r="I132" s="2" t="s">
        <v>508</v>
      </c>
      <c r="J132" s="2" t="s">
        <v>509</v>
      </c>
      <c r="K132" s="2" t="s">
        <v>74</v>
      </c>
      <c r="L132" s="2" t="s">
        <v>74</v>
      </c>
      <c r="M132" s="2" t="s">
        <v>74</v>
      </c>
      <c r="N132" s="2" t="s">
        <v>74</v>
      </c>
      <c r="O132" s="2" t="s">
        <v>74</v>
      </c>
      <c r="P132" s="2" t="s">
        <v>74</v>
      </c>
      <c r="Q132" s="2" t="s">
        <v>74</v>
      </c>
      <c r="R132" s="2" t="s">
        <v>74</v>
      </c>
      <c r="S132" s="2" t="s">
        <v>74</v>
      </c>
      <c r="T132" s="2" t="s">
        <v>74</v>
      </c>
      <c r="U132" s="2" t="s">
        <v>74</v>
      </c>
      <c r="V132" s="5" t="s">
        <v>510</v>
      </c>
      <c r="W132" s="2" t="s">
        <v>74</v>
      </c>
      <c r="X132" s="2" t="s">
        <v>74</v>
      </c>
      <c r="Y132" s="2" t="s">
        <v>74</v>
      </c>
      <c r="Z132" s="2" t="s">
        <v>74</v>
      </c>
      <c r="AA132" s="2" t="s">
        <v>74</v>
      </c>
      <c r="AB132" s="2" t="s">
        <v>74</v>
      </c>
      <c r="AC132" s="2" t="s">
        <v>74</v>
      </c>
      <c r="AD132" s="2" t="s">
        <v>74</v>
      </c>
      <c r="AE132" s="2" t="s">
        <v>74</v>
      </c>
      <c r="AF132" s="2" t="s">
        <v>74</v>
      </c>
      <c r="AG132" s="2" t="s">
        <v>74</v>
      </c>
      <c r="AH132" s="2" t="s">
        <v>74</v>
      </c>
      <c r="AI132" s="2" t="s">
        <v>74</v>
      </c>
      <c r="AJ132" s="2" t="s">
        <v>74</v>
      </c>
      <c r="AK132" s="2" t="s">
        <v>74</v>
      </c>
      <c r="AL132" s="2" t="s">
        <v>74</v>
      </c>
      <c r="AM132" s="2" t="s">
        <v>74</v>
      </c>
      <c r="AN132" s="2" t="s">
        <v>74</v>
      </c>
      <c r="AO132" s="2" t="s">
        <v>511</v>
      </c>
      <c r="AP132" s="2" t="s">
        <v>512</v>
      </c>
      <c r="AQ132" s="2" t="s">
        <v>74</v>
      </c>
      <c r="AR132" s="2" t="s">
        <v>74</v>
      </c>
      <c r="AS132" s="2" t="s">
        <v>74</v>
      </c>
      <c r="AT132" s="2" t="s">
        <v>145</v>
      </c>
      <c r="AU132" s="2">
        <v>2010</v>
      </c>
      <c r="AV132" s="2">
        <v>58</v>
      </c>
      <c r="AW132" s="2">
        <v>3</v>
      </c>
      <c r="AX132" s="2" t="s">
        <v>74</v>
      </c>
      <c r="AY132" s="2" t="s">
        <v>74</v>
      </c>
      <c r="AZ132" s="2" t="s">
        <v>74</v>
      </c>
      <c r="BA132" s="2" t="s">
        <v>74</v>
      </c>
      <c r="BB132" s="2">
        <v>526</v>
      </c>
      <c r="BC132" s="2">
        <v>532</v>
      </c>
      <c r="BD132" s="2" t="s">
        <v>74</v>
      </c>
      <c r="BE132" s="2" t="s">
        <v>513</v>
      </c>
      <c r="BF132" s="2" t="str">
        <f>HYPERLINK("http://dx.doi.org/10.1016/j.yhbeh.2010.04.004","http://dx.doi.org/10.1016/j.yhbeh.2010.04.004")</f>
        <v>http://dx.doi.org/10.1016/j.yhbeh.2010.04.004</v>
      </c>
      <c r="BG132" s="2" t="s">
        <v>74</v>
      </c>
      <c r="BH132" s="2" t="s">
        <v>74</v>
      </c>
      <c r="BI132" s="2" t="s">
        <v>74</v>
      </c>
      <c r="BJ132" s="2" t="s">
        <v>74</v>
      </c>
      <c r="BK132" s="2" t="s">
        <v>74</v>
      </c>
      <c r="BL132" s="2" t="s">
        <v>74</v>
      </c>
      <c r="BM132" s="2" t="s">
        <v>74</v>
      </c>
      <c r="BN132" s="2">
        <v>20406643</v>
      </c>
      <c r="BO132" s="2" t="s">
        <v>74</v>
      </c>
      <c r="BP132" s="2" t="s">
        <v>74</v>
      </c>
      <c r="BQ132" s="2" t="s">
        <v>74</v>
      </c>
      <c r="BR132" s="2" t="s">
        <v>74</v>
      </c>
      <c r="BS132" s="2" t="s">
        <v>514</v>
      </c>
      <c r="BT132" s="2" t="str">
        <f>HYPERLINK("https%3A%2F%2Fwww.webofscience.com%2Fwos%2Fwoscc%2Ffull-record%2FWOS:000280933600025","View Full Record in Web of Science")</f>
        <v>View Full Record in Web of Science</v>
      </c>
    </row>
    <row r="133" spans="1:72" s="2" customFormat="1" x14ac:dyDescent="0.4">
      <c r="A133" s="2" t="s">
        <v>72</v>
      </c>
      <c r="B133" s="2" t="s">
        <v>3619</v>
      </c>
      <c r="C133" s="2" t="s">
        <v>74</v>
      </c>
      <c r="D133" s="2" t="s">
        <v>74</v>
      </c>
      <c r="E133" s="2" t="s">
        <v>74</v>
      </c>
      <c r="F133" s="2" t="s">
        <v>3620</v>
      </c>
      <c r="G133" s="2" t="s">
        <v>74</v>
      </c>
      <c r="H133" s="2" t="s">
        <v>74</v>
      </c>
      <c r="I133" s="2" t="s">
        <v>3621</v>
      </c>
      <c r="J133" s="2" t="s">
        <v>763</v>
      </c>
      <c r="K133" s="2" t="s">
        <v>74</v>
      </c>
      <c r="L133" s="2" t="s">
        <v>74</v>
      </c>
      <c r="M133" s="2" t="s">
        <v>74</v>
      </c>
      <c r="N133" s="2" t="s">
        <v>74</v>
      </c>
      <c r="O133" s="2" t="s">
        <v>74</v>
      </c>
      <c r="P133" s="2" t="s">
        <v>74</v>
      </c>
      <c r="Q133" s="2" t="s">
        <v>74</v>
      </c>
      <c r="R133" s="2" t="s">
        <v>74</v>
      </c>
      <c r="S133" s="2" t="s">
        <v>74</v>
      </c>
      <c r="T133" s="2" t="s">
        <v>74</v>
      </c>
      <c r="U133" s="2" t="s">
        <v>74</v>
      </c>
      <c r="V133" s="5" t="s">
        <v>3622</v>
      </c>
      <c r="W133" s="2" t="s">
        <v>74</v>
      </c>
      <c r="X133" s="2" t="s">
        <v>74</v>
      </c>
      <c r="Y133" s="2" t="s">
        <v>74</v>
      </c>
      <c r="Z133" s="2" t="s">
        <v>74</v>
      </c>
      <c r="AA133" s="2" t="s">
        <v>74</v>
      </c>
      <c r="AB133" s="2" t="s">
        <v>3623</v>
      </c>
      <c r="AC133" s="2" t="s">
        <v>74</v>
      </c>
      <c r="AD133" s="2" t="s">
        <v>74</v>
      </c>
      <c r="AE133" s="2" t="s">
        <v>74</v>
      </c>
      <c r="AF133" s="2" t="s">
        <v>74</v>
      </c>
      <c r="AG133" s="2" t="s">
        <v>74</v>
      </c>
      <c r="AH133" s="2" t="s">
        <v>74</v>
      </c>
      <c r="AI133" s="2" t="s">
        <v>74</v>
      </c>
      <c r="AJ133" s="2" t="s">
        <v>74</v>
      </c>
      <c r="AK133" s="2" t="s">
        <v>74</v>
      </c>
      <c r="AL133" s="2" t="s">
        <v>74</v>
      </c>
      <c r="AM133" s="2" t="s">
        <v>74</v>
      </c>
      <c r="AN133" s="2" t="s">
        <v>74</v>
      </c>
      <c r="AO133" s="2" t="s">
        <v>767</v>
      </c>
      <c r="AP133" s="2" t="s">
        <v>768</v>
      </c>
      <c r="AQ133" s="2" t="s">
        <v>74</v>
      </c>
      <c r="AR133" s="2" t="s">
        <v>74</v>
      </c>
      <c r="AS133" s="2" t="s">
        <v>74</v>
      </c>
      <c r="AT133" s="2" t="s">
        <v>123</v>
      </c>
      <c r="AU133" s="2">
        <v>2019</v>
      </c>
      <c r="AV133" s="2">
        <v>222</v>
      </c>
      <c r="AW133" s="2">
        <v>5</v>
      </c>
      <c r="AX133" s="2" t="s">
        <v>74</v>
      </c>
      <c r="AY133" s="2" t="s">
        <v>74</v>
      </c>
      <c r="AZ133" s="2" t="s">
        <v>74</v>
      </c>
      <c r="BA133" s="2" t="s">
        <v>74</v>
      </c>
      <c r="BB133" s="2" t="s">
        <v>74</v>
      </c>
      <c r="BC133" s="2" t="s">
        <v>74</v>
      </c>
      <c r="BD133" s="2" t="s">
        <v>3624</v>
      </c>
      <c r="BE133" s="2" t="s">
        <v>3625</v>
      </c>
      <c r="BF133" s="2" t="str">
        <f>HYPERLINK("http://dx.doi.org/10.1242/jeb.191544","http://dx.doi.org/10.1242/jeb.191544")</f>
        <v>http://dx.doi.org/10.1242/jeb.191544</v>
      </c>
      <c r="BG133" s="2" t="s">
        <v>74</v>
      </c>
      <c r="BH133" s="2" t="s">
        <v>74</v>
      </c>
      <c r="BI133" s="2" t="s">
        <v>74</v>
      </c>
      <c r="BJ133" s="2" t="s">
        <v>74</v>
      </c>
      <c r="BK133" s="2" t="s">
        <v>74</v>
      </c>
      <c r="BL133" s="2" t="s">
        <v>74</v>
      </c>
      <c r="BM133" s="2" t="s">
        <v>74</v>
      </c>
      <c r="BN133" s="2">
        <v>30659081</v>
      </c>
      <c r="BO133" s="2" t="s">
        <v>74</v>
      </c>
      <c r="BP133" s="2" t="s">
        <v>74</v>
      </c>
      <c r="BQ133" s="2" t="s">
        <v>74</v>
      </c>
      <c r="BR133" s="2" t="s">
        <v>74</v>
      </c>
      <c r="BS133" s="2" t="s">
        <v>3626</v>
      </c>
      <c r="BT133" s="2" t="str">
        <f>HYPERLINK("https%3A%2F%2Fwww.webofscience.com%2Fwos%2Fwoscc%2Ffull-record%2FWOS:000461414600010","View Full Record in Web of Science")</f>
        <v>View Full Record in Web of Science</v>
      </c>
    </row>
    <row r="134" spans="1:72" s="2" customFormat="1" x14ac:dyDescent="0.4">
      <c r="A134" s="2" t="s">
        <v>72</v>
      </c>
      <c r="B134" s="2" t="s">
        <v>7888</v>
      </c>
      <c r="C134" s="2" t="s">
        <v>74</v>
      </c>
      <c r="D134" s="2" t="s">
        <v>74</v>
      </c>
      <c r="E134" s="2" t="s">
        <v>74</v>
      </c>
      <c r="F134" s="2" t="s">
        <v>7889</v>
      </c>
      <c r="G134" s="2" t="s">
        <v>74</v>
      </c>
      <c r="H134" s="2" t="s">
        <v>74</v>
      </c>
      <c r="I134" s="2" t="s">
        <v>7890</v>
      </c>
      <c r="J134" s="2" t="s">
        <v>814</v>
      </c>
      <c r="K134" s="2" t="s">
        <v>74</v>
      </c>
      <c r="L134" s="2" t="s">
        <v>74</v>
      </c>
      <c r="M134" s="2" t="s">
        <v>74</v>
      </c>
      <c r="N134" s="2" t="s">
        <v>74</v>
      </c>
      <c r="O134" s="2" t="s">
        <v>74</v>
      </c>
      <c r="P134" s="2" t="s">
        <v>74</v>
      </c>
      <c r="Q134" s="2" t="s">
        <v>74</v>
      </c>
      <c r="R134" s="2" t="s">
        <v>74</v>
      </c>
      <c r="S134" s="2" t="s">
        <v>74</v>
      </c>
      <c r="T134" s="2" t="s">
        <v>74</v>
      </c>
      <c r="U134" s="2" t="s">
        <v>74</v>
      </c>
      <c r="V134" s="5" t="s">
        <v>7891</v>
      </c>
      <c r="W134" s="2" t="s">
        <v>74</v>
      </c>
      <c r="X134" s="2" t="s">
        <v>74</v>
      </c>
      <c r="Y134" s="2" t="s">
        <v>74</v>
      </c>
      <c r="Z134" s="2" t="s">
        <v>74</v>
      </c>
      <c r="AA134" s="2" t="s">
        <v>7892</v>
      </c>
      <c r="AB134" s="2" t="s">
        <v>7893</v>
      </c>
      <c r="AC134" s="2" t="s">
        <v>74</v>
      </c>
      <c r="AD134" s="2" t="s">
        <v>74</v>
      </c>
      <c r="AE134" s="2" t="s">
        <v>74</v>
      </c>
      <c r="AF134" s="2" t="s">
        <v>74</v>
      </c>
      <c r="AG134" s="2" t="s">
        <v>74</v>
      </c>
      <c r="AH134" s="2" t="s">
        <v>74</v>
      </c>
      <c r="AI134" s="2" t="s">
        <v>74</v>
      </c>
      <c r="AJ134" s="2" t="s">
        <v>74</v>
      </c>
      <c r="AK134" s="2" t="s">
        <v>74</v>
      </c>
      <c r="AL134" s="2" t="s">
        <v>74</v>
      </c>
      <c r="AM134" s="2" t="s">
        <v>74</v>
      </c>
      <c r="AN134" s="2" t="s">
        <v>74</v>
      </c>
      <c r="AO134" s="2" t="s">
        <v>818</v>
      </c>
      <c r="AP134" s="2" t="s">
        <v>1505</v>
      </c>
      <c r="AQ134" s="2" t="s">
        <v>74</v>
      </c>
      <c r="AR134" s="2" t="s">
        <v>74</v>
      </c>
      <c r="AS134" s="2" t="s">
        <v>74</v>
      </c>
      <c r="AT134" s="2" t="s">
        <v>633</v>
      </c>
      <c r="AU134" s="2">
        <v>2022</v>
      </c>
      <c r="AV134" s="2">
        <v>151</v>
      </c>
      <c r="AW134" s="2" t="s">
        <v>74</v>
      </c>
      <c r="AX134" s="2" t="s">
        <v>74</v>
      </c>
      <c r="AY134" s="2" t="s">
        <v>74</v>
      </c>
      <c r="AZ134" s="2" t="s">
        <v>74</v>
      </c>
      <c r="BA134" s="2" t="s">
        <v>74</v>
      </c>
      <c r="BB134" s="2" t="s">
        <v>74</v>
      </c>
      <c r="BC134" s="2" t="s">
        <v>74</v>
      </c>
      <c r="BD134" s="2">
        <v>125992</v>
      </c>
      <c r="BE134" s="2" t="s">
        <v>7894</v>
      </c>
      <c r="BF134" s="2" t="str">
        <f>HYPERLINK("http://dx.doi.org/10.1016/j.zool.2021.125992","http://dx.doi.org/10.1016/j.zool.2021.125992")</f>
        <v>http://dx.doi.org/10.1016/j.zool.2021.125992</v>
      </c>
      <c r="BG134" s="2" t="s">
        <v>74</v>
      </c>
      <c r="BH134" s="2" t="s">
        <v>7438</v>
      </c>
      <c r="BI134" s="2" t="s">
        <v>74</v>
      </c>
      <c r="BJ134" s="2" t="s">
        <v>74</v>
      </c>
      <c r="BK134" s="2" t="s">
        <v>74</v>
      </c>
      <c r="BL134" s="2" t="s">
        <v>74</v>
      </c>
      <c r="BM134" s="2" t="s">
        <v>74</v>
      </c>
      <c r="BN134" s="2">
        <v>35228128</v>
      </c>
      <c r="BO134" s="2" t="s">
        <v>74</v>
      </c>
      <c r="BP134" s="2" t="s">
        <v>74</v>
      </c>
      <c r="BQ134" s="2" t="s">
        <v>74</v>
      </c>
      <c r="BR134" s="2" t="s">
        <v>74</v>
      </c>
      <c r="BS134" s="2" t="s">
        <v>7895</v>
      </c>
      <c r="BT134" s="2" t="str">
        <f>HYPERLINK("https%3A%2F%2Fwww.webofscience.com%2Fwos%2Fwoscc%2Ffull-record%2FWOS:000776690400002","View Full Record in Web of Science")</f>
        <v>View Full Record in Web of Science</v>
      </c>
    </row>
    <row r="135" spans="1:72" s="2" customFormat="1" x14ac:dyDescent="0.4">
      <c r="A135" s="2" t="s">
        <v>72</v>
      </c>
      <c r="B135" s="2" t="s">
        <v>8421</v>
      </c>
      <c r="C135" s="2" t="s">
        <v>74</v>
      </c>
      <c r="D135" s="2" t="s">
        <v>74</v>
      </c>
      <c r="E135" s="2" t="s">
        <v>74</v>
      </c>
      <c r="F135" s="2" t="s">
        <v>8421</v>
      </c>
      <c r="G135" s="2" t="s">
        <v>74</v>
      </c>
      <c r="H135" s="2" t="s">
        <v>74</v>
      </c>
      <c r="I135" s="2" t="s">
        <v>8422</v>
      </c>
      <c r="J135" s="2" t="s">
        <v>1878</v>
      </c>
      <c r="K135" s="2" t="s">
        <v>74</v>
      </c>
      <c r="L135" s="2" t="s">
        <v>74</v>
      </c>
      <c r="M135" s="2" t="s">
        <v>74</v>
      </c>
      <c r="N135" s="2" t="s">
        <v>74</v>
      </c>
      <c r="O135" s="2" t="s">
        <v>74</v>
      </c>
      <c r="P135" s="2" t="s">
        <v>74</v>
      </c>
      <c r="Q135" s="2" t="s">
        <v>74</v>
      </c>
      <c r="R135" s="2" t="s">
        <v>74</v>
      </c>
      <c r="S135" s="2" t="s">
        <v>74</v>
      </c>
      <c r="T135" s="2" t="s">
        <v>74</v>
      </c>
      <c r="U135" s="2" t="s">
        <v>74</v>
      </c>
      <c r="V135" s="5" t="s">
        <v>8423</v>
      </c>
      <c r="W135" s="2" t="s">
        <v>74</v>
      </c>
      <c r="X135" s="2" t="s">
        <v>74</v>
      </c>
      <c r="Y135" s="2" t="s">
        <v>74</v>
      </c>
      <c r="Z135" s="2" t="s">
        <v>74</v>
      </c>
      <c r="AA135" s="2" t="s">
        <v>8424</v>
      </c>
      <c r="AB135" s="2" t="s">
        <v>8425</v>
      </c>
      <c r="AC135" s="2" t="s">
        <v>74</v>
      </c>
      <c r="AD135" s="2" t="s">
        <v>74</v>
      </c>
      <c r="AE135" s="2" t="s">
        <v>74</v>
      </c>
      <c r="AF135" s="2" t="s">
        <v>74</v>
      </c>
      <c r="AG135" s="2" t="s">
        <v>74</v>
      </c>
      <c r="AH135" s="2" t="s">
        <v>74</v>
      </c>
      <c r="AI135" s="2" t="s">
        <v>74</v>
      </c>
      <c r="AJ135" s="2" t="s">
        <v>74</v>
      </c>
      <c r="AK135" s="2" t="s">
        <v>74</v>
      </c>
      <c r="AL135" s="2" t="s">
        <v>74</v>
      </c>
      <c r="AM135" s="2" t="s">
        <v>74</v>
      </c>
      <c r="AN135" s="2" t="s">
        <v>74</v>
      </c>
      <c r="AO135" s="2" t="s">
        <v>1882</v>
      </c>
      <c r="AP135" s="2" t="s">
        <v>74</v>
      </c>
      <c r="AQ135" s="2" t="s">
        <v>74</v>
      </c>
      <c r="AR135" s="2" t="s">
        <v>74</v>
      </c>
      <c r="AS135" s="2" t="s">
        <v>74</v>
      </c>
      <c r="AT135" s="2" t="s">
        <v>964</v>
      </c>
      <c r="AU135" s="2">
        <v>2000</v>
      </c>
      <c r="AV135" s="2">
        <v>65</v>
      </c>
      <c r="AW135" s="2">
        <v>2</v>
      </c>
      <c r="AX135" s="2" t="s">
        <v>74</v>
      </c>
      <c r="AY135" s="2" t="s">
        <v>74</v>
      </c>
      <c r="AZ135" s="2" t="s">
        <v>74</v>
      </c>
      <c r="BA135" s="2" t="s">
        <v>74</v>
      </c>
      <c r="BB135" s="2">
        <v>327</v>
      </c>
      <c r="BC135" s="2">
        <v>332</v>
      </c>
      <c r="BD135" s="2" t="s">
        <v>74</v>
      </c>
      <c r="BE135" s="2" t="s">
        <v>8426</v>
      </c>
      <c r="BF135" s="2" t="str">
        <f>HYPERLINK("http://dx.doi.org/10.1016/S0091-3057(99)00189-6","http://dx.doi.org/10.1016/S0091-3057(99)00189-6")</f>
        <v>http://dx.doi.org/10.1016/S0091-3057(99)00189-6</v>
      </c>
      <c r="BG135" s="2" t="s">
        <v>74</v>
      </c>
      <c r="BH135" s="2" t="s">
        <v>74</v>
      </c>
      <c r="BI135" s="2" t="s">
        <v>74</v>
      </c>
      <c r="BJ135" s="2" t="s">
        <v>74</v>
      </c>
      <c r="BK135" s="2" t="s">
        <v>74</v>
      </c>
      <c r="BL135" s="2" t="s">
        <v>74</v>
      </c>
      <c r="BM135" s="2" t="s">
        <v>74</v>
      </c>
      <c r="BN135" s="2">
        <v>10672986</v>
      </c>
      <c r="BO135" s="2" t="s">
        <v>74</v>
      </c>
      <c r="BP135" s="2" t="s">
        <v>74</v>
      </c>
      <c r="BQ135" s="2" t="s">
        <v>74</v>
      </c>
      <c r="BR135" s="2" t="s">
        <v>74</v>
      </c>
      <c r="BS135" s="2" t="s">
        <v>8427</v>
      </c>
      <c r="BT135" s="2" t="str">
        <f>HYPERLINK("https%3A%2F%2Fwww.webofscience.com%2Fwos%2Fwoscc%2Ffull-record%2FWOS:000084842500018","View Full Record in Web of Science")</f>
        <v>View Full Record in Web of Science</v>
      </c>
    </row>
    <row r="136" spans="1:72" s="2" customFormat="1" x14ac:dyDescent="0.4">
      <c r="A136" s="2" t="s">
        <v>72</v>
      </c>
      <c r="B136" s="2" t="s">
        <v>5452</v>
      </c>
      <c r="C136" s="2" t="s">
        <v>74</v>
      </c>
      <c r="D136" s="2" t="s">
        <v>74</v>
      </c>
      <c r="E136" s="2" t="s">
        <v>74</v>
      </c>
      <c r="F136" s="2" t="s">
        <v>5452</v>
      </c>
      <c r="G136" s="2" t="s">
        <v>74</v>
      </c>
      <c r="H136" s="2" t="s">
        <v>74</v>
      </c>
      <c r="I136" s="2" t="s">
        <v>5453</v>
      </c>
      <c r="J136" s="2" t="s">
        <v>5454</v>
      </c>
      <c r="K136" s="2" t="s">
        <v>74</v>
      </c>
      <c r="L136" s="2" t="s">
        <v>74</v>
      </c>
      <c r="M136" s="2" t="s">
        <v>74</v>
      </c>
      <c r="N136" s="2" t="s">
        <v>74</v>
      </c>
      <c r="O136" s="2" t="s">
        <v>74</v>
      </c>
      <c r="P136" s="2" t="s">
        <v>74</v>
      </c>
      <c r="Q136" s="2" t="s">
        <v>74</v>
      </c>
      <c r="R136" s="2" t="s">
        <v>74</v>
      </c>
      <c r="S136" s="2" t="s">
        <v>74</v>
      </c>
      <c r="T136" s="2" t="s">
        <v>74</v>
      </c>
      <c r="U136" s="2" t="s">
        <v>74</v>
      </c>
      <c r="V136" s="5" t="s">
        <v>5455</v>
      </c>
      <c r="W136" s="2" t="s">
        <v>74</v>
      </c>
      <c r="X136" s="2" t="s">
        <v>74</v>
      </c>
      <c r="Y136" s="2" t="s">
        <v>74</v>
      </c>
      <c r="Z136" s="2" t="s">
        <v>74</v>
      </c>
      <c r="AA136" s="2" t="s">
        <v>5456</v>
      </c>
      <c r="AB136" s="2" t="s">
        <v>5457</v>
      </c>
      <c r="AC136" s="2" t="s">
        <v>74</v>
      </c>
      <c r="AD136" s="2" t="s">
        <v>74</v>
      </c>
      <c r="AE136" s="2" t="s">
        <v>74</v>
      </c>
      <c r="AF136" s="2" t="s">
        <v>74</v>
      </c>
      <c r="AG136" s="2" t="s">
        <v>74</v>
      </c>
      <c r="AH136" s="2" t="s">
        <v>74</v>
      </c>
      <c r="AI136" s="2" t="s">
        <v>74</v>
      </c>
      <c r="AJ136" s="2" t="s">
        <v>74</v>
      </c>
      <c r="AK136" s="2" t="s">
        <v>74</v>
      </c>
      <c r="AL136" s="2" t="s">
        <v>74</v>
      </c>
      <c r="AM136" s="2" t="s">
        <v>74</v>
      </c>
      <c r="AN136" s="2" t="s">
        <v>74</v>
      </c>
      <c r="AO136" s="2" t="s">
        <v>5458</v>
      </c>
      <c r="AP136" s="2" t="s">
        <v>74</v>
      </c>
      <c r="AQ136" s="2" t="s">
        <v>74</v>
      </c>
      <c r="AR136" s="2" t="s">
        <v>74</v>
      </c>
      <c r="AS136" s="2" t="s">
        <v>74</v>
      </c>
      <c r="AT136" s="2" t="s">
        <v>74</v>
      </c>
      <c r="AU136" s="2">
        <v>1991</v>
      </c>
      <c r="AV136" s="2">
        <v>19</v>
      </c>
      <c r="AW136" s="2">
        <v>4</v>
      </c>
      <c r="AX136" s="2" t="s">
        <v>74</v>
      </c>
      <c r="AY136" s="2" t="s">
        <v>74</v>
      </c>
      <c r="AZ136" s="2" t="s">
        <v>74</v>
      </c>
      <c r="BA136" s="2" t="s">
        <v>74</v>
      </c>
      <c r="BB136" s="2">
        <v>271</v>
      </c>
      <c r="BC136" s="2">
        <v>276</v>
      </c>
      <c r="BD136" s="2" t="s">
        <v>74</v>
      </c>
      <c r="BE136" s="2" t="s">
        <v>5459</v>
      </c>
      <c r="BF136" s="2" t="str">
        <f>HYPERLINK("http://dx.doi.org/10.1016/0305-1978(91)90014-Q","http://dx.doi.org/10.1016/0305-1978(91)90014-Q")</f>
        <v>http://dx.doi.org/10.1016/0305-1978(91)90014-Q</v>
      </c>
      <c r="BG136" s="2" t="s">
        <v>74</v>
      </c>
      <c r="BH136" s="2" t="s">
        <v>74</v>
      </c>
      <c r="BI136" s="2" t="s">
        <v>74</v>
      </c>
      <c r="BJ136" s="2" t="s">
        <v>74</v>
      </c>
      <c r="BK136" s="2" t="s">
        <v>74</v>
      </c>
      <c r="BL136" s="2" t="s">
        <v>74</v>
      </c>
      <c r="BM136" s="2" t="s">
        <v>74</v>
      </c>
      <c r="BN136" s="2" t="s">
        <v>74</v>
      </c>
      <c r="BO136" s="2" t="s">
        <v>74</v>
      </c>
      <c r="BP136" s="2" t="s">
        <v>74</v>
      </c>
      <c r="BQ136" s="2" t="s">
        <v>74</v>
      </c>
      <c r="BR136" s="2" t="s">
        <v>74</v>
      </c>
      <c r="BS136" s="2" t="s">
        <v>5460</v>
      </c>
      <c r="BT136" s="2" t="str">
        <f>HYPERLINK("https%3A%2F%2Fwww.webofscience.com%2Fwos%2Fwoscc%2Ffull-record%2FWOS:A1991HA68300002","View Full Record in Web of Science")</f>
        <v>View Full Record in Web of Science</v>
      </c>
    </row>
    <row r="137" spans="1:72" s="2" customFormat="1" x14ac:dyDescent="0.4">
      <c r="A137" s="2" t="s">
        <v>72</v>
      </c>
      <c r="B137" s="2" t="s">
        <v>7761</v>
      </c>
      <c r="C137" s="2" t="s">
        <v>74</v>
      </c>
      <c r="D137" s="2" t="s">
        <v>74</v>
      </c>
      <c r="E137" s="2" t="s">
        <v>74</v>
      </c>
      <c r="F137" s="2" t="s">
        <v>7762</v>
      </c>
      <c r="G137" s="2" t="s">
        <v>74</v>
      </c>
      <c r="H137" s="2" t="s">
        <v>74</v>
      </c>
      <c r="I137" s="2" t="s">
        <v>7763</v>
      </c>
      <c r="J137" s="2" t="s">
        <v>129</v>
      </c>
      <c r="K137" s="2" t="s">
        <v>74</v>
      </c>
      <c r="L137" s="2" t="s">
        <v>74</v>
      </c>
      <c r="M137" s="2" t="s">
        <v>74</v>
      </c>
      <c r="N137" s="2" t="s">
        <v>74</v>
      </c>
      <c r="O137" s="2" t="s">
        <v>74</v>
      </c>
      <c r="P137" s="2" t="s">
        <v>74</v>
      </c>
      <c r="Q137" s="2" t="s">
        <v>74</v>
      </c>
      <c r="R137" s="2" t="s">
        <v>74</v>
      </c>
      <c r="S137" s="2" t="s">
        <v>74</v>
      </c>
      <c r="T137" s="2" t="s">
        <v>74</v>
      </c>
      <c r="U137" s="2" t="s">
        <v>74</v>
      </c>
      <c r="V137" s="5" t="s">
        <v>7764</v>
      </c>
      <c r="W137" s="2" t="s">
        <v>74</v>
      </c>
      <c r="X137" s="2" t="s">
        <v>74</v>
      </c>
      <c r="Y137" s="2" t="s">
        <v>74</v>
      </c>
      <c r="Z137" s="2" t="s">
        <v>74</v>
      </c>
      <c r="AA137" s="2" t="s">
        <v>74</v>
      </c>
      <c r="AB137" s="2" t="s">
        <v>7765</v>
      </c>
      <c r="AC137" s="2" t="s">
        <v>74</v>
      </c>
      <c r="AD137" s="2" t="s">
        <v>74</v>
      </c>
      <c r="AE137" s="2" t="s">
        <v>74</v>
      </c>
      <c r="AF137" s="2" t="s">
        <v>74</v>
      </c>
      <c r="AG137" s="2" t="s">
        <v>74</v>
      </c>
      <c r="AH137" s="2" t="s">
        <v>74</v>
      </c>
      <c r="AI137" s="2" t="s">
        <v>74</v>
      </c>
      <c r="AJ137" s="2" t="s">
        <v>74</v>
      </c>
      <c r="AK137" s="2" t="s">
        <v>74</v>
      </c>
      <c r="AL137" s="2" t="s">
        <v>74</v>
      </c>
      <c r="AM137" s="2" t="s">
        <v>74</v>
      </c>
      <c r="AN137" s="2" t="s">
        <v>74</v>
      </c>
      <c r="AO137" s="2" t="s">
        <v>132</v>
      </c>
      <c r="AP137" s="2" t="s">
        <v>133</v>
      </c>
      <c r="AQ137" s="2" t="s">
        <v>74</v>
      </c>
      <c r="AR137" s="2" t="s">
        <v>74</v>
      </c>
      <c r="AS137" s="2" t="s">
        <v>74</v>
      </c>
      <c r="AT137" s="2" t="s">
        <v>213</v>
      </c>
      <c r="AU137" s="2">
        <v>2022</v>
      </c>
      <c r="AV137" s="2">
        <v>76</v>
      </c>
      <c r="AW137" s="2">
        <v>11</v>
      </c>
      <c r="AX137" s="2" t="s">
        <v>74</v>
      </c>
      <c r="AY137" s="2" t="s">
        <v>74</v>
      </c>
      <c r="AZ137" s="2" t="s">
        <v>74</v>
      </c>
      <c r="BA137" s="2" t="s">
        <v>74</v>
      </c>
      <c r="BB137" s="2" t="s">
        <v>74</v>
      </c>
      <c r="BC137" s="2" t="s">
        <v>74</v>
      </c>
      <c r="BD137" s="2">
        <v>147</v>
      </c>
      <c r="BE137" s="2" t="s">
        <v>7766</v>
      </c>
      <c r="BF137" s="2" t="str">
        <f>HYPERLINK("http://dx.doi.org/10.1007/s00265-022-03253-y","http://dx.doi.org/10.1007/s00265-022-03253-y")</f>
        <v>http://dx.doi.org/10.1007/s00265-022-03253-y</v>
      </c>
      <c r="BG137" s="2" t="s">
        <v>74</v>
      </c>
      <c r="BH137" s="2" t="s">
        <v>74</v>
      </c>
      <c r="BI137" s="2" t="s">
        <v>74</v>
      </c>
      <c r="BJ137" s="2" t="s">
        <v>74</v>
      </c>
      <c r="BK137" s="2" t="s">
        <v>74</v>
      </c>
      <c r="BL137" s="2" t="s">
        <v>74</v>
      </c>
      <c r="BM137" s="2" t="s">
        <v>74</v>
      </c>
      <c r="BN137" s="2" t="s">
        <v>74</v>
      </c>
      <c r="BO137" s="2" t="s">
        <v>74</v>
      </c>
      <c r="BP137" s="2" t="s">
        <v>74</v>
      </c>
      <c r="BQ137" s="2" t="s">
        <v>74</v>
      </c>
      <c r="BR137" s="2" t="s">
        <v>74</v>
      </c>
      <c r="BS137" s="2" t="s">
        <v>7767</v>
      </c>
      <c r="BT137" s="2" t="str">
        <f>HYPERLINK("https%3A%2F%2Fwww.webofscience.com%2Fwos%2Fwoscc%2Ffull-record%2FWOS:000867664700001","View Full Record in Web of Science")</f>
        <v>View Full Record in Web of Science</v>
      </c>
    </row>
    <row r="138" spans="1:72" s="2" customFormat="1" x14ac:dyDescent="0.4">
      <c r="A138" s="2" t="s">
        <v>72</v>
      </c>
      <c r="B138" s="2" t="s">
        <v>7587</v>
      </c>
      <c r="C138" s="2" t="s">
        <v>74</v>
      </c>
      <c r="D138" s="2" t="s">
        <v>74</v>
      </c>
      <c r="E138" s="2" t="s">
        <v>74</v>
      </c>
      <c r="F138" s="2" t="s">
        <v>7587</v>
      </c>
      <c r="G138" s="2" t="s">
        <v>74</v>
      </c>
      <c r="H138" s="2" t="s">
        <v>74</v>
      </c>
      <c r="I138" s="2" t="s">
        <v>7588</v>
      </c>
      <c r="J138" s="2" t="s">
        <v>140</v>
      </c>
      <c r="K138" s="2" t="s">
        <v>74</v>
      </c>
      <c r="L138" s="2" t="s">
        <v>74</v>
      </c>
      <c r="M138" s="2" t="s">
        <v>74</v>
      </c>
      <c r="N138" s="2" t="s">
        <v>74</v>
      </c>
      <c r="O138" s="2" t="s">
        <v>74</v>
      </c>
      <c r="P138" s="2" t="s">
        <v>74</v>
      </c>
      <c r="Q138" s="2" t="s">
        <v>74</v>
      </c>
      <c r="R138" s="2" t="s">
        <v>74</v>
      </c>
      <c r="S138" s="2" t="s">
        <v>74</v>
      </c>
      <c r="T138" s="2" t="s">
        <v>74</v>
      </c>
      <c r="U138" s="2" t="s">
        <v>74</v>
      </c>
      <c r="V138" s="5" t="s">
        <v>7589</v>
      </c>
      <c r="W138" s="2" t="s">
        <v>74</v>
      </c>
      <c r="X138" s="2" t="s">
        <v>74</v>
      </c>
      <c r="Y138" s="2" t="s">
        <v>74</v>
      </c>
      <c r="Z138" s="2" t="s">
        <v>74</v>
      </c>
      <c r="AA138" s="2" t="s">
        <v>74</v>
      </c>
      <c r="AB138" s="2" t="s">
        <v>74</v>
      </c>
      <c r="AC138" s="2" t="s">
        <v>74</v>
      </c>
      <c r="AD138" s="2" t="s">
        <v>74</v>
      </c>
      <c r="AE138" s="2" t="s">
        <v>74</v>
      </c>
      <c r="AF138" s="2" t="s">
        <v>74</v>
      </c>
      <c r="AG138" s="2" t="s">
        <v>74</v>
      </c>
      <c r="AH138" s="2" t="s">
        <v>74</v>
      </c>
      <c r="AI138" s="2" t="s">
        <v>74</v>
      </c>
      <c r="AJ138" s="2" t="s">
        <v>74</v>
      </c>
      <c r="AK138" s="2" t="s">
        <v>74</v>
      </c>
      <c r="AL138" s="2" t="s">
        <v>74</v>
      </c>
      <c r="AM138" s="2" t="s">
        <v>74</v>
      </c>
      <c r="AN138" s="2" t="s">
        <v>74</v>
      </c>
      <c r="AO138" s="2" t="s">
        <v>143</v>
      </c>
      <c r="AP138" s="2" t="s">
        <v>144</v>
      </c>
      <c r="AQ138" s="2" t="s">
        <v>74</v>
      </c>
      <c r="AR138" s="2" t="s">
        <v>74</v>
      </c>
      <c r="AS138" s="2" t="s">
        <v>74</v>
      </c>
      <c r="AT138" s="2" t="s">
        <v>102</v>
      </c>
      <c r="AU138" s="2">
        <v>2004</v>
      </c>
      <c r="AV138" s="2">
        <v>67</v>
      </c>
      <c r="AW138" s="2" t="s">
        <v>74</v>
      </c>
      <c r="AX138" s="2">
        <v>6</v>
      </c>
      <c r="AY138" s="2" t="s">
        <v>74</v>
      </c>
      <c r="AZ138" s="2" t="s">
        <v>74</v>
      </c>
      <c r="BA138" s="2" t="s">
        <v>74</v>
      </c>
      <c r="BB138" s="2">
        <v>1127</v>
      </c>
      <c r="BC138" s="2">
        <v>1132</v>
      </c>
      <c r="BD138" s="2" t="s">
        <v>74</v>
      </c>
      <c r="BE138" s="2" t="s">
        <v>7590</v>
      </c>
      <c r="BF138" s="2" t="str">
        <f>HYPERLINK("http://dx.doi.org/10.1016/j.anbehav.2003.06.021","http://dx.doi.org/10.1016/j.anbehav.2003.06.021")</f>
        <v>http://dx.doi.org/10.1016/j.anbehav.2003.06.021</v>
      </c>
      <c r="BG138" s="2" t="s">
        <v>74</v>
      </c>
      <c r="BH138" s="2" t="s">
        <v>74</v>
      </c>
      <c r="BI138" s="2" t="s">
        <v>74</v>
      </c>
      <c r="BJ138" s="2" t="s">
        <v>74</v>
      </c>
      <c r="BK138" s="2" t="s">
        <v>74</v>
      </c>
      <c r="BL138" s="2" t="s">
        <v>74</v>
      </c>
      <c r="BM138" s="2" t="s">
        <v>74</v>
      </c>
      <c r="BN138" s="2" t="s">
        <v>74</v>
      </c>
      <c r="BO138" s="2" t="s">
        <v>74</v>
      </c>
      <c r="BP138" s="2" t="s">
        <v>74</v>
      </c>
      <c r="BQ138" s="2" t="s">
        <v>74</v>
      </c>
      <c r="BR138" s="2" t="s">
        <v>74</v>
      </c>
      <c r="BS138" s="2" t="s">
        <v>7591</v>
      </c>
      <c r="BT138" s="2" t="str">
        <f>HYPERLINK("https%3A%2F%2Fwww.webofscience.com%2Fwos%2Fwoscc%2Ffull-record%2FWOS:000222591300017","View Full Record in Web of Science")</f>
        <v>View Full Record in Web of Science</v>
      </c>
    </row>
    <row r="139" spans="1:72" s="1" customFormat="1" x14ac:dyDescent="0.4">
      <c r="A139" s="2" t="s">
        <v>72</v>
      </c>
      <c r="B139" s="2" t="s">
        <v>6476</v>
      </c>
      <c r="C139" s="2" t="s">
        <v>74</v>
      </c>
      <c r="D139" s="2" t="s">
        <v>74</v>
      </c>
      <c r="E139" s="2" t="s">
        <v>74</v>
      </c>
      <c r="F139" s="2" t="s">
        <v>6477</v>
      </c>
      <c r="G139" s="2" t="s">
        <v>74</v>
      </c>
      <c r="H139" s="2" t="s">
        <v>74</v>
      </c>
      <c r="I139" s="2" t="s">
        <v>6478</v>
      </c>
      <c r="J139" s="2" t="s">
        <v>140</v>
      </c>
      <c r="K139" s="2" t="s">
        <v>74</v>
      </c>
      <c r="L139" s="2" t="s">
        <v>74</v>
      </c>
      <c r="M139" s="2" t="s">
        <v>74</v>
      </c>
      <c r="N139" s="2" t="s">
        <v>74</v>
      </c>
      <c r="O139" s="2" t="s">
        <v>74</v>
      </c>
      <c r="P139" s="2" t="s">
        <v>74</v>
      </c>
      <c r="Q139" s="2" t="s">
        <v>74</v>
      </c>
      <c r="R139" s="2" t="s">
        <v>74</v>
      </c>
      <c r="S139" s="2" t="s">
        <v>74</v>
      </c>
      <c r="T139" s="2" t="s">
        <v>74</v>
      </c>
      <c r="U139" s="2" t="s">
        <v>74</v>
      </c>
      <c r="V139" s="5" t="s">
        <v>6479</v>
      </c>
      <c r="W139" s="2" t="s">
        <v>74</v>
      </c>
      <c r="X139" s="2" t="s">
        <v>74</v>
      </c>
      <c r="Y139" s="2" t="s">
        <v>74</v>
      </c>
      <c r="Z139" s="2" t="s">
        <v>74</v>
      </c>
      <c r="AA139" s="2" t="s">
        <v>6480</v>
      </c>
      <c r="AB139" s="2" t="s">
        <v>6481</v>
      </c>
      <c r="AC139" s="2" t="s">
        <v>74</v>
      </c>
      <c r="AD139" s="2" t="s">
        <v>74</v>
      </c>
      <c r="AE139" s="2" t="s">
        <v>74</v>
      </c>
      <c r="AF139" s="2" t="s">
        <v>74</v>
      </c>
      <c r="AG139" s="2" t="s">
        <v>74</v>
      </c>
      <c r="AH139" s="2" t="s">
        <v>74</v>
      </c>
      <c r="AI139" s="2" t="s">
        <v>74</v>
      </c>
      <c r="AJ139" s="2" t="s">
        <v>74</v>
      </c>
      <c r="AK139" s="2" t="s">
        <v>74</v>
      </c>
      <c r="AL139" s="2" t="s">
        <v>74</v>
      </c>
      <c r="AM139" s="2" t="s">
        <v>74</v>
      </c>
      <c r="AN139" s="2" t="s">
        <v>74</v>
      </c>
      <c r="AO139" s="2" t="s">
        <v>143</v>
      </c>
      <c r="AP139" s="2" t="s">
        <v>144</v>
      </c>
      <c r="AQ139" s="2" t="s">
        <v>74</v>
      </c>
      <c r="AR139" s="2" t="s">
        <v>74</v>
      </c>
      <c r="AS139" s="2" t="s">
        <v>74</v>
      </c>
      <c r="AT139" s="2" t="s">
        <v>255</v>
      </c>
      <c r="AU139" s="2">
        <v>2018</v>
      </c>
      <c r="AV139" s="2">
        <v>135</v>
      </c>
      <c r="AW139" s="2" t="s">
        <v>74</v>
      </c>
      <c r="AX139" s="2" t="s">
        <v>74</v>
      </c>
      <c r="AY139" s="2" t="s">
        <v>74</v>
      </c>
      <c r="AZ139" s="2" t="s">
        <v>74</v>
      </c>
      <c r="BA139" s="2" t="s">
        <v>74</v>
      </c>
      <c r="BB139" s="2">
        <v>209</v>
      </c>
      <c r="BC139" s="2">
        <v>214</v>
      </c>
      <c r="BD139" s="2" t="s">
        <v>74</v>
      </c>
      <c r="BE139" s="2" t="s">
        <v>6482</v>
      </c>
      <c r="BF139" s="2" t="str">
        <f>HYPERLINK("http://dx.doi.org/10.1016/j.anbehav.2017.11.022","http://dx.doi.org/10.1016/j.anbehav.2017.11.022")</f>
        <v>http://dx.doi.org/10.1016/j.anbehav.2017.11.022</v>
      </c>
      <c r="BG139" s="2" t="s">
        <v>74</v>
      </c>
      <c r="BH139" s="2" t="s">
        <v>74</v>
      </c>
      <c r="BI139" s="2" t="s">
        <v>74</v>
      </c>
      <c r="BJ139" s="2" t="s">
        <v>74</v>
      </c>
      <c r="BK139" s="2" t="s">
        <v>74</v>
      </c>
      <c r="BL139" s="2" t="s">
        <v>74</v>
      </c>
      <c r="BM139" s="2" t="s">
        <v>74</v>
      </c>
      <c r="BN139" s="2" t="s">
        <v>74</v>
      </c>
      <c r="BO139" s="2" t="s">
        <v>74</v>
      </c>
      <c r="BP139" s="2" t="s">
        <v>74</v>
      </c>
      <c r="BQ139" s="2" t="s">
        <v>74</v>
      </c>
      <c r="BR139" s="2" t="s">
        <v>74</v>
      </c>
      <c r="BS139" s="2" t="s">
        <v>6483</v>
      </c>
      <c r="BT139" s="2" t="str">
        <f>HYPERLINK("https%3A%2F%2Fwww.webofscience.com%2Fwos%2Fwoscc%2Ffull-record%2FWOS:000419600500022","View Full Record in Web of Science")</f>
        <v>View Full Record in Web of Science</v>
      </c>
    </row>
    <row r="140" spans="1:72" s="2" customFormat="1" x14ac:dyDescent="0.4">
      <c r="A140" s="2" t="s">
        <v>72</v>
      </c>
      <c r="B140" s="2" t="s">
        <v>7930</v>
      </c>
      <c r="C140" s="2" t="s">
        <v>74</v>
      </c>
      <c r="D140" s="2" t="s">
        <v>74</v>
      </c>
      <c r="E140" s="2" t="s">
        <v>74</v>
      </c>
      <c r="F140" s="2" t="s">
        <v>7931</v>
      </c>
      <c r="G140" s="2" t="s">
        <v>74</v>
      </c>
      <c r="H140" s="2" t="s">
        <v>74</v>
      </c>
      <c r="I140" s="2" t="s">
        <v>7932</v>
      </c>
      <c r="J140" s="2" t="s">
        <v>1112</v>
      </c>
      <c r="K140" s="2" t="s">
        <v>74</v>
      </c>
      <c r="L140" s="2" t="s">
        <v>74</v>
      </c>
      <c r="M140" s="2" t="s">
        <v>74</v>
      </c>
      <c r="N140" s="2" t="s">
        <v>74</v>
      </c>
      <c r="O140" s="2" t="s">
        <v>74</v>
      </c>
      <c r="P140" s="2" t="s">
        <v>74</v>
      </c>
      <c r="Q140" s="2" t="s">
        <v>74</v>
      </c>
      <c r="R140" s="2" t="s">
        <v>74</v>
      </c>
      <c r="S140" s="2" t="s">
        <v>74</v>
      </c>
      <c r="T140" s="2" t="s">
        <v>74</v>
      </c>
      <c r="U140" s="2" t="s">
        <v>74</v>
      </c>
      <c r="V140" s="5" t="s">
        <v>7933</v>
      </c>
      <c r="W140" s="2" t="s">
        <v>74</v>
      </c>
      <c r="X140" s="2" t="s">
        <v>74</v>
      </c>
      <c r="Y140" s="2" t="s">
        <v>74</v>
      </c>
      <c r="Z140" s="2" t="s">
        <v>74</v>
      </c>
      <c r="AA140" s="2" t="s">
        <v>74</v>
      </c>
      <c r="AB140" s="2" t="s">
        <v>7934</v>
      </c>
      <c r="AC140" s="2" t="s">
        <v>74</v>
      </c>
      <c r="AD140" s="2" t="s">
        <v>74</v>
      </c>
      <c r="AE140" s="2" t="s">
        <v>74</v>
      </c>
      <c r="AF140" s="2" t="s">
        <v>74</v>
      </c>
      <c r="AG140" s="2" t="s">
        <v>74</v>
      </c>
      <c r="AH140" s="2" t="s">
        <v>74</v>
      </c>
      <c r="AI140" s="2" t="s">
        <v>74</v>
      </c>
      <c r="AJ140" s="2" t="s">
        <v>74</v>
      </c>
      <c r="AK140" s="2" t="s">
        <v>74</v>
      </c>
      <c r="AL140" s="2" t="s">
        <v>74</v>
      </c>
      <c r="AM140" s="2" t="s">
        <v>74</v>
      </c>
      <c r="AN140" s="2" t="s">
        <v>74</v>
      </c>
      <c r="AO140" s="2" t="s">
        <v>1114</v>
      </c>
      <c r="AP140" s="2" t="s">
        <v>1115</v>
      </c>
      <c r="AQ140" s="2" t="s">
        <v>74</v>
      </c>
      <c r="AR140" s="2" t="s">
        <v>74</v>
      </c>
      <c r="AS140" s="2" t="s">
        <v>74</v>
      </c>
      <c r="AT140" s="2" t="s">
        <v>352</v>
      </c>
      <c r="AU140" s="2">
        <v>2017</v>
      </c>
      <c r="AV140" s="2">
        <v>194</v>
      </c>
      <c r="AW140" s="2" t="s">
        <v>74</v>
      </c>
      <c r="AX140" s="2" t="s">
        <v>74</v>
      </c>
      <c r="AY140" s="2" t="s">
        <v>74</v>
      </c>
      <c r="AZ140" s="2" t="s">
        <v>74</v>
      </c>
      <c r="BA140" s="2" t="s">
        <v>74</v>
      </c>
      <c r="BB140" s="2">
        <v>112</v>
      </c>
      <c r="BC140" s="2">
        <v>119</v>
      </c>
      <c r="BD140" s="2" t="s">
        <v>74</v>
      </c>
      <c r="BE140" s="2" t="s">
        <v>7935</v>
      </c>
      <c r="BF140" s="2" t="str">
        <f>HYPERLINK("http://dx.doi.org/10.1016/j.applanim.2017.05.008","http://dx.doi.org/10.1016/j.applanim.2017.05.008")</f>
        <v>http://dx.doi.org/10.1016/j.applanim.2017.05.008</v>
      </c>
      <c r="BG140" s="2" t="s">
        <v>74</v>
      </c>
      <c r="BH140" s="2" t="s">
        <v>74</v>
      </c>
      <c r="BI140" s="2" t="s">
        <v>74</v>
      </c>
      <c r="BJ140" s="2" t="s">
        <v>74</v>
      </c>
      <c r="BK140" s="2" t="s">
        <v>74</v>
      </c>
      <c r="BL140" s="2" t="s">
        <v>74</v>
      </c>
      <c r="BM140" s="2" t="s">
        <v>74</v>
      </c>
      <c r="BN140" s="2" t="s">
        <v>74</v>
      </c>
      <c r="BO140" s="2" t="s">
        <v>74</v>
      </c>
      <c r="BP140" s="2" t="s">
        <v>74</v>
      </c>
      <c r="BQ140" s="2" t="s">
        <v>74</v>
      </c>
      <c r="BR140" s="2" t="s">
        <v>74</v>
      </c>
      <c r="BS140" s="2" t="s">
        <v>7936</v>
      </c>
      <c r="BT140" s="2" t="str">
        <f>HYPERLINK("https%3A%2F%2Fwww.webofscience.com%2Fwos%2Fwoscc%2Ffull-record%2FWOS:000408179000015","View Full Record in Web of Science")</f>
        <v>View Full Record in Web of Science</v>
      </c>
    </row>
    <row r="141" spans="1:72" s="2" customFormat="1" x14ac:dyDescent="0.4">
      <c r="A141" s="2" t="s">
        <v>72</v>
      </c>
      <c r="B141" s="2" t="s">
        <v>8614</v>
      </c>
      <c r="C141" s="2" t="s">
        <v>74</v>
      </c>
      <c r="D141" s="2" t="s">
        <v>74</v>
      </c>
      <c r="E141" s="2" t="s">
        <v>74</v>
      </c>
      <c r="F141" s="2" t="s">
        <v>8614</v>
      </c>
      <c r="G141" s="2" t="s">
        <v>74</v>
      </c>
      <c r="H141" s="2" t="s">
        <v>74</v>
      </c>
      <c r="I141" s="2" t="s">
        <v>8615</v>
      </c>
      <c r="J141" s="2" t="s">
        <v>140</v>
      </c>
      <c r="K141" s="2" t="s">
        <v>74</v>
      </c>
      <c r="L141" s="2" t="s">
        <v>74</v>
      </c>
      <c r="M141" s="2" t="s">
        <v>74</v>
      </c>
      <c r="N141" s="2" t="s">
        <v>74</v>
      </c>
      <c r="O141" s="2" t="s">
        <v>74</v>
      </c>
      <c r="P141" s="2" t="s">
        <v>74</v>
      </c>
      <c r="Q141" s="2" t="s">
        <v>74</v>
      </c>
      <c r="R141" s="2" t="s">
        <v>74</v>
      </c>
      <c r="S141" s="2" t="s">
        <v>74</v>
      </c>
      <c r="T141" s="2" t="s">
        <v>74</v>
      </c>
      <c r="U141" s="2" t="s">
        <v>74</v>
      </c>
      <c r="V141" s="5" t="s">
        <v>8616</v>
      </c>
      <c r="W141" s="2" t="s">
        <v>74</v>
      </c>
      <c r="X141" s="2" t="s">
        <v>74</v>
      </c>
      <c r="Y141" s="2" t="s">
        <v>74</v>
      </c>
      <c r="Z141" s="2" t="s">
        <v>74</v>
      </c>
      <c r="AA141" s="2" t="s">
        <v>8617</v>
      </c>
      <c r="AB141" s="2" t="s">
        <v>74</v>
      </c>
      <c r="AC141" s="2" t="s">
        <v>74</v>
      </c>
      <c r="AD141" s="2" t="s">
        <v>74</v>
      </c>
      <c r="AE141" s="2" t="s">
        <v>74</v>
      </c>
      <c r="AF141" s="2" t="s">
        <v>74</v>
      </c>
      <c r="AG141" s="2" t="s">
        <v>74</v>
      </c>
      <c r="AH141" s="2" t="s">
        <v>74</v>
      </c>
      <c r="AI141" s="2" t="s">
        <v>74</v>
      </c>
      <c r="AJ141" s="2" t="s">
        <v>74</v>
      </c>
      <c r="AK141" s="2" t="s">
        <v>74</v>
      </c>
      <c r="AL141" s="2" t="s">
        <v>74</v>
      </c>
      <c r="AM141" s="2" t="s">
        <v>74</v>
      </c>
      <c r="AN141" s="2" t="s">
        <v>74</v>
      </c>
      <c r="AO141" s="2" t="s">
        <v>143</v>
      </c>
      <c r="AP141" s="2" t="s">
        <v>144</v>
      </c>
      <c r="AQ141" s="2" t="s">
        <v>74</v>
      </c>
      <c r="AR141" s="2" t="s">
        <v>74</v>
      </c>
      <c r="AS141" s="2" t="s">
        <v>74</v>
      </c>
      <c r="AT141" s="2" t="s">
        <v>102</v>
      </c>
      <c r="AU141" s="2">
        <v>1996</v>
      </c>
      <c r="AV141" s="2">
        <v>51</v>
      </c>
      <c r="AW141" s="2" t="s">
        <v>74</v>
      </c>
      <c r="AX141" s="2">
        <v>6</v>
      </c>
      <c r="AY141" s="2" t="s">
        <v>74</v>
      </c>
      <c r="AZ141" s="2" t="s">
        <v>74</v>
      </c>
      <c r="BA141" s="2" t="s">
        <v>74</v>
      </c>
      <c r="BB141" s="2">
        <v>1233</v>
      </c>
      <c r="BC141" s="2">
        <v>1245</v>
      </c>
      <c r="BD141" s="2" t="s">
        <v>74</v>
      </c>
      <c r="BE141" s="2" t="s">
        <v>8618</v>
      </c>
      <c r="BF141" s="2" t="str">
        <f>HYPERLINK("http://dx.doi.org/10.1006/anbe.1996.0128","http://dx.doi.org/10.1006/anbe.1996.0128")</f>
        <v>http://dx.doi.org/10.1006/anbe.1996.0128</v>
      </c>
      <c r="BG141" s="2" t="s">
        <v>74</v>
      </c>
      <c r="BH141" s="2" t="s">
        <v>74</v>
      </c>
      <c r="BI141" s="2" t="s">
        <v>74</v>
      </c>
      <c r="BJ141" s="2" t="s">
        <v>74</v>
      </c>
      <c r="BK141" s="2" t="s">
        <v>74</v>
      </c>
      <c r="BL141" s="2" t="s">
        <v>74</v>
      </c>
      <c r="BM141" s="2" t="s">
        <v>74</v>
      </c>
      <c r="BN141" s="2" t="s">
        <v>74</v>
      </c>
      <c r="BO141" s="2" t="s">
        <v>74</v>
      </c>
      <c r="BP141" s="2" t="s">
        <v>74</v>
      </c>
      <c r="BQ141" s="2" t="s">
        <v>74</v>
      </c>
      <c r="BR141" s="2" t="s">
        <v>74</v>
      </c>
      <c r="BS141" s="2" t="s">
        <v>8619</v>
      </c>
      <c r="BT141" s="2" t="str">
        <f>HYPERLINK("https%3A%2F%2Fwww.webofscience.com%2Fwos%2Fwoscc%2Ffull-record%2FWOS:A1996UX10100004","View Full Record in Web of Science")</f>
        <v>View Full Record in Web of Science</v>
      </c>
    </row>
    <row r="142" spans="1:72" s="1" customFormat="1" x14ac:dyDescent="0.4">
      <c r="A142" s="2" t="s">
        <v>72</v>
      </c>
      <c r="B142" s="2" t="s">
        <v>2076</v>
      </c>
      <c r="C142" s="2" t="s">
        <v>74</v>
      </c>
      <c r="D142" s="2" t="s">
        <v>74</v>
      </c>
      <c r="E142" s="2" t="s">
        <v>74</v>
      </c>
      <c r="F142" s="2" t="s">
        <v>2077</v>
      </c>
      <c r="G142" s="2" t="s">
        <v>74</v>
      </c>
      <c r="H142" s="2" t="s">
        <v>74</v>
      </c>
      <c r="I142" s="2" t="s">
        <v>2078</v>
      </c>
      <c r="J142" s="2" t="s">
        <v>140</v>
      </c>
      <c r="K142" s="2" t="s">
        <v>74</v>
      </c>
      <c r="L142" s="2" t="s">
        <v>74</v>
      </c>
      <c r="M142" s="2" t="s">
        <v>74</v>
      </c>
      <c r="N142" s="2" t="s">
        <v>74</v>
      </c>
      <c r="O142" s="2" t="s">
        <v>74</v>
      </c>
      <c r="P142" s="2" t="s">
        <v>74</v>
      </c>
      <c r="Q142" s="2" t="s">
        <v>74</v>
      </c>
      <c r="R142" s="2" t="s">
        <v>74</v>
      </c>
      <c r="S142" s="2" t="s">
        <v>74</v>
      </c>
      <c r="T142" s="2" t="s">
        <v>74</v>
      </c>
      <c r="U142" s="2" t="s">
        <v>74</v>
      </c>
      <c r="V142" s="5" t="s">
        <v>2079</v>
      </c>
      <c r="W142" s="2" t="s">
        <v>74</v>
      </c>
      <c r="X142" s="2" t="s">
        <v>74</v>
      </c>
      <c r="Y142" s="2" t="s">
        <v>74</v>
      </c>
      <c r="Z142" s="2" t="s">
        <v>74</v>
      </c>
      <c r="AA142" s="2" t="s">
        <v>2080</v>
      </c>
      <c r="AB142" s="2" t="s">
        <v>2081</v>
      </c>
      <c r="AC142" s="2" t="s">
        <v>74</v>
      </c>
      <c r="AD142" s="2" t="s">
        <v>74</v>
      </c>
      <c r="AE142" s="2" t="s">
        <v>74</v>
      </c>
      <c r="AF142" s="2" t="s">
        <v>74</v>
      </c>
      <c r="AG142" s="2" t="s">
        <v>74</v>
      </c>
      <c r="AH142" s="2" t="s">
        <v>74</v>
      </c>
      <c r="AI142" s="2" t="s">
        <v>74</v>
      </c>
      <c r="AJ142" s="2" t="s">
        <v>74</v>
      </c>
      <c r="AK142" s="2" t="s">
        <v>74</v>
      </c>
      <c r="AL142" s="2" t="s">
        <v>74</v>
      </c>
      <c r="AM142" s="2" t="s">
        <v>74</v>
      </c>
      <c r="AN142" s="2" t="s">
        <v>74</v>
      </c>
      <c r="AO142" s="2" t="s">
        <v>143</v>
      </c>
      <c r="AP142" s="2" t="s">
        <v>144</v>
      </c>
      <c r="AQ142" s="2" t="s">
        <v>74</v>
      </c>
      <c r="AR142" s="2" t="s">
        <v>74</v>
      </c>
      <c r="AS142" s="2" t="s">
        <v>74</v>
      </c>
      <c r="AT142" s="2" t="s">
        <v>145</v>
      </c>
      <c r="AU142" s="2">
        <v>2020</v>
      </c>
      <c r="AV142" s="2">
        <v>166</v>
      </c>
      <c r="AW142" s="2" t="s">
        <v>74</v>
      </c>
      <c r="AX142" s="2" t="s">
        <v>74</v>
      </c>
      <c r="AY142" s="2" t="s">
        <v>74</v>
      </c>
      <c r="AZ142" s="2" t="s">
        <v>74</v>
      </c>
      <c r="BA142" s="2" t="s">
        <v>74</v>
      </c>
      <c r="BB142" s="2">
        <v>33</v>
      </c>
      <c r="BC142" s="2">
        <v>39</v>
      </c>
      <c r="BD142" s="2" t="s">
        <v>74</v>
      </c>
      <c r="BE142" s="2" t="s">
        <v>2082</v>
      </c>
      <c r="BF142" s="2" t="str">
        <f>HYPERLINK("http://dx.doi.org/10.1016/j.anbehav.2020.05.017","http://dx.doi.org/10.1016/j.anbehav.2020.05.017")</f>
        <v>http://dx.doi.org/10.1016/j.anbehav.2020.05.017</v>
      </c>
      <c r="BG142" s="2" t="s">
        <v>74</v>
      </c>
      <c r="BH142" s="2" t="s">
        <v>74</v>
      </c>
      <c r="BI142" s="2" t="s">
        <v>74</v>
      </c>
      <c r="BJ142" s="2" t="s">
        <v>74</v>
      </c>
      <c r="BK142" s="2" t="s">
        <v>74</v>
      </c>
      <c r="BL142" s="2" t="s">
        <v>74</v>
      </c>
      <c r="BM142" s="2" t="s">
        <v>74</v>
      </c>
      <c r="BN142" s="2" t="s">
        <v>74</v>
      </c>
      <c r="BO142" s="2" t="s">
        <v>74</v>
      </c>
      <c r="BP142" s="2" t="s">
        <v>74</v>
      </c>
      <c r="BQ142" s="2" t="s">
        <v>74</v>
      </c>
      <c r="BR142" s="2" t="s">
        <v>74</v>
      </c>
      <c r="BS142" s="2" t="s">
        <v>2083</v>
      </c>
      <c r="BT142" s="2" t="str">
        <f>HYPERLINK("https%3A%2F%2Fwww.webofscience.com%2Fwos%2Fwoscc%2Ffull-record%2FWOS:000555887500004","View Full Record in Web of Science")</f>
        <v>View Full Record in Web of Science</v>
      </c>
    </row>
    <row r="143" spans="1:72" s="2" customFormat="1" x14ac:dyDescent="0.4">
      <c r="A143" s="2" t="s">
        <v>72</v>
      </c>
      <c r="B143" s="2" t="s">
        <v>2263</v>
      </c>
      <c r="C143" s="2" t="s">
        <v>74</v>
      </c>
      <c r="D143" s="2" t="s">
        <v>74</v>
      </c>
      <c r="E143" s="2" t="s">
        <v>74</v>
      </c>
      <c r="F143" s="2" t="s">
        <v>2263</v>
      </c>
      <c r="G143" s="2" t="s">
        <v>74</v>
      </c>
      <c r="H143" s="2" t="s">
        <v>74</v>
      </c>
      <c r="I143" s="2" t="s">
        <v>2264</v>
      </c>
      <c r="J143" s="2" t="s">
        <v>2265</v>
      </c>
      <c r="K143" s="2" t="s">
        <v>74</v>
      </c>
      <c r="L143" s="2" t="s">
        <v>74</v>
      </c>
      <c r="M143" s="2" t="s">
        <v>74</v>
      </c>
      <c r="N143" s="2" t="s">
        <v>74</v>
      </c>
      <c r="O143" s="2" t="s">
        <v>74</v>
      </c>
      <c r="P143" s="2" t="s">
        <v>74</v>
      </c>
      <c r="Q143" s="2" t="s">
        <v>74</v>
      </c>
      <c r="R143" s="2" t="s">
        <v>74</v>
      </c>
      <c r="S143" s="2" t="s">
        <v>74</v>
      </c>
      <c r="T143" s="2" t="s">
        <v>74</v>
      </c>
      <c r="U143" s="2" t="s">
        <v>74</v>
      </c>
      <c r="V143" s="5" t="s">
        <v>2266</v>
      </c>
      <c r="W143" s="2" t="s">
        <v>74</v>
      </c>
      <c r="X143" s="2" t="s">
        <v>74</v>
      </c>
      <c r="Y143" s="2" t="s">
        <v>74</v>
      </c>
      <c r="Z143" s="2" t="s">
        <v>74</v>
      </c>
      <c r="AA143" s="2" t="s">
        <v>2267</v>
      </c>
      <c r="AB143" s="2" t="s">
        <v>2268</v>
      </c>
      <c r="AC143" s="2" t="s">
        <v>74</v>
      </c>
      <c r="AD143" s="2" t="s">
        <v>74</v>
      </c>
      <c r="AE143" s="2" t="s">
        <v>74</v>
      </c>
      <c r="AF143" s="2" t="s">
        <v>74</v>
      </c>
      <c r="AG143" s="2" t="s">
        <v>74</v>
      </c>
      <c r="AH143" s="2" t="s">
        <v>74</v>
      </c>
      <c r="AI143" s="2" t="s">
        <v>74</v>
      </c>
      <c r="AJ143" s="2" t="s">
        <v>74</v>
      </c>
      <c r="AK143" s="2" t="s">
        <v>74</v>
      </c>
      <c r="AL143" s="2" t="s">
        <v>74</v>
      </c>
      <c r="AM143" s="2" t="s">
        <v>74</v>
      </c>
      <c r="AN143" s="2" t="s">
        <v>74</v>
      </c>
      <c r="AO143" s="2" t="s">
        <v>2269</v>
      </c>
      <c r="AP143" s="2" t="s">
        <v>2270</v>
      </c>
      <c r="AQ143" s="2" t="s">
        <v>74</v>
      </c>
      <c r="AR143" s="2" t="s">
        <v>74</v>
      </c>
      <c r="AS143" s="2" t="s">
        <v>74</v>
      </c>
      <c r="AT143" s="2" t="s">
        <v>74</v>
      </c>
      <c r="AU143" s="2">
        <v>2004</v>
      </c>
      <c r="AV143" s="2">
        <v>28</v>
      </c>
      <c r="AW143" s="2">
        <v>1</v>
      </c>
      <c r="AX143" s="2" t="s">
        <v>74</v>
      </c>
      <c r="AY143" s="2" t="s">
        <v>74</v>
      </c>
      <c r="AZ143" s="2" t="s">
        <v>74</v>
      </c>
      <c r="BA143" s="2" t="s">
        <v>74</v>
      </c>
      <c r="BB143" s="2">
        <v>93</v>
      </c>
      <c r="BC143" s="2">
        <v>103</v>
      </c>
      <c r="BD143" s="2" t="s">
        <v>74</v>
      </c>
      <c r="BE143" s="2" t="s">
        <v>74</v>
      </c>
      <c r="BF143" s="2" t="s">
        <v>74</v>
      </c>
      <c r="BG143" s="2" t="s">
        <v>74</v>
      </c>
      <c r="BH143" s="2" t="s">
        <v>74</v>
      </c>
      <c r="BI143" s="2" t="s">
        <v>74</v>
      </c>
      <c r="BJ143" s="2" t="s">
        <v>74</v>
      </c>
      <c r="BK143" s="2" t="s">
        <v>74</v>
      </c>
      <c r="BL143" s="2" t="s">
        <v>74</v>
      </c>
      <c r="BM143" s="2" t="s">
        <v>74</v>
      </c>
      <c r="BN143" s="2" t="s">
        <v>74</v>
      </c>
      <c r="BO143" s="2" t="s">
        <v>74</v>
      </c>
      <c r="BP143" s="2" t="s">
        <v>74</v>
      </c>
      <c r="BQ143" s="2" t="s">
        <v>74</v>
      </c>
      <c r="BR143" s="2" t="s">
        <v>74</v>
      </c>
      <c r="BS143" s="2" t="s">
        <v>2271</v>
      </c>
      <c r="BT143" s="2" t="str">
        <f>HYPERLINK("https%3A%2F%2Fwww.webofscience.com%2Fwos%2Fwoscc%2Ffull-record%2FWOS:000223581700009","View Full Record in Web of Science")</f>
        <v>View Full Record in Web of Science</v>
      </c>
    </row>
    <row r="144" spans="1:72" s="2" customFormat="1" x14ac:dyDescent="0.4">
      <c r="A144" s="2" t="s">
        <v>72</v>
      </c>
      <c r="B144" s="2" t="s">
        <v>3775</v>
      </c>
      <c r="C144" s="2" t="s">
        <v>74</v>
      </c>
      <c r="D144" s="2" t="s">
        <v>74</v>
      </c>
      <c r="E144" s="2" t="s">
        <v>74</v>
      </c>
      <c r="F144" s="2" t="s">
        <v>3776</v>
      </c>
      <c r="G144" s="2" t="s">
        <v>74</v>
      </c>
      <c r="H144" s="2" t="s">
        <v>74</v>
      </c>
      <c r="I144" s="2" t="s">
        <v>3777</v>
      </c>
      <c r="J144" s="2" t="s">
        <v>691</v>
      </c>
      <c r="K144" s="2" t="s">
        <v>74</v>
      </c>
      <c r="L144" s="2" t="s">
        <v>74</v>
      </c>
      <c r="M144" s="2" t="s">
        <v>74</v>
      </c>
      <c r="N144" s="2" t="s">
        <v>74</v>
      </c>
      <c r="O144" s="2" t="s">
        <v>74</v>
      </c>
      <c r="P144" s="2" t="s">
        <v>74</v>
      </c>
      <c r="Q144" s="2" t="s">
        <v>74</v>
      </c>
      <c r="R144" s="2" t="s">
        <v>74</v>
      </c>
      <c r="S144" s="2" t="s">
        <v>74</v>
      </c>
      <c r="T144" s="2" t="s">
        <v>74</v>
      </c>
      <c r="U144" s="2" t="s">
        <v>74</v>
      </c>
      <c r="V144" s="5" t="s">
        <v>3778</v>
      </c>
      <c r="W144" s="2" t="s">
        <v>74</v>
      </c>
      <c r="X144" s="2" t="s">
        <v>74</v>
      </c>
      <c r="Y144" s="2" t="s">
        <v>74</v>
      </c>
      <c r="Z144" s="2" t="s">
        <v>74</v>
      </c>
      <c r="AA144" s="2" t="s">
        <v>3779</v>
      </c>
      <c r="AB144" s="2" t="s">
        <v>3780</v>
      </c>
      <c r="AC144" s="2" t="s">
        <v>74</v>
      </c>
      <c r="AD144" s="2" t="s">
        <v>74</v>
      </c>
      <c r="AE144" s="2" t="s">
        <v>74</v>
      </c>
      <c r="AF144" s="2" t="s">
        <v>74</v>
      </c>
      <c r="AG144" s="2" t="s">
        <v>74</v>
      </c>
      <c r="AH144" s="2" t="s">
        <v>74</v>
      </c>
      <c r="AI144" s="2" t="s">
        <v>74</v>
      </c>
      <c r="AJ144" s="2" t="s">
        <v>74</v>
      </c>
      <c r="AK144" s="2" t="s">
        <v>74</v>
      </c>
      <c r="AL144" s="2" t="s">
        <v>74</v>
      </c>
      <c r="AM144" s="2" t="s">
        <v>74</v>
      </c>
      <c r="AN144" s="2" t="s">
        <v>74</v>
      </c>
      <c r="AO144" s="2" t="s">
        <v>695</v>
      </c>
      <c r="AP144" s="2" t="s">
        <v>74</v>
      </c>
      <c r="AQ144" s="2" t="s">
        <v>74</v>
      </c>
      <c r="AR144" s="2" t="s">
        <v>74</v>
      </c>
      <c r="AS144" s="2" t="s">
        <v>74</v>
      </c>
      <c r="AT144" s="2" t="s">
        <v>255</v>
      </c>
      <c r="AU144" s="2">
        <v>2015</v>
      </c>
      <c r="AV144" s="2">
        <v>138</v>
      </c>
      <c r="AW144" s="2" t="s">
        <v>74</v>
      </c>
      <c r="AX144" s="2" t="s">
        <v>74</v>
      </c>
      <c r="AY144" s="2" t="s">
        <v>74</v>
      </c>
      <c r="AZ144" s="2" t="s">
        <v>74</v>
      </c>
      <c r="BA144" s="2" t="s">
        <v>74</v>
      </c>
      <c r="BB144" s="2">
        <v>52</v>
      </c>
      <c r="BC144" s="2">
        <v>57</v>
      </c>
      <c r="BD144" s="2" t="s">
        <v>74</v>
      </c>
      <c r="BE144" s="2" t="s">
        <v>3781</v>
      </c>
      <c r="BF144" s="2" t="str">
        <f>HYPERLINK("http://dx.doi.org/10.1016/j.physbeh.2014.10.003","http://dx.doi.org/10.1016/j.physbeh.2014.10.003")</f>
        <v>http://dx.doi.org/10.1016/j.physbeh.2014.10.003</v>
      </c>
      <c r="BG144" s="2" t="s">
        <v>74</v>
      </c>
      <c r="BH144" s="2" t="s">
        <v>74</v>
      </c>
      <c r="BI144" s="2" t="s">
        <v>74</v>
      </c>
      <c r="BJ144" s="2" t="s">
        <v>74</v>
      </c>
      <c r="BK144" s="2" t="s">
        <v>74</v>
      </c>
      <c r="BL144" s="2" t="s">
        <v>74</v>
      </c>
      <c r="BM144" s="2" t="s">
        <v>74</v>
      </c>
      <c r="BN144" s="2">
        <v>25447479</v>
      </c>
      <c r="BO144" s="2" t="s">
        <v>74</v>
      </c>
      <c r="BP144" s="2" t="s">
        <v>74</v>
      </c>
      <c r="BQ144" s="2" t="s">
        <v>74</v>
      </c>
      <c r="BR144" s="2" t="s">
        <v>74</v>
      </c>
      <c r="BS144" s="2" t="s">
        <v>3782</v>
      </c>
      <c r="BT144" s="2" t="str">
        <f>HYPERLINK("https%3A%2F%2Fwww.webofscience.com%2Fwos%2Fwoscc%2Ffull-record%2FWOS:000348882900007","View Full Record in Web of Science")</f>
        <v>View Full Record in Web of Science</v>
      </c>
    </row>
    <row r="145" spans="1:72" s="2" customFormat="1" x14ac:dyDescent="0.4">
      <c r="A145" s="2" t="s">
        <v>72</v>
      </c>
      <c r="B145" s="2" t="s">
        <v>3544</v>
      </c>
      <c r="C145" s="2" t="s">
        <v>74</v>
      </c>
      <c r="D145" s="2" t="s">
        <v>74</v>
      </c>
      <c r="E145" s="2" t="s">
        <v>74</v>
      </c>
      <c r="F145" s="2" t="s">
        <v>3545</v>
      </c>
      <c r="G145" s="2" t="s">
        <v>74</v>
      </c>
      <c r="H145" s="2" t="s">
        <v>74</v>
      </c>
      <c r="I145" s="2" t="s">
        <v>3546</v>
      </c>
      <c r="J145" s="2" t="s">
        <v>731</v>
      </c>
      <c r="K145" s="2" t="s">
        <v>74</v>
      </c>
      <c r="L145" s="2" t="s">
        <v>74</v>
      </c>
      <c r="M145" s="2" t="s">
        <v>74</v>
      </c>
      <c r="N145" s="2" t="s">
        <v>74</v>
      </c>
      <c r="O145" s="2" t="s">
        <v>74</v>
      </c>
      <c r="P145" s="2" t="s">
        <v>74</v>
      </c>
      <c r="Q145" s="2" t="s">
        <v>74</v>
      </c>
      <c r="R145" s="2" t="s">
        <v>74</v>
      </c>
      <c r="S145" s="2" t="s">
        <v>74</v>
      </c>
      <c r="T145" s="2" t="s">
        <v>74</v>
      </c>
      <c r="U145" s="2" t="s">
        <v>74</v>
      </c>
      <c r="V145" s="5" t="s">
        <v>3547</v>
      </c>
      <c r="W145" s="2" t="s">
        <v>74</v>
      </c>
      <c r="X145" s="2" t="s">
        <v>74</v>
      </c>
      <c r="Y145" s="2" t="s">
        <v>74</v>
      </c>
      <c r="Z145" s="2" t="s">
        <v>74</v>
      </c>
      <c r="AA145" s="2" t="s">
        <v>3548</v>
      </c>
      <c r="AB145" s="2" t="s">
        <v>3549</v>
      </c>
      <c r="AC145" s="2" t="s">
        <v>74</v>
      </c>
      <c r="AD145" s="2" t="s">
        <v>74</v>
      </c>
      <c r="AE145" s="2" t="s">
        <v>74</v>
      </c>
      <c r="AF145" s="2" t="s">
        <v>74</v>
      </c>
      <c r="AG145" s="2" t="s">
        <v>74</v>
      </c>
      <c r="AH145" s="2" t="s">
        <v>74</v>
      </c>
      <c r="AI145" s="2" t="s">
        <v>74</v>
      </c>
      <c r="AJ145" s="2" t="s">
        <v>74</v>
      </c>
      <c r="AK145" s="2" t="s">
        <v>74</v>
      </c>
      <c r="AL145" s="2" t="s">
        <v>74</v>
      </c>
      <c r="AM145" s="2" t="s">
        <v>74</v>
      </c>
      <c r="AN145" s="2" t="s">
        <v>74</v>
      </c>
      <c r="AO145" s="2" t="s">
        <v>733</v>
      </c>
      <c r="AP145" s="2" t="s">
        <v>734</v>
      </c>
      <c r="AQ145" s="2" t="s">
        <v>74</v>
      </c>
      <c r="AR145" s="2" t="s">
        <v>74</v>
      </c>
      <c r="AS145" s="2" t="s">
        <v>74</v>
      </c>
      <c r="AT145" s="2" t="s">
        <v>3445</v>
      </c>
      <c r="AU145" s="2">
        <v>2015</v>
      </c>
      <c r="AV145" s="2">
        <v>291</v>
      </c>
      <c r="AW145" s="2" t="s">
        <v>74</v>
      </c>
      <c r="AX145" s="2" t="s">
        <v>74</v>
      </c>
      <c r="AY145" s="2" t="s">
        <v>74</v>
      </c>
      <c r="AZ145" s="2" t="s">
        <v>74</v>
      </c>
      <c r="BA145" s="2" t="s">
        <v>74</v>
      </c>
      <c r="BB145" s="2">
        <v>103</v>
      </c>
      <c r="BC145" s="2">
        <v>107</v>
      </c>
      <c r="BD145" s="2" t="s">
        <v>74</v>
      </c>
      <c r="BE145" s="2" t="s">
        <v>3550</v>
      </c>
      <c r="BF145" s="2" t="str">
        <f>HYPERLINK("http://dx.doi.org/10.1016/j.bbr.2015.05.011","http://dx.doi.org/10.1016/j.bbr.2015.05.011")</f>
        <v>http://dx.doi.org/10.1016/j.bbr.2015.05.011</v>
      </c>
      <c r="BG145" s="2" t="s">
        <v>74</v>
      </c>
      <c r="BH145" s="2" t="s">
        <v>74</v>
      </c>
      <c r="BI145" s="2" t="s">
        <v>74</v>
      </c>
      <c r="BJ145" s="2" t="s">
        <v>74</v>
      </c>
      <c r="BK145" s="2" t="s">
        <v>74</v>
      </c>
      <c r="BL145" s="2" t="s">
        <v>74</v>
      </c>
      <c r="BM145" s="2" t="s">
        <v>74</v>
      </c>
      <c r="BN145" s="2">
        <v>25997582</v>
      </c>
      <c r="BO145" s="2" t="s">
        <v>74</v>
      </c>
      <c r="BP145" s="2" t="s">
        <v>74</v>
      </c>
      <c r="BQ145" s="2" t="s">
        <v>74</v>
      </c>
      <c r="BR145" s="2" t="s">
        <v>74</v>
      </c>
      <c r="BS145" s="2" t="s">
        <v>3551</v>
      </c>
      <c r="BT145" s="2" t="str">
        <f>HYPERLINK("https%3A%2F%2Fwww.webofscience.com%2Fwos%2Fwoscc%2Ffull-record%2FWOS:000358454800012","View Full Record in Web of Science")</f>
        <v>View Full Record in Web of Science</v>
      </c>
    </row>
    <row r="146" spans="1:72" s="2" customFormat="1" x14ac:dyDescent="0.4">
      <c r="A146" s="2" t="s">
        <v>72</v>
      </c>
      <c r="B146" s="2" t="s">
        <v>289</v>
      </c>
      <c r="C146" s="2" t="s">
        <v>74</v>
      </c>
      <c r="D146" s="2" t="s">
        <v>74</v>
      </c>
      <c r="E146" s="2" t="s">
        <v>74</v>
      </c>
      <c r="F146" s="2" t="s">
        <v>290</v>
      </c>
      <c r="G146" s="2" t="s">
        <v>74</v>
      </c>
      <c r="H146" s="2" t="s">
        <v>74</v>
      </c>
      <c r="I146" s="2" t="s">
        <v>291</v>
      </c>
      <c r="J146" s="2" t="s">
        <v>140</v>
      </c>
      <c r="K146" s="2" t="s">
        <v>74</v>
      </c>
      <c r="L146" s="2" t="s">
        <v>74</v>
      </c>
      <c r="M146" s="2" t="s">
        <v>74</v>
      </c>
      <c r="N146" s="2" t="s">
        <v>74</v>
      </c>
      <c r="O146" s="2" t="s">
        <v>74</v>
      </c>
      <c r="P146" s="2" t="s">
        <v>74</v>
      </c>
      <c r="Q146" s="2" t="s">
        <v>74</v>
      </c>
      <c r="R146" s="2" t="s">
        <v>74</v>
      </c>
      <c r="S146" s="2" t="s">
        <v>74</v>
      </c>
      <c r="T146" s="2" t="s">
        <v>74</v>
      </c>
      <c r="U146" s="2" t="s">
        <v>74</v>
      </c>
      <c r="V146" s="5" t="s">
        <v>292</v>
      </c>
      <c r="W146" s="2" t="s">
        <v>74</v>
      </c>
      <c r="X146" s="2" t="s">
        <v>74</v>
      </c>
      <c r="Y146" s="2" t="s">
        <v>74</v>
      </c>
      <c r="Z146" s="2" t="s">
        <v>74</v>
      </c>
      <c r="AA146" s="2" t="s">
        <v>74</v>
      </c>
      <c r="AB146" s="2" t="s">
        <v>293</v>
      </c>
      <c r="AC146" s="2" t="s">
        <v>74</v>
      </c>
      <c r="AD146" s="2" t="s">
        <v>74</v>
      </c>
      <c r="AE146" s="2" t="s">
        <v>74</v>
      </c>
      <c r="AF146" s="2" t="s">
        <v>74</v>
      </c>
      <c r="AG146" s="2" t="s">
        <v>74</v>
      </c>
      <c r="AH146" s="2" t="s">
        <v>74</v>
      </c>
      <c r="AI146" s="2" t="s">
        <v>74</v>
      </c>
      <c r="AJ146" s="2" t="s">
        <v>74</v>
      </c>
      <c r="AK146" s="2" t="s">
        <v>74</v>
      </c>
      <c r="AL146" s="2" t="s">
        <v>74</v>
      </c>
      <c r="AM146" s="2" t="s">
        <v>74</v>
      </c>
      <c r="AN146" s="2" t="s">
        <v>74</v>
      </c>
      <c r="AO146" s="2" t="s">
        <v>143</v>
      </c>
      <c r="AP146" s="2" t="s">
        <v>144</v>
      </c>
      <c r="AQ146" s="2" t="s">
        <v>74</v>
      </c>
      <c r="AR146" s="2" t="s">
        <v>74</v>
      </c>
      <c r="AS146" s="2" t="s">
        <v>74</v>
      </c>
      <c r="AT146" s="2" t="s">
        <v>175</v>
      </c>
      <c r="AU146" s="2">
        <v>2015</v>
      </c>
      <c r="AV146" s="2">
        <v>108</v>
      </c>
      <c r="AW146" s="2" t="s">
        <v>74</v>
      </c>
      <c r="AX146" s="2" t="s">
        <v>74</v>
      </c>
      <c r="AY146" s="2" t="s">
        <v>74</v>
      </c>
      <c r="AZ146" s="2" t="s">
        <v>74</v>
      </c>
      <c r="BA146" s="2" t="s">
        <v>74</v>
      </c>
      <c r="BB146" s="2">
        <v>199</v>
      </c>
      <c r="BC146" s="2">
        <v>206</v>
      </c>
      <c r="BD146" s="2" t="s">
        <v>74</v>
      </c>
      <c r="BE146" s="2" t="s">
        <v>294</v>
      </c>
      <c r="BF146" s="2" t="str">
        <f>HYPERLINK("http://dx.doi.org/10.1016/j.anbehav.2015.07.026","http://dx.doi.org/10.1016/j.anbehav.2015.07.026")</f>
        <v>http://dx.doi.org/10.1016/j.anbehav.2015.07.026</v>
      </c>
      <c r="BG146" s="2" t="s">
        <v>74</v>
      </c>
      <c r="BH146" s="2" t="s">
        <v>74</v>
      </c>
      <c r="BI146" s="2" t="s">
        <v>74</v>
      </c>
      <c r="BJ146" s="2" t="s">
        <v>74</v>
      </c>
      <c r="BK146" s="2" t="s">
        <v>74</v>
      </c>
      <c r="BL146" s="2" t="s">
        <v>74</v>
      </c>
      <c r="BM146" s="2" t="s">
        <v>74</v>
      </c>
      <c r="BN146" s="2">
        <v>29657330</v>
      </c>
      <c r="BO146" s="2" t="s">
        <v>74</v>
      </c>
      <c r="BP146" s="2" t="s">
        <v>74</v>
      </c>
      <c r="BQ146" s="2" t="s">
        <v>74</v>
      </c>
      <c r="BR146" s="2" t="s">
        <v>74</v>
      </c>
      <c r="BS146" s="2" t="s">
        <v>295</v>
      </c>
      <c r="BT146" s="2" t="str">
        <f>HYPERLINK("https%3A%2F%2Fwww.webofscience.com%2Fwos%2Fwoscc%2Ffull-record%2FWOS:000361570000024","View Full Record in Web of Science")</f>
        <v>View Full Record in Web of Science</v>
      </c>
    </row>
    <row r="147" spans="1:72" s="2" customFormat="1" x14ac:dyDescent="0.4">
      <c r="A147" s="2" t="s">
        <v>72</v>
      </c>
      <c r="B147" s="2" t="s">
        <v>5991</v>
      </c>
      <c r="C147" s="2" t="s">
        <v>74</v>
      </c>
      <c r="D147" s="2" t="s">
        <v>74</v>
      </c>
      <c r="E147" s="2" t="s">
        <v>74</v>
      </c>
      <c r="F147" s="2" t="s">
        <v>5992</v>
      </c>
      <c r="G147" s="2" t="s">
        <v>74</v>
      </c>
      <c r="H147" s="2" t="s">
        <v>74</v>
      </c>
      <c r="I147" s="2" t="s">
        <v>5993</v>
      </c>
      <c r="J147" s="2" t="s">
        <v>5994</v>
      </c>
      <c r="K147" s="2" t="s">
        <v>74</v>
      </c>
      <c r="L147" s="2" t="s">
        <v>74</v>
      </c>
      <c r="M147" s="2" t="s">
        <v>74</v>
      </c>
      <c r="N147" s="2" t="s">
        <v>74</v>
      </c>
      <c r="O147" s="2" t="s">
        <v>74</v>
      </c>
      <c r="P147" s="2" t="s">
        <v>74</v>
      </c>
      <c r="Q147" s="2" t="s">
        <v>74</v>
      </c>
      <c r="R147" s="2" t="s">
        <v>74</v>
      </c>
      <c r="S147" s="2" t="s">
        <v>74</v>
      </c>
      <c r="T147" s="2" t="s">
        <v>74</v>
      </c>
      <c r="U147" s="2" t="s">
        <v>74</v>
      </c>
      <c r="V147" s="5" t="s">
        <v>5995</v>
      </c>
      <c r="W147" s="2" t="s">
        <v>74</v>
      </c>
      <c r="X147" s="2" t="s">
        <v>74</v>
      </c>
      <c r="Y147" s="2" t="s">
        <v>74</v>
      </c>
      <c r="Z147" s="2" t="s">
        <v>74</v>
      </c>
      <c r="AA147" s="2" t="s">
        <v>74</v>
      </c>
      <c r="AB147" s="2" t="s">
        <v>74</v>
      </c>
      <c r="AC147" s="2" t="s">
        <v>74</v>
      </c>
      <c r="AD147" s="2" t="s">
        <v>74</v>
      </c>
      <c r="AE147" s="2" t="s">
        <v>74</v>
      </c>
      <c r="AF147" s="2" t="s">
        <v>74</v>
      </c>
      <c r="AG147" s="2" t="s">
        <v>74</v>
      </c>
      <c r="AH147" s="2" t="s">
        <v>74</v>
      </c>
      <c r="AI147" s="2" t="s">
        <v>74</v>
      </c>
      <c r="AJ147" s="2" t="s">
        <v>74</v>
      </c>
      <c r="AK147" s="2" t="s">
        <v>74</v>
      </c>
      <c r="AL147" s="2" t="s">
        <v>74</v>
      </c>
      <c r="AM147" s="2" t="s">
        <v>74</v>
      </c>
      <c r="AN147" s="2" t="s">
        <v>74</v>
      </c>
      <c r="AO147" s="2" t="s">
        <v>5996</v>
      </c>
      <c r="AP147" s="2" t="s">
        <v>5997</v>
      </c>
      <c r="AQ147" s="2" t="s">
        <v>74</v>
      </c>
      <c r="AR147" s="2" t="s">
        <v>74</v>
      </c>
      <c r="AS147" s="2" t="s">
        <v>74</v>
      </c>
      <c r="AT147" s="2" t="s">
        <v>305</v>
      </c>
      <c r="AU147" s="2">
        <v>2022</v>
      </c>
      <c r="AV147" s="2">
        <v>45</v>
      </c>
      <c r="AW147" s="2">
        <v>4</v>
      </c>
      <c r="AX147" s="2" t="s">
        <v>74</v>
      </c>
      <c r="AY147" s="2" t="s">
        <v>74</v>
      </c>
      <c r="AZ147" s="2" t="s">
        <v>74</v>
      </c>
      <c r="BA147" s="2" t="s">
        <v>74</v>
      </c>
      <c r="BB147" s="2">
        <v>461</v>
      </c>
      <c r="BC147" s="2">
        <v>466</v>
      </c>
      <c r="BD147" s="2" t="s">
        <v>74</v>
      </c>
      <c r="BE147" s="2" t="s">
        <v>5998</v>
      </c>
      <c r="BF147" s="2" t="str">
        <f>HYPERLINK("http://dx.doi.org/10.1675/063.045.0410","http://dx.doi.org/10.1675/063.045.0410")</f>
        <v>http://dx.doi.org/10.1675/063.045.0410</v>
      </c>
      <c r="BG147" s="2" t="s">
        <v>74</v>
      </c>
      <c r="BH147" s="2" t="s">
        <v>74</v>
      </c>
      <c r="BI147" s="2" t="s">
        <v>74</v>
      </c>
      <c r="BJ147" s="2" t="s">
        <v>74</v>
      </c>
      <c r="BK147" s="2" t="s">
        <v>74</v>
      </c>
      <c r="BL147" s="2" t="s">
        <v>74</v>
      </c>
      <c r="BM147" s="2" t="s">
        <v>74</v>
      </c>
      <c r="BN147" s="2" t="s">
        <v>74</v>
      </c>
      <c r="BO147" s="2" t="s">
        <v>74</v>
      </c>
      <c r="BP147" s="2" t="s">
        <v>74</v>
      </c>
      <c r="BQ147" s="2" t="s">
        <v>74</v>
      </c>
      <c r="BR147" s="2" t="s">
        <v>74</v>
      </c>
      <c r="BS147" s="2" t="s">
        <v>5999</v>
      </c>
      <c r="BT147" s="2" t="str">
        <f>HYPERLINK("https%3A%2F%2Fwww.webofscience.com%2Fwos%2Fwoscc%2Ffull-record%2FWOS:001075551200010","View Full Record in Web of Science")</f>
        <v>View Full Record in Web of Science</v>
      </c>
    </row>
    <row r="148" spans="1:72" s="2" customFormat="1" x14ac:dyDescent="0.4">
      <c r="A148" s="2" t="s">
        <v>72</v>
      </c>
      <c r="B148" s="2" t="s">
        <v>4386</v>
      </c>
      <c r="C148" s="2" t="s">
        <v>74</v>
      </c>
      <c r="D148" s="2" t="s">
        <v>74</v>
      </c>
      <c r="E148" s="2" t="s">
        <v>74</v>
      </c>
      <c r="F148" s="2" t="s">
        <v>4386</v>
      </c>
      <c r="G148" s="2" t="s">
        <v>74</v>
      </c>
      <c r="H148" s="2" t="s">
        <v>74</v>
      </c>
      <c r="I148" s="2" t="s">
        <v>4387</v>
      </c>
      <c r="J148" s="2" t="s">
        <v>333</v>
      </c>
      <c r="K148" s="2" t="s">
        <v>74</v>
      </c>
      <c r="L148" s="2" t="s">
        <v>74</v>
      </c>
      <c r="M148" s="2" t="s">
        <v>74</v>
      </c>
      <c r="N148" s="2" t="s">
        <v>74</v>
      </c>
      <c r="O148" s="2" t="s">
        <v>74</v>
      </c>
      <c r="P148" s="2" t="s">
        <v>74</v>
      </c>
      <c r="Q148" s="2" t="s">
        <v>74</v>
      </c>
      <c r="R148" s="2" t="s">
        <v>74</v>
      </c>
      <c r="S148" s="2" t="s">
        <v>74</v>
      </c>
      <c r="T148" s="2" t="s">
        <v>74</v>
      </c>
      <c r="U148" s="2" t="s">
        <v>74</v>
      </c>
      <c r="V148" s="5" t="s">
        <v>4388</v>
      </c>
      <c r="W148" s="2" t="s">
        <v>74</v>
      </c>
      <c r="X148" s="2" t="s">
        <v>74</v>
      </c>
      <c r="Y148" s="2" t="s">
        <v>74</v>
      </c>
      <c r="Z148" s="2" t="s">
        <v>74</v>
      </c>
      <c r="AA148" s="2" t="s">
        <v>74</v>
      </c>
      <c r="AB148" s="2" t="s">
        <v>74</v>
      </c>
      <c r="AC148" s="2" t="s">
        <v>74</v>
      </c>
      <c r="AD148" s="2" t="s">
        <v>74</v>
      </c>
      <c r="AE148" s="2" t="s">
        <v>74</v>
      </c>
      <c r="AF148" s="2" t="s">
        <v>74</v>
      </c>
      <c r="AG148" s="2" t="s">
        <v>74</v>
      </c>
      <c r="AH148" s="2" t="s">
        <v>74</v>
      </c>
      <c r="AI148" s="2" t="s">
        <v>74</v>
      </c>
      <c r="AJ148" s="2" t="s">
        <v>74</v>
      </c>
      <c r="AK148" s="2" t="s">
        <v>74</v>
      </c>
      <c r="AL148" s="2" t="s">
        <v>74</v>
      </c>
      <c r="AM148" s="2" t="s">
        <v>74</v>
      </c>
      <c r="AN148" s="2" t="s">
        <v>74</v>
      </c>
      <c r="AO148" s="2" t="s">
        <v>337</v>
      </c>
      <c r="AP148" s="2" t="s">
        <v>338</v>
      </c>
      <c r="AQ148" s="2" t="s">
        <v>74</v>
      </c>
      <c r="AR148" s="2" t="s">
        <v>74</v>
      </c>
      <c r="AS148" s="2" t="s">
        <v>74</v>
      </c>
      <c r="AT148" s="2" t="s">
        <v>1013</v>
      </c>
      <c r="AU148" s="2">
        <v>1997</v>
      </c>
      <c r="AV148" s="2">
        <v>8</v>
      </c>
      <c r="AW148" s="2">
        <v>5</v>
      </c>
      <c r="AX148" s="2" t="s">
        <v>74</v>
      </c>
      <c r="AY148" s="2" t="s">
        <v>74</v>
      </c>
      <c r="AZ148" s="2" t="s">
        <v>74</v>
      </c>
      <c r="BA148" s="2" t="s">
        <v>74</v>
      </c>
      <c r="BB148" s="2">
        <v>506</v>
      </c>
      <c r="BC148" s="2">
        <v>517</v>
      </c>
      <c r="BD148" s="2" t="s">
        <v>74</v>
      </c>
      <c r="BE148" s="2" t="s">
        <v>4389</v>
      </c>
      <c r="BF148" s="2" t="str">
        <f>HYPERLINK("http://dx.doi.org/10.1093/beheco/8.5.506","http://dx.doi.org/10.1093/beheco/8.5.506")</f>
        <v>http://dx.doi.org/10.1093/beheco/8.5.506</v>
      </c>
      <c r="BG148" s="2" t="s">
        <v>74</v>
      </c>
      <c r="BH148" s="2" t="s">
        <v>74</v>
      </c>
      <c r="BI148" s="2" t="s">
        <v>74</v>
      </c>
      <c r="BJ148" s="2" t="s">
        <v>74</v>
      </c>
      <c r="BK148" s="2" t="s">
        <v>74</v>
      </c>
      <c r="BL148" s="2" t="s">
        <v>74</v>
      </c>
      <c r="BM148" s="2" t="s">
        <v>74</v>
      </c>
      <c r="BN148" s="2" t="s">
        <v>74</v>
      </c>
      <c r="BO148" s="2" t="s">
        <v>74</v>
      </c>
      <c r="BP148" s="2" t="s">
        <v>74</v>
      </c>
      <c r="BQ148" s="2" t="s">
        <v>74</v>
      </c>
      <c r="BR148" s="2" t="s">
        <v>74</v>
      </c>
      <c r="BS148" s="2" t="s">
        <v>4390</v>
      </c>
      <c r="BT148" s="2" t="str">
        <f>HYPERLINK("https%3A%2F%2Fwww.webofscience.com%2Fwos%2Fwoscc%2Ffull-record%2FWOS:A1997XX33800006","View Full Record in Web of Science")</f>
        <v>View Full Record in Web of Science</v>
      </c>
    </row>
    <row r="149" spans="1:72" s="2" customFormat="1" x14ac:dyDescent="0.4">
      <c r="A149" s="2" t="s">
        <v>72</v>
      </c>
      <c r="B149" s="2" t="s">
        <v>5001</v>
      </c>
      <c r="C149" s="2" t="s">
        <v>74</v>
      </c>
      <c r="D149" s="2" t="s">
        <v>74</v>
      </c>
      <c r="E149" s="2" t="s">
        <v>74</v>
      </c>
      <c r="F149" s="2" t="s">
        <v>5001</v>
      </c>
      <c r="G149" s="2" t="s">
        <v>74</v>
      </c>
      <c r="H149" s="2" t="s">
        <v>74</v>
      </c>
      <c r="I149" s="2" t="s">
        <v>5002</v>
      </c>
      <c r="J149" s="2" t="s">
        <v>1673</v>
      </c>
      <c r="K149" s="2" t="s">
        <v>74</v>
      </c>
      <c r="L149" s="2" t="s">
        <v>74</v>
      </c>
      <c r="M149" s="2" t="s">
        <v>74</v>
      </c>
      <c r="N149" s="2" t="s">
        <v>74</v>
      </c>
      <c r="O149" s="2" t="s">
        <v>74</v>
      </c>
      <c r="P149" s="2" t="s">
        <v>74</v>
      </c>
      <c r="Q149" s="2" t="s">
        <v>74</v>
      </c>
      <c r="R149" s="2" t="s">
        <v>74</v>
      </c>
      <c r="S149" s="2" t="s">
        <v>74</v>
      </c>
      <c r="T149" s="2" t="s">
        <v>74</v>
      </c>
      <c r="U149" s="2" t="s">
        <v>74</v>
      </c>
      <c r="V149" s="5" t="s">
        <v>5003</v>
      </c>
      <c r="W149" s="2" t="s">
        <v>74</v>
      </c>
      <c r="X149" s="2" t="s">
        <v>74</v>
      </c>
      <c r="Y149" s="2" t="s">
        <v>74</v>
      </c>
      <c r="Z149" s="2" t="s">
        <v>74</v>
      </c>
      <c r="AA149" s="2" t="s">
        <v>5004</v>
      </c>
      <c r="AB149" s="2" t="s">
        <v>5005</v>
      </c>
      <c r="AC149" s="2" t="s">
        <v>74</v>
      </c>
      <c r="AD149" s="2" t="s">
        <v>74</v>
      </c>
      <c r="AE149" s="2" t="s">
        <v>74</v>
      </c>
      <c r="AF149" s="2" t="s">
        <v>74</v>
      </c>
      <c r="AG149" s="2" t="s">
        <v>74</v>
      </c>
      <c r="AH149" s="2" t="s">
        <v>74</v>
      </c>
      <c r="AI149" s="2" t="s">
        <v>74</v>
      </c>
      <c r="AJ149" s="2" t="s">
        <v>74</v>
      </c>
      <c r="AK149" s="2" t="s">
        <v>74</v>
      </c>
      <c r="AL149" s="2" t="s">
        <v>74</v>
      </c>
      <c r="AM149" s="2" t="s">
        <v>74</v>
      </c>
      <c r="AN149" s="2" t="s">
        <v>74</v>
      </c>
      <c r="AO149" s="2" t="s">
        <v>1239</v>
      </c>
      <c r="AP149" s="2" t="s">
        <v>1675</v>
      </c>
      <c r="AQ149" s="2" t="s">
        <v>74</v>
      </c>
      <c r="AR149" s="2" t="s">
        <v>74</v>
      </c>
      <c r="AS149" s="2" t="s">
        <v>74</v>
      </c>
      <c r="AT149" s="2" t="s">
        <v>213</v>
      </c>
      <c r="AU149" s="2">
        <v>2003</v>
      </c>
      <c r="AV149" s="2">
        <v>81</v>
      </c>
      <c r="AW149" s="2">
        <v>11</v>
      </c>
      <c r="AX149" s="2" t="s">
        <v>74</v>
      </c>
      <c r="AY149" s="2" t="s">
        <v>74</v>
      </c>
      <c r="AZ149" s="2" t="s">
        <v>74</v>
      </c>
      <c r="BA149" s="2" t="s">
        <v>74</v>
      </c>
      <c r="BB149" s="2">
        <v>1781</v>
      </c>
      <c r="BC149" s="2">
        <v>1790</v>
      </c>
      <c r="BD149" s="2" t="s">
        <v>74</v>
      </c>
      <c r="BE149" s="2" t="s">
        <v>5006</v>
      </c>
      <c r="BF149" s="2" t="str">
        <f>HYPERLINK("http://dx.doi.org/10.1139/Z03-178","http://dx.doi.org/10.1139/Z03-178")</f>
        <v>http://dx.doi.org/10.1139/Z03-178</v>
      </c>
      <c r="BG149" s="2" t="s">
        <v>74</v>
      </c>
      <c r="BH149" s="2" t="s">
        <v>74</v>
      </c>
      <c r="BI149" s="2" t="s">
        <v>74</v>
      </c>
      <c r="BJ149" s="2" t="s">
        <v>74</v>
      </c>
      <c r="BK149" s="2" t="s">
        <v>74</v>
      </c>
      <c r="BL149" s="2" t="s">
        <v>74</v>
      </c>
      <c r="BM149" s="2" t="s">
        <v>74</v>
      </c>
      <c r="BN149" s="2" t="s">
        <v>74</v>
      </c>
      <c r="BO149" s="2" t="s">
        <v>74</v>
      </c>
      <c r="BP149" s="2" t="s">
        <v>74</v>
      </c>
      <c r="BQ149" s="2" t="s">
        <v>74</v>
      </c>
      <c r="BR149" s="2" t="s">
        <v>74</v>
      </c>
      <c r="BS149" s="2" t="s">
        <v>5007</v>
      </c>
      <c r="BT149" s="2" t="str">
        <f>HYPERLINK("https%3A%2F%2Fwww.webofscience.com%2Fwos%2Fwoscc%2Ffull-record%2FWOS:000188730300001","View Full Record in Web of Science")</f>
        <v>View Full Record in Web of Science</v>
      </c>
    </row>
    <row r="150" spans="1:72" s="2" customFormat="1" x14ac:dyDescent="0.4">
      <c r="A150" s="2" t="s">
        <v>72</v>
      </c>
      <c r="B150" s="2" t="s">
        <v>6990</v>
      </c>
      <c r="C150" s="2" t="s">
        <v>74</v>
      </c>
      <c r="D150" s="2" t="s">
        <v>74</v>
      </c>
      <c r="E150" s="2" t="s">
        <v>74</v>
      </c>
      <c r="F150" s="2" t="s">
        <v>6991</v>
      </c>
      <c r="G150" s="2" t="s">
        <v>74</v>
      </c>
      <c r="H150" s="2" t="s">
        <v>74</v>
      </c>
      <c r="I150" s="2" t="s">
        <v>6992</v>
      </c>
      <c r="J150" s="2" t="s">
        <v>408</v>
      </c>
      <c r="K150" s="2" t="s">
        <v>74</v>
      </c>
      <c r="L150" s="2" t="s">
        <v>74</v>
      </c>
      <c r="M150" s="2" t="s">
        <v>74</v>
      </c>
      <c r="N150" s="2" t="s">
        <v>74</v>
      </c>
      <c r="O150" s="2" t="s">
        <v>74</v>
      </c>
      <c r="P150" s="2" t="s">
        <v>74</v>
      </c>
      <c r="Q150" s="2" t="s">
        <v>74</v>
      </c>
      <c r="R150" s="2" t="s">
        <v>74</v>
      </c>
      <c r="S150" s="2" t="s">
        <v>74</v>
      </c>
      <c r="T150" s="2" t="s">
        <v>74</v>
      </c>
      <c r="U150" s="2" t="s">
        <v>74</v>
      </c>
      <c r="V150" s="5" t="s">
        <v>6993</v>
      </c>
      <c r="W150" s="2" t="s">
        <v>74</v>
      </c>
      <c r="X150" s="2" t="s">
        <v>74</v>
      </c>
      <c r="Y150" s="2" t="s">
        <v>74</v>
      </c>
      <c r="Z150" s="2" t="s">
        <v>74</v>
      </c>
      <c r="AA150" s="2" t="s">
        <v>74</v>
      </c>
      <c r="AB150" s="2" t="s">
        <v>74</v>
      </c>
      <c r="AC150" s="2" t="s">
        <v>74</v>
      </c>
      <c r="AD150" s="2" t="s">
        <v>74</v>
      </c>
      <c r="AE150" s="2" t="s">
        <v>74</v>
      </c>
      <c r="AF150" s="2" t="s">
        <v>74</v>
      </c>
      <c r="AG150" s="2" t="s">
        <v>74</v>
      </c>
      <c r="AH150" s="2" t="s">
        <v>74</v>
      </c>
      <c r="AI150" s="2" t="s">
        <v>74</v>
      </c>
      <c r="AJ150" s="2" t="s">
        <v>74</v>
      </c>
      <c r="AK150" s="2" t="s">
        <v>74</v>
      </c>
      <c r="AL150" s="2" t="s">
        <v>74</v>
      </c>
      <c r="AM150" s="2" t="s">
        <v>74</v>
      </c>
      <c r="AN150" s="2" t="s">
        <v>74</v>
      </c>
      <c r="AO150" s="2" t="s">
        <v>412</v>
      </c>
      <c r="AP150" s="2" t="s">
        <v>413</v>
      </c>
      <c r="AQ150" s="2" t="s">
        <v>74</v>
      </c>
      <c r="AR150" s="2" t="s">
        <v>74</v>
      </c>
      <c r="AS150" s="2" t="s">
        <v>74</v>
      </c>
      <c r="AT150" s="2" t="s">
        <v>123</v>
      </c>
      <c r="AU150" s="2">
        <v>2013</v>
      </c>
      <c r="AV150" s="2">
        <v>108</v>
      </c>
      <c r="AW150" s="2">
        <v>3</v>
      </c>
      <c r="AX150" s="2" t="s">
        <v>74</v>
      </c>
      <c r="AY150" s="2" t="s">
        <v>74</v>
      </c>
      <c r="AZ150" s="2" t="s">
        <v>74</v>
      </c>
      <c r="BA150" s="2" t="s">
        <v>74</v>
      </c>
      <c r="BB150" s="2">
        <v>636</v>
      </c>
      <c r="BC150" s="2">
        <v>646</v>
      </c>
      <c r="BD150" s="2" t="s">
        <v>74</v>
      </c>
      <c r="BE150" s="2" t="s">
        <v>6994</v>
      </c>
      <c r="BF150" s="2" t="str">
        <f>HYPERLINK("http://dx.doi.org/10.1111/bij.12003","http://dx.doi.org/10.1111/bij.12003")</f>
        <v>http://dx.doi.org/10.1111/bij.12003</v>
      </c>
      <c r="BG150" s="2" t="s">
        <v>74</v>
      </c>
      <c r="BH150" s="2" t="s">
        <v>74</v>
      </c>
      <c r="BI150" s="2" t="s">
        <v>74</v>
      </c>
      <c r="BJ150" s="2" t="s">
        <v>74</v>
      </c>
      <c r="BK150" s="2" t="s">
        <v>74</v>
      </c>
      <c r="BL150" s="2" t="s">
        <v>74</v>
      </c>
      <c r="BM150" s="2" t="s">
        <v>74</v>
      </c>
      <c r="BN150" s="2" t="s">
        <v>74</v>
      </c>
      <c r="BO150" s="2" t="s">
        <v>74</v>
      </c>
      <c r="BP150" s="2" t="s">
        <v>74</v>
      </c>
      <c r="BQ150" s="2" t="s">
        <v>74</v>
      </c>
      <c r="BR150" s="2" t="s">
        <v>74</v>
      </c>
      <c r="BS150" s="2" t="s">
        <v>6995</v>
      </c>
      <c r="BT150" s="2" t="str">
        <f>HYPERLINK("https%3A%2F%2Fwww.webofscience.com%2Fwos%2Fwoscc%2Ffull-record%2FWOS:000315120300013","View Full Record in Web of Science")</f>
        <v>View Full Record in Web of Science</v>
      </c>
    </row>
    <row r="151" spans="1:72" s="2" customFormat="1" x14ac:dyDescent="0.4">
      <c r="A151" s="2" t="s">
        <v>72</v>
      </c>
      <c r="B151" s="2" t="s">
        <v>3525</v>
      </c>
      <c r="C151" s="2" t="s">
        <v>74</v>
      </c>
      <c r="D151" s="2" t="s">
        <v>74</v>
      </c>
      <c r="E151" s="2" t="s">
        <v>74</v>
      </c>
      <c r="F151" s="2" t="s">
        <v>3526</v>
      </c>
      <c r="G151" s="2" t="s">
        <v>74</v>
      </c>
      <c r="H151" s="2" t="s">
        <v>74</v>
      </c>
      <c r="I151" s="2" t="s">
        <v>3527</v>
      </c>
      <c r="J151" s="2" t="s">
        <v>1198</v>
      </c>
      <c r="K151" s="2" t="s">
        <v>74</v>
      </c>
      <c r="L151" s="2" t="s">
        <v>74</v>
      </c>
      <c r="M151" s="2" t="s">
        <v>74</v>
      </c>
      <c r="N151" s="2" t="s">
        <v>74</v>
      </c>
      <c r="O151" s="2" t="s">
        <v>74</v>
      </c>
      <c r="P151" s="2" t="s">
        <v>74</v>
      </c>
      <c r="Q151" s="2" t="s">
        <v>74</v>
      </c>
      <c r="R151" s="2" t="s">
        <v>74</v>
      </c>
      <c r="S151" s="2" t="s">
        <v>74</v>
      </c>
      <c r="T151" s="2" t="s">
        <v>74</v>
      </c>
      <c r="U151" s="2" t="s">
        <v>74</v>
      </c>
      <c r="V151" s="5" t="s">
        <v>3528</v>
      </c>
      <c r="W151" s="2" t="s">
        <v>74</v>
      </c>
      <c r="X151" s="2" t="s">
        <v>74</v>
      </c>
      <c r="Y151" s="2" t="s">
        <v>74</v>
      </c>
      <c r="Z151" s="2" t="s">
        <v>74</v>
      </c>
      <c r="AA151" s="2" t="s">
        <v>74</v>
      </c>
      <c r="AB151" s="2" t="s">
        <v>74</v>
      </c>
      <c r="AC151" s="2" t="s">
        <v>74</v>
      </c>
      <c r="AD151" s="2" t="s">
        <v>74</v>
      </c>
      <c r="AE151" s="2" t="s">
        <v>74</v>
      </c>
      <c r="AF151" s="2" t="s">
        <v>74</v>
      </c>
      <c r="AG151" s="2" t="s">
        <v>74</v>
      </c>
      <c r="AH151" s="2" t="s">
        <v>74</v>
      </c>
      <c r="AI151" s="2" t="s">
        <v>74</v>
      </c>
      <c r="AJ151" s="2" t="s">
        <v>74</v>
      </c>
      <c r="AK151" s="2" t="s">
        <v>74</v>
      </c>
      <c r="AL151" s="2" t="s">
        <v>74</v>
      </c>
      <c r="AM151" s="2" t="s">
        <v>74</v>
      </c>
      <c r="AN151" s="2" t="s">
        <v>74</v>
      </c>
      <c r="AO151" s="2" t="s">
        <v>1202</v>
      </c>
      <c r="AP151" s="2" t="s">
        <v>1203</v>
      </c>
      <c r="AQ151" s="2" t="s">
        <v>74</v>
      </c>
      <c r="AR151" s="2" t="s">
        <v>74</v>
      </c>
      <c r="AS151" s="2" t="s">
        <v>74</v>
      </c>
      <c r="AT151" s="2" t="s">
        <v>305</v>
      </c>
      <c r="AU151" s="2">
        <v>2013</v>
      </c>
      <c r="AV151" s="2">
        <v>69</v>
      </c>
      <c r="AW151" s="2">
        <v>4</v>
      </c>
      <c r="AX151" s="2" t="s">
        <v>74</v>
      </c>
      <c r="AY151" s="2" t="s">
        <v>74</v>
      </c>
      <c r="AZ151" s="2" t="s">
        <v>74</v>
      </c>
      <c r="BA151" s="2" t="s">
        <v>74</v>
      </c>
      <c r="BB151" s="2">
        <v>436</v>
      </c>
      <c r="BC151" s="2">
        <v>444</v>
      </c>
      <c r="BD151" s="2" t="s">
        <v>74</v>
      </c>
      <c r="BE151" s="2" t="s">
        <v>74</v>
      </c>
      <c r="BF151" s="2" t="s">
        <v>74</v>
      </c>
      <c r="BG151" s="2" t="s">
        <v>74</v>
      </c>
      <c r="BH151" s="2" t="s">
        <v>74</v>
      </c>
      <c r="BI151" s="2" t="s">
        <v>74</v>
      </c>
      <c r="BJ151" s="2" t="s">
        <v>74</v>
      </c>
      <c r="BK151" s="2" t="s">
        <v>74</v>
      </c>
      <c r="BL151" s="2" t="s">
        <v>74</v>
      </c>
      <c r="BM151" s="2" t="s">
        <v>74</v>
      </c>
      <c r="BN151" s="2" t="s">
        <v>74</v>
      </c>
      <c r="BO151" s="2" t="s">
        <v>74</v>
      </c>
      <c r="BP151" s="2" t="s">
        <v>74</v>
      </c>
      <c r="BQ151" s="2" t="s">
        <v>74</v>
      </c>
      <c r="BR151" s="2" t="s">
        <v>74</v>
      </c>
      <c r="BS151" s="2" t="s">
        <v>3529</v>
      </c>
      <c r="BT151" s="2" t="str">
        <f>HYPERLINK("https%3A%2F%2Fwww.webofscience.com%2Fwos%2Fwoscc%2Ffull-record%2FWOS:000328539300005","View Full Record in Web of Science")</f>
        <v>View Full Record in Web of Science</v>
      </c>
    </row>
    <row r="152" spans="1:72" s="2" customFormat="1" x14ac:dyDescent="0.4">
      <c r="A152" s="2" t="s">
        <v>72</v>
      </c>
      <c r="B152" s="2" t="s">
        <v>7502</v>
      </c>
      <c r="C152" s="2" t="s">
        <v>74</v>
      </c>
      <c r="D152" s="2" t="s">
        <v>74</v>
      </c>
      <c r="E152" s="2" t="s">
        <v>74</v>
      </c>
      <c r="F152" s="2" t="s">
        <v>7503</v>
      </c>
      <c r="G152" s="2" t="s">
        <v>74</v>
      </c>
      <c r="H152" s="2" t="s">
        <v>74</v>
      </c>
      <c r="I152" s="2" t="s">
        <v>7504</v>
      </c>
      <c r="J152" s="2" t="s">
        <v>1755</v>
      </c>
      <c r="K152" s="2" t="s">
        <v>74</v>
      </c>
      <c r="L152" s="2" t="s">
        <v>74</v>
      </c>
      <c r="M152" s="2" t="s">
        <v>74</v>
      </c>
      <c r="N152" s="2" t="s">
        <v>74</v>
      </c>
      <c r="O152" s="2" t="s">
        <v>74</v>
      </c>
      <c r="P152" s="2" t="s">
        <v>74</v>
      </c>
      <c r="Q152" s="2" t="s">
        <v>74</v>
      </c>
      <c r="R152" s="2" t="s">
        <v>74</v>
      </c>
      <c r="S152" s="2" t="s">
        <v>74</v>
      </c>
      <c r="T152" s="2" t="s">
        <v>74</v>
      </c>
      <c r="U152" s="2" t="s">
        <v>74</v>
      </c>
      <c r="V152" s="5" t="s">
        <v>7505</v>
      </c>
      <c r="W152" s="2" t="s">
        <v>74</v>
      </c>
      <c r="X152" s="2" t="s">
        <v>74</v>
      </c>
      <c r="Y152" s="2" t="s">
        <v>74</v>
      </c>
      <c r="Z152" s="2" t="s">
        <v>74</v>
      </c>
      <c r="AA152" s="2" t="s">
        <v>7506</v>
      </c>
      <c r="AB152" s="2" t="s">
        <v>7507</v>
      </c>
      <c r="AC152" s="2" t="s">
        <v>74</v>
      </c>
      <c r="AD152" s="2" t="s">
        <v>74</v>
      </c>
      <c r="AE152" s="2" t="s">
        <v>74</v>
      </c>
      <c r="AF152" s="2" t="s">
        <v>74</v>
      </c>
      <c r="AG152" s="2" t="s">
        <v>74</v>
      </c>
      <c r="AH152" s="2" t="s">
        <v>74</v>
      </c>
      <c r="AI152" s="2" t="s">
        <v>74</v>
      </c>
      <c r="AJ152" s="2" t="s">
        <v>74</v>
      </c>
      <c r="AK152" s="2" t="s">
        <v>74</v>
      </c>
      <c r="AL152" s="2" t="s">
        <v>74</v>
      </c>
      <c r="AM152" s="2" t="s">
        <v>74</v>
      </c>
      <c r="AN152" s="2" t="s">
        <v>74</v>
      </c>
      <c r="AO152" s="2" t="s">
        <v>1759</v>
      </c>
      <c r="AP152" s="2" t="s">
        <v>1760</v>
      </c>
      <c r="AQ152" s="2" t="s">
        <v>74</v>
      </c>
      <c r="AR152" s="2" t="s">
        <v>74</v>
      </c>
      <c r="AS152" s="2" t="s">
        <v>74</v>
      </c>
      <c r="AT152" s="2" t="s">
        <v>255</v>
      </c>
      <c r="AU152" s="2">
        <v>2007</v>
      </c>
      <c r="AV152" s="2">
        <v>20</v>
      </c>
      <c r="AW152" s="2">
        <v>1</v>
      </c>
      <c r="AX152" s="2" t="s">
        <v>74</v>
      </c>
      <c r="AY152" s="2" t="s">
        <v>74</v>
      </c>
      <c r="AZ152" s="2" t="s">
        <v>74</v>
      </c>
      <c r="BA152" s="2" t="s">
        <v>74</v>
      </c>
      <c r="BB152" s="2">
        <v>87</v>
      </c>
      <c r="BC152" s="2">
        <v>98</v>
      </c>
      <c r="BD152" s="2" t="s">
        <v>74</v>
      </c>
      <c r="BE152" s="2" t="s">
        <v>7508</v>
      </c>
      <c r="BF152" s="2" t="str">
        <f>HYPERLINK("http://dx.doi.org/10.1007/s10905-006-9065-9","http://dx.doi.org/10.1007/s10905-006-9065-9")</f>
        <v>http://dx.doi.org/10.1007/s10905-006-9065-9</v>
      </c>
      <c r="BG152" s="2" t="s">
        <v>74</v>
      </c>
      <c r="BH152" s="2" t="s">
        <v>74</v>
      </c>
      <c r="BI152" s="2" t="s">
        <v>74</v>
      </c>
      <c r="BJ152" s="2" t="s">
        <v>74</v>
      </c>
      <c r="BK152" s="2" t="s">
        <v>74</v>
      </c>
      <c r="BL152" s="2" t="s">
        <v>74</v>
      </c>
      <c r="BM152" s="2" t="s">
        <v>74</v>
      </c>
      <c r="BN152" s="2" t="s">
        <v>74</v>
      </c>
      <c r="BO152" s="2" t="s">
        <v>74</v>
      </c>
      <c r="BP152" s="2" t="s">
        <v>74</v>
      </c>
      <c r="BQ152" s="2" t="s">
        <v>74</v>
      </c>
      <c r="BR152" s="2" t="s">
        <v>74</v>
      </c>
      <c r="BS152" s="2" t="s">
        <v>7509</v>
      </c>
      <c r="BT152" s="2" t="str">
        <f>HYPERLINK("https%3A%2F%2Fwww.webofscience.com%2Fwos%2Fwoscc%2Ffull-record%2FWOS:000243906500008","View Full Record in Web of Science")</f>
        <v>View Full Record in Web of Science</v>
      </c>
    </row>
    <row r="153" spans="1:72" s="2" customFormat="1" x14ac:dyDescent="0.4">
      <c r="A153" s="2" t="s">
        <v>72</v>
      </c>
      <c r="B153" s="2" t="s">
        <v>6952</v>
      </c>
      <c r="C153" s="2" t="s">
        <v>74</v>
      </c>
      <c r="D153" s="2" t="s">
        <v>74</v>
      </c>
      <c r="E153" s="2" t="s">
        <v>74</v>
      </c>
      <c r="F153" s="2" t="s">
        <v>6953</v>
      </c>
      <c r="G153" s="2" t="s">
        <v>74</v>
      </c>
      <c r="H153" s="2" t="s">
        <v>74</v>
      </c>
      <c r="I153" s="2" t="s">
        <v>6954</v>
      </c>
      <c r="J153" s="2" t="s">
        <v>1396</v>
      </c>
      <c r="K153" s="2" t="s">
        <v>74</v>
      </c>
      <c r="L153" s="2" t="s">
        <v>74</v>
      </c>
      <c r="M153" s="2" t="s">
        <v>74</v>
      </c>
      <c r="N153" s="2" t="s">
        <v>74</v>
      </c>
      <c r="O153" s="2" t="s">
        <v>74</v>
      </c>
      <c r="P153" s="2" t="s">
        <v>74</v>
      </c>
      <c r="Q153" s="2" t="s">
        <v>74</v>
      </c>
      <c r="R153" s="2" t="s">
        <v>74</v>
      </c>
      <c r="S153" s="2" t="s">
        <v>74</v>
      </c>
      <c r="T153" s="2" t="s">
        <v>74</v>
      </c>
      <c r="U153" s="2" t="s">
        <v>74</v>
      </c>
      <c r="V153" s="5" t="s">
        <v>6955</v>
      </c>
      <c r="W153" s="2" t="s">
        <v>74</v>
      </c>
      <c r="X153" s="2" t="s">
        <v>74</v>
      </c>
      <c r="Y153" s="2" t="s">
        <v>74</v>
      </c>
      <c r="Z153" s="2" t="s">
        <v>74</v>
      </c>
      <c r="AA153" s="2" t="s">
        <v>6956</v>
      </c>
      <c r="AB153" s="2" t="s">
        <v>6957</v>
      </c>
      <c r="AC153" s="2" t="s">
        <v>74</v>
      </c>
      <c r="AD153" s="2" t="s">
        <v>74</v>
      </c>
      <c r="AE153" s="2" t="s">
        <v>74</v>
      </c>
      <c r="AF153" s="2" t="s">
        <v>74</v>
      </c>
      <c r="AG153" s="2" t="s">
        <v>74</v>
      </c>
      <c r="AH153" s="2" t="s">
        <v>74</v>
      </c>
      <c r="AI153" s="2" t="s">
        <v>74</v>
      </c>
      <c r="AJ153" s="2" t="s">
        <v>74</v>
      </c>
      <c r="AK153" s="2" t="s">
        <v>74</v>
      </c>
      <c r="AL153" s="2" t="s">
        <v>74</v>
      </c>
      <c r="AM153" s="2" t="s">
        <v>74</v>
      </c>
      <c r="AN153" s="2" t="s">
        <v>74</v>
      </c>
      <c r="AO153" s="2" t="s">
        <v>1400</v>
      </c>
      <c r="AP153" s="2" t="s">
        <v>5422</v>
      </c>
      <c r="AQ153" s="2" t="s">
        <v>74</v>
      </c>
      <c r="AR153" s="2" t="s">
        <v>74</v>
      </c>
      <c r="AS153" s="2" t="s">
        <v>74</v>
      </c>
      <c r="AT153" s="2" t="s">
        <v>6958</v>
      </c>
      <c r="AU153" s="2">
        <v>2022</v>
      </c>
      <c r="AV153" s="2">
        <v>2022</v>
      </c>
      <c r="AW153" s="2" t="s">
        <v>74</v>
      </c>
      <c r="AX153" s="2" t="s">
        <v>74</v>
      </c>
      <c r="AY153" s="2" t="s">
        <v>74</v>
      </c>
      <c r="AZ153" s="2" t="s">
        <v>74</v>
      </c>
      <c r="BA153" s="2" t="s">
        <v>74</v>
      </c>
      <c r="BB153" s="2" t="s">
        <v>74</v>
      </c>
      <c r="BC153" s="2" t="s">
        <v>74</v>
      </c>
      <c r="BD153" s="2">
        <v>8378483</v>
      </c>
      <c r="BE153" s="2" t="s">
        <v>6959</v>
      </c>
      <c r="BF153" s="2" t="str">
        <f>HYPERLINK("http://dx.doi.org/10.1155/2022/8378483","http://dx.doi.org/10.1155/2022/8378483")</f>
        <v>http://dx.doi.org/10.1155/2022/8378483</v>
      </c>
      <c r="BG153" s="2" t="s">
        <v>74</v>
      </c>
      <c r="BH153" s="2" t="s">
        <v>74</v>
      </c>
      <c r="BI153" s="2" t="s">
        <v>74</v>
      </c>
      <c r="BJ153" s="2" t="s">
        <v>74</v>
      </c>
      <c r="BK153" s="2" t="s">
        <v>74</v>
      </c>
      <c r="BL153" s="2" t="s">
        <v>74</v>
      </c>
      <c r="BM153" s="2" t="s">
        <v>74</v>
      </c>
      <c r="BN153" s="2" t="s">
        <v>74</v>
      </c>
      <c r="BO153" s="2" t="s">
        <v>74</v>
      </c>
      <c r="BP153" s="2" t="s">
        <v>74</v>
      </c>
      <c r="BQ153" s="2" t="s">
        <v>74</v>
      </c>
      <c r="BR153" s="2" t="s">
        <v>74</v>
      </c>
      <c r="BS153" s="2" t="s">
        <v>6960</v>
      </c>
      <c r="BT153" s="2" t="str">
        <f>HYPERLINK("https%3A%2F%2Fwww.webofscience.com%2Fwos%2Fwoscc%2Ffull-record%2FWOS:000903811100001","View Full Record in Web of Science")</f>
        <v>View Full Record in Web of Science</v>
      </c>
    </row>
    <row r="154" spans="1:72" s="2" customFormat="1" x14ac:dyDescent="0.4">
      <c r="A154" s="2" t="s">
        <v>72</v>
      </c>
      <c r="B154" s="2" t="s">
        <v>7738</v>
      </c>
      <c r="C154" s="2" t="s">
        <v>74</v>
      </c>
      <c r="D154" s="2" t="s">
        <v>74</v>
      </c>
      <c r="E154" s="2" t="s">
        <v>74</v>
      </c>
      <c r="F154" s="2" t="s">
        <v>7739</v>
      </c>
      <c r="G154" s="2" t="s">
        <v>74</v>
      </c>
      <c r="H154" s="2" t="s">
        <v>74</v>
      </c>
      <c r="I154" s="2" t="s">
        <v>7740</v>
      </c>
      <c r="J154" s="2" t="s">
        <v>1541</v>
      </c>
      <c r="K154" s="2" t="s">
        <v>74</v>
      </c>
      <c r="L154" s="2" t="s">
        <v>74</v>
      </c>
      <c r="M154" s="2" t="s">
        <v>74</v>
      </c>
      <c r="N154" s="2" t="s">
        <v>74</v>
      </c>
      <c r="O154" s="2" t="s">
        <v>74</v>
      </c>
      <c r="P154" s="2" t="s">
        <v>74</v>
      </c>
      <c r="Q154" s="2" t="s">
        <v>74</v>
      </c>
      <c r="R154" s="2" t="s">
        <v>74</v>
      </c>
      <c r="S154" s="2" t="s">
        <v>74</v>
      </c>
      <c r="T154" s="2" t="s">
        <v>74</v>
      </c>
      <c r="U154" s="2" t="s">
        <v>74</v>
      </c>
      <c r="V154" s="5" t="s">
        <v>7741</v>
      </c>
      <c r="W154" s="2" t="s">
        <v>74</v>
      </c>
      <c r="X154" s="2" t="s">
        <v>74</v>
      </c>
      <c r="Y154" s="2" t="s">
        <v>74</v>
      </c>
      <c r="Z154" s="2" t="s">
        <v>74</v>
      </c>
      <c r="AA154" s="2" t="s">
        <v>7742</v>
      </c>
      <c r="AB154" s="2" t="s">
        <v>7743</v>
      </c>
      <c r="AC154" s="2" t="s">
        <v>74</v>
      </c>
      <c r="AD154" s="2" t="s">
        <v>74</v>
      </c>
      <c r="AE154" s="2" t="s">
        <v>74</v>
      </c>
      <c r="AF154" s="2" t="s">
        <v>74</v>
      </c>
      <c r="AG154" s="2" t="s">
        <v>74</v>
      </c>
      <c r="AH154" s="2" t="s">
        <v>74</v>
      </c>
      <c r="AI154" s="2" t="s">
        <v>74</v>
      </c>
      <c r="AJ154" s="2" t="s">
        <v>74</v>
      </c>
      <c r="AK154" s="2" t="s">
        <v>74</v>
      </c>
      <c r="AL154" s="2" t="s">
        <v>74</v>
      </c>
      <c r="AM154" s="2" t="s">
        <v>74</v>
      </c>
      <c r="AN154" s="2" t="s">
        <v>74</v>
      </c>
      <c r="AO154" s="2" t="s">
        <v>1543</v>
      </c>
      <c r="AP154" s="2" t="s">
        <v>1544</v>
      </c>
      <c r="AQ154" s="2" t="s">
        <v>74</v>
      </c>
      <c r="AR154" s="2" t="s">
        <v>74</v>
      </c>
      <c r="AS154" s="2" t="s">
        <v>74</v>
      </c>
      <c r="AT154" s="2" t="s">
        <v>305</v>
      </c>
      <c r="AU154" s="2">
        <v>2009</v>
      </c>
      <c r="AV154" s="2">
        <v>90</v>
      </c>
      <c r="AW154" s="2">
        <v>12</v>
      </c>
      <c r="AX154" s="2" t="s">
        <v>74</v>
      </c>
      <c r="AY154" s="2" t="s">
        <v>74</v>
      </c>
      <c r="AZ154" s="2" t="s">
        <v>74</v>
      </c>
      <c r="BA154" s="2" t="s">
        <v>74</v>
      </c>
      <c r="BB154" s="2">
        <v>3367</v>
      </c>
      <c r="BC154" s="2">
        <v>3378</v>
      </c>
      <c r="BD154" s="2" t="s">
        <v>74</v>
      </c>
      <c r="BE154" s="2" t="s">
        <v>7744</v>
      </c>
      <c r="BF154" s="2" t="str">
        <f>HYPERLINK("http://dx.doi.org/10.1890/08-2291.1","http://dx.doi.org/10.1890/08-2291.1")</f>
        <v>http://dx.doi.org/10.1890/08-2291.1</v>
      </c>
      <c r="BG154" s="2" t="s">
        <v>74</v>
      </c>
      <c r="BH154" s="2" t="s">
        <v>74</v>
      </c>
      <c r="BI154" s="2" t="s">
        <v>74</v>
      </c>
      <c r="BJ154" s="2" t="s">
        <v>74</v>
      </c>
      <c r="BK154" s="2" t="s">
        <v>74</v>
      </c>
      <c r="BL154" s="2" t="s">
        <v>74</v>
      </c>
      <c r="BM154" s="2" t="s">
        <v>74</v>
      </c>
      <c r="BN154" s="2">
        <v>20120806</v>
      </c>
      <c r="BO154" s="2" t="s">
        <v>74</v>
      </c>
      <c r="BP154" s="2" t="s">
        <v>74</v>
      </c>
      <c r="BQ154" s="2" t="s">
        <v>74</v>
      </c>
      <c r="BR154" s="2" t="s">
        <v>74</v>
      </c>
      <c r="BS154" s="2" t="s">
        <v>7745</v>
      </c>
      <c r="BT154" s="2" t="str">
        <f>HYPERLINK("https%3A%2F%2Fwww.webofscience.com%2Fwos%2Fwoscc%2Ffull-record%2FWOS:000272700800009","View Full Record in Web of Science")</f>
        <v>View Full Record in Web of Science</v>
      </c>
    </row>
    <row r="155" spans="1:72" s="2" customFormat="1" x14ac:dyDescent="0.4">
      <c r="A155" s="2" t="s">
        <v>72</v>
      </c>
      <c r="B155" s="2" t="s">
        <v>2402</v>
      </c>
      <c r="C155" s="2" t="s">
        <v>74</v>
      </c>
      <c r="D155" s="2" t="s">
        <v>74</v>
      </c>
      <c r="E155" s="2" t="s">
        <v>74</v>
      </c>
      <c r="F155" s="2" t="s">
        <v>2403</v>
      </c>
      <c r="G155" s="2" t="s">
        <v>74</v>
      </c>
      <c r="H155" s="2" t="s">
        <v>74</v>
      </c>
      <c r="I155" s="2" t="s">
        <v>2404</v>
      </c>
      <c r="J155" s="2" t="s">
        <v>2405</v>
      </c>
      <c r="K155" s="2" t="s">
        <v>74</v>
      </c>
      <c r="L155" s="2" t="s">
        <v>74</v>
      </c>
      <c r="M155" s="2" t="s">
        <v>74</v>
      </c>
      <c r="N155" s="2" t="s">
        <v>74</v>
      </c>
      <c r="O155" s="2" t="s">
        <v>74</v>
      </c>
      <c r="P155" s="2" t="s">
        <v>74</v>
      </c>
      <c r="Q155" s="2" t="s">
        <v>74</v>
      </c>
      <c r="R155" s="2" t="s">
        <v>74</v>
      </c>
      <c r="S155" s="2" t="s">
        <v>74</v>
      </c>
      <c r="T155" s="2" t="s">
        <v>74</v>
      </c>
      <c r="U155" s="2" t="s">
        <v>74</v>
      </c>
      <c r="V155" s="5" t="s">
        <v>2406</v>
      </c>
      <c r="W155" s="2" t="s">
        <v>74</v>
      </c>
      <c r="X155" s="2" t="s">
        <v>74</v>
      </c>
      <c r="Y155" s="2" t="s">
        <v>74</v>
      </c>
      <c r="Z155" s="2" t="s">
        <v>74</v>
      </c>
      <c r="AA155" s="2" t="s">
        <v>2407</v>
      </c>
      <c r="AB155" s="2" t="s">
        <v>74</v>
      </c>
      <c r="AC155" s="2" t="s">
        <v>74</v>
      </c>
      <c r="AD155" s="2" t="s">
        <v>74</v>
      </c>
      <c r="AE155" s="2" t="s">
        <v>74</v>
      </c>
      <c r="AF155" s="2" t="s">
        <v>74</v>
      </c>
      <c r="AG155" s="2" t="s">
        <v>74</v>
      </c>
      <c r="AH155" s="2" t="s">
        <v>74</v>
      </c>
      <c r="AI155" s="2" t="s">
        <v>74</v>
      </c>
      <c r="AJ155" s="2" t="s">
        <v>74</v>
      </c>
      <c r="AK155" s="2" t="s">
        <v>74</v>
      </c>
      <c r="AL155" s="2" t="s">
        <v>74</v>
      </c>
      <c r="AM155" s="2" t="s">
        <v>74</v>
      </c>
      <c r="AN155" s="2" t="s">
        <v>74</v>
      </c>
      <c r="AO155" s="2" t="s">
        <v>2408</v>
      </c>
      <c r="AP155" s="2" t="s">
        <v>2409</v>
      </c>
      <c r="AQ155" s="2" t="s">
        <v>74</v>
      </c>
      <c r="AR155" s="2" t="s">
        <v>74</v>
      </c>
      <c r="AS155" s="2" t="s">
        <v>74</v>
      </c>
      <c r="AT155" s="2" t="s">
        <v>123</v>
      </c>
      <c r="AU155" s="2">
        <v>2021</v>
      </c>
      <c r="AV155" s="2">
        <v>40</v>
      </c>
      <c r="AW155" s="2">
        <v>2</v>
      </c>
      <c r="AX155" s="2" t="s">
        <v>74</v>
      </c>
      <c r="AY155" s="2" t="s">
        <v>74</v>
      </c>
      <c r="AZ155" s="2" t="s">
        <v>74</v>
      </c>
      <c r="BA155" s="2" t="s">
        <v>74</v>
      </c>
      <c r="BB155" s="2">
        <v>160</v>
      </c>
      <c r="BC155" s="2">
        <v>168</v>
      </c>
      <c r="BD155" s="2" t="s">
        <v>74</v>
      </c>
      <c r="BE155" s="2" t="s">
        <v>2410</v>
      </c>
      <c r="BF155" s="2" t="str">
        <f>HYPERLINK("http://dx.doi.org/10.1002/zoo.21583","http://dx.doi.org/10.1002/zoo.21583")</f>
        <v>http://dx.doi.org/10.1002/zoo.21583</v>
      </c>
      <c r="BG155" s="2" t="s">
        <v>74</v>
      </c>
      <c r="BH155" s="2" t="s">
        <v>2411</v>
      </c>
      <c r="BI155" s="2" t="s">
        <v>74</v>
      </c>
      <c r="BJ155" s="2" t="s">
        <v>74</v>
      </c>
      <c r="BK155" s="2" t="s">
        <v>74</v>
      </c>
      <c r="BL155" s="2" t="s">
        <v>74</v>
      </c>
      <c r="BM155" s="2" t="s">
        <v>74</v>
      </c>
      <c r="BN155" s="2">
        <v>33544907</v>
      </c>
      <c r="BO155" s="2" t="s">
        <v>74</v>
      </c>
      <c r="BP155" s="2" t="s">
        <v>74</v>
      </c>
      <c r="BQ155" s="2" t="s">
        <v>74</v>
      </c>
      <c r="BR155" s="2" t="s">
        <v>74</v>
      </c>
      <c r="BS155" s="2" t="s">
        <v>2412</v>
      </c>
      <c r="BT155" s="2" t="str">
        <f>HYPERLINK("https%3A%2F%2Fwww.webofscience.com%2Fwos%2Fwoscc%2Ffull-record%2FWOS:000614925000001","View Full Record in Web of Science")</f>
        <v>View Full Record in Web of Science</v>
      </c>
    </row>
    <row r="156" spans="1:72" s="2" customFormat="1" x14ac:dyDescent="0.4">
      <c r="A156" s="2" t="s">
        <v>72</v>
      </c>
      <c r="B156" s="2" t="s">
        <v>8620</v>
      </c>
      <c r="C156" s="2" t="s">
        <v>74</v>
      </c>
      <c r="D156" s="2" t="s">
        <v>74</v>
      </c>
      <c r="E156" s="2" t="s">
        <v>74</v>
      </c>
      <c r="F156" s="2" t="s">
        <v>8621</v>
      </c>
      <c r="G156" s="2" t="s">
        <v>74</v>
      </c>
      <c r="H156" s="2" t="s">
        <v>74</v>
      </c>
      <c r="I156" s="2" t="s">
        <v>8622</v>
      </c>
      <c r="J156" s="2" t="s">
        <v>763</v>
      </c>
      <c r="K156" s="2" t="s">
        <v>74</v>
      </c>
      <c r="L156" s="2" t="s">
        <v>74</v>
      </c>
      <c r="M156" s="2" t="s">
        <v>74</v>
      </c>
      <c r="N156" s="2" t="s">
        <v>74</v>
      </c>
      <c r="O156" s="2" t="s">
        <v>74</v>
      </c>
      <c r="P156" s="2" t="s">
        <v>74</v>
      </c>
      <c r="Q156" s="2" t="s">
        <v>74</v>
      </c>
      <c r="R156" s="2" t="s">
        <v>74</v>
      </c>
      <c r="S156" s="2" t="s">
        <v>74</v>
      </c>
      <c r="T156" s="2" t="s">
        <v>74</v>
      </c>
      <c r="U156" s="2" t="s">
        <v>74</v>
      </c>
      <c r="V156" s="5" t="s">
        <v>8623</v>
      </c>
      <c r="W156" s="2" t="s">
        <v>74</v>
      </c>
      <c r="X156" s="2" t="s">
        <v>74</v>
      </c>
      <c r="Y156" s="2" t="s">
        <v>74</v>
      </c>
      <c r="Z156" s="2" t="s">
        <v>74</v>
      </c>
      <c r="AA156" s="2" t="s">
        <v>8624</v>
      </c>
      <c r="AB156" s="2" t="s">
        <v>8625</v>
      </c>
      <c r="AC156" s="2" t="s">
        <v>74</v>
      </c>
      <c r="AD156" s="2" t="s">
        <v>74</v>
      </c>
      <c r="AE156" s="2" t="s">
        <v>74</v>
      </c>
      <c r="AF156" s="2" t="s">
        <v>74</v>
      </c>
      <c r="AG156" s="2" t="s">
        <v>74</v>
      </c>
      <c r="AH156" s="2" t="s">
        <v>74</v>
      </c>
      <c r="AI156" s="2" t="s">
        <v>74</v>
      </c>
      <c r="AJ156" s="2" t="s">
        <v>74</v>
      </c>
      <c r="AK156" s="2" t="s">
        <v>74</v>
      </c>
      <c r="AL156" s="2" t="s">
        <v>74</v>
      </c>
      <c r="AM156" s="2" t="s">
        <v>74</v>
      </c>
      <c r="AN156" s="2" t="s">
        <v>74</v>
      </c>
      <c r="AO156" s="2" t="s">
        <v>767</v>
      </c>
      <c r="AP156" s="2" t="s">
        <v>768</v>
      </c>
      <c r="AQ156" s="2" t="s">
        <v>74</v>
      </c>
      <c r="AR156" s="2" t="s">
        <v>74</v>
      </c>
      <c r="AS156" s="2" t="s">
        <v>74</v>
      </c>
      <c r="AT156" s="2" t="s">
        <v>175</v>
      </c>
      <c r="AU156" s="2">
        <v>2021</v>
      </c>
      <c r="AV156" s="2">
        <v>224</v>
      </c>
      <c r="AW156" s="2">
        <v>20</v>
      </c>
      <c r="AX156" s="2" t="s">
        <v>74</v>
      </c>
      <c r="AY156" s="2" t="s">
        <v>74</v>
      </c>
      <c r="AZ156" s="2" t="s">
        <v>74</v>
      </c>
      <c r="BA156" s="2" t="s">
        <v>74</v>
      </c>
      <c r="BB156" s="2" t="s">
        <v>74</v>
      </c>
      <c r="BC156" s="2" t="s">
        <v>74</v>
      </c>
      <c r="BD156" s="2" t="s">
        <v>8626</v>
      </c>
      <c r="BE156" s="2" t="s">
        <v>8627</v>
      </c>
      <c r="BF156" s="2" t="str">
        <f>HYPERLINK("http://dx.doi.org/10.1242/jeb.242784","http://dx.doi.org/10.1242/jeb.242784")</f>
        <v>http://dx.doi.org/10.1242/jeb.242784</v>
      </c>
      <c r="BG156" s="2" t="s">
        <v>74</v>
      </c>
      <c r="BH156" s="2" t="s">
        <v>74</v>
      </c>
      <c r="BI156" s="2" t="s">
        <v>74</v>
      </c>
      <c r="BJ156" s="2" t="s">
        <v>74</v>
      </c>
      <c r="BK156" s="2" t="s">
        <v>74</v>
      </c>
      <c r="BL156" s="2" t="s">
        <v>74</v>
      </c>
      <c r="BM156" s="2" t="s">
        <v>74</v>
      </c>
      <c r="BN156" s="2">
        <v>34605911</v>
      </c>
      <c r="BO156" s="2" t="s">
        <v>74</v>
      </c>
      <c r="BP156" s="2" t="s">
        <v>74</v>
      </c>
      <c r="BQ156" s="2" t="s">
        <v>74</v>
      </c>
      <c r="BR156" s="2" t="s">
        <v>74</v>
      </c>
      <c r="BS156" s="2" t="s">
        <v>8628</v>
      </c>
      <c r="BT156" s="2" t="str">
        <f>HYPERLINK("https%3A%2F%2Fwww.webofscience.com%2Fwos%2Fwoscc%2Ffull-record%2FWOS:000715883300008","View Full Record in Web of Science")</f>
        <v>View Full Record in Web of Science</v>
      </c>
    </row>
    <row r="157" spans="1:72" s="2" customFormat="1" x14ac:dyDescent="0.4">
      <c r="A157" s="2" t="s">
        <v>72</v>
      </c>
      <c r="B157" s="2" t="s">
        <v>1403</v>
      </c>
      <c r="C157" s="2" t="s">
        <v>74</v>
      </c>
      <c r="D157" s="2" t="s">
        <v>74</v>
      </c>
      <c r="E157" s="2" t="s">
        <v>74</v>
      </c>
      <c r="F157" s="2" t="s">
        <v>1404</v>
      </c>
      <c r="G157" s="2" t="s">
        <v>74</v>
      </c>
      <c r="H157" s="2" t="s">
        <v>74</v>
      </c>
      <c r="I157" s="2" t="s">
        <v>1405</v>
      </c>
      <c r="J157" s="2" t="s">
        <v>397</v>
      </c>
      <c r="K157" s="2" t="s">
        <v>74</v>
      </c>
      <c r="L157" s="2" t="s">
        <v>74</v>
      </c>
      <c r="M157" s="2" t="s">
        <v>74</v>
      </c>
      <c r="N157" s="2" t="s">
        <v>74</v>
      </c>
      <c r="O157" s="2" t="s">
        <v>74</v>
      </c>
      <c r="P157" s="2" t="s">
        <v>74</v>
      </c>
      <c r="Q157" s="2" t="s">
        <v>74</v>
      </c>
      <c r="R157" s="2" t="s">
        <v>74</v>
      </c>
      <c r="S157" s="2" t="s">
        <v>74</v>
      </c>
      <c r="T157" s="2" t="s">
        <v>74</v>
      </c>
      <c r="U157" s="2" t="s">
        <v>74</v>
      </c>
      <c r="V157" s="5" t="s">
        <v>1406</v>
      </c>
      <c r="W157" s="2" t="s">
        <v>74</v>
      </c>
      <c r="X157" s="2" t="s">
        <v>74</v>
      </c>
      <c r="Y157" s="2" t="s">
        <v>74</v>
      </c>
      <c r="Z157" s="2" t="s">
        <v>74</v>
      </c>
      <c r="AA157" s="2" t="s">
        <v>74</v>
      </c>
      <c r="AB157" s="2" t="s">
        <v>1407</v>
      </c>
      <c r="AC157" s="2" t="s">
        <v>74</v>
      </c>
      <c r="AD157" s="2" t="s">
        <v>74</v>
      </c>
      <c r="AE157" s="2" t="s">
        <v>74</v>
      </c>
      <c r="AF157" s="2" t="s">
        <v>74</v>
      </c>
      <c r="AG157" s="2" t="s">
        <v>74</v>
      </c>
      <c r="AH157" s="2" t="s">
        <v>74</v>
      </c>
      <c r="AI157" s="2" t="s">
        <v>74</v>
      </c>
      <c r="AJ157" s="2" t="s">
        <v>74</v>
      </c>
      <c r="AK157" s="2" t="s">
        <v>74</v>
      </c>
      <c r="AL157" s="2" t="s">
        <v>74</v>
      </c>
      <c r="AM157" s="2" t="s">
        <v>74</v>
      </c>
      <c r="AN157" s="2" t="s">
        <v>74</v>
      </c>
      <c r="AO157" s="2" t="s">
        <v>401</v>
      </c>
      <c r="AP157" s="2" t="s">
        <v>402</v>
      </c>
      <c r="AQ157" s="2" t="s">
        <v>74</v>
      </c>
      <c r="AR157" s="2" t="s">
        <v>74</v>
      </c>
      <c r="AS157" s="2" t="s">
        <v>74</v>
      </c>
      <c r="AT157" s="2" t="s">
        <v>204</v>
      </c>
      <c r="AU157" s="2">
        <v>2020</v>
      </c>
      <c r="AV157" s="2">
        <v>19</v>
      </c>
      <c r="AW157" s="2">
        <v>6</v>
      </c>
      <c r="AX157" s="2" t="s">
        <v>74</v>
      </c>
      <c r="AY157" s="2" t="s">
        <v>74</v>
      </c>
      <c r="AZ157" s="2" t="s">
        <v>74</v>
      </c>
      <c r="BA157" s="2" t="s">
        <v>74</v>
      </c>
      <c r="BB157" s="2" t="s">
        <v>74</v>
      </c>
      <c r="BC157" s="2" t="s">
        <v>74</v>
      </c>
      <c r="BD157" s="2" t="s">
        <v>1408</v>
      </c>
      <c r="BE157" s="2" t="s">
        <v>1409</v>
      </c>
      <c r="BF157" s="2" t="str">
        <f>HYPERLINK("http://dx.doi.org/10.1111/gbb.12657","http://dx.doi.org/10.1111/gbb.12657")</f>
        <v>http://dx.doi.org/10.1111/gbb.12657</v>
      </c>
      <c r="BG157" s="2" t="s">
        <v>74</v>
      </c>
      <c r="BH157" s="2" t="s">
        <v>1410</v>
      </c>
      <c r="BI157" s="2" t="s">
        <v>74</v>
      </c>
      <c r="BJ157" s="2" t="s">
        <v>74</v>
      </c>
      <c r="BK157" s="2" t="s">
        <v>74</v>
      </c>
      <c r="BL157" s="2" t="s">
        <v>74</v>
      </c>
      <c r="BM157" s="2" t="s">
        <v>74</v>
      </c>
      <c r="BN157" s="2">
        <v>32323443</v>
      </c>
      <c r="BO157" s="2" t="s">
        <v>74</v>
      </c>
      <c r="BP157" s="2" t="s">
        <v>74</v>
      </c>
      <c r="BQ157" s="2" t="s">
        <v>74</v>
      </c>
      <c r="BR157" s="2" t="s">
        <v>74</v>
      </c>
      <c r="BS157" s="2" t="s">
        <v>1411</v>
      </c>
      <c r="BT157" s="2" t="str">
        <f>HYPERLINK("https%3A%2F%2Fwww.webofscience.com%2Fwos%2Fwoscc%2Ffull-record%2FWOS:000530887300001","View Full Record in Web of Science")</f>
        <v>View Full Record in Web of Science</v>
      </c>
    </row>
    <row r="158" spans="1:72" s="2" customFormat="1" x14ac:dyDescent="0.4">
      <c r="A158" s="2" t="s">
        <v>72</v>
      </c>
      <c r="B158" s="2" t="s">
        <v>8390</v>
      </c>
      <c r="C158" s="2" t="s">
        <v>74</v>
      </c>
      <c r="D158" s="2" t="s">
        <v>74</v>
      </c>
      <c r="E158" s="2" t="s">
        <v>74</v>
      </c>
      <c r="F158" s="2" t="s">
        <v>8391</v>
      </c>
      <c r="G158" s="2" t="s">
        <v>74</v>
      </c>
      <c r="H158" s="2" t="s">
        <v>74</v>
      </c>
      <c r="I158" s="2" t="s">
        <v>8392</v>
      </c>
      <c r="J158" s="2" t="s">
        <v>140</v>
      </c>
      <c r="K158" s="2" t="s">
        <v>74</v>
      </c>
      <c r="L158" s="2" t="s">
        <v>74</v>
      </c>
      <c r="M158" s="2" t="s">
        <v>74</v>
      </c>
      <c r="N158" s="2" t="s">
        <v>74</v>
      </c>
      <c r="O158" s="2" t="s">
        <v>74</v>
      </c>
      <c r="P158" s="2" t="s">
        <v>74</v>
      </c>
      <c r="Q158" s="2" t="s">
        <v>74</v>
      </c>
      <c r="R158" s="2" t="s">
        <v>74</v>
      </c>
      <c r="S158" s="2" t="s">
        <v>74</v>
      </c>
      <c r="T158" s="2" t="s">
        <v>74</v>
      </c>
      <c r="U158" s="2" t="s">
        <v>74</v>
      </c>
      <c r="V158" s="5" t="s">
        <v>8393</v>
      </c>
      <c r="W158" s="2" t="s">
        <v>74</v>
      </c>
      <c r="X158" s="2" t="s">
        <v>74</v>
      </c>
      <c r="Y158" s="2" t="s">
        <v>74</v>
      </c>
      <c r="Z158" s="2" t="s">
        <v>74</v>
      </c>
      <c r="AA158" s="2" t="s">
        <v>8394</v>
      </c>
      <c r="AB158" s="2" t="s">
        <v>8395</v>
      </c>
      <c r="AC158" s="2" t="s">
        <v>74</v>
      </c>
      <c r="AD158" s="2" t="s">
        <v>74</v>
      </c>
      <c r="AE158" s="2" t="s">
        <v>74</v>
      </c>
      <c r="AF158" s="2" t="s">
        <v>74</v>
      </c>
      <c r="AG158" s="2" t="s">
        <v>74</v>
      </c>
      <c r="AH158" s="2" t="s">
        <v>74</v>
      </c>
      <c r="AI158" s="2" t="s">
        <v>74</v>
      </c>
      <c r="AJ158" s="2" t="s">
        <v>74</v>
      </c>
      <c r="AK158" s="2" t="s">
        <v>74</v>
      </c>
      <c r="AL158" s="2" t="s">
        <v>74</v>
      </c>
      <c r="AM158" s="2" t="s">
        <v>74</v>
      </c>
      <c r="AN158" s="2" t="s">
        <v>74</v>
      </c>
      <c r="AO158" s="2" t="s">
        <v>143</v>
      </c>
      <c r="AP158" s="2" t="s">
        <v>144</v>
      </c>
      <c r="AQ158" s="2" t="s">
        <v>74</v>
      </c>
      <c r="AR158" s="2" t="s">
        <v>74</v>
      </c>
      <c r="AS158" s="2" t="s">
        <v>74</v>
      </c>
      <c r="AT158" s="2" t="s">
        <v>102</v>
      </c>
      <c r="AU158" s="2">
        <v>2020</v>
      </c>
      <c r="AV158" s="2">
        <v>164</v>
      </c>
      <c r="AW158" s="2" t="s">
        <v>74</v>
      </c>
      <c r="AX158" s="2" t="s">
        <v>74</v>
      </c>
      <c r="AY158" s="2" t="s">
        <v>74</v>
      </c>
      <c r="AZ158" s="2" t="s">
        <v>74</v>
      </c>
      <c r="BA158" s="2" t="s">
        <v>74</v>
      </c>
      <c r="BB158" s="2">
        <v>91</v>
      </c>
      <c r="BC158" s="2">
        <v>98</v>
      </c>
      <c r="BD158" s="2" t="s">
        <v>74</v>
      </c>
      <c r="BE158" s="2" t="s">
        <v>8396</v>
      </c>
      <c r="BF158" s="2" t="str">
        <f>HYPERLINK("http://dx.doi.org/10.1016/j.anbehav.2020.04.002","http://dx.doi.org/10.1016/j.anbehav.2020.04.002")</f>
        <v>http://dx.doi.org/10.1016/j.anbehav.2020.04.002</v>
      </c>
      <c r="BG158" s="2" t="s">
        <v>74</v>
      </c>
      <c r="BH158" s="2" t="s">
        <v>74</v>
      </c>
      <c r="BI158" s="2" t="s">
        <v>74</v>
      </c>
      <c r="BJ158" s="2" t="s">
        <v>74</v>
      </c>
      <c r="BK158" s="2" t="s">
        <v>74</v>
      </c>
      <c r="BL158" s="2" t="s">
        <v>74</v>
      </c>
      <c r="BM158" s="2" t="s">
        <v>74</v>
      </c>
      <c r="BN158" s="2" t="s">
        <v>74</v>
      </c>
      <c r="BO158" s="2" t="s">
        <v>74</v>
      </c>
      <c r="BP158" s="2" t="s">
        <v>74</v>
      </c>
      <c r="BQ158" s="2" t="s">
        <v>74</v>
      </c>
      <c r="BR158" s="2" t="s">
        <v>74</v>
      </c>
      <c r="BS158" s="2" t="s">
        <v>8397</v>
      </c>
      <c r="BT158" s="2" t="str">
        <f>HYPERLINK("https%3A%2F%2Fwww.webofscience.com%2Fwos%2Fwoscc%2Ffull-record%2FWOS:000539211900009","View Full Record in Web of Science")</f>
        <v>View Full Record in Web of Science</v>
      </c>
    </row>
    <row r="159" spans="1:72" s="2" customFormat="1" x14ac:dyDescent="0.4">
      <c r="A159" s="2" t="s">
        <v>72</v>
      </c>
      <c r="B159" s="2" t="s">
        <v>4137</v>
      </c>
      <c r="C159" s="2" t="s">
        <v>74</v>
      </c>
      <c r="D159" s="2" t="s">
        <v>74</v>
      </c>
      <c r="E159" s="2" t="s">
        <v>74</v>
      </c>
      <c r="F159" s="2" t="s">
        <v>4137</v>
      </c>
      <c r="G159" s="2" t="s">
        <v>74</v>
      </c>
      <c r="H159" s="2" t="s">
        <v>74</v>
      </c>
      <c r="I159" s="2" t="s">
        <v>4138</v>
      </c>
      <c r="J159" s="2" t="s">
        <v>4139</v>
      </c>
      <c r="K159" s="2" t="s">
        <v>74</v>
      </c>
      <c r="L159" s="2" t="s">
        <v>74</v>
      </c>
      <c r="M159" s="2" t="s">
        <v>74</v>
      </c>
      <c r="N159" s="2" t="s">
        <v>74</v>
      </c>
      <c r="O159" s="2" t="s">
        <v>74</v>
      </c>
      <c r="P159" s="2" t="s">
        <v>74</v>
      </c>
      <c r="Q159" s="2" t="s">
        <v>74</v>
      </c>
      <c r="R159" s="2" t="s">
        <v>74</v>
      </c>
      <c r="S159" s="2" t="s">
        <v>74</v>
      </c>
      <c r="T159" s="2" t="s">
        <v>74</v>
      </c>
      <c r="U159" s="2" t="s">
        <v>74</v>
      </c>
      <c r="V159" s="5" t="s">
        <v>4140</v>
      </c>
      <c r="W159" s="2" t="s">
        <v>74</v>
      </c>
      <c r="X159" s="2" t="s">
        <v>74</v>
      </c>
      <c r="Y159" s="2" t="s">
        <v>74</v>
      </c>
      <c r="Z159" s="2" t="s">
        <v>74</v>
      </c>
      <c r="AA159" s="2" t="s">
        <v>74</v>
      </c>
      <c r="AB159" s="2" t="s">
        <v>74</v>
      </c>
      <c r="AC159" s="2" t="s">
        <v>74</v>
      </c>
      <c r="AD159" s="2" t="s">
        <v>74</v>
      </c>
      <c r="AE159" s="2" t="s">
        <v>74</v>
      </c>
      <c r="AF159" s="2" t="s">
        <v>74</v>
      </c>
      <c r="AG159" s="2" t="s">
        <v>74</v>
      </c>
      <c r="AH159" s="2" t="s">
        <v>74</v>
      </c>
      <c r="AI159" s="2" t="s">
        <v>74</v>
      </c>
      <c r="AJ159" s="2" t="s">
        <v>74</v>
      </c>
      <c r="AK159" s="2" t="s">
        <v>74</v>
      </c>
      <c r="AL159" s="2" t="s">
        <v>74</v>
      </c>
      <c r="AM159" s="2" t="s">
        <v>74</v>
      </c>
      <c r="AN159" s="2" t="s">
        <v>74</v>
      </c>
      <c r="AO159" s="2" t="s">
        <v>4141</v>
      </c>
      <c r="AP159" s="2" t="s">
        <v>74</v>
      </c>
      <c r="AQ159" s="2" t="s">
        <v>74</v>
      </c>
      <c r="AR159" s="2" t="s">
        <v>74</v>
      </c>
      <c r="AS159" s="2" t="s">
        <v>74</v>
      </c>
      <c r="AT159" s="2" t="s">
        <v>74</v>
      </c>
      <c r="AU159" s="2">
        <v>1992</v>
      </c>
      <c r="AV159" s="2">
        <v>32</v>
      </c>
      <c r="AW159" s="2">
        <v>1</v>
      </c>
      <c r="AX159" s="2" t="s">
        <v>74</v>
      </c>
      <c r="AY159" s="2" t="s">
        <v>74</v>
      </c>
      <c r="AZ159" s="2" t="s">
        <v>74</v>
      </c>
      <c r="BA159" s="2" t="s">
        <v>74</v>
      </c>
      <c r="BB159" s="2">
        <v>91</v>
      </c>
      <c r="BC159" s="2">
        <v>99</v>
      </c>
      <c r="BD159" s="2" t="s">
        <v>74</v>
      </c>
      <c r="BE159" s="2" t="s">
        <v>74</v>
      </c>
      <c r="BF159" s="2" t="s">
        <v>74</v>
      </c>
      <c r="BG159" s="2" t="s">
        <v>74</v>
      </c>
      <c r="BH159" s="2" t="s">
        <v>74</v>
      </c>
      <c r="BI159" s="2" t="s">
        <v>74</v>
      </c>
      <c r="BJ159" s="2" t="s">
        <v>74</v>
      </c>
      <c r="BK159" s="2" t="s">
        <v>74</v>
      </c>
      <c r="BL159" s="2" t="s">
        <v>74</v>
      </c>
      <c r="BM159" s="2" t="s">
        <v>74</v>
      </c>
      <c r="BN159" s="2" t="s">
        <v>74</v>
      </c>
      <c r="BO159" s="2" t="s">
        <v>74</v>
      </c>
      <c r="BP159" s="2" t="s">
        <v>74</v>
      </c>
      <c r="BQ159" s="2" t="s">
        <v>74</v>
      </c>
      <c r="BR159" s="2" t="s">
        <v>74</v>
      </c>
      <c r="BS159" s="2" t="s">
        <v>4142</v>
      </c>
      <c r="BT159" s="2" t="str">
        <f>HYPERLINK("https%3A%2F%2Fwww.webofscience.com%2Fwos%2Fwoscc%2Ffull-record%2FWOS:A1992JK51200010","View Full Record in Web of Science")</f>
        <v>View Full Record in Web of Science</v>
      </c>
    </row>
    <row r="160" spans="1:72" s="2" customFormat="1" x14ac:dyDescent="0.4">
      <c r="A160" s="2" t="s">
        <v>72</v>
      </c>
      <c r="B160" s="2" t="s">
        <v>4137</v>
      </c>
      <c r="C160" s="2" t="s">
        <v>74</v>
      </c>
      <c r="D160" s="2" t="s">
        <v>74</v>
      </c>
      <c r="E160" s="2" t="s">
        <v>74</v>
      </c>
      <c r="F160" s="2" t="s">
        <v>4137</v>
      </c>
      <c r="G160" s="2" t="s">
        <v>74</v>
      </c>
      <c r="H160" s="2" t="s">
        <v>74</v>
      </c>
      <c r="I160" s="2" t="s">
        <v>7408</v>
      </c>
      <c r="J160" s="2" t="s">
        <v>344</v>
      </c>
      <c r="K160" s="2" t="s">
        <v>74</v>
      </c>
      <c r="L160" s="2" t="s">
        <v>74</v>
      </c>
      <c r="M160" s="2" t="s">
        <v>74</v>
      </c>
      <c r="N160" s="2" t="s">
        <v>74</v>
      </c>
      <c r="O160" s="2" t="s">
        <v>74</v>
      </c>
      <c r="P160" s="2" t="s">
        <v>74</v>
      </c>
      <c r="Q160" s="2" t="s">
        <v>74</v>
      </c>
      <c r="R160" s="2" t="s">
        <v>74</v>
      </c>
      <c r="S160" s="2" t="s">
        <v>74</v>
      </c>
      <c r="T160" s="2" t="s">
        <v>74</v>
      </c>
      <c r="U160" s="2" t="s">
        <v>74</v>
      </c>
      <c r="V160" s="5" t="s">
        <v>7409</v>
      </c>
      <c r="W160" s="2" t="s">
        <v>74</v>
      </c>
      <c r="X160" s="2" t="s">
        <v>74</v>
      </c>
      <c r="Y160" s="2" t="s">
        <v>74</v>
      </c>
      <c r="Z160" s="2" t="s">
        <v>74</v>
      </c>
      <c r="AA160" s="2" t="s">
        <v>74</v>
      </c>
      <c r="AB160" s="2" t="s">
        <v>74</v>
      </c>
      <c r="AC160" s="2" t="s">
        <v>74</v>
      </c>
      <c r="AD160" s="2" t="s">
        <v>74</v>
      </c>
      <c r="AE160" s="2" t="s">
        <v>74</v>
      </c>
      <c r="AF160" s="2" t="s">
        <v>74</v>
      </c>
      <c r="AG160" s="2" t="s">
        <v>74</v>
      </c>
      <c r="AH160" s="2" t="s">
        <v>74</v>
      </c>
      <c r="AI160" s="2" t="s">
        <v>74</v>
      </c>
      <c r="AJ160" s="2" t="s">
        <v>74</v>
      </c>
      <c r="AK160" s="2" t="s">
        <v>74</v>
      </c>
      <c r="AL160" s="2" t="s">
        <v>74</v>
      </c>
      <c r="AM160" s="2" t="s">
        <v>74</v>
      </c>
      <c r="AN160" s="2" t="s">
        <v>74</v>
      </c>
      <c r="AO160" s="2" t="s">
        <v>346</v>
      </c>
      <c r="AP160" s="2" t="s">
        <v>6569</v>
      </c>
      <c r="AQ160" s="2" t="s">
        <v>74</v>
      </c>
      <c r="AR160" s="2" t="s">
        <v>74</v>
      </c>
      <c r="AS160" s="2" t="s">
        <v>74</v>
      </c>
      <c r="AT160" s="2" t="s">
        <v>213</v>
      </c>
      <c r="AU160" s="2">
        <v>1987</v>
      </c>
      <c r="AV160" s="2">
        <v>20</v>
      </c>
      <c r="AW160" s="2">
        <v>3</v>
      </c>
      <c r="AX160" s="2" t="s">
        <v>74</v>
      </c>
      <c r="AY160" s="2" t="s">
        <v>74</v>
      </c>
      <c r="AZ160" s="2" t="s">
        <v>74</v>
      </c>
      <c r="BA160" s="2" t="s">
        <v>74</v>
      </c>
      <c r="BB160" s="2">
        <v>183</v>
      </c>
      <c r="BC160" s="2">
        <v>194</v>
      </c>
      <c r="BD160" s="2" t="s">
        <v>74</v>
      </c>
      <c r="BE160" s="2" t="s">
        <v>7410</v>
      </c>
      <c r="BF160" s="2" t="str">
        <f>HYPERLINK("http://dx.doi.org/10.1007/BF00004953","http://dx.doi.org/10.1007/BF00004953")</f>
        <v>http://dx.doi.org/10.1007/BF00004953</v>
      </c>
      <c r="BG160" s="2" t="s">
        <v>74</v>
      </c>
      <c r="BH160" s="2" t="s">
        <v>74</v>
      </c>
      <c r="BI160" s="2" t="s">
        <v>74</v>
      </c>
      <c r="BJ160" s="2" t="s">
        <v>74</v>
      </c>
      <c r="BK160" s="2" t="s">
        <v>74</v>
      </c>
      <c r="BL160" s="2" t="s">
        <v>74</v>
      </c>
      <c r="BM160" s="2" t="s">
        <v>74</v>
      </c>
      <c r="BN160" s="2" t="s">
        <v>74</v>
      </c>
      <c r="BO160" s="2" t="s">
        <v>74</v>
      </c>
      <c r="BP160" s="2" t="s">
        <v>74</v>
      </c>
      <c r="BQ160" s="2" t="s">
        <v>74</v>
      </c>
      <c r="BR160" s="2" t="s">
        <v>74</v>
      </c>
      <c r="BS160" s="2" t="s">
        <v>7411</v>
      </c>
      <c r="BT160" s="2" t="str">
        <f>HYPERLINK("https%3A%2F%2Fwww.webofscience.com%2Fwos%2Fwoscc%2Ffull-record%2FWOS:A1987K628700003","View Full Record in Web of Science")</f>
        <v>View Full Record in Web of Science</v>
      </c>
    </row>
    <row r="161" spans="1:72" s="2" customFormat="1" x14ac:dyDescent="0.4">
      <c r="A161" s="2" t="s">
        <v>72</v>
      </c>
      <c r="B161" s="2" t="s">
        <v>2808</v>
      </c>
      <c r="C161" s="2" t="s">
        <v>74</v>
      </c>
      <c r="D161" s="2" t="s">
        <v>74</v>
      </c>
      <c r="E161" s="2" t="s">
        <v>74</v>
      </c>
      <c r="F161" s="2" t="s">
        <v>2808</v>
      </c>
      <c r="G161" s="2" t="s">
        <v>74</v>
      </c>
      <c r="H161" s="2" t="s">
        <v>74</v>
      </c>
      <c r="I161" s="2" t="s">
        <v>2809</v>
      </c>
      <c r="J161" s="2" t="s">
        <v>77</v>
      </c>
      <c r="K161" s="2" t="s">
        <v>74</v>
      </c>
      <c r="L161" s="2" t="s">
        <v>74</v>
      </c>
      <c r="M161" s="2" t="s">
        <v>74</v>
      </c>
      <c r="N161" s="2" t="s">
        <v>74</v>
      </c>
      <c r="O161" s="2" t="s">
        <v>74</v>
      </c>
      <c r="P161" s="2" t="s">
        <v>74</v>
      </c>
      <c r="Q161" s="2" t="s">
        <v>74</v>
      </c>
      <c r="R161" s="2" t="s">
        <v>74</v>
      </c>
      <c r="S161" s="2" t="s">
        <v>74</v>
      </c>
      <c r="T161" s="2" t="s">
        <v>74</v>
      </c>
      <c r="U161" s="2" t="s">
        <v>74</v>
      </c>
      <c r="V161" s="5" t="s">
        <v>74</v>
      </c>
      <c r="W161" s="2" t="s">
        <v>74</v>
      </c>
      <c r="X161" s="2" t="s">
        <v>74</v>
      </c>
      <c r="Y161" s="2" t="s">
        <v>74</v>
      </c>
      <c r="Z161" s="2" t="s">
        <v>74</v>
      </c>
      <c r="AA161" s="2" t="s">
        <v>74</v>
      </c>
      <c r="AB161" s="2" t="s">
        <v>74</v>
      </c>
      <c r="AC161" s="2" t="s">
        <v>74</v>
      </c>
      <c r="AD161" s="2" t="s">
        <v>74</v>
      </c>
      <c r="AE161" s="2" t="s">
        <v>74</v>
      </c>
      <c r="AF161" s="2" t="s">
        <v>74</v>
      </c>
      <c r="AG161" s="2" t="s">
        <v>74</v>
      </c>
      <c r="AH161" s="2" t="s">
        <v>74</v>
      </c>
      <c r="AI161" s="2" t="s">
        <v>74</v>
      </c>
      <c r="AJ161" s="2" t="s">
        <v>74</v>
      </c>
      <c r="AK161" s="2" t="s">
        <v>74</v>
      </c>
      <c r="AL161" s="2" t="s">
        <v>74</v>
      </c>
      <c r="AM161" s="2" t="s">
        <v>74</v>
      </c>
      <c r="AN161" s="2" t="s">
        <v>74</v>
      </c>
      <c r="AO161" s="2" t="s">
        <v>81</v>
      </c>
      <c r="AP161" s="2" t="s">
        <v>74</v>
      </c>
      <c r="AQ161" s="2" t="s">
        <v>74</v>
      </c>
      <c r="AR161" s="2" t="s">
        <v>74</v>
      </c>
      <c r="AS161" s="2" t="s">
        <v>74</v>
      </c>
      <c r="AT161" s="2" t="s">
        <v>74</v>
      </c>
      <c r="AU161" s="2">
        <v>1975</v>
      </c>
      <c r="AV161" s="2">
        <v>54</v>
      </c>
      <c r="AW161" s="2" t="s">
        <v>74</v>
      </c>
      <c r="AX161" s="2" t="s">
        <v>74</v>
      </c>
      <c r="AY161" s="2" t="s">
        <v>74</v>
      </c>
      <c r="AZ161" s="2" t="s">
        <v>74</v>
      </c>
      <c r="BA161" s="2" t="s">
        <v>74</v>
      </c>
      <c r="BB161" s="2">
        <v>72</v>
      </c>
      <c r="BC161" s="2">
        <v>96</v>
      </c>
      <c r="BD161" s="2" t="s">
        <v>74</v>
      </c>
      <c r="BE161" s="2" t="s">
        <v>2810</v>
      </c>
      <c r="BF161" s="2" t="str">
        <f>HYPERLINK("http://dx.doi.org/10.1163/156853975X00344","http://dx.doi.org/10.1163/156853975X00344")</f>
        <v>http://dx.doi.org/10.1163/156853975X00344</v>
      </c>
      <c r="BG161" s="2" t="s">
        <v>74</v>
      </c>
      <c r="BH161" s="2" t="s">
        <v>74</v>
      </c>
      <c r="BI161" s="2" t="s">
        <v>74</v>
      </c>
      <c r="BJ161" s="2" t="s">
        <v>74</v>
      </c>
      <c r="BK161" s="2" t="s">
        <v>74</v>
      </c>
      <c r="BL161" s="2" t="s">
        <v>74</v>
      </c>
      <c r="BM161" s="2" t="s">
        <v>74</v>
      </c>
      <c r="BN161" s="2" t="s">
        <v>74</v>
      </c>
      <c r="BO161" s="2" t="s">
        <v>74</v>
      </c>
      <c r="BP161" s="2" t="s">
        <v>74</v>
      </c>
      <c r="BQ161" s="2" t="s">
        <v>74</v>
      </c>
      <c r="BR161" s="2" t="s">
        <v>74</v>
      </c>
      <c r="BS161" s="2" t="s">
        <v>2811</v>
      </c>
      <c r="BT161" s="2" t="str">
        <f>HYPERLINK("https%3A%2F%2Fwww.webofscience.com%2Fwos%2Fwoscc%2Ffull-record%2FWOS:A1975AN77800005","View Full Record in Web of Science")</f>
        <v>View Full Record in Web of Science</v>
      </c>
    </row>
    <row r="162" spans="1:72" s="2" customFormat="1" x14ac:dyDescent="0.4">
      <c r="A162" s="2" t="s">
        <v>72</v>
      </c>
      <c r="B162" s="2" t="s">
        <v>1316</v>
      </c>
      <c r="C162" s="2" t="s">
        <v>74</v>
      </c>
      <c r="D162" s="2" t="s">
        <v>74</v>
      </c>
      <c r="E162" s="2" t="s">
        <v>74</v>
      </c>
      <c r="F162" s="2" t="s">
        <v>1316</v>
      </c>
      <c r="G162" s="2" t="s">
        <v>74</v>
      </c>
      <c r="H162" s="2" t="s">
        <v>74</v>
      </c>
      <c r="I162" s="2" t="s">
        <v>1317</v>
      </c>
      <c r="J162" s="2" t="s">
        <v>77</v>
      </c>
      <c r="K162" s="2" t="s">
        <v>74</v>
      </c>
      <c r="L162" s="2" t="s">
        <v>74</v>
      </c>
      <c r="M162" s="2" t="s">
        <v>74</v>
      </c>
      <c r="N162" s="2" t="s">
        <v>74</v>
      </c>
      <c r="O162" s="2" t="s">
        <v>74</v>
      </c>
      <c r="P162" s="2" t="s">
        <v>74</v>
      </c>
      <c r="Q162" s="2" t="s">
        <v>74</v>
      </c>
      <c r="R162" s="2" t="s">
        <v>74</v>
      </c>
      <c r="S162" s="2" t="s">
        <v>74</v>
      </c>
      <c r="T162" s="2" t="s">
        <v>74</v>
      </c>
      <c r="U162" s="2" t="s">
        <v>74</v>
      </c>
      <c r="V162" s="5" t="s">
        <v>1318</v>
      </c>
      <c r="W162" s="2" t="s">
        <v>74</v>
      </c>
      <c r="X162" s="2" t="s">
        <v>74</v>
      </c>
      <c r="Y162" s="2" t="s">
        <v>74</v>
      </c>
      <c r="Z162" s="2" t="s">
        <v>74</v>
      </c>
      <c r="AA162" s="2" t="s">
        <v>74</v>
      </c>
      <c r="AB162" s="2" t="s">
        <v>74</v>
      </c>
      <c r="AC162" s="2" t="s">
        <v>74</v>
      </c>
      <c r="AD162" s="2" t="s">
        <v>74</v>
      </c>
      <c r="AE162" s="2" t="s">
        <v>74</v>
      </c>
      <c r="AF162" s="2" t="s">
        <v>74</v>
      </c>
      <c r="AG162" s="2" t="s">
        <v>74</v>
      </c>
      <c r="AH162" s="2" t="s">
        <v>74</v>
      </c>
      <c r="AI162" s="2" t="s">
        <v>74</v>
      </c>
      <c r="AJ162" s="2" t="s">
        <v>74</v>
      </c>
      <c r="AK162" s="2" t="s">
        <v>74</v>
      </c>
      <c r="AL162" s="2" t="s">
        <v>74</v>
      </c>
      <c r="AM162" s="2" t="s">
        <v>74</v>
      </c>
      <c r="AN162" s="2" t="s">
        <v>74</v>
      </c>
      <c r="AO162" s="2" t="s">
        <v>81</v>
      </c>
      <c r="AP162" s="2" t="s">
        <v>82</v>
      </c>
      <c r="AQ162" s="2" t="s">
        <v>74</v>
      </c>
      <c r="AR162" s="2" t="s">
        <v>74</v>
      </c>
      <c r="AS162" s="2" t="s">
        <v>74</v>
      </c>
      <c r="AT162" s="2" t="s">
        <v>74</v>
      </c>
      <c r="AU162" s="2">
        <v>1982</v>
      </c>
      <c r="AV162" s="2">
        <v>80</v>
      </c>
      <c r="AW162" s="2" t="s">
        <v>74</v>
      </c>
      <c r="AX162" s="2" t="s">
        <v>1276</v>
      </c>
      <c r="AY162" s="2" t="s">
        <v>74</v>
      </c>
      <c r="AZ162" s="2" t="s">
        <v>74</v>
      </c>
      <c r="BA162" s="2" t="s">
        <v>74</v>
      </c>
      <c r="BB162" s="2">
        <v>127</v>
      </c>
      <c r="BC162" s="2">
        <v>142</v>
      </c>
      <c r="BD162" s="2" t="s">
        <v>74</v>
      </c>
      <c r="BE162" s="2" t="s">
        <v>1319</v>
      </c>
      <c r="BF162" s="2" t="str">
        <f>HYPERLINK("http://dx.doi.org/10.1163/156853982X00328","http://dx.doi.org/10.1163/156853982X00328")</f>
        <v>http://dx.doi.org/10.1163/156853982X00328</v>
      </c>
      <c r="BG162" s="2" t="s">
        <v>74</v>
      </c>
      <c r="BH162" s="2" t="s">
        <v>74</v>
      </c>
      <c r="BI162" s="2" t="s">
        <v>74</v>
      </c>
      <c r="BJ162" s="2" t="s">
        <v>74</v>
      </c>
      <c r="BK162" s="2" t="s">
        <v>74</v>
      </c>
      <c r="BL162" s="2" t="s">
        <v>74</v>
      </c>
      <c r="BM162" s="2" t="s">
        <v>74</v>
      </c>
      <c r="BN162" s="2" t="s">
        <v>74</v>
      </c>
      <c r="BO162" s="2" t="s">
        <v>74</v>
      </c>
      <c r="BP162" s="2" t="s">
        <v>74</v>
      </c>
      <c r="BQ162" s="2" t="s">
        <v>74</v>
      </c>
      <c r="BR162" s="2" t="s">
        <v>74</v>
      </c>
      <c r="BS162" s="2" t="s">
        <v>1320</v>
      </c>
      <c r="BT162" s="2" t="str">
        <f>HYPERLINK("https%3A%2F%2Fwww.webofscience.com%2Fwos%2Fwoscc%2Ffull-record%2FWOS:A1982PH83900001","View Full Record in Web of Science")</f>
        <v>View Full Record in Web of Science</v>
      </c>
    </row>
    <row r="163" spans="1:72" s="2" customFormat="1" x14ac:dyDescent="0.4">
      <c r="A163" s="2" t="s">
        <v>72</v>
      </c>
      <c r="B163" s="2" t="s">
        <v>4331</v>
      </c>
      <c r="C163" s="2" t="s">
        <v>74</v>
      </c>
      <c r="D163" s="2" t="s">
        <v>74</v>
      </c>
      <c r="E163" s="2" t="s">
        <v>74</v>
      </c>
      <c r="F163" s="2" t="s">
        <v>4331</v>
      </c>
      <c r="G163" s="2" t="s">
        <v>74</v>
      </c>
      <c r="H163" s="2" t="s">
        <v>74</v>
      </c>
      <c r="I163" s="2" t="s">
        <v>4332</v>
      </c>
      <c r="J163" s="2" t="s">
        <v>4333</v>
      </c>
      <c r="K163" s="2" t="s">
        <v>74</v>
      </c>
      <c r="L163" s="2" t="s">
        <v>74</v>
      </c>
      <c r="M163" s="2" t="s">
        <v>74</v>
      </c>
      <c r="N163" s="2" t="s">
        <v>74</v>
      </c>
      <c r="O163" s="2" t="s">
        <v>74</v>
      </c>
      <c r="P163" s="2" t="s">
        <v>74</v>
      </c>
      <c r="Q163" s="2" t="s">
        <v>74</v>
      </c>
      <c r="R163" s="2" t="s">
        <v>74</v>
      </c>
      <c r="S163" s="2" t="s">
        <v>74</v>
      </c>
      <c r="T163" s="2" t="s">
        <v>74</v>
      </c>
      <c r="U163" s="2" t="s">
        <v>74</v>
      </c>
      <c r="V163" s="5" t="s">
        <v>4334</v>
      </c>
      <c r="W163" s="2" t="s">
        <v>74</v>
      </c>
      <c r="X163" s="2" t="s">
        <v>74</v>
      </c>
      <c r="Y163" s="2" t="s">
        <v>74</v>
      </c>
      <c r="Z163" s="2" t="s">
        <v>74</v>
      </c>
      <c r="AA163" s="2" t="s">
        <v>74</v>
      </c>
      <c r="AB163" s="2" t="s">
        <v>74</v>
      </c>
      <c r="AC163" s="2" t="s">
        <v>74</v>
      </c>
      <c r="AD163" s="2" t="s">
        <v>74</v>
      </c>
      <c r="AE163" s="2" t="s">
        <v>74</v>
      </c>
      <c r="AF163" s="2" t="s">
        <v>74</v>
      </c>
      <c r="AG163" s="2" t="s">
        <v>74</v>
      </c>
      <c r="AH163" s="2" t="s">
        <v>74</v>
      </c>
      <c r="AI163" s="2" t="s">
        <v>74</v>
      </c>
      <c r="AJ163" s="2" t="s">
        <v>74</v>
      </c>
      <c r="AK163" s="2" t="s">
        <v>74</v>
      </c>
      <c r="AL163" s="2" t="s">
        <v>74</v>
      </c>
      <c r="AM163" s="2" t="s">
        <v>74</v>
      </c>
      <c r="AN163" s="2" t="s">
        <v>74</v>
      </c>
      <c r="AO163" s="2" t="s">
        <v>4335</v>
      </c>
      <c r="AP163" s="2" t="s">
        <v>74</v>
      </c>
      <c r="AQ163" s="2" t="s">
        <v>74</v>
      </c>
      <c r="AR163" s="2" t="s">
        <v>74</v>
      </c>
      <c r="AS163" s="2" t="s">
        <v>74</v>
      </c>
      <c r="AT163" s="2" t="s">
        <v>74</v>
      </c>
      <c r="AU163" s="2">
        <v>1984</v>
      </c>
      <c r="AV163" s="2">
        <v>9</v>
      </c>
      <c r="AW163" s="2">
        <v>2</v>
      </c>
      <c r="AX163" s="2" t="s">
        <v>74</v>
      </c>
      <c r="AY163" s="2" t="s">
        <v>74</v>
      </c>
      <c r="AZ163" s="2" t="s">
        <v>74</v>
      </c>
      <c r="BA163" s="2" t="s">
        <v>74</v>
      </c>
      <c r="BB163" s="2">
        <v>115</v>
      </c>
      <c r="BC163" s="2">
        <v>130</v>
      </c>
      <c r="BD163" s="2" t="s">
        <v>74</v>
      </c>
      <c r="BE163" s="2" t="s">
        <v>74</v>
      </c>
      <c r="BF163" s="2" t="s">
        <v>74</v>
      </c>
      <c r="BG163" s="2" t="s">
        <v>74</v>
      </c>
      <c r="BH163" s="2" t="s">
        <v>74</v>
      </c>
      <c r="BI163" s="2" t="s">
        <v>74</v>
      </c>
      <c r="BJ163" s="2" t="s">
        <v>74</v>
      </c>
      <c r="BK163" s="2" t="s">
        <v>74</v>
      </c>
      <c r="BL163" s="2" t="s">
        <v>74</v>
      </c>
      <c r="BM163" s="2" t="s">
        <v>74</v>
      </c>
      <c r="BN163" s="2" t="s">
        <v>74</v>
      </c>
      <c r="BO163" s="2" t="s">
        <v>74</v>
      </c>
      <c r="BP163" s="2" t="s">
        <v>74</v>
      </c>
      <c r="BQ163" s="2" t="s">
        <v>74</v>
      </c>
      <c r="BR163" s="2" t="s">
        <v>74</v>
      </c>
      <c r="BS163" s="2" t="s">
        <v>4336</v>
      </c>
      <c r="BT163" s="2" t="str">
        <f>HYPERLINK("https%3A%2F%2Fwww.webofscience.com%2Fwos%2Fwoscc%2Ffull-record%2FWOS:A1984SS90700002","View Full Record in Web of Science")</f>
        <v>View Full Record in Web of Science</v>
      </c>
    </row>
    <row r="164" spans="1:72" s="2" customFormat="1" x14ac:dyDescent="0.4">
      <c r="A164" s="2" t="s">
        <v>72</v>
      </c>
      <c r="B164" s="2" t="s">
        <v>325</v>
      </c>
      <c r="C164" s="2" t="s">
        <v>74</v>
      </c>
      <c r="D164" s="2" t="s">
        <v>74</v>
      </c>
      <c r="E164" s="2" t="s">
        <v>74</v>
      </c>
      <c r="F164" s="2" t="s">
        <v>325</v>
      </c>
      <c r="G164" s="2" t="s">
        <v>74</v>
      </c>
      <c r="H164" s="2" t="s">
        <v>74</v>
      </c>
      <c r="I164" s="2" t="s">
        <v>326</v>
      </c>
      <c r="J164" s="2" t="s">
        <v>140</v>
      </c>
      <c r="K164" s="2" t="s">
        <v>74</v>
      </c>
      <c r="L164" s="2" t="s">
        <v>74</v>
      </c>
      <c r="M164" s="2" t="s">
        <v>74</v>
      </c>
      <c r="N164" s="2" t="s">
        <v>74</v>
      </c>
      <c r="O164" s="2" t="s">
        <v>74</v>
      </c>
      <c r="P164" s="2" t="s">
        <v>74</v>
      </c>
      <c r="Q164" s="2" t="s">
        <v>74</v>
      </c>
      <c r="R164" s="2" t="s">
        <v>74</v>
      </c>
      <c r="S164" s="2" t="s">
        <v>74</v>
      </c>
      <c r="T164" s="2" t="s">
        <v>74</v>
      </c>
      <c r="U164" s="2" t="s">
        <v>74</v>
      </c>
      <c r="V164" s="5" t="s">
        <v>327</v>
      </c>
      <c r="W164" s="2" t="s">
        <v>74</v>
      </c>
      <c r="X164" s="2" t="s">
        <v>74</v>
      </c>
      <c r="Y164" s="2" t="s">
        <v>74</v>
      </c>
      <c r="Z164" s="2" t="s">
        <v>74</v>
      </c>
      <c r="AA164" s="2" t="s">
        <v>74</v>
      </c>
      <c r="AB164" s="2" t="s">
        <v>74</v>
      </c>
      <c r="AC164" s="2" t="s">
        <v>74</v>
      </c>
      <c r="AD164" s="2" t="s">
        <v>74</v>
      </c>
      <c r="AE164" s="2" t="s">
        <v>74</v>
      </c>
      <c r="AF164" s="2" t="s">
        <v>74</v>
      </c>
      <c r="AG164" s="2" t="s">
        <v>74</v>
      </c>
      <c r="AH164" s="2" t="s">
        <v>74</v>
      </c>
      <c r="AI164" s="2" t="s">
        <v>74</v>
      </c>
      <c r="AJ164" s="2" t="s">
        <v>74</v>
      </c>
      <c r="AK164" s="2" t="s">
        <v>74</v>
      </c>
      <c r="AL164" s="2" t="s">
        <v>74</v>
      </c>
      <c r="AM164" s="2" t="s">
        <v>74</v>
      </c>
      <c r="AN164" s="2" t="s">
        <v>74</v>
      </c>
      <c r="AO164" s="2" t="s">
        <v>143</v>
      </c>
      <c r="AP164" s="2" t="s">
        <v>144</v>
      </c>
      <c r="AQ164" s="2" t="s">
        <v>74</v>
      </c>
      <c r="AR164" s="2" t="s">
        <v>74</v>
      </c>
      <c r="AS164" s="2" t="s">
        <v>74</v>
      </c>
      <c r="AT164" s="2" t="s">
        <v>74</v>
      </c>
      <c r="AU164" s="2">
        <v>1976</v>
      </c>
      <c r="AV164" s="2">
        <v>24</v>
      </c>
      <c r="AW164" s="2" t="s">
        <v>213</v>
      </c>
      <c r="AX164" s="2" t="s">
        <v>74</v>
      </c>
      <c r="AY164" s="2" t="s">
        <v>74</v>
      </c>
      <c r="AZ164" s="2" t="s">
        <v>74</v>
      </c>
      <c r="BA164" s="2" t="s">
        <v>74</v>
      </c>
      <c r="BB164" s="2">
        <v>814</v>
      </c>
      <c r="BC164" s="2">
        <v>817</v>
      </c>
      <c r="BD164" s="2" t="s">
        <v>74</v>
      </c>
      <c r="BE164" s="2" t="s">
        <v>328</v>
      </c>
      <c r="BF164" s="2" t="str">
        <f>HYPERLINK("http://dx.doi.org/10.1016/S0003-3472(76)80011-5","http://dx.doi.org/10.1016/S0003-3472(76)80011-5")</f>
        <v>http://dx.doi.org/10.1016/S0003-3472(76)80011-5</v>
      </c>
      <c r="BG164" s="2" t="s">
        <v>74</v>
      </c>
      <c r="BH164" s="2" t="s">
        <v>74</v>
      </c>
      <c r="BI164" s="2" t="s">
        <v>74</v>
      </c>
      <c r="BJ164" s="2" t="s">
        <v>74</v>
      </c>
      <c r="BK164" s="2" t="s">
        <v>74</v>
      </c>
      <c r="BL164" s="2" t="s">
        <v>74</v>
      </c>
      <c r="BM164" s="2" t="s">
        <v>74</v>
      </c>
      <c r="BN164" s="2" t="s">
        <v>74</v>
      </c>
      <c r="BO164" s="2" t="s">
        <v>74</v>
      </c>
      <c r="BP164" s="2" t="s">
        <v>74</v>
      </c>
      <c r="BQ164" s="2" t="s">
        <v>74</v>
      </c>
      <c r="BR164" s="2" t="s">
        <v>74</v>
      </c>
      <c r="BS164" s="2" t="s">
        <v>329</v>
      </c>
      <c r="BT164" s="2" t="str">
        <f>HYPERLINK("https%3A%2F%2Fwww.webofscience.com%2Fwos%2Fwoscc%2Ffull-record%2FWOS:A1976CN83700010","View Full Record in Web of Science")</f>
        <v>View Full Record in Web of Science</v>
      </c>
    </row>
    <row r="165" spans="1:72" s="2" customFormat="1" x14ac:dyDescent="0.4">
      <c r="A165" s="2" t="s">
        <v>72</v>
      </c>
      <c r="B165" s="2" t="s">
        <v>7190</v>
      </c>
      <c r="C165" s="2" t="s">
        <v>74</v>
      </c>
      <c r="D165" s="2" t="s">
        <v>74</v>
      </c>
      <c r="E165" s="2" t="s">
        <v>74</v>
      </c>
      <c r="F165" s="2" t="s">
        <v>7191</v>
      </c>
      <c r="G165" s="2" t="s">
        <v>74</v>
      </c>
      <c r="H165" s="2" t="s">
        <v>74</v>
      </c>
      <c r="I165" s="2" t="s">
        <v>7192</v>
      </c>
      <c r="J165" s="2" t="s">
        <v>4661</v>
      </c>
      <c r="K165" s="2" t="s">
        <v>74</v>
      </c>
      <c r="L165" s="2" t="s">
        <v>74</v>
      </c>
      <c r="M165" s="2" t="s">
        <v>74</v>
      </c>
      <c r="N165" s="2" t="s">
        <v>74</v>
      </c>
      <c r="O165" s="2" t="s">
        <v>74</v>
      </c>
      <c r="P165" s="2" t="s">
        <v>74</v>
      </c>
      <c r="Q165" s="2" t="s">
        <v>74</v>
      </c>
      <c r="R165" s="2" t="s">
        <v>74</v>
      </c>
      <c r="S165" s="2" t="s">
        <v>74</v>
      </c>
      <c r="T165" s="2" t="s">
        <v>74</v>
      </c>
      <c r="U165" s="2" t="s">
        <v>74</v>
      </c>
      <c r="V165" s="5" t="s">
        <v>7193</v>
      </c>
      <c r="W165" s="2" t="s">
        <v>74</v>
      </c>
      <c r="X165" s="2" t="s">
        <v>74</v>
      </c>
      <c r="Y165" s="2" t="s">
        <v>74</v>
      </c>
      <c r="Z165" s="2" t="s">
        <v>74</v>
      </c>
      <c r="AA165" s="2" t="s">
        <v>74</v>
      </c>
      <c r="AB165" s="2" t="s">
        <v>74</v>
      </c>
      <c r="AC165" s="2" t="s">
        <v>74</v>
      </c>
      <c r="AD165" s="2" t="s">
        <v>74</v>
      </c>
      <c r="AE165" s="2" t="s">
        <v>74</v>
      </c>
      <c r="AF165" s="2" t="s">
        <v>74</v>
      </c>
      <c r="AG165" s="2" t="s">
        <v>74</v>
      </c>
      <c r="AH165" s="2" t="s">
        <v>74</v>
      </c>
      <c r="AI165" s="2" t="s">
        <v>74</v>
      </c>
      <c r="AJ165" s="2" t="s">
        <v>74</v>
      </c>
      <c r="AK165" s="2" t="s">
        <v>74</v>
      </c>
      <c r="AL165" s="2" t="s">
        <v>74</v>
      </c>
      <c r="AM165" s="2" t="s">
        <v>74</v>
      </c>
      <c r="AN165" s="2" t="s">
        <v>74</v>
      </c>
      <c r="AO165" s="2" t="s">
        <v>4663</v>
      </c>
      <c r="AP165" s="2" t="s">
        <v>74</v>
      </c>
      <c r="AQ165" s="2" t="s">
        <v>74</v>
      </c>
      <c r="AR165" s="2" t="s">
        <v>74</v>
      </c>
      <c r="AS165" s="2" t="s">
        <v>74</v>
      </c>
      <c r="AT165" s="2" t="s">
        <v>74</v>
      </c>
      <c r="AU165" s="2">
        <v>2010</v>
      </c>
      <c r="AV165" s="2">
        <v>38</v>
      </c>
      <c r="AW165" s="2">
        <v>3</v>
      </c>
      <c r="AX165" s="2" t="s">
        <v>74</v>
      </c>
      <c r="AY165" s="2" t="s">
        <v>74</v>
      </c>
      <c r="AZ165" s="2" t="s">
        <v>74</v>
      </c>
      <c r="BA165" s="2" t="s">
        <v>74</v>
      </c>
      <c r="BB165" s="2">
        <v>485</v>
      </c>
      <c r="BC165" s="2">
        <v>494</v>
      </c>
      <c r="BD165" s="2" t="s">
        <v>74</v>
      </c>
      <c r="BE165" s="2" t="s">
        <v>7194</v>
      </c>
      <c r="BF165" s="2" t="str">
        <f>HYPERLINK("http://dx.doi.org/10.1636/B10-05.1","http://dx.doi.org/10.1636/B10-05.1")</f>
        <v>http://dx.doi.org/10.1636/B10-05.1</v>
      </c>
      <c r="BG165" s="2" t="s">
        <v>74</v>
      </c>
      <c r="BH165" s="2" t="s">
        <v>74</v>
      </c>
      <c r="BI165" s="2" t="s">
        <v>74</v>
      </c>
      <c r="BJ165" s="2" t="s">
        <v>74</v>
      </c>
      <c r="BK165" s="2" t="s">
        <v>74</v>
      </c>
      <c r="BL165" s="2" t="s">
        <v>74</v>
      </c>
      <c r="BM165" s="2" t="s">
        <v>74</v>
      </c>
      <c r="BN165" s="2" t="s">
        <v>74</v>
      </c>
      <c r="BO165" s="2" t="s">
        <v>74</v>
      </c>
      <c r="BP165" s="2" t="s">
        <v>74</v>
      </c>
      <c r="BQ165" s="2" t="s">
        <v>74</v>
      </c>
      <c r="BR165" s="2" t="s">
        <v>74</v>
      </c>
      <c r="BS165" s="2" t="s">
        <v>7195</v>
      </c>
      <c r="BT165" s="2" t="str">
        <f>HYPERLINK("https%3A%2F%2Fwww.webofscience.com%2Fwos%2Fwoscc%2Ffull-record%2FWOS:000297386000013","View Full Record in Web of Science")</f>
        <v>View Full Record in Web of Science</v>
      </c>
    </row>
    <row r="166" spans="1:72" s="2" customFormat="1" x14ac:dyDescent="0.4">
      <c r="A166" s="2" t="s">
        <v>72</v>
      </c>
      <c r="B166" s="2" t="s">
        <v>4976</v>
      </c>
      <c r="C166" s="2" t="s">
        <v>74</v>
      </c>
      <c r="D166" s="2" t="s">
        <v>74</v>
      </c>
      <c r="E166" s="2" t="s">
        <v>74</v>
      </c>
      <c r="F166" s="2" t="s">
        <v>4977</v>
      </c>
      <c r="G166" s="2" t="s">
        <v>74</v>
      </c>
      <c r="H166" s="2" t="s">
        <v>74</v>
      </c>
      <c r="I166" s="2" t="s">
        <v>4978</v>
      </c>
      <c r="J166" s="2" t="s">
        <v>970</v>
      </c>
      <c r="K166" s="2" t="s">
        <v>74</v>
      </c>
      <c r="L166" s="2" t="s">
        <v>74</v>
      </c>
      <c r="M166" s="2" t="s">
        <v>74</v>
      </c>
      <c r="N166" s="2" t="s">
        <v>74</v>
      </c>
      <c r="O166" s="2" t="s">
        <v>74</v>
      </c>
      <c r="P166" s="2" t="s">
        <v>74</v>
      </c>
      <c r="Q166" s="2" t="s">
        <v>74</v>
      </c>
      <c r="R166" s="2" t="s">
        <v>74</v>
      </c>
      <c r="S166" s="2" t="s">
        <v>74</v>
      </c>
      <c r="T166" s="2" t="s">
        <v>74</v>
      </c>
      <c r="U166" s="2" t="s">
        <v>74</v>
      </c>
      <c r="V166" s="5" t="s">
        <v>4979</v>
      </c>
      <c r="W166" s="2" t="s">
        <v>74</v>
      </c>
      <c r="X166" s="2" t="s">
        <v>74</v>
      </c>
      <c r="Y166" s="2" t="s">
        <v>74</v>
      </c>
      <c r="Z166" s="2" t="s">
        <v>74</v>
      </c>
      <c r="AA166" s="2" t="s">
        <v>74</v>
      </c>
      <c r="AB166" s="2" t="s">
        <v>4980</v>
      </c>
      <c r="AC166" s="2" t="s">
        <v>74</v>
      </c>
      <c r="AD166" s="2" t="s">
        <v>74</v>
      </c>
      <c r="AE166" s="2" t="s">
        <v>74</v>
      </c>
      <c r="AF166" s="2" t="s">
        <v>74</v>
      </c>
      <c r="AG166" s="2" t="s">
        <v>74</v>
      </c>
      <c r="AH166" s="2" t="s">
        <v>74</v>
      </c>
      <c r="AI166" s="2" t="s">
        <v>74</v>
      </c>
      <c r="AJ166" s="2" t="s">
        <v>74</v>
      </c>
      <c r="AK166" s="2" t="s">
        <v>74</v>
      </c>
      <c r="AL166" s="2" t="s">
        <v>74</v>
      </c>
      <c r="AM166" s="2" t="s">
        <v>74</v>
      </c>
      <c r="AN166" s="2" t="s">
        <v>74</v>
      </c>
      <c r="AO166" s="2" t="s">
        <v>974</v>
      </c>
      <c r="AP166" s="2" t="s">
        <v>975</v>
      </c>
      <c r="AQ166" s="2" t="s">
        <v>74</v>
      </c>
      <c r="AR166" s="2" t="s">
        <v>74</v>
      </c>
      <c r="AS166" s="2" t="s">
        <v>74</v>
      </c>
      <c r="AT166" s="2" t="s">
        <v>204</v>
      </c>
      <c r="AU166" s="2">
        <v>2021</v>
      </c>
      <c r="AV166" s="2">
        <v>162</v>
      </c>
      <c r="AW166" s="2">
        <v>3</v>
      </c>
      <c r="AX166" s="2" t="s">
        <v>74</v>
      </c>
      <c r="AY166" s="2" t="s">
        <v>74</v>
      </c>
      <c r="AZ166" s="2" t="s">
        <v>74</v>
      </c>
      <c r="BA166" s="2" t="s">
        <v>74</v>
      </c>
      <c r="BB166" s="2">
        <v>737</v>
      </c>
      <c r="BC166" s="2">
        <v>748</v>
      </c>
      <c r="BD166" s="2" t="s">
        <v>74</v>
      </c>
      <c r="BE166" s="2" t="s">
        <v>4981</v>
      </c>
      <c r="BF166" s="2" t="str">
        <f>HYPERLINK("http://dx.doi.org/10.1007/s10336-021-01864-2","http://dx.doi.org/10.1007/s10336-021-01864-2")</f>
        <v>http://dx.doi.org/10.1007/s10336-021-01864-2</v>
      </c>
      <c r="BG166" s="2" t="s">
        <v>74</v>
      </c>
      <c r="BH166" s="2" t="s">
        <v>2411</v>
      </c>
      <c r="BI166" s="2" t="s">
        <v>74</v>
      </c>
      <c r="BJ166" s="2" t="s">
        <v>74</v>
      </c>
      <c r="BK166" s="2" t="s">
        <v>74</v>
      </c>
      <c r="BL166" s="2" t="s">
        <v>74</v>
      </c>
      <c r="BM166" s="2" t="s">
        <v>74</v>
      </c>
      <c r="BN166" s="2" t="s">
        <v>74</v>
      </c>
      <c r="BO166" s="2" t="s">
        <v>74</v>
      </c>
      <c r="BP166" s="2" t="s">
        <v>74</v>
      </c>
      <c r="BQ166" s="2" t="s">
        <v>74</v>
      </c>
      <c r="BR166" s="2" t="s">
        <v>74</v>
      </c>
      <c r="BS166" s="2" t="s">
        <v>4982</v>
      </c>
      <c r="BT166" s="2" t="str">
        <f>HYPERLINK("https%3A%2F%2Fwww.webofscience.com%2Fwos%2Fwoscc%2Ffull-record%2FWOS:000619907200001","View Full Record in Web of Science")</f>
        <v>View Full Record in Web of Science</v>
      </c>
    </row>
    <row r="167" spans="1:72" s="2" customFormat="1" x14ac:dyDescent="0.4">
      <c r="A167" s="2" t="s">
        <v>72</v>
      </c>
      <c r="B167" s="2" t="s">
        <v>5056</v>
      </c>
      <c r="C167" s="2" t="s">
        <v>74</v>
      </c>
      <c r="D167" s="2" t="s">
        <v>74</v>
      </c>
      <c r="E167" s="2" t="s">
        <v>74</v>
      </c>
      <c r="F167" s="2" t="s">
        <v>5057</v>
      </c>
      <c r="G167" s="2" t="s">
        <v>74</v>
      </c>
      <c r="H167" s="2" t="s">
        <v>74</v>
      </c>
      <c r="I167" s="2" t="s">
        <v>5058</v>
      </c>
      <c r="J167" s="2" t="s">
        <v>431</v>
      </c>
      <c r="K167" s="2" t="s">
        <v>74</v>
      </c>
      <c r="L167" s="2" t="s">
        <v>74</v>
      </c>
      <c r="M167" s="2" t="s">
        <v>74</v>
      </c>
      <c r="N167" s="2" t="s">
        <v>74</v>
      </c>
      <c r="O167" s="2" t="s">
        <v>74</v>
      </c>
      <c r="P167" s="2" t="s">
        <v>74</v>
      </c>
      <c r="Q167" s="2" t="s">
        <v>74</v>
      </c>
      <c r="R167" s="2" t="s">
        <v>74</v>
      </c>
      <c r="S167" s="2" t="s">
        <v>74</v>
      </c>
      <c r="T167" s="2" t="s">
        <v>74</v>
      </c>
      <c r="U167" s="2" t="s">
        <v>74</v>
      </c>
      <c r="V167" s="5" t="s">
        <v>5059</v>
      </c>
      <c r="W167" s="2" t="s">
        <v>74</v>
      </c>
      <c r="X167" s="2" t="s">
        <v>74</v>
      </c>
      <c r="Y167" s="2" t="s">
        <v>74</v>
      </c>
      <c r="Z167" s="2" t="s">
        <v>74</v>
      </c>
      <c r="AA167" s="2" t="s">
        <v>74</v>
      </c>
      <c r="AB167" s="2" t="s">
        <v>5060</v>
      </c>
      <c r="AC167" s="2" t="s">
        <v>74</v>
      </c>
      <c r="AD167" s="2" t="s">
        <v>74</v>
      </c>
      <c r="AE167" s="2" t="s">
        <v>74</v>
      </c>
      <c r="AF167" s="2" t="s">
        <v>74</v>
      </c>
      <c r="AG167" s="2" t="s">
        <v>74</v>
      </c>
      <c r="AH167" s="2" t="s">
        <v>74</v>
      </c>
      <c r="AI167" s="2" t="s">
        <v>74</v>
      </c>
      <c r="AJ167" s="2" t="s">
        <v>74</v>
      </c>
      <c r="AK167" s="2" t="s">
        <v>74</v>
      </c>
      <c r="AL167" s="2" t="s">
        <v>74</v>
      </c>
      <c r="AM167" s="2" t="s">
        <v>74</v>
      </c>
      <c r="AN167" s="2" t="s">
        <v>74</v>
      </c>
      <c r="AO167" s="2" t="s">
        <v>74</v>
      </c>
      <c r="AP167" s="2" t="s">
        <v>435</v>
      </c>
      <c r="AQ167" s="2" t="s">
        <v>74</v>
      </c>
      <c r="AR167" s="2" t="s">
        <v>74</v>
      </c>
      <c r="AS167" s="2" t="s">
        <v>74</v>
      </c>
      <c r="AT167" s="2" t="s">
        <v>204</v>
      </c>
      <c r="AU167" s="2">
        <v>2016</v>
      </c>
      <c r="AV167" s="2">
        <v>133</v>
      </c>
      <c r="AW167" s="2">
        <v>3</v>
      </c>
      <c r="AX167" s="2" t="s">
        <v>74</v>
      </c>
      <c r="AY167" s="2" t="s">
        <v>74</v>
      </c>
      <c r="AZ167" s="2" t="s">
        <v>74</v>
      </c>
      <c r="BA167" s="2" t="s">
        <v>74</v>
      </c>
      <c r="BB167" s="2">
        <v>530</v>
      </c>
      <c r="BC167" s="2">
        <v>543</v>
      </c>
      <c r="BD167" s="2" t="s">
        <v>74</v>
      </c>
      <c r="BE167" s="2" t="s">
        <v>5061</v>
      </c>
      <c r="BF167" s="2" t="str">
        <f>HYPERLINK("http://dx.doi.org/10.1642/AUK-15-170.1","http://dx.doi.org/10.1642/AUK-15-170.1")</f>
        <v>http://dx.doi.org/10.1642/AUK-15-170.1</v>
      </c>
      <c r="BG167" s="2" t="s">
        <v>74</v>
      </c>
      <c r="BH167" s="2" t="s">
        <v>74</v>
      </c>
      <c r="BI167" s="2" t="s">
        <v>74</v>
      </c>
      <c r="BJ167" s="2" t="s">
        <v>74</v>
      </c>
      <c r="BK167" s="2" t="s">
        <v>74</v>
      </c>
      <c r="BL167" s="2" t="s">
        <v>74</v>
      </c>
      <c r="BM167" s="2" t="s">
        <v>74</v>
      </c>
      <c r="BN167" s="2" t="s">
        <v>74</v>
      </c>
      <c r="BO167" s="2" t="s">
        <v>74</v>
      </c>
      <c r="BP167" s="2" t="s">
        <v>74</v>
      </c>
      <c r="BQ167" s="2" t="s">
        <v>74</v>
      </c>
      <c r="BR167" s="2" t="s">
        <v>74</v>
      </c>
      <c r="BS167" s="2" t="s">
        <v>5062</v>
      </c>
      <c r="BT167" s="2" t="str">
        <f>HYPERLINK("https%3A%2F%2Fwww.webofscience.com%2Fwos%2Fwoscc%2Ffull-record%2FWOS:000379663400017","View Full Record in Web of Science")</f>
        <v>View Full Record in Web of Science</v>
      </c>
    </row>
    <row r="168" spans="1:72" s="2" customFormat="1" x14ac:dyDescent="0.4">
      <c r="A168" s="2" t="s">
        <v>72</v>
      </c>
      <c r="B168" s="2" t="s">
        <v>4286</v>
      </c>
      <c r="C168" s="2" t="s">
        <v>74</v>
      </c>
      <c r="D168" s="2" t="s">
        <v>74</v>
      </c>
      <c r="E168" s="2" t="s">
        <v>74</v>
      </c>
      <c r="F168" s="2" t="s">
        <v>4287</v>
      </c>
      <c r="G168" s="2" t="s">
        <v>74</v>
      </c>
      <c r="H168" s="2" t="s">
        <v>74</v>
      </c>
      <c r="I168" s="2" t="s">
        <v>4288</v>
      </c>
      <c r="J168" s="2" t="s">
        <v>814</v>
      </c>
      <c r="K168" s="2" t="s">
        <v>74</v>
      </c>
      <c r="L168" s="2" t="s">
        <v>74</v>
      </c>
      <c r="M168" s="2" t="s">
        <v>74</v>
      </c>
      <c r="N168" s="2" t="s">
        <v>74</v>
      </c>
      <c r="O168" s="2" t="s">
        <v>74</v>
      </c>
      <c r="P168" s="2" t="s">
        <v>74</v>
      </c>
      <c r="Q168" s="2" t="s">
        <v>74</v>
      </c>
      <c r="R168" s="2" t="s">
        <v>74</v>
      </c>
      <c r="S168" s="2" t="s">
        <v>74</v>
      </c>
      <c r="T168" s="2" t="s">
        <v>74</v>
      </c>
      <c r="U168" s="2" t="s">
        <v>74</v>
      </c>
      <c r="V168" s="5" t="s">
        <v>4289</v>
      </c>
      <c r="W168" s="2" t="s">
        <v>74</v>
      </c>
      <c r="X168" s="2" t="s">
        <v>74</v>
      </c>
      <c r="Y168" s="2" t="s">
        <v>74</v>
      </c>
      <c r="Z168" s="2" t="s">
        <v>74</v>
      </c>
      <c r="AA168" s="2" t="s">
        <v>4290</v>
      </c>
      <c r="AB168" s="2" t="s">
        <v>4291</v>
      </c>
      <c r="AC168" s="2" t="s">
        <v>74</v>
      </c>
      <c r="AD168" s="2" t="s">
        <v>74</v>
      </c>
      <c r="AE168" s="2" t="s">
        <v>74</v>
      </c>
      <c r="AF168" s="2" t="s">
        <v>74</v>
      </c>
      <c r="AG168" s="2" t="s">
        <v>74</v>
      </c>
      <c r="AH168" s="2" t="s">
        <v>74</v>
      </c>
      <c r="AI168" s="2" t="s">
        <v>74</v>
      </c>
      <c r="AJ168" s="2" t="s">
        <v>74</v>
      </c>
      <c r="AK168" s="2" t="s">
        <v>74</v>
      </c>
      <c r="AL168" s="2" t="s">
        <v>74</v>
      </c>
      <c r="AM168" s="2" t="s">
        <v>74</v>
      </c>
      <c r="AN168" s="2" t="s">
        <v>74</v>
      </c>
      <c r="AO168" s="2" t="s">
        <v>818</v>
      </c>
      <c r="AP168" s="2" t="s">
        <v>74</v>
      </c>
      <c r="AQ168" s="2" t="s">
        <v>74</v>
      </c>
      <c r="AR168" s="2" t="s">
        <v>74</v>
      </c>
      <c r="AS168" s="2" t="s">
        <v>74</v>
      </c>
      <c r="AT168" s="2" t="s">
        <v>964</v>
      </c>
      <c r="AU168" s="2">
        <v>2011</v>
      </c>
      <c r="AV168" s="2">
        <v>114</v>
      </c>
      <c r="AW168" s="2">
        <v>1</v>
      </c>
      <c r="AX168" s="2" t="s">
        <v>74</v>
      </c>
      <c r="AY168" s="2" t="s">
        <v>74</v>
      </c>
      <c r="AZ168" s="2" t="s">
        <v>74</v>
      </c>
      <c r="BA168" s="2" t="s">
        <v>74</v>
      </c>
      <c r="BB168" s="2">
        <v>53</v>
      </c>
      <c r="BC168" s="2">
        <v>57</v>
      </c>
      <c r="BD168" s="2" t="s">
        <v>74</v>
      </c>
      <c r="BE168" s="2" t="s">
        <v>4292</v>
      </c>
      <c r="BF168" s="2" t="str">
        <f>HYPERLINK("http://dx.doi.org/10.1016/j.zool.2010.09.001","http://dx.doi.org/10.1016/j.zool.2010.09.001")</f>
        <v>http://dx.doi.org/10.1016/j.zool.2010.09.001</v>
      </c>
      <c r="BG168" s="2" t="s">
        <v>74</v>
      </c>
      <c r="BH168" s="2" t="s">
        <v>74</v>
      </c>
      <c r="BI168" s="2" t="s">
        <v>74</v>
      </c>
      <c r="BJ168" s="2" t="s">
        <v>74</v>
      </c>
      <c r="BK168" s="2" t="s">
        <v>74</v>
      </c>
      <c r="BL168" s="2" t="s">
        <v>74</v>
      </c>
      <c r="BM168" s="2" t="s">
        <v>74</v>
      </c>
      <c r="BN168" s="2">
        <v>21196103</v>
      </c>
      <c r="BO168" s="2" t="s">
        <v>74</v>
      </c>
      <c r="BP168" s="2" t="s">
        <v>74</v>
      </c>
      <c r="BQ168" s="2" t="s">
        <v>74</v>
      </c>
      <c r="BR168" s="2" t="s">
        <v>74</v>
      </c>
      <c r="BS168" s="2" t="s">
        <v>4293</v>
      </c>
      <c r="BT168" s="2" t="str">
        <f>HYPERLINK("https%3A%2F%2Fwww.webofscience.com%2Fwos%2Fwoscc%2Ffull-record%2FWOS:000289139000007","View Full Record in Web of Science")</f>
        <v>View Full Record in Web of Science</v>
      </c>
    </row>
    <row r="169" spans="1:72" s="1" customFormat="1" x14ac:dyDescent="0.4">
      <c r="A169" s="2" t="s">
        <v>72</v>
      </c>
      <c r="B169" s="2" t="s">
        <v>1800</v>
      </c>
      <c r="C169" s="2" t="s">
        <v>74</v>
      </c>
      <c r="D169" s="2" t="s">
        <v>74</v>
      </c>
      <c r="E169" s="2" t="s">
        <v>74</v>
      </c>
      <c r="F169" s="2" t="s">
        <v>1801</v>
      </c>
      <c r="G169" s="2" t="s">
        <v>74</v>
      </c>
      <c r="H169" s="2" t="s">
        <v>74</v>
      </c>
      <c r="I169" s="2" t="s">
        <v>1802</v>
      </c>
      <c r="J169" s="2" t="s">
        <v>1803</v>
      </c>
      <c r="K169" s="2" t="s">
        <v>74</v>
      </c>
      <c r="L169" s="2" t="s">
        <v>74</v>
      </c>
      <c r="M169" s="2" t="s">
        <v>74</v>
      </c>
      <c r="N169" s="2" t="s">
        <v>74</v>
      </c>
      <c r="O169" s="2" t="s">
        <v>74</v>
      </c>
      <c r="P169" s="2" t="s">
        <v>74</v>
      </c>
      <c r="Q169" s="2" t="s">
        <v>74</v>
      </c>
      <c r="R169" s="2" t="s">
        <v>74</v>
      </c>
      <c r="S169" s="2" t="s">
        <v>74</v>
      </c>
      <c r="T169" s="2" t="s">
        <v>74</v>
      </c>
      <c r="U169" s="2" t="s">
        <v>74</v>
      </c>
      <c r="V169" s="5" t="s">
        <v>1804</v>
      </c>
      <c r="W169" s="2" t="s">
        <v>74</v>
      </c>
      <c r="X169" s="2" t="s">
        <v>74</v>
      </c>
      <c r="Y169" s="2" t="s">
        <v>74</v>
      </c>
      <c r="Z169" s="2" t="s">
        <v>74</v>
      </c>
      <c r="AA169" s="2" t="s">
        <v>1805</v>
      </c>
      <c r="AB169" s="2" t="s">
        <v>1806</v>
      </c>
      <c r="AC169" s="2" t="s">
        <v>74</v>
      </c>
      <c r="AD169" s="2" t="s">
        <v>74</v>
      </c>
      <c r="AE169" s="2" t="s">
        <v>74</v>
      </c>
      <c r="AF169" s="2" t="s">
        <v>74</v>
      </c>
      <c r="AG169" s="2" t="s">
        <v>74</v>
      </c>
      <c r="AH169" s="2" t="s">
        <v>74</v>
      </c>
      <c r="AI169" s="2" t="s">
        <v>74</v>
      </c>
      <c r="AJ169" s="2" t="s">
        <v>74</v>
      </c>
      <c r="AK169" s="2" t="s">
        <v>74</v>
      </c>
      <c r="AL169" s="2" t="s">
        <v>74</v>
      </c>
      <c r="AM169" s="2" t="s">
        <v>74</v>
      </c>
      <c r="AN169" s="2" t="s">
        <v>74</v>
      </c>
      <c r="AO169" s="2" t="s">
        <v>1807</v>
      </c>
      <c r="AP169" s="2" t="s">
        <v>1808</v>
      </c>
      <c r="AQ169" s="2" t="s">
        <v>74</v>
      </c>
      <c r="AR169" s="2" t="s">
        <v>74</v>
      </c>
      <c r="AS169" s="2" t="s">
        <v>74</v>
      </c>
      <c r="AT169" s="2" t="s">
        <v>633</v>
      </c>
      <c r="AU169" s="2">
        <v>2015</v>
      </c>
      <c r="AV169" s="2">
        <v>29</v>
      </c>
      <c r="AW169" s="2">
        <v>4</v>
      </c>
      <c r="AX169" s="2" t="s">
        <v>74</v>
      </c>
      <c r="AY169" s="2" t="s">
        <v>74</v>
      </c>
      <c r="AZ169" s="2" t="s">
        <v>74</v>
      </c>
      <c r="BA169" s="2" t="s">
        <v>74</v>
      </c>
      <c r="BB169" s="2">
        <v>531</v>
      </c>
      <c r="BC169" s="2">
        <v>539</v>
      </c>
      <c r="BD169" s="2" t="s">
        <v>74</v>
      </c>
      <c r="BE169" s="2" t="s">
        <v>1809</v>
      </c>
      <c r="BF169" s="2" t="str">
        <f>HYPERLINK("http://dx.doi.org/10.1111/1365-2435.12363","http://dx.doi.org/10.1111/1365-2435.12363")</f>
        <v>http://dx.doi.org/10.1111/1365-2435.12363</v>
      </c>
      <c r="BG169" s="2" t="s">
        <v>74</v>
      </c>
      <c r="BH169" s="2" t="s">
        <v>74</v>
      </c>
      <c r="BI169" s="2" t="s">
        <v>74</v>
      </c>
      <c r="BJ169" s="2" t="s">
        <v>74</v>
      </c>
      <c r="BK169" s="2" t="s">
        <v>74</v>
      </c>
      <c r="BL169" s="2" t="s">
        <v>74</v>
      </c>
      <c r="BM169" s="2" t="s">
        <v>74</v>
      </c>
      <c r="BN169" s="2" t="s">
        <v>74</v>
      </c>
      <c r="BO169" s="2" t="s">
        <v>74</v>
      </c>
      <c r="BP169" s="2" t="s">
        <v>74</v>
      </c>
      <c r="BQ169" s="2" t="s">
        <v>74</v>
      </c>
      <c r="BR169" s="2" t="s">
        <v>74</v>
      </c>
      <c r="BS169" s="2" t="s">
        <v>1810</v>
      </c>
      <c r="BT169" s="2" t="str">
        <f>HYPERLINK("https%3A%2F%2Fwww.webofscience.com%2Fwos%2Fwoscc%2Ffull-record%2FWOS:000353684800011","View Full Record in Web of Science")</f>
        <v>View Full Record in Web of Science</v>
      </c>
    </row>
    <row r="170" spans="1:72" s="2" customFormat="1" x14ac:dyDescent="0.4">
      <c r="A170" s="2" t="s">
        <v>72</v>
      </c>
      <c r="B170" s="2" t="s">
        <v>2979</v>
      </c>
      <c r="C170" s="2" t="s">
        <v>74</v>
      </c>
      <c r="D170" s="2" t="s">
        <v>74</v>
      </c>
      <c r="E170" s="2" t="s">
        <v>74</v>
      </c>
      <c r="F170" s="2" t="s">
        <v>2979</v>
      </c>
      <c r="G170" s="2" t="s">
        <v>74</v>
      </c>
      <c r="H170" s="2" t="s">
        <v>74</v>
      </c>
      <c r="I170" s="2" t="s">
        <v>2980</v>
      </c>
      <c r="J170" s="2" t="s">
        <v>344</v>
      </c>
      <c r="K170" s="2" t="s">
        <v>74</v>
      </c>
      <c r="L170" s="2" t="s">
        <v>74</v>
      </c>
      <c r="M170" s="2" t="s">
        <v>74</v>
      </c>
      <c r="N170" s="2" t="s">
        <v>74</v>
      </c>
      <c r="O170" s="2" t="s">
        <v>74</v>
      </c>
      <c r="P170" s="2" t="s">
        <v>74</v>
      </c>
      <c r="Q170" s="2" t="s">
        <v>74</v>
      </c>
      <c r="R170" s="2" t="s">
        <v>74</v>
      </c>
      <c r="S170" s="2" t="s">
        <v>74</v>
      </c>
      <c r="T170" s="2" t="s">
        <v>74</v>
      </c>
      <c r="U170" s="2" t="s">
        <v>74</v>
      </c>
      <c r="V170" s="5" t="s">
        <v>2981</v>
      </c>
      <c r="W170" s="2" t="s">
        <v>74</v>
      </c>
      <c r="X170" s="2" t="s">
        <v>74</v>
      </c>
      <c r="Y170" s="2" t="s">
        <v>74</v>
      </c>
      <c r="Z170" s="2" t="s">
        <v>74</v>
      </c>
      <c r="AA170" s="2" t="s">
        <v>2982</v>
      </c>
      <c r="AB170" s="2" t="s">
        <v>74</v>
      </c>
      <c r="AC170" s="2" t="s">
        <v>74</v>
      </c>
      <c r="AD170" s="2" t="s">
        <v>74</v>
      </c>
      <c r="AE170" s="2" t="s">
        <v>74</v>
      </c>
      <c r="AF170" s="2" t="s">
        <v>74</v>
      </c>
      <c r="AG170" s="2" t="s">
        <v>74</v>
      </c>
      <c r="AH170" s="2" t="s">
        <v>74</v>
      </c>
      <c r="AI170" s="2" t="s">
        <v>74</v>
      </c>
      <c r="AJ170" s="2" t="s">
        <v>74</v>
      </c>
      <c r="AK170" s="2" t="s">
        <v>74</v>
      </c>
      <c r="AL170" s="2" t="s">
        <v>74</v>
      </c>
      <c r="AM170" s="2" t="s">
        <v>74</v>
      </c>
      <c r="AN170" s="2" t="s">
        <v>74</v>
      </c>
      <c r="AO170" s="2" t="s">
        <v>346</v>
      </c>
      <c r="AP170" s="2" t="s">
        <v>74</v>
      </c>
      <c r="AQ170" s="2" t="s">
        <v>74</v>
      </c>
      <c r="AR170" s="2" t="s">
        <v>74</v>
      </c>
      <c r="AS170" s="2" t="s">
        <v>74</v>
      </c>
      <c r="AT170" s="2" t="s">
        <v>305</v>
      </c>
      <c r="AU170" s="2">
        <v>1999</v>
      </c>
      <c r="AV170" s="2">
        <v>56</v>
      </c>
      <c r="AW170" s="2">
        <v>4</v>
      </c>
      <c r="AX170" s="2" t="s">
        <v>74</v>
      </c>
      <c r="AY170" s="2" t="s">
        <v>74</v>
      </c>
      <c r="AZ170" s="2" t="s">
        <v>74</v>
      </c>
      <c r="BA170" s="2" t="s">
        <v>74</v>
      </c>
      <c r="BB170" s="2">
        <v>429</v>
      </c>
      <c r="BC170" s="2">
        <v>442</v>
      </c>
      <c r="BD170" s="2" t="s">
        <v>74</v>
      </c>
      <c r="BE170" s="2" t="s">
        <v>2983</v>
      </c>
      <c r="BF170" s="2" t="str">
        <f>HYPERLINK("http://dx.doi.org/10.1023/A:1007556112449","http://dx.doi.org/10.1023/A:1007556112449")</f>
        <v>http://dx.doi.org/10.1023/A:1007556112449</v>
      </c>
      <c r="BG170" s="2" t="s">
        <v>74</v>
      </c>
      <c r="BH170" s="2" t="s">
        <v>74</v>
      </c>
      <c r="BI170" s="2" t="s">
        <v>74</v>
      </c>
      <c r="BJ170" s="2" t="s">
        <v>74</v>
      </c>
      <c r="BK170" s="2" t="s">
        <v>74</v>
      </c>
      <c r="BL170" s="2" t="s">
        <v>74</v>
      </c>
      <c r="BM170" s="2" t="s">
        <v>74</v>
      </c>
      <c r="BN170" s="2" t="s">
        <v>74</v>
      </c>
      <c r="BO170" s="2" t="s">
        <v>74</v>
      </c>
      <c r="BP170" s="2" t="s">
        <v>74</v>
      </c>
      <c r="BQ170" s="2" t="s">
        <v>74</v>
      </c>
      <c r="BR170" s="2" t="s">
        <v>74</v>
      </c>
      <c r="BS170" s="2" t="s">
        <v>2984</v>
      </c>
      <c r="BT170" s="2" t="str">
        <f>HYPERLINK("https%3A%2F%2Fwww.webofscience.com%2Fwos%2Fwoscc%2Ffull-record%2FWOS:000084346500010","View Full Record in Web of Science")</f>
        <v>View Full Record in Web of Science</v>
      </c>
    </row>
    <row r="171" spans="1:72" s="2" customFormat="1" x14ac:dyDescent="0.4">
      <c r="A171" s="2" t="s">
        <v>72</v>
      </c>
      <c r="B171" s="2" t="s">
        <v>3592</v>
      </c>
      <c r="C171" s="2" t="s">
        <v>74</v>
      </c>
      <c r="D171" s="2" t="s">
        <v>74</v>
      </c>
      <c r="E171" s="2" t="s">
        <v>74</v>
      </c>
      <c r="F171" s="2" t="s">
        <v>3593</v>
      </c>
      <c r="G171" s="2" t="s">
        <v>74</v>
      </c>
      <c r="H171" s="2" t="s">
        <v>74</v>
      </c>
      <c r="I171" s="2" t="s">
        <v>3594</v>
      </c>
      <c r="J171" s="2" t="s">
        <v>3595</v>
      </c>
      <c r="K171" s="2" t="s">
        <v>74</v>
      </c>
      <c r="L171" s="2" t="s">
        <v>74</v>
      </c>
      <c r="M171" s="2" t="s">
        <v>74</v>
      </c>
      <c r="N171" s="2" t="s">
        <v>74</v>
      </c>
      <c r="O171" s="2" t="s">
        <v>74</v>
      </c>
      <c r="P171" s="2" t="s">
        <v>74</v>
      </c>
      <c r="Q171" s="2" t="s">
        <v>74</v>
      </c>
      <c r="R171" s="2" t="s">
        <v>74</v>
      </c>
      <c r="S171" s="2" t="s">
        <v>74</v>
      </c>
      <c r="T171" s="2" t="s">
        <v>74</v>
      </c>
      <c r="U171" s="2" t="s">
        <v>74</v>
      </c>
      <c r="V171" s="5" t="s">
        <v>3596</v>
      </c>
      <c r="W171" s="2" t="s">
        <v>74</v>
      </c>
      <c r="X171" s="2" t="s">
        <v>74</v>
      </c>
      <c r="Y171" s="2" t="s">
        <v>74</v>
      </c>
      <c r="Z171" s="2" t="s">
        <v>74</v>
      </c>
      <c r="AA171" s="2" t="s">
        <v>3597</v>
      </c>
      <c r="AB171" s="2" t="s">
        <v>3598</v>
      </c>
      <c r="AC171" s="2" t="s">
        <v>74</v>
      </c>
      <c r="AD171" s="2" t="s">
        <v>74</v>
      </c>
      <c r="AE171" s="2" t="s">
        <v>74</v>
      </c>
      <c r="AF171" s="2" t="s">
        <v>74</v>
      </c>
      <c r="AG171" s="2" t="s">
        <v>74</v>
      </c>
      <c r="AH171" s="2" t="s">
        <v>74</v>
      </c>
      <c r="AI171" s="2" t="s">
        <v>74</v>
      </c>
      <c r="AJ171" s="2" t="s">
        <v>74</v>
      </c>
      <c r="AK171" s="2" t="s">
        <v>74</v>
      </c>
      <c r="AL171" s="2" t="s">
        <v>74</v>
      </c>
      <c r="AM171" s="2" t="s">
        <v>74</v>
      </c>
      <c r="AN171" s="2" t="s">
        <v>74</v>
      </c>
      <c r="AO171" s="2" t="s">
        <v>3599</v>
      </c>
      <c r="AP171" s="2" t="s">
        <v>3600</v>
      </c>
      <c r="AQ171" s="2" t="s">
        <v>74</v>
      </c>
      <c r="AR171" s="2" t="s">
        <v>74</v>
      </c>
      <c r="AS171" s="2" t="s">
        <v>74</v>
      </c>
      <c r="AT171" s="2" t="s">
        <v>255</v>
      </c>
      <c r="AU171" s="2">
        <v>2009</v>
      </c>
      <c r="AV171" s="2">
        <v>138</v>
      </c>
      <c r="AW171" s="2">
        <v>1</v>
      </c>
      <c r="AX171" s="2" t="s">
        <v>74</v>
      </c>
      <c r="AY171" s="2" t="s">
        <v>74</v>
      </c>
      <c r="AZ171" s="2" t="s">
        <v>74</v>
      </c>
      <c r="BA171" s="2" t="s">
        <v>74</v>
      </c>
      <c r="BB171" s="2">
        <v>1</v>
      </c>
      <c r="BC171" s="2">
        <v>10</v>
      </c>
      <c r="BD171" s="2" t="s">
        <v>74</v>
      </c>
      <c r="BE171" s="2" t="s">
        <v>3601</v>
      </c>
      <c r="BF171" s="2" t="str">
        <f>HYPERLINK("http://dx.doi.org/10.1002/ajpa.20868","http://dx.doi.org/10.1002/ajpa.20868")</f>
        <v>http://dx.doi.org/10.1002/ajpa.20868</v>
      </c>
      <c r="BG171" s="2" t="s">
        <v>74</v>
      </c>
      <c r="BH171" s="2" t="s">
        <v>74</v>
      </c>
      <c r="BI171" s="2" t="s">
        <v>74</v>
      </c>
      <c r="BJ171" s="2" t="s">
        <v>74</v>
      </c>
      <c r="BK171" s="2" t="s">
        <v>74</v>
      </c>
      <c r="BL171" s="2" t="s">
        <v>74</v>
      </c>
      <c r="BM171" s="2" t="s">
        <v>74</v>
      </c>
      <c r="BN171" s="2">
        <v>18615575</v>
      </c>
      <c r="BO171" s="2" t="s">
        <v>74</v>
      </c>
      <c r="BP171" s="2" t="s">
        <v>74</v>
      </c>
      <c r="BQ171" s="2" t="s">
        <v>74</v>
      </c>
      <c r="BR171" s="2" t="s">
        <v>74</v>
      </c>
      <c r="BS171" s="2" t="s">
        <v>3602</v>
      </c>
      <c r="BT171" s="2" t="str">
        <f>HYPERLINK("https%3A%2F%2Fwww.webofscience.com%2Fwos%2Fwoscc%2Ffull-record%2FWOS:000261759100001","View Full Record in Web of Science")</f>
        <v>View Full Record in Web of Science</v>
      </c>
    </row>
    <row r="172" spans="1:72" s="2" customFormat="1" x14ac:dyDescent="0.4">
      <c r="A172" s="2" t="s">
        <v>72</v>
      </c>
      <c r="B172" s="2" t="s">
        <v>330</v>
      </c>
      <c r="C172" s="2" t="s">
        <v>74</v>
      </c>
      <c r="D172" s="2" t="s">
        <v>74</v>
      </c>
      <c r="E172" s="2" t="s">
        <v>74</v>
      </c>
      <c r="F172" s="2" t="s">
        <v>331</v>
      </c>
      <c r="G172" s="2" t="s">
        <v>74</v>
      </c>
      <c r="H172" s="2" t="s">
        <v>74</v>
      </c>
      <c r="I172" s="2" t="s">
        <v>332</v>
      </c>
      <c r="J172" s="2" t="s">
        <v>333</v>
      </c>
      <c r="K172" s="2" t="s">
        <v>74</v>
      </c>
      <c r="L172" s="2" t="s">
        <v>74</v>
      </c>
      <c r="M172" s="2" t="s">
        <v>74</v>
      </c>
      <c r="N172" s="2" t="s">
        <v>74</v>
      </c>
      <c r="O172" s="2" t="s">
        <v>74</v>
      </c>
      <c r="P172" s="2" t="s">
        <v>74</v>
      </c>
      <c r="Q172" s="2" t="s">
        <v>74</v>
      </c>
      <c r="R172" s="2" t="s">
        <v>74</v>
      </c>
      <c r="S172" s="2" t="s">
        <v>74</v>
      </c>
      <c r="T172" s="2" t="s">
        <v>74</v>
      </c>
      <c r="U172" s="2" t="s">
        <v>74</v>
      </c>
      <c r="V172" s="5" t="s">
        <v>334</v>
      </c>
      <c r="W172" s="2" t="s">
        <v>74</v>
      </c>
      <c r="X172" s="2" t="s">
        <v>74</v>
      </c>
      <c r="Y172" s="2" t="s">
        <v>74</v>
      </c>
      <c r="Z172" s="2" t="s">
        <v>74</v>
      </c>
      <c r="AA172" s="2" t="s">
        <v>335</v>
      </c>
      <c r="AB172" s="2" t="s">
        <v>336</v>
      </c>
      <c r="AC172" s="2" t="s">
        <v>74</v>
      </c>
      <c r="AD172" s="2" t="s">
        <v>74</v>
      </c>
      <c r="AE172" s="2" t="s">
        <v>74</v>
      </c>
      <c r="AF172" s="2" t="s">
        <v>74</v>
      </c>
      <c r="AG172" s="2" t="s">
        <v>74</v>
      </c>
      <c r="AH172" s="2" t="s">
        <v>74</v>
      </c>
      <c r="AI172" s="2" t="s">
        <v>74</v>
      </c>
      <c r="AJ172" s="2" t="s">
        <v>74</v>
      </c>
      <c r="AK172" s="2" t="s">
        <v>74</v>
      </c>
      <c r="AL172" s="2" t="s">
        <v>74</v>
      </c>
      <c r="AM172" s="2" t="s">
        <v>74</v>
      </c>
      <c r="AN172" s="2" t="s">
        <v>74</v>
      </c>
      <c r="AO172" s="2" t="s">
        <v>337</v>
      </c>
      <c r="AP172" s="2" t="s">
        <v>338</v>
      </c>
      <c r="AQ172" s="2" t="s">
        <v>74</v>
      </c>
      <c r="AR172" s="2" t="s">
        <v>74</v>
      </c>
      <c r="AS172" s="2" t="s">
        <v>74</v>
      </c>
      <c r="AT172" s="2" t="s">
        <v>339</v>
      </c>
      <c r="AU172" s="2">
        <v>2013</v>
      </c>
      <c r="AV172" s="2">
        <v>24</v>
      </c>
      <c r="AW172" s="2">
        <v>4</v>
      </c>
      <c r="AX172" s="2" t="s">
        <v>74</v>
      </c>
      <c r="AY172" s="2" t="s">
        <v>74</v>
      </c>
      <c r="AZ172" s="2" t="s">
        <v>74</v>
      </c>
      <c r="BA172" s="2" t="s">
        <v>74</v>
      </c>
      <c r="BB172" s="2">
        <v>968</v>
      </c>
      <c r="BC172" s="2">
        <v>981</v>
      </c>
      <c r="BD172" s="2" t="s">
        <v>74</v>
      </c>
      <c r="BE172" s="2" t="s">
        <v>340</v>
      </c>
      <c r="BF172" s="2" t="str">
        <f>HYPERLINK("http://dx.doi.org/10.1093/beheco/art010","http://dx.doi.org/10.1093/beheco/art010")</f>
        <v>http://dx.doi.org/10.1093/beheco/art010</v>
      </c>
      <c r="BG172" s="2" t="s">
        <v>74</v>
      </c>
      <c r="BH172" s="2" t="s">
        <v>74</v>
      </c>
      <c r="BI172" s="2" t="s">
        <v>74</v>
      </c>
      <c r="BJ172" s="2" t="s">
        <v>74</v>
      </c>
      <c r="BK172" s="2" t="s">
        <v>74</v>
      </c>
      <c r="BL172" s="2" t="s">
        <v>74</v>
      </c>
      <c r="BM172" s="2" t="s">
        <v>74</v>
      </c>
      <c r="BN172" s="2" t="s">
        <v>74</v>
      </c>
      <c r="BO172" s="2" t="s">
        <v>74</v>
      </c>
      <c r="BP172" s="2" t="s">
        <v>74</v>
      </c>
      <c r="BQ172" s="2" t="s">
        <v>74</v>
      </c>
      <c r="BR172" s="2" t="s">
        <v>74</v>
      </c>
      <c r="BS172" s="2" t="s">
        <v>341</v>
      </c>
      <c r="BT172" s="2" t="str">
        <f>HYPERLINK("https%3A%2F%2Fwww.webofscience.com%2Fwos%2Fwoscc%2Ffull-record%2FWOS:000320409900028","View Full Record in Web of Science")</f>
        <v>View Full Record in Web of Science</v>
      </c>
    </row>
    <row r="173" spans="1:72" s="2" customFormat="1" x14ac:dyDescent="0.4">
      <c r="A173" s="2" t="s">
        <v>72</v>
      </c>
      <c r="B173" s="2" t="s">
        <v>791</v>
      </c>
      <c r="C173" s="2" t="s">
        <v>74</v>
      </c>
      <c r="D173" s="2" t="s">
        <v>74</v>
      </c>
      <c r="E173" s="2" t="s">
        <v>74</v>
      </c>
      <c r="F173" s="2" t="s">
        <v>792</v>
      </c>
      <c r="G173" s="2" t="s">
        <v>74</v>
      </c>
      <c r="H173" s="2" t="s">
        <v>74</v>
      </c>
      <c r="I173" s="2" t="s">
        <v>793</v>
      </c>
      <c r="J173" s="2" t="s">
        <v>763</v>
      </c>
      <c r="K173" s="2" t="s">
        <v>74</v>
      </c>
      <c r="L173" s="2" t="s">
        <v>74</v>
      </c>
      <c r="M173" s="2" t="s">
        <v>74</v>
      </c>
      <c r="N173" s="2" t="s">
        <v>74</v>
      </c>
      <c r="O173" s="2" t="s">
        <v>74</v>
      </c>
      <c r="P173" s="2" t="s">
        <v>74</v>
      </c>
      <c r="Q173" s="2" t="s">
        <v>74</v>
      </c>
      <c r="R173" s="2" t="s">
        <v>74</v>
      </c>
      <c r="S173" s="2" t="s">
        <v>74</v>
      </c>
      <c r="T173" s="2" t="s">
        <v>74</v>
      </c>
      <c r="U173" s="2" t="s">
        <v>74</v>
      </c>
      <c r="V173" s="5" t="s">
        <v>794</v>
      </c>
      <c r="W173" s="2" t="s">
        <v>74</v>
      </c>
      <c r="X173" s="2" t="s">
        <v>74</v>
      </c>
      <c r="Y173" s="2" t="s">
        <v>74</v>
      </c>
      <c r="Z173" s="2" t="s">
        <v>74</v>
      </c>
      <c r="AA173" s="2" t="s">
        <v>795</v>
      </c>
      <c r="AB173" s="2" t="s">
        <v>796</v>
      </c>
      <c r="AC173" s="2" t="s">
        <v>74</v>
      </c>
      <c r="AD173" s="2" t="s">
        <v>74</v>
      </c>
      <c r="AE173" s="2" t="s">
        <v>74</v>
      </c>
      <c r="AF173" s="2" t="s">
        <v>74</v>
      </c>
      <c r="AG173" s="2" t="s">
        <v>74</v>
      </c>
      <c r="AH173" s="2" t="s">
        <v>74</v>
      </c>
      <c r="AI173" s="2" t="s">
        <v>74</v>
      </c>
      <c r="AJ173" s="2" t="s">
        <v>74</v>
      </c>
      <c r="AK173" s="2" t="s">
        <v>74</v>
      </c>
      <c r="AL173" s="2" t="s">
        <v>74</v>
      </c>
      <c r="AM173" s="2" t="s">
        <v>74</v>
      </c>
      <c r="AN173" s="2" t="s">
        <v>74</v>
      </c>
      <c r="AO173" s="2" t="s">
        <v>767</v>
      </c>
      <c r="AP173" s="2" t="s">
        <v>768</v>
      </c>
      <c r="AQ173" s="2" t="s">
        <v>74</v>
      </c>
      <c r="AR173" s="2" t="s">
        <v>74</v>
      </c>
      <c r="AS173" s="2" t="s">
        <v>74</v>
      </c>
      <c r="AT173" s="2" t="s">
        <v>123</v>
      </c>
      <c r="AU173" s="2">
        <v>2018</v>
      </c>
      <c r="AV173" s="2">
        <v>221</v>
      </c>
      <c r="AW173" s="2">
        <v>5</v>
      </c>
      <c r="AX173" s="2" t="s">
        <v>74</v>
      </c>
      <c r="AY173" s="2" t="s">
        <v>74</v>
      </c>
      <c r="AZ173" s="2" t="s">
        <v>74</v>
      </c>
      <c r="BA173" s="2" t="s">
        <v>74</v>
      </c>
      <c r="BB173" s="2" t="s">
        <v>74</v>
      </c>
      <c r="BC173" s="2" t="s">
        <v>74</v>
      </c>
      <c r="BD173" s="2" t="s">
        <v>797</v>
      </c>
      <c r="BE173" s="2" t="s">
        <v>798</v>
      </c>
      <c r="BF173" s="2" t="str">
        <f>HYPERLINK("http://dx.doi.org/10.1242/jeb.173252","http://dx.doi.org/10.1242/jeb.173252")</f>
        <v>http://dx.doi.org/10.1242/jeb.173252</v>
      </c>
      <c r="BG173" s="2" t="s">
        <v>74</v>
      </c>
      <c r="BH173" s="2" t="s">
        <v>74</v>
      </c>
      <c r="BI173" s="2" t="s">
        <v>74</v>
      </c>
      <c r="BJ173" s="2" t="s">
        <v>74</v>
      </c>
      <c r="BK173" s="2" t="s">
        <v>74</v>
      </c>
      <c r="BL173" s="2" t="s">
        <v>74</v>
      </c>
      <c r="BM173" s="2" t="s">
        <v>74</v>
      </c>
      <c r="BN173" s="2">
        <v>29361602</v>
      </c>
      <c r="BO173" s="2" t="s">
        <v>74</v>
      </c>
      <c r="BP173" s="2" t="s">
        <v>74</v>
      </c>
      <c r="BQ173" s="2" t="s">
        <v>74</v>
      </c>
      <c r="BR173" s="2" t="s">
        <v>74</v>
      </c>
      <c r="BS173" s="2" t="s">
        <v>799</v>
      </c>
      <c r="BT173" s="2" t="str">
        <f>HYPERLINK("https%3A%2F%2Fwww.webofscience.com%2Fwos%2Fwoscc%2Ffull-record%2FWOS:000427353100021","View Full Record in Web of Science")</f>
        <v>View Full Record in Web of Science</v>
      </c>
    </row>
    <row r="174" spans="1:72" s="2" customFormat="1" x14ac:dyDescent="0.4">
      <c r="A174" s="2" t="s">
        <v>72</v>
      </c>
      <c r="B174" s="2" t="s">
        <v>791</v>
      </c>
      <c r="C174" s="2" t="s">
        <v>74</v>
      </c>
      <c r="D174" s="2" t="s">
        <v>74</v>
      </c>
      <c r="E174" s="2" t="s">
        <v>74</v>
      </c>
      <c r="F174" s="2" t="s">
        <v>792</v>
      </c>
      <c r="G174" s="2" t="s">
        <v>74</v>
      </c>
      <c r="H174" s="2" t="s">
        <v>74</v>
      </c>
      <c r="I174" s="2" t="s">
        <v>1172</v>
      </c>
      <c r="J174" s="2" t="s">
        <v>140</v>
      </c>
      <c r="K174" s="2" t="s">
        <v>74</v>
      </c>
      <c r="L174" s="2" t="s">
        <v>74</v>
      </c>
      <c r="M174" s="2" t="s">
        <v>74</v>
      </c>
      <c r="N174" s="2" t="s">
        <v>74</v>
      </c>
      <c r="O174" s="2" t="s">
        <v>74</v>
      </c>
      <c r="P174" s="2" t="s">
        <v>74</v>
      </c>
      <c r="Q174" s="2" t="s">
        <v>74</v>
      </c>
      <c r="R174" s="2" t="s">
        <v>74</v>
      </c>
      <c r="S174" s="2" t="s">
        <v>74</v>
      </c>
      <c r="T174" s="2" t="s">
        <v>74</v>
      </c>
      <c r="U174" s="2" t="s">
        <v>74</v>
      </c>
      <c r="V174" s="5" t="s">
        <v>1173</v>
      </c>
      <c r="W174" s="2" t="s">
        <v>74</v>
      </c>
      <c r="X174" s="2" t="s">
        <v>74</v>
      </c>
      <c r="Y174" s="2" t="s">
        <v>74</v>
      </c>
      <c r="Z174" s="2" t="s">
        <v>74</v>
      </c>
      <c r="AA174" s="2" t="s">
        <v>795</v>
      </c>
      <c r="AB174" s="2" t="s">
        <v>796</v>
      </c>
      <c r="AC174" s="2" t="s">
        <v>74</v>
      </c>
      <c r="AD174" s="2" t="s">
        <v>74</v>
      </c>
      <c r="AE174" s="2" t="s">
        <v>74</v>
      </c>
      <c r="AF174" s="2" t="s">
        <v>74</v>
      </c>
      <c r="AG174" s="2" t="s">
        <v>74</v>
      </c>
      <c r="AH174" s="2" t="s">
        <v>74</v>
      </c>
      <c r="AI174" s="2" t="s">
        <v>74</v>
      </c>
      <c r="AJ174" s="2" t="s">
        <v>74</v>
      </c>
      <c r="AK174" s="2" t="s">
        <v>74</v>
      </c>
      <c r="AL174" s="2" t="s">
        <v>74</v>
      </c>
      <c r="AM174" s="2" t="s">
        <v>74</v>
      </c>
      <c r="AN174" s="2" t="s">
        <v>74</v>
      </c>
      <c r="AO174" s="2" t="s">
        <v>143</v>
      </c>
      <c r="AP174" s="2" t="s">
        <v>144</v>
      </c>
      <c r="AQ174" s="2" t="s">
        <v>74</v>
      </c>
      <c r="AR174" s="2" t="s">
        <v>74</v>
      </c>
      <c r="AS174" s="2" t="s">
        <v>74</v>
      </c>
      <c r="AT174" s="2" t="s">
        <v>204</v>
      </c>
      <c r="AU174" s="2">
        <v>2017</v>
      </c>
      <c r="AV174" s="2">
        <v>129</v>
      </c>
      <c r="AW174" s="2" t="s">
        <v>74</v>
      </c>
      <c r="AX174" s="2" t="s">
        <v>74</v>
      </c>
      <c r="AY174" s="2" t="s">
        <v>74</v>
      </c>
      <c r="AZ174" s="2" t="s">
        <v>74</v>
      </c>
      <c r="BA174" s="2" t="s">
        <v>74</v>
      </c>
      <c r="BB174" s="2">
        <v>229</v>
      </c>
      <c r="BC174" s="2">
        <v>236</v>
      </c>
      <c r="BD174" s="2" t="s">
        <v>74</v>
      </c>
      <c r="BE174" s="2" t="s">
        <v>1174</v>
      </c>
      <c r="BF174" s="2" t="str">
        <f>HYPERLINK("http://dx.doi.org/10.1016/j.anbehav.2017.05.018","http://dx.doi.org/10.1016/j.anbehav.2017.05.018")</f>
        <v>http://dx.doi.org/10.1016/j.anbehav.2017.05.018</v>
      </c>
      <c r="BG174" s="2" t="s">
        <v>74</v>
      </c>
      <c r="BH174" s="2" t="s">
        <v>74</v>
      </c>
      <c r="BI174" s="2" t="s">
        <v>74</v>
      </c>
      <c r="BJ174" s="2" t="s">
        <v>74</v>
      </c>
      <c r="BK174" s="2" t="s">
        <v>74</v>
      </c>
      <c r="BL174" s="2" t="s">
        <v>74</v>
      </c>
      <c r="BM174" s="2" t="s">
        <v>74</v>
      </c>
      <c r="BN174" s="2" t="s">
        <v>74</v>
      </c>
      <c r="BO174" s="2" t="s">
        <v>74</v>
      </c>
      <c r="BP174" s="2" t="s">
        <v>74</v>
      </c>
      <c r="BQ174" s="2" t="s">
        <v>74</v>
      </c>
      <c r="BR174" s="2" t="s">
        <v>74</v>
      </c>
      <c r="BS174" s="2" t="s">
        <v>1175</v>
      </c>
      <c r="BT174" s="2" t="str">
        <f>HYPERLINK("https%3A%2F%2Fwww.webofscience.com%2Fwos%2Fwoscc%2Ffull-record%2FWOS:000405821200025","View Full Record in Web of Science")</f>
        <v>View Full Record in Web of Science</v>
      </c>
    </row>
    <row r="175" spans="1:72" s="2" customFormat="1" x14ac:dyDescent="0.4">
      <c r="A175" s="2" t="s">
        <v>72</v>
      </c>
      <c r="B175" s="2" t="s">
        <v>7974</v>
      </c>
      <c r="C175" s="2" t="s">
        <v>74</v>
      </c>
      <c r="D175" s="2" t="s">
        <v>74</v>
      </c>
      <c r="E175" s="2" t="s">
        <v>74</v>
      </c>
      <c r="F175" s="2" t="s">
        <v>7975</v>
      </c>
      <c r="G175" s="2" t="s">
        <v>74</v>
      </c>
      <c r="H175" s="2" t="s">
        <v>74</v>
      </c>
      <c r="I175" s="2" t="s">
        <v>7976</v>
      </c>
      <c r="J175" s="2" t="s">
        <v>6427</v>
      </c>
      <c r="K175" s="2" t="s">
        <v>74</v>
      </c>
      <c r="L175" s="2" t="s">
        <v>74</v>
      </c>
      <c r="M175" s="2" t="s">
        <v>74</v>
      </c>
      <c r="N175" s="2" t="s">
        <v>74</v>
      </c>
      <c r="O175" s="2" t="s">
        <v>74</v>
      </c>
      <c r="P175" s="2" t="s">
        <v>74</v>
      </c>
      <c r="Q175" s="2" t="s">
        <v>74</v>
      </c>
      <c r="R175" s="2" t="s">
        <v>74</v>
      </c>
      <c r="S175" s="2" t="s">
        <v>74</v>
      </c>
      <c r="T175" s="2" t="s">
        <v>74</v>
      </c>
      <c r="U175" s="2" t="s">
        <v>74</v>
      </c>
      <c r="V175" s="5" t="s">
        <v>7977</v>
      </c>
      <c r="W175" s="2" t="s">
        <v>74</v>
      </c>
      <c r="X175" s="2" t="s">
        <v>74</v>
      </c>
      <c r="Y175" s="2" t="s">
        <v>74</v>
      </c>
      <c r="Z175" s="2" t="s">
        <v>74</v>
      </c>
      <c r="AA175" s="2" t="s">
        <v>7978</v>
      </c>
      <c r="AB175" s="2" t="s">
        <v>7979</v>
      </c>
      <c r="AC175" s="2" t="s">
        <v>74</v>
      </c>
      <c r="AD175" s="2" t="s">
        <v>74</v>
      </c>
      <c r="AE175" s="2" t="s">
        <v>74</v>
      </c>
      <c r="AF175" s="2" t="s">
        <v>74</v>
      </c>
      <c r="AG175" s="2" t="s">
        <v>74</v>
      </c>
      <c r="AH175" s="2" t="s">
        <v>74</v>
      </c>
      <c r="AI175" s="2" t="s">
        <v>74</v>
      </c>
      <c r="AJ175" s="2" t="s">
        <v>74</v>
      </c>
      <c r="AK175" s="2" t="s">
        <v>74</v>
      </c>
      <c r="AL175" s="2" t="s">
        <v>74</v>
      </c>
      <c r="AM175" s="2" t="s">
        <v>74</v>
      </c>
      <c r="AN175" s="2" t="s">
        <v>74</v>
      </c>
      <c r="AO175" s="2" t="s">
        <v>6431</v>
      </c>
      <c r="AP175" s="2" t="s">
        <v>74</v>
      </c>
      <c r="AQ175" s="2" t="s">
        <v>74</v>
      </c>
      <c r="AR175" s="2" t="s">
        <v>74</v>
      </c>
      <c r="AS175" s="2" t="s">
        <v>74</v>
      </c>
      <c r="AT175" s="2" t="s">
        <v>7980</v>
      </c>
      <c r="AU175" s="2">
        <v>2014</v>
      </c>
      <c r="AV175" s="2">
        <v>50</v>
      </c>
      <c r="AW175" s="2">
        <v>3</v>
      </c>
      <c r="AX175" s="2" t="s">
        <v>74</v>
      </c>
      <c r="AY175" s="2" t="s">
        <v>74</v>
      </c>
      <c r="AZ175" s="2" t="s">
        <v>74</v>
      </c>
      <c r="BA175" s="2" t="s">
        <v>74</v>
      </c>
      <c r="BB175" s="2">
        <v>155</v>
      </c>
      <c r="BC175" s="2">
        <v>171</v>
      </c>
      <c r="BD175" s="2" t="s">
        <v>74</v>
      </c>
      <c r="BE175" s="2" t="s">
        <v>74</v>
      </c>
      <c r="BF175" s="2" t="s">
        <v>74</v>
      </c>
      <c r="BG175" s="2" t="s">
        <v>74</v>
      </c>
      <c r="BH175" s="2" t="s">
        <v>74</v>
      </c>
      <c r="BI175" s="2" t="s">
        <v>74</v>
      </c>
      <c r="BJ175" s="2" t="s">
        <v>74</v>
      </c>
      <c r="BK175" s="2" t="s">
        <v>74</v>
      </c>
      <c r="BL175" s="2" t="s">
        <v>74</v>
      </c>
      <c r="BM175" s="2" t="s">
        <v>74</v>
      </c>
      <c r="BN175" s="2" t="s">
        <v>74</v>
      </c>
      <c r="BO175" s="2" t="s">
        <v>74</v>
      </c>
      <c r="BP175" s="2" t="s">
        <v>74</v>
      </c>
      <c r="BQ175" s="2" t="s">
        <v>74</v>
      </c>
      <c r="BR175" s="2" t="s">
        <v>74</v>
      </c>
      <c r="BS175" s="2" t="s">
        <v>7981</v>
      </c>
      <c r="BT175" s="2" t="str">
        <f>HYPERLINK("https%3A%2F%2Fwww.webofscience.com%2Fwos%2Fwoscc%2Ffull-record%2FWOS:000344312600005","View Full Record in Web of Science")</f>
        <v>View Full Record in Web of Science</v>
      </c>
    </row>
    <row r="176" spans="1:72" s="2" customFormat="1" x14ac:dyDescent="0.4">
      <c r="A176" s="2" t="s">
        <v>72</v>
      </c>
      <c r="B176" s="2" t="s">
        <v>4626</v>
      </c>
      <c r="C176" s="2" t="s">
        <v>74</v>
      </c>
      <c r="D176" s="2" t="s">
        <v>74</v>
      </c>
      <c r="E176" s="2" t="s">
        <v>74</v>
      </c>
      <c r="F176" s="2" t="s">
        <v>4627</v>
      </c>
      <c r="G176" s="2" t="s">
        <v>74</v>
      </c>
      <c r="H176" s="2" t="s">
        <v>74</v>
      </c>
      <c r="I176" s="2" t="s">
        <v>4628</v>
      </c>
      <c r="J176" s="2" t="s">
        <v>119</v>
      </c>
      <c r="K176" s="2" t="s">
        <v>74</v>
      </c>
      <c r="L176" s="2" t="s">
        <v>74</v>
      </c>
      <c r="M176" s="2" t="s">
        <v>74</v>
      </c>
      <c r="N176" s="2" t="s">
        <v>74</v>
      </c>
      <c r="O176" s="2" t="s">
        <v>74</v>
      </c>
      <c r="P176" s="2" t="s">
        <v>74</v>
      </c>
      <c r="Q176" s="2" t="s">
        <v>74</v>
      </c>
      <c r="R176" s="2" t="s">
        <v>74</v>
      </c>
      <c r="S176" s="2" t="s">
        <v>74</v>
      </c>
      <c r="T176" s="2" t="s">
        <v>74</v>
      </c>
      <c r="U176" s="2" t="s">
        <v>74</v>
      </c>
      <c r="V176" s="5" t="s">
        <v>4629</v>
      </c>
      <c r="W176" s="2" t="s">
        <v>74</v>
      </c>
      <c r="X176" s="2" t="s">
        <v>74</v>
      </c>
      <c r="Y176" s="2" t="s">
        <v>74</v>
      </c>
      <c r="Z176" s="2" t="s">
        <v>74</v>
      </c>
      <c r="AA176" s="2" t="s">
        <v>4630</v>
      </c>
      <c r="AB176" s="2" t="s">
        <v>4631</v>
      </c>
      <c r="AC176" s="2" t="s">
        <v>74</v>
      </c>
      <c r="AD176" s="2" t="s">
        <v>74</v>
      </c>
      <c r="AE176" s="2" t="s">
        <v>74</v>
      </c>
      <c r="AF176" s="2" t="s">
        <v>74</v>
      </c>
      <c r="AG176" s="2" t="s">
        <v>74</v>
      </c>
      <c r="AH176" s="2" t="s">
        <v>74</v>
      </c>
      <c r="AI176" s="2" t="s">
        <v>74</v>
      </c>
      <c r="AJ176" s="2" t="s">
        <v>74</v>
      </c>
      <c r="AK176" s="2" t="s">
        <v>74</v>
      </c>
      <c r="AL176" s="2" t="s">
        <v>74</v>
      </c>
      <c r="AM176" s="2" t="s">
        <v>74</v>
      </c>
      <c r="AN176" s="2" t="s">
        <v>74</v>
      </c>
      <c r="AO176" s="2" t="s">
        <v>121</v>
      </c>
      <c r="AP176" s="2" t="s">
        <v>122</v>
      </c>
      <c r="AQ176" s="2" t="s">
        <v>74</v>
      </c>
      <c r="AR176" s="2" t="s">
        <v>74</v>
      </c>
      <c r="AS176" s="2" t="s">
        <v>74</v>
      </c>
      <c r="AT176" s="2" t="s">
        <v>134</v>
      </c>
      <c r="AU176" s="2">
        <v>2017</v>
      </c>
      <c r="AV176" s="2">
        <v>138</v>
      </c>
      <c r="AW176" s="2" t="s">
        <v>74</v>
      </c>
      <c r="AX176" s="2" t="s">
        <v>74</v>
      </c>
      <c r="AY176" s="2" t="s">
        <v>74</v>
      </c>
      <c r="AZ176" s="2" t="s">
        <v>74</v>
      </c>
      <c r="BA176" s="2" t="s">
        <v>74</v>
      </c>
      <c r="BB176" s="2">
        <v>123</v>
      </c>
      <c r="BC176" s="2">
        <v>126</v>
      </c>
      <c r="BD176" s="2" t="s">
        <v>74</v>
      </c>
      <c r="BE176" s="2" t="s">
        <v>4632</v>
      </c>
      <c r="BF176" s="2" t="str">
        <f>HYPERLINK("http://dx.doi.org/10.1016/j.beproc.2017.03.001","http://dx.doi.org/10.1016/j.beproc.2017.03.001")</f>
        <v>http://dx.doi.org/10.1016/j.beproc.2017.03.001</v>
      </c>
      <c r="BG176" s="2" t="s">
        <v>74</v>
      </c>
      <c r="BH176" s="2" t="s">
        <v>74</v>
      </c>
      <c r="BI176" s="2" t="s">
        <v>74</v>
      </c>
      <c r="BJ176" s="2" t="s">
        <v>74</v>
      </c>
      <c r="BK176" s="2" t="s">
        <v>74</v>
      </c>
      <c r="BL176" s="2" t="s">
        <v>74</v>
      </c>
      <c r="BM176" s="2" t="s">
        <v>74</v>
      </c>
      <c r="BN176" s="2">
        <v>28274764</v>
      </c>
      <c r="BO176" s="2" t="s">
        <v>74</v>
      </c>
      <c r="BP176" s="2" t="s">
        <v>74</v>
      </c>
      <c r="BQ176" s="2" t="s">
        <v>74</v>
      </c>
      <c r="BR176" s="2" t="s">
        <v>74</v>
      </c>
      <c r="BS176" s="2" t="s">
        <v>4633</v>
      </c>
      <c r="BT176" s="2" t="str">
        <f>HYPERLINK("https%3A%2F%2Fwww.webofscience.com%2Fwos%2Fwoscc%2Ffull-record%2FWOS:000400878800016","View Full Record in Web of Science")</f>
        <v>View Full Record in Web of Science</v>
      </c>
    </row>
    <row r="177" spans="1:72" s="2" customFormat="1" x14ac:dyDescent="0.4">
      <c r="A177" s="2" t="s">
        <v>72</v>
      </c>
      <c r="B177" s="2" t="s">
        <v>6399</v>
      </c>
      <c r="C177" s="2" t="s">
        <v>74</v>
      </c>
      <c r="D177" s="2" t="s">
        <v>74</v>
      </c>
      <c r="E177" s="2" t="s">
        <v>74</v>
      </c>
      <c r="F177" s="2" t="s">
        <v>6400</v>
      </c>
      <c r="G177" s="2" t="s">
        <v>74</v>
      </c>
      <c r="H177" s="2" t="s">
        <v>74</v>
      </c>
      <c r="I177" s="2" t="s">
        <v>6401</v>
      </c>
      <c r="J177" s="2" t="s">
        <v>6402</v>
      </c>
      <c r="K177" s="2" t="s">
        <v>74</v>
      </c>
      <c r="L177" s="2" t="s">
        <v>74</v>
      </c>
      <c r="M177" s="2" t="s">
        <v>74</v>
      </c>
      <c r="N177" s="2" t="s">
        <v>74</v>
      </c>
      <c r="O177" s="2" t="s">
        <v>74</v>
      </c>
      <c r="P177" s="2" t="s">
        <v>74</v>
      </c>
      <c r="Q177" s="2" t="s">
        <v>74</v>
      </c>
      <c r="R177" s="2" t="s">
        <v>74</v>
      </c>
      <c r="S177" s="2" t="s">
        <v>74</v>
      </c>
      <c r="T177" s="2" t="s">
        <v>74</v>
      </c>
      <c r="U177" s="2" t="s">
        <v>74</v>
      </c>
      <c r="V177" s="5" t="s">
        <v>6403</v>
      </c>
      <c r="W177" s="2" t="s">
        <v>74</v>
      </c>
      <c r="X177" s="2" t="s">
        <v>74</v>
      </c>
      <c r="Y177" s="2" t="s">
        <v>74</v>
      </c>
      <c r="Z177" s="2" t="s">
        <v>74</v>
      </c>
      <c r="AA177" s="2" t="s">
        <v>6404</v>
      </c>
      <c r="AB177" s="2" t="s">
        <v>6405</v>
      </c>
      <c r="AC177" s="2" t="s">
        <v>74</v>
      </c>
      <c r="AD177" s="2" t="s">
        <v>74</v>
      </c>
      <c r="AE177" s="2" t="s">
        <v>74</v>
      </c>
      <c r="AF177" s="2" t="s">
        <v>74</v>
      </c>
      <c r="AG177" s="2" t="s">
        <v>74</v>
      </c>
      <c r="AH177" s="2" t="s">
        <v>74</v>
      </c>
      <c r="AI177" s="2" t="s">
        <v>74</v>
      </c>
      <c r="AJ177" s="2" t="s">
        <v>74</v>
      </c>
      <c r="AK177" s="2" t="s">
        <v>74</v>
      </c>
      <c r="AL177" s="2" t="s">
        <v>74</v>
      </c>
      <c r="AM177" s="2" t="s">
        <v>74</v>
      </c>
      <c r="AN177" s="2" t="s">
        <v>74</v>
      </c>
      <c r="AO177" s="2" t="s">
        <v>6406</v>
      </c>
      <c r="AP177" s="2" t="s">
        <v>6407</v>
      </c>
      <c r="AQ177" s="2" t="s">
        <v>74</v>
      </c>
      <c r="AR177" s="2" t="s">
        <v>74</v>
      </c>
      <c r="AS177" s="2" t="s">
        <v>74</v>
      </c>
      <c r="AT177" s="2" t="s">
        <v>123</v>
      </c>
      <c r="AU177" s="2">
        <v>2014</v>
      </c>
      <c r="AV177" s="2">
        <v>169</v>
      </c>
      <c r="AW177" s="2" t="s">
        <v>74</v>
      </c>
      <c r="AX177" s="2" t="s">
        <v>74</v>
      </c>
      <c r="AY177" s="2" t="s">
        <v>74</v>
      </c>
      <c r="AZ177" s="2" t="s">
        <v>74</v>
      </c>
      <c r="BA177" s="2" t="s">
        <v>74</v>
      </c>
      <c r="BB177" s="2">
        <v>25</v>
      </c>
      <c r="BC177" s="2">
        <v>32</v>
      </c>
      <c r="BD177" s="2" t="s">
        <v>74</v>
      </c>
      <c r="BE177" s="2" t="s">
        <v>6408</v>
      </c>
      <c r="BF177" s="2" t="str">
        <f>HYPERLINK("http://dx.doi.org/10.1016/j.cbpa.2013.12.001","http://dx.doi.org/10.1016/j.cbpa.2013.12.001")</f>
        <v>http://dx.doi.org/10.1016/j.cbpa.2013.12.001</v>
      </c>
      <c r="BG177" s="2" t="s">
        <v>74</v>
      </c>
      <c r="BH177" s="2" t="s">
        <v>74</v>
      </c>
      <c r="BI177" s="2" t="s">
        <v>74</v>
      </c>
      <c r="BJ177" s="2" t="s">
        <v>74</v>
      </c>
      <c r="BK177" s="2" t="s">
        <v>74</v>
      </c>
      <c r="BL177" s="2" t="s">
        <v>74</v>
      </c>
      <c r="BM177" s="2" t="s">
        <v>74</v>
      </c>
      <c r="BN177" s="2">
        <v>24326244</v>
      </c>
      <c r="BO177" s="2" t="s">
        <v>74</v>
      </c>
      <c r="BP177" s="2" t="s">
        <v>74</v>
      </c>
      <c r="BQ177" s="2" t="s">
        <v>74</v>
      </c>
      <c r="BR177" s="2" t="s">
        <v>74</v>
      </c>
      <c r="BS177" s="2" t="s">
        <v>6409</v>
      </c>
      <c r="BT177" s="2" t="str">
        <f>HYPERLINK("https%3A%2F%2Fwww.webofscience.com%2Fwos%2Fwoscc%2Ffull-record%2FWOS:000331428700005","View Full Record in Web of Science")</f>
        <v>View Full Record in Web of Science</v>
      </c>
    </row>
    <row r="178" spans="1:72" s="2" customFormat="1" x14ac:dyDescent="0.4">
      <c r="A178" s="2" t="s">
        <v>72</v>
      </c>
      <c r="B178" s="2" t="s">
        <v>2188</v>
      </c>
      <c r="C178" s="2" t="s">
        <v>74</v>
      </c>
      <c r="D178" s="2" t="s">
        <v>74</v>
      </c>
      <c r="E178" s="2" t="s">
        <v>74</v>
      </c>
      <c r="F178" s="2" t="s">
        <v>2189</v>
      </c>
      <c r="G178" s="2" t="s">
        <v>74</v>
      </c>
      <c r="H178" s="2" t="s">
        <v>74</v>
      </c>
      <c r="I178" s="2" t="s">
        <v>2190</v>
      </c>
      <c r="J178" s="2" t="s">
        <v>2191</v>
      </c>
      <c r="K178" s="2" t="s">
        <v>74</v>
      </c>
      <c r="L178" s="2" t="s">
        <v>74</v>
      </c>
      <c r="M178" s="2" t="s">
        <v>74</v>
      </c>
      <c r="N178" s="2" t="s">
        <v>74</v>
      </c>
      <c r="O178" s="2" t="s">
        <v>74</v>
      </c>
      <c r="P178" s="2" t="s">
        <v>74</v>
      </c>
      <c r="Q178" s="2" t="s">
        <v>74</v>
      </c>
      <c r="R178" s="2" t="s">
        <v>74</v>
      </c>
      <c r="S178" s="2" t="s">
        <v>74</v>
      </c>
      <c r="T178" s="2" t="s">
        <v>74</v>
      </c>
      <c r="U178" s="2" t="s">
        <v>74</v>
      </c>
      <c r="V178" s="5" t="s">
        <v>2192</v>
      </c>
      <c r="W178" s="2" t="s">
        <v>74</v>
      </c>
      <c r="X178" s="2" t="s">
        <v>74</v>
      </c>
      <c r="Y178" s="2" t="s">
        <v>74</v>
      </c>
      <c r="Z178" s="2" t="s">
        <v>74</v>
      </c>
      <c r="AA178" s="2" t="s">
        <v>74</v>
      </c>
      <c r="AB178" s="2" t="s">
        <v>74</v>
      </c>
      <c r="AC178" s="2" t="s">
        <v>74</v>
      </c>
      <c r="AD178" s="2" t="s">
        <v>74</v>
      </c>
      <c r="AE178" s="2" t="s">
        <v>74</v>
      </c>
      <c r="AF178" s="2" t="s">
        <v>74</v>
      </c>
      <c r="AG178" s="2" t="s">
        <v>74</v>
      </c>
      <c r="AH178" s="2" t="s">
        <v>74</v>
      </c>
      <c r="AI178" s="2" t="s">
        <v>74</v>
      </c>
      <c r="AJ178" s="2" t="s">
        <v>74</v>
      </c>
      <c r="AK178" s="2" t="s">
        <v>74</v>
      </c>
      <c r="AL178" s="2" t="s">
        <v>74</v>
      </c>
      <c r="AM178" s="2" t="s">
        <v>74</v>
      </c>
      <c r="AN178" s="2" t="s">
        <v>74</v>
      </c>
      <c r="AO178" s="2" t="s">
        <v>2193</v>
      </c>
      <c r="AP178" s="2" t="s">
        <v>2194</v>
      </c>
      <c r="AQ178" s="2" t="s">
        <v>74</v>
      </c>
      <c r="AR178" s="2" t="s">
        <v>74</v>
      </c>
      <c r="AS178" s="2" t="s">
        <v>74</v>
      </c>
      <c r="AT178" s="2" t="s">
        <v>352</v>
      </c>
      <c r="AU178" s="2">
        <v>2014</v>
      </c>
      <c r="AV178" s="2">
        <v>62</v>
      </c>
      <c r="AW178" s="2" t="s">
        <v>74</v>
      </c>
      <c r="AX178" s="2" t="s">
        <v>74</v>
      </c>
      <c r="AY178" s="2" t="s">
        <v>74</v>
      </c>
      <c r="AZ178" s="2" t="s">
        <v>74</v>
      </c>
      <c r="BA178" s="2" t="s">
        <v>74</v>
      </c>
      <c r="BB178" s="2">
        <v>49</v>
      </c>
      <c r="BC178" s="2">
        <v>53</v>
      </c>
      <c r="BD178" s="2" t="s">
        <v>74</v>
      </c>
      <c r="BE178" s="2" t="s">
        <v>2195</v>
      </c>
      <c r="BF178" s="2" t="str">
        <f>HYPERLINK("http://dx.doi.org/10.1016/j.aquaeng.2014.06.004","http://dx.doi.org/10.1016/j.aquaeng.2014.06.004")</f>
        <v>http://dx.doi.org/10.1016/j.aquaeng.2014.06.004</v>
      </c>
      <c r="BG178" s="2" t="s">
        <v>74</v>
      </c>
      <c r="BH178" s="2" t="s">
        <v>74</v>
      </c>
      <c r="BI178" s="2" t="s">
        <v>74</v>
      </c>
      <c r="BJ178" s="2" t="s">
        <v>74</v>
      </c>
      <c r="BK178" s="2" t="s">
        <v>74</v>
      </c>
      <c r="BL178" s="2" t="s">
        <v>74</v>
      </c>
      <c r="BM178" s="2" t="s">
        <v>74</v>
      </c>
      <c r="BN178" s="2" t="s">
        <v>74</v>
      </c>
      <c r="BO178" s="2" t="s">
        <v>74</v>
      </c>
      <c r="BP178" s="2" t="s">
        <v>74</v>
      </c>
      <c r="BQ178" s="2" t="s">
        <v>74</v>
      </c>
      <c r="BR178" s="2" t="s">
        <v>74</v>
      </c>
      <c r="BS178" s="2" t="s">
        <v>2196</v>
      </c>
      <c r="BT178" s="2" t="str">
        <f>HYPERLINK("https%3A%2F%2Fwww.webofscience.com%2Fwos%2Fwoscc%2Ffull-record%2FWOS:000342263700007","View Full Record in Web of Science")</f>
        <v>View Full Record in Web of Science</v>
      </c>
    </row>
    <row r="179" spans="1:72" s="2" customFormat="1" x14ac:dyDescent="0.4">
      <c r="A179" s="2" t="s">
        <v>72</v>
      </c>
      <c r="B179" s="2" t="s">
        <v>2188</v>
      </c>
      <c r="C179" s="2" t="s">
        <v>74</v>
      </c>
      <c r="D179" s="2" t="s">
        <v>74</v>
      </c>
      <c r="E179" s="2" t="s">
        <v>74</v>
      </c>
      <c r="F179" s="2" t="s">
        <v>2189</v>
      </c>
      <c r="G179" s="2" t="s">
        <v>74</v>
      </c>
      <c r="H179" s="2" t="s">
        <v>74</v>
      </c>
      <c r="I179" s="2" t="s">
        <v>8563</v>
      </c>
      <c r="J179" s="2" t="s">
        <v>4551</v>
      </c>
      <c r="K179" s="2" t="s">
        <v>74</v>
      </c>
      <c r="L179" s="2" t="s">
        <v>74</v>
      </c>
      <c r="M179" s="2" t="s">
        <v>74</v>
      </c>
      <c r="N179" s="2" t="s">
        <v>74</v>
      </c>
      <c r="O179" s="2" t="s">
        <v>74</v>
      </c>
      <c r="P179" s="2" t="s">
        <v>74</v>
      </c>
      <c r="Q179" s="2" t="s">
        <v>74</v>
      </c>
      <c r="R179" s="2" t="s">
        <v>74</v>
      </c>
      <c r="S179" s="2" t="s">
        <v>74</v>
      </c>
      <c r="T179" s="2" t="s">
        <v>74</v>
      </c>
      <c r="U179" s="2" t="s">
        <v>74</v>
      </c>
      <c r="V179" s="5" t="s">
        <v>8564</v>
      </c>
      <c r="W179" s="2" t="s">
        <v>74</v>
      </c>
      <c r="X179" s="2" t="s">
        <v>74</v>
      </c>
      <c r="Y179" s="2" t="s">
        <v>74</v>
      </c>
      <c r="Z179" s="2" t="s">
        <v>74</v>
      </c>
      <c r="AA179" s="2" t="s">
        <v>74</v>
      </c>
      <c r="AB179" s="2" t="s">
        <v>74</v>
      </c>
      <c r="AC179" s="2" t="s">
        <v>74</v>
      </c>
      <c r="AD179" s="2" t="s">
        <v>74</v>
      </c>
      <c r="AE179" s="2" t="s">
        <v>74</v>
      </c>
      <c r="AF179" s="2" t="s">
        <v>74</v>
      </c>
      <c r="AG179" s="2" t="s">
        <v>74</v>
      </c>
      <c r="AH179" s="2" t="s">
        <v>74</v>
      </c>
      <c r="AI179" s="2" t="s">
        <v>74</v>
      </c>
      <c r="AJ179" s="2" t="s">
        <v>74</v>
      </c>
      <c r="AK179" s="2" t="s">
        <v>74</v>
      </c>
      <c r="AL179" s="2" t="s">
        <v>74</v>
      </c>
      <c r="AM179" s="2" t="s">
        <v>74</v>
      </c>
      <c r="AN179" s="2" t="s">
        <v>74</v>
      </c>
      <c r="AO179" s="2" t="s">
        <v>4555</v>
      </c>
      <c r="AP179" s="2" t="s">
        <v>4556</v>
      </c>
      <c r="AQ179" s="2" t="s">
        <v>74</v>
      </c>
      <c r="AR179" s="2" t="s">
        <v>74</v>
      </c>
      <c r="AS179" s="2" t="s">
        <v>74</v>
      </c>
      <c r="AT179" s="2" t="s">
        <v>8565</v>
      </c>
      <c r="AU179" s="2">
        <v>2012</v>
      </c>
      <c r="AV179" s="2">
        <v>370</v>
      </c>
      <c r="AW179" s="2" t="s">
        <v>74</v>
      </c>
      <c r="AX179" s="2" t="s">
        <v>74</v>
      </c>
      <c r="AY179" s="2" t="s">
        <v>74</v>
      </c>
      <c r="AZ179" s="2" t="s">
        <v>74</v>
      </c>
      <c r="BA179" s="2" t="s">
        <v>74</v>
      </c>
      <c r="BB179" s="2">
        <v>54</v>
      </c>
      <c r="BC179" s="2">
        <v>60</v>
      </c>
      <c r="BD179" s="2" t="s">
        <v>74</v>
      </c>
      <c r="BE179" s="2" t="s">
        <v>8566</v>
      </c>
      <c r="BF179" s="2" t="str">
        <f>HYPERLINK("http://dx.doi.org/10.1016/j.aquaculture.2012.10.005","http://dx.doi.org/10.1016/j.aquaculture.2012.10.005")</f>
        <v>http://dx.doi.org/10.1016/j.aquaculture.2012.10.005</v>
      </c>
      <c r="BG179" s="2" t="s">
        <v>74</v>
      </c>
      <c r="BH179" s="2" t="s">
        <v>74</v>
      </c>
      <c r="BI179" s="2" t="s">
        <v>74</v>
      </c>
      <c r="BJ179" s="2" t="s">
        <v>74</v>
      </c>
      <c r="BK179" s="2" t="s">
        <v>74</v>
      </c>
      <c r="BL179" s="2" t="s">
        <v>74</v>
      </c>
      <c r="BM179" s="2" t="s">
        <v>74</v>
      </c>
      <c r="BN179" s="2" t="s">
        <v>74</v>
      </c>
      <c r="BO179" s="2" t="s">
        <v>74</v>
      </c>
      <c r="BP179" s="2" t="s">
        <v>74</v>
      </c>
      <c r="BQ179" s="2" t="s">
        <v>74</v>
      </c>
      <c r="BR179" s="2" t="s">
        <v>74</v>
      </c>
      <c r="BS179" s="2" t="s">
        <v>8567</v>
      </c>
      <c r="BT179" s="2" t="str">
        <f>HYPERLINK("https%3A%2F%2Fwww.webofscience.com%2Fwos%2Fwoscc%2Ffull-record%2FWOS:000311215700008","View Full Record in Web of Science")</f>
        <v>View Full Record in Web of Science</v>
      </c>
    </row>
    <row r="180" spans="1:72" s="2" customFormat="1" x14ac:dyDescent="0.4">
      <c r="A180" s="2" t="s">
        <v>72</v>
      </c>
      <c r="B180" s="2" t="s">
        <v>4103</v>
      </c>
      <c r="C180" s="2" t="s">
        <v>74</v>
      </c>
      <c r="D180" s="2" t="s">
        <v>74</v>
      </c>
      <c r="E180" s="2" t="s">
        <v>74</v>
      </c>
      <c r="F180" s="2" t="s">
        <v>4104</v>
      </c>
      <c r="G180" s="2" t="s">
        <v>74</v>
      </c>
      <c r="H180" s="2" t="s">
        <v>74</v>
      </c>
      <c r="I180" s="2" t="s">
        <v>4105</v>
      </c>
      <c r="J180" s="2" t="s">
        <v>108</v>
      </c>
      <c r="K180" s="2" t="s">
        <v>74</v>
      </c>
      <c r="L180" s="2" t="s">
        <v>74</v>
      </c>
      <c r="M180" s="2" t="s">
        <v>74</v>
      </c>
      <c r="N180" s="2" t="s">
        <v>74</v>
      </c>
      <c r="O180" s="2" t="s">
        <v>74</v>
      </c>
      <c r="P180" s="2" t="s">
        <v>74</v>
      </c>
      <c r="Q180" s="2" t="s">
        <v>74</v>
      </c>
      <c r="R180" s="2" t="s">
        <v>74</v>
      </c>
      <c r="S180" s="2" t="s">
        <v>74</v>
      </c>
      <c r="T180" s="2" t="s">
        <v>74</v>
      </c>
      <c r="U180" s="2" t="s">
        <v>74</v>
      </c>
      <c r="V180" s="5" t="s">
        <v>4106</v>
      </c>
      <c r="W180" s="2" t="s">
        <v>74</v>
      </c>
      <c r="X180" s="2" t="s">
        <v>74</v>
      </c>
      <c r="Y180" s="2" t="s">
        <v>74</v>
      </c>
      <c r="Z180" s="2" t="s">
        <v>74</v>
      </c>
      <c r="AA180" s="2" t="s">
        <v>4107</v>
      </c>
      <c r="AB180" s="2" t="s">
        <v>4108</v>
      </c>
      <c r="AC180" s="2" t="s">
        <v>74</v>
      </c>
      <c r="AD180" s="2" t="s">
        <v>74</v>
      </c>
      <c r="AE180" s="2" t="s">
        <v>74</v>
      </c>
      <c r="AF180" s="2" t="s">
        <v>74</v>
      </c>
      <c r="AG180" s="2" t="s">
        <v>74</v>
      </c>
      <c r="AH180" s="2" t="s">
        <v>74</v>
      </c>
      <c r="AI180" s="2" t="s">
        <v>74</v>
      </c>
      <c r="AJ180" s="2" t="s">
        <v>74</v>
      </c>
      <c r="AK180" s="2" t="s">
        <v>74</v>
      </c>
      <c r="AL180" s="2" t="s">
        <v>74</v>
      </c>
      <c r="AM180" s="2" t="s">
        <v>74</v>
      </c>
      <c r="AN180" s="2" t="s">
        <v>74</v>
      </c>
      <c r="AO180" s="2" t="s">
        <v>111</v>
      </c>
      <c r="AP180" s="2" t="s">
        <v>112</v>
      </c>
      <c r="AQ180" s="2" t="s">
        <v>74</v>
      </c>
      <c r="AR180" s="2" t="s">
        <v>74</v>
      </c>
      <c r="AS180" s="2" t="s">
        <v>74</v>
      </c>
      <c r="AT180" s="2" t="s">
        <v>165</v>
      </c>
      <c r="AU180" s="2">
        <v>2011</v>
      </c>
      <c r="AV180" s="2">
        <v>278</v>
      </c>
      <c r="AW180" s="2">
        <v>1719</v>
      </c>
      <c r="AX180" s="2" t="s">
        <v>74</v>
      </c>
      <c r="AY180" s="2" t="s">
        <v>74</v>
      </c>
      <c r="AZ180" s="2" t="s">
        <v>74</v>
      </c>
      <c r="BA180" s="2" t="s">
        <v>74</v>
      </c>
      <c r="BB180" s="2">
        <v>2806</v>
      </c>
      <c r="BC180" s="2">
        <v>2813</v>
      </c>
      <c r="BD180" s="2" t="s">
        <v>74</v>
      </c>
      <c r="BE180" s="2" t="s">
        <v>4109</v>
      </c>
      <c r="BF180" s="2" t="str">
        <f>HYPERLINK("http://dx.doi.org/10.1098/rspb.2010.2659","http://dx.doi.org/10.1098/rspb.2010.2659")</f>
        <v>http://dx.doi.org/10.1098/rspb.2010.2659</v>
      </c>
      <c r="BG180" s="2" t="s">
        <v>74</v>
      </c>
      <c r="BH180" s="2" t="s">
        <v>74</v>
      </c>
      <c r="BI180" s="2" t="s">
        <v>74</v>
      </c>
      <c r="BJ180" s="2" t="s">
        <v>74</v>
      </c>
      <c r="BK180" s="2" t="s">
        <v>74</v>
      </c>
      <c r="BL180" s="2" t="s">
        <v>74</v>
      </c>
      <c r="BM180" s="2" t="s">
        <v>74</v>
      </c>
      <c r="BN180" s="2">
        <v>21288951</v>
      </c>
      <c r="BO180" s="2" t="s">
        <v>74</v>
      </c>
      <c r="BP180" s="2" t="s">
        <v>74</v>
      </c>
      <c r="BQ180" s="2" t="s">
        <v>74</v>
      </c>
      <c r="BR180" s="2" t="s">
        <v>74</v>
      </c>
      <c r="BS180" s="2" t="s">
        <v>4110</v>
      </c>
      <c r="BT180" s="2" t="str">
        <f>HYPERLINK("https%3A%2F%2Fwww.webofscience.com%2Fwos%2Fwoscc%2Ffull-record%2FWOS:000293733600015","View Full Record in Web of Science")</f>
        <v>View Full Record in Web of Science</v>
      </c>
    </row>
    <row r="181" spans="1:72" s="2" customFormat="1" x14ac:dyDescent="0.4">
      <c r="A181" s="2" t="s">
        <v>72</v>
      </c>
      <c r="B181" s="2" t="s">
        <v>7085</v>
      </c>
      <c r="C181" s="2" t="s">
        <v>74</v>
      </c>
      <c r="D181" s="2" t="s">
        <v>74</v>
      </c>
      <c r="E181" s="2" t="s">
        <v>74</v>
      </c>
      <c r="F181" s="2" t="s">
        <v>7086</v>
      </c>
      <c r="G181" s="2" t="s">
        <v>74</v>
      </c>
      <c r="H181" s="2" t="s">
        <v>74</v>
      </c>
      <c r="I181" s="2" t="s">
        <v>7087</v>
      </c>
      <c r="J181" s="2" t="s">
        <v>7088</v>
      </c>
      <c r="K181" s="2" t="s">
        <v>74</v>
      </c>
      <c r="L181" s="2" t="s">
        <v>74</v>
      </c>
      <c r="M181" s="2" t="s">
        <v>74</v>
      </c>
      <c r="N181" s="2" t="s">
        <v>74</v>
      </c>
      <c r="O181" s="2" t="s">
        <v>74</v>
      </c>
      <c r="P181" s="2" t="s">
        <v>74</v>
      </c>
      <c r="Q181" s="2" t="s">
        <v>74</v>
      </c>
      <c r="R181" s="2" t="s">
        <v>74</v>
      </c>
      <c r="S181" s="2" t="s">
        <v>74</v>
      </c>
      <c r="T181" s="2" t="s">
        <v>74</v>
      </c>
      <c r="U181" s="2" t="s">
        <v>74</v>
      </c>
      <c r="V181" s="5" t="s">
        <v>7089</v>
      </c>
      <c r="W181" s="2" t="s">
        <v>74</v>
      </c>
      <c r="X181" s="2" t="s">
        <v>74</v>
      </c>
      <c r="Y181" s="2" t="s">
        <v>74</v>
      </c>
      <c r="Z181" s="2" t="s">
        <v>74</v>
      </c>
      <c r="AA181" s="2" t="s">
        <v>74</v>
      </c>
      <c r="AB181" s="2" t="s">
        <v>74</v>
      </c>
      <c r="AC181" s="2" t="s">
        <v>74</v>
      </c>
      <c r="AD181" s="2" t="s">
        <v>74</v>
      </c>
      <c r="AE181" s="2" t="s">
        <v>74</v>
      </c>
      <c r="AF181" s="2" t="s">
        <v>74</v>
      </c>
      <c r="AG181" s="2" t="s">
        <v>74</v>
      </c>
      <c r="AH181" s="2" t="s">
        <v>74</v>
      </c>
      <c r="AI181" s="2" t="s">
        <v>74</v>
      </c>
      <c r="AJ181" s="2" t="s">
        <v>74</v>
      </c>
      <c r="AK181" s="2" t="s">
        <v>74</v>
      </c>
      <c r="AL181" s="2" t="s">
        <v>74</v>
      </c>
      <c r="AM181" s="2" t="s">
        <v>74</v>
      </c>
      <c r="AN181" s="2" t="s">
        <v>74</v>
      </c>
      <c r="AO181" s="2" t="s">
        <v>7090</v>
      </c>
      <c r="AP181" s="2" t="s">
        <v>74</v>
      </c>
      <c r="AQ181" s="2" t="s">
        <v>74</v>
      </c>
      <c r="AR181" s="2" t="s">
        <v>74</v>
      </c>
      <c r="AS181" s="2" t="s">
        <v>74</v>
      </c>
      <c r="AT181" s="2" t="s">
        <v>74</v>
      </c>
      <c r="AU181" s="2">
        <v>2020</v>
      </c>
      <c r="AV181" s="2">
        <v>14</v>
      </c>
      <c r="AW181" s="2">
        <v>3</v>
      </c>
      <c r="AX181" s="2" t="s">
        <v>74</v>
      </c>
      <c r="AY181" s="2" t="s">
        <v>74</v>
      </c>
      <c r="AZ181" s="2" t="s">
        <v>74</v>
      </c>
      <c r="BA181" s="2" t="s">
        <v>74</v>
      </c>
      <c r="BB181" s="2">
        <v>231</v>
      </c>
      <c r="BC181" s="2">
        <v>250</v>
      </c>
      <c r="BD181" s="2" t="s">
        <v>7091</v>
      </c>
      <c r="BE181" s="2" t="s">
        <v>74</v>
      </c>
      <c r="BF181" s="2" t="s">
        <v>74</v>
      </c>
      <c r="BG181" s="2" t="s">
        <v>74</v>
      </c>
      <c r="BH181" s="2" t="s">
        <v>74</v>
      </c>
      <c r="BI181" s="2" t="s">
        <v>74</v>
      </c>
      <c r="BJ181" s="2" t="s">
        <v>74</v>
      </c>
      <c r="BK181" s="2" t="s">
        <v>74</v>
      </c>
      <c r="BL181" s="2" t="s">
        <v>74</v>
      </c>
      <c r="BM181" s="2" t="s">
        <v>74</v>
      </c>
      <c r="BN181" s="2" t="s">
        <v>74</v>
      </c>
      <c r="BO181" s="2" t="s">
        <v>74</v>
      </c>
      <c r="BP181" s="2" t="s">
        <v>74</v>
      </c>
      <c r="BQ181" s="2" t="s">
        <v>74</v>
      </c>
      <c r="BR181" s="2" t="s">
        <v>74</v>
      </c>
      <c r="BS181" s="2" t="s">
        <v>7092</v>
      </c>
      <c r="BT181" s="2" t="str">
        <f>HYPERLINK("https%3A%2F%2Fwww.webofscience.com%2Fwos%2Fwoscc%2Ffull-record%2FWOS:000620656500007","View Full Record in Web of Science")</f>
        <v>View Full Record in Web of Science</v>
      </c>
    </row>
    <row r="182" spans="1:72" s="1" customFormat="1" x14ac:dyDescent="0.4">
      <c r="A182" s="2" t="s">
        <v>72</v>
      </c>
      <c r="B182" s="2" t="s">
        <v>2495</v>
      </c>
      <c r="C182" s="2" t="s">
        <v>74</v>
      </c>
      <c r="D182" s="2" t="s">
        <v>74</v>
      </c>
      <c r="E182" s="2" t="s">
        <v>74</v>
      </c>
      <c r="F182" s="2" t="s">
        <v>2495</v>
      </c>
      <c r="G182" s="2" t="s">
        <v>74</v>
      </c>
      <c r="H182" s="2" t="s">
        <v>74</v>
      </c>
      <c r="I182" s="2" t="s">
        <v>2496</v>
      </c>
      <c r="J182" s="2" t="s">
        <v>77</v>
      </c>
      <c r="K182" s="2" t="s">
        <v>74</v>
      </c>
      <c r="L182" s="2" t="s">
        <v>74</v>
      </c>
      <c r="M182" s="2" t="s">
        <v>74</v>
      </c>
      <c r="N182" s="2" t="s">
        <v>74</v>
      </c>
      <c r="O182" s="2" t="s">
        <v>74</v>
      </c>
      <c r="P182" s="2" t="s">
        <v>74</v>
      </c>
      <c r="Q182" s="2" t="s">
        <v>74</v>
      </c>
      <c r="R182" s="2" t="s">
        <v>74</v>
      </c>
      <c r="S182" s="2" t="s">
        <v>74</v>
      </c>
      <c r="T182" s="2" t="s">
        <v>74</v>
      </c>
      <c r="U182" s="2" t="s">
        <v>74</v>
      </c>
      <c r="V182" s="5" t="s">
        <v>2497</v>
      </c>
      <c r="W182" s="2" t="s">
        <v>74</v>
      </c>
      <c r="X182" s="2" t="s">
        <v>74</v>
      </c>
      <c r="Y182" s="2" t="s">
        <v>74</v>
      </c>
      <c r="Z182" s="2" t="s">
        <v>74</v>
      </c>
      <c r="AA182" s="2" t="s">
        <v>74</v>
      </c>
      <c r="AB182" s="2" t="s">
        <v>74</v>
      </c>
      <c r="AC182" s="2" t="s">
        <v>74</v>
      </c>
      <c r="AD182" s="2" t="s">
        <v>74</v>
      </c>
      <c r="AE182" s="2" t="s">
        <v>74</v>
      </c>
      <c r="AF182" s="2" t="s">
        <v>74</v>
      </c>
      <c r="AG182" s="2" t="s">
        <v>74</v>
      </c>
      <c r="AH182" s="2" t="s">
        <v>74</v>
      </c>
      <c r="AI182" s="2" t="s">
        <v>74</v>
      </c>
      <c r="AJ182" s="2" t="s">
        <v>74</v>
      </c>
      <c r="AK182" s="2" t="s">
        <v>74</v>
      </c>
      <c r="AL182" s="2" t="s">
        <v>74</v>
      </c>
      <c r="AM182" s="2" t="s">
        <v>74</v>
      </c>
      <c r="AN182" s="2" t="s">
        <v>74</v>
      </c>
      <c r="AO182" s="2" t="s">
        <v>81</v>
      </c>
      <c r="AP182" s="2" t="s">
        <v>74</v>
      </c>
      <c r="AQ182" s="2" t="s">
        <v>74</v>
      </c>
      <c r="AR182" s="2" t="s">
        <v>74</v>
      </c>
      <c r="AS182" s="2" t="s">
        <v>74</v>
      </c>
      <c r="AT182" s="2" t="s">
        <v>305</v>
      </c>
      <c r="AU182" s="2">
        <v>1994</v>
      </c>
      <c r="AV182" s="2">
        <v>131</v>
      </c>
      <c r="AW182" s="2" t="s">
        <v>74</v>
      </c>
      <c r="AX182" s="2" t="s">
        <v>1276</v>
      </c>
      <c r="AY182" s="2" t="s">
        <v>74</v>
      </c>
      <c r="AZ182" s="2" t="s">
        <v>74</v>
      </c>
      <c r="BA182" s="2" t="s">
        <v>74</v>
      </c>
      <c r="BB182" s="2">
        <v>207</v>
      </c>
      <c r="BC182" s="2">
        <v>224</v>
      </c>
      <c r="BD182" s="2" t="s">
        <v>74</v>
      </c>
      <c r="BE182" s="2" t="s">
        <v>2498</v>
      </c>
      <c r="BF182" s="2" t="str">
        <f>HYPERLINK("http://dx.doi.org/10.1163/156853994X00442","http://dx.doi.org/10.1163/156853994X00442")</f>
        <v>http://dx.doi.org/10.1163/156853994X00442</v>
      </c>
      <c r="BG182" s="2" t="s">
        <v>74</v>
      </c>
      <c r="BH182" s="2" t="s">
        <v>74</v>
      </c>
      <c r="BI182" s="2" t="s">
        <v>74</v>
      </c>
      <c r="BJ182" s="2" t="s">
        <v>74</v>
      </c>
      <c r="BK182" s="2" t="s">
        <v>74</v>
      </c>
      <c r="BL182" s="2" t="s">
        <v>74</v>
      </c>
      <c r="BM182" s="2" t="s">
        <v>74</v>
      </c>
      <c r="BN182" s="2" t="s">
        <v>74</v>
      </c>
      <c r="BO182" s="2" t="s">
        <v>74</v>
      </c>
      <c r="BP182" s="2" t="s">
        <v>74</v>
      </c>
      <c r="BQ182" s="2" t="s">
        <v>74</v>
      </c>
      <c r="BR182" s="2" t="s">
        <v>74</v>
      </c>
      <c r="BS182" s="2" t="s">
        <v>2499</v>
      </c>
      <c r="BT182" s="2" t="str">
        <f>HYPERLINK("https%3A%2F%2Fwww.webofscience.com%2Fwos%2Fwoscc%2Ffull-record%2FWOS:A1994QT85100005","View Full Record in Web of Science")</f>
        <v>View Full Record in Web of Science</v>
      </c>
    </row>
    <row r="183" spans="1:72" s="2" customFormat="1" x14ac:dyDescent="0.4">
      <c r="A183" s="2" t="s">
        <v>72</v>
      </c>
      <c r="B183" s="2" t="s">
        <v>199</v>
      </c>
      <c r="C183" s="2" t="s">
        <v>74</v>
      </c>
      <c r="D183" s="2" t="s">
        <v>74</v>
      </c>
      <c r="E183" s="2" t="s">
        <v>74</v>
      </c>
      <c r="F183" s="2" t="s">
        <v>199</v>
      </c>
      <c r="G183" s="2" t="s">
        <v>74</v>
      </c>
      <c r="H183" s="2" t="s">
        <v>74</v>
      </c>
      <c r="I183" s="2" t="s">
        <v>200</v>
      </c>
      <c r="J183" s="2" t="s">
        <v>201</v>
      </c>
      <c r="K183" s="2" t="s">
        <v>74</v>
      </c>
      <c r="L183" s="2" t="s">
        <v>74</v>
      </c>
      <c r="M183" s="2" t="s">
        <v>74</v>
      </c>
      <c r="N183" s="2" t="s">
        <v>74</v>
      </c>
      <c r="O183" s="2" t="s">
        <v>74</v>
      </c>
      <c r="P183" s="2" t="s">
        <v>74</v>
      </c>
      <c r="Q183" s="2" t="s">
        <v>74</v>
      </c>
      <c r="R183" s="2" t="s">
        <v>74</v>
      </c>
      <c r="S183" s="2" t="s">
        <v>74</v>
      </c>
      <c r="T183" s="2" t="s">
        <v>74</v>
      </c>
      <c r="U183" s="2" t="s">
        <v>74</v>
      </c>
      <c r="V183" s="5" t="s">
        <v>202</v>
      </c>
      <c r="W183" s="2" t="s">
        <v>74</v>
      </c>
      <c r="X183" s="2" t="s">
        <v>74</v>
      </c>
      <c r="Y183" s="2" t="s">
        <v>74</v>
      </c>
      <c r="Z183" s="2" t="s">
        <v>74</v>
      </c>
      <c r="AA183" s="2" t="s">
        <v>74</v>
      </c>
      <c r="AB183" s="2" t="s">
        <v>74</v>
      </c>
      <c r="AC183" s="2" t="s">
        <v>74</v>
      </c>
      <c r="AD183" s="2" t="s">
        <v>74</v>
      </c>
      <c r="AE183" s="2" t="s">
        <v>74</v>
      </c>
      <c r="AF183" s="2" t="s">
        <v>74</v>
      </c>
      <c r="AG183" s="2" t="s">
        <v>74</v>
      </c>
      <c r="AH183" s="2" t="s">
        <v>74</v>
      </c>
      <c r="AI183" s="2" t="s">
        <v>74</v>
      </c>
      <c r="AJ183" s="2" t="s">
        <v>74</v>
      </c>
      <c r="AK183" s="2" t="s">
        <v>74</v>
      </c>
      <c r="AL183" s="2" t="s">
        <v>74</v>
      </c>
      <c r="AM183" s="2" t="s">
        <v>74</v>
      </c>
      <c r="AN183" s="2" t="s">
        <v>74</v>
      </c>
      <c r="AO183" s="2" t="s">
        <v>203</v>
      </c>
      <c r="AP183" s="2" t="s">
        <v>74</v>
      </c>
      <c r="AQ183" s="2" t="s">
        <v>74</v>
      </c>
      <c r="AR183" s="2" t="s">
        <v>74</v>
      </c>
      <c r="AS183" s="2" t="s">
        <v>74</v>
      </c>
      <c r="AT183" s="2" t="s">
        <v>204</v>
      </c>
      <c r="AU183" s="2">
        <v>1995</v>
      </c>
      <c r="AV183" s="2">
        <v>47</v>
      </c>
      <c r="AW183" s="2">
        <v>1</v>
      </c>
      <c r="AX183" s="2" t="s">
        <v>74</v>
      </c>
      <c r="AY183" s="2" t="s">
        <v>74</v>
      </c>
      <c r="AZ183" s="2" t="s">
        <v>74</v>
      </c>
      <c r="BA183" s="2" t="s">
        <v>74</v>
      </c>
      <c r="BB183" s="2">
        <v>50</v>
      </c>
      <c r="BC183" s="2">
        <v>58</v>
      </c>
      <c r="BD183" s="2" t="s">
        <v>74</v>
      </c>
      <c r="BE183" s="2" t="s">
        <v>205</v>
      </c>
      <c r="BF183" s="2" t="str">
        <f>HYPERLINK("http://dx.doi.org/10.1111/j.1095-8649.1995.tb01872.x","http://dx.doi.org/10.1111/j.1095-8649.1995.tb01872.x")</f>
        <v>http://dx.doi.org/10.1111/j.1095-8649.1995.tb01872.x</v>
      </c>
      <c r="BG183" s="2" t="s">
        <v>74</v>
      </c>
      <c r="BH183" s="2" t="s">
        <v>74</v>
      </c>
      <c r="BI183" s="2" t="s">
        <v>74</v>
      </c>
      <c r="BJ183" s="2" t="s">
        <v>74</v>
      </c>
      <c r="BK183" s="2" t="s">
        <v>74</v>
      </c>
      <c r="BL183" s="2" t="s">
        <v>74</v>
      </c>
      <c r="BM183" s="2" t="s">
        <v>74</v>
      </c>
      <c r="BN183" s="2" t="s">
        <v>74</v>
      </c>
      <c r="BO183" s="2" t="s">
        <v>74</v>
      </c>
      <c r="BP183" s="2" t="s">
        <v>74</v>
      </c>
      <c r="BQ183" s="2" t="s">
        <v>74</v>
      </c>
      <c r="BR183" s="2" t="s">
        <v>74</v>
      </c>
      <c r="BS183" s="2" t="s">
        <v>206</v>
      </c>
      <c r="BT183" s="2" t="str">
        <f>HYPERLINK("https%3A%2F%2Fwww.webofscience.com%2Fwos%2Fwoscc%2Ffull-record%2FWOS:A1995RK16500006","View Full Record in Web of Science")</f>
        <v>View Full Record in Web of Science</v>
      </c>
    </row>
    <row r="184" spans="1:72" s="2" customFormat="1" x14ac:dyDescent="0.4">
      <c r="A184" s="2" t="s">
        <v>72</v>
      </c>
      <c r="B184" s="2" t="s">
        <v>2039</v>
      </c>
      <c r="C184" s="2" t="s">
        <v>74</v>
      </c>
      <c r="D184" s="2" t="s">
        <v>74</v>
      </c>
      <c r="E184" s="2" t="s">
        <v>74</v>
      </c>
      <c r="F184" s="2" t="s">
        <v>2040</v>
      </c>
      <c r="G184" s="2" t="s">
        <v>74</v>
      </c>
      <c r="H184" s="2" t="s">
        <v>74</v>
      </c>
      <c r="I184" s="2" t="s">
        <v>2041</v>
      </c>
      <c r="J184" s="2" t="s">
        <v>2042</v>
      </c>
      <c r="K184" s="2" t="s">
        <v>74</v>
      </c>
      <c r="L184" s="2" t="s">
        <v>74</v>
      </c>
      <c r="M184" s="2" t="s">
        <v>74</v>
      </c>
      <c r="N184" s="2" t="s">
        <v>74</v>
      </c>
      <c r="O184" s="2" t="s">
        <v>74</v>
      </c>
      <c r="P184" s="2" t="s">
        <v>74</v>
      </c>
      <c r="Q184" s="2" t="s">
        <v>74</v>
      </c>
      <c r="R184" s="2" t="s">
        <v>74</v>
      </c>
      <c r="S184" s="2" t="s">
        <v>74</v>
      </c>
      <c r="T184" s="2" t="s">
        <v>74</v>
      </c>
      <c r="U184" s="2" t="s">
        <v>74</v>
      </c>
      <c r="V184" s="5" t="s">
        <v>2043</v>
      </c>
      <c r="W184" s="2" t="s">
        <v>74</v>
      </c>
      <c r="X184" s="2" t="s">
        <v>74</v>
      </c>
      <c r="Y184" s="2" t="s">
        <v>74</v>
      </c>
      <c r="Z184" s="2" t="s">
        <v>74</v>
      </c>
      <c r="AA184" s="2" t="s">
        <v>74</v>
      </c>
      <c r="AB184" s="2" t="s">
        <v>2044</v>
      </c>
      <c r="AC184" s="2" t="s">
        <v>74</v>
      </c>
      <c r="AD184" s="2" t="s">
        <v>74</v>
      </c>
      <c r="AE184" s="2" t="s">
        <v>74</v>
      </c>
      <c r="AF184" s="2" t="s">
        <v>74</v>
      </c>
      <c r="AG184" s="2" t="s">
        <v>74</v>
      </c>
      <c r="AH184" s="2" t="s">
        <v>74</v>
      </c>
      <c r="AI184" s="2" t="s">
        <v>74</v>
      </c>
      <c r="AJ184" s="2" t="s">
        <v>74</v>
      </c>
      <c r="AK184" s="2" t="s">
        <v>74</v>
      </c>
      <c r="AL184" s="2" t="s">
        <v>74</v>
      </c>
      <c r="AM184" s="2" t="s">
        <v>74</v>
      </c>
      <c r="AN184" s="2" t="s">
        <v>74</v>
      </c>
      <c r="AO184" s="2" t="s">
        <v>2045</v>
      </c>
      <c r="AP184" s="2" t="s">
        <v>2046</v>
      </c>
      <c r="AQ184" s="2" t="s">
        <v>74</v>
      </c>
      <c r="AR184" s="2" t="s">
        <v>74</v>
      </c>
      <c r="AS184" s="2" t="s">
        <v>74</v>
      </c>
      <c r="AT184" s="2" t="s">
        <v>204</v>
      </c>
      <c r="AU184" s="2">
        <v>2017</v>
      </c>
      <c r="AV184" s="2">
        <v>64</v>
      </c>
      <c r="AW184" s="2">
        <v>3</v>
      </c>
      <c r="AX184" s="2" t="s">
        <v>74</v>
      </c>
      <c r="AY184" s="2" t="s">
        <v>74</v>
      </c>
      <c r="AZ184" s="2" t="s">
        <v>74</v>
      </c>
      <c r="BA184" s="2" t="s">
        <v>74</v>
      </c>
      <c r="BB184" s="2">
        <v>301</v>
      </c>
      <c r="BC184" s="2">
        <v>307</v>
      </c>
      <c r="BD184" s="2" t="s">
        <v>74</v>
      </c>
      <c r="BE184" s="2" t="s">
        <v>2047</v>
      </c>
      <c r="BF184" s="2" t="str">
        <f>HYPERLINK("http://dx.doi.org/10.1007/s10228-016-0567-y","http://dx.doi.org/10.1007/s10228-016-0567-y")</f>
        <v>http://dx.doi.org/10.1007/s10228-016-0567-y</v>
      </c>
      <c r="BG184" s="2" t="s">
        <v>74</v>
      </c>
      <c r="BH184" s="2" t="s">
        <v>74</v>
      </c>
      <c r="BI184" s="2" t="s">
        <v>74</v>
      </c>
      <c r="BJ184" s="2" t="s">
        <v>74</v>
      </c>
      <c r="BK184" s="2" t="s">
        <v>74</v>
      </c>
      <c r="BL184" s="2" t="s">
        <v>74</v>
      </c>
      <c r="BM184" s="2" t="s">
        <v>74</v>
      </c>
      <c r="BN184" s="2" t="s">
        <v>74</v>
      </c>
      <c r="BO184" s="2" t="s">
        <v>74</v>
      </c>
      <c r="BP184" s="2" t="s">
        <v>74</v>
      </c>
      <c r="BQ184" s="2" t="s">
        <v>74</v>
      </c>
      <c r="BR184" s="2" t="s">
        <v>74</v>
      </c>
      <c r="BS184" s="2" t="s">
        <v>2048</v>
      </c>
      <c r="BT184" s="2" t="str">
        <f>HYPERLINK("https%3A%2F%2Fwww.webofscience.com%2Fwos%2Fwoscc%2Ffull-record%2FWOS:000404661100003","View Full Record in Web of Science")</f>
        <v>View Full Record in Web of Science</v>
      </c>
    </row>
    <row r="185" spans="1:72" s="2" customFormat="1" x14ac:dyDescent="0.4">
      <c r="A185" s="2" t="s">
        <v>72</v>
      </c>
      <c r="B185" s="2" t="s">
        <v>3097</v>
      </c>
      <c r="C185" s="2" t="s">
        <v>74</v>
      </c>
      <c r="D185" s="2" t="s">
        <v>74</v>
      </c>
      <c r="E185" s="2" t="s">
        <v>74</v>
      </c>
      <c r="F185" s="2" t="s">
        <v>3098</v>
      </c>
      <c r="G185" s="2" t="s">
        <v>74</v>
      </c>
      <c r="H185" s="2" t="s">
        <v>74</v>
      </c>
      <c r="I185" s="2" t="s">
        <v>3099</v>
      </c>
      <c r="J185" s="2" t="s">
        <v>3100</v>
      </c>
      <c r="K185" s="2" t="s">
        <v>74</v>
      </c>
      <c r="L185" s="2" t="s">
        <v>74</v>
      </c>
      <c r="M185" s="2" t="s">
        <v>74</v>
      </c>
      <c r="N185" s="2" t="s">
        <v>74</v>
      </c>
      <c r="O185" s="2" t="s">
        <v>74</v>
      </c>
      <c r="P185" s="2" t="s">
        <v>74</v>
      </c>
      <c r="Q185" s="2" t="s">
        <v>74</v>
      </c>
      <c r="R185" s="2" t="s">
        <v>74</v>
      </c>
      <c r="S185" s="2" t="s">
        <v>74</v>
      </c>
      <c r="T185" s="2" t="s">
        <v>74</v>
      </c>
      <c r="U185" s="2" t="s">
        <v>74</v>
      </c>
      <c r="V185" s="5" t="s">
        <v>3101</v>
      </c>
      <c r="W185" s="2" t="s">
        <v>74</v>
      </c>
      <c r="X185" s="2" t="s">
        <v>74</v>
      </c>
      <c r="Y185" s="2" t="s">
        <v>74</v>
      </c>
      <c r="Z185" s="2" t="s">
        <v>74</v>
      </c>
      <c r="AA185" s="2" t="s">
        <v>3102</v>
      </c>
      <c r="AB185" s="2" t="s">
        <v>3103</v>
      </c>
      <c r="AC185" s="2" t="s">
        <v>74</v>
      </c>
      <c r="AD185" s="2" t="s">
        <v>74</v>
      </c>
      <c r="AE185" s="2" t="s">
        <v>74</v>
      </c>
      <c r="AF185" s="2" t="s">
        <v>74</v>
      </c>
      <c r="AG185" s="2" t="s">
        <v>74</v>
      </c>
      <c r="AH185" s="2" t="s">
        <v>74</v>
      </c>
      <c r="AI185" s="2" t="s">
        <v>74</v>
      </c>
      <c r="AJ185" s="2" t="s">
        <v>74</v>
      </c>
      <c r="AK185" s="2" t="s">
        <v>74</v>
      </c>
      <c r="AL185" s="2" t="s">
        <v>74</v>
      </c>
      <c r="AM185" s="2" t="s">
        <v>74</v>
      </c>
      <c r="AN185" s="2" t="s">
        <v>74</v>
      </c>
      <c r="AO185" s="2" t="s">
        <v>74</v>
      </c>
      <c r="AP185" s="2" t="s">
        <v>3104</v>
      </c>
      <c r="AQ185" s="2" t="s">
        <v>74</v>
      </c>
      <c r="AR185" s="2" t="s">
        <v>74</v>
      </c>
      <c r="AS185" s="2" t="s">
        <v>74</v>
      </c>
      <c r="AT185" s="2" t="s">
        <v>3105</v>
      </c>
      <c r="AU185" s="2">
        <v>2017</v>
      </c>
      <c r="AV185" s="2">
        <v>4</v>
      </c>
      <c r="AW185" s="2" t="s">
        <v>74</v>
      </c>
      <c r="AX185" s="2" t="s">
        <v>74</v>
      </c>
      <c r="AY185" s="2" t="s">
        <v>74</v>
      </c>
      <c r="AZ185" s="2" t="s">
        <v>74</v>
      </c>
      <c r="BA185" s="2" t="s">
        <v>74</v>
      </c>
      <c r="BB185" s="2" t="s">
        <v>74</v>
      </c>
      <c r="BC185" s="2" t="s">
        <v>74</v>
      </c>
      <c r="BD185" s="2">
        <v>188</v>
      </c>
      <c r="BE185" s="2" t="s">
        <v>3106</v>
      </c>
      <c r="BF185" s="2" t="str">
        <f>HYPERLINK("http://dx.doi.org/10.3389/fvets.2017.00188","http://dx.doi.org/10.3389/fvets.2017.00188")</f>
        <v>http://dx.doi.org/10.3389/fvets.2017.00188</v>
      </c>
      <c r="BG185" s="2" t="s">
        <v>74</v>
      </c>
      <c r="BH185" s="2" t="s">
        <v>74</v>
      </c>
      <c r="BI185" s="2" t="s">
        <v>74</v>
      </c>
      <c r="BJ185" s="2" t="s">
        <v>74</v>
      </c>
      <c r="BK185" s="2" t="s">
        <v>74</v>
      </c>
      <c r="BL185" s="2" t="s">
        <v>74</v>
      </c>
      <c r="BM185" s="2" t="s">
        <v>74</v>
      </c>
      <c r="BN185" s="2">
        <v>29164143</v>
      </c>
      <c r="BO185" s="2" t="s">
        <v>74</v>
      </c>
      <c r="BP185" s="2" t="s">
        <v>74</v>
      </c>
      <c r="BQ185" s="2" t="s">
        <v>74</v>
      </c>
      <c r="BR185" s="2" t="s">
        <v>74</v>
      </c>
      <c r="BS185" s="2" t="s">
        <v>3107</v>
      </c>
      <c r="BT185" s="2" t="str">
        <f>HYPERLINK("https%3A%2F%2Fwww.webofscience.com%2Fwos%2Fwoscc%2Ffull-record%2FWOS:000451800800002","View Full Record in Web of Science")</f>
        <v>View Full Record in Web of Science</v>
      </c>
    </row>
    <row r="186" spans="1:72" s="2" customFormat="1" x14ac:dyDescent="0.4">
      <c r="A186" s="2" t="s">
        <v>72</v>
      </c>
      <c r="B186" s="2" t="s">
        <v>4646</v>
      </c>
      <c r="C186" s="2" t="s">
        <v>74</v>
      </c>
      <c r="D186" s="2" t="s">
        <v>74</v>
      </c>
      <c r="E186" s="2" t="s">
        <v>74</v>
      </c>
      <c r="F186" s="2" t="s">
        <v>4646</v>
      </c>
      <c r="G186" s="2" t="s">
        <v>74</v>
      </c>
      <c r="H186" s="2" t="s">
        <v>74</v>
      </c>
      <c r="I186" s="2" t="s">
        <v>4647</v>
      </c>
      <c r="J186" s="2" t="s">
        <v>1526</v>
      </c>
      <c r="K186" s="2" t="s">
        <v>74</v>
      </c>
      <c r="L186" s="2" t="s">
        <v>74</v>
      </c>
      <c r="M186" s="2" t="s">
        <v>74</v>
      </c>
      <c r="N186" s="2" t="s">
        <v>74</v>
      </c>
      <c r="O186" s="2" t="s">
        <v>74</v>
      </c>
      <c r="P186" s="2" t="s">
        <v>74</v>
      </c>
      <c r="Q186" s="2" t="s">
        <v>74</v>
      </c>
      <c r="R186" s="2" t="s">
        <v>74</v>
      </c>
      <c r="S186" s="2" t="s">
        <v>74</v>
      </c>
      <c r="T186" s="2" t="s">
        <v>74</v>
      </c>
      <c r="U186" s="2" t="s">
        <v>74</v>
      </c>
      <c r="V186" s="5" t="s">
        <v>4648</v>
      </c>
      <c r="W186" s="2" t="s">
        <v>74</v>
      </c>
      <c r="X186" s="2" t="s">
        <v>74</v>
      </c>
      <c r="Y186" s="2" t="s">
        <v>74</v>
      </c>
      <c r="Z186" s="2" t="s">
        <v>74</v>
      </c>
      <c r="AA186" s="2" t="s">
        <v>4649</v>
      </c>
      <c r="AB186" s="2" t="s">
        <v>4650</v>
      </c>
      <c r="AC186" s="2" t="s">
        <v>74</v>
      </c>
      <c r="AD186" s="2" t="s">
        <v>74</v>
      </c>
      <c r="AE186" s="2" t="s">
        <v>74</v>
      </c>
      <c r="AF186" s="2" t="s">
        <v>74</v>
      </c>
      <c r="AG186" s="2" t="s">
        <v>74</v>
      </c>
      <c r="AH186" s="2" t="s">
        <v>74</v>
      </c>
      <c r="AI186" s="2" t="s">
        <v>74</v>
      </c>
      <c r="AJ186" s="2" t="s">
        <v>74</v>
      </c>
      <c r="AK186" s="2" t="s">
        <v>74</v>
      </c>
      <c r="AL186" s="2" t="s">
        <v>74</v>
      </c>
      <c r="AM186" s="2" t="s">
        <v>74</v>
      </c>
      <c r="AN186" s="2" t="s">
        <v>74</v>
      </c>
      <c r="AO186" s="2" t="s">
        <v>1528</v>
      </c>
      <c r="AP186" s="2" t="s">
        <v>74</v>
      </c>
      <c r="AQ186" s="2" t="s">
        <v>74</v>
      </c>
      <c r="AR186" s="2" t="s">
        <v>74</v>
      </c>
      <c r="AS186" s="2" t="s">
        <v>74</v>
      </c>
      <c r="AT186" s="2" t="s">
        <v>145</v>
      </c>
      <c r="AU186" s="2">
        <v>1994</v>
      </c>
      <c r="AV186" s="2">
        <v>96</v>
      </c>
      <c r="AW186" s="2">
        <v>3</v>
      </c>
      <c r="AX186" s="2" t="s">
        <v>74</v>
      </c>
      <c r="AY186" s="2" t="s">
        <v>74</v>
      </c>
      <c r="AZ186" s="2" t="s">
        <v>74</v>
      </c>
      <c r="BA186" s="2" t="s">
        <v>74</v>
      </c>
      <c r="BB186" s="2">
        <v>614</v>
      </c>
      <c r="BC186" s="2">
        <v>625</v>
      </c>
      <c r="BD186" s="2" t="s">
        <v>74</v>
      </c>
      <c r="BE186" s="2" t="s">
        <v>4651</v>
      </c>
      <c r="BF186" s="2" t="str">
        <f>HYPERLINK("http://dx.doi.org/10.2307/1369464","http://dx.doi.org/10.2307/1369464")</f>
        <v>http://dx.doi.org/10.2307/1369464</v>
      </c>
      <c r="BG186" s="2" t="s">
        <v>74</v>
      </c>
      <c r="BH186" s="2" t="s">
        <v>74</v>
      </c>
      <c r="BI186" s="2" t="s">
        <v>74</v>
      </c>
      <c r="BJ186" s="2" t="s">
        <v>74</v>
      </c>
      <c r="BK186" s="2" t="s">
        <v>74</v>
      </c>
      <c r="BL186" s="2" t="s">
        <v>74</v>
      </c>
      <c r="BM186" s="2" t="s">
        <v>74</v>
      </c>
      <c r="BN186" s="2" t="s">
        <v>74</v>
      </c>
      <c r="BO186" s="2" t="s">
        <v>74</v>
      </c>
      <c r="BP186" s="2" t="s">
        <v>74</v>
      </c>
      <c r="BQ186" s="2" t="s">
        <v>74</v>
      </c>
      <c r="BR186" s="2" t="s">
        <v>74</v>
      </c>
      <c r="BS186" s="2" t="s">
        <v>4652</v>
      </c>
      <c r="BT186" s="2" t="str">
        <f>HYPERLINK("https%3A%2F%2Fwww.webofscience.com%2Fwos%2Fwoscc%2Ffull-record%2FWOS:A1994PE53800005","View Full Record in Web of Science")</f>
        <v>View Full Record in Web of Science</v>
      </c>
    </row>
    <row r="187" spans="1:72" s="2" customFormat="1" x14ac:dyDescent="0.4">
      <c r="A187" s="2" t="s">
        <v>72</v>
      </c>
      <c r="B187" s="2" t="s">
        <v>5369</v>
      </c>
      <c r="C187" s="2" t="s">
        <v>74</v>
      </c>
      <c r="D187" s="2" t="s">
        <v>74</v>
      </c>
      <c r="E187" s="2" t="s">
        <v>74</v>
      </c>
      <c r="F187" s="2" t="s">
        <v>5370</v>
      </c>
      <c r="G187" s="2" t="s">
        <v>74</v>
      </c>
      <c r="H187" s="2" t="s">
        <v>74</v>
      </c>
      <c r="I187" s="2" t="s">
        <v>5371</v>
      </c>
      <c r="J187" s="2" t="s">
        <v>140</v>
      </c>
      <c r="K187" s="2" t="s">
        <v>74</v>
      </c>
      <c r="L187" s="2" t="s">
        <v>74</v>
      </c>
      <c r="M187" s="2" t="s">
        <v>74</v>
      </c>
      <c r="N187" s="2" t="s">
        <v>74</v>
      </c>
      <c r="O187" s="2" t="s">
        <v>74</v>
      </c>
      <c r="P187" s="2" t="s">
        <v>74</v>
      </c>
      <c r="Q187" s="2" t="s">
        <v>74</v>
      </c>
      <c r="R187" s="2" t="s">
        <v>74</v>
      </c>
      <c r="S187" s="2" t="s">
        <v>74</v>
      </c>
      <c r="T187" s="2" t="s">
        <v>74</v>
      </c>
      <c r="U187" s="2" t="s">
        <v>74</v>
      </c>
      <c r="V187" s="5" t="s">
        <v>5372</v>
      </c>
      <c r="W187" s="2" t="s">
        <v>74</v>
      </c>
      <c r="X187" s="2" t="s">
        <v>74</v>
      </c>
      <c r="Y187" s="2" t="s">
        <v>74</v>
      </c>
      <c r="Z187" s="2" t="s">
        <v>74</v>
      </c>
      <c r="AA187" s="2" t="s">
        <v>5373</v>
      </c>
      <c r="AB187" s="2" t="s">
        <v>5374</v>
      </c>
      <c r="AC187" s="2" t="s">
        <v>74</v>
      </c>
      <c r="AD187" s="2" t="s">
        <v>74</v>
      </c>
      <c r="AE187" s="2" t="s">
        <v>74</v>
      </c>
      <c r="AF187" s="2" t="s">
        <v>74</v>
      </c>
      <c r="AG187" s="2" t="s">
        <v>74</v>
      </c>
      <c r="AH187" s="2" t="s">
        <v>74</v>
      </c>
      <c r="AI187" s="2" t="s">
        <v>74</v>
      </c>
      <c r="AJ187" s="2" t="s">
        <v>74</v>
      </c>
      <c r="AK187" s="2" t="s">
        <v>74</v>
      </c>
      <c r="AL187" s="2" t="s">
        <v>74</v>
      </c>
      <c r="AM187" s="2" t="s">
        <v>74</v>
      </c>
      <c r="AN187" s="2" t="s">
        <v>74</v>
      </c>
      <c r="AO187" s="2" t="s">
        <v>143</v>
      </c>
      <c r="AP187" s="2" t="s">
        <v>144</v>
      </c>
      <c r="AQ187" s="2" t="s">
        <v>74</v>
      </c>
      <c r="AR187" s="2" t="s">
        <v>74</v>
      </c>
      <c r="AS187" s="2" t="s">
        <v>74</v>
      </c>
      <c r="AT187" s="2" t="s">
        <v>352</v>
      </c>
      <c r="AU187" s="2">
        <v>2021</v>
      </c>
      <c r="AV187" s="2">
        <v>179</v>
      </c>
      <c r="AW187" s="2" t="s">
        <v>74</v>
      </c>
      <c r="AX187" s="2" t="s">
        <v>74</v>
      </c>
      <c r="AY187" s="2" t="s">
        <v>74</v>
      </c>
      <c r="AZ187" s="2" t="s">
        <v>74</v>
      </c>
      <c r="BA187" s="2" t="s">
        <v>74</v>
      </c>
      <c r="BB187" s="2">
        <v>307</v>
      </c>
      <c r="BC187" s="2">
        <v>315</v>
      </c>
      <c r="BD187" s="2" t="s">
        <v>74</v>
      </c>
      <c r="BE187" s="2" t="s">
        <v>5375</v>
      </c>
      <c r="BF187" s="2" t="str">
        <f>HYPERLINK("http://dx.doi.org/10.1016/j.anbehav.2021.07.016","http://dx.doi.org/10.1016/j.anbehav.2021.07.016")</f>
        <v>http://dx.doi.org/10.1016/j.anbehav.2021.07.016</v>
      </c>
      <c r="BG187" s="2" t="s">
        <v>74</v>
      </c>
      <c r="BH187" s="2" t="s">
        <v>4990</v>
      </c>
      <c r="BI187" s="2" t="s">
        <v>74</v>
      </c>
      <c r="BJ187" s="2" t="s">
        <v>74</v>
      </c>
      <c r="BK187" s="2" t="s">
        <v>74</v>
      </c>
      <c r="BL187" s="2" t="s">
        <v>74</v>
      </c>
      <c r="BM187" s="2" t="s">
        <v>74</v>
      </c>
      <c r="BN187" s="2" t="s">
        <v>74</v>
      </c>
      <c r="BO187" s="2" t="s">
        <v>74</v>
      </c>
      <c r="BP187" s="2" t="s">
        <v>74</v>
      </c>
      <c r="BQ187" s="2" t="s">
        <v>74</v>
      </c>
      <c r="BR187" s="2" t="s">
        <v>74</v>
      </c>
      <c r="BS187" s="2" t="s">
        <v>5376</v>
      </c>
      <c r="BT187" s="2" t="str">
        <f>HYPERLINK("https%3A%2F%2Fwww.webofscience.com%2Fwos%2Fwoscc%2Ffull-record%2FWOS:000693411000026","View Full Record in Web of Science")</f>
        <v>View Full Record in Web of Science</v>
      </c>
    </row>
    <row r="188" spans="1:72" s="2" customFormat="1" x14ac:dyDescent="0.4">
      <c r="A188" s="2" t="s">
        <v>72</v>
      </c>
      <c r="B188" s="2" t="s">
        <v>1632</v>
      </c>
      <c r="C188" s="2" t="s">
        <v>74</v>
      </c>
      <c r="D188" s="2" t="s">
        <v>74</v>
      </c>
      <c r="E188" s="2" t="s">
        <v>74</v>
      </c>
      <c r="F188" s="2" t="s">
        <v>1633</v>
      </c>
      <c r="G188" s="2" t="s">
        <v>74</v>
      </c>
      <c r="H188" s="2" t="s">
        <v>74</v>
      </c>
      <c r="I188" s="2" t="s">
        <v>1634</v>
      </c>
      <c r="J188" s="2" t="s">
        <v>1635</v>
      </c>
      <c r="K188" s="2" t="s">
        <v>74</v>
      </c>
      <c r="L188" s="2" t="s">
        <v>74</v>
      </c>
      <c r="M188" s="2" t="s">
        <v>74</v>
      </c>
      <c r="N188" s="2" t="s">
        <v>74</v>
      </c>
      <c r="O188" s="2" t="s">
        <v>74</v>
      </c>
      <c r="P188" s="2" t="s">
        <v>74</v>
      </c>
      <c r="Q188" s="2" t="s">
        <v>74</v>
      </c>
      <c r="R188" s="2" t="s">
        <v>74</v>
      </c>
      <c r="S188" s="2" t="s">
        <v>74</v>
      </c>
      <c r="T188" s="2" t="s">
        <v>74</v>
      </c>
      <c r="U188" s="2" t="s">
        <v>74</v>
      </c>
      <c r="V188" s="5" t="s">
        <v>1636</v>
      </c>
      <c r="W188" s="2" t="s">
        <v>74</v>
      </c>
      <c r="X188" s="2" t="s">
        <v>74</v>
      </c>
      <c r="Y188" s="2" t="s">
        <v>74</v>
      </c>
      <c r="Z188" s="2" t="s">
        <v>74</v>
      </c>
      <c r="AA188" s="2" t="s">
        <v>1637</v>
      </c>
      <c r="AB188" s="2" t="s">
        <v>1638</v>
      </c>
      <c r="AC188" s="2" t="s">
        <v>74</v>
      </c>
      <c r="AD188" s="2" t="s">
        <v>74</v>
      </c>
      <c r="AE188" s="2" t="s">
        <v>74</v>
      </c>
      <c r="AF188" s="2" t="s">
        <v>74</v>
      </c>
      <c r="AG188" s="2" t="s">
        <v>74</v>
      </c>
      <c r="AH188" s="2" t="s">
        <v>74</v>
      </c>
      <c r="AI188" s="2" t="s">
        <v>74</v>
      </c>
      <c r="AJ188" s="2" t="s">
        <v>74</v>
      </c>
      <c r="AK188" s="2" t="s">
        <v>74</v>
      </c>
      <c r="AL188" s="2" t="s">
        <v>74</v>
      </c>
      <c r="AM188" s="2" t="s">
        <v>74</v>
      </c>
      <c r="AN188" s="2" t="s">
        <v>74</v>
      </c>
      <c r="AO188" s="2" t="s">
        <v>1639</v>
      </c>
      <c r="AP188" s="2" t="s">
        <v>1640</v>
      </c>
      <c r="AQ188" s="2" t="s">
        <v>74</v>
      </c>
      <c r="AR188" s="2" t="s">
        <v>74</v>
      </c>
      <c r="AS188" s="2" t="s">
        <v>74</v>
      </c>
      <c r="AT188" s="2" t="s">
        <v>1641</v>
      </c>
      <c r="AU188" s="2">
        <v>2021</v>
      </c>
      <c r="AV188" s="2">
        <v>376</v>
      </c>
      <c r="AW188" s="2">
        <v>1824</v>
      </c>
      <c r="AX188" s="2" t="s">
        <v>74</v>
      </c>
      <c r="AY188" s="2" t="s">
        <v>74</v>
      </c>
      <c r="AZ188" s="2" t="s">
        <v>74</v>
      </c>
      <c r="BA188" s="2" t="s">
        <v>74</v>
      </c>
      <c r="BB188" s="2" t="s">
        <v>74</v>
      </c>
      <c r="BC188" s="2" t="s">
        <v>74</v>
      </c>
      <c r="BD188" s="2">
        <v>20200188</v>
      </c>
      <c r="BE188" s="2" t="s">
        <v>1642</v>
      </c>
      <c r="BF188" s="2" t="str">
        <f>HYPERLINK("http://dx.doi.org/10.1098/rstb.2020.0188","http://dx.doi.org/10.1098/rstb.2020.0188")</f>
        <v>http://dx.doi.org/10.1098/rstb.2020.0188</v>
      </c>
      <c r="BG188" s="2" t="s">
        <v>74</v>
      </c>
      <c r="BH188" s="2" t="s">
        <v>74</v>
      </c>
      <c r="BI188" s="2" t="s">
        <v>74</v>
      </c>
      <c r="BJ188" s="2" t="s">
        <v>74</v>
      </c>
      <c r="BK188" s="2" t="s">
        <v>74</v>
      </c>
      <c r="BL188" s="2" t="s">
        <v>74</v>
      </c>
      <c r="BM188" s="2" t="s">
        <v>74</v>
      </c>
      <c r="BN188" s="2">
        <v>33745319</v>
      </c>
      <c r="BO188" s="2" t="s">
        <v>74</v>
      </c>
      <c r="BP188" s="2" t="s">
        <v>74</v>
      </c>
      <c r="BQ188" s="2" t="s">
        <v>74</v>
      </c>
      <c r="BR188" s="2" t="s">
        <v>74</v>
      </c>
      <c r="BS188" s="2" t="s">
        <v>1643</v>
      </c>
      <c r="BT188" s="2" t="str">
        <f>HYPERLINK("https%3A%2F%2Fwww.webofscience.com%2Fwos%2Fwoscc%2Ffull-record%2FWOS:000631504800001","View Full Record in Web of Science")</f>
        <v>View Full Record in Web of Science</v>
      </c>
    </row>
    <row r="189" spans="1:72" s="2" customFormat="1" x14ac:dyDescent="0.4">
      <c r="A189" s="2" t="s">
        <v>72</v>
      </c>
      <c r="B189" s="2" t="s">
        <v>5226</v>
      </c>
      <c r="C189" s="2" t="s">
        <v>74</v>
      </c>
      <c r="D189" s="2" t="s">
        <v>74</v>
      </c>
      <c r="E189" s="2" t="s">
        <v>74</v>
      </c>
      <c r="F189" s="2" t="s">
        <v>5227</v>
      </c>
      <c r="G189" s="2" t="s">
        <v>74</v>
      </c>
      <c r="H189" s="2" t="s">
        <v>74</v>
      </c>
      <c r="I189" s="2" t="s">
        <v>5228</v>
      </c>
      <c r="J189" s="2" t="s">
        <v>119</v>
      </c>
      <c r="K189" s="2" t="s">
        <v>74</v>
      </c>
      <c r="L189" s="2" t="s">
        <v>74</v>
      </c>
      <c r="M189" s="2" t="s">
        <v>74</v>
      </c>
      <c r="N189" s="2" t="s">
        <v>74</v>
      </c>
      <c r="O189" s="2" t="s">
        <v>74</v>
      </c>
      <c r="P189" s="2" t="s">
        <v>74</v>
      </c>
      <c r="Q189" s="2" t="s">
        <v>74</v>
      </c>
      <c r="R189" s="2" t="s">
        <v>74</v>
      </c>
      <c r="S189" s="2" t="s">
        <v>74</v>
      </c>
      <c r="T189" s="2" t="s">
        <v>74</v>
      </c>
      <c r="U189" s="2" t="s">
        <v>74</v>
      </c>
      <c r="V189" s="5" t="s">
        <v>5229</v>
      </c>
      <c r="W189" s="2" t="s">
        <v>74</v>
      </c>
      <c r="X189" s="2" t="s">
        <v>74</v>
      </c>
      <c r="Y189" s="2" t="s">
        <v>74</v>
      </c>
      <c r="Z189" s="2" t="s">
        <v>74</v>
      </c>
      <c r="AA189" s="2" t="s">
        <v>5230</v>
      </c>
      <c r="AB189" s="2" t="s">
        <v>5231</v>
      </c>
      <c r="AC189" s="2" t="s">
        <v>74</v>
      </c>
      <c r="AD189" s="2" t="s">
        <v>74</v>
      </c>
      <c r="AE189" s="2" t="s">
        <v>74</v>
      </c>
      <c r="AF189" s="2" t="s">
        <v>74</v>
      </c>
      <c r="AG189" s="2" t="s">
        <v>74</v>
      </c>
      <c r="AH189" s="2" t="s">
        <v>74</v>
      </c>
      <c r="AI189" s="2" t="s">
        <v>74</v>
      </c>
      <c r="AJ189" s="2" t="s">
        <v>74</v>
      </c>
      <c r="AK189" s="2" t="s">
        <v>74</v>
      </c>
      <c r="AL189" s="2" t="s">
        <v>74</v>
      </c>
      <c r="AM189" s="2" t="s">
        <v>74</v>
      </c>
      <c r="AN189" s="2" t="s">
        <v>74</v>
      </c>
      <c r="AO189" s="2" t="s">
        <v>121</v>
      </c>
      <c r="AP189" s="2" t="s">
        <v>122</v>
      </c>
      <c r="AQ189" s="2" t="s">
        <v>74</v>
      </c>
      <c r="AR189" s="2" t="s">
        <v>74</v>
      </c>
      <c r="AS189" s="2" t="s">
        <v>74</v>
      </c>
      <c r="AT189" s="2" t="s">
        <v>213</v>
      </c>
      <c r="AU189" s="2">
        <v>2015</v>
      </c>
      <c r="AV189" s="2">
        <v>120</v>
      </c>
      <c r="AW189" s="2" t="s">
        <v>74</v>
      </c>
      <c r="AX189" s="2" t="s">
        <v>74</v>
      </c>
      <c r="AY189" s="2" t="s">
        <v>74</v>
      </c>
      <c r="AZ189" s="2" t="s">
        <v>74</v>
      </c>
      <c r="BA189" s="2" t="s">
        <v>74</v>
      </c>
      <c r="BB189" s="2">
        <v>128</v>
      </c>
      <c r="BC189" s="2">
        <v>134</v>
      </c>
      <c r="BD189" s="2" t="s">
        <v>74</v>
      </c>
      <c r="BE189" s="2" t="s">
        <v>5232</v>
      </c>
      <c r="BF189" s="2" t="str">
        <f>HYPERLINK("http://dx.doi.org/10.1016/j.beproc.2015.09.015","http://dx.doi.org/10.1016/j.beproc.2015.09.015")</f>
        <v>http://dx.doi.org/10.1016/j.beproc.2015.09.015</v>
      </c>
      <c r="BG189" s="2" t="s">
        <v>74</v>
      </c>
      <c r="BH189" s="2" t="s">
        <v>74</v>
      </c>
      <c r="BI189" s="2" t="s">
        <v>74</v>
      </c>
      <c r="BJ189" s="2" t="s">
        <v>74</v>
      </c>
      <c r="BK189" s="2" t="s">
        <v>74</v>
      </c>
      <c r="BL189" s="2" t="s">
        <v>74</v>
      </c>
      <c r="BM189" s="2" t="s">
        <v>74</v>
      </c>
      <c r="BN189" s="2">
        <v>26449315</v>
      </c>
      <c r="BO189" s="2" t="s">
        <v>74</v>
      </c>
      <c r="BP189" s="2" t="s">
        <v>74</v>
      </c>
      <c r="BQ189" s="2" t="s">
        <v>74</v>
      </c>
      <c r="BR189" s="2" t="s">
        <v>74</v>
      </c>
      <c r="BS189" s="2" t="s">
        <v>5233</v>
      </c>
      <c r="BT189" s="2" t="str">
        <f>HYPERLINK("https%3A%2F%2Fwww.webofscience.com%2Fwos%2Fwoscc%2Ffull-record%2FWOS:000364503300018","View Full Record in Web of Science")</f>
        <v>View Full Record in Web of Science</v>
      </c>
    </row>
    <row r="190" spans="1:72" s="2" customFormat="1" x14ac:dyDescent="0.4">
      <c r="A190" s="2" t="s">
        <v>72</v>
      </c>
      <c r="B190" s="2" t="s">
        <v>7547</v>
      </c>
      <c r="C190" s="2" t="s">
        <v>74</v>
      </c>
      <c r="D190" s="2" t="s">
        <v>74</v>
      </c>
      <c r="E190" s="2" t="s">
        <v>74</v>
      </c>
      <c r="F190" s="2" t="s">
        <v>7548</v>
      </c>
      <c r="G190" s="2" t="s">
        <v>74</v>
      </c>
      <c r="H190" s="2" t="s">
        <v>74</v>
      </c>
      <c r="I190" s="2" t="s">
        <v>7549</v>
      </c>
      <c r="J190" s="2" t="s">
        <v>7550</v>
      </c>
      <c r="K190" s="2" t="s">
        <v>74</v>
      </c>
      <c r="L190" s="2" t="s">
        <v>74</v>
      </c>
      <c r="M190" s="2" t="s">
        <v>74</v>
      </c>
      <c r="N190" s="2" t="s">
        <v>74</v>
      </c>
      <c r="O190" s="2" t="s">
        <v>74</v>
      </c>
      <c r="P190" s="2" t="s">
        <v>74</v>
      </c>
      <c r="Q190" s="2" t="s">
        <v>74</v>
      </c>
      <c r="R190" s="2" t="s">
        <v>74</v>
      </c>
      <c r="S190" s="2" t="s">
        <v>74</v>
      </c>
      <c r="T190" s="2" t="s">
        <v>74</v>
      </c>
      <c r="U190" s="2" t="s">
        <v>74</v>
      </c>
      <c r="V190" s="5" t="s">
        <v>7551</v>
      </c>
      <c r="W190" s="2" t="s">
        <v>74</v>
      </c>
      <c r="X190" s="2" t="s">
        <v>74</v>
      </c>
      <c r="Y190" s="2" t="s">
        <v>74</v>
      </c>
      <c r="Z190" s="2" t="s">
        <v>74</v>
      </c>
      <c r="AA190" s="2" t="s">
        <v>74</v>
      </c>
      <c r="AB190" s="2" t="s">
        <v>74</v>
      </c>
      <c r="AC190" s="2" t="s">
        <v>74</v>
      </c>
      <c r="AD190" s="2" t="s">
        <v>74</v>
      </c>
      <c r="AE190" s="2" t="s">
        <v>74</v>
      </c>
      <c r="AF190" s="2" t="s">
        <v>74</v>
      </c>
      <c r="AG190" s="2" t="s">
        <v>74</v>
      </c>
      <c r="AH190" s="2" t="s">
        <v>74</v>
      </c>
      <c r="AI190" s="2" t="s">
        <v>74</v>
      </c>
      <c r="AJ190" s="2" t="s">
        <v>74</v>
      </c>
      <c r="AK190" s="2" t="s">
        <v>74</v>
      </c>
      <c r="AL190" s="2" t="s">
        <v>74</v>
      </c>
      <c r="AM190" s="2" t="s">
        <v>74</v>
      </c>
      <c r="AN190" s="2" t="s">
        <v>74</v>
      </c>
      <c r="AO190" s="2" t="s">
        <v>7552</v>
      </c>
      <c r="AP190" s="2" t="s">
        <v>7553</v>
      </c>
      <c r="AQ190" s="2" t="s">
        <v>74</v>
      </c>
      <c r="AR190" s="2" t="s">
        <v>74</v>
      </c>
      <c r="AS190" s="2" t="s">
        <v>74</v>
      </c>
      <c r="AT190" s="2" t="s">
        <v>74</v>
      </c>
      <c r="AU190" s="2">
        <v>2015</v>
      </c>
      <c r="AV190" s="2">
        <v>144</v>
      </c>
      <c r="AW190" s="2">
        <v>4</v>
      </c>
      <c r="AX190" s="2" t="s">
        <v>74</v>
      </c>
      <c r="AY190" s="2" t="s">
        <v>74</v>
      </c>
      <c r="AZ190" s="2" t="s">
        <v>74</v>
      </c>
      <c r="BA190" s="2" t="s">
        <v>74</v>
      </c>
      <c r="BB190" s="2">
        <v>717</v>
      </c>
      <c r="BC190" s="2">
        <v>723</v>
      </c>
      <c r="BD190" s="2" t="s">
        <v>74</v>
      </c>
      <c r="BE190" s="2" t="s">
        <v>7554</v>
      </c>
      <c r="BF190" s="2" t="str">
        <f>HYPERLINK("http://dx.doi.org/10.1080/00028487.2015.1037017","http://dx.doi.org/10.1080/00028487.2015.1037017")</f>
        <v>http://dx.doi.org/10.1080/00028487.2015.1037017</v>
      </c>
      <c r="BG190" s="2" t="s">
        <v>74</v>
      </c>
      <c r="BH190" s="2" t="s">
        <v>74</v>
      </c>
      <c r="BI190" s="2" t="s">
        <v>74</v>
      </c>
      <c r="BJ190" s="2" t="s">
        <v>74</v>
      </c>
      <c r="BK190" s="2" t="s">
        <v>74</v>
      </c>
      <c r="BL190" s="2" t="s">
        <v>74</v>
      </c>
      <c r="BM190" s="2" t="s">
        <v>74</v>
      </c>
      <c r="BN190" s="2" t="s">
        <v>74</v>
      </c>
      <c r="BO190" s="2" t="s">
        <v>74</v>
      </c>
      <c r="BP190" s="2" t="s">
        <v>74</v>
      </c>
      <c r="BQ190" s="2" t="s">
        <v>74</v>
      </c>
      <c r="BR190" s="2" t="s">
        <v>74</v>
      </c>
      <c r="BS190" s="2" t="s">
        <v>7555</v>
      </c>
      <c r="BT190" s="2" t="str">
        <f>HYPERLINK("https%3A%2F%2Fwww.webofscience.com%2Fwos%2Fwoscc%2Ffull-record%2FWOS:000358854700006","View Full Record in Web of Science")</f>
        <v>View Full Record in Web of Science</v>
      </c>
    </row>
    <row r="191" spans="1:72" s="2" customFormat="1" x14ac:dyDescent="0.4">
      <c r="A191" s="2" t="s">
        <v>72</v>
      </c>
      <c r="B191" s="2" t="s">
        <v>5735</v>
      </c>
      <c r="C191" s="2" t="s">
        <v>74</v>
      </c>
      <c r="D191" s="2" t="s">
        <v>74</v>
      </c>
      <c r="E191" s="2" t="s">
        <v>74</v>
      </c>
      <c r="F191" s="2" t="s">
        <v>5736</v>
      </c>
      <c r="G191" s="2" t="s">
        <v>74</v>
      </c>
      <c r="H191" s="2" t="s">
        <v>74</v>
      </c>
      <c r="I191" s="2" t="s">
        <v>5737</v>
      </c>
      <c r="J191" s="2" t="s">
        <v>5738</v>
      </c>
      <c r="K191" s="2" t="s">
        <v>74</v>
      </c>
      <c r="L191" s="2" t="s">
        <v>74</v>
      </c>
      <c r="M191" s="2" t="s">
        <v>74</v>
      </c>
      <c r="N191" s="2" t="s">
        <v>74</v>
      </c>
      <c r="O191" s="2" t="s">
        <v>74</v>
      </c>
      <c r="P191" s="2" t="s">
        <v>74</v>
      </c>
      <c r="Q191" s="2" t="s">
        <v>74</v>
      </c>
      <c r="R191" s="2" t="s">
        <v>74</v>
      </c>
      <c r="S191" s="2" t="s">
        <v>74</v>
      </c>
      <c r="T191" s="2" t="s">
        <v>74</v>
      </c>
      <c r="U191" s="2" t="s">
        <v>74</v>
      </c>
      <c r="V191" s="5" t="s">
        <v>5739</v>
      </c>
      <c r="W191" s="2" t="s">
        <v>74</v>
      </c>
      <c r="X191" s="2" t="s">
        <v>74</v>
      </c>
      <c r="Y191" s="2" t="s">
        <v>74</v>
      </c>
      <c r="Z191" s="2" t="s">
        <v>74</v>
      </c>
      <c r="AA191" s="2" t="s">
        <v>74</v>
      </c>
      <c r="AB191" s="2" t="s">
        <v>74</v>
      </c>
      <c r="AC191" s="2" t="s">
        <v>74</v>
      </c>
      <c r="AD191" s="2" t="s">
        <v>74</v>
      </c>
      <c r="AE191" s="2" t="s">
        <v>74</v>
      </c>
      <c r="AF191" s="2" t="s">
        <v>74</v>
      </c>
      <c r="AG191" s="2" t="s">
        <v>74</v>
      </c>
      <c r="AH191" s="2" t="s">
        <v>74</v>
      </c>
      <c r="AI191" s="2" t="s">
        <v>74</v>
      </c>
      <c r="AJ191" s="2" t="s">
        <v>74</v>
      </c>
      <c r="AK191" s="2" t="s">
        <v>74</v>
      </c>
      <c r="AL191" s="2" t="s">
        <v>74</v>
      </c>
      <c r="AM191" s="2" t="s">
        <v>74</v>
      </c>
      <c r="AN191" s="2" t="s">
        <v>74</v>
      </c>
      <c r="AO191" s="2" t="s">
        <v>5740</v>
      </c>
      <c r="AP191" s="2" t="s">
        <v>74</v>
      </c>
      <c r="AQ191" s="2" t="s">
        <v>74</v>
      </c>
      <c r="AR191" s="2" t="s">
        <v>74</v>
      </c>
      <c r="AS191" s="2" t="s">
        <v>74</v>
      </c>
      <c r="AT191" s="2" t="s">
        <v>74</v>
      </c>
      <c r="AU191" s="2">
        <v>2016</v>
      </c>
      <c r="AV191" s="2">
        <v>33</v>
      </c>
      <c r="AW191" s="2">
        <v>2</v>
      </c>
      <c r="AX191" s="2" t="s">
        <v>74</v>
      </c>
      <c r="AY191" s="2" t="s">
        <v>74</v>
      </c>
      <c r="AZ191" s="2" t="s">
        <v>74</v>
      </c>
      <c r="BA191" s="2" t="s">
        <v>74</v>
      </c>
      <c r="BB191" s="2" t="s">
        <v>74</v>
      </c>
      <c r="BC191" s="2" t="s">
        <v>74</v>
      </c>
      <c r="BD191" s="2" t="s">
        <v>5741</v>
      </c>
      <c r="BE191" s="2" t="s">
        <v>5742</v>
      </c>
      <c r="BF191" s="2" t="str">
        <f>HYPERLINK("http://dx.doi.org/10.1590/S1984-4689zool-20150190","http://dx.doi.org/10.1590/S1984-4689zool-20150190")</f>
        <v>http://dx.doi.org/10.1590/S1984-4689zool-20150190</v>
      </c>
      <c r="BG191" s="2" t="s">
        <v>74</v>
      </c>
      <c r="BH191" s="2" t="s">
        <v>74</v>
      </c>
      <c r="BI191" s="2" t="s">
        <v>74</v>
      </c>
      <c r="BJ191" s="2" t="s">
        <v>74</v>
      </c>
      <c r="BK191" s="2" t="s">
        <v>74</v>
      </c>
      <c r="BL191" s="2" t="s">
        <v>74</v>
      </c>
      <c r="BM191" s="2" t="s">
        <v>74</v>
      </c>
      <c r="BN191" s="2" t="s">
        <v>74</v>
      </c>
      <c r="BO191" s="2" t="s">
        <v>74</v>
      </c>
      <c r="BP191" s="2" t="s">
        <v>74</v>
      </c>
      <c r="BQ191" s="2" t="s">
        <v>74</v>
      </c>
      <c r="BR191" s="2" t="s">
        <v>74</v>
      </c>
      <c r="BS191" s="2" t="s">
        <v>5743</v>
      </c>
      <c r="BT191" s="2" t="str">
        <f>HYPERLINK("https%3A%2F%2Fwww.webofscience.com%2Fwos%2Fwoscc%2Ffull-record%2FWOS:000376449900006","View Full Record in Web of Science")</f>
        <v>View Full Record in Web of Science</v>
      </c>
    </row>
    <row r="192" spans="1:72" s="2" customFormat="1" x14ac:dyDescent="0.4">
      <c r="A192" s="2" t="s">
        <v>72</v>
      </c>
      <c r="B192" s="2" t="s">
        <v>8013</v>
      </c>
      <c r="C192" s="2" t="s">
        <v>74</v>
      </c>
      <c r="D192" s="2" t="s">
        <v>74</v>
      </c>
      <c r="E192" s="2" t="s">
        <v>74</v>
      </c>
      <c r="F192" s="2" t="s">
        <v>8014</v>
      </c>
      <c r="G192" s="2" t="s">
        <v>74</v>
      </c>
      <c r="H192" s="2" t="s">
        <v>74</v>
      </c>
      <c r="I192" s="2" t="s">
        <v>8015</v>
      </c>
      <c r="J192" s="2" t="s">
        <v>1437</v>
      </c>
      <c r="K192" s="2" t="s">
        <v>74</v>
      </c>
      <c r="L192" s="2" t="s">
        <v>74</v>
      </c>
      <c r="M192" s="2" t="s">
        <v>74</v>
      </c>
      <c r="N192" s="2" t="s">
        <v>74</v>
      </c>
      <c r="O192" s="2" t="s">
        <v>74</v>
      </c>
      <c r="P192" s="2" t="s">
        <v>74</v>
      </c>
      <c r="Q192" s="2" t="s">
        <v>74</v>
      </c>
      <c r="R192" s="2" t="s">
        <v>74</v>
      </c>
      <c r="S192" s="2" t="s">
        <v>74</v>
      </c>
      <c r="T192" s="2" t="s">
        <v>74</v>
      </c>
      <c r="U192" s="2" t="s">
        <v>74</v>
      </c>
      <c r="V192" s="5" t="s">
        <v>8016</v>
      </c>
      <c r="W192" s="2" t="s">
        <v>74</v>
      </c>
      <c r="X192" s="2" t="s">
        <v>74</v>
      </c>
      <c r="Y192" s="2" t="s">
        <v>74</v>
      </c>
      <c r="Z192" s="2" t="s">
        <v>74</v>
      </c>
      <c r="AA192" s="2" t="s">
        <v>8017</v>
      </c>
      <c r="AB192" s="2" t="s">
        <v>8018</v>
      </c>
      <c r="AC192" s="2" t="s">
        <v>74</v>
      </c>
      <c r="AD192" s="2" t="s">
        <v>74</v>
      </c>
      <c r="AE192" s="2" t="s">
        <v>74</v>
      </c>
      <c r="AF192" s="2" t="s">
        <v>74</v>
      </c>
      <c r="AG192" s="2" t="s">
        <v>74</v>
      </c>
      <c r="AH192" s="2" t="s">
        <v>74</v>
      </c>
      <c r="AI192" s="2" t="s">
        <v>74</v>
      </c>
      <c r="AJ192" s="2" t="s">
        <v>74</v>
      </c>
      <c r="AK192" s="2" t="s">
        <v>74</v>
      </c>
      <c r="AL192" s="2" t="s">
        <v>74</v>
      </c>
      <c r="AM192" s="2" t="s">
        <v>74</v>
      </c>
      <c r="AN192" s="2" t="s">
        <v>74</v>
      </c>
      <c r="AO192" s="2" t="s">
        <v>1440</v>
      </c>
      <c r="AP192" s="2" t="s">
        <v>3347</v>
      </c>
      <c r="AQ192" s="2" t="s">
        <v>74</v>
      </c>
      <c r="AR192" s="2" t="s">
        <v>74</v>
      </c>
      <c r="AS192" s="2" t="s">
        <v>74</v>
      </c>
      <c r="AT192" s="2" t="s">
        <v>204</v>
      </c>
      <c r="AU192" s="2">
        <v>2015</v>
      </c>
      <c r="AV192" s="2">
        <v>115</v>
      </c>
      <c r="AW192" s="2">
        <v>1</v>
      </c>
      <c r="AX192" s="2" t="s">
        <v>74</v>
      </c>
      <c r="AY192" s="2" t="s">
        <v>74</v>
      </c>
      <c r="AZ192" s="2" t="s">
        <v>74</v>
      </c>
      <c r="BA192" s="2" t="s">
        <v>74</v>
      </c>
      <c r="BB192" s="2">
        <v>47</v>
      </c>
      <c r="BC192" s="2">
        <v>55</v>
      </c>
      <c r="BD192" s="2" t="s">
        <v>74</v>
      </c>
      <c r="BE192" s="2" t="s">
        <v>8019</v>
      </c>
      <c r="BF192" s="2" t="str">
        <f>HYPERLINK("http://dx.doi.org/10.1038/hdy.2015.15","http://dx.doi.org/10.1038/hdy.2015.15")</f>
        <v>http://dx.doi.org/10.1038/hdy.2015.15</v>
      </c>
      <c r="BG192" s="2" t="s">
        <v>74</v>
      </c>
      <c r="BH192" s="2" t="s">
        <v>74</v>
      </c>
      <c r="BI192" s="2" t="s">
        <v>74</v>
      </c>
      <c r="BJ192" s="2" t="s">
        <v>74</v>
      </c>
      <c r="BK192" s="2" t="s">
        <v>74</v>
      </c>
      <c r="BL192" s="2" t="s">
        <v>74</v>
      </c>
      <c r="BM192" s="2" t="s">
        <v>74</v>
      </c>
      <c r="BN192" s="2">
        <v>26059968</v>
      </c>
      <c r="BO192" s="2" t="s">
        <v>74</v>
      </c>
      <c r="BP192" s="2" t="s">
        <v>74</v>
      </c>
      <c r="BQ192" s="2" t="s">
        <v>74</v>
      </c>
      <c r="BR192" s="2" t="s">
        <v>74</v>
      </c>
      <c r="BS192" s="2" t="s">
        <v>8020</v>
      </c>
      <c r="BT192" s="2" t="str">
        <f>HYPERLINK("https%3A%2F%2Fwww.webofscience.com%2Fwos%2Fwoscc%2Ffull-record%2FWOS:000356024900007","View Full Record in Web of Science")</f>
        <v>View Full Record in Web of Science</v>
      </c>
    </row>
    <row r="193" spans="1:72" s="2" customFormat="1" x14ac:dyDescent="0.4">
      <c r="A193" s="2" t="s">
        <v>72</v>
      </c>
      <c r="B193" s="2" t="s">
        <v>1242</v>
      </c>
      <c r="C193" s="2" t="s">
        <v>74</v>
      </c>
      <c r="D193" s="2" t="s">
        <v>74</v>
      </c>
      <c r="E193" s="2" t="s">
        <v>74</v>
      </c>
      <c r="F193" s="2" t="s">
        <v>1242</v>
      </c>
      <c r="G193" s="2" t="s">
        <v>74</v>
      </c>
      <c r="H193" s="2" t="s">
        <v>74</v>
      </c>
      <c r="I193" s="2" t="s">
        <v>1243</v>
      </c>
      <c r="J193" s="2" t="s">
        <v>1244</v>
      </c>
      <c r="K193" s="2" t="s">
        <v>74</v>
      </c>
      <c r="L193" s="2" t="s">
        <v>74</v>
      </c>
      <c r="M193" s="2" t="s">
        <v>74</v>
      </c>
      <c r="N193" s="2" t="s">
        <v>74</v>
      </c>
      <c r="O193" s="2" t="s">
        <v>74</v>
      </c>
      <c r="P193" s="2" t="s">
        <v>74</v>
      </c>
      <c r="Q193" s="2" t="s">
        <v>74</v>
      </c>
      <c r="R193" s="2" t="s">
        <v>74</v>
      </c>
      <c r="S193" s="2" t="s">
        <v>74</v>
      </c>
      <c r="T193" s="2" t="s">
        <v>74</v>
      </c>
      <c r="U193" s="2" t="s">
        <v>74</v>
      </c>
      <c r="V193" s="5" t="s">
        <v>1245</v>
      </c>
      <c r="W193" s="2" t="s">
        <v>74</v>
      </c>
      <c r="X193" s="2" t="s">
        <v>74</v>
      </c>
      <c r="Y193" s="2" t="s">
        <v>74</v>
      </c>
      <c r="Z193" s="2" t="s">
        <v>74</v>
      </c>
      <c r="AA193" s="2" t="s">
        <v>74</v>
      </c>
      <c r="AB193" s="2" t="s">
        <v>74</v>
      </c>
      <c r="AC193" s="2" t="s">
        <v>74</v>
      </c>
      <c r="AD193" s="2" t="s">
        <v>74</v>
      </c>
      <c r="AE193" s="2" t="s">
        <v>74</v>
      </c>
      <c r="AF193" s="2" t="s">
        <v>74</v>
      </c>
      <c r="AG193" s="2" t="s">
        <v>74</v>
      </c>
      <c r="AH193" s="2" t="s">
        <v>74</v>
      </c>
      <c r="AI193" s="2" t="s">
        <v>74</v>
      </c>
      <c r="AJ193" s="2" t="s">
        <v>74</v>
      </c>
      <c r="AK193" s="2" t="s">
        <v>74</v>
      </c>
      <c r="AL193" s="2" t="s">
        <v>74</v>
      </c>
      <c r="AM193" s="2" t="s">
        <v>74</v>
      </c>
      <c r="AN193" s="2" t="s">
        <v>74</v>
      </c>
      <c r="AO193" s="2" t="s">
        <v>1246</v>
      </c>
      <c r="AP193" s="2" t="s">
        <v>74</v>
      </c>
      <c r="AQ193" s="2" t="s">
        <v>74</v>
      </c>
      <c r="AR193" s="2" t="s">
        <v>74</v>
      </c>
      <c r="AS193" s="2" t="s">
        <v>74</v>
      </c>
      <c r="AT193" s="2" t="s">
        <v>1247</v>
      </c>
      <c r="AU193" s="2">
        <v>2004</v>
      </c>
      <c r="AV193" s="2">
        <v>33</v>
      </c>
      <c r="AW193" s="2">
        <v>2</v>
      </c>
      <c r="AX193" s="2" t="s">
        <v>74</v>
      </c>
      <c r="AY193" s="2" t="s">
        <v>74</v>
      </c>
      <c r="AZ193" s="2" t="s">
        <v>74</v>
      </c>
      <c r="BA193" s="2" t="s">
        <v>74</v>
      </c>
      <c r="BB193" s="2">
        <v>147</v>
      </c>
      <c r="BC193" s="2">
        <v>156</v>
      </c>
      <c r="BD193" s="2" t="s">
        <v>74</v>
      </c>
      <c r="BE193" s="2" t="s">
        <v>74</v>
      </c>
      <c r="BF193" s="2" t="s">
        <v>74</v>
      </c>
      <c r="BG193" s="2" t="s">
        <v>74</v>
      </c>
      <c r="BH193" s="2" t="s">
        <v>74</v>
      </c>
      <c r="BI193" s="2" t="s">
        <v>74</v>
      </c>
      <c r="BJ193" s="2" t="s">
        <v>74</v>
      </c>
      <c r="BK193" s="2" t="s">
        <v>74</v>
      </c>
      <c r="BL193" s="2" t="s">
        <v>74</v>
      </c>
      <c r="BM193" s="2" t="s">
        <v>74</v>
      </c>
      <c r="BN193" s="2" t="s">
        <v>74</v>
      </c>
      <c r="BO193" s="2" t="s">
        <v>74</v>
      </c>
      <c r="BP193" s="2" t="s">
        <v>74</v>
      </c>
      <c r="BQ193" s="2" t="s">
        <v>74</v>
      </c>
      <c r="BR193" s="2" t="s">
        <v>74</v>
      </c>
      <c r="BS193" s="2" t="s">
        <v>1248</v>
      </c>
      <c r="BT193" s="2" t="str">
        <f>HYPERLINK("https%3A%2F%2Fwww.webofscience.com%2Fwos%2Fwoscc%2Ffull-record%2FWOS:000221702600002","View Full Record in Web of Science")</f>
        <v>View Full Record in Web of Science</v>
      </c>
    </row>
    <row r="194" spans="1:72" s="2" customFormat="1" x14ac:dyDescent="0.4">
      <c r="A194" s="2" t="s">
        <v>72</v>
      </c>
      <c r="B194" s="2" t="s">
        <v>5707</v>
      </c>
      <c r="C194" s="2" t="s">
        <v>74</v>
      </c>
      <c r="D194" s="2" t="s">
        <v>74</v>
      </c>
      <c r="E194" s="2" t="s">
        <v>74</v>
      </c>
      <c r="F194" s="2" t="s">
        <v>5708</v>
      </c>
      <c r="G194" s="2" t="s">
        <v>74</v>
      </c>
      <c r="H194" s="2" t="s">
        <v>74</v>
      </c>
      <c r="I194" s="2" t="s">
        <v>5709</v>
      </c>
      <c r="J194" s="2" t="s">
        <v>5710</v>
      </c>
      <c r="K194" s="2" t="s">
        <v>74</v>
      </c>
      <c r="L194" s="2" t="s">
        <v>74</v>
      </c>
      <c r="M194" s="2" t="s">
        <v>74</v>
      </c>
      <c r="N194" s="2" t="s">
        <v>74</v>
      </c>
      <c r="O194" s="2" t="s">
        <v>74</v>
      </c>
      <c r="P194" s="2" t="s">
        <v>74</v>
      </c>
      <c r="Q194" s="2" t="s">
        <v>74</v>
      </c>
      <c r="R194" s="2" t="s">
        <v>74</v>
      </c>
      <c r="S194" s="2" t="s">
        <v>74</v>
      </c>
      <c r="T194" s="2" t="s">
        <v>74</v>
      </c>
      <c r="U194" s="2" t="s">
        <v>74</v>
      </c>
      <c r="V194" s="5" t="s">
        <v>5711</v>
      </c>
      <c r="W194" s="2" t="s">
        <v>74</v>
      </c>
      <c r="X194" s="2" t="s">
        <v>74</v>
      </c>
      <c r="Y194" s="2" t="s">
        <v>74</v>
      </c>
      <c r="Z194" s="2" t="s">
        <v>74</v>
      </c>
      <c r="AA194" s="2" t="s">
        <v>5712</v>
      </c>
      <c r="AB194" s="2" t="s">
        <v>5713</v>
      </c>
      <c r="AC194" s="2" t="s">
        <v>74</v>
      </c>
      <c r="AD194" s="2" t="s">
        <v>74</v>
      </c>
      <c r="AE194" s="2" t="s">
        <v>74</v>
      </c>
      <c r="AF194" s="2" t="s">
        <v>74</v>
      </c>
      <c r="AG194" s="2" t="s">
        <v>74</v>
      </c>
      <c r="AH194" s="2" t="s">
        <v>74</v>
      </c>
      <c r="AI194" s="2" t="s">
        <v>74</v>
      </c>
      <c r="AJ194" s="2" t="s">
        <v>74</v>
      </c>
      <c r="AK194" s="2" t="s">
        <v>74</v>
      </c>
      <c r="AL194" s="2" t="s">
        <v>74</v>
      </c>
      <c r="AM194" s="2" t="s">
        <v>74</v>
      </c>
      <c r="AN194" s="2" t="s">
        <v>74</v>
      </c>
      <c r="AO194" s="2" t="s">
        <v>5714</v>
      </c>
      <c r="AP194" s="2" t="s">
        <v>5715</v>
      </c>
      <c r="AQ194" s="2" t="s">
        <v>74</v>
      </c>
      <c r="AR194" s="2" t="s">
        <v>74</v>
      </c>
      <c r="AS194" s="2" t="s">
        <v>74</v>
      </c>
      <c r="AT194" s="2" t="s">
        <v>74</v>
      </c>
      <c r="AU194" s="2">
        <v>2015</v>
      </c>
      <c r="AV194" s="2">
        <v>65</v>
      </c>
      <c r="AW194" s="2">
        <v>1</v>
      </c>
      <c r="AX194" s="2" t="s">
        <v>74</v>
      </c>
      <c r="AY194" s="2" t="s">
        <v>74</v>
      </c>
      <c r="AZ194" s="2" t="s">
        <v>74</v>
      </c>
      <c r="BA194" s="2" t="s">
        <v>74</v>
      </c>
      <c r="BB194" s="2">
        <v>21</v>
      </c>
      <c r="BC194" s="2">
        <v>39</v>
      </c>
      <c r="BD194" s="2" t="s">
        <v>74</v>
      </c>
      <c r="BE194" s="2" t="s">
        <v>5716</v>
      </c>
      <c r="BF194" s="2" t="str">
        <f>HYPERLINK("http://dx.doi.org/10.3161/00034541ANZ2015.65.1.003","http://dx.doi.org/10.3161/00034541ANZ2015.65.1.003")</f>
        <v>http://dx.doi.org/10.3161/00034541ANZ2015.65.1.003</v>
      </c>
      <c r="BG194" s="2" t="s">
        <v>74</v>
      </c>
      <c r="BH194" s="2" t="s">
        <v>74</v>
      </c>
      <c r="BI194" s="2" t="s">
        <v>74</v>
      </c>
      <c r="BJ194" s="2" t="s">
        <v>74</v>
      </c>
      <c r="BK194" s="2" t="s">
        <v>74</v>
      </c>
      <c r="BL194" s="2" t="s">
        <v>74</v>
      </c>
      <c r="BM194" s="2" t="s">
        <v>74</v>
      </c>
      <c r="BN194" s="2" t="s">
        <v>74</v>
      </c>
      <c r="BO194" s="2" t="s">
        <v>74</v>
      </c>
      <c r="BP194" s="2" t="s">
        <v>74</v>
      </c>
      <c r="BQ194" s="2" t="s">
        <v>74</v>
      </c>
      <c r="BR194" s="2" t="s">
        <v>74</v>
      </c>
      <c r="BS194" s="2" t="s">
        <v>5717</v>
      </c>
      <c r="BT194" s="2" t="str">
        <f>HYPERLINK("https%3A%2F%2Fwww.webofscience.com%2Fwos%2Fwoscc%2Ffull-record%2FWOS:000353527500003","View Full Record in Web of Science")</f>
        <v>View Full Record in Web of Science</v>
      </c>
    </row>
    <row r="195" spans="1:72" s="2" customFormat="1" x14ac:dyDescent="0.4">
      <c r="A195" s="2" t="s">
        <v>72</v>
      </c>
      <c r="B195" s="2" t="s">
        <v>7966</v>
      </c>
      <c r="C195" s="2" t="s">
        <v>74</v>
      </c>
      <c r="D195" s="2" t="s">
        <v>74</v>
      </c>
      <c r="E195" s="2" t="s">
        <v>74</v>
      </c>
      <c r="F195" s="2" t="s">
        <v>7967</v>
      </c>
      <c r="G195" s="2" t="s">
        <v>74</v>
      </c>
      <c r="H195" s="2" t="s">
        <v>74</v>
      </c>
      <c r="I195" s="2" t="s">
        <v>7968</v>
      </c>
      <c r="J195" s="2" t="s">
        <v>3353</v>
      </c>
      <c r="K195" s="2" t="s">
        <v>74</v>
      </c>
      <c r="L195" s="2" t="s">
        <v>74</v>
      </c>
      <c r="M195" s="2" t="s">
        <v>74</v>
      </c>
      <c r="N195" s="2" t="s">
        <v>74</v>
      </c>
      <c r="O195" s="2" t="s">
        <v>74</v>
      </c>
      <c r="P195" s="2" t="s">
        <v>74</v>
      </c>
      <c r="Q195" s="2" t="s">
        <v>74</v>
      </c>
      <c r="R195" s="2" t="s">
        <v>74</v>
      </c>
      <c r="S195" s="2" t="s">
        <v>74</v>
      </c>
      <c r="T195" s="2" t="s">
        <v>74</v>
      </c>
      <c r="U195" s="2" t="s">
        <v>74</v>
      </c>
      <c r="V195" s="5" t="s">
        <v>7969</v>
      </c>
      <c r="W195" s="2" t="s">
        <v>74</v>
      </c>
      <c r="X195" s="2" t="s">
        <v>74</v>
      </c>
      <c r="Y195" s="2" t="s">
        <v>74</v>
      </c>
      <c r="Z195" s="2" t="s">
        <v>74</v>
      </c>
      <c r="AA195" s="2" t="s">
        <v>7970</v>
      </c>
      <c r="AB195" s="2" t="s">
        <v>7971</v>
      </c>
      <c r="AC195" s="2" t="s">
        <v>74</v>
      </c>
      <c r="AD195" s="2" t="s">
        <v>74</v>
      </c>
      <c r="AE195" s="2" t="s">
        <v>74</v>
      </c>
      <c r="AF195" s="2" t="s">
        <v>74</v>
      </c>
      <c r="AG195" s="2" t="s">
        <v>74</v>
      </c>
      <c r="AH195" s="2" t="s">
        <v>74</v>
      </c>
      <c r="AI195" s="2" t="s">
        <v>74</v>
      </c>
      <c r="AJ195" s="2" t="s">
        <v>74</v>
      </c>
      <c r="AK195" s="2" t="s">
        <v>74</v>
      </c>
      <c r="AL195" s="2" t="s">
        <v>74</v>
      </c>
      <c r="AM195" s="2" t="s">
        <v>74</v>
      </c>
      <c r="AN195" s="2" t="s">
        <v>74</v>
      </c>
      <c r="AO195" s="2" t="s">
        <v>3357</v>
      </c>
      <c r="AP195" s="2" t="s">
        <v>3358</v>
      </c>
      <c r="AQ195" s="2" t="s">
        <v>74</v>
      </c>
      <c r="AR195" s="2" t="s">
        <v>74</v>
      </c>
      <c r="AS195" s="2" t="s">
        <v>74</v>
      </c>
      <c r="AT195" s="2" t="s">
        <v>633</v>
      </c>
      <c r="AU195" s="2">
        <v>2013</v>
      </c>
      <c r="AV195" s="2">
        <v>38</v>
      </c>
      <c r="AW195" s="2">
        <v>2</v>
      </c>
      <c r="AX195" s="2" t="s">
        <v>74</v>
      </c>
      <c r="AY195" s="2" t="s">
        <v>74</v>
      </c>
      <c r="AZ195" s="2" t="s">
        <v>74</v>
      </c>
      <c r="BA195" s="2" t="s">
        <v>74</v>
      </c>
      <c r="BB195" s="2">
        <v>169</v>
      </c>
      <c r="BC195" s="2">
        <v>176</v>
      </c>
      <c r="BD195" s="2" t="s">
        <v>74</v>
      </c>
      <c r="BE195" s="2" t="s">
        <v>7972</v>
      </c>
      <c r="BF195" s="2" t="str">
        <f>HYPERLINK("http://dx.doi.org/10.1111/j.1442-9993.2012.02389.x","http://dx.doi.org/10.1111/j.1442-9993.2012.02389.x")</f>
        <v>http://dx.doi.org/10.1111/j.1442-9993.2012.02389.x</v>
      </c>
      <c r="BG195" s="2" t="s">
        <v>74</v>
      </c>
      <c r="BH195" s="2" t="s">
        <v>74</v>
      </c>
      <c r="BI195" s="2" t="s">
        <v>74</v>
      </c>
      <c r="BJ195" s="2" t="s">
        <v>74</v>
      </c>
      <c r="BK195" s="2" t="s">
        <v>74</v>
      </c>
      <c r="BL195" s="2" t="s">
        <v>74</v>
      </c>
      <c r="BM195" s="2" t="s">
        <v>74</v>
      </c>
      <c r="BN195" s="2" t="s">
        <v>74</v>
      </c>
      <c r="BO195" s="2" t="s">
        <v>74</v>
      </c>
      <c r="BP195" s="2" t="s">
        <v>74</v>
      </c>
      <c r="BQ195" s="2" t="s">
        <v>74</v>
      </c>
      <c r="BR195" s="2" t="s">
        <v>74</v>
      </c>
      <c r="BS195" s="2" t="s">
        <v>7973</v>
      </c>
      <c r="BT195" s="2" t="str">
        <f>HYPERLINK("https%3A%2F%2Fwww.webofscience.com%2Fwos%2Fwoscc%2Ffull-record%2FWOS:000316623400006","View Full Record in Web of Science")</f>
        <v>View Full Record in Web of Science</v>
      </c>
    </row>
    <row r="196" spans="1:72" s="2" customFormat="1" x14ac:dyDescent="0.4">
      <c r="A196" s="2" t="s">
        <v>72</v>
      </c>
      <c r="B196" s="2" t="s">
        <v>682</v>
      </c>
      <c r="C196" s="2" t="s">
        <v>74</v>
      </c>
      <c r="D196" s="2" t="s">
        <v>74</v>
      </c>
      <c r="E196" s="2" t="s">
        <v>74</v>
      </c>
      <c r="F196" s="2" t="s">
        <v>683</v>
      </c>
      <c r="G196" s="2" t="s">
        <v>74</v>
      </c>
      <c r="H196" s="2" t="s">
        <v>74</v>
      </c>
      <c r="I196" s="2" t="s">
        <v>684</v>
      </c>
      <c r="J196" s="2" t="s">
        <v>140</v>
      </c>
      <c r="K196" s="2" t="s">
        <v>74</v>
      </c>
      <c r="L196" s="2" t="s">
        <v>74</v>
      </c>
      <c r="M196" s="2" t="s">
        <v>74</v>
      </c>
      <c r="N196" s="2" t="s">
        <v>74</v>
      </c>
      <c r="O196" s="2" t="s">
        <v>74</v>
      </c>
      <c r="P196" s="2" t="s">
        <v>74</v>
      </c>
      <c r="Q196" s="2" t="s">
        <v>74</v>
      </c>
      <c r="R196" s="2" t="s">
        <v>74</v>
      </c>
      <c r="S196" s="2" t="s">
        <v>74</v>
      </c>
      <c r="T196" s="2" t="s">
        <v>74</v>
      </c>
      <c r="U196" s="2" t="s">
        <v>74</v>
      </c>
      <c r="V196" s="5" t="s">
        <v>685</v>
      </c>
      <c r="W196" s="2" t="s">
        <v>74</v>
      </c>
      <c r="X196" s="2" t="s">
        <v>74</v>
      </c>
      <c r="Y196" s="2" t="s">
        <v>74</v>
      </c>
      <c r="Z196" s="2" t="s">
        <v>74</v>
      </c>
      <c r="AA196" s="2" t="s">
        <v>74</v>
      </c>
      <c r="AB196" s="2" t="s">
        <v>686</v>
      </c>
      <c r="AC196" s="2" t="s">
        <v>74</v>
      </c>
      <c r="AD196" s="2" t="s">
        <v>74</v>
      </c>
      <c r="AE196" s="2" t="s">
        <v>74</v>
      </c>
      <c r="AF196" s="2" t="s">
        <v>74</v>
      </c>
      <c r="AG196" s="2" t="s">
        <v>74</v>
      </c>
      <c r="AH196" s="2" t="s">
        <v>74</v>
      </c>
      <c r="AI196" s="2" t="s">
        <v>74</v>
      </c>
      <c r="AJ196" s="2" t="s">
        <v>74</v>
      </c>
      <c r="AK196" s="2" t="s">
        <v>74</v>
      </c>
      <c r="AL196" s="2" t="s">
        <v>74</v>
      </c>
      <c r="AM196" s="2" t="s">
        <v>74</v>
      </c>
      <c r="AN196" s="2" t="s">
        <v>74</v>
      </c>
      <c r="AO196" s="2" t="s">
        <v>143</v>
      </c>
      <c r="AP196" s="2" t="s">
        <v>144</v>
      </c>
      <c r="AQ196" s="2" t="s">
        <v>74</v>
      </c>
      <c r="AR196" s="2" t="s">
        <v>74</v>
      </c>
      <c r="AS196" s="2" t="s">
        <v>74</v>
      </c>
      <c r="AT196" s="2" t="s">
        <v>102</v>
      </c>
      <c r="AU196" s="2">
        <v>2016</v>
      </c>
      <c r="AV196" s="2">
        <v>116</v>
      </c>
      <c r="AW196" s="2" t="s">
        <v>74</v>
      </c>
      <c r="AX196" s="2" t="s">
        <v>74</v>
      </c>
      <c r="AY196" s="2" t="s">
        <v>74</v>
      </c>
      <c r="AZ196" s="2" t="s">
        <v>74</v>
      </c>
      <c r="BA196" s="2" t="s">
        <v>74</v>
      </c>
      <c r="BB196" s="2">
        <v>213</v>
      </c>
      <c r="BC196" s="2">
        <v>221</v>
      </c>
      <c r="BD196" s="2" t="s">
        <v>74</v>
      </c>
      <c r="BE196" s="2" t="s">
        <v>687</v>
      </c>
      <c r="BF196" s="2" t="str">
        <f>HYPERLINK("http://dx.doi.org/10.1016/j.anbehav.2016.03.035","http://dx.doi.org/10.1016/j.anbehav.2016.03.035")</f>
        <v>http://dx.doi.org/10.1016/j.anbehav.2016.03.035</v>
      </c>
      <c r="BG196" s="2" t="s">
        <v>74</v>
      </c>
      <c r="BH196" s="2" t="s">
        <v>74</v>
      </c>
      <c r="BI196" s="2" t="s">
        <v>74</v>
      </c>
      <c r="BJ196" s="2" t="s">
        <v>74</v>
      </c>
      <c r="BK196" s="2" t="s">
        <v>74</v>
      </c>
      <c r="BL196" s="2" t="s">
        <v>74</v>
      </c>
      <c r="BM196" s="2" t="s">
        <v>74</v>
      </c>
      <c r="BN196" s="2" t="s">
        <v>74</v>
      </c>
      <c r="BO196" s="2" t="s">
        <v>74</v>
      </c>
      <c r="BP196" s="2" t="s">
        <v>74</v>
      </c>
      <c r="BQ196" s="2" t="s">
        <v>74</v>
      </c>
      <c r="BR196" s="2" t="s">
        <v>74</v>
      </c>
      <c r="BS196" s="2" t="s">
        <v>688</v>
      </c>
      <c r="BT196" s="2" t="str">
        <f>HYPERLINK("https%3A%2F%2Fwww.webofscience.com%2Fwos%2Fwoscc%2Ffull-record%2FWOS:000377286700023","View Full Record in Web of Science")</f>
        <v>View Full Record in Web of Science</v>
      </c>
    </row>
    <row r="197" spans="1:72" s="1" customFormat="1" x14ac:dyDescent="0.4">
      <c r="A197" s="2" t="s">
        <v>72</v>
      </c>
      <c r="B197" s="2" t="s">
        <v>2820</v>
      </c>
      <c r="C197" s="2" t="s">
        <v>74</v>
      </c>
      <c r="D197" s="2" t="s">
        <v>74</v>
      </c>
      <c r="E197" s="2" t="s">
        <v>74</v>
      </c>
      <c r="F197" s="2" t="s">
        <v>2821</v>
      </c>
      <c r="G197" s="2" t="s">
        <v>74</v>
      </c>
      <c r="H197" s="2" t="s">
        <v>74</v>
      </c>
      <c r="I197" s="2" t="s">
        <v>2822</v>
      </c>
      <c r="J197" s="2" t="s">
        <v>1656</v>
      </c>
      <c r="K197" s="2" t="s">
        <v>74</v>
      </c>
      <c r="L197" s="2" t="s">
        <v>74</v>
      </c>
      <c r="M197" s="2" t="s">
        <v>74</v>
      </c>
      <c r="N197" s="2" t="s">
        <v>74</v>
      </c>
      <c r="O197" s="2" t="s">
        <v>74</v>
      </c>
      <c r="P197" s="2" t="s">
        <v>74</v>
      </c>
      <c r="Q197" s="2" t="s">
        <v>74</v>
      </c>
      <c r="R197" s="2" t="s">
        <v>74</v>
      </c>
      <c r="S197" s="2" t="s">
        <v>74</v>
      </c>
      <c r="T197" s="2" t="s">
        <v>74</v>
      </c>
      <c r="U197" s="2" t="s">
        <v>74</v>
      </c>
      <c r="V197" s="5" t="s">
        <v>2823</v>
      </c>
      <c r="W197" s="2" t="s">
        <v>74</v>
      </c>
      <c r="X197" s="2" t="s">
        <v>74</v>
      </c>
      <c r="Y197" s="2" t="s">
        <v>74</v>
      </c>
      <c r="Z197" s="2" t="s">
        <v>74</v>
      </c>
      <c r="AA197" s="2" t="s">
        <v>74</v>
      </c>
      <c r="AB197" s="2" t="s">
        <v>74</v>
      </c>
      <c r="AC197" s="2" t="s">
        <v>74</v>
      </c>
      <c r="AD197" s="2" t="s">
        <v>74</v>
      </c>
      <c r="AE197" s="2" t="s">
        <v>74</v>
      </c>
      <c r="AF197" s="2" t="s">
        <v>74</v>
      </c>
      <c r="AG197" s="2" t="s">
        <v>74</v>
      </c>
      <c r="AH197" s="2" t="s">
        <v>74</v>
      </c>
      <c r="AI197" s="2" t="s">
        <v>74</v>
      </c>
      <c r="AJ197" s="2" t="s">
        <v>74</v>
      </c>
      <c r="AK197" s="2" t="s">
        <v>74</v>
      </c>
      <c r="AL197" s="2" t="s">
        <v>74</v>
      </c>
      <c r="AM197" s="2" t="s">
        <v>74</v>
      </c>
      <c r="AN197" s="2" t="s">
        <v>74</v>
      </c>
      <c r="AO197" s="2" t="s">
        <v>1658</v>
      </c>
      <c r="AP197" s="2" t="s">
        <v>1659</v>
      </c>
      <c r="AQ197" s="2" t="s">
        <v>74</v>
      </c>
      <c r="AR197" s="2" t="s">
        <v>74</v>
      </c>
      <c r="AS197" s="2" t="s">
        <v>74</v>
      </c>
      <c r="AT197" s="2" t="s">
        <v>2824</v>
      </c>
      <c r="AU197" s="2">
        <v>2011</v>
      </c>
      <c r="AV197" s="2" t="s">
        <v>74</v>
      </c>
      <c r="AW197" s="2">
        <v>3110</v>
      </c>
      <c r="AX197" s="2" t="s">
        <v>74</v>
      </c>
      <c r="AY197" s="2" t="s">
        <v>74</v>
      </c>
      <c r="AZ197" s="2" t="s">
        <v>74</v>
      </c>
      <c r="BA197" s="2" t="s">
        <v>74</v>
      </c>
      <c r="BB197" s="2">
        <v>53</v>
      </c>
      <c r="BC197" s="2">
        <v>60</v>
      </c>
      <c r="BD197" s="2" t="s">
        <v>74</v>
      </c>
      <c r="BE197" s="2" t="s">
        <v>74</v>
      </c>
      <c r="BF197" s="2" t="s">
        <v>74</v>
      </c>
      <c r="BG197" s="2" t="s">
        <v>74</v>
      </c>
      <c r="BH197" s="2" t="s">
        <v>74</v>
      </c>
      <c r="BI197" s="2" t="s">
        <v>74</v>
      </c>
      <c r="BJ197" s="2" t="s">
        <v>74</v>
      </c>
      <c r="BK197" s="2" t="s">
        <v>74</v>
      </c>
      <c r="BL197" s="2" t="s">
        <v>74</v>
      </c>
      <c r="BM197" s="2" t="s">
        <v>74</v>
      </c>
      <c r="BN197" s="2" t="s">
        <v>74</v>
      </c>
      <c r="BO197" s="2" t="s">
        <v>74</v>
      </c>
      <c r="BP197" s="2" t="s">
        <v>74</v>
      </c>
      <c r="BQ197" s="2" t="s">
        <v>74</v>
      </c>
      <c r="BR197" s="2" t="s">
        <v>74</v>
      </c>
      <c r="BS197" s="2" t="s">
        <v>2825</v>
      </c>
      <c r="BT197" s="2" t="str">
        <f>HYPERLINK("https%3A%2F%2Fwww.webofscience.com%2Fwos%2Fwoscc%2Ffull-record%2FWOS:000297328000005","View Full Record in Web of Science")</f>
        <v>View Full Record in Web of Science</v>
      </c>
    </row>
    <row r="198" spans="1:72" s="2" customFormat="1" x14ac:dyDescent="0.4">
      <c r="A198" s="2" t="s">
        <v>72</v>
      </c>
      <c r="B198" s="2" t="s">
        <v>6352</v>
      </c>
      <c r="C198" s="2" t="s">
        <v>74</v>
      </c>
      <c r="D198" s="2" t="s">
        <v>74</v>
      </c>
      <c r="E198" s="2" t="s">
        <v>74</v>
      </c>
      <c r="F198" s="2" t="s">
        <v>6352</v>
      </c>
      <c r="G198" s="2" t="s">
        <v>74</v>
      </c>
      <c r="H198" s="2" t="s">
        <v>74</v>
      </c>
      <c r="I198" s="2" t="s">
        <v>6353</v>
      </c>
      <c r="J198" s="2" t="s">
        <v>3498</v>
      </c>
      <c r="K198" s="2" t="s">
        <v>74</v>
      </c>
      <c r="L198" s="2" t="s">
        <v>74</v>
      </c>
      <c r="M198" s="2" t="s">
        <v>74</v>
      </c>
      <c r="N198" s="2" t="s">
        <v>74</v>
      </c>
      <c r="O198" s="2" t="s">
        <v>74</v>
      </c>
      <c r="P198" s="2" t="s">
        <v>74</v>
      </c>
      <c r="Q198" s="2" t="s">
        <v>74</v>
      </c>
      <c r="R198" s="2" t="s">
        <v>74</v>
      </c>
      <c r="S198" s="2" t="s">
        <v>74</v>
      </c>
      <c r="T198" s="2" t="s">
        <v>74</v>
      </c>
      <c r="U198" s="2" t="s">
        <v>74</v>
      </c>
      <c r="V198" s="5" t="s">
        <v>6354</v>
      </c>
      <c r="W198" s="2" t="s">
        <v>74</v>
      </c>
      <c r="X198" s="2" t="s">
        <v>74</v>
      </c>
      <c r="Y198" s="2" t="s">
        <v>74</v>
      </c>
      <c r="Z198" s="2" t="s">
        <v>74</v>
      </c>
      <c r="AA198" s="2" t="s">
        <v>74</v>
      </c>
      <c r="AB198" s="2" t="s">
        <v>74</v>
      </c>
      <c r="AC198" s="2" t="s">
        <v>74</v>
      </c>
      <c r="AD198" s="2" t="s">
        <v>74</v>
      </c>
      <c r="AE198" s="2" t="s">
        <v>74</v>
      </c>
      <c r="AF198" s="2" t="s">
        <v>74</v>
      </c>
      <c r="AG198" s="2" t="s">
        <v>74</v>
      </c>
      <c r="AH198" s="2" t="s">
        <v>74</v>
      </c>
      <c r="AI198" s="2" t="s">
        <v>74</v>
      </c>
      <c r="AJ198" s="2" t="s">
        <v>74</v>
      </c>
      <c r="AK198" s="2" t="s">
        <v>74</v>
      </c>
      <c r="AL198" s="2" t="s">
        <v>74</v>
      </c>
      <c r="AM198" s="2" t="s">
        <v>74</v>
      </c>
      <c r="AN198" s="2" t="s">
        <v>74</v>
      </c>
      <c r="AO198" s="2" t="s">
        <v>3501</v>
      </c>
      <c r="AP198" s="2" t="s">
        <v>3502</v>
      </c>
      <c r="AQ198" s="2" t="s">
        <v>74</v>
      </c>
      <c r="AR198" s="2" t="s">
        <v>74</v>
      </c>
      <c r="AS198" s="2" t="s">
        <v>74</v>
      </c>
      <c r="AT198" s="2" t="s">
        <v>305</v>
      </c>
      <c r="AU198" s="2">
        <v>2005</v>
      </c>
      <c r="AV198" s="2">
        <v>34</v>
      </c>
      <c r="AW198" s="2">
        <v>6</v>
      </c>
      <c r="AX198" s="2" t="s">
        <v>74</v>
      </c>
      <c r="AY198" s="2" t="s">
        <v>74</v>
      </c>
      <c r="AZ198" s="2" t="s">
        <v>74</v>
      </c>
      <c r="BA198" s="2" t="s">
        <v>74</v>
      </c>
      <c r="BB198" s="2">
        <v>1524</v>
      </c>
      <c r="BC198" s="2">
        <v>1533</v>
      </c>
      <c r="BD198" s="2" t="s">
        <v>74</v>
      </c>
      <c r="BE198" s="2" t="s">
        <v>6355</v>
      </c>
      <c r="BF198" s="2" t="str">
        <f>HYPERLINK("http://dx.doi.org/10.1603/0046-225X-34.6.1524","http://dx.doi.org/10.1603/0046-225X-34.6.1524")</f>
        <v>http://dx.doi.org/10.1603/0046-225X-34.6.1524</v>
      </c>
      <c r="BG198" s="2" t="s">
        <v>74</v>
      </c>
      <c r="BH198" s="2" t="s">
        <v>74</v>
      </c>
      <c r="BI198" s="2" t="s">
        <v>74</v>
      </c>
      <c r="BJ198" s="2" t="s">
        <v>74</v>
      </c>
      <c r="BK198" s="2" t="s">
        <v>74</v>
      </c>
      <c r="BL198" s="2" t="s">
        <v>74</v>
      </c>
      <c r="BM198" s="2" t="s">
        <v>74</v>
      </c>
      <c r="BN198" s="2" t="s">
        <v>74</v>
      </c>
      <c r="BO198" s="2" t="s">
        <v>74</v>
      </c>
      <c r="BP198" s="2" t="s">
        <v>74</v>
      </c>
      <c r="BQ198" s="2" t="s">
        <v>74</v>
      </c>
      <c r="BR198" s="2" t="s">
        <v>74</v>
      </c>
      <c r="BS198" s="2" t="s">
        <v>6356</v>
      </c>
      <c r="BT198" s="2" t="str">
        <f>HYPERLINK("https%3A%2F%2Fwww.webofscience.com%2Fwos%2Fwoscc%2Ffull-record%2FWOS:000234031400020","View Full Record in Web of Science")</f>
        <v>View Full Record in Web of Science</v>
      </c>
    </row>
    <row r="199" spans="1:72" s="2" customFormat="1" x14ac:dyDescent="0.4">
      <c r="A199" s="2" t="s">
        <v>72</v>
      </c>
      <c r="B199" s="2" t="s">
        <v>7711</v>
      </c>
      <c r="C199" s="2" t="s">
        <v>74</v>
      </c>
      <c r="D199" s="2" t="s">
        <v>74</v>
      </c>
      <c r="E199" s="2" t="s">
        <v>74</v>
      </c>
      <c r="F199" s="2" t="s">
        <v>7712</v>
      </c>
      <c r="G199" s="2" t="s">
        <v>74</v>
      </c>
      <c r="H199" s="2" t="s">
        <v>74</v>
      </c>
      <c r="I199" s="2" t="s">
        <v>7713</v>
      </c>
      <c r="J199" s="2" t="s">
        <v>108</v>
      </c>
      <c r="K199" s="2" t="s">
        <v>74</v>
      </c>
      <c r="L199" s="2" t="s">
        <v>74</v>
      </c>
      <c r="M199" s="2" t="s">
        <v>74</v>
      </c>
      <c r="N199" s="2" t="s">
        <v>74</v>
      </c>
      <c r="O199" s="2" t="s">
        <v>74</v>
      </c>
      <c r="P199" s="2" t="s">
        <v>74</v>
      </c>
      <c r="Q199" s="2" t="s">
        <v>74</v>
      </c>
      <c r="R199" s="2" t="s">
        <v>74</v>
      </c>
      <c r="S199" s="2" t="s">
        <v>74</v>
      </c>
      <c r="T199" s="2" t="s">
        <v>74</v>
      </c>
      <c r="U199" s="2" t="s">
        <v>74</v>
      </c>
      <c r="V199" s="5" t="s">
        <v>7714</v>
      </c>
      <c r="W199" s="2" t="s">
        <v>74</v>
      </c>
      <c r="X199" s="2" t="s">
        <v>74</v>
      </c>
      <c r="Y199" s="2" t="s">
        <v>74</v>
      </c>
      <c r="Z199" s="2" t="s">
        <v>74</v>
      </c>
      <c r="AA199" s="2" t="s">
        <v>7715</v>
      </c>
      <c r="AB199" s="2" t="s">
        <v>7716</v>
      </c>
      <c r="AC199" s="2" t="s">
        <v>74</v>
      </c>
      <c r="AD199" s="2" t="s">
        <v>74</v>
      </c>
      <c r="AE199" s="2" t="s">
        <v>74</v>
      </c>
      <c r="AF199" s="2" t="s">
        <v>74</v>
      </c>
      <c r="AG199" s="2" t="s">
        <v>74</v>
      </c>
      <c r="AH199" s="2" t="s">
        <v>74</v>
      </c>
      <c r="AI199" s="2" t="s">
        <v>74</v>
      </c>
      <c r="AJ199" s="2" t="s">
        <v>74</v>
      </c>
      <c r="AK199" s="2" t="s">
        <v>74</v>
      </c>
      <c r="AL199" s="2" t="s">
        <v>74</v>
      </c>
      <c r="AM199" s="2" t="s">
        <v>74</v>
      </c>
      <c r="AN199" s="2" t="s">
        <v>74</v>
      </c>
      <c r="AO199" s="2" t="s">
        <v>111</v>
      </c>
      <c r="AP199" s="2" t="s">
        <v>112</v>
      </c>
      <c r="AQ199" s="2" t="s">
        <v>74</v>
      </c>
      <c r="AR199" s="2" t="s">
        <v>74</v>
      </c>
      <c r="AS199" s="2" t="s">
        <v>74</v>
      </c>
      <c r="AT199" s="2" t="s">
        <v>7717</v>
      </c>
      <c r="AU199" s="2">
        <v>2023</v>
      </c>
      <c r="AV199" s="2">
        <v>290</v>
      </c>
      <c r="AW199" s="2">
        <v>1991</v>
      </c>
      <c r="AX199" s="2" t="s">
        <v>74</v>
      </c>
      <c r="AY199" s="2" t="s">
        <v>74</v>
      </c>
      <c r="AZ199" s="2" t="s">
        <v>74</v>
      </c>
      <c r="BA199" s="2" t="s">
        <v>74</v>
      </c>
      <c r="BB199" s="2" t="s">
        <v>74</v>
      </c>
      <c r="BC199" s="2" t="s">
        <v>74</v>
      </c>
      <c r="BD199" s="2">
        <v>20221862</v>
      </c>
      <c r="BE199" s="2" t="s">
        <v>7718</v>
      </c>
      <c r="BF199" s="2" t="str">
        <f>HYPERLINK("http://dx.doi.org/10.1098/rspb.2022.1862","http://dx.doi.org/10.1098/rspb.2022.1862")</f>
        <v>http://dx.doi.org/10.1098/rspb.2022.1862</v>
      </c>
      <c r="BG199" s="2" t="s">
        <v>74</v>
      </c>
      <c r="BH199" s="2" t="s">
        <v>74</v>
      </c>
      <c r="BI199" s="2" t="s">
        <v>74</v>
      </c>
      <c r="BJ199" s="2" t="s">
        <v>74</v>
      </c>
      <c r="BK199" s="2" t="s">
        <v>74</v>
      </c>
      <c r="BL199" s="2" t="s">
        <v>74</v>
      </c>
      <c r="BM199" s="2" t="s">
        <v>74</v>
      </c>
      <c r="BN199" s="2">
        <v>36651041</v>
      </c>
      <c r="BO199" s="2" t="s">
        <v>74</v>
      </c>
      <c r="BP199" s="2" t="s">
        <v>74</v>
      </c>
      <c r="BQ199" s="2" t="s">
        <v>74</v>
      </c>
      <c r="BR199" s="2" t="s">
        <v>74</v>
      </c>
      <c r="BS199" s="2" t="s">
        <v>7719</v>
      </c>
      <c r="BT199" s="2" t="str">
        <f>HYPERLINK("https%3A%2F%2Fwww.webofscience.com%2Fwos%2Fwoscc%2Ffull-record%2FWOS:000914748200003","View Full Record in Web of Science")</f>
        <v>View Full Record in Web of Science</v>
      </c>
    </row>
    <row r="200" spans="1:72" s="2" customFormat="1" x14ac:dyDescent="0.4">
      <c r="A200" s="2" t="s">
        <v>72</v>
      </c>
      <c r="B200" s="2" t="s">
        <v>4992</v>
      </c>
      <c r="C200" s="2" t="s">
        <v>74</v>
      </c>
      <c r="D200" s="2" t="s">
        <v>74</v>
      </c>
      <c r="E200" s="2" t="s">
        <v>74</v>
      </c>
      <c r="F200" s="2" t="s">
        <v>4993</v>
      </c>
      <c r="G200" s="2" t="s">
        <v>74</v>
      </c>
      <c r="H200" s="2" t="s">
        <v>74</v>
      </c>
      <c r="I200" s="2" t="s">
        <v>4994</v>
      </c>
      <c r="J200" s="2" t="s">
        <v>108</v>
      </c>
      <c r="K200" s="2" t="s">
        <v>74</v>
      </c>
      <c r="L200" s="2" t="s">
        <v>74</v>
      </c>
      <c r="M200" s="2" t="s">
        <v>74</v>
      </c>
      <c r="N200" s="2" t="s">
        <v>74</v>
      </c>
      <c r="O200" s="2" t="s">
        <v>74</v>
      </c>
      <c r="P200" s="2" t="s">
        <v>74</v>
      </c>
      <c r="Q200" s="2" t="s">
        <v>74</v>
      </c>
      <c r="R200" s="2" t="s">
        <v>74</v>
      </c>
      <c r="S200" s="2" t="s">
        <v>74</v>
      </c>
      <c r="T200" s="2" t="s">
        <v>74</v>
      </c>
      <c r="U200" s="2" t="s">
        <v>74</v>
      </c>
      <c r="V200" s="5" t="s">
        <v>4995</v>
      </c>
      <c r="W200" s="2" t="s">
        <v>74</v>
      </c>
      <c r="X200" s="2" t="s">
        <v>74</v>
      </c>
      <c r="Y200" s="2" t="s">
        <v>74</v>
      </c>
      <c r="Z200" s="2" t="s">
        <v>74</v>
      </c>
      <c r="AA200" s="2" t="s">
        <v>4996</v>
      </c>
      <c r="AB200" s="2" t="s">
        <v>4997</v>
      </c>
      <c r="AC200" s="2" t="s">
        <v>74</v>
      </c>
      <c r="AD200" s="2" t="s">
        <v>74</v>
      </c>
      <c r="AE200" s="2" t="s">
        <v>74</v>
      </c>
      <c r="AF200" s="2" t="s">
        <v>74</v>
      </c>
      <c r="AG200" s="2" t="s">
        <v>74</v>
      </c>
      <c r="AH200" s="2" t="s">
        <v>74</v>
      </c>
      <c r="AI200" s="2" t="s">
        <v>74</v>
      </c>
      <c r="AJ200" s="2" t="s">
        <v>74</v>
      </c>
      <c r="AK200" s="2" t="s">
        <v>74</v>
      </c>
      <c r="AL200" s="2" t="s">
        <v>74</v>
      </c>
      <c r="AM200" s="2" t="s">
        <v>74</v>
      </c>
      <c r="AN200" s="2" t="s">
        <v>74</v>
      </c>
      <c r="AO200" s="2" t="s">
        <v>111</v>
      </c>
      <c r="AP200" s="2" t="s">
        <v>112</v>
      </c>
      <c r="AQ200" s="2" t="s">
        <v>74</v>
      </c>
      <c r="AR200" s="2" t="s">
        <v>74</v>
      </c>
      <c r="AS200" s="2" t="s">
        <v>74</v>
      </c>
      <c r="AT200" s="2" t="s">
        <v>4998</v>
      </c>
      <c r="AU200" s="2">
        <v>2015</v>
      </c>
      <c r="AV200" s="2">
        <v>282</v>
      </c>
      <c r="AW200" s="2">
        <v>1798</v>
      </c>
      <c r="AX200" s="2" t="s">
        <v>74</v>
      </c>
      <c r="AY200" s="2" t="s">
        <v>74</v>
      </c>
      <c r="AZ200" s="2" t="s">
        <v>74</v>
      </c>
      <c r="BA200" s="2" t="s">
        <v>74</v>
      </c>
      <c r="BB200" s="2" t="s">
        <v>74</v>
      </c>
      <c r="BC200" s="2" t="s">
        <v>74</v>
      </c>
      <c r="BD200" s="2">
        <v>20142321</v>
      </c>
      <c r="BE200" s="2" t="s">
        <v>4999</v>
      </c>
      <c r="BF200" s="2" t="str">
        <f>HYPERLINK("http://dx.doi.org/10.1098/rspb.2014.2321","http://dx.doi.org/10.1098/rspb.2014.2321")</f>
        <v>http://dx.doi.org/10.1098/rspb.2014.2321</v>
      </c>
      <c r="BG200" s="2" t="s">
        <v>74</v>
      </c>
      <c r="BH200" s="2" t="s">
        <v>74</v>
      </c>
      <c r="BI200" s="2" t="s">
        <v>74</v>
      </c>
      <c r="BJ200" s="2" t="s">
        <v>74</v>
      </c>
      <c r="BK200" s="2" t="s">
        <v>74</v>
      </c>
      <c r="BL200" s="2" t="s">
        <v>74</v>
      </c>
      <c r="BM200" s="2" t="s">
        <v>74</v>
      </c>
      <c r="BN200" s="2">
        <v>25429020</v>
      </c>
      <c r="BO200" s="2" t="s">
        <v>74</v>
      </c>
      <c r="BP200" s="2" t="s">
        <v>74</v>
      </c>
      <c r="BQ200" s="2" t="s">
        <v>74</v>
      </c>
      <c r="BR200" s="2" t="s">
        <v>74</v>
      </c>
      <c r="BS200" s="2" t="s">
        <v>5000</v>
      </c>
      <c r="BT200" s="2" t="str">
        <f>HYPERLINK("https%3A%2F%2Fwww.webofscience.com%2Fwos%2Fwoscc%2Ffull-record%2FWOS:000347160800015","View Full Record in Web of Science")</f>
        <v>View Full Record in Web of Science</v>
      </c>
    </row>
    <row r="201" spans="1:72" s="2" customFormat="1" x14ac:dyDescent="0.4">
      <c r="A201" s="2" t="s">
        <v>72</v>
      </c>
      <c r="B201" s="2" t="s">
        <v>3652</v>
      </c>
      <c r="C201" s="2" t="s">
        <v>74</v>
      </c>
      <c r="D201" s="2" t="s">
        <v>74</v>
      </c>
      <c r="E201" s="2" t="s">
        <v>74</v>
      </c>
      <c r="F201" s="2" t="s">
        <v>3653</v>
      </c>
      <c r="G201" s="2" t="s">
        <v>74</v>
      </c>
      <c r="H201" s="2" t="s">
        <v>74</v>
      </c>
      <c r="I201" s="2" t="s">
        <v>3654</v>
      </c>
      <c r="J201" s="2" t="s">
        <v>229</v>
      </c>
      <c r="K201" s="2" t="s">
        <v>74</v>
      </c>
      <c r="L201" s="2" t="s">
        <v>74</v>
      </c>
      <c r="M201" s="2" t="s">
        <v>74</v>
      </c>
      <c r="N201" s="2" t="s">
        <v>74</v>
      </c>
      <c r="O201" s="2" t="s">
        <v>74</v>
      </c>
      <c r="P201" s="2" t="s">
        <v>74</v>
      </c>
      <c r="Q201" s="2" t="s">
        <v>74</v>
      </c>
      <c r="R201" s="2" t="s">
        <v>74</v>
      </c>
      <c r="S201" s="2" t="s">
        <v>74</v>
      </c>
      <c r="T201" s="2" t="s">
        <v>74</v>
      </c>
      <c r="U201" s="2" t="s">
        <v>74</v>
      </c>
      <c r="V201" s="5" t="s">
        <v>3655</v>
      </c>
      <c r="W201" s="2" t="s">
        <v>74</v>
      </c>
      <c r="X201" s="2" t="s">
        <v>74</v>
      </c>
      <c r="Y201" s="2" t="s">
        <v>74</v>
      </c>
      <c r="Z201" s="2" t="s">
        <v>74</v>
      </c>
      <c r="AA201" s="2" t="s">
        <v>3656</v>
      </c>
      <c r="AB201" s="2" t="s">
        <v>3657</v>
      </c>
      <c r="AC201" s="2" t="s">
        <v>74</v>
      </c>
      <c r="AD201" s="2" t="s">
        <v>74</v>
      </c>
      <c r="AE201" s="2" t="s">
        <v>74</v>
      </c>
      <c r="AF201" s="2" t="s">
        <v>74</v>
      </c>
      <c r="AG201" s="2" t="s">
        <v>74</v>
      </c>
      <c r="AH201" s="2" t="s">
        <v>74</v>
      </c>
      <c r="AI201" s="2" t="s">
        <v>74</v>
      </c>
      <c r="AJ201" s="2" t="s">
        <v>74</v>
      </c>
      <c r="AK201" s="2" t="s">
        <v>74</v>
      </c>
      <c r="AL201" s="2" t="s">
        <v>74</v>
      </c>
      <c r="AM201" s="2" t="s">
        <v>74</v>
      </c>
      <c r="AN201" s="2" t="s">
        <v>74</v>
      </c>
      <c r="AO201" s="2" t="s">
        <v>233</v>
      </c>
      <c r="AP201" s="2" t="s">
        <v>234</v>
      </c>
      <c r="AQ201" s="2" t="s">
        <v>74</v>
      </c>
      <c r="AR201" s="2" t="s">
        <v>74</v>
      </c>
      <c r="AS201" s="2" t="s">
        <v>74</v>
      </c>
      <c r="AT201" s="2" t="s">
        <v>1475</v>
      </c>
      <c r="AU201" s="2">
        <v>2010</v>
      </c>
      <c r="AV201" s="2">
        <v>36</v>
      </c>
      <c r="AW201" s="2">
        <v>1</v>
      </c>
      <c r="AX201" s="2" t="s">
        <v>74</v>
      </c>
      <c r="AY201" s="2" t="s">
        <v>74</v>
      </c>
      <c r="AZ201" s="2" t="s">
        <v>74</v>
      </c>
      <c r="BA201" s="2" t="s">
        <v>74</v>
      </c>
      <c r="BB201" s="2">
        <v>1</v>
      </c>
      <c r="BC201" s="2">
        <v>13</v>
      </c>
      <c r="BD201" s="2" t="s">
        <v>74</v>
      </c>
      <c r="BE201" s="2" t="s">
        <v>3658</v>
      </c>
      <c r="BF201" s="2" t="str">
        <f>HYPERLINK("http://dx.doi.org/10.1002/ab.20329","http://dx.doi.org/10.1002/ab.20329")</f>
        <v>http://dx.doi.org/10.1002/ab.20329</v>
      </c>
      <c r="BG201" s="2" t="s">
        <v>74</v>
      </c>
      <c r="BH201" s="2" t="s">
        <v>74</v>
      </c>
      <c r="BI201" s="2" t="s">
        <v>74</v>
      </c>
      <c r="BJ201" s="2" t="s">
        <v>74</v>
      </c>
      <c r="BK201" s="2" t="s">
        <v>74</v>
      </c>
      <c r="BL201" s="2" t="s">
        <v>74</v>
      </c>
      <c r="BM201" s="2" t="s">
        <v>74</v>
      </c>
      <c r="BN201" s="2">
        <v>19859912</v>
      </c>
      <c r="BO201" s="2" t="s">
        <v>74</v>
      </c>
      <c r="BP201" s="2" t="s">
        <v>74</v>
      </c>
      <c r="BQ201" s="2" t="s">
        <v>74</v>
      </c>
      <c r="BR201" s="2" t="s">
        <v>74</v>
      </c>
      <c r="BS201" s="2" t="s">
        <v>3659</v>
      </c>
      <c r="BT201" s="2" t="str">
        <f>HYPERLINK("https%3A%2F%2Fwww.webofscience.com%2Fwos%2Fwoscc%2Ffull-record%2FWOS:000272728400001","View Full Record in Web of Science")</f>
        <v>View Full Record in Web of Science</v>
      </c>
    </row>
    <row r="202" spans="1:72" s="2" customFormat="1" x14ac:dyDescent="0.4">
      <c r="A202" s="2" t="s">
        <v>72</v>
      </c>
      <c r="B202" s="2" t="s">
        <v>8340</v>
      </c>
      <c r="C202" s="2" t="s">
        <v>74</v>
      </c>
      <c r="D202" s="2" t="s">
        <v>74</v>
      </c>
      <c r="E202" s="2" t="s">
        <v>74</v>
      </c>
      <c r="F202" s="2" t="s">
        <v>8341</v>
      </c>
      <c r="G202" s="2" t="s">
        <v>74</v>
      </c>
      <c r="H202" s="2" t="s">
        <v>74</v>
      </c>
      <c r="I202" s="2" t="s">
        <v>8342</v>
      </c>
      <c r="J202" s="2" t="s">
        <v>119</v>
      </c>
      <c r="K202" s="2" t="s">
        <v>74</v>
      </c>
      <c r="L202" s="2" t="s">
        <v>74</v>
      </c>
      <c r="M202" s="2" t="s">
        <v>74</v>
      </c>
      <c r="N202" s="2" t="s">
        <v>74</v>
      </c>
      <c r="O202" s="2" t="s">
        <v>74</v>
      </c>
      <c r="P202" s="2" t="s">
        <v>74</v>
      </c>
      <c r="Q202" s="2" t="s">
        <v>74</v>
      </c>
      <c r="R202" s="2" t="s">
        <v>74</v>
      </c>
      <c r="S202" s="2" t="s">
        <v>74</v>
      </c>
      <c r="T202" s="2" t="s">
        <v>74</v>
      </c>
      <c r="U202" s="2" t="s">
        <v>74</v>
      </c>
      <c r="V202" s="5" t="s">
        <v>8343</v>
      </c>
      <c r="W202" s="2" t="s">
        <v>74</v>
      </c>
      <c r="X202" s="2" t="s">
        <v>74</v>
      </c>
      <c r="Y202" s="2" t="s">
        <v>74</v>
      </c>
      <c r="Z202" s="2" t="s">
        <v>74</v>
      </c>
      <c r="AA202" s="2" t="s">
        <v>74</v>
      </c>
      <c r="AB202" s="2" t="s">
        <v>74</v>
      </c>
      <c r="AC202" s="2" t="s">
        <v>74</v>
      </c>
      <c r="AD202" s="2" t="s">
        <v>74</v>
      </c>
      <c r="AE202" s="2" t="s">
        <v>74</v>
      </c>
      <c r="AF202" s="2" t="s">
        <v>74</v>
      </c>
      <c r="AG202" s="2" t="s">
        <v>74</v>
      </c>
      <c r="AH202" s="2" t="s">
        <v>74</v>
      </c>
      <c r="AI202" s="2" t="s">
        <v>74</v>
      </c>
      <c r="AJ202" s="2" t="s">
        <v>74</v>
      </c>
      <c r="AK202" s="2" t="s">
        <v>74</v>
      </c>
      <c r="AL202" s="2" t="s">
        <v>74</v>
      </c>
      <c r="AM202" s="2" t="s">
        <v>74</v>
      </c>
      <c r="AN202" s="2" t="s">
        <v>74</v>
      </c>
      <c r="AO202" s="2" t="s">
        <v>121</v>
      </c>
      <c r="AP202" s="2" t="s">
        <v>122</v>
      </c>
      <c r="AQ202" s="2" t="s">
        <v>74</v>
      </c>
      <c r="AR202" s="2" t="s">
        <v>74</v>
      </c>
      <c r="AS202" s="2" t="s">
        <v>74</v>
      </c>
      <c r="AT202" s="2" t="s">
        <v>255</v>
      </c>
      <c r="AU202" s="2">
        <v>2011</v>
      </c>
      <c r="AV202" s="2">
        <v>86</v>
      </c>
      <c r="AW202" s="2">
        <v>1</v>
      </c>
      <c r="AX202" s="2" t="s">
        <v>74</v>
      </c>
      <c r="AY202" s="2" t="s">
        <v>74</v>
      </c>
      <c r="AZ202" s="2" t="s">
        <v>74</v>
      </c>
      <c r="BA202" s="2" t="s">
        <v>74</v>
      </c>
      <c r="BB202" s="2">
        <v>109</v>
      </c>
      <c r="BC202" s="2">
        <v>118</v>
      </c>
      <c r="BD202" s="2" t="s">
        <v>74</v>
      </c>
      <c r="BE202" s="2" t="s">
        <v>8344</v>
      </c>
      <c r="BF202" s="2" t="str">
        <f>HYPERLINK("http://dx.doi.org/10.1016/j.beproc.2010.10.002","http://dx.doi.org/10.1016/j.beproc.2010.10.002")</f>
        <v>http://dx.doi.org/10.1016/j.beproc.2010.10.002</v>
      </c>
      <c r="BG202" s="2" t="s">
        <v>74</v>
      </c>
      <c r="BH202" s="2" t="s">
        <v>74</v>
      </c>
      <c r="BI202" s="2" t="s">
        <v>74</v>
      </c>
      <c r="BJ202" s="2" t="s">
        <v>74</v>
      </c>
      <c r="BK202" s="2" t="s">
        <v>74</v>
      </c>
      <c r="BL202" s="2" t="s">
        <v>74</v>
      </c>
      <c r="BM202" s="2" t="s">
        <v>74</v>
      </c>
      <c r="BN202" s="2">
        <v>20971169</v>
      </c>
      <c r="BO202" s="2" t="s">
        <v>74</v>
      </c>
      <c r="BP202" s="2" t="s">
        <v>74</v>
      </c>
      <c r="BQ202" s="2" t="s">
        <v>74</v>
      </c>
      <c r="BR202" s="2" t="s">
        <v>74</v>
      </c>
      <c r="BS202" s="2" t="s">
        <v>8345</v>
      </c>
      <c r="BT202" s="2" t="str">
        <f>HYPERLINK("https%3A%2F%2Fwww.webofscience.com%2Fwos%2Fwoscc%2Ffull-record%2FWOS:000286861200015","View Full Record in Web of Science")</f>
        <v>View Full Record in Web of Science</v>
      </c>
    </row>
    <row r="203" spans="1:72" s="2" customFormat="1" x14ac:dyDescent="0.4">
      <c r="A203" s="2" t="s">
        <v>72</v>
      </c>
      <c r="B203" s="2" t="s">
        <v>3208</v>
      </c>
      <c r="C203" s="2" t="s">
        <v>74</v>
      </c>
      <c r="D203" s="2" t="s">
        <v>74</v>
      </c>
      <c r="E203" s="2" t="s">
        <v>74</v>
      </c>
      <c r="F203" s="2" t="s">
        <v>3209</v>
      </c>
      <c r="G203" s="2" t="s">
        <v>74</v>
      </c>
      <c r="H203" s="2" t="s">
        <v>74</v>
      </c>
      <c r="I203" s="2" t="s">
        <v>3210</v>
      </c>
      <c r="J203" s="2" t="s">
        <v>3211</v>
      </c>
      <c r="K203" s="2" t="s">
        <v>74</v>
      </c>
      <c r="L203" s="2" t="s">
        <v>74</v>
      </c>
      <c r="M203" s="2" t="s">
        <v>74</v>
      </c>
      <c r="N203" s="2" t="s">
        <v>74</v>
      </c>
      <c r="O203" s="2" t="s">
        <v>74</v>
      </c>
      <c r="P203" s="2" t="s">
        <v>74</v>
      </c>
      <c r="Q203" s="2" t="s">
        <v>74</v>
      </c>
      <c r="R203" s="2" t="s">
        <v>74</v>
      </c>
      <c r="S203" s="2" t="s">
        <v>74</v>
      </c>
      <c r="T203" s="2" t="s">
        <v>74</v>
      </c>
      <c r="U203" s="2" t="s">
        <v>74</v>
      </c>
      <c r="V203" s="5" t="s">
        <v>3212</v>
      </c>
      <c r="W203" s="2" t="s">
        <v>74</v>
      </c>
      <c r="X203" s="2" t="s">
        <v>74</v>
      </c>
      <c r="Y203" s="2" t="s">
        <v>74</v>
      </c>
      <c r="Z203" s="2" t="s">
        <v>74</v>
      </c>
      <c r="AA203" s="2" t="s">
        <v>74</v>
      </c>
      <c r="AB203" s="2" t="s">
        <v>74</v>
      </c>
      <c r="AC203" s="2" t="s">
        <v>74</v>
      </c>
      <c r="AD203" s="2" t="s">
        <v>74</v>
      </c>
      <c r="AE203" s="2" t="s">
        <v>74</v>
      </c>
      <c r="AF203" s="2" t="s">
        <v>74</v>
      </c>
      <c r="AG203" s="2" t="s">
        <v>74</v>
      </c>
      <c r="AH203" s="2" t="s">
        <v>74</v>
      </c>
      <c r="AI203" s="2" t="s">
        <v>74</v>
      </c>
      <c r="AJ203" s="2" t="s">
        <v>74</v>
      </c>
      <c r="AK203" s="2" t="s">
        <v>74</v>
      </c>
      <c r="AL203" s="2" t="s">
        <v>74</v>
      </c>
      <c r="AM203" s="2" t="s">
        <v>74</v>
      </c>
      <c r="AN203" s="2" t="s">
        <v>74</v>
      </c>
      <c r="AO203" s="2" t="s">
        <v>3213</v>
      </c>
      <c r="AP203" s="2" t="s">
        <v>3214</v>
      </c>
      <c r="AQ203" s="2" t="s">
        <v>74</v>
      </c>
      <c r="AR203" s="2" t="s">
        <v>74</v>
      </c>
      <c r="AS203" s="2" t="s">
        <v>74</v>
      </c>
      <c r="AT203" s="2" t="s">
        <v>175</v>
      </c>
      <c r="AU203" s="2">
        <v>2017</v>
      </c>
      <c r="AV203" s="2">
        <v>178</v>
      </c>
      <c r="AW203" s="2">
        <v>2</v>
      </c>
      <c r="AX203" s="2" t="s">
        <v>74</v>
      </c>
      <c r="AY203" s="2" t="s">
        <v>74</v>
      </c>
      <c r="AZ203" s="2" t="s">
        <v>74</v>
      </c>
      <c r="BA203" s="2" t="s">
        <v>74</v>
      </c>
      <c r="BB203" s="2">
        <v>226</v>
      </c>
      <c r="BC203" s="2">
        <v>236</v>
      </c>
      <c r="BD203" s="2" t="s">
        <v>74</v>
      </c>
      <c r="BE203" s="2" t="s">
        <v>3215</v>
      </c>
      <c r="BF203" s="2" t="str">
        <f>HYPERLINK("http://dx.doi.org/10.1674/0003-0031-178.2.226","http://dx.doi.org/10.1674/0003-0031-178.2.226")</f>
        <v>http://dx.doi.org/10.1674/0003-0031-178.2.226</v>
      </c>
      <c r="BG203" s="2" t="s">
        <v>74</v>
      </c>
      <c r="BH203" s="2" t="s">
        <v>74</v>
      </c>
      <c r="BI203" s="2" t="s">
        <v>74</v>
      </c>
      <c r="BJ203" s="2" t="s">
        <v>74</v>
      </c>
      <c r="BK203" s="2" t="s">
        <v>74</v>
      </c>
      <c r="BL203" s="2" t="s">
        <v>74</v>
      </c>
      <c r="BM203" s="2" t="s">
        <v>74</v>
      </c>
      <c r="BN203" s="2" t="s">
        <v>74</v>
      </c>
      <c r="BO203" s="2" t="s">
        <v>74</v>
      </c>
      <c r="BP203" s="2" t="s">
        <v>74</v>
      </c>
      <c r="BQ203" s="2" t="s">
        <v>74</v>
      </c>
      <c r="BR203" s="2" t="s">
        <v>74</v>
      </c>
      <c r="BS203" s="2" t="s">
        <v>3216</v>
      </c>
      <c r="BT203" s="2" t="str">
        <f>HYPERLINK("https%3A%2F%2Fwww.webofscience.com%2Fwos%2Fwoscc%2Ffull-record%2FWOS:000416392800005","View Full Record in Web of Science")</f>
        <v>View Full Record in Web of Science</v>
      </c>
    </row>
    <row r="204" spans="1:72" s="2" customFormat="1" x14ac:dyDescent="0.4">
      <c r="A204" s="2" t="s">
        <v>72</v>
      </c>
      <c r="B204" s="2" t="s">
        <v>1140</v>
      </c>
      <c r="C204" s="2" t="s">
        <v>74</v>
      </c>
      <c r="D204" s="2" t="s">
        <v>74</v>
      </c>
      <c r="E204" s="2" t="s">
        <v>74</v>
      </c>
      <c r="F204" s="2" t="s">
        <v>1141</v>
      </c>
      <c r="G204" s="2" t="s">
        <v>74</v>
      </c>
      <c r="H204" s="2" t="s">
        <v>74</v>
      </c>
      <c r="I204" s="2" t="s">
        <v>1142</v>
      </c>
      <c r="J204" s="2" t="s">
        <v>88</v>
      </c>
      <c r="K204" s="2" t="s">
        <v>74</v>
      </c>
      <c r="L204" s="2" t="s">
        <v>74</v>
      </c>
      <c r="M204" s="2" t="s">
        <v>74</v>
      </c>
      <c r="N204" s="2" t="s">
        <v>74</v>
      </c>
      <c r="O204" s="2" t="s">
        <v>74</v>
      </c>
      <c r="P204" s="2" t="s">
        <v>74</v>
      </c>
      <c r="Q204" s="2" t="s">
        <v>74</v>
      </c>
      <c r="R204" s="2" t="s">
        <v>74</v>
      </c>
      <c r="S204" s="2" t="s">
        <v>74</v>
      </c>
      <c r="T204" s="2" t="s">
        <v>74</v>
      </c>
      <c r="U204" s="2" t="s">
        <v>74</v>
      </c>
      <c r="V204" s="5" t="s">
        <v>1143</v>
      </c>
      <c r="W204" s="2" t="s">
        <v>74</v>
      </c>
      <c r="X204" s="2" t="s">
        <v>74</v>
      </c>
      <c r="Y204" s="2" t="s">
        <v>74</v>
      </c>
      <c r="Z204" s="2" t="s">
        <v>74</v>
      </c>
      <c r="AA204" s="2" t="s">
        <v>1144</v>
      </c>
      <c r="AB204" s="2" t="s">
        <v>1145</v>
      </c>
      <c r="AC204" s="2" t="s">
        <v>74</v>
      </c>
      <c r="AD204" s="2" t="s">
        <v>74</v>
      </c>
      <c r="AE204" s="2" t="s">
        <v>74</v>
      </c>
      <c r="AF204" s="2" t="s">
        <v>74</v>
      </c>
      <c r="AG204" s="2" t="s">
        <v>74</v>
      </c>
      <c r="AH204" s="2" t="s">
        <v>74</v>
      </c>
      <c r="AI204" s="2" t="s">
        <v>74</v>
      </c>
      <c r="AJ204" s="2" t="s">
        <v>74</v>
      </c>
      <c r="AK204" s="2" t="s">
        <v>74</v>
      </c>
      <c r="AL204" s="2" t="s">
        <v>74</v>
      </c>
      <c r="AM204" s="2" t="s">
        <v>74</v>
      </c>
      <c r="AN204" s="2" t="s">
        <v>74</v>
      </c>
      <c r="AO204" s="2" t="s">
        <v>91</v>
      </c>
      <c r="AP204" s="2" t="s">
        <v>92</v>
      </c>
      <c r="AQ204" s="2" t="s">
        <v>74</v>
      </c>
      <c r="AR204" s="2" t="s">
        <v>74</v>
      </c>
      <c r="AS204" s="2" t="s">
        <v>74</v>
      </c>
      <c r="AT204" s="2" t="s">
        <v>1146</v>
      </c>
      <c r="AU204" s="2">
        <v>2016</v>
      </c>
      <c r="AV204" s="2">
        <v>12</v>
      </c>
      <c r="AW204" s="2">
        <v>8</v>
      </c>
      <c r="AX204" s="2" t="s">
        <v>74</v>
      </c>
      <c r="AY204" s="2" t="s">
        <v>74</v>
      </c>
      <c r="AZ204" s="2" t="s">
        <v>74</v>
      </c>
      <c r="BA204" s="2" t="s">
        <v>74</v>
      </c>
      <c r="BB204" s="2" t="s">
        <v>74</v>
      </c>
      <c r="BC204" s="2" t="s">
        <v>74</v>
      </c>
      <c r="BD204" s="2">
        <v>20160467</v>
      </c>
      <c r="BE204" s="2" t="s">
        <v>1147</v>
      </c>
      <c r="BF204" s="2" t="str">
        <f>HYPERLINK("http://dx.doi.org/10.1098/rsbl.2016.0467","http://dx.doi.org/10.1098/rsbl.2016.0467")</f>
        <v>http://dx.doi.org/10.1098/rsbl.2016.0467</v>
      </c>
      <c r="BG204" s="2" t="s">
        <v>74</v>
      </c>
      <c r="BH204" s="2" t="s">
        <v>74</v>
      </c>
      <c r="BI204" s="2" t="s">
        <v>74</v>
      </c>
      <c r="BJ204" s="2" t="s">
        <v>74</v>
      </c>
      <c r="BK204" s="2" t="s">
        <v>74</v>
      </c>
      <c r="BL204" s="2" t="s">
        <v>74</v>
      </c>
      <c r="BM204" s="2" t="s">
        <v>74</v>
      </c>
      <c r="BN204" s="2">
        <v>27512135</v>
      </c>
      <c r="BO204" s="2" t="s">
        <v>74</v>
      </c>
      <c r="BP204" s="2" t="s">
        <v>74</v>
      </c>
      <c r="BQ204" s="2" t="s">
        <v>74</v>
      </c>
      <c r="BR204" s="2" t="s">
        <v>74</v>
      </c>
      <c r="BS204" s="2" t="s">
        <v>1148</v>
      </c>
      <c r="BT204" s="2" t="str">
        <f>HYPERLINK("https%3A%2F%2Fwww.webofscience.com%2Fwos%2Fwoscc%2Ffull-record%2FWOS:000390331600027","View Full Record in Web of Science")</f>
        <v>View Full Record in Web of Science</v>
      </c>
    </row>
    <row r="205" spans="1:72" s="1" customFormat="1" x14ac:dyDescent="0.4">
      <c r="A205" s="2" t="s">
        <v>72</v>
      </c>
      <c r="B205" s="2" t="s">
        <v>3034</v>
      </c>
      <c r="C205" s="2" t="s">
        <v>74</v>
      </c>
      <c r="D205" s="2" t="s">
        <v>74</v>
      </c>
      <c r="E205" s="2" t="s">
        <v>74</v>
      </c>
      <c r="F205" s="2" t="s">
        <v>3034</v>
      </c>
      <c r="G205" s="2" t="s">
        <v>74</v>
      </c>
      <c r="H205" s="2" t="s">
        <v>74</v>
      </c>
      <c r="I205" s="2" t="s">
        <v>3035</v>
      </c>
      <c r="J205" s="2" t="s">
        <v>140</v>
      </c>
      <c r="K205" s="2" t="s">
        <v>74</v>
      </c>
      <c r="L205" s="2" t="s">
        <v>74</v>
      </c>
      <c r="M205" s="2" t="s">
        <v>74</v>
      </c>
      <c r="N205" s="2" t="s">
        <v>74</v>
      </c>
      <c r="O205" s="2" t="s">
        <v>74</v>
      </c>
      <c r="P205" s="2" t="s">
        <v>74</v>
      </c>
      <c r="Q205" s="2" t="s">
        <v>74</v>
      </c>
      <c r="R205" s="2" t="s">
        <v>74</v>
      </c>
      <c r="S205" s="2" t="s">
        <v>74</v>
      </c>
      <c r="T205" s="2" t="s">
        <v>74</v>
      </c>
      <c r="U205" s="2" t="s">
        <v>74</v>
      </c>
      <c r="V205" s="5" t="s">
        <v>3036</v>
      </c>
      <c r="W205" s="2" t="s">
        <v>74</v>
      </c>
      <c r="X205" s="2" t="s">
        <v>74</v>
      </c>
      <c r="Y205" s="2" t="s">
        <v>74</v>
      </c>
      <c r="Z205" s="2" t="s">
        <v>74</v>
      </c>
      <c r="AA205" s="2" t="s">
        <v>74</v>
      </c>
      <c r="AB205" s="2" t="s">
        <v>74</v>
      </c>
      <c r="AC205" s="2" t="s">
        <v>74</v>
      </c>
      <c r="AD205" s="2" t="s">
        <v>74</v>
      </c>
      <c r="AE205" s="2" t="s">
        <v>74</v>
      </c>
      <c r="AF205" s="2" t="s">
        <v>74</v>
      </c>
      <c r="AG205" s="2" t="s">
        <v>74</v>
      </c>
      <c r="AH205" s="2" t="s">
        <v>74</v>
      </c>
      <c r="AI205" s="2" t="s">
        <v>74</v>
      </c>
      <c r="AJ205" s="2" t="s">
        <v>74</v>
      </c>
      <c r="AK205" s="2" t="s">
        <v>74</v>
      </c>
      <c r="AL205" s="2" t="s">
        <v>74</v>
      </c>
      <c r="AM205" s="2" t="s">
        <v>74</v>
      </c>
      <c r="AN205" s="2" t="s">
        <v>74</v>
      </c>
      <c r="AO205" s="2" t="s">
        <v>143</v>
      </c>
      <c r="AP205" s="2" t="s">
        <v>74</v>
      </c>
      <c r="AQ205" s="2" t="s">
        <v>74</v>
      </c>
      <c r="AR205" s="2" t="s">
        <v>74</v>
      </c>
      <c r="AS205" s="2" t="s">
        <v>74</v>
      </c>
      <c r="AT205" s="2" t="s">
        <v>213</v>
      </c>
      <c r="AU205" s="2">
        <v>1996</v>
      </c>
      <c r="AV205" s="2">
        <v>52</v>
      </c>
      <c r="AW205" s="2" t="s">
        <v>74</v>
      </c>
      <c r="AX205" s="2">
        <v>5</v>
      </c>
      <c r="AY205" s="2" t="s">
        <v>74</v>
      </c>
      <c r="AZ205" s="2" t="s">
        <v>74</v>
      </c>
      <c r="BA205" s="2" t="s">
        <v>74</v>
      </c>
      <c r="BB205" s="2">
        <v>923</v>
      </c>
      <c r="BC205" s="2">
        <v>927</v>
      </c>
      <c r="BD205" s="2" t="s">
        <v>74</v>
      </c>
      <c r="BE205" s="2" t="s">
        <v>3037</v>
      </c>
      <c r="BF205" s="2" t="str">
        <f>HYPERLINK("http://dx.doi.org/10.1006/anbe.1996.0240","http://dx.doi.org/10.1006/anbe.1996.0240")</f>
        <v>http://dx.doi.org/10.1006/anbe.1996.0240</v>
      </c>
      <c r="BG205" s="2" t="s">
        <v>74</v>
      </c>
      <c r="BH205" s="2" t="s">
        <v>74</v>
      </c>
      <c r="BI205" s="2" t="s">
        <v>74</v>
      </c>
      <c r="BJ205" s="2" t="s">
        <v>74</v>
      </c>
      <c r="BK205" s="2" t="s">
        <v>74</v>
      </c>
      <c r="BL205" s="2" t="s">
        <v>74</v>
      </c>
      <c r="BM205" s="2" t="s">
        <v>74</v>
      </c>
      <c r="BN205" s="2" t="s">
        <v>74</v>
      </c>
      <c r="BO205" s="2" t="s">
        <v>74</v>
      </c>
      <c r="BP205" s="2" t="s">
        <v>74</v>
      </c>
      <c r="BQ205" s="2" t="s">
        <v>74</v>
      </c>
      <c r="BR205" s="2" t="s">
        <v>74</v>
      </c>
      <c r="BS205" s="2" t="s">
        <v>3038</v>
      </c>
      <c r="BT205" s="2" t="str">
        <f>HYPERLINK("https%3A%2F%2Fwww.webofscience.com%2Fwos%2Fwoscc%2Ffull-record%2FWOS:A1996VT21600007","View Full Record in Web of Science")</f>
        <v>View Full Record in Web of Science</v>
      </c>
    </row>
    <row r="206" spans="1:72" s="2" customFormat="1" x14ac:dyDescent="0.4">
      <c r="A206" s="2" t="s">
        <v>72</v>
      </c>
      <c r="B206" s="2" t="s">
        <v>6410</v>
      </c>
      <c r="C206" s="2" t="s">
        <v>74</v>
      </c>
      <c r="D206" s="2" t="s">
        <v>74</v>
      </c>
      <c r="E206" s="2" t="s">
        <v>74</v>
      </c>
      <c r="F206" s="2" t="s">
        <v>6411</v>
      </c>
      <c r="G206" s="2" t="s">
        <v>74</v>
      </c>
      <c r="H206" s="2" t="s">
        <v>74</v>
      </c>
      <c r="I206" s="2" t="s">
        <v>6412</v>
      </c>
      <c r="J206" s="2" t="s">
        <v>530</v>
      </c>
      <c r="K206" s="2" t="s">
        <v>74</v>
      </c>
      <c r="L206" s="2" t="s">
        <v>74</v>
      </c>
      <c r="M206" s="2" t="s">
        <v>74</v>
      </c>
      <c r="N206" s="2" t="s">
        <v>74</v>
      </c>
      <c r="O206" s="2" t="s">
        <v>74</v>
      </c>
      <c r="P206" s="2" t="s">
        <v>74</v>
      </c>
      <c r="Q206" s="2" t="s">
        <v>74</v>
      </c>
      <c r="R206" s="2" t="s">
        <v>74</v>
      </c>
      <c r="S206" s="2" t="s">
        <v>74</v>
      </c>
      <c r="T206" s="2" t="s">
        <v>74</v>
      </c>
      <c r="U206" s="2" t="s">
        <v>74</v>
      </c>
      <c r="V206" s="5" t="s">
        <v>6413</v>
      </c>
      <c r="W206" s="2" t="s">
        <v>74</v>
      </c>
      <c r="X206" s="2" t="s">
        <v>74</v>
      </c>
      <c r="Y206" s="2" t="s">
        <v>74</v>
      </c>
      <c r="Z206" s="2" t="s">
        <v>74</v>
      </c>
      <c r="AA206" s="2" t="s">
        <v>74</v>
      </c>
      <c r="AB206" s="2" t="s">
        <v>74</v>
      </c>
      <c r="AC206" s="2" t="s">
        <v>74</v>
      </c>
      <c r="AD206" s="2" t="s">
        <v>74</v>
      </c>
      <c r="AE206" s="2" t="s">
        <v>74</v>
      </c>
      <c r="AF206" s="2" t="s">
        <v>74</v>
      </c>
      <c r="AG206" s="2" t="s">
        <v>74</v>
      </c>
      <c r="AH206" s="2" t="s">
        <v>74</v>
      </c>
      <c r="AI206" s="2" t="s">
        <v>74</v>
      </c>
      <c r="AJ206" s="2" t="s">
        <v>74</v>
      </c>
      <c r="AK206" s="2" t="s">
        <v>74</v>
      </c>
      <c r="AL206" s="2" t="s">
        <v>74</v>
      </c>
      <c r="AM206" s="2" t="s">
        <v>74</v>
      </c>
      <c r="AN206" s="2" t="s">
        <v>74</v>
      </c>
      <c r="AO206" s="2" t="s">
        <v>532</v>
      </c>
      <c r="AP206" s="2" t="s">
        <v>533</v>
      </c>
      <c r="AQ206" s="2" t="s">
        <v>74</v>
      </c>
      <c r="AR206" s="2" t="s">
        <v>74</v>
      </c>
      <c r="AS206" s="2" t="s">
        <v>74</v>
      </c>
      <c r="AT206" s="2" t="s">
        <v>102</v>
      </c>
      <c r="AU206" s="2">
        <v>2006</v>
      </c>
      <c r="AV206" s="2">
        <v>149</v>
      </c>
      <c r="AW206" s="2">
        <v>3</v>
      </c>
      <c r="AX206" s="2" t="s">
        <v>74</v>
      </c>
      <c r="AY206" s="2" t="s">
        <v>74</v>
      </c>
      <c r="AZ206" s="2" t="s">
        <v>74</v>
      </c>
      <c r="BA206" s="2" t="s">
        <v>74</v>
      </c>
      <c r="BB206" s="2">
        <v>423</v>
      </c>
      <c r="BC206" s="2">
        <v>433</v>
      </c>
      <c r="BD206" s="2" t="s">
        <v>74</v>
      </c>
      <c r="BE206" s="2" t="s">
        <v>6414</v>
      </c>
      <c r="BF206" s="2" t="str">
        <f>HYPERLINK("http://dx.doi.org/10.1007/s00227-005-0233-9","http://dx.doi.org/10.1007/s00227-005-0233-9")</f>
        <v>http://dx.doi.org/10.1007/s00227-005-0233-9</v>
      </c>
      <c r="BG206" s="2" t="s">
        <v>74</v>
      </c>
      <c r="BH206" s="2" t="s">
        <v>74</v>
      </c>
      <c r="BI206" s="2" t="s">
        <v>74</v>
      </c>
      <c r="BJ206" s="2" t="s">
        <v>74</v>
      </c>
      <c r="BK206" s="2" t="s">
        <v>74</v>
      </c>
      <c r="BL206" s="2" t="s">
        <v>74</v>
      </c>
      <c r="BM206" s="2" t="s">
        <v>74</v>
      </c>
      <c r="BN206" s="2" t="s">
        <v>74</v>
      </c>
      <c r="BO206" s="2" t="s">
        <v>74</v>
      </c>
      <c r="BP206" s="2" t="s">
        <v>74</v>
      </c>
      <c r="BQ206" s="2" t="s">
        <v>74</v>
      </c>
      <c r="BR206" s="2" t="s">
        <v>74</v>
      </c>
      <c r="BS206" s="2" t="s">
        <v>6415</v>
      </c>
      <c r="BT206" s="2" t="str">
        <f>HYPERLINK("https%3A%2F%2Fwww.webofscience.com%2Fwos%2Fwoscc%2Ffull-record%2FWOS:000238327200002","View Full Record in Web of Science")</f>
        <v>View Full Record in Web of Science</v>
      </c>
    </row>
    <row r="207" spans="1:72" s="2" customFormat="1" x14ac:dyDescent="0.4">
      <c r="A207" s="2" t="s">
        <v>72</v>
      </c>
      <c r="B207" s="2" t="s">
        <v>2473</v>
      </c>
      <c r="C207" s="2" t="s">
        <v>74</v>
      </c>
      <c r="D207" s="2" t="s">
        <v>74</v>
      </c>
      <c r="E207" s="2" t="s">
        <v>74</v>
      </c>
      <c r="F207" s="2" t="s">
        <v>2474</v>
      </c>
      <c r="G207" s="2" t="s">
        <v>74</v>
      </c>
      <c r="H207" s="2" t="s">
        <v>74</v>
      </c>
      <c r="I207" s="2" t="s">
        <v>2475</v>
      </c>
      <c r="J207" s="2" t="s">
        <v>333</v>
      </c>
      <c r="K207" s="2" t="s">
        <v>74</v>
      </c>
      <c r="L207" s="2" t="s">
        <v>74</v>
      </c>
      <c r="M207" s="2" t="s">
        <v>74</v>
      </c>
      <c r="N207" s="2" t="s">
        <v>74</v>
      </c>
      <c r="O207" s="2" t="s">
        <v>74</v>
      </c>
      <c r="P207" s="2" t="s">
        <v>74</v>
      </c>
      <c r="Q207" s="2" t="s">
        <v>74</v>
      </c>
      <c r="R207" s="2" t="s">
        <v>74</v>
      </c>
      <c r="S207" s="2" t="s">
        <v>74</v>
      </c>
      <c r="T207" s="2" t="s">
        <v>74</v>
      </c>
      <c r="U207" s="2" t="s">
        <v>74</v>
      </c>
      <c r="V207" s="5" t="s">
        <v>2476</v>
      </c>
      <c r="W207" s="2" t="s">
        <v>74</v>
      </c>
      <c r="X207" s="2" t="s">
        <v>74</v>
      </c>
      <c r="Y207" s="2" t="s">
        <v>74</v>
      </c>
      <c r="Z207" s="2" t="s">
        <v>74</v>
      </c>
      <c r="AA207" s="2" t="s">
        <v>2477</v>
      </c>
      <c r="AB207" s="2" t="s">
        <v>2478</v>
      </c>
      <c r="AC207" s="2" t="s">
        <v>74</v>
      </c>
      <c r="AD207" s="2" t="s">
        <v>74</v>
      </c>
      <c r="AE207" s="2" t="s">
        <v>74</v>
      </c>
      <c r="AF207" s="2" t="s">
        <v>74</v>
      </c>
      <c r="AG207" s="2" t="s">
        <v>74</v>
      </c>
      <c r="AH207" s="2" t="s">
        <v>74</v>
      </c>
      <c r="AI207" s="2" t="s">
        <v>74</v>
      </c>
      <c r="AJ207" s="2" t="s">
        <v>74</v>
      </c>
      <c r="AK207" s="2" t="s">
        <v>74</v>
      </c>
      <c r="AL207" s="2" t="s">
        <v>74</v>
      </c>
      <c r="AM207" s="2" t="s">
        <v>74</v>
      </c>
      <c r="AN207" s="2" t="s">
        <v>74</v>
      </c>
      <c r="AO207" s="2" t="s">
        <v>337</v>
      </c>
      <c r="AP207" s="2" t="s">
        <v>338</v>
      </c>
      <c r="AQ207" s="2" t="s">
        <v>74</v>
      </c>
      <c r="AR207" s="2" t="s">
        <v>74</v>
      </c>
      <c r="AS207" s="2" t="s">
        <v>74</v>
      </c>
      <c r="AT207" s="2" t="s">
        <v>1038</v>
      </c>
      <c r="AU207" s="2">
        <v>2019</v>
      </c>
      <c r="AV207" s="2">
        <v>30</v>
      </c>
      <c r="AW207" s="2">
        <v>2</v>
      </c>
      <c r="AX207" s="2" t="s">
        <v>74</v>
      </c>
      <c r="AY207" s="2" t="s">
        <v>74</v>
      </c>
      <c r="AZ207" s="2" t="s">
        <v>74</v>
      </c>
      <c r="BA207" s="2" t="s">
        <v>74</v>
      </c>
      <c r="BB207" s="2">
        <v>490</v>
      </c>
      <c r="BC207" s="2">
        <v>499</v>
      </c>
      <c r="BD207" s="2" t="s">
        <v>74</v>
      </c>
      <c r="BE207" s="2" t="s">
        <v>2479</v>
      </c>
      <c r="BF207" s="2" t="str">
        <f>HYPERLINK("http://dx.doi.org/10.1093/beheco/ary189","http://dx.doi.org/10.1093/beheco/ary189")</f>
        <v>http://dx.doi.org/10.1093/beheco/ary189</v>
      </c>
      <c r="BG207" s="2" t="s">
        <v>74</v>
      </c>
      <c r="BH207" s="2" t="s">
        <v>74</v>
      </c>
      <c r="BI207" s="2" t="s">
        <v>74</v>
      </c>
      <c r="BJ207" s="2" t="s">
        <v>74</v>
      </c>
      <c r="BK207" s="2" t="s">
        <v>74</v>
      </c>
      <c r="BL207" s="2" t="s">
        <v>74</v>
      </c>
      <c r="BM207" s="2" t="s">
        <v>74</v>
      </c>
      <c r="BN207" s="2" t="s">
        <v>74</v>
      </c>
      <c r="BO207" s="2" t="s">
        <v>74</v>
      </c>
      <c r="BP207" s="2" t="s">
        <v>74</v>
      </c>
      <c r="BQ207" s="2" t="s">
        <v>74</v>
      </c>
      <c r="BR207" s="2" t="s">
        <v>74</v>
      </c>
      <c r="BS207" s="2" t="s">
        <v>2480</v>
      </c>
      <c r="BT207" s="2" t="str">
        <f>HYPERLINK("https%3A%2F%2Fwww.webofscience.com%2Fwos%2Fwoscc%2Ffull-record%2FWOS:000464932900025","View Full Record in Web of Science")</f>
        <v>View Full Record in Web of Science</v>
      </c>
    </row>
    <row r="208" spans="1:72" s="2" customFormat="1" x14ac:dyDescent="0.4">
      <c r="A208" s="2" t="s">
        <v>72</v>
      </c>
      <c r="B208" s="2" t="s">
        <v>2155</v>
      </c>
      <c r="C208" s="2" t="s">
        <v>74</v>
      </c>
      <c r="D208" s="2" t="s">
        <v>74</v>
      </c>
      <c r="E208" s="2" t="s">
        <v>74</v>
      </c>
      <c r="F208" s="2" t="s">
        <v>2156</v>
      </c>
      <c r="G208" s="2" t="s">
        <v>74</v>
      </c>
      <c r="H208" s="2" t="s">
        <v>74</v>
      </c>
      <c r="I208" s="2" t="s">
        <v>2157</v>
      </c>
      <c r="J208" s="2" t="s">
        <v>1673</v>
      </c>
      <c r="K208" s="2" t="s">
        <v>74</v>
      </c>
      <c r="L208" s="2" t="s">
        <v>74</v>
      </c>
      <c r="M208" s="2" t="s">
        <v>74</v>
      </c>
      <c r="N208" s="2" t="s">
        <v>74</v>
      </c>
      <c r="O208" s="2" t="s">
        <v>74</v>
      </c>
      <c r="P208" s="2" t="s">
        <v>74</v>
      </c>
      <c r="Q208" s="2" t="s">
        <v>74</v>
      </c>
      <c r="R208" s="2" t="s">
        <v>74</v>
      </c>
      <c r="S208" s="2" t="s">
        <v>74</v>
      </c>
      <c r="T208" s="2" t="s">
        <v>74</v>
      </c>
      <c r="U208" s="2" t="s">
        <v>74</v>
      </c>
      <c r="V208" s="5" t="s">
        <v>2158</v>
      </c>
      <c r="W208" s="2" t="s">
        <v>74</v>
      </c>
      <c r="X208" s="2" t="s">
        <v>74</v>
      </c>
      <c r="Y208" s="2" t="s">
        <v>74</v>
      </c>
      <c r="Z208" s="2" t="s">
        <v>74</v>
      </c>
      <c r="AA208" s="2" t="s">
        <v>2159</v>
      </c>
      <c r="AB208" s="2" t="s">
        <v>2160</v>
      </c>
      <c r="AC208" s="2" t="s">
        <v>74</v>
      </c>
      <c r="AD208" s="2" t="s">
        <v>74</v>
      </c>
      <c r="AE208" s="2" t="s">
        <v>74</v>
      </c>
      <c r="AF208" s="2" t="s">
        <v>74</v>
      </c>
      <c r="AG208" s="2" t="s">
        <v>74</v>
      </c>
      <c r="AH208" s="2" t="s">
        <v>74</v>
      </c>
      <c r="AI208" s="2" t="s">
        <v>74</v>
      </c>
      <c r="AJ208" s="2" t="s">
        <v>74</v>
      </c>
      <c r="AK208" s="2" t="s">
        <v>74</v>
      </c>
      <c r="AL208" s="2" t="s">
        <v>74</v>
      </c>
      <c r="AM208" s="2" t="s">
        <v>74</v>
      </c>
      <c r="AN208" s="2" t="s">
        <v>74</v>
      </c>
      <c r="AO208" s="2" t="s">
        <v>1239</v>
      </c>
      <c r="AP208" s="2" t="s">
        <v>1675</v>
      </c>
      <c r="AQ208" s="2" t="s">
        <v>74</v>
      </c>
      <c r="AR208" s="2" t="s">
        <v>74</v>
      </c>
      <c r="AS208" s="2" t="s">
        <v>74</v>
      </c>
      <c r="AT208" s="2" t="s">
        <v>123</v>
      </c>
      <c r="AU208" s="2">
        <v>2017</v>
      </c>
      <c r="AV208" s="2">
        <v>95</v>
      </c>
      <c r="AW208" s="2">
        <v>3</v>
      </c>
      <c r="AX208" s="2" t="s">
        <v>74</v>
      </c>
      <c r="AY208" s="2" t="s">
        <v>74</v>
      </c>
      <c r="AZ208" s="2" t="s">
        <v>74</v>
      </c>
      <c r="BA208" s="2" t="s">
        <v>74</v>
      </c>
      <c r="BB208" s="2">
        <v>213</v>
      </c>
      <c r="BC208" s="2">
        <v>219</v>
      </c>
      <c r="BD208" s="2" t="s">
        <v>74</v>
      </c>
      <c r="BE208" s="2" t="s">
        <v>2161</v>
      </c>
      <c r="BF208" s="2" t="str">
        <f>HYPERLINK("http://dx.doi.org/10.1139/cjz-2016-0200","http://dx.doi.org/10.1139/cjz-2016-0200")</f>
        <v>http://dx.doi.org/10.1139/cjz-2016-0200</v>
      </c>
      <c r="BG208" s="2" t="s">
        <v>74</v>
      </c>
      <c r="BH208" s="2" t="s">
        <v>74</v>
      </c>
      <c r="BI208" s="2" t="s">
        <v>74</v>
      </c>
      <c r="BJ208" s="2" t="s">
        <v>74</v>
      </c>
      <c r="BK208" s="2" t="s">
        <v>74</v>
      </c>
      <c r="BL208" s="2" t="s">
        <v>74</v>
      </c>
      <c r="BM208" s="2" t="s">
        <v>74</v>
      </c>
      <c r="BN208" s="2" t="s">
        <v>74</v>
      </c>
      <c r="BO208" s="2" t="s">
        <v>74</v>
      </c>
      <c r="BP208" s="2" t="s">
        <v>74</v>
      </c>
      <c r="BQ208" s="2" t="s">
        <v>74</v>
      </c>
      <c r="BR208" s="2" t="s">
        <v>74</v>
      </c>
      <c r="BS208" s="2" t="s">
        <v>2162</v>
      </c>
      <c r="BT208" s="2" t="str">
        <f>HYPERLINK("https%3A%2F%2Fwww.webofscience.com%2Fwos%2Fwoscc%2Ffull-record%2FWOS:000398092400009","View Full Record in Web of Science")</f>
        <v>View Full Record in Web of Science</v>
      </c>
    </row>
    <row r="209" spans="1:72" s="2" customFormat="1" x14ac:dyDescent="0.4">
      <c r="A209" s="2" t="s">
        <v>72</v>
      </c>
      <c r="B209" s="2" t="s">
        <v>722</v>
      </c>
      <c r="C209" s="2" t="s">
        <v>74</v>
      </c>
      <c r="D209" s="2" t="s">
        <v>74</v>
      </c>
      <c r="E209" s="2" t="s">
        <v>74</v>
      </c>
      <c r="F209" s="2" t="s">
        <v>722</v>
      </c>
      <c r="G209" s="2" t="s">
        <v>74</v>
      </c>
      <c r="H209" s="2" t="s">
        <v>74</v>
      </c>
      <c r="I209" s="2" t="s">
        <v>723</v>
      </c>
      <c r="J209" s="2" t="s">
        <v>140</v>
      </c>
      <c r="K209" s="2" t="s">
        <v>74</v>
      </c>
      <c r="L209" s="2" t="s">
        <v>74</v>
      </c>
      <c r="M209" s="2" t="s">
        <v>74</v>
      </c>
      <c r="N209" s="2" t="s">
        <v>74</v>
      </c>
      <c r="O209" s="2" t="s">
        <v>74</v>
      </c>
      <c r="P209" s="2" t="s">
        <v>74</v>
      </c>
      <c r="Q209" s="2" t="s">
        <v>74</v>
      </c>
      <c r="R209" s="2" t="s">
        <v>74</v>
      </c>
      <c r="S209" s="2" t="s">
        <v>74</v>
      </c>
      <c r="T209" s="2" t="s">
        <v>74</v>
      </c>
      <c r="U209" s="2" t="s">
        <v>74</v>
      </c>
      <c r="V209" s="5" t="s">
        <v>724</v>
      </c>
      <c r="W209" s="2" t="s">
        <v>74</v>
      </c>
      <c r="X209" s="2" t="s">
        <v>74</v>
      </c>
      <c r="Y209" s="2" t="s">
        <v>74</v>
      </c>
      <c r="Z209" s="2" t="s">
        <v>74</v>
      </c>
      <c r="AA209" s="2" t="s">
        <v>725</v>
      </c>
      <c r="AB209" s="2" t="s">
        <v>74</v>
      </c>
      <c r="AC209" s="2" t="s">
        <v>74</v>
      </c>
      <c r="AD209" s="2" t="s">
        <v>74</v>
      </c>
      <c r="AE209" s="2" t="s">
        <v>74</v>
      </c>
      <c r="AF209" s="2" t="s">
        <v>74</v>
      </c>
      <c r="AG209" s="2" t="s">
        <v>74</v>
      </c>
      <c r="AH209" s="2" t="s">
        <v>74</v>
      </c>
      <c r="AI209" s="2" t="s">
        <v>74</v>
      </c>
      <c r="AJ209" s="2" t="s">
        <v>74</v>
      </c>
      <c r="AK209" s="2" t="s">
        <v>74</v>
      </c>
      <c r="AL209" s="2" t="s">
        <v>74</v>
      </c>
      <c r="AM209" s="2" t="s">
        <v>74</v>
      </c>
      <c r="AN209" s="2" t="s">
        <v>74</v>
      </c>
      <c r="AO209" s="2" t="s">
        <v>143</v>
      </c>
      <c r="AP209" s="2" t="s">
        <v>144</v>
      </c>
      <c r="AQ209" s="2" t="s">
        <v>74</v>
      </c>
      <c r="AR209" s="2" t="s">
        <v>74</v>
      </c>
      <c r="AS209" s="2" t="s">
        <v>74</v>
      </c>
      <c r="AT209" s="2" t="s">
        <v>74</v>
      </c>
      <c r="AU209" s="2">
        <v>1979</v>
      </c>
      <c r="AV209" s="2">
        <v>27</v>
      </c>
      <c r="AW209" s="2" t="s">
        <v>134</v>
      </c>
      <c r="AX209" s="2" t="s">
        <v>74</v>
      </c>
      <c r="AY209" s="2" t="s">
        <v>74</v>
      </c>
      <c r="AZ209" s="2" t="s">
        <v>74</v>
      </c>
      <c r="BA209" s="2" t="s">
        <v>74</v>
      </c>
      <c r="BB209" s="2">
        <v>553</v>
      </c>
      <c r="BC209" s="2" t="s">
        <v>726</v>
      </c>
      <c r="BD209" s="2" t="s">
        <v>74</v>
      </c>
      <c r="BE209" s="2" t="s">
        <v>727</v>
      </c>
      <c r="BF209" s="2" t="str">
        <f>HYPERLINK("http://dx.doi.org/10.1016/0003-3472(79)90190-8","http://dx.doi.org/10.1016/0003-3472(79)90190-8")</f>
        <v>http://dx.doi.org/10.1016/0003-3472(79)90190-8</v>
      </c>
      <c r="BG209" s="2" t="s">
        <v>74</v>
      </c>
      <c r="BH209" s="2" t="s">
        <v>74</v>
      </c>
      <c r="BI209" s="2" t="s">
        <v>74</v>
      </c>
      <c r="BJ209" s="2" t="s">
        <v>74</v>
      </c>
      <c r="BK209" s="2" t="s">
        <v>74</v>
      </c>
      <c r="BL209" s="2" t="s">
        <v>74</v>
      </c>
      <c r="BM209" s="2" t="s">
        <v>74</v>
      </c>
      <c r="BN209" s="2" t="s">
        <v>74</v>
      </c>
      <c r="BO209" s="2" t="s">
        <v>74</v>
      </c>
      <c r="BP209" s="2" t="s">
        <v>74</v>
      </c>
      <c r="BQ209" s="2" t="s">
        <v>74</v>
      </c>
      <c r="BR209" s="2" t="s">
        <v>74</v>
      </c>
      <c r="BS209" s="2" t="s">
        <v>728</v>
      </c>
      <c r="BT209" s="2" t="str">
        <f>HYPERLINK("https%3A%2F%2Fwww.webofscience.com%2Fwos%2Fwoscc%2Ffull-record%2FWOS:A1979HE66900025","View Full Record in Web of Science")</f>
        <v>View Full Record in Web of Science</v>
      </c>
    </row>
    <row r="210" spans="1:72" s="2" customFormat="1" x14ac:dyDescent="0.4">
      <c r="A210" s="2" t="s">
        <v>72</v>
      </c>
      <c r="B210" s="2" t="s">
        <v>3603</v>
      </c>
      <c r="C210" s="2" t="s">
        <v>74</v>
      </c>
      <c r="D210" s="2" t="s">
        <v>74</v>
      </c>
      <c r="E210" s="2" t="s">
        <v>74</v>
      </c>
      <c r="F210" s="2" t="s">
        <v>3603</v>
      </c>
      <c r="G210" s="2" t="s">
        <v>74</v>
      </c>
      <c r="H210" s="2" t="s">
        <v>74</v>
      </c>
      <c r="I210" s="2" t="s">
        <v>3604</v>
      </c>
      <c r="J210" s="2" t="s">
        <v>3605</v>
      </c>
      <c r="K210" s="2" t="s">
        <v>74</v>
      </c>
      <c r="L210" s="2" t="s">
        <v>74</v>
      </c>
      <c r="M210" s="2" t="s">
        <v>74</v>
      </c>
      <c r="N210" s="2" t="s">
        <v>74</v>
      </c>
      <c r="O210" s="2" t="s">
        <v>74</v>
      </c>
      <c r="P210" s="2" t="s">
        <v>74</v>
      </c>
      <c r="Q210" s="2" t="s">
        <v>74</v>
      </c>
      <c r="R210" s="2" t="s">
        <v>74</v>
      </c>
      <c r="S210" s="2" t="s">
        <v>74</v>
      </c>
      <c r="T210" s="2" t="s">
        <v>74</v>
      </c>
      <c r="U210" s="2" t="s">
        <v>74</v>
      </c>
      <c r="V210" s="5" t="s">
        <v>3606</v>
      </c>
      <c r="W210" s="2" t="s">
        <v>74</v>
      </c>
      <c r="X210" s="2" t="s">
        <v>74</v>
      </c>
      <c r="Y210" s="2" t="s">
        <v>74</v>
      </c>
      <c r="Z210" s="2" t="s">
        <v>74</v>
      </c>
      <c r="AA210" s="2" t="s">
        <v>74</v>
      </c>
      <c r="AB210" s="2" t="s">
        <v>74</v>
      </c>
      <c r="AC210" s="2" t="s">
        <v>74</v>
      </c>
      <c r="AD210" s="2" t="s">
        <v>74</v>
      </c>
      <c r="AE210" s="2" t="s">
        <v>74</v>
      </c>
      <c r="AF210" s="2" t="s">
        <v>74</v>
      </c>
      <c r="AG210" s="2" t="s">
        <v>74</v>
      </c>
      <c r="AH210" s="2" t="s">
        <v>74</v>
      </c>
      <c r="AI210" s="2" t="s">
        <v>74</v>
      </c>
      <c r="AJ210" s="2" t="s">
        <v>74</v>
      </c>
      <c r="AK210" s="2" t="s">
        <v>74</v>
      </c>
      <c r="AL210" s="2" t="s">
        <v>74</v>
      </c>
      <c r="AM210" s="2" t="s">
        <v>74</v>
      </c>
      <c r="AN210" s="2" t="s">
        <v>74</v>
      </c>
      <c r="AO210" s="2" t="s">
        <v>3607</v>
      </c>
      <c r="AP210" s="2" t="s">
        <v>3608</v>
      </c>
      <c r="AQ210" s="2" t="s">
        <v>74</v>
      </c>
      <c r="AR210" s="2" t="s">
        <v>74</v>
      </c>
      <c r="AS210" s="2" t="s">
        <v>74</v>
      </c>
      <c r="AT210" s="2" t="s">
        <v>134</v>
      </c>
      <c r="AU210" s="2">
        <v>1989</v>
      </c>
      <c r="AV210" s="2">
        <v>69</v>
      </c>
      <c r="AW210" s="2">
        <v>2</v>
      </c>
      <c r="AX210" s="2" t="s">
        <v>74</v>
      </c>
      <c r="AY210" s="2" t="s">
        <v>74</v>
      </c>
      <c r="AZ210" s="2" t="s">
        <v>74</v>
      </c>
      <c r="BA210" s="2" t="s">
        <v>74</v>
      </c>
      <c r="BB210" s="2">
        <v>273</v>
      </c>
      <c r="BC210" s="2">
        <v>278</v>
      </c>
      <c r="BD210" s="2" t="s">
        <v>74</v>
      </c>
      <c r="BE210" s="2" t="s">
        <v>3609</v>
      </c>
      <c r="BF210" s="2" t="str">
        <f>HYPERLINK("http://dx.doi.org/10.1017/S0025315400029398","http://dx.doi.org/10.1017/S0025315400029398")</f>
        <v>http://dx.doi.org/10.1017/S0025315400029398</v>
      </c>
      <c r="BG210" s="2" t="s">
        <v>74</v>
      </c>
      <c r="BH210" s="2" t="s">
        <v>74</v>
      </c>
      <c r="BI210" s="2" t="s">
        <v>74</v>
      </c>
      <c r="BJ210" s="2" t="s">
        <v>74</v>
      </c>
      <c r="BK210" s="2" t="s">
        <v>74</v>
      </c>
      <c r="BL210" s="2" t="s">
        <v>74</v>
      </c>
      <c r="BM210" s="2" t="s">
        <v>74</v>
      </c>
      <c r="BN210" s="2" t="s">
        <v>74</v>
      </c>
      <c r="BO210" s="2" t="s">
        <v>74</v>
      </c>
      <c r="BP210" s="2" t="s">
        <v>74</v>
      </c>
      <c r="BQ210" s="2" t="s">
        <v>74</v>
      </c>
      <c r="BR210" s="2" t="s">
        <v>74</v>
      </c>
      <c r="BS210" s="2" t="s">
        <v>3610</v>
      </c>
      <c r="BT210" s="2" t="str">
        <f>HYPERLINK("https%3A%2F%2Fwww.webofscience.com%2Fwos%2Fwoscc%2Ffull-record%2FWOS:A1989AD16200003","View Full Record in Web of Science")</f>
        <v>View Full Record in Web of Science</v>
      </c>
    </row>
    <row r="211" spans="1:72" s="2" customFormat="1" x14ac:dyDescent="0.4">
      <c r="A211" s="2" t="s">
        <v>72</v>
      </c>
      <c r="B211" s="2" t="s">
        <v>950</v>
      </c>
      <c r="C211" s="2" t="s">
        <v>74</v>
      </c>
      <c r="D211" s="2" t="s">
        <v>74</v>
      </c>
      <c r="E211" s="2" t="s">
        <v>74</v>
      </c>
      <c r="F211" s="2" t="s">
        <v>950</v>
      </c>
      <c r="G211" s="2" t="s">
        <v>74</v>
      </c>
      <c r="H211" s="2" t="s">
        <v>74</v>
      </c>
      <c r="I211" s="2" t="s">
        <v>951</v>
      </c>
      <c r="J211" s="2" t="s">
        <v>192</v>
      </c>
      <c r="K211" s="2" t="s">
        <v>74</v>
      </c>
      <c r="L211" s="2" t="s">
        <v>74</v>
      </c>
      <c r="M211" s="2" t="s">
        <v>74</v>
      </c>
      <c r="N211" s="2" t="s">
        <v>74</v>
      </c>
      <c r="O211" s="2" t="s">
        <v>952</v>
      </c>
      <c r="P211" s="2" t="s">
        <v>953</v>
      </c>
      <c r="Q211" s="2" t="s">
        <v>954</v>
      </c>
      <c r="R211" s="2" t="s">
        <v>74</v>
      </c>
      <c r="S211" s="2" t="s">
        <v>955</v>
      </c>
      <c r="T211" s="2" t="s">
        <v>74</v>
      </c>
      <c r="U211" s="2" t="s">
        <v>74</v>
      </c>
      <c r="V211" s="5" t="s">
        <v>956</v>
      </c>
      <c r="W211" s="2" t="s">
        <v>74</v>
      </c>
      <c r="X211" s="2" t="s">
        <v>74</v>
      </c>
      <c r="Y211" s="2" t="s">
        <v>74</v>
      </c>
      <c r="Z211" s="2" t="s">
        <v>74</v>
      </c>
      <c r="AA211" s="2" t="s">
        <v>74</v>
      </c>
      <c r="AB211" s="2" t="s">
        <v>74</v>
      </c>
      <c r="AC211" s="2" t="s">
        <v>74</v>
      </c>
      <c r="AD211" s="2" t="s">
        <v>74</v>
      </c>
      <c r="AE211" s="2" t="s">
        <v>74</v>
      </c>
      <c r="AF211" s="2" t="s">
        <v>74</v>
      </c>
      <c r="AG211" s="2" t="s">
        <v>74</v>
      </c>
      <c r="AH211" s="2" t="s">
        <v>74</v>
      </c>
      <c r="AI211" s="2" t="s">
        <v>74</v>
      </c>
      <c r="AJ211" s="2" t="s">
        <v>74</v>
      </c>
      <c r="AK211" s="2" t="s">
        <v>74</v>
      </c>
      <c r="AL211" s="2" t="s">
        <v>74</v>
      </c>
      <c r="AM211" s="2" t="s">
        <v>74</v>
      </c>
      <c r="AN211" s="2" t="s">
        <v>74</v>
      </c>
      <c r="AO211" s="2" t="s">
        <v>195</v>
      </c>
      <c r="AP211" s="2" t="s">
        <v>74</v>
      </c>
      <c r="AQ211" s="2" t="s">
        <v>74</v>
      </c>
      <c r="AR211" s="2" t="s">
        <v>74</v>
      </c>
      <c r="AS211" s="2" t="s">
        <v>74</v>
      </c>
      <c r="AT211" s="2" t="s">
        <v>957</v>
      </c>
      <c r="AU211" s="2">
        <v>1991</v>
      </c>
      <c r="AV211" s="2">
        <v>216</v>
      </c>
      <c r="AW211" s="2" t="s">
        <v>74</v>
      </c>
      <c r="AX211" s="2" t="s">
        <v>74</v>
      </c>
      <c r="AY211" s="2" t="s">
        <v>74</v>
      </c>
      <c r="AZ211" s="2" t="s">
        <v>74</v>
      </c>
      <c r="BA211" s="2" t="s">
        <v>74</v>
      </c>
      <c r="BB211" s="2">
        <v>533</v>
      </c>
      <c r="BC211" s="2">
        <v>537</v>
      </c>
      <c r="BD211" s="2" t="s">
        <v>74</v>
      </c>
      <c r="BE211" s="2" t="s">
        <v>958</v>
      </c>
      <c r="BF211" s="2" t="str">
        <f>HYPERLINK("http://dx.doi.org/10.1007/BF00026510","http://dx.doi.org/10.1007/BF00026510")</f>
        <v>http://dx.doi.org/10.1007/BF00026510</v>
      </c>
      <c r="BG211" s="2" t="s">
        <v>74</v>
      </c>
      <c r="BH211" s="2" t="s">
        <v>74</v>
      </c>
      <c r="BI211" s="2" t="s">
        <v>74</v>
      </c>
      <c r="BJ211" s="2" t="s">
        <v>74</v>
      </c>
      <c r="BK211" s="2" t="s">
        <v>74</v>
      </c>
      <c r="BL211" s="2" t="s">
        <v>74</v>
      </c>
      <c r="BM211" s="2" t="s">
        <v>74</v>
      </c>
      <c r="BN211" s="2" t="s">
        <v>74</v>
      </c>
      <c r="BO211" s="2" t="s">
        <v>74</v>
      </c>
      <c r="BP211" s="2" t="s">
        <v>74</v>
      </c>
      <c r="BQ211" s="2" t="s">
        <v>74</v>
      </c>
      <c r="BR211" s="2" t="s">
        <v>74</v>
      </c>
      <c r="BS211" s="2" t="s">
        <v>959</v>
      </c>
      <c r="BT211" s="2" t="str">
        <f>HYPERLINK("https%3A%2F%2Fwww.webofscience.com%2Fwos%2Fwoscc%2Ffull-record%2FWOS:A1991GP24400079","View Full Record in Web of Science")</f>
        <v>View Full Record in Web of Science</v>
      </c>
    </row>
    <row r="212" spans="1:72" s="2" customFormat="1" x14ac:dyDescent="0.4">
      <c r="A212" s="2" t="s">
        <v>6684</v>
      </c>
      <c r="B212" s="2" t="s">
        <v>6685</v>
      </c>
      <c r="C212" s="2" t="s">
        <v>74</v>
      </c>
      <c r="D212" s="2" t="s">
        <v>6686</v>
      </c>
      <c r="E212" s="2" t="s">
        <v>74</v>
      </c>
      <c r="F212" s="2" t="s">
        <v>6685</v>
      </c>
      <c r="G212" s="2" t="s">
        <v>74</v>
      </c>
      <c r="H212" s="2" t="s">
        <v>74</v>
      </c>
      <c r="I212" s="2" t="s">
        <v>6687</v>
      </c>
      <c r="J212" s="2" t="s">
        <v>6688</v>
      </c>
      <c r="K212" s="2" t="s">
        <v>6689</v>
      </c>
      <c r="L212" s="2" t="s">
        <v>74</v>
      </c>
      <c r="M212" s="2" t="s">
        <v>74</v>
      </c>
      <c r="N212" s="2" t="s">
        <v>74</v>
      </c>
      <c r="O212" s="2" t="s">
        <v>6690</v>
      </c>
      <c r="P212" s="2" t="s">
        <v>6691</v>
      </c>
      <c r="Q212" s="2" t="s">
        <v>6692</v>
      </c>
      <c r="R212" s="2" t="s">
        <v>6693</v>
      </c>
      <c r="S212" s="2" t="s">
        <v>74</v>
      </c>
      <c r="T212" s="2" t="s">
        <v>74</v>
      </c>
      <c r="U212" s="2" t="s">
        <v>74</v>
      </c>
      <c r="V212" s="5" t="s">
        <v>6694</v>
      </c>
      <c r="W212" s="2" t="s">
        <v>74</v>
      </c>
      <c r="X212" s="2" t="s">
        <v>74</v>
      </c>
      <c r="Y212" s="2" t="s">
        <v>74</v>
      </c>
      <c r="Z212" s="2" t="s">
        <v>74</v>
      </c>
      <c r="AA212" s="2" t="s">
        <v>74</v>
      </c>
      <c r="AB212" s="2" t="s">
        <v>74</v>
      </c>
      <c r="AC212" s="2" t="s">
        <v>74</v>
      </c>
      <c r="AD212" s="2" t="s">
        <v>74</v>
      </c>
      <c r="AE212" s="2" t="s">
        <v>74</v>
      </c>
      <c r="AF212" s="2" t="s">
        <v>74</v>
      </c>
      <c r="AG212" s="2" t="s">
        <v>74</v>
      </c>
      <c r="AH212" s="2" t="s">
        <v>74</v>
      </c>
      <c r="AI212" s="2" t="s">
        <v>74</v>
      </c>
      <c r="AJ212" s="2" t="s">
        <v>74</v>
      </c>
      <c r="AK212" s="2" t="s">
        <v>74</v>
      </c>
      <c r="AL212" s="2" t="s">
        <v>74</v>
      </c>
      <c r="AM212" s="2" t="s">
        <v>74</v>
      </c>
      <c r="AN212" s="2" t="s">
        <v>74</v>
      </c>
      <c r="AO212" s="2" t="s">
        <v>6695</v>
      </c>
      <c r="AP212" s="2" t="s">
        <v>74</v>
      </c>
      <c r="AQ212" s="2" t="s">
        <v>6696</v>
      </c>
      <c r="AR212" s="2" t="s">
        <v>74</v>
      </c>
      <c r="AS212" s="2" t="s">
        <v>74</v>
      </c>
      <c r="AT212" s="2" t="s">
        <v>74</v>
      </c>
      <c r="AU212" s="2">
        <v>2004</v>
      </c>
      <c r="AV212" s="2">
        <v>1036</v>
      </c>
      <c r="AW212" s="2" t="s">
        <v>74</v>
      </c>
      <c r="AX212" s="2" t="s">
        <v>74</v>
      </c>
      <c r="AY212" s="2" t="s">
        <v>74</v>
      </c>
      <c r="AZ212" s="2" t="s">
        <v>74</v>
      </c>
      <c r="BA212" s="2" t="s">
        <v>74</v>
      </c>
      <c r="BB212" s="2">
        <v>85</v>
      </c>
      <c r="BC212" s="2">
        <v>105</v>
      </c>
      <c r="BD212" s="2" t="s">
        <v>74</v>
      </c>
      <c r="BE212" s="2" t="s">
        <v>6697</v>
      </c>
      <c r="BF212" s="2" t="str">
        <f>HYPERLINK("http://dx.doi.org/10.1196/annals.1330.005","http://dx.doi.org/10.1196/annals.1330.005")</f>
        <v>http://dx.doi.org/10.1196/annals.1330.005</v>
      </c>
      <c r="BG212" s="2" t="s">
        <v>74</v>
      </c>
      <c r="BH212" s="2" t="s">
        <v>74</v>
      </c>
      <c r="BI212" s="2" t="s">
        <v>74</v>
      </c>
      <c r="BJ212" s="2" t="s">
        <v>74</v>
      </c>
      <c r="BK212" s="2" t="s">
        <v>74</v>
      </c>
      <c r="BL212" s="2" t="s">
        <v>74</v>
      </c>
      <c r="BM212" s="2" t="s">
        <v>74</v>
      </c>
      <c r="BN212" s="2">
        <v>15817732</v>
      </c>
      <c r="BO212" s="2" t="s">
        <v>74</v>
      </c>
      <c r="BP212" s="2" t="s">
        <v>74</v>
      </c>
      <c r="BQ212" s="2" t="s">
        <v>74</v>
      </c>
      <c r="BR212" s="2" t="s">
        <v>74</v>
      </c>
      <c r="BS212" s="2" t="s">
        <v>6698</v>
      </c>
      <c r="BT212" s="2" t="str">
        <f>HYPERLINK("https%3A%2F%2Fwww.webofscience.com%2Fwos%2Fwoscc%2Ffull-record%2FWOS:000229993700006","View Full Record in Web of Science")</f>
        <v>View Full Record in Web of Science</v>
      </c>
    </row>
    <row r="213" spans="1:72" s="2" customFormat="1" x14ac:dyDescent="0.4">
      <c r="A213" s="2" t="s">
        <v>72</v>
      </c>
      <c r="B213" s="2" t="s">
        <v>4270</v>
      </c>
      <c r="C213" s="2" t="s">
        <v>74</v>
      </c>
      <c r="D213" s="2" t="s">
        <v>74</v>
      </c>
      <c r="E213" s="2" t="s">
        <v>74</v>
      </c>
      <c r="F213" s="2" t="s">
        <v>4270</v>
      </c>
      <c r="G213" s="2" t="s">
        <v>74</v>
      </c>
      <c r="H213" s="2" t="s">
        <v>74</v>
      </c>
      <c r="I213" s="2" t="s">
        <v>4271</v>
      </c>
      <c r="J213" s="2" t="s">
        <v>1112</v>
      </c>
      <c r="K213" s="2" t="s">
        <v>74</v>
      </c>
      <c r="L213" s="2" t="s">
        <v>74</v>
      </c>
      <c r="M213" s="2" t="s">
        <v>74</v>
      </c>
      <c r="N213" s="2" t="s">
        <v>74</v>
      </c>
      <c r="O213" s="2" t="s">
        <v>74</v>
      </c>
      <c r="P213" s="2" t="s">
        <v>74</v>
      </c>
      <c r="Q213" s="2" t="s">
        <v>74</v>
      </c>
      <c r="R213" s="2" t="s">
        <v>74</v>
      </c>
      <c r="S213" s="2" t="s">
        <v>74</v>
      </c>
      <c r="T213" s="2" t="s">
        <v>74</v>
      </c>
      <c r="U213" s="2" t="s">
        <v>74</v>
      </c>
      <c r="V213" s="5" t="s">
        <v>4272</v>
      </c>
      <c r="W213" s="2" t="s">
        <v>74</v>
      </c>
      <c r="X213" s="2" t="s">
        <v>74</v>
      </c>
      <c r="Y213" s="2" t="s">
        <v>74</v>
      </c>
      <c r="Z213" s="2" t="s">
        <v>74</v>
      </c>
      <c r="AA213" s="2" t="s">
        <v>74</v>
      </c>
      <c r="AB213" s="2" t="s">
        <v>74</v>
      </c>
      <c r="AC213" s="2" t="s">
        <v>74</v>
      </c>
      <c r="AD213" s="2" t="s">
        <v>74</v>
      </c>
      <c r="AE213" s="2" t="s">
        <v>74</v>
      </c>
      <c r="AF213" s="2" t="s">
        <v>74</v>
      </c>
      <c r="AG213" s="2" t="s">
        <v>74</v>
      </c>
      <c r="AH213" s="2" t="s">
        <v>74</v>
      </c>
      <c r="AI213" s="2" t="s">
        <v>74</v>
      </c>
      <c r="AJ213" s="2" t="s">
        <v>74</v>
      </c>
      <c r="AK213" s="2" t="s">
        <v>74</v>
      </c>
      <c r="AL213" s="2" t="s">
        <v>74</v>
      </c>
      <c r="AM213" s="2" t="s">
        <v>74</v>
      </c>
      <c r="AN213" s="2" t="s">
        <v>74</v>
      </c>
      <c r="AO213" s="2" t="s">
        <v>1114</v>
      </c>
      <c r="AP213" s="2" t="s">
        <v>74</v>
      </c>
      <c r="AQ213" s="2" t="s">
        <v>74</v>
      </c>
      <c r="AR213" s="2" t="s">
        <v>74</v>
      </c>
      <c r="AS213" s="2" t="s">
        <v>74</v>
      </c>
      <c r="AT213" s="2" t="s">
        <v>352</v>
      </c>
      <c r="AU213" s="2">
        <v>1992</v>
      </c>
      <c r="AV213" s="2">
        <v>34</v>
      </c>
      <c r="AW213" s="2">
        <v>4</v>
      </c>
      <c r="AX213" s="2" t="s">
        <v>74</v>
      </c>
      <c r="AY213" s="2" t="s">
        <v>74</v>
      </c>
      <c r="AZ213" s="2" t="s">
        <v>74</v>
      </c>
      <c r="BA213" s="2" t="s">
        <v>74</v>
      </c>
      <c r="BB213" s="2">
        <v>359</v>
      </c>
      <c r="BC213" s="2">
        <v>363</v>
      </c>
      <c r="BD213" s="2" t="s">
        <v>74</v>
      </c>
      <c r="BE213" s="2" t="s">
        <v>4273</v>
      </c>
      <c r="BF213" s="2" t="str">
        <f>HYPERLINK("http://dx.doi.org/10.1016/S0168-1591(05)80095-4","http://dx.doi.org/10.1016/S0168-1591(05)80095-4")</f>
        <v>http://dx.doi.org/10.1016/S0168-1591(05)80095-4</v>
      </c>
      <c r="BG213" s="2" t="s">
        <v>74</v>
      </c>
      <c r="BH213" s="2" t="s">
        <v>74</v>
      </c>
      <c r="BI213" s="2" t="s">
        <v>74</v>
      </c>
      <c r="BJ213" s="2" t="s">
        <v>74</v>
      </c>
      <c r="BK213" s="2" t="s">
        <v>74</v>
      </c>
      <c r="BL213" s="2" t="s">
        <v>74</v>
      </c>
      <c r="BM213" s="2" t="s">
        <v>74</v>
      </c>
      <c r="BN213" s="2" t="s">
        <v>74</v>
      </c>
      <c r="BO213" s="2" t="s">
        <v>74</v>
      </c>
      <c r="BP213" s="2" t="s">
        <v>74</v>
      </c>
      <c r="BQ213" s="2" t="s">
        <v>74</v>
      </c>
      <c r="BR213" s="2" t="s">
        <v>74</v>
      </c>
      <c r="BS213" s="2" t="s">
        <v>4274</v>
      </c>
      <c r="BT213" s="2" t="str">
        <f>HYPERLINK("https%3A%2F%2Fwww.webofscience.com%2Fwos%2Fwoscc%2Ffull-record%2FWOS:A1992JL53300007","View Full Record in Web of Science")</f>
        <v>View Full Record in Web of Science</v>
      </c>
    </row>
    <row r="214" spans="1:72" s="2" customFormat="1" x14ac:dyDescent="0.4">
      <c r="A214" s="2" t="s">
        <v>72</v>
      </c>
      <c r="B214" s="2" t="s">
        <v>3879</v>
      </c>
      <c r="C214" s="2" t="s">
        <v>74</v>
      </c>
      <c r="D214" s="2" t="s">
        <v>74</v>
      </c>
      <c r="E214" s="2" t="s">
        <v>74</v>
      </c>
      <c r="F214" s="2" t="s">
        <v>3879</v>
      </c>
      <c r="G214" s="2" t="s">
        <v>74</v>
      </c>
      <c r="H214" s="2" t="s">
        <v>74</v>
      </c>
      <c r="I214" s="2" t="s">
        <v>3880</v>
      </c>
      <c r="J214" s="2" t="s">
        <v>129</v>
      </c>
      <c r="K214" s="2" t="s">
        <v>74</v>
      </c>
      <c r="L214" s="2" t="s">
        <v>74</v>
      </c>
      <c r="M214" s="2" t="s">
        <v>74</v>
      </c>
      <c r="N214" s="2" t="s">
        <v>74</v>
      </c>
      <c r="O214" s="2" t="s">
        <v>74</v>
      </c>
      <c r="P214" s="2" t="s">
        <v>74</v>
      </c>
      <c r="Q214" s="2" t="s">
        <v>74</v>
      </c>
      <c r="R214" s="2" t="s">
        <v>74</v>
      </c>
      <c r="S214" s="2" t="s">
        <v>74</v>
      </c>
      <c r="T214" s="2" t="s">
        <v>74</v>
      </c>
      <c r="U214" s="2" t="s">
        <v>74</v>
      </c>
      <c r="V214" s="5" t="s">
        <v>3881</v>
      </c>
      <c r="W214" s="2" t="s">
        <v>74</v>
      </c>
      <c r="X214" s="2" t="s">
        <v>74</v>
      </c>
      <c r="Y214" s="2" t="s">
        <v>74</v>
      </c>
      <c r="Z214" s="2" t="s">
        <v>74</v>
      </c>
      <c r="AA214" s="2" t="s">
        <v>3882</v>
      </c>
      <c r="AB214" s="2" t="s">
        <v>3883</v>
      </c>
      <c r="AC214" s="2" t="s">
        <v>74</v>
      </c>
      <c r="AD214" s="2" t="s">
        <v>74</v>
      </c>
      <c r="AE214" s="2" t="s">
        <v>74</v>
      </c>
      <c r="AF214" s="2" t="s">
        <v>74</v>
      </c>
      <c r="AG214" s="2" t="s">
        <v>74</v>
      </c>
      <c r="AH214" s="2" t="s">
        <v>74</v>
      </c>
      <c r="AI214" s="2" t="s">
        <v>74</v>
      </c>
      <c r="AJ214" s="2" t="s">
        <v>74</v>
      </c>
      <c r="AK214" s="2" t="s">
        <v>74</v>
      </c>
      <c r="AL214" s="2" t="s">
        <v>74</v>
      </c>
      <c r="AM214" s="2" t="s">
        <v>74</v>
      </c>
      <c r="AN214" s="2" t="s">
        <v>74</v>
      </c>
      <c r="AO214" s="2" t="s">
        <v>132</v>
      </c>
      <c r="AP214" s="2" t="s">
        <v>74</v>
      </c>
      <c r="AQ214" s="2" t="s">
        <v>74</v>
      </c>
      <c r="AR214" s="2" t="s">
        <v>74</v>
      </c>
      <c r="AS214" s="2" t="s">
        <v>74</v>
      </c>
      <c r="AT214" s="2" t="s">
        <v>134</v>
      </c>
      <c r="AU214" s="2">
        <v>2000</v>
      </c>
      <c r="AV214" s="2">
        <v>47</v>
      </c>
      <c r="AW214" s="2">
        <v>6</v>
      </c>
      <c r="AX214" s="2" t="s">
        <v>74</v>
      </c>
      <c r="AY214" s="2" t="s">
        <v>74</v>
      </c>
      <c r="AZ214" s="2" t="s">
        <v>74</v>
      </c>
      <c r="BA214" s="2" t="s">
        <v>74</v>
      </c>
      <c r="BB214" s="2">
        <v>413</v>
      </c>
      <c r="BC214" s="2">
        <v>416</v>
      </c>
      <c r="BD214" s="2" t="s">
        <v>74</v>
      </c>
      <c r="BE214" s="2" t="s">
        <v>3884</v>
      </c>
      <c r="BF214" s="2" t="str">
        <f>HYPERLINK("http://dx.doi.org/10.1007/s002650050684","http://dx.doi.org/10.1007/s002650050684")</f>
        <v>http://dx.doi.org/10.1007/s002650050684</v>
      </c>
      <c r="BG214" s="2" t="s">
        <v>74</v>
      </c>
      <c r="BH214" s="2" t="s">
        <v>74</v>
      </c>
      <c r="BI214" s="2" t="s">
        <v>74</v>
      </c>
      <c r="BJ214" s="2" t="s">
        <v>74</v>
      </c>
      <c r="BK214" s="2" t="s">
        <v>74</v>
      </c>
      <c r="BL214" s="2" t="s">
        <v>74</v>
      </c>
      <c r="BM214" s="2" t="s">
        <v>74</v>
      </c>
      <c r="BN214" s="2" t="s">
        <v>74</v>
      </c>
      <c r="BO214" s="2" t="s">
        <v>74</v>
      </c>
      <c r="BP214" s="2" t="s">
        <v>74</v>
      </c>
      <c r="BQ214" s="2" t="s">
        <v>74</v>
      </c>
      <c r="BR214" s="2" t="s">
        <v>74</v>
      </c>
      <c r="BS214" s="2" t="s">
        <v>3885</v>
      </c>
      <c r="BT214" s="2" t="str">
        <f>HYPERLINK("https%3A%2F%2Fwww.webofscience.com%2Fwos%2Fwoscc%2Ffull-record%2FWOS:000087531600006","View Full Record in Web of Science")</f>
        <v>View Full Record in Web of Science</v>
      </c>
    </row>
    <row r="215" spans="1:72" s="2" customFormat="1" x14ac:dyDescent="0.4">
      <c r="A215" s="2" t="s">
        <v>72</v>
      </c>
      <c r="B215" s="2" t="s">
        <v>7865</v>
      </c>
      <c r="C215" s="2" t="s">
        <v>74</v>
      </c>
      <c r="D215" s="2" t="s">
        <v>74</v>
      </c>
      <c r="E215" s="2" t="s">
        <v>74</v>
      </c>
      <c r="F215" s="2" t="s">
        <v>7866</v>
      </c>
      <c r="G215" s="2" t="s">
        <v>74</v>
      </c>
      <c r="H215" s="2" t="s">
        <v>74</v>
      </c>
      <c r="I215" s="2" t="s">
        <v>7867</v>
      </c>
      <c r="J215" s="2" t="s">
        <v>5937</v>
      </c>
      <c r="K215" s="2" t="s">
        <v>74</v>
      </c>
      <c r="L215" s="2" t="s">
        <v>74</v>
      </c>
      <c r="M215" s="2" t="s">
        <v>74</v>
      </c>
      <c r="N215" s="2" t="s">
        <v>74</v>
      </c>
      <c r="O215" s="2" t="s">
        <v>74</v>
      </c>
      <c r="P215" s="2" t="s">
        <v>74</v>
      </c>
      <c r="Q215" s="2" t="s">
        <v>74</v>
      </c>
      <c r="R215" s="2" t="s">
        <v>74</v>
      </c>
      <c r="S215" s="2" t="s">
        <v>74</v>
      </c>
      <c r="T215" s="2" t="s">
        <v>74</v>
      </c>
      <c r="U215" s="2" t="s">
        <v>74</v>
      </c>
      <c r="V215" s="5" t="s">
        <v>7868</v>
      </c>
      <c r="W215" s="2" t="s">
        <v>74</v>
      </c>
      <c r="X215" s="2" t="s">
        <v>74</v>
      </c>
      <c r="Y215" s="2" t="s">
        <v>74</v>
      </c>
      <c r="Z215" s="2" t="s">
        <v>74</v>
      </c>
      <c r="AA215" s="2" t="s">
        <v>74</v>
      </c>
      <c r="AB215" s="2" t="s">
        <v>74</v>
      </c>
      <c r="AC215" s="2" t="s">
        <v>74</v>
      </c>
      <c r="AD215" s="2" t="s">
        <v>74</v>
      </c>
      <c r="AE215" s="2" t="s">
        <v>74</v>
      </c>
      <c r="AF215" s="2" t="s">
        <v>74</v>
      </c>
      <c r="AG215" s="2" t="s">
        <v>74</v>
      </c>
      <c r="AH215" s="2" t="s">
        <v>74</v>
      </c>
      <c r="AI215" s="2" t="s">
        <v>74</v>
      </c>
      <c r="AJ215" s="2" t="s">
        <v>74</v>
      </c>
      <c r="AK215" s="2" t="s">
        <v>74</v>
      </c>
      <c r="AL215" s="2" t="s">
        <v>74</v>
      </c>
      <c r="AM215" s="2" t="s">
        <v>74</v>
      </c>
      <c r="AN215" s="2" t="s">
        <v>74</v>
      </c>
      <c r="AO215" s="2" t="s">
        <v>5941</v>
      </c>
      <c r="AP215" s="2" t="s">
        <v>74</v>
      </c>
      <c r="AQ215" s="2" t="s">
        <v>74</v>
      </c>
      <c r="AR215" s="2" t="s">
        <v>74</v>
      </c>
      <c r="AS215" s="2" t="s">
        <v>74</v>
      </c>
      <c r="AT215" s="2" t="s">
        <v>204</v>
      </c>
      <c r="AU215" s="2">
        <v>2021</v>
      </c>
      <c r="AV215" s="2">
        <v>11</v>
      </c>
      <c r="AW215" s="2">
        <v>7</v>
      </c>
      <c r="AX215" s="2" t="s">
        <v>74</v>
      </c>
      <c r="AY215" s="2" t="s">
        <v>74</v>
      </c>
      <c r="AZ215" s="2" t="s">
        <v>74</v>
      </c>
      <c r="BA215" s="2" t="s">
        <v>74</v>
      </c>
      <c r="BB215" s="2" t="s">
        <v>74</v>
      </c>
      <c r="BC215" s="2" t="s">
        <v>74</v>
      </c>
      <c r="BD215" s="2">
        <v>2070</v>
      </c>
      <c r="BE215" s="2" t="s">
        <v>7869</v>
      </c>
      <c r="BF215" s="2" t="str">
        <f>HYPERLINK("http://dx.doi.org/10.3390/ani11072070","http://dx.doi.org/10.3390/ani11072070")</f>
        <v>http://dx.doi.org/10.3390/ani11072070</v>
      </c>
      <c r="BG215" s="2" t="s">
        <v>74</v>
      </c>
      <c r="BH215" s="2" t="s">
        <v>74</v>
      </c>
      <c r="BI215" s="2" t="s">
        <v>74</v>
      </c>
      <c r="BJ215" s="2" t="s">
        <v>74</v>
      </c>
      <c r="BK215" s="2" t="s">
        <v>74</v>
      </c>
      <c r="BL215" s="2" t="s">
        <v>74</v>
      </c>
      <c r="BM215" s="2" t="s">
        <v>74</v>
      </c>
      <c r="BN215" s="2">
        <v>34359198</v>
      </c>
      <c r="BO215" s="2" t="s">
        <v>74</v>
      </c>
      <c r="BP215" s="2" t="s">
        <v>74</v>
      </c>
      <c r="BQ215" s="2" t="s">
        <v>74</v>
      </c>
      <c r="BR215" s="2" t="s">
        <v>74</v>
      </c>
      <c r="BS215" s="2" t="s">
        <v>7870</v>
      </c>
      <c r="BT215" s="2" t="str">
        <f>HYPERLINK("https%3A%2F%2Fwww.webofscience.com%2Fwos%2Fwoscc%2Ffull-record%2FWOS:000675936800001","View Full Record in Web of Science")</f>
        <v>View Full Record in Web of Science</v>
      </c>
    </row>
    <row r="216" spans="1:72" s="2" customFormat="1" x14ac:dyDescent="0.4">
      <c r="A216" s="2" t="s">
        <v>72</v>
      </c>
      <c r="B216" s="2" t="s">
        <v>7359</v>
      </c>
      <c r="C216" s="2" t="s">
        <v>74</v>
      </c>
      <c r="D216" s="2" t="s">
        <v>74</v>
      </c>
      <c r="E216" s="2" t="s">
        <v>74</v>
      </c>
      <c r="F216" s="2" t="s">
        <v>7360</v>
      </c>
      <c r="G216" s="2" t="s">
        <v>74</v>
      </c>
      <c r="H216" s="2" t="s">
        <v>74</v>
      </c>
      <c r="I216" s="2" t="s">
        <v>7361</v>
      </c>
      <c r="J216" s="2" t="s">
        <v>882</v>
      </c>
      <c r="K216" s="2" t="s">
        <v>74</v>
      </c>
      <c r="L216" s="2" t="s">
        <v>74</v>
      </c>
      <c r="M216" s="2" t="s">
        <v>74</v>
      </c>
      <c r="N216" s="2" t="s">
        <v>74</v>
      </c>
      <c r="O216" s="2" t="s">
        <v>74</v>
      </c>
      <c r="P216" s="2" t="s">
        <v>74</v>
      </c>
      <c r="Q216" s="2" t="s">
        <v>74</v>
      </c>
      <c r="R216" s="2" t="s">
        <v>74</v>
      </c>
      <c r="S216" s="2" t="s">
        <v>74</v>
      </c>
      <c r="T216" s="2" t="s">
        <v>74</v>
      </c>
      <c r="U216" s="2" t="s">
        <v>74</v>
      </c>
      <c r="V216" s="5" t="s">
        <v>7362</v>
      </c>
      <c r="W216" s="2" t="s">
        <v>74</v>
      </c>
      <c r="X216" s="2" t="s">
        <v>74</v>
      </c>
      <c r="Y216" s="2" t="s">
        <v>74</v>
      </c>
      <c r="Z216" s="2" t="s">
        <v>74</v>
      </c>
      <c r="AA216" s="2" t="s">
        <v>7363</v>
      </c>
      <c r="AB216" s="2" t="s">
        <v>7364</v>
      </c>
      <c r="AC216" s="2" t="s">
        <v>74</v>
      </c>
      <c r="AD216" s="2" t="s">
        <v>74</v>
      </c>
      <c r="AE216" s="2" t="s">
        <v>74</v>
      </c>
      <c r="AF216" s="2" t="s">
        <v>74</v>
      </c>
      <c r="AG216" s="2" t="s">
        <v>74</v>
      </c>
      <c r="AH216" s="2" t="s">
        <v>74</v>
      </c>
      <c r="AI216" s="2" t="s">
        <v>74</v>
      </c>
      <c r="AJ216" s="2" t="s">
        <v>74</v>
      </c>
      <c r="AK216" s="2" t="s">
        <v>74</v>
      </c>
      <c r="AL216" s="2" t="s">
        <v>74</v>
      </c>
      <c r="AM216" s="2" t="s">
        <v>74</v>
      </c>
      <c r="AN216" s="2" t="s">
        <v>74</v>
      </c>
      <c r="AO216" s="2" t="s">
        <v>886</v>
      </c>
      <c r="AP216" s="2" t="s">
        <v>887</v>
      </c>
      <c r="AQ216" s="2" t="s">
        <v>74</v>
      </c>
      <c r="AR216" s="2" t="s">
        <v>74</v>
      </c>
      <c r="AS216" s="2" t="s">
        <v>74</v>
      </c>
      <c r="AT216" s="2" t="s">
        <v>74</v>
      </c>
      <c r="AU216" s="2">
        <v>2019</v>
      </c>
      <c r="AV216" s="2">
        <v>28</v>
      </c>
      <c r="AW216" s="2" t="s">
        <v>74</v>
      </c>
      <c r="AX216" s="2" t="s">
        <v>74</v>
      </c>
      <c r="AY216" s="2" t="s">
        <v>74</v>
      </c>
      <c r="AZ216" s="2" t="s">
        <v>74</v>
      </c>
      <c r="BA216" s="2" t="s">
        <v>74</v>
      </c>
      <c r="BB216" s="2">
        <v>127</v>
      </c>
      <c r="BC216" s="2">
        <v>136</v>
      </c>
      <c r="BD216" s="2" t="s">
        <v>74</v>
      </c>
      <c r="BE216" s="2" t="s">
        <v>7365</v>
      </c>
      <c r="BF216" s="2" t="str">
        <f>HYPERLINK("http://dx.doi.org/10.3354/ab00718","http://dx.doi.org/10.3354/ab00718")</f>
        <v>http://dx.doi.org/10.3354/ab00718</v>
      </c>
      <c r="BG216" s="2" t="s">
        <v>74</v>
      </c>
      <c r="BH216" s="2" t="s">
        <v>74</v>
      </c>
      <c r="BI216" s="2" t="s">
        <v>74</v>
      </c>
      <c r="BJ216" s="2" t="s">
        <v>74</v>
      </c>
      <c r="BK216" s="2" t="s">
        <v>74</v>
      </c>
      <c r="BL216" s="2" t="s">
        <v>74</v>
      </c>
      <c r="BM216" s="2" t="s">
        <v>74</v>
      </c>
      <c r="BN216" s="2" t="s">
        <v>74</v>
      </c>
      <c r="BO216" s="2" t="s">
        <v>74</v>
      </c>
      <c r="BP216" s="2" t="s">
        <v>74</v>
      </c>
      <c r="BQ216" s="2" t="s">
        <v>74</v>
      </c>
      <c r="BR216" s="2" t="s">
        <v>74</v>
      </c>
      <c r="BS216" s="2" t="s">
        <v>7366</v>
      </c>
      <c r="BT216" s="2" t="str">
        <f>HYPERLINK("https%3A%2F%2Fwww.webofscience.com%2Fwos%2Fwoscc%2Ffull-record%2FWOS:000518432200009","View Full Record in Web of Science")</f>
        <v>View Full Record in Web of Science</v>
      </c>
    </row>
    <row r="217" spans="1:72" s="2" customFormat="1" x14ac:dyDescent="0.4">
      <c r="A217" s="2" t="s">
        <v>72</v>
      </c>
      <c r="B217" s="2" t="s">
        <v>148</v>
      </c>
      <c r="C217" s="2" t="s">
        <v>74</v>
      </c>
      <c r="D217" s="2" t="s">
        <v>74</v>
      </c>
      <c r="E217" s="2" t="s">
        <v>74</v>
      </c>
      <c r="F217" s="2" t="s">
        <v>149</v>
      </c>
      <c r="G217" s="2" t="s">
        <v>74</v>
      </c>
      <c r="H217" s="2" t="s">
        <v>74</v>
      </c>
      <c r="I217" s="2" t="s">
        <v>150</v>
      </c>
      <c r="J217" s="2" t="s">
        <v>151</v>
      </c>
      <c r="K217" s="2" t="s">
        <v>74</v>
      </c>
      <c r="L217" s="2" t="s">
        <v>74</v>
      </c>
      <c r="M217" s="2" t="s">
        <v>74</v>
      </c>
      <c r="N217" s="2" t="s">
        <v>74</v>
      </c>
      <c r="O217" s="2" t="s">
        <v>74</v>
      </c>
      <c r="P217" s="2" t="s">
        <v>74</v>
      </c>
      <c r="Q217" s="2" t="s">
        <v>74</v>
      </c>
      <c r="R217" s="2" t="s">
        <v>74</v>
      </c>
      <c r="S217" s="2" t="s">
        <v>74</v>
      </c>
      <c r="T217" s="2" t="s">
        <v>74</v>
      </c>
      <c r="U217" s="2" t="s">
        <v>74</v>
      </c>
      <c r="V217" s="5" t="s">
        <v>152</v>
      </c>
      <c r="W217" s="2" t="s">
        <v>74</v>
      </c>
      <c r="X217" s="2" t="s">
        <v>74</v>
      </c>
      <c r="Y217" s="2" t="s">
        <v>74</v>
      </c>
      <c r="Z217" s="2" t="s">
        <v>74</v>
      </c>
      <c r="AA217" s="2" t="s">
        <v>153</v>
      </c>
      <c r="AB217" s="2" t="s">
        <v>154</v>
      </c>
      <c r="AC217" s="2" t="s">
        <v>74</v>
      </c>
      <c r="AD217" s="2" t="s">
        <v>74</v>
      </c>
      <c r="AE217" s="2" t="s">
        <v>74</v>
      </c>
      <c r="AF217" s="2" t="s">
        <v>74</v>
      </c>
      <c r="AG217" s="2" t="s">
        <v>74</v>
      </c>
      <c r="AH217" s="2" t="s">
        <v>74</v>
      </c>
      <c r="AI217" s="2" t="s">
        <v>74</v>
      </c>
      <c r="AJ217" s="2" t="s">
        <v>74</v>
      </c>
      <c r="AK217" s="2" t="s">
        <v>74</v>
      </c>
      <c r="AL217" s="2" t="s">
        <v>74</v>
      </c>
      <c r="AM217" s="2" t="s">
        <v>74</v>
      </c>
      <c r="AN217" s="2" t="s">
        <v>74</v>
      </c>
      <c r="AO217" s="2" t="s">
        <v>155</v>
      </c>
      <c r="AP217" s="2" t="s">
        <v>156</v>
      </c>
      <c r="AQ217" s="2" t="s">
        <v>74</v>
      </c>
      <c r="AR217" s="2" t="s">
        <v>74</v>
      </c>
      <c r="AS217" s="2" t="s">
        <v>74</v>
      </c>
      <c r="AT217" s="2" t="s">
        <v>74</v>
      </c>
      <c r="AU217" s="2">
        <v>2014</v>
      </c>
      <c r="AV217" s="2">
        <v>504</v>
      </c>
      <c r="AW217" s="2" t="s">
        <v>74</v>
      </c>
      <c r="AX217" s="2" t="s">
        <v>74</v>
      </c>
      <c r="AY217" s="2" t="s">
        <v>74</v>
      </c>
      <c r="AZ217" s="2" t="s">
        <v>74</v>
      </c>
      <c r="BA217" s="2" t="s">
        <v>74</v>
      </c>
      <c r="BB217" s="2">
        <v>277</v>
      </c>
      <c r="BC217" s="2">
        <v>286</v>
      </c>
      <c r="BD217" s="2" t="s">
        <v>74</v>
      </c>
      <c r="BE217" s="2" t="s">
        <v>157</v>
      </c>
      <c r="BF217" s="2" t="str">
        <f>HYPERLINK("http://dx.doi.org/10.3354/meps10760","http://dx.doi.org/10.3354/meps10760")</f>
        <v>http://dx.doi.org/10.3354/meps10760</v>
      </c>
      <c r="BG217" s="2" t="s">
        <v>74</v>
      </c>
      <c r="BH217" s="2" t="s">
        <v>74</v>
      </c>
      <c r="BI217" s="2" t="s">
        <v>74</v>
      </c>
      <c r="BJ217" s="2" t="s">
        <v>74</v>
      </c>
      <c r="BK217" s="2" t="s">
        <v>74</v>
      </c>
      <c r="BL217" s="2" t="s">
        <v>74</v>
      </c>
      <c r="BM217" s="2" t="s">
        <v>74</v>
      </c>
      <c r="BN217" s="2" t="s">
        <v>74</v>
      </c>
      <c r="BO217" s="2" t="s">
        <v>74</v>
      </c>
      <c r="BP217" s="2" t="s">
        <v>74</v>
      </c>
      <c r="BQ217" s="2" t="s">
        <v>74</v>
      </c>
      <c r="BR217" s="2" t="s">
        <v>74</v>
      </c>
      <c r="BS217" s="2" t="s">
        <v>158</v>
      </c>
      <c r="BT217" s="2" t="str">
        <f>HYPERLINK("https%3A%2F%2Fwww.webofscience.com%2Fwos%2Fwoscc%2Ffull-record%2FWOS:000335963100021","View Full Record in Web of Science")</f>
        <v>View Full Record in Web of Science</v>
      </c>
    </row>
    <row r="218" spans="1:72" s="2" customFormat="1" x14ac:dyDescent="0.4">
      <c r="A218" s="2" t="s">
        <v>72</v>
      </c>
      <c r="B218" s="2" t="s">
        <v>4220</v>
      </c>
      <c r="C218" s="2" t="s">
        <v>74</v>
      </c>
      <c r="D218" s="2" t="s">
        <v>74</v>
      </c>
      <c r="E218" s="2" t="s">
        <v>74</v>
      </c>
      <c r="F218" s="2" t="s">
        <v>4221</v>
      </c>
      <c r="G218" s="2" t="s">
        <v>74</v>
      </c>
      <c r="H218" s="2" t="s">
        <v>74</v>
      </c>
      <c r="I218" s="2" t="s">
        <v>4222</v>
      </c>
      <c r="J218" s="2" t="s">
        <v>1384</v>
      </c>
      <c r="K218" s="2" t="s">
        <v>74</v>
      </c>
      <c r="L218" s="2" t="s">
        <v>74</v>
      </c>
      <c r="M218" s="2" t="s">
        <v>74</v>
      </c>
      <c r="N218" s="2" t="s">
        <v>74</v>
      </c>
      <c r="O218" s="2" t="s">
        <v>74</v>
      </c>
      <c r="P218" s="2" t="s">
        <v>74</v>
      </c>
      <c r="Q218" s="2" t="s">
        <v>74</v>
      </c>
      <c r="R218" s="2" t="s">
        <v>74</v>
      </c>
      <c r="S218" s="2" t="s">
        <v>74</v>
      </c>
      <c r="T218" s="2" t="s">
        <v>74</v>
      </c>
      <c r="U218" s="2" t="s">
        <v>74</v>
      </c>
      <c r="V218" s="5" t="s">
        <v>4223</v>
      </c>
      <c r="W218" s="2" t="s">
        <v>74</v>
      </c>
      <c r="X218" s="2" t="s">
        <v>74</v>
      </c>
      <c r="Y218" s="2" t="s">
        <v>74</v>
      </c>
      <c r="Z218" s="2" t="s">
        <v>74</v>
      </c>
      <c r="AA218" s="2" t="s">
        <v>4224</v>
      </c>
      <c r="AB218" s="2" t="s">
        <v>74</v>
      </c>
      <c r="AC218" s="2" t="s">
        <v>74</v>
      </c>
      <c r="AD218" s="2" t="s">
        <v>74</v>
      </c>
      <c r="AE218" s="2" t="s">
        <v>74</v>
      </c>
      <c r="AF218" s="2" t="s">
        <v>74</v>
      </c>
      <c r="AG218" s="2" t="s">
        <v>74</v>
      </c>
      <c r="AH218" s="2" t="s">
        <v>74</v>
      </c>
      <c r="AI218" s="2" t="s">
        <v>74</v>
      </c>
      <c r="AJ218" s="2" t="s">
        <v>74</v>
      </c>
      <c r="AK218" s="2" t="s">
        <v>74</v>
      </c>
      <c r="AL218" s="2" t="s">
        <v>74</v>
      </c>
      <c r="AM218" s="2" t="s">
        <v>74</v>
      </c>
      <c r="AN218" s="2" t="s">
        <v>74</v>
      </c>
      <c r="AO218" s="2" t="s">
        <v>1388</v>
      </c>
      <c r="AP218" s="2" t="s">
        <v>74</v>
      </c>
      <c r="AQ218" s="2" t="s">
        <v>74</v>
      </c>
      <c r="AR218" s="2" t="s">
        <v>74</v>
      </c>
      <c r="AS218" s="2" t="s">
        <v>74</v>
      </c>
      <c r="AT218" s="2" t="s">
        <v>255</v>
      </c>
      <c r="AU218" s="2">
        <v>2013</v>
      </c>
      <c r="AV218" s="2">
        <v>155</v>
      </c>
      <c r="AW218" s="2">
        <v>1</v>
      </c>
      <c r="AX218" s="2" t="s">
        <v>74</v>
      </c>
      <c r="AY218" s="2" t="s">
        <v>74</v>
      </c>
      <c r="AZ218" s="2" t="s">
        <v>74</v>
      </c>
      <c r="BA218" s="2" t="s">
        <v>74</v>
      </c>
      <c r="BB218" s="2">
        <v>189</v>
      </c>
      <c r="BC218" s="2">
        <v>193</v>
      </c>
      <c r="BD218" s="2" t="s">
        <v>74</v>
      </c>
      <c r="BE218" s="2" t="s">
        <v>4225</v>
      </c>
      <c r="BF218" s="2" t="str">
        <f>HYPERLINK("http://dx.doi.org/10.1111/j.1474-919X.2012.01264.x","http://dx.doi.org/10.1111/j.1474-919X.2012.01264.x")</f>
        <v>http://dx.doi.org/10.1111/j.1474-919X.2012.01264.x</v>
      </c>
      <c r="BG218" s="2" t="s">
        <v>74</v>
      </c>
      <c r="BH218" s="2" t="s">
        <v>74</v>
      </c>
      <c r="BI218" s="2" t="s">
        <v>74</v>
      </c>
      <c r="BJ218" s="2" t="s">
        <v>74</v>
      </c>
      <c r="BK218" s="2" t="s">
        <v>74</v>
      </c>
      <c r="BL218" s="2" t="s">
        <v>74</v>
      </c>
      <c r="BM218" s="2" t="s">
        <v>74</v>
      </c>
      <c r="BN218" s="2" t="s">
        <v>74</v>
      </c>
      <c r="BO218" s="2" t="s">
        <v>74</v>
      </c>
      <c r="BP218" s="2" t="s">
        <v>74</v>
      </c>
      <c r="BQ218" s="2" t="s">
        <v>74</v>
      </c>
      <c r="BR218" s="2" t="s">
        <v>74</v>
      </c>
      <c r="BS218" s="2" t="s">
        <v>4226</v>
      </c>
      <c r="BT218" s="2" t="str">
        <f>HYPERLINK("https%3A%2F%2Fwww.webofscience.com%2Fwos%2Fwoscc%2Ffull-record%2FWOS:000316326600017","View Full Record in Web of Science")</f>
        <v>View Full Record in Web of Science</v>
      </c>
    </row>
    <row r="219" spans="1:72" s="2" customFormat="1" x14ac:dyDescent="0.4">
      <c r="A219" s="2" t="s">
        <v>72</v>
      </c>
      <c r="B219" s="2" t="s">
        <v>3260</v>
      </c>
      <c r="C219" s="2" t="s">
        <v>74</v>
      </c>
      <c r="D219" s="2" t="s">
        <v>74</v>
      </c>
      <c r="E219" s="2" t="s">
        <v>74</v>
      </c>
      <c r="F219" s="2" t="s">
        <v>3261</v>
      </c>
      <c r="G219" s="2" t="s">
        <v>74</v>
      </c>
      <c r="H219" s="2" t="s">
        <v>74</v>
      </c>
      <c r="I219" s="2" t="s">
        <v>3262</v>
      </c>
      <c r="J219" s="2" t="s">
        <v>576</v>
      </c>
      <c r="K219" s="2" t="s">
        <v>74</v>
      </c>
      <c r="L219" s="2" t="s">
        <v>74</v>
      </c>
      <c r="M219" s="2" t="s">
        <v>74</v>
      </c>
      <c r="N219" s="2" t="s">
        <v>74</v>
      </c>
      <c r="O219" s="2" t="s">
        <v>74</v>
      </c>
      <c r="P219" s="2" t="s">
        <v>74</v>
      </c>
      <c r="Q219" s="2" t="s">
        <v>74</v>
      </c>
      <c r="R219" s="2" t="s">
        <v>74</v>
      </c>
      <c r="S219" s="2" t="s">
        <v>74</v>
      </c>
      <c r="T219" s="2" t="s">
        <v>74</v>
      </c>
      <c r="U219" s="2" t="s">
        <v>74</v>
      </c>
      <c r="V219" s="5" t="s">
        <v>3263</v>
      </c>
      <c r="W219" s="2" t="s">
        <v>74</v>
      </c>
      <c r="X219" s="2" t="s">
        <v>74</v>
      </c>
      <c r="Y219" s="2" t="s">
        <v>74</v>
      </c>
      <c r="Z219" s="2" t="s">
        <v>74</v>
      </c>
      <c r="AA219" s="2" t="s">
        <v>3264</v>
      </c>
      <c r="AB219" s="2" t="s">
        <v>434</v>
      </c>
      <c r="AC219" s="2" t="s">
        <v>74</v>
      </c>
      <c r="AD219" s="2" t="s">
        <v>74</v>
      </c>
      <c r="AE219" s="2" t="s">
        <v>74</v>
      </c>
      <c r="AF219" s="2" t="s">
        <v>74</v>
      </c>
      <c r="AG219" s="2" t="s">
        <v>74</v>
      </c>
      <c r="AH219" s="2" t="s">
        <v>74</v>
      </c>
      <c r="AI219" s="2" t="s">
        <v>74</v>
      </c>
      <c r="AJ219" s="2" t="s">
        <v>74</v>
      </c>
      <c r="AK219" s="2" t="s">
        <v>74</v>
      </c>
      <c r="AL219" s="2" t="s">
        <v>74</v>
      </c>
      <c r="AM219" s="2" t="s">
        <v>74</v>
      </c>
      <c r="AN219" s="2" t="s">
        <v>74</v>
      </c>
      <c r="AO219" s="2" t="s">
        <v>579</v>
      </c>
      <c r="AP219" s="2" t="s">
        <v>580</v>
      </c>
      <c r="AQ219" s="2" t="s">
        <v>74</v>
      </c>
      <c r="AR219" s="2" t="s">
        <v>74</v>
      </c>
      <c r="AS219" s="2" t="s">
        <v>74</v>
      </c>
      <c r="AT219" s="2" t="s">
        <v>213</v>
      </c>
      <c r="AU219" s="2">
        <v>2013</v>
      </c>
      <c r="AV219" s="2">
        <v>27</v>
      </c>
      <c r="AW219" s="2">
        <v>6</v>
      </c>
      <c r="AX219" s="2" t="s">
        <v>74</v>
      </c>
      <c r="AY219" s="2" t="s">
        <v>74</v>
      </c>
      <c r="AZ219" s="2" t="s">
        <v>74</v>
      </c>
      <c r="BA219" s="2" t="s">
        <v>74</v>
      </c>
      <c r="BB219" s="2">
        <v>1189</v>
      </c>
      <c r="BC219" s="2">
        <v>1198</v>
      </c>
      <c r="BD219" s="2" t="s">
        <v>74</v>
      </c>
      <c r="BE219" s="2" t="s">
        <v>3265</v>
      </c>
      <c r="BF219" s="2" t="str">
        <f>HYPERLINK("http://dx.doi.org/10.1007/s10682-013-9651-1","http://dx.doi.org/10.1007/s10682-013-9651-1")</f>
        <v>http://dx.doi.org/10.1007/s10682-013-9651-1</v>
      </c>
      <c r="BG219" s="2" t="s">
        <v>74</v>
      </c>
      <c r="BH219" s="2" t="s">
        <v>74</v>
      </c>
      <c r="BI219" s="2" t="s">
        <v>74</v>
      </c>
      <c r="BJ219" s="2" t="s">
        <v>74</v>
      </c>
      <c r="BK219" s="2" t="s">
        <v>74</v>
      </c>
      <c r="BL219" s="2" t="s">
        <v>74</v>
      </c>
      <c r="BM219" s="2" t="s">
        <v>74</v>
      </c>
      <c r="BN219" s="2" t="s">
        <v>74</v>
      </c>
      <c r="BO219" s="2" t="s">
        <v>74</v>
      </c>
      <c r="BP219" s="2" t="s">
        <v>74</v>
      </c>
      <c r="BQ219" s="2" t="s">
        <v>74</v>
      </c>
      <c r="BR219" s="2" t="s">
        <v>74</v>
      </c>
      <c r="BS219" s="2" t="s">
        <v>3266</v>
      </c>
      <c r="BT219" s="2" t="str">
        <f>HYPERLINK("https%3A%2F%2Fwww.webofscience.com%2Fwos%2Fwoscc%2Ffull-record%2FWOS:000326897500010","View Full Record in Web of Science")</f>
        <v>View Full Record in Web of Science</v>
      </c>
    </row>
    <row r="220" spans="1:72" s="2" customFormat="1" x14ac:dyDescent="0.4">
      <c r="A220" s="2" t="s">
        <v>72</v>
      </c>
      <c r="B220" s="2" t="s">
        <v>7578</v>
      </c>
      <c r="C220" s="2" t="s">
        <v>74</v>
      </c>
      <c r="D220" s="2" t="s">
        <v>74</v>
      </c>
      <c r="E220" s="2" t="s">
        <v>74</v>
      </c>
      <c r="F220" s="2" t="s">
        <v>7579</v>
      </c>
      <c r="G220" s="2" t="s">
        <v>74</v>
      </c>
      <c r="H220" s="2" t="s">
        <v>74</v>
      </c>
      <c r="I220" s="2" t="s">
        <v>7580</v>
      </c>
      <c r="J220" s="2" t="s">
        <v>6899</v>
      </c>
      <c r="K220" s="2" t="s">
        <v>74</v>
      </c>
      <c r="L220" s="2" t="s">
        <v>74</v>
      </c>
      <c r="M220" s="2" t="s">
        <v>74</v>
      </c>
      <c r="N220" s="2" t="s">
        <v>74</v>
      </c>
      <c r="O220" s="2" t="s">
        <v>74</v>
      </c>
      <c r="P220" s="2" t="s">
        <v>74</v>
      </c>
      <c r="Q220" s="2" t="s">
        <v>74</v>
      </c>
      <c r="R220" s="2" t="s">
        <v>74</v>
      </c>
      <c r="S220" s="2" t="s">
        <v>74</v>
      </c>
      <c r="T220" s="2" t="s">
        <v>74</v>
      </c>
      <c r="U220" s="2" t="s">
        <v>74</v>
      </c>
      <c r="V220" s="5" t="s">
        <v>7581</v>
      </c>
      <c r="W220" s="2" t="s">
        <v>74</v>
      </c>
      <c r="X220" s="2" t="s">
        <v>74</v>
      </c>
      <c r="Y220" s="2" t="s">
        <v>74</v>
      </c>
      <c r="Z220" s="2" t="s">
        <v>74</v>
      </c>
      <c r="AA220" s="2" t="s">
        <v>7582</v>
      </c>
      <c r="AB220" s="2" t="s">
        <v>7583</v>
      </c>
      <c r="AC220" s="2" t="s">
        <v>74</v>
      </c>
      <c r="AD220" s="2" t="s">
        <v>74</v>
      </c>
      <c r="AE220" s="2" t="s">
        <v>74</v>
      </c>
      <c r="AF220" s="2" t="s">
        <v>74</v>
      </c>
      <c r="AG220" s="2" t="s">
        <v>74</v>
      </c>
      <c r="AH220" s="2" t="s">
        <v>74</v>
      </c>
      <c r="AI220" s="2" t="s">
        <v>74</v>
      </c>
      <c r="AJ220" s="2" t="s">
        <v>74</v>
      </c>
      <c r="AK220" s="2" t="s">
        <v>74</v>
      </c>
      <c r="AL220" s="2" t="s">
        <v>74</v>
      </c>
      <c r="AM220" s="2" t="s">
        <v>74</v>
      </c>
      <c r="AN220" s="2" t="s">
        <v>74</v>
      </c>
      <c r="AO220" s="2" t="s">
        <v>6903</v>
      </c>
      <c r="AP220" s="2" t="s">
        <v>7584</v>
      </c>
      <c r="AQ220" s="2" t="s">
        <v>74</v>
      </c>
      <c r="AR220" s="2" t="s">
        <v>74</v>
      </c>
      <c r="AS220" s="2" t="s">
        <v>74</v>
      </c>
      <c r="AT220" s="2" t="s">
        <v>213</v>
      </c>
      <c r="AU220" s="2">
        <v>2009</v>
      </c>
      <c r="AV220" s="2">
        <v>133</v>
      </c>
      <c r="AW220" s="2">
        <v>2</v>
      </c>
      <c r="AX220" s="2" t="s">
        <v>74</v>
      </c>
      <c r="AY220" s="2" t="s">
        <v>74</v>
      </c>
      <c r="AZ220" s="2" t="s">
        <v>74</v>
      </c>
      <c r="BA220" s="2" t="s">
        <v>74</v>
      </c>
      <c r="BB220" s="2">
        <v>165</v>
      </c>
      <c r="BC220" s="2">
        <v>173</v>
      </c>
      <c r="BD220" s="2" t="s">
        <v>74</v>
      </c>
      <c r="BE220" s="2" t="s">
        <v>7585</v>
      </c>
      <c r="BF220" s="2" t="str">
        <f>HYPERLINK("http://dx.doi.org/10.1111/j.1570-7458.2009.00913.x","http://dx.doi.org/10.1111/j.1570-7458.2009.00913.x")</f>
        <v>http://dx.doi.org/10.1111/j.1570-7458.2009.00913.x</v>
      </c>
      <c r="BG220" s="2" t="s">
        <v>74</v>
      </c>
      <c r="BH220" s="2" t="s">
        <v>74</v>
      </c>
      <c r="BI220" s="2" t="s">
        <v>74</v>
      </c>
      <c r="BJ220" s="2" t="s">
        <v>74</v>
      </c>
      <c r="BK220" s="2" t="s">
        <v>74</v>
      </c>
      <c r="BL220" s="2" t="s">
        <v>74</v>
      </c>
      <c r="BM220" s="2" t="s">
        <v>74</v>
      </c>
      <c r="BN220" s="2" t="s">
        <v>74</v>
      </c>
      <c r="BO220" s="2" t="s">
        <v>74</v>
      </c>
      <c r="BP220" s="2" t="s">
        <v>74</v>
      </c>
      <c r="BQ220" s="2" t="s">
        <v>74</v>
      </c>
      <c r="BR220" s="2" t="s">
        <v>74</v>
      </c>
      <c r="BS220" s="2" t="s">
        <v>7586</v>
      </c>
      <c r="BT220" s="2" t="str">
        <f>HYPERLINK("https%3A%2F%2Fwww.webofscience.com%2Fwos%2Fwoscc%2Ffull-record%2FWOS:000270648800007","View Full Record in Web of Science")</f>
        <v>View Full Record in Web of Science</v>
      </c>
    </row>
    <row r="221" spans="1:72" s="2" customFormat="1" x14ac:dyDescent="0.4">
      <c r="A221" s="2" t="s">
        <v>72</v>
      </c>
      <c r="B221" s="2" t="s">
        <v>8306</v>
      </c>
      <c r="C221" s="2" t="s">
        <v>74</v>
      </c>
      <c r="D221" s="2" t="s">
        <v>74</v>
      </c>
      <c r="E221" s="2" t="s">
        <v>74</v>
      </c>
      <c r="F221" s="2" t="s">
        <v>8306</v>
      </c>
      <c r="G221" s="2" t="s">
        <v>74</v>
      </c>
      <c r="H221" s="2" t="s">
        <v>74</v>
      </c>
      <c r="I221" s="2" t="s">
        <v>8307</v>
      </c>
      <c r="J221" s="2" t="s">
        <v>140</v>
      </c>
      <c r="K221" s="2" t="s">
        <v>74</v>
      </c>
      <c r="L221" s="2" t="s">
        <v>74</v>
      </c>
      <c r="M221" s="2" t="s">
        <v>74</v>
      </c>
      <c r="N221" s="2" t="s">
        <v>74</v>
      </c>
      <c r="O221" s="2" t="s">
        <v>74</v>
      </c>
      <c r="P221" s="2" t="s">
        <v>74</v>
      </c>
      <c r="Q221" s="2" t="s">
        <v>74</v>
      </c>
      <c r="R221" s="2" t="s">
        <v>74</v>
      </c>
      <c r="S221" s="2" t="s">
        <v>74</v>
      </c>
      <c r="T221" s="2" t="s">
        <v>74</v>
      </c>
      <c r="U221" s="2" t="s">
        <v>74</v>
      </c>
      <c r="V221" s="5" t="s">
        <v>8308</v>
      </c>
      <c r="W221" s="2" t="s">
        <v>74</v>
      </c>
      <c r="X221" s="2" t="s">
        <v>74</v>
      </c>
      <c r="Y221" s="2" t="s">
        <v>74</v>
      </c>
      <c r="Z221" s="2" t="s">
        <v>74</v>
      </c>
      <c r="AA221" s="2" t="s">
        <v>74</v>
      </c>
      <c r="AB221" s="2" t="s">
        <v>74</v>
      </c>
      <c r="AC221" s="2" t="s">
        <v>74</v>
      </c>
      <c r="AD221" s="2" t="s">
        <v>74</v>
      </c>
      <c r="AE221" s="2" t="s">
        <v>74</v>
      </c>
      <c r="AF221" s="2" t="s">
        <v>74</v>
      </c>
      <c r="AG221" s="2" t="s">
        <v>74</v>
      </c>
      <c r="AH221" s="2" t="s">
        <v>74</v>
      </c>
      <c r="AI221" s="2" t="s">
        <v>74</v>
      </c>
      <c r="AJ221" s="2" t="s">
        <v>74</v>
      </c>
      <c r="AK221" s="2" t="s">
        <v>74</v>
      </c>
      <c r="AL221" s="2" t="s">
        <v>74</v>
      </c>
      <c r="AM221" s="2" t="s">
        <v>74</v>
      </c>
      <c r="AN221" s="2" t="s">
        <v>74</v>
      </c>
      <c r="AO221" s="2" t="s">
        <v>143</v>
      </c>
      <c r="AP221" s="2" t="s">
        <v>74</v>
      </c>
      <c r="AQ221" s="2" t="s">
        <v>74</v>
      </c>
      <c r="AR221" s="2" t="s">
        <v>74</v>
      </c>
      <c r="AS221" s="2" t="s">
        <v>74</v>
      </c>
      <c r="AT221" s="2" t="s">
        <v>145</v>
      </c>
      <c r="AU221" s="2">
        <v>2002</v>
      </c>
      <c r="AV221" s="2">
        <v>64</v>
      </c>
      <c r="AW221" s="2" t="s">
        <v>74</v>
      </c>
      <c r="AX221" s="2">
        <v>2</v>
      </c>
      <c r="AY221" s="2" t="s">
        <v>74</v>
      </c>
      <c r="AZ221" s="2" t="s">
        <v>74</v>
      </c>
      <c r="BA221" s="2" t="s">
        <v>74</v>
      </c>
      <c r="BB221" s="2">
        <v>207</v>
      </c>
      <c r="BC221" s="2">
        <v>213</v>
      </c>
      <c r="BD221" s="2" t="s">
        <v>74</v>
      </c>
      <c r="BE221" s="2" t="s">
        <v>8309</v>
      </c>
      <c r="BF221" s="2" t="str">
        <f>HYPERLINK("http://dx.doi.org/10.1006/anbe.2002.3042","http://dx.doi.org/10.1006/anbe.2002.3042")</f>
        <v>http://dx.doi.org/10.1006/anbe.2002.3042</v>
      </c>
      <c r="BG221" s="2" t="s">
        <v>74</v>
      </c>
      <c r="BH221" s="2" t="s">
        <v>74</v>
      </c>
      <c r="BI221" s="2" t="s">
        <v>74</v>
      </c>
      <c r="BJ221" s="2" t="s">
        <v>74</v>
      </c>
      <c r="BK221" s="2" t="s">
        <v>74</v>
      </c>
      <c r="BL221" s="2" t="s">
        <v>74</v>
      </c>
      <c r="BM221" s="2" t="s">
        <v>74</v>
      </c>
      <c r="BN221" s="2" t="s">
        <v>74</v>
      </c>
      <c r="BO221" s="2" t="s">
        <v>74</v>
      </c>
      <c r="BP221" s="2" t="s">
        <v>74</v>
      </c>
      <c r="BQ221" s="2" t="s">
        <v>74</v>
      </c>
      <c r="BR221" s="2" t="s">
        <v>74</v>
      </c>
      <c r="BS221" s="2" t="s">
        <v>8310</v>
      </c>
      <c r="BT221" s="2" t="str">
        <f>HYPERLINK("https%3A%2F%2Fwww.webofscience.com%2Fwos%2Fwoscc%2Ffull-record%2FWOS:000179248600006","View Full Record in Web of Science")</f>
        <v>View Full Record in Web of Science</v>
      </c>
    </row>
    <row r="222" spans="1:72" s="2" customFormat="1" x14ac:dyDescent="0.4">
      <c r="A222" s="2" t="s">
        <v>72</v>
      </c>
      <c r="B222" s="2" t="s">
        <v>5827</v>
      </c>
      <c r="C222" s="2" t="s">
        <v>74</v>
      </c>
      <c r="D222" s="2" t="s">
        <v>74</v>
      </c>
      <c r="E222" s="2" t="s">
        <v>74</v>
      </c>
      <c r="F222" s="2" t="s">
        <v>5827</v>
      </c>
      <c r="G222" s="2" t="s">
        <v>74</v>
      </c>
      <c r="H222" s="2" t="s">
        <v>74</v>
      </c>
      <c r="I222" s="2" t="s">
        <v>5828</v>
      </c>
      <c r="J222" s="2" t="s">
        <v>5829</v>
      </c>
      <c r="K222" s="2" t="s">
        <v>74</v>
      </c>
      <c r="L222" s="2" t="s">
        <v>74</v>
      </c>
      <c r="M222" s="2" t="s">
        <v>74</v>
      </c>
      <c r="N222" s="2" t="s">
        <v>74</v>
      </c>
      <c r="O222" s="2" t="s">
        <v>74</v>
      </c>
      <c r="P222" s="2" t="s">
        <v>74</v>
      </c>
      <c r="Q222" s="2" t="s">
        <v>74</v>
      </c>
      <c r="R222" s="2" t="s">
        <v>74</v>
      </c>
      <c r="S222" s="2" t="s">
        <v>74</v>
      </c>
      <c r="T222" s="2" t="s">
        <v>74</v>
      </c>
      <c r="U222" s="2" t="s">
        <v>74</v>
      </c>
      <c r="V222" s="5" t="s">
        <v>5830</v>
      </c>
      <c r="W222" s="2" t="s">
        <v>74</v>
      </c>
      <c r="X222" s="2" t="s">
        <v>74</v>
      </c>
      <c r="Y222" s="2" t="s">
        <v>74</v>
      </c>
      <c r="Z222" s="2" t="s">
        <v>74</v>
      </c>
      <c r="AA222" s="2" t="s">
        <v>5831</v>
      </c>
      <c r="AB222" s="2" t="s">
        <v>5832</v>
      </c>
      <c r="AC222" s="2" t="s">
        <v>74</v>
      </c>
      <c r="AD222" s="2" t="s">
        <v>74</v>
      </c>
      <c r="AE222" s="2" t="s">
        <v>74</v>
      </c>
      <c r="AF222" s="2" t="s">
        <v>74</v>
      </c>
      <c r="AG222" s="2" t="s">
        <v>74</v>
      </c>
      <c r="AH222" s="2" t="s">
        <v>74</v>
      </c>
      <c r="AI222" s="2" t="s">
        <v>74</v>
      </c>
      <c r="AJ222" s="2" t="s">
        <v>74</v>
      </c>
      <c r="AK222" s="2" t="s">
        <v>74</v>
      </c>
      <c r="AL222" s="2" t="s">
        <v>74</v>
      </c>
      <c r="AM222" s="2" t="s">
        <v>74</v>
      </c>
      <c r="AN222" s="2" t="s">
        <v>74</v>
      </c>
      <c r="AO222" s="2" t="s">
        <v>5833</v>
      </c>
      <c r="AP222" s="2" t="s">
        <v>74</v>
      </c>
      <c r="AQ222" s="2" t="s">
        <v>74</v>
      </c>
      <c r="AR222" s="2" t="s">
        <v>74</v>
      </c>
      <c r="AS222" s="2" t="s">
        <v>74</v>
      </c>
      <c r="AT222" s="2" t="s">
        <v>633</v>
      </c>
      <c r="AU222" s="2">
        <v>1999</v>
      </c>
      <c r="AV222" s="2">
        <v>34</v>
      </c>
      <c r="AW222" s="2">
        <v>2</v>
      </c>
      <c r="AX222" s="2" t="s">
        <v>74</v>
      </c>
      <c r="AY222" s="2" t="s">
        <v>74</v>
      </c>
      <c r="AZ222" s="2" t="s">
        <v>74</v>
      </c>
      <c r="BA222" s="2" t="s">
        <v>74</v>
      </c>
      <c r="BB222" s="2">
        <v>48</v>
      </c>
      <c r="BC222" s="2">
        <v>52</v>
      </c>
      <c r="BD222" s="2" t="s">
        <v>74</v>
      </c>
      <c r="BE222" s="2" t="s">
        <v>74</v>
      </c>
      <c r="BF222" s="2" t="s">
        <v>74</v>
      </c>
      <c r="BG222" s="2" t="s">
        <v>74</v>
      </c>
      <c r="BH222" s="2" t="s">
        <v>74</v>
      </c>
      <c r="BI222" s="2" t="s">
        <v>74</v>
      </c>
      <c r="BJ222" s="2" t="s">
        <v>74</v>
      </c>
      <c r="BK222" s="2" t="s">
        <v>74</v>
      </c>
      <c r="BL222" s="2" t="s">
        <v>74</v>
      </c>
      <c r="BM222" s="2" t="s">
        <v>74</v>
      </c>
      <c r="BN222" s="2" t="s">
        <v>74</v>
      </c>
      <c r="BO222" s="2" t="s">
        <v>74</v>
      </c>
      <c r="BP222" s="2" t="s">
        <v>74</v>
      </c>
      <c r="BQ222" s="2" t="s">
        <v>74</v>
      </c>
      <c r="BR222" s="2" t="s">
        <v>74</v>
      </c>
      <c r="BS222" s="2" t="s">
        <v>5834</v>
      </c>
      <c r="BT222" s="2" t="str">
        <f>HYPERLINK("https%3A%2F%2Fwww.webofscience.com%2Fwos%2Fwoscc%2Ffull-record%2FWOS:000080718600002","View Full Record in Web of Science")</f>
        <v>View Full Record in Web of Science</v>
      </c>
    </row>
    <row r="223" spans="1:72" s="2" customFormat="1" x14ac:dyDescent="0.4">
      <c r="A223" s="2" t="s">
        <v>72</v>
      </c>
      <c r="B223" s="2" t="s">
        <v>8497</v>
      </c>
      <c r="C223" s="2" t="s">
        <v>74</v>
      </c>
      <c r="D223" s="2" t="s">
        <v>74</v>
      </c>
      <c r="E223" s="2" t="s">
        <v>74</v>
      </c>
      <c r="F223" s="2" t="s">
        <v>8498</v>
      </c>
      <c r="G223" s="2" t="s">
        <v>74</v>
      </c>
      <c r="H223" s="2" t="s">
        <v>74</v>
      </c>
      <c r="I223" s="2" t="s">
        <v>8499</v>
      </c>
      <c r="J223" s="2" t="s">
        <v>1656</v>
      </c>
      <c r="K223" s="2" t="s">
        <v>74</v>
      </c>
      <c r="L223" s="2" t="s">
        <v>74</v>
      </c>
      <c r="M223" s="2" t="s">
        <v>74</v>
      </c>
      <c r="N223" s="2" t="s">
        <v>74</v>
      </c>
      <c r="O223" s="2" t="s">
        <v>74</v>
      </c>
      <c r="P223" s="2" t="s">
        <v>74</v>
      </c>
      <c r="Q223" s="2" t="s">
        <v>74</v>
      </c>
      <c r="R223" s="2" t="s">
        <v>74</v>
      </c>
      <c r="S223" s="2" t="s">
        <v>74</v>
      </c>
      <c r="T223" s="2" t="s">
        <v>74</v>
      </c>
      <c r="U223" s="2" t="s">
        <v>74</v>
      </c>
      <c r="V223" s="5" t="s">
        <v>8500</v>
      </c>
      <c r="W223" s="2" t="s">
        <v>74</v>
      </c>
      <c r="X223" s="2" t="s">
        <v>74</v>
      </c>
      <c r="Y223" s="2" t="s">
        <v>74</v>
      </c>
      <c r="Z223" s="2" t="s">
        <v>74</v>
      </c>
      <c r="AA223" s="2" t="s">
        <v>8501</v>
      </c>
      <c r="AB223" s="2" t="s">
        <v>8502</v>
      </c>
      <c r="AC223" s="2" t="s">
        <v>74</v>
      </c>
      <c r="AD223" s="2" t="s">
        <v>74</v>
      </c>
      <c r="AE223" s="2" t="s">
        <v>74</v>
      </c>
      <c r="AF223" s="2" t="s">
        <v>74</v>
      </c>
      <c r="AG223" s="2" t="s">
        <v>74</v>
      </c>
      <c r="AH223" s="2" t="s">
        <v>74</v>
      </c>
      <c r="AI223" s="2" t="s">
        <v>74</v>
      </c>
      <c r="AJ223" s="2" t="s">
        <v>74</v>
      </c>
      <c r="AK223" s="2" t="s">
        <v>74</v>
      </c>
      <c r="AL223" s="2" t="s">
        <v>74</v>
      </c>
      <c r="AM223" s="2" t="s">
        <v>74</v>
      </c>
      <c r="AN223" s="2" t="s">
        <v>74</v>
      </c>
      <c r="AO223" s="2" t="s">
        <v>1658</v>
      </c>
      <c r="AP223" s="2" t="s">
        <v>1659</v>
      </c>
      <c r="AQ223" s="2" t="s">
        <v>74</v>
      </c>
      <c r="AR223" s="2" t="s">
        <v>74</v>
      </c>
      <c r="AS223" s="2" t="s">
        <v>74</v>
      </c>
      <c r="AT223" s="2" t="s">
        <v>5768</v>
      </c>
      <c r="AU223" s="2">
        <v>2011</v>
      </c>
      <c r="AV223" s="2" t="s">
        <v>74</v>
      </c>
      <c r="AW223" s="2">
        <v>3083</v>
      </c>
      <c r="AX223" s="2" t="s">
        <v>74</v>
      </c>
      <c r="AY223" s="2" t="s">
        <v>74</v>
      </c>
      <c r="AZ223" s="2" t="s">
        <v>74</v>
      </c>
      <c r="BA223" s="2" t="s">
        <v>74</v>
      </c>
      <c r="BB223" s="2">
        <v>1</v>
      </c>
      <c r="BC223" s="2">
        <v>120</v>
      </c>
      <c r="BD223" s="2" t="s">
        <v>74</v>
      </c>
      <c r="BE223" s="2" t="s">
        <v>74</v>
      </c>
      <c r="BF223" s="2" t="s">
        <v>74</v>
      </c>
      <c r="BG223" s="2" t="s">
        <v>74</v>
      </c>
      <c r="BH223" s="2" t="s">
        <v>74</v>
      </c>
      <c r="BI223" s="2" t="s">
        <v>74</v>
      </c>
      <c r="BJ223" s="2" t="s">
        <v>74</v>
      </c>
      <c r="BK223" s="2" t="s">
        <v>74</v>
      </c>
      <c r="BL223" s="2" t="s">
        <v>74</v>
      </c>
      <c r="BM223" s="2" t="s">
        <v>74</v>
      </c>
      <c r="BN223" s="2" t="s">
        <v>74</v>
      </c>
      <c r="BO223" s="2" t="s">
        <v>74</v>
      </c>
      <c r="BP223" s="2" t="s">
        <v>74</v>
      </c>
      <c r="BQ223" s="2" t="s">
        <v>74</v>
      </c>
      <c r="BR223" s="2" t="s">
        <v>74</v>
      </c>
      <c r="BS223" s="2" t="s">
        <v>8503</v>
      </c>
      <c r="BT223" s="2" t="str">
        <f>HYPERLINK("https%3A%2F%2Fwww.webofscience.com%2Fwos%2Fwoscc%2Ffull-record%2FWOS:000296876100001","View Full Record in Web of Science")</f>
        <v>View Full Record in Web of Science</v>
      </c>
    </row>
    <row r="224" spans="1:72" s="2" customFormat="1" x14ac:dyDescent="0.4">
      <c r="A224" s="2" t="s">
        <v>72</v>
      </c>
      <c r="B224" s="2" t="s">
        <v>2240</v>
      </c>
      <c r="C224" s="2" t="s">
        <v>74</v>
      </c>
      <c r="D224" s="2" t="s">
        <v>74</v>
      </c>
      <c r="E224" s="2" t="s">
        <v>74</v>
      </c>
      <c r="F224" s="2" t="s">
        <v>2240</v>
      </c>
      <c r="G224" s="2" t="s">
        <v>74</v>
      </c>
      <c r="H224" s="2" t="s">
        <v>74</v>
      </c>
      <c r="I224" s="2" t="s">
        <v>2241</v>
      </c>
      <c r="J224" s="2" t="s">
        <v>367</v>
      </c>
      <c r="K224" s="2" t="s">
        <v>74</v>
      </c>
      <c r="L224" s="2" t="s">
        <v>74</v>
      </c>
      <c r="M224" s="2" t="s">
        <v>74</v>
      </c>
      <c r="N224" s="2" t="s">
        <v>74</v>
      </c>
      <c r="O224" s="2" t="s">
        <v>74</v>
      </c>
      <c r="P224" s="2" t="s">
        <v>74</v>
      </c>
      <c r="Q224" s="2" t="s">
        <v>74</v>
      </c>
      <c r="R224" s="2" t="s">
        <v>74</v>
      </c>
      <c r="S224" s="2" t="s">
        <v>74</v>
      </c>
      <c r="T224" s="2" t="s">
        <v>74</v>
      </c>
      <c r="U224" s="2" t="s">
        <v>74</v>
      </c>
      <c r="V224" s="5" t="s">
        <v>2242</v>
      </c>
      <c r="W224" s="2" t="s">
        <v>74</v>
      </c>
      <c r="X224" s="2" t="s">
        <v>74</v>
      </c>
      <c r="Y224" s="2" t="s">
        <v>74</v>
      </c>
      <c r="Z224" s="2" t="s">
        <v>74</v>
      </c>
      <c r="AA224" s="2" t="s">
        <v>74</v>
      </c>
      <c r="AB224" s="2" t="s">
        <v>74</v>
      </c>
      <c r="AC224" s="2" t="s">
        <v>74</v>
      </c>
      <c r="AD224" s="2" t="s">
        <v>74</v>
      </c>
      <c r="AE224" s="2" t="s">
        <v>74</v>
      </c>
      <c r="AF224" s="2" t="s">
        <v>74</v>
      </c>
      <c r="AG224" s="2" t="s">
        <v>74</v>
      </c>
      <c r="AH224" s="2" t="s">
        <v>74</v>
      </c>
      <c r="AI224" s="2" t="s">
        <v>74</v>
      </c>
      <c r="AJ224" s="2" t="s">
        <v>74</v>
      </c>
      <c r="AK224" s="2" t="s">
        <v>74</v>
      </c>
      <c r="AL224" s="2" t="s">
        <v>74</v>
      </c>
      <c r="AM224" s="2" t="s">
        <v>74</v>
      </c>
      <c r="AN224" s="2" t="s">
        <v>74</v>
      </c>
      <c r="AO224" s="2" t="s">
        <v>371</v>
      </c>
      <c r="AP224" s="2" t="s">
        <v>74</v>
      </c>
      <c r="AQ224" s="2" t="s">
        <v>74</v>
      </c>
      <c r="AR224" s="2" t="s">
        <v>74</v>
      </c>
      <c r="AS224" s="2" t="s">
        <v>74</v>
      </c>
      <c r="AT224" s="2" t="s">
        <v>352</v>
      </c>
      <c r="AU224" s="2">
        <v>1992</v>
      </c>
      <c r="AV224" s="2">
        <v>106</v>
      </c>
      <c r="AW224" s="2">
        <v>3</v>
      </c>
      <c r="AX224" s="2" t="s">
        <v>74</v>
      </c>
      <c r="AY224" s="2" t="s">
        <v>74</v>
      </c>
      <c r="AZ224" s="2" t="s">
        <v>74</v>
      </c>
      <c r="BA224" s="2" t="s">
        <v>74</v>
      </c>
      <c r="BB224" s="2">
        <v>203</v>
      </c>
      <c r="BC224" s="2">
        <v>216</v>
      </c>
      <c r="BD224" s="2" t="s">
        <v>74</v>
      </c>
      <c r="BE224" s="2" t="s">
        <v>2243</v>
      </c>
      <c r="BF224" s="2" t="str">
        <f>HYPERLINK("http://dx.doi.org/10.1037/0735-7036.106.3.203","http://dx.doi.org/10.1037/0735-7036.106.3.203")</f>
        <v>http://dx.doi.org/10.1037/0735-7036.106.3.203</v>
      </c>
      <c r="BG224" s="2" t="s">
        <v>74</v>
      </c>
      <c r="BH224" s="2" t="s">
        <v>74</v>
      </c>
      <c r="BI224" s="2" t="s">
        <v>74</v>
      </c>
      <c r="BJ224" s="2" t="s">
        <v>74</v>
      </c>
      <c r="BK224" s="2" t="s">
        <v>74</v>
      </c>
      <c r="BL224" s="2" t="s">
        <v>74</v>
      </c>
      <c r="BM224" s="2" t="s">
        <v>74</v>
      </c>
      <c r="BN224" s="2">
        <v>1395490</v>
      </c>
      <c r="BO224" s="2" t="s">
        <v>74</v>
      </c>
      <c r="BP224" s="2" t="s">
        <v>74</v>
      </c>
      <c r="BQ224" s="2" t="s">
        <v>74</v>
      </c>
      <c r="BR224" s="2" t="s">
        <v>74</v>
      </c>
      <c r="BS224" s="2" t="s">
        <v>2244</v>
      </c>
      <c r="BT224" s="2" t="str">
        <f>HYPERLINK("https%3A%2F%2Fwww.webofscience.com%2Fwos%2Fwoscc%2Ffull-record%2FWOS:A1992JK69600001","View Full Record in Web of Science")</f>
        <v>View Full Record in Web of Science</v>
      </c>
    </row>
    <row r="225" spans="1:72" s="2" customFormat="1" x14ac:dyDescent="0.4">
      <c r="A225" s="2" t="s">
        <v>72</v>
      </c>
      <c r="B225" s="2" t="s">
        <v>2879</v>
      </c>
      <c r="C225" s="2" t="s">
        <v>74</v>
      </c>
      <c r="D225" s="2" t="s">
        <v>74</v>
      </c>
      <c r="E225" s="2" t="s">
        <v>74</v>
      </c>
      <c r="F225" s="2" t="s">
        <v>2879</v>
      </c>
      <c r="G225" s="2" t="s">
        <v>74</v>
      </c>
      <c r="H225" s="2" t="s">
        <v>74</v>
      </c>
      <c r="I225" s="2" t="s">
        <v>2880</v>
      </c>
      <c r="J225" s="2" t="s">
        <v>1526</v>
      </c>
      <c r="K225" s="2" t="s">
        <v>74</v>
      </c>
      <c r="L225" s="2" t="s">
        <v>74</v>
      </c>
      <c r="M225" s="2" t="s">
        <v>74</v>
      </c>
      <c r="N225" s="2" t="s">
        <v>74</v>
      </c>
      <c r="O225" s="2" t="s">
        <v>74</v>
      </c>
      <c r="P225" s="2" t="s">
        <v>74</v>
      </c>
      <c r="Q225" s="2" t="s">
        <v>74</v>
      </c>
      <c r="R225" s="2" t="s">
        <v>74</v>
      </c>
      <c r="S225" s="2" t="s">
        <v>74</v>
      </c>
      <c r="T225" s="2" t="s">
        <v>74</v>
      </c>
      <c r="U225" s="2" t="s">
        <v>74</v>
      </c>
      <c r="V225" s="5" t="s">
        <v>2881</v>
      </c>
      <c r="W225" s="2" t="s">
        <v>74</v>
      </c>
      <c r="X225" s="2" t="s">
        <v>74</v>
      </c>
      <c r="Y225" s="2" t="s">
        <v>74</v>
      </c>
      <c r="Z225" s="2" t="s">
        <v>74</v>
      </c>
      <c r="AA225" s="2" t="s">
        <v>2882</v>
      </c>
      <c r="AB225" s="2" t="s">
        <v>2883</v>
      </c>
      <c r="AC225" s="2" t="s">
        <v>74</v>
      </c>
      <c r="AD225" s="2" t="s">
        <v>74</v>
      </c>
      <c r="AE225" s="2" t="s">
        <v>74</v>
      </c>
      <c r="AF225" s="2" t="s">
        <v>74</v>
      </c>
      <c r="AG225" s="2" t="s">
        <v>74</v>
      </c>
      <c r="AH225" s="2" t="s">
        <v>74</v>
      </c>
      <c r="AI225" s="2" t="s">
        <v>74</v>
      </c>
      <c r="AJ225" s="2" t="s">
        <v>74</v>
      </c>
      <c r="AK225" s="2" t="s">
        <v>74</v>
      </c>
      <c r="AL225" s="2" t="s">
        <v>74</v>
      </c>
      <c r="AM225" s="2" t="s">
        <v>74</v>
      </c>
      <c r="AN225" s="2" t="s">
        <v>74</v>
      </c>
      <c r="AO225" s="2" t="s">
        <v>1528</v>
      </c>
      <c r="AP225" s="2" t="s">
        <v>74</v>
      </c>
      <c r="AQ225" s="2" t="s">
        <v>74</v>
      </c>
      <c r="AR225" s="2" t="s">
        <v>74</v>
      </c>
      <c r="AS225" s="2" t="s">
        <v>74</v>
      </c>
      <c r="AT225" s="2" t="s">
        <v>134</v>
      </c>
      <c r="AU225" s="2">
        <v>2001</v>
      </c>
      <c r="AV225" s="2">
        <v>103</v>
      </c>
      <c r="AW225" s="2">
        <v>2</v>
      </c>
      <c r="AX225" s="2" t="s">
        <v>74</v>
      </c>
      <c r="AY225" s="2" t="s">
        <v>74</v>
      </c>
      <c r="AZ225" s="2" t="s">
        <v>74</v>
      </c>
      <c r="BA225" s="2" t="s">
        <v>74</v>
      </c>
      <c r="BB225" s="2">
        <v>248</v>
      </c>
      <c r="BC225" s="2">
        <v>258</v>
      </c>
      <c r="BD225" s="2" t="s">
        <v>74</v>
      </c>
      <c r="BE225" s="2" t="s">
        <v>2884</v>
      </c>
      <c r="BF225" s="2" t="str">
        <f>HYPERLINK("http://dx.doi.org/10.1650/0010-5422(2001)103[0248:PRIBMP]2.0.CO;2","http://dx.doi.org/10.1650/0010-5422(2001)103[0248:PRIBMP]2.0.CO;2")</f>
        <v>http://dx.doi.org/10.1650/0010-5422(2001)103[0248:PRIBMP]2.0.CO;2</v>
      </c>
      <c r="BG225" s="2" t="s">
        <v>74</v>
      </c>
      <c r="BH225" s="2" t="s">
        <v>74</v>
      </c>
      <c r="BI225" s="2" t="s">
        <v>74</v>
      </c>
      <c r="BJ225" s="2" t="s">
        <v>74</v>
      </c>
      <c r="BK225" s="2" t="s">
        <v>74</v>
      </c>
      <c r="BL225" s="2" t="s">
        <v>74</v>
      </c>
      <c r="BM225" s="2" t="s">
        <v>74</v>
      </c>
      <c r="BN225" s="2" t="s">
        <v>74</v>
      </c>
      <c r="BO225" s="2" t="s">
        <v>74</v>
      </c>
      <c r="BP225" s="2" t="s">
        <v>74</v>
      </c>
      <c r="BQ225" s="2" t="s">
        <v>74</v>
      </c>
      <c r="BR225" s="2" t="s">
        <v>74</v>
      </c>
      <c r="BS225" s="2" t="s">
        <v>2885</v>
      </c>
      <c r="BT225" s="2" t="str">
        <f>HYPERLINK("https%3A%2F%2Fwww.webofscience.com%2Fwos%2Fwoscc%2Ffull-record%2FWOS:000168569600005","View Full Record in Web of Science")</f>
        <v>View Full Record in Web of Science</v>
      </c>
    </row>
    <row r="226" spans="1:72" s="2" customFormat="1" x14ac:dyDescent="0.4">
      <c r="A226" s="2" t="s">
        <v>72</v>
      </c>
      <c r="B226" s="2" t="s">
        <v>1069</v>
      </c>
      <c r="C226" s="2" t="s">
        <v>74</v>
      </c>
      <c r="D226" s="2" t="s">
        <v>74</v>
      </c>
      <c r="E226" s="2" t="s">
        <v>74</v>
      </c>
      <c r="F226" s="2" t="s">
        <v>1070</v>
      </c>
      <c r="G226" s="2" t="s">
        <v>74</v>
      </c>
      <c r="H226" s="2" t="s">
        <v>74</v>
      </c>
      <c r="I226" s="2" t="s">
        <v>1071</v>
      </c>
      <c r="J226" s="2" t="s">
        <v>229</v>
      </c>
      <c r="K226" s="2" t="s">
        <v>74</v>
      </c>
      <c r="L226" s="2" t="s">
        <v>74</v>
      </c>
      <c r="M226" s="2" t="s">
        <v>74</v>
      </c>
      <c r="N226" s="2" t="s">
        <v>74</v>
      </c>
      <c r="O226" s="2" t="s">
        <v>74</v>
      </c>
      <c r="P226" s="2" t="s">
        <v>74</v>
      </c>
      <c r="Q226" s="2" t="s">
        <v>74</v>
      </c>
      <c r="R226" s="2" t="s">
        <v>74</v>
      </c>
      <c r="S226" s="2" t="s">
        <v>74</v>
      </c>
      <c r="T226" s="2" t="s">
        <v>74</v>
      </c>
      <c r="U226" s="2" t="s">
        <v>74</v>
      </c>
      <c r="V226" s="5" t="s">
        <v>1072</v>
      </c>
      <c r="W226" s="2" t="s">
        <v>74</v>
      </c>
      <c r="X226" s="2" t="s">
        <v>74</v>
      </c>
      <c r="Y226" s="2" t="s">
        <v>74</v>
      </c>
      <c r="Z226" s="2" t="s">
        <v>74</v>
      </c>
      <c r="AA226" s="2" t="s">
        <v>1073</v>
      </c>
      <c r="AB226" s="2" t="s">
        <v>1074</v>
      </c>
      <c r="AC226" s="2" t="s">
        <v>74</v>
      </c>
      <c r="AD226" s="2" t="s">
        <v>74</v>
      </c>
      <c r="AE226" s="2" t="s">
        <v>74</v>
      </c>
      <c r="AF226" s="2" t="s">
        <v>74</v>
      </c>
      <c r="AG226" s="2" t="s">
        <v>74</v>
      </c>
      <c r="AH226" s="2" t="s">
        <v>74</v>
      </c>
      <c r="AI226" s="2" t="s">
        <v>74</v>
      </c>
      <c r="AJ226" s="2" t="s">
        <v>74</v>
      </c>
      <c r="AK226" s="2" t="s">
        <v>74</v>
      </c>
      <c r="AL226" s="2" t="s">
        <v>74</v>
      </c>
      <c r="AM226" s="2" t="s">
        <v>74</v>
      </c>
      <c r="AN226" s="2" t="s">
        <v>74</v>
      </c>
      <c r="AO226" s="2" t="s">
        <v>233</v>
      </c>
      <c r="AP226" s="2" t="s">
        <v>234</v>
      </c>
      <c r="AQ226" s="2" t="s">
        <v>74</v>
      </c>
      <c r="AR226" s="2" t="s">
        <v>74</v>
      </c>
      <c r="AS226" s="2" t="s">
        <v>74</v>
      </c>
      <c r="AT226" s="2" t="s">
        <v>1075</v>
      </c>
      <c r="AU226" s="2">
        <v>2018</v>
      </c>
      <c r="AV226" s="2">
        <v>44</v>
      </c>
      <c r="AW226" s="2">
        <v>6</v>
      </c>
      <c r="AX226" s="2" t="s">
        <v>74</v>
      </c>
      <c r="AY226" s="2" t="s">
        <v>74</v>
      </c>
      <c r="AZ226" s="2" t="s">
        <v>74</v>
      </c>
      <c r="BA226" s="2" t="s">
        <v>74</v>
      </c>
      <c r="BB226" s="2">
        <v>624</v>
      </c>
      <c r="BC226" s="2">
        <v>637</v>
      </c>
      <c r="BD226" s="2" t="s">
        <v>74</v>
      </c>
      <c r="BE226" s="2" t="s">
        <v>1076</v>
      </c>
      <c r="BF226" s="2" t="str">
        <f>HYPERLINK("http://dx.doi.org/10.1002/ab.21787","http://dx.doi.org/10.1002/ab.21787")</f>
        <v>http://dx.doi.org/10.1002/ab.21787</v>
      </c>
      <c r="BG226" s="2" t="s">
        <v>74</v>
      </c>
      <c r="BH226" s="2" t="s">
        <v>74</v>
      </c>
      <c r="BI226" s="2" t="s">
        <v>74</v>
      </c>
      <c r="BJ226" s="2" t="s">
        <v>74</v>
      </c>
      <c r="BK226" s="2" t="s">
        <v>74</v>
      </c>
      <c r="BL226" s="2" t="s">
        <v>74</v>
      </c>
      <c r="BM226" s="2" t="s">
        <v>74</v>
      </c>
      <c r="BN226" s="2">
        <v>30141188</v>
      </c>
      <c r="BO226" s="2" t="s">
        <v>74</v>
      </c>
      <c r="BP226" s="2" t="s">
        <v>74</v>
      </c>
      <c r="BQ226" s="2" t="s">
        <v>74</v>
      </c>
      <c r="BR226" s="2" t="s">
        <v>74</v>
      </c>
      <c r="BS226" s="2" t="s">
        <v>1077</v>
      </c>
      <c r="BT226" s="2" t="str">
        <f>HYPERLINK("https%3A%2F%2Fwww.webofscience.com%2Fwos%2Fwoscc%2Ffull-record%2FWOS:000446552400008","View Full Record in Web of Science")</f>
        <v>View Full Record in Web of Science</v>
      </c>
    </row>
    <row r="227" spans="1:72" s="2" customFormat="1" x14ac:dyDescent="0.4">
      <c r="A227" s="2" t="s">
        <v>72</v>
      </c>
      <c r="B227" s="2" t="s">
        <v>2601</v>
      </c>
      <c r="C227" s="2" t="s">
        <v>74</v>
      </c>
      <c r="D227" s="2" t="s">
        <v>74</v>
      </c>
      <c r="E227" s="2" t="s">
        <v>74</v>
      </c>
      <c r="F227" s="2" t="s">
        <v>2601</v>
      </c>
      <c r="G227" s="2" t="s">
        <v>74</v>
      </c>
      <c r="H227" s="2" t="s">
        <v>74</v>
      </c>
      <c r="I227" s="2" t="s">
        <v>2602</v>
      </c>
      <c r="J227" s="2" t="s">
        <v>281</v>
      </c>
      <c r="K227" s="2" t="s">
        <v>74</v>
      </c>
      <c r="L227" s="2" t="s">
        <v>74</v>
      </c>
      <c r="M227" s="2" t="s">
        <v>74</v>
      </c>
      <c r="N227" s="2" t="s">
        <v>74</v>
      </c>
      <c r="O227" s="2" t="s">
        <v>74</v>
      </c>
      <c r="P227" s="2" t="s">
        <v>74</v>
      </c>
      <c r="Q227" s="2" t="s">
        <v>74</v>
      </c>
      <c r="R227" s="2" t="s">
        <v>74</v>
      </c>
      <c r="S227" s="2" t="s">
        <v>74</v>
      </c>
      <c r="T227" s="2" t="s">
        <v>74</v>
      </c>
      <c r="U227" s="2" t="s">
        <v>74</v>
      </c>
      <c r="V227" s="5" t="s">
        <v>2603</v>
      </c>
      <c r="W227" s="2" t="s">
        <v>74</v>
      </c>
      <c r="X227" s="2" t="s">
        <v>74</v>
      </c>
      <c r="Y227" s="2" t="s">
        <v>74</v>
      </c>
      <c r="Z227" s="2" t="s">
        <v>74</v>
      </c>
      <c r="AA227" s="2" t="s">
        <v>2604</v>
      </c>
      <c r="AB227" s="2" t="s">
        <v>2605</v>
      </c>
      <c r="AC227" s="2" t="s">
        <v>74</v>
      </c>
      <c r="AD227" s="2" t="s">
        <v>74</v>
      </c>
      <c r="AE227" s="2" t="s">
        <v>74</v>
      </c>
      <c r="AF227" s="2" t="s">
        <v>74</v>
      </c>
      <c r="AG227" s="2" t="s">
        <v>74</v>
      </c>
      <c r="AH227" s="2" t="s">
        <v>74</v>
      </c>
      <c r="AI227" s="2" t="s">
        <v>74</v>
      </c>
      <c r="AJ227" s="2" t="s">
        <v>74</v>
      </c>
      <c r="AK227" s="2" t="s">
        <v>74</v>
      </c>
      <c r="AL227" s="2" t="s">
        <v>74</v>
      </c>
      <c r="AM227" s="2" t="s">
        <v>74</v>
      </c>
      <c r="AN227" s="2" t="s">
        <v>74</v>
      </c>
      <c r="AO227" s="2" t="s">
        <v>285</v>
      </c>
      <c r="AP227" s="2" t="s">
        <v>286</v>
      </c>
      <c r="AQ227" s="2" t="s">
        <v>74</v>
      </c>
      <c r="AR227" s="2" t="s">
        <v>74</v>
      </c>
      <c r="AS227" s="2" t="s">
        <v>74</v>
      </c>
      <c r="AT227" s="2" t="s">
        <v>633</v>
      </c>
      <c r="AU227" s="2">
        <v>2004</v>
      </c>
      <c r="AV227" s="2">
        <v>7</v>
      </c>
      <c r="AW227" s="2">
        <v>2</v>
      </c>
      <c r="AX227" s="2" t="s">
        <v>74</v>
      </c>
      <c r="AY227" s="2" t="s">
        <v>74</v>
      </c>
      <c r="AZ227" s="2" t="s">
        <v>74</v>
      </c>
      <c r="BA227" s="2" t="s">
        <v>74</v>
      </c>
      <c r="BB227" s="2">
        <v>69</v>
      </c>
      <c r="BC227" s="2">
        <v>76</v>
      </c>
      <c r="BD227" s="2" t="s">
        <v>74</v>
      </c>
      <c r="BE227" s="2" t="s">
        <v>2606</v>
      </c>
      <c r="BF227" s="2" t="str">
        <f>HYPERLINK("http://dx.doi.org/10.1007/s10071-003-0189-4","http://dx.doi.org/10.1007/s10071-003-0189-4")</f>
        <v>http://dx.doi.org/10.1007/s10071-003-0189-4</v>
      </c>
      <c r="BG227" s="2" t="s">
        <v>74</v>
      </c>
      <c r="BH227" s="2" t="s">
        <v>74</v>
      </c>
      <c r="BI227" s="2" t="s">
        <v>74</v>
      </c>
      <c r="BJ227" s="2" t="s">
        <v>74</v>
      </c>
      <c r="BK227" s="2" t="s">
        <v>74</v>
      </c>
      <c r="BL227" s="2" t="s">
        <v>74</v>
      </c>
      <c r="BM227" s="2" t="s">
        <v>74</v>
      </c>
      <c r="BN227" s="2">
        <v>15069605</v>
      </c>
      <c r="BO227" s="2" t="s">
        <v>74</v>
      </c>
      <c r="BP227" s="2" t="s">
        <v>74</v>
      </c>
      <c r="BQ227" s="2" t="s">
        <v>74</v>
      </c>
      <c r="BR227" s="2" t="s">
        <v>74</v>
      </c>
      <c r="BS227" s="2" t="s">
        <v>2607</v>
      </c>
      <c r="BT227" s="2" t="str">
        <f>HYPERLINK("https%3A%2F%2Fwww.webofscience.com%2Fwos%2Fwoscc%2Ffull-record%2FWOS:000221649900001","View Full Record in Web of Science")</f>
        <v>View Full Record in Web of Science</v>
      </c>
    </row>
    <row r="228" spans="1:72" s="2" customFormat="1" x14ac:dyDescent="0.4">
      <c r="A228" s="2" t="s">
        <v>72</v>
      </c>
      <c r="B228" s="2" t="s">
        <v>6542</v>
      </c>
      <c r="C228" s="2" t="s">
        <v>74</v>
      </c>
      <c r="D228" s="2" t="s">
        <v>74</v>
      </c>
      <c r="E228" s="2" t="s">
        <v>74</v>
      </c>
      <c r="F228" s="2" t="s">
        <v>6543</v>
      </c>
      <c r="G228" s="2" t="s">
        <v>74</v>
      </c>
      <c r="H228" s="2" t="s">
        <v>74</v>
      </c>
      <c r="I228" s="2" t="s">
        <v>6544</v>
      </c>
      <c r="J228" s="2" t="s">
        <v>970</v>
      </c>
      <c r="K228" s="2" t="s">
        <v>74</v>
      </c>
      <c r="L228" s="2" t="s">
        <v>74</v>
      </c>
      <c r="M228" s="2" t="s">
        <v>74</v>
      </c>
      <c r="N228" s="2" t="s">
        <v>74</v>
      </c>
      <c r="O228" s="2" t="s">
        <v>74</v>
      </c>
      <c r="P228" s="2" t="s">
        <v>74</v>
      </c>
      <c r="Q228" s="2" t="s">
        <v>74</v>
      </c>
      <c r="R228" s="2" t="s">
        <v>74</v>
      </c>
      <c r="S228" s="2" t="s">
        <v>74</v>
      </c>
      <c r="T228" s="2" t="s">
        <v>74</v>
      </c>
      <c r="U228" s="2" t="s">
        <v>74</v>
      </c>
      <c r="V228" s="5" t="s">
        <v>6545</v>
      </c>
      <c r="W228" s="2" t="s">
        <v>74</v>
      </c>
      <c r="X228" s="2" t="s">
        <v>74</v>
      </c>
      <c r="Y228" s="2" t="s">
        <v>74</v>
      </c>
      <c r="Z228" s="2" t="s">
        <v>74</v>
      </c>
      <c r="AA228" s="2" t="s">
        <v>6546</v>
      </c>
      <c r="AB228" s="2" t="s">
        <v>6547</v>
      </c>
      <c r="AC228" s="2" t="s">
        <v>74</v>
      </c>
      <c r="AD228" s="2" t="s">
        <v>74</v>
      </c>
      <c r="AE228" s="2" t="s">
        <v>74</v>
      </c>
      <c r="AF228" s="2" t="s">
        <v>74</v>
      </c>
      <c r="AG228" s="2" t="s">
        <v>74</v>
      </c>
      <c r="AH228" s="2" t="s">
        <v>74</v>
      </c>
      <c r="AI228" s="2" t="s">
        <v>74</v>
      </c>
      <c r="AJ228" s="2" t="s">
        <v>74</v>
      </c>
      <c r="AK228" s="2" t="s">
        <v>74</v>
      </c>
      <c r="AL228" s="2" t="s">
        <v>74</v>
      </c>
      <c r="AM228" s="2" t="s">
        <v>74</v>
      </c>
      <c r="AN228" s="2" t="s">
        <v>74</v>
      </c>
      <c r="AO228" s="2" t="s">
        <v>974</v>
      </c>
      <c r="AP228" s="2" t="s">
        <v>975</v>
      </c>
      <c r="AQ228" s="2" t="s">
        <v>74</v>
      </c>
      <c r="AR228" s="2" t="s">
        <v>74</v>
      </c>
      <c r="AS228" s="2" t="s">
        <v>74</v>
      </c>
      <c r="AT228" s="2" t="s">
        <v>633</v>
      </c>
      <c r="AU228" s="2">
        <v>2020</v>
      </c>
      <c r="AV228" s="2">
        <v>161</v>
      </c>
      <c r="AW228" s="2">
        <v>2</v>
      </c>
      <c r="AX228" s="2" t="s">
        <v>74</v>
      </c>
      <c r="AY228" s="2" t="s">
        <v>74</v>
      </c>
      <c r="AZ228" s="2" t="s">
        <v>74</v>
      </c>
      <c r="BA228" s="2" t="s">
        <v>74</v>
      </c>
      <c r="BB228" s="2">
        <v>341</v>
      </c>
      <c r="BC228" s="2">
        <v>350</v>
      </c>
      <c r="BD228" s="2" t="s">
        <v>74</v>
      </c>
      <c r="BE228" s="2" t="s">
        <v>6548</v>
      </c>
      <c r="BF228" s="2" t="str">
        <f>HYPERLINK("http://dx.doi.org/10.1007/s10336-019-01730-2","http://dx.doi.org/10.1007/s10336-019-01730-2")</f>
        <v>http://dx.doi.org/10.1007/s10336-019-01730-2</v>
      </c>
      <c r="BG228" s="2" t="s">
        <v>74</v>
      </c>
      <c r="BH228" s="2" t="s">
        <v>2283</v>
      </c>
      <c r="BI228" s="2" t="s">
        <v>74</v>
      </c>
      <c r="BJ228" s="2" t="s">
        <v>74</v>
      </c>
      <c r="BK228" s="2" t="s">
        <v>74</v>
      </c>
      <c r="BL228" s="2" t="s">
        <v>74</v>
      </c>
      <c r="BM228" s="2" t="s">
        <v>74</v>
      </c>
      <c r="BN228" s="2" t="s">
        <v>74</v>
      </c>
      <c r="BO228" s="2" t="s">
        <v>74</v>
      </c>
      <c r="BP228" s="2" t="s">
        <v>74</v>
      </c>
      <c r="BQ228" s="2" t="s">
        <v>74</v>
      </c>
      <c r="BR228" s="2" t="s">
        <v>74</v>
      </c>
      <c r="BS228" s="2" t="s">
        <v>6549</v>
      </c>
      <c r="BT228" s="2" t="str">
        <f>HYPERLINK("https%3A%2F%2Fwww.webofscience.com%2Fwos%2Fwoscc%2Ffull-record%2FWOS:000493944300001","View Full Record in Web of Science")</f>
        <v>View Full Record in Web of Science</v>
      </c>
    </row>
    <row r="229" spans="1:72" s="2" customFormat="1" x14ac:dyDescent="0.4">
      <c r="A229" s="2" t="s">
        <v>72</v>
      </c>
      <c r="B229" s="2" t="s">
        <v>7896</v>
      </c>
      <c r="C229" s="2" t="s">
        <v>74</v>
      </c>
      <c r="D229" s="2" t="s">
        <v>74</v>
      </c>
      <c r="E229" s="2" t="s">
        <v>74</v>
      </c>
      <c r="F229" s="2" t="s">
        <v>7897</v>
      </c>
      <c r="G229" s="2" t="s">
        <v>74</v>
      </c>
      <c r="H229" s="2" t="s">
        <v>74</v>
      </c>
      <c r="I229" s="2" t="s">
        <v>7898</v>
      </c>
      <c r="J229" s="2" t="s">
        <v>842</v>
      </c>
      <c r="K229" s="2" t="s">
        <v>74</v>
      </c>
      <c r="L229" s="2" t="s">
        <v>74</v>
      </c>
      <c r="M229" s="2" t="s">
        <v>74</v>
      </c>
      <c r="N229" s="2" t="s">
        <v>74</v>
      </c>
      <c r="O229" s="2" t="s">
        <v>74</v>
      </c>
      <c r="P229" s="2" t="s">
        <v>74</v>
      </c>
      <c r="Q229" s="2" t="s">
        <v>74</v>
      </c>
      <c r="R229" s="2" t="s">
        <v>74</v>
      </c>
      <c r="S229" s="2" t="s">
        <v>74</v>
      </c>
      <c r="T229" s="2" t="s">
        <v>74</v>
      </c>
      <c r="U229" s="2" t="s">
        <v>74</v>
      </c>
      <c r="V229" s="5" t="s">
        <v>7899</v>
      </c>
      <c r="W229" s="2" t="s">
        <v>74</v>
      </c>
      <c r="X229" s="2" t="s">
        <v>74</v>
      </c>
      <c r="Y229" s="2" t="s">
        <v>74</v>
      </c>
      <c r="Z229" s="2" t="s">
        <v>74</v>
      </c>
      <c r="AA229" s="2" t="s">
        <v>7900</v>
      </c>
      <c r="AB229" s="2" t="s">
        <v>74</v>
      </c>
      <c r="AC229" s="2" t="s">
        <v>74</v>
      </c>
      <c r="AD229" s="2" t="s">
        <v>74</v>
      </c>
      <c r="AE229" s="2" t="s">
        <v>74</v>
      </c>
      <c r="AF229" s="2" t="s">
        <v>74</v>
      </c>
      <c r="AG229" s="2" t="s">
        <v>74</v>
      </c>
      <c r="AH229" s="2" t="s">
        <v>74</v>
      </c>
      <c r="AI229" s="2" t="s">
        <v>74</v>
      </c>
      <c r="AJ229" s="2" t="s">
        <v>74</v>
      </c>
      <c r="AK229" s="2" t="s">
        <v>74</v>
      </c>
      <c r="AL229" s="2" t="s">
        <v>74</v>
      </c>
      <c r="AM229" s="2" t="s">
        <v>74</v>
      </c>
      <c r="AN229" s="2" t="s">
        <v>74</v>
      </c>
      <c r="AO229" s="2" t="s">
        <v>846</v>
      </c>
      <c r="AP229" s="2" t="s">
        <v>847</v>
      </c>
      <c r="AQ229" s="2" t="s">
        <v>74</v>
      </c>
      <c r="AR229" s="2" t="s">
        <v>74</v>
      </c>
      <c r="AS229" s="2" t="s">
        <v>74</v>
      </c>
      <c r="AT229" s="2" t="s">
        <v>305</v>
      </c>
      <c r="AU229" s="2">
        <v>2017</v>
      </c>
      <c r="AV229" s="2">
        <v>79</v>
      </c>
      <c r="AW229" s="2">
        <v>12</v>
      </c>
      <c r="AX229" s="2" t="s">
        <v>74</v>
      </c>
      <c r="AY229" s="2" t="s">
        <v>74</v>
      </c>
      <c r="AZ229" s="2" t="s">
        <v>74</v>
      </c>
      <c r="BA229" s="2" t="s">
        <v>74</v>
      </c>
      <c r="BB229" s="2" t="s">
        <v>74</v>
      </c>
      <c r="BC229" s="2" t="s">
        <v>74</v>
      </c>
      <c r="BD229" s="2" t="s">
        <v>7901</v>
      </c>
      <c r="BE229" s="2" t="s">
        <v>7902</v>
      </c>
      <c r="BF229" s="2" t="str">
        <f>HYPERLINK("http://dx.doi.org/10.1002/ajp.22726","http://dx.doi.org/10.1002/ajp.22726")</f>
        <v>http://dx.doi.org/10.1002/ajp.22726</v>
      </c>
      <c r="BG229" s="2" t="s">
        <v>74</v>
      </c>
      <c r="BH229" s="2" t="s">
        <v>74</v>
      </c>
      <c r="BI229" s="2" t="s">
        <v>74</v>
      </c>
      <c r="BJ229" s="2" t="s">
        <v>74</v>
      </c>
      <c r="BK229" s="2" t="s">
        <v>74</v>
      </c>
      <c r="BL229" s="2" t="s">
        <v>74</v>
      </c>
      <c r="BM229" s="2" t="s">
        <v>74</v>
      </c>
      <c r="BN229" s="2">
        <v>29095514</v>
      </c>
      <c r="BO229" s="2" t="s">
        <v>74</v>
      </c>
      <c r="BP229" s="2" t="s">
        <v>74</v>
      </c>
      <c r="BQ229" s="2" t="s">
        <v>74</v>
      </c>
      <c r="BR229" s="2" t="s">
        <v>74</v>
      </c>
      <c r="BS229" s="2" t="s">
        <v>7903</v>
      </c>
      <c r="BT229" s="2" t="str">
        <f>HYPERLINK("https%3A%2F%2Fwww.webofscience.com%2Fwos%2Fwoscc%2Ffull-record%2FWOS:000417173400004","View Full Record in Web of Science")</f>
        <v>View Full Record in Web of Science</v>
      </c>
    </row>
    <row r="230" spans="1:72" s="2" customFormat="1" x14ac:dyDescent="0.4">
      <c r="A230" s="2" t="s">
        <v>72</v>
      </c>
      <c r="B230" s="2" t="s">
        <v>662</v>
      </c>
      <c r="C230" s="2" t="s">
        <v>74</v>
      </c>
      <c r="D230" s="2" t="s">
        <v>74</v>
      </c>
      <c r="E230" s="2" t="s">
        <v>74</v>
      </c>
      <c r="F230" s="2" t="s">
        <v>662</v>
      </c>
      <c r="G230" s="2" t="s">
        <v>74</v>
      </c>
      <c r="H230" s="2" t="s">
        <v>74</v>
      </c>
      <c r="I230" s="2" t="s">
        <v>663</v>
      </c>
      <c r="J230" s="2" t="s">
        <v>140</v>
      </c>
      <c r="K230" s="2" t="s">
        <v>74</v>
      </c>
      <c r="L230" s="2" t="s">
        <v>74</v>
      </c>
      <c r="M230" s="2" t="s">
        <v>74</v>
      </c>
      <c r="N230" s="2" t="s">
        <v>74</v>
      </c>
      <c r="O230" s="2" t="s">
        <v>74</v>
      </c>
      <c r="P230" s="2" t="s">
        <v>74</v>
      </c>
      <c r="Q230" s="2" t="s">
        <v>74</v>
      </c>
      <c r="R230" s="2" t="s">
        <v>74</v>
      </c>
      <c r="S230" s="2" t="s">
        <v>74</v>
      </c>
      <c r="T230" s="2" t="s">
        <v>74</v>
      </c>
      <c r="U230" s="2" t="s">
        <v>74</v>
      </c>
      <c r="V230" s="5" t="s">
        <v>664</v>
      </c>
      <c r="W230" s="2" t="s">
        <v>74</v>
      </c>
      <c r="X230" s="2" t="s">
        <v>74</v>
      </c>
      <c r="Y230" s="2" t="s">
        <v>74</v>
      </c>
      <c r="Z230" s="2" t="s">
        <v>74</v>
      </c>
      <c r="AA230" s="2" t="s">
        <v>665</v>
      </c>
      <c r="AB230" s="2" t="s">
        <v>666</v>
      </c>
      <c r="AC230" s="2" t="s">
        <v>74</v>
      </c>
      <c r="AD230" s="2" t="s">
        <v>74</v>
      </c>
      <c r="AE230" s="2" t="s">
        <v>74</v>
      </c>
      <c r="AF230" s="2" t="s">
        <v>74</v>
      </c>
      <c r="AG230" s="2" t="s">
        <v>74</v>
      </c>
      <c r="AH230" s="2" t="s">
        <v>74</v>
      </c>
      <c r="AI230" s="2" t="s">
        <v>74</v>
      </c>
      <c r="AJ230" s="2" t="s">
        <v>74</v>
      </c>
      <c r="AK230" s="2" t="s">
        <v>74</v>
      </c>
      <c r="AL230" s="2" t="s">
        <v>74</v>
      </c>
      <c r="AM230" s="2" t="s">
        <v>74</v>
      </c>
      <c r="AN230" s="2" t="s">
        <v>74</v>
      </c>
      <c r="AO230" s="2" t="s">
        <v>143</v>
      </c>
      <c r="AP230" s="2" t="s">
        <v>144</v>
      </c>
      <c r="AQ230" s="2" t="s">
        <v>74</v>
      </c>
      <c r="AR230" s="2" t="s">
        <v>74</v>
      </c>
      <c r="AS230" s="2" t="s">
        <v>74</v>
      </c>
      <c r="AT230" s="2" t="s">
        <v>74</v>
      </c>
      <c r="AU230" s="2">
        <v>1982</v>
      </c>
      <c r="AV230" s="2">
        <v>30</v>
      </c>
      <c r="AW230" s="2" t="s">
        <v>134</v>
      </c>
      <c r="AX230" s="2" t="s">
        <v>74</v>
      </c>
      <c r="AY230" s="2" t="s">
        <v>74</v>
      </c>
      <c r="AZ230" s="2" t="s">
        <v>74</v>
      </c>
      <c r="BA230" s="2" t="s">
        <v>74</v>
      </c>
      <c r="BB230" s="2">
        <v>444</v>
      </c>
      <c r="BC230" s="2">
        <v>455</v>
      </c>
      <c r="BD230" s="2" t="s">
        <v>74</v>
      </c>
      <c r="BE230" s="2" t="s">
        <v>667</v>
      </c>
      <c r="BF230" s="2" t="str">
        <f>HYPERLINK("http://dx.doi.org/10.1016/S0003-3472(82)80055-9","http://dx.doi.org/10.1016/S0003-3472(82)80055-9")</f>
        <v>http://dx.doi.org/10.1016/S0003-3472(82)80055-9</v>
      </c>
      <c r="BG230" s="2" t="s">
        <v>74</v>
      </c>
      <c r="BH230" s="2" t="s">
        <v>74</v>
      </c>
      <c r="BI230" s="2" t="s">
        <v>74</v>
      </c>
      <c r="BJ230" s="2" t="s">
        <v>74</v>
      </c>
      <c r="BK230" s="2" t="s">
        <v>74</v>
      </c>
      <c r="BL230" s="2" t="s">
        <v>74</v>
      </c>
      <c r="BM230" s="2" t="s">
        <v>74</v>
      </c>
      <c r="BN230" s="2" t="s">
        <v>74</v>
      </c>
      <c r="BO230" s="2" t="s">
        <v>74</v>
      </c>
      <c r="BP230" s="2" t="s">
        <v>74</v>
      </c>
      <c r="BQ230" s="2" t="s">
        <v>74</v>
      </c>
      <c r="BR230" s="2" t="s">
        <v>74</v>
      </c>
      <c r="BS230" s="2" t="s">
        <v>668</v>
      </c>
      <c r="BT230" s="2" t="str">
        <f>HYPERLINK("https%3A%2F%2Fwww.webofscience.com%2Fwos%2Fwoscc%2Ffull-record%2FWOS:A1982NQ92800014","View Full Record in Web of Science")</f>
        <v>View Full Record in Web of Science</v>
      </c>
    </row>
    <row r="231" spans="1:72" s="1" customFormat="1" x14ac:dyDescent="0.4">
      <c r="A231" s="2" t="s">
        <v>72</v>
      </c>
      <c r="B231" s="2" t="s">
        <v>6112</v>
      </c>
      <c r="C231" s="2" t="s">
        <v>74</v>
      </c>
      <c r="D231" s="2" t="s">
        <v>74</v>
      </c>
      <c r="E231" s="2" t="s">
        <v>74</v>
      </c>
      <c r="F231" s="2" t="s">
        <v>6112</v>
      </c>
      <c r="G231" s="2" t="s">
        <v>74</v>
      </c>
      <c r="H231" s="2" t="s">
        <v>74</v>
      </c>
      <c r="I231" s="2" t="s">
        <v>6113</v>
      </c>
      <c r="J231" s="2" t="s">
        <v>4655</v>
      </c>
      <c r="K231" s="2" t="s">
        <v>74</v>
      </c>
      <c r="L231" s="2" t="s">
        <v>74</v>
      </c>
      <c r="M231" s="2" t="s">
        <v>74</v>
      </c>
      <c r="N231" s="2" t="s">
        <v>74</v>
      </c>
      <c r="O231" s="2" t="s">
        <v>74</v>
      </c>
      <c r="P231" s="2" t="s">
        <v>74</v>
      </c>
      <c r="Q231" s="2" t="s">
        <v>74</v>
      </c>
      <c r="R231" s="2" t="s">
        <v>74</v>
      </c>
      <c r="S231" s="2" t="s">
        <v>74</v>
      </c>
      <c r="T231" s="2" t="s">
        <v>74</v>
      </c>
      <c r="U231" s="2" t="s">
        <v>74</v>
      </c>
      <c r="V231" s="5" t="s">
        <v>6114</v>
      </c>
      <c r="W231" s="2" t="s">
        <v>74</v>
      </c>
      <c r="X231" s="2" t="s">
        <v>74</v>
      </c>
      <c r="Y231" s="2" t="s">
        <v>74</v>
      </c>
      <c r="Z231" s="2" t="s">
        <v>74</v>
      </c>
      <c r="AA231" s="2" t="s">
        <v>74</v>
      </c>
      <c r="AB231" s="2" t="s">
        <v>74</v>
      </c>
      <c r="AC231" s="2" t="s">
        <v>74</v>
      </c>
      <c r="AD231" s="2" t="s">
        <v>74</v>
      </c>
      <c r="AE231" s="2" t="s">
        <v>74</v>
      </c>
      <c r="AF231" s="2" t="s">
        <v>74</v>
      </c>
      <c r="AG231" s="2" t="s">
        <v>74</v>
      </c>
      <c r="AH231" s="2" t="s">
        <v>74</v>
      </c>
      <c r="AI231" s="2" t="s">
        <v>74</v>
      </c>
      <c r="AJ231" s="2" t="s">
        <v>74</v>
      </c>
      <c r="AK231" s="2" t="s">
        <v>74</v>
      </c>
      <c r="AL231" s="2" t="s">
        <v>74</v>
      </c>
      <c r="AM231" s="2" t="s">
        <v>74</v>
      </c>
      <c r="AN231" s="2" t="s">
        <v>74</v>
      </c>
      <c r="AO231" s="2" t="s">
        <v>4657</v>
      </c>
      <c r="AP231" s="2" t="s">
        <v>74</v>
      </c>
      <c r="AQ231" s="2" t="s">
        <v>74</v>
      </c>
      <c r="AR231" s="2" t="s">
        <v>74</v>
      </c>
      <c r="AS231" s="2" t="s">
        <v>74</v>
      </c>
      <c r="AT231" s="2" t="s">
        <v>352</v>
      </c>
      <c r="AU231" s="2">
        <v>2000</v>
      </c>
      <c r="AV231" s="2">
        <v>112</v>
      </c>
      <c r="AW231" s="2">
        <v>3</v>
      </c>
      <c r="AX231" s="2" t="s">
        <v>74</v>
      </c>
      <c r="AY231" s="2" t="s">
        <v>74</v>
      </c>
      <c r="AZ231" s="2" t="s">
        <v>74</v>
      </c>
      <c r="BA231" s="2" t="s">
        <v>74</v>
      </c>
      <c r="BB231" s="2">
        <v>313</v>
      </c>
      <c r="BC231" s="2">
        <v>317</v>
      </c>
      <c r="BD231" s="2" t="s">
        <v>74</v>
      </c>
      <c r="BE231" s="2" t="s">
        <v>6115</v>
      </c>
      <c r="BF231" s="2" t="str">
        <f>HYPERLINK("http://dx.doi.org/10.1676/0043-5643(2000)112[0313:NROFAS]2.0.CO;2","http://dx.doi.org/10.1676/0043-5643(2000)112[0313:NROFAS]2.0.CO;2")</f>
        <v>http://dx.doi.org/10.1676/0043-5643(2000)112[0313:NROFAS]2.0.CO;2</v>
      </c>
      <c r="BG231" s="2" t="s">
        <v>74</v>
      </c>
      <c r="BH231" s="2" t="s">
        <v>74</v>
      </c>
      <c r="BI231" s="2" t="s">
        <v>74</v>
      </c>
      <c r="BJ231" s="2" t="s">
        <v>74</v>
      </c>
      <c r="BK231" s="2" t="s">
        <v>74</v>
      </c>
      <c r="BL231" s="2" t="s">
        <v>74</v>
      </c>
      <c r="BM231" s="2" t="s">
        <v>74</v>
      </c>
      <c r="BN231" s="2" t="s">
        <v>74</v>
      </c>
      <c r="BO231" s="2" t="s">
        <v>74</v>
      </c>
      <c r="BP231" s="2" t="s">
        <v>74</v>
      </c>
      <c r="BQ231" s="2" t="s">
        <v>74</v>
      </c>
      <c r="BR231" s="2" t="s">
        <v>74</v>
      </c>
      <c r="BS231" s="2" t="s">
        <v>6116</v>
      </c>
      <c r="BT231" s="2" t="str">
        <f>HYPERLINK("https%3A%2F%2Fwww.webofscience.com%2Fwos%2Fwoscc%2Ffull-record%2FWOS:000089097200002","View Full Record in Web of Science")</f>
        <v>View Full Record in Web of Science</v>
      </c>
    </row>
    <row r="232" spans="1:72" s="1" customFormat="1" x14ac:dyDescent="0.4">
      <c r="A232" s="2" t="s">
        <v>72</v>
      </c>
      <c r="B232" s="2" t="s">
        <v>1372</v>
      </c>
      <c r="C232" s="2" t="s">
        <v>74</v>
      </c>
      <c r="D232" s="2" t="s">
        <v>74</v>
      </c>
      <c r="E232" s="2" t="s">
        <v>74</v>
      </c>
      <c r="F232" s="2" t="s">
        <v>1373</v>
      </c>
      <c r="G232" s="2" t="s">
        <v>74</v>
      </c>
      <c r="H232" s="2" t="s">
        <v>74</v>
      </c>
      <c r="I232" s="2" t="s">
        <v>1374</v>
      </c>
      <c r="J232" s="2" t="s">
        <v>1375</v>
      </c>
      <c r="K232" s="2" t="s">
        <v>74</v>
      </c>
      <c r="L232" s="2" t="s">
        <v>74</v>
      </c>
      <c r="M232" s="2" t="s">
        <v>74</v>
      </c>
      <c r="N232" s="2" t="s">
        <v>74</v>
      </c>
      <c r="O232" s="2" t="s">
        <v>74</v>
      </c>
      <c r="P232" s="2" t="s">
        <v>74</v>
      </c>
      <c r="Q232" s="2" t="s">
        <v>74</v>
      </c>
      <c r="R232" s="2" t="s">
        <v>74</v>
      </c>
      <c r="S232" s="2" t="s">
        <v>74</v>
      </c>
      <c r="T232" s="2" t="s">
        <v>74</v>
      </c>
      <c r="U232" s="2" t="s">
        <v>74</v>
      </c>
      <c r="V232" s="5" t="s">
        <v>1376</v>
      </c>
      <c r="W232" s="2" t="s">
        <v>74</v>
      </c>
      <c r="X232" s="2" t="s">
        <v>74</v>
      </c>
      <c r="Y232" s="2" t="s">
        <v>74</v>
      </c>
      <c r="Z232" s="2" t="s">
        <v>74</v>
      </c>
      <c r="AA232" s="2" t="s">
        <v>74</v>
      </c>
      <c r="AB232" s="2" t="s">
        <v>1377</v>
      </c>
      <c r="AC232" s="2" t="s">
        <v>74</v>
      </c>
      <c r="AD232" s="2" t="s">
        <v>74</v>
      </c>
      <c r="AE232" s="2" t="s">
        <v>74</v>
      </c>
      <c r="AF232" s="2" t="s">
        <v>74</v>
      </c>
      <c r="AG232" s="2" t="s">
        <v>74</v>
      </c>
      <c r="AH232" s="2" t="s">
        <v>74</v>
      </c>
      <c r="AI232" s="2" t="s">
        <v>74</v>
      </c>
      <c r="AJ232" s="2" t="s">
        <v>74</v>
      </c>
      <c r="AK232" s="2" t="s">
        <v>74</v>
      </c>
      <c r="AL232" s="2" t="s">
        <v>74</v>
      </c>
      <c r="AM232" s="2" t="s">
        <v>74</v>
      </c>
      <c r="AN232" s="2" t="s">
        <v>74</v>
      </c>
      <c r="AO232" s="2" t="s">
        <v>1378</v>
      </c>
      <c r="AP232" s="2" t="s">
        <v>74</v>
      </c>
      <c r="AQ232" s="2" t="s">
        <v>74</v>
      </c>
      <c r="AR232" s="2" t="s">
        <v>74</v>
      </c>
      <c r="AS232" s="2" t="s">
        <v>74</v>
      </c>
      <c r="AT232" s="2" t="s">
        <v>74</v>
      </c>
      <c r="AU232" s="2">
        <v>2023</v>
      </c>
      <c r="AV232" s="2">
        <v>14</v>
      </c>
      <c r="AW232" s="2" t="s">
        <v>74</v>
      </c>
      <c r="AX232" s="2" t="s">
        <v>74</v>
      </c>
      <c r="AY232" s="2" t="s">
        <v>74</v>
      </c>
      <c r="AZ232" s="2" t="s">
        <v>74</v>
      </c>
      <c r="BA232" s="2" t="s">
        <v>74</v>
      </c>
      <c r="BB232" s="2" t="s">
        <v>74</v>
      </c>
      <c r="BC232" s="2" t="s">
        <v>74</v>
      </c>
      <c r="BD232" s="2">
        <v>100077</v>
      </c>
      <c r="BE232" s="2" t="s">
        <v>1379</v>
      </c>
      <c r="BF232" s="2" t="str">
        <f>HYPERLINK("http://dx.doi.org/10.1016/j.avrs.2023.100077","http://dx.doi.org/10.1016/j.avrs.2023.100077")</f>
        <v>http://dx.doi.org/10.1016/j.avrs.2023.100077</v>
      </c>
      <c r="BG232" s="2" t="s">
        <v>74</v>
      </c>
      <c r="BH232" s="2" t="s">
        <v>74</v>
      </c>
      <c r="BI232" s="2" t="s">
        <v>74</v>
      </c>
      <c r="BJ232" s="2" t="s">
        <v>74</v>
      </c>
      <c r="BK232" s="2" t="s">
        <v>74</v>
      </c>
      <c r="BL232" s="2" t="s">
        <v>74</v>
      </c>
      <c r="BM232" s="2" t="s">
        <v>74</v>
      </c>
      <c r="BN232" s="2" t="s">
        <v>74</v>
      </c>
      <c r="BO232" s="2" t="s">
        <v>74</v>
      </c>
      <c r="BP232" s="2" t="s">
        <v>74</v>
      </c>
      <c r="BQ232" s="2" t="s">
        <v>74</v>
      </c>
      <c r="BR232" s="2" t="s">
        <v>74</v>
      </c>
      <c r="BS232" s="2" t="s">
        <v>1380</v>
      </c>
      <c r="BT232" s="2" t="str">
        <f>HYPERLINK("https%3A%2F%2Fwww.webofscience.com%2Fwos%2Fwoscc%2Ffull-record%2FWOS:000933848900001","View Full Record in Web of Science")</f>
        <v>View Full Record in Web of Science</v>
      </c>
    </row>
    <row r="233" spans="1:72" s="2" customFormat="1" x14ac:dyDescent="0.4">
      <c r="A233" s="2" t="s">
        <v>72</v>
      </c>
      <c r="B233" s="2" t="s">
        <v>2067</v>
      </c>
      <c r="C233" s="2" t="s">
        <v>74</v>
      </c>
      <c r="D233" s="2" t="s">
        <v>74</v>
      </c>
      <c r="E233" s="2" t="s">
        <v>74</v>
      </c>
      <c r="F233" s="2" t="s">
        <v>2068</v>
      </c>
      <c r="G233" s="2" t="s">
        <v>74</v>
      </c>
      <c r="H233" s="2" t="s">
        <v>74</v>
      </c>
      <c r="I233" s="2" t="s">
        <v>2069</v>
      </c>
      <c r="J233" s="2" t="s">
        <v>2070</v>
      </c>
      <c r="K233" s="2" t="s">
        <v>74</v>
      </c>
      <c r="L233" s="2" t="s">
        <v>74</v>
      </c>
      <c r="M233" s="2" t="s">
        <v>74</v>
      </c>
      <c r="N233" s="2" t="s">
        <v>74</v>
      </c>
      <c r="O233" s="2" t="s">
        <v>74</v>
      </c>
      <c r="P233" s="2" t="s">
        <v>74</v>
      </c>
      <c r="Q233" s="2" t="s">
        <v>74</v>
      </c>
      <c r="R233" s="2" t="s">
        <v>74</v>
      </c>
      <c r="S233" s="2" t="s">
        <v>74</v>
      </c>
      <c r="T233" s="2" t="s">
        <v>74</v>
      </c>
      <c r="U233" s="2" t="s">
        <v>74</v>
      </c>
      <c r="V233" s="5" t="s">
        <v>2071</v>
      </c>
      <c r="W233" s="2" t="s">
        <v>74</v>
      </c>
      <c r="X233" s="2" t="s">
        <v>74</v>
      </c>
      <c r="Y233" s="2" t="s">
        <v>74</v>
      </c>
      <c r="Z233" s="2" t="s">
        <v>74</v>
      </c>
      <c r="AA233" s="2" t="s">
        <v>74</v>
      </c>
      <c r="AB233" s="2" t="s">
        <v>274</v>
      </c>
      <c r="AC233" s="2" t="s">
        <v>74</v>
      </c>
      <c r="AD233" s="2" t="s">
        <v>74</v>
      </c>
      <c r="AE233" s="2" t="s">
        <v>74</v>
      </c>
      <c r="AF233" s="2" t="s">
        <v>74</v>
      </c>
      <c r="AG233" s="2" t="s">
        <v>74</v>
      </c>
      <c r="AH233" s="2" t="s">
        <v>74</v>
      </c>
      <c r="AI233" s="2" t="s">
        <v>74</v>
      </c>
      <c r="AJ233" s="2" t="s">
        <v>74</v>
      </c>
      <c r="AK233" s="2" t="s">
        <v>74</v>
      </c>
      <c r="AL233" s="2" t="s">
        <v>74</v>
      </c>
      <c r="AM233" s="2" t="s">
        <v>74</v>
      </c>
      <c r="AN233" s="2" t="s">
        <v>74</v>
      </c>
      <c r="AO233" s="2" t="s">
        <v>2072</v>
      </c>
      <c r="AP233" s="2" t="s">
        <v>2073</v>
      </c>
      <c r="AQ233" s="2" t="s">
        <v>74</v>
      </c>
      <c r="AR233" s="2" t="s">
        <v>74</v>
      </c>
      <c r="AS233" s="2" t="s">
        <v>74</v>
      </c>
      <c r="AT233" s="2" t="s">
        <v>145</v>
      </c>
      <c r="AU233" s="2">
        <v>2007</v>
      </c>
      <c r="AV233" s="2">
        <v>177</v>
      </c>
      <c r="AW233" s="2">
        <v>6</v>
      </c>
      <c r="AX233" s="2" t="s">
        <v>74</v>
      </c>
      <c r="AY233" s="2" t="s">
        <v>74</v>
      </c>
      <c r="AZ233" s="2" t="s">
        <v>74</v>
      </c>
      <c r="BA233" s="2" t="s">
        <v>74</v>
      </c>
      <c r="BB233" s="2">
        <v>641</v>
      </c>
      <c r="BC233" s="2">
        <v>654</v>
      </c>
      <c r="BD233" s="2" t="s">
        <v>74</v>
      </c>
      <c r="BE233" s="2" t="s">
        <v>2074</v>
      </c>
      <c r="BF233" s="2" t="str">
        <f>HYPERLINK("http://dx.doi.org/10.1007/s00360-007-0162-7","http://dx.doi.org/10.1007/s00360-007-0162-7")</f>
        <v>http://dx.doi.org/10.1007/s00360-007-0162-7</v>
      </c>
      <c r="BG233" s="2" t="s">
        <v>74</v>
      </c>
      <c r="BH233" s="2" t="s">
        <v>74</v>
      </c>
      <c r="BI233" s="2" t="s">
        <v>74</v>
      </c>
      <c r="BJ233" s="2" t="s">
        <v>74</v>
      </c>
      <c r="BK233" s="2" t="s">
        <v>74</v>
      </c>
      <c r="BL233" s="2" t="s">
        <v>74</v>
      </c>
      <c r="BM233" s="2" t="s">
        <v>74</v>
      </c>
      <c r="BN233" s="2">
        <v>17520263</v>
      </c>
      <c r="BO233" s="2" t="s">
        <v>74</v>
      </c>
      <c r="BP233" s="2" t="s">
        <v>74</v>
      </c>
      <c r="BQ233" s="2" t="s">
        <v>74</v>
      </c>
      <c r="BR233" s="2" t="s">
        <v>74</v>
      </c>
      <c r="BS233" s="2" t="s">
        <v>2075</v>
      </c>
      <c r="BT233" s="2" t="str">
        <f>HYPERLINK("https%3A%2F%2Fwww.webofscience.com%2Fwos%2Fwoscc%2Ffull-record%2FWOS:000248301500005","View Full Record in Web of Science")</f>
        <v>View Full Record in Web of Science</v>
      </c>
    </row>
    <row r="234" spans="1:72" s="2" customFormat="1" x14ac:dyDescent="0.4">
      <c r="A234" s="2" t="s">
        <v>72</v>
      </c>
      <c r="B234" s="2" t="s">
        <v>6668</v>
      </c>
      <c r="C234" s="2" t="s">
        <v>74</v>
      </c>
      <c r="D234" s="2" t="s">
        <v>74</v>
      </c>
      <c r="E234" s="2" t="s">
        <v>74</v>
      </c>
      <c r="F234" s="2" t="s">
        <v>6669</v>
      </c>
      <c r="G234" s="2" t="s">
        <v>74</v>
      </c>
      <c r="H234" s="2" t="s">
        <v>74</v>
      </c>
      <c r="I234" s="2" t="s">
        <v>6670</v>
      </c>
      <c r="J234" s="2" t="s">
        <v>129</v>
      </c>
      <c r="K234" s="2" t="s">
        <v>74</v>
      </c>
      <c r="L234" s="2" t="s">
        <v>74</v>
      </c>
      <c r="M234" s="2" t="s">
        <v>74</v>
      </c>
      <c r="N234" s="2" t="s">
        <v>74</v>
      </c>
      <c r="O234" s="2" t="s">
        <v>74</v>
      </c>
      <c r="P234" s="2" t="s">
        <v>74</v>
      </c>
      <c r="Q234" s="2" t="s">
        <v>74</v>
      </c>
      <c r="R234" s="2" t="s">
        <v>74</v>
      </c>
      <c r="S234" s="2" t="s">
        <v>74</v>
      </c>
      <c r="T234" s="2" t="s">
        <v>74</v>
      </c>
      <c r="U234" s="2" t="s">
        <v>74</v>
      </c>
      <c r="V234" s="5" t="s">
        <v>6671</v>
      </c>
      <c r="W234" s="2" t="s">
        <v>74</v>
      </c>
      <c r="X234" s="2" t="s">
        <v>74</v>
      </c>
      <c r="Y234" s="2" t="s">
        <v>74</v>
      </c>
      <c r="Z234" s="2" t="s">
        <v>74</v>
      </c>
      <c r="AA234" s="2" t="s">
        <v>6672</v>
      </c>
      <c r="AB234" s="2" t="s">
        <v>6673</v>
      </c>
      <c r="AC234" s="2" t="s">
        <v>74</v>
      </c>
      <c r="AD234" s="2" t="s">
        <v>74</v>
      </c>
      <c r="AE234" s="2" t="s">
        <v>74</v>
      </c>
      <c r="AF234" s="2" t="s">
        <v>74</v>
      </c>
      <c r="AG234" s="2" t="s">
        <v>74</v>
      </c>
      <c r="AH234" s="2" t="s">
        <v>74</v>
      </c>
      <c r="AI234" s="2" t="s">
        <v>74</v>
      </c>
      <c r="AJ234" s="2" t="s">
        <v>74</v>
      </c>
      <c r="AK234" s="2" t="s">
        <v>74</v>
      </c>
      <c r="AL234" s="2" t="s">
        <v>74</v>
      </c>
      <c r="AM234" s="2" t="s">
        <v>74</v>
      </c>
      <c r="AN234" s="2" t="s">
        <v>74</v>
      </c>
      <c r="AO234" s="2" t="s">
        <v>132</v>
      </c>
      <c r="AP234" s="2" t="s">
        <v>133</v>
      </c>
      <c r="AQ234" s="2" t="s">
        <v>74</v>
      </c>
      <c r="AR234" s="2" t="s">
        <v>74</v>
      </c>
      <c r="AS234" s="2" t="s">
        <v>74</v>
      </c>
      <c r="AT234" s="2" t="s">
        <v>204</v>
      </c>
      <c r="AU234" s="2">
        <v>2013</v>
      </c>
      <c r="AV234" s="2">
        <v>67</v>
      </c>
      <c r="AW234" s="2">
        <v>7</v>
      </c>
      <c r="AX234" s="2" t="s">
        <v>74</v>
      </c>
      <c r="AY234" s="2" t="s">
        <v>74</v>
      </c>
      <c r="AZ234" s="2" t="s">
        <v>74</v>
      </c>
      <c r="BA234" s="2" t="s">
        <v>74</v>
      </c>
      <c r="BB234" s="2">
        <v>1163</v>
      </c>
      <c r="BC234" s="2">
        <v>1167</v>
      </c>
      <c r="BD234" s="2" t="s">
        <v>74</v>
      </c>
      <c r="BE234" s="2" t="s">
        <v>6674</v>
      </c>
      <c r="BF234" s="2" t="str">
        <f>HYPERLINK("http://dx.doi.org/10.1007/s00265-013-1541-6","http://dx.doi.org/10.1007/s00265-013-1541-6")</f>
        <v>http://dx.doi.org/10.1007/s00265-013-1541-6</v>
      </c>
      <c r="BG234" s="2" t="s">
        <v>74</v>
      </c>
      <c r="BH234" s="2" t="s">
        <v>74</v>
      </c>
      <c r="BI234" s="2" t="s">
        <v>74</v>
      </c>
      <c r="BJ234" s="2" t="s">
        <v>74</v>
      </c>
      <c r="BK234" s="2" t="s">
        <v>74</v>
      </c>
      <c r="BL234" s="2" t="s">
        <v>74</v>
      </c>
      <c r="BM234" s="2" t="s">
        <v>74</v>
      </c>
      <c r="BN234" s="2" t="s">
        <v>74</v>
      </c>
      <c r="BO234" s="2" t="s">
        <v>74</v>
      </c>
      <c r="BP234" s="2" t="s">
        <v>74</v>
      </c>
      <c r="BQ234" s="2" t="s">
        <v>74</v>
      </c>
      <c r="BR234" s="2" t="s">
        <v>74</v>
      </c>
      <c r="BS234" s="2" t="s">
        <v>6675</v>
      </c>
      <c r="BT234" s="2" t="str">
        <f>HYPERLINK("https%3A%2F%2Fwww.webofscience.com%2Fwos%2Fwoscc%2Ffull-record%2FWOS:000320024200013","View Full Record in Web of Science")</f>
        <v>View Full Record in Web of Science</v>
      </c>
    </row>
    <row r="235" spans="1:72" s="2" customFormat="1" x14ac:dyDescent="0.4">
      <c r="A235" s="2" t="s">
        <v>72</v>
      </c>
      <c r="B235" s="2" t="s">
        <v>4848</v>
      </c>
      <c r="C235" s="2" t="s">
        <v>74</v>
      </c>
      <c r="D235" s="2" t="s">
        <v>74</v>
      </c>
      <c r="E235" s="2" t="s">
        <v>74</v>
      </c>
      <c r="F235" s="2" t="s">
        <v>4848</v>
      </c>
      <c r="G235" s="2" t="s">
        <v>74</v>
      </c>
      <c r="H235" s="2" t="s">
        <v>74</v>
      </c>
      <c r="I235" s="2" t="s">
        <v>4849</v>
      </c>
      <c r="J235" s="2" t="s">
        <v>241</v>
      </c>
      <c r="K235" s="2" t="s">
        <v>74</v>
      </c>
      <c r="L235" s="2" t="s">
        <v>74</v>
      </c>
      <c r="M235" s="2" t="s">
        <v>74</v>
      </c>
      <c r="N235" s="2" t="s">
        <v>74</v>
      </c>
      <c r="O235" s="2" t="s">
        <v>74</v>
      </c>
      <c r="P235" s="2" t="s">
        <v>74</v>
      </c>
      <c r="Q235" s="2" t="s">
        <v>74</v>
      </c>
      <c r="R235" s="2" t="s">
        <v>74</v>
      </c>
      <c r="S235" s="2" t="s">
        <v>74</v>
      </c>
      <c r="T235" s="2" t="s">
        <v>74</v>
      </c>
      <c r="U235" s="2" t="s">
        <v>74</v>
      </c>
      <c r="V235" s="5" t="s">
        <v>4850</v>
      </c>
      <c r="W235" s="2" t="s">
        <v>74</v>
      </c>
      <c r="X235" s="2" t="s">
        <v>74</v>
      </c>
      <c r="Y235" s="2" t="s">
        <v>74</v>
      </c>
      <c r="Z235" s="2" t="s">
        <v>74</v>
      </c>
      <c r="AA235" s="2" t="s">
        <v>74</v>
      </c>
      <c r="AB235" s="2" t="s">
        <v>4851</v>
      </c>
      <c r="AC235" s="2" t="s">
        <v>74</v>
      </c>
      <c r="AD235" s="2" t="s">
        <v>74</v>
      </c>
      <c r="AE235" s="2" t="s">
        <v>74</v>
      </c>
      <c r="AF235" s="2" t="s">
        <v>74</v>
      </c>
      <c r="AG235" s="2" t="s">
        <v>74</v>
      </c>
      <c r="AH235" s="2" t="s">
        <v>74</v>
      </c>
      <c r="AI235" s="2" t="s">
        <v>74</v>
      </c>
      <c r="AJ235" s="2" t="s">
        <v>74</v>
      </c>
      <c r="AK235" s="2" t="s">
        <v>74</v>
      </c>
      <c r="AL235" s="2" t="s">
        <v>74</v>
      </c>
      <c r="AM235" s="2" t="s">
        <v>74</v>
      </c>
      <c r="AN235" s="2" t="s">
        <v>74</v>
      </c>
      <c r="AO235" s="2" t="s">
        <v>245</v>
      </c>
      <c r="AP235" s="2" t="s">
        <v>246</v>
      </c>
      <c r="AQ235" s="2" t="s">
        <v>74</v>
      </c>
      <c r="AR235" s="2" t="s">
        <v>74</v>
      </c>
      <c r="AS235" s="2" t="s">
        <v>74</v>
      </c>
      <c r="AT235" s="2" t="s">
        <v>145</v>
      </c>
      <c r="AU235" s="2">
        <v>2002</v>
      </c>
      <c r="AV235" s="2">
        <v>132</v>
      </c>
      <c r="AW235" s="2">
        <v>3</v>
      </c>
      <c r="AX235" s="2" t="s">
        <v>74</v>
      </c>
      <c r="AY235" s="2" t="s">
        <v>74</v>
      </c>
      <c r="AZ235" s="2" t="s">
        <v>74</v>
      </c>
      <c r="BA235" s="2" t="s">
        <v>74</v>
      </c>
      <c r="BB235" s="2">
        <v>468</v>
      </c>
      <c r="BC235" s="2">
        <v>477</v>
      </c>
      <c r="BD235" s="2" t="s">
        <v>74</v>
      </c>
      <c r="BE235" s="2" t="s">
        <v>4852</v>
      </c>
      <c r="BF235" s="2" t="str">
        <f>HYPERLINK("http://dx.doi.org/10.1007/s00442-002-0975-8","http://dx.doi.org/10.1007/s00442-002-0975-8")</f>
        <v>http://dx.doi.org/10.1007/s00442-002-0975-8</v>
      </c>
      <c r="BG235" s="2" t="s">
        <v>74</v>
      </c>
      <c r="BH235" s="2" t="s">
        <v>74</v>
      </c>
      <c r="BI235" s="2" t="s">
        <v>74</v>
      </c>
      <c r="BJ235" s="2" t="s">
        <v>74</v>
      </c>
      <c r="BK235" s="2" t="s">
        <v>74</v>
      </c>
      <c r="BL235" s="2" t="s">
        <v>74</v>
      </c>
      <c r="BM235" s="2" t="s">
        <v>74</v>
      </c>
      <c r="BN235" s="2">
        <v>28547426</v>
      </c>
      <c r="BO235" s="2" t="s">
        <v>74</v>
      </c>
      <c r="BP235" s="2" t="s">
        <v>74</v>
      </c>
      <c r="BQ235" s="2" t="s">
        <v>74</v>
      </c>
      <c r="BR235" s="2" t="s">
        <v>74</v>
      </c>
      <c r="BS235" s="2" t="s">
        <v>4853</v>
      </c>
      <c r="BT235" s="2" t="str">
        <f>HYPERLINK("https%3A%2F%2Fwww.webofscience.com%2Fwos%2Fwoscc%2Ffull-record%2FWOS:000177752500018","View Full Record in Web of Science")</f>
        <v>View Full Record in Web of Science</v>
      </c>
    </row>
    <row r="236" spans="1:72" s="7" customFormat="1" x14ac:dyDescent="0.4">
      <c r="A236" s="2" t="s">
        <v>72</v>
      </c>
      <c r="B236" s="2" t="s">
        <v>4499</v>
      </c>
      <c r="C236" s="2" t="s">
        <v>74</v>
      </c>
      <c r="D236" s="2" t="s">
        <v>74</v>
      </c>
      <c r="E236" s="2" t="s">
        <v>74</v>
      </c>
      <c r="F236" s="2" t="s">
        <v>4500</v>
      </c>
      <c r="G236" s="2" t="s">
        <v>74</v>
      </c>
      <c r="H236" s="2" t="s">
        <v>74</v>
      </c>
      <c r="I236" s="2" t="s">
        <v>4501</v>
      </c>
      <c r="J236" s="2" t="s">
        <v>281</v>
      </c>
      <c r="K236" s="2" t="s">
        <v>74</v>
      </c>
      <c r="L236" s="2" t="s">
        <v>74</v>
      </c>
      <c r="M236" s="2" t="s">
        <v>74</v>
      </c>
      <c r="N236" s="2" t="s">
        <v>74</v>
      </c>
      <c r="O236" s="2" t="s">
        <v>74</v>
      </c>
      <c r="P236" s="2" t="s">
        <v>74</v>
      </c>
      <c r="Q236" s="2" t="s">
        <v>74</v>
      </c>
      <c r="R236" s="2" t="s">
        <v>74</v>
      </c>
      <c r="S236" s="2" t="s">
        <v>74</v>
      </c>
      <c r="T236" s="2" t="s">
        <v>74</v>
      </c>
      <c r="U236" s="2" t="s">
        <v>74</v>
      </c>
      <c r="V236" s="5" t="s">
        <v>4502</v>
      </c>
      <c r="W236" s="2" t="s">
        <v>74</v>
      </c>
      <c r="X236" s="2" t="s">
        <v>74</v>
      </c>
      <c r="Y236" s="2" t="s">
        <v>74</v>
      </c>
      <c r="Z236" s="2" t="s">
        <v>74</v>
      </c>
      <c r="AA236" s="2" t="s">
        <v>4503</v>
      </c>
      <c r="AB236" s="2" t="s">
        <v>4504</v>
      </c>
      <c r="AC236" s="2" t="s">
        <v>74</v>
      </c>
      <c r="AD236" s="2" t="s">
        <v>74</v>
      </c>
      <c r="AE236" s="2" t="s">
        <v>74</v>
      </c>
      <c r="AF236" s="2" t="s">
        <v>74</v>
      </c>
      <c r="AG236" s="2" t="s">
        <v>74</v>
      </c>
      <c r="AH236" s="2" t="s">
        <v>74</v>
      </c>
      <c r="AI236" s="2" t="s">
        <v>74</v>
      </c>
      <c r="AJ236" s="2" t="s">
        <v>74</v>
      </c>
      <c r="AK236" s="2" t="s">
        <v>74</v>
      </c>
      <c r="AL236" s="2" t="s">
        <v>74</v>
      </c>
      <c r="AM236" s="2" t="s">
        <v>74</v>
      </c>
      <c r="AN236" s="2" t="s">
        <v>74</v>
      </c>
      <c r="AO236" s="2" t="s">
        <v>285</v>
      </c>
      <c r="AP236" s="2" t="s">
        <v>286</v>
      </c>
      <c r="AQ236" s="2" t="s">
        <v>74</v>
      </c>
      <c r="AR236" s="2" t="s">
        <v>74</v>
      </c>
      <c r="AS236" s="2" t="s">
        <v>74</v>
      </c>
      <c r="AT236" s="2" t="s">
        <v>213</v>
      </c>
      <c r="AU236" s="2">
        <v>2021</v>
      </c>
      <c r="AV236" s="2">
        <v>24</v>
      </c>
      <c r="AW236" s="2">
        <v>6</v>
      </c>
      <c r="AX236" s="2" t="s">
        <v>74</v>
      </c>
      <c r="AY236" s="2" t="s">
        <v>74</v>
      </c>
      <c r="AZ236" s="2" t="s">
        <v>74</v>
      </c>
      <c r="BA236" s="2" t="s">
        <v>74</v>
      </c>
      <c r="BB236" s="2">
        <v>1267</v>
      </c>
      <c r="BC236" s="2">
        <v>1277</v>
      </c>
      <c r="BD236" s="2" t="s">
        <v>74</v>
      </c>
      <c r="BE236" s="2" t="s">
        <v>4505</v>
      </c>
      <c r="BF236" s="2" t="str">
        <f>HYPERLINK("http://dx.doi.org/10.1007/s10071-021-01519-y","http://dx.doi.org/10.1007/s10071-021-01519-y")</f>
        <v>http://dx.doi.org/10.1007/s10071-021-01519-y</v>
      </c>
      <c r="BG236" s="2" t="s">
        <v>74</v>
      </c>
      <c r="BH236" s="2" t="s">
        <v>571</v>
      </c>
      <c r="BI236" s="2" t="s">
        <v>74</v>
      </c>
      <c r="BJ236" s="2" t="s">
        <v>74</v>
      </c>
      <c r="BK236" s="2" t="s">
        <v>74</v>
      </c>
      <c r="BL236" s="2" t="s">
        <v>74</v>
      </c>
      <c r="BM236" s="2" t="s">
        <v>74</v>
      </c>
      <c r="BN236" s="2">
        <v>33959875</v>
      </c>
      <c r="BO236" s="2" t="s">
        <v>74</v>
      </c>
      <c r="BP236" s="2" t="s">
        <v>74</v>
      </c>
      <c r="BQ236" s="2" t="s">
        <v>74</v>
      </c>
      <c r="BR236" s="2" t="s">
        <v>74</v>
      </c>
      <c r="BS236" s="2" t="s">
        <v>4506</v>
      </c>
      <c r="BT236" s="2" t="str">
        <f>HYPERLINK("https%3A%2F%2Fwww.webofscience.com%2Fwos%2Fwoscc%2Ffull-record%2FWOS:000647849200001","View Full Record in Web of Science")</f>
        <v>View Full Record in Web of Science</v>
      </c>
    </row>
    <row r="237" spans="1:72" s="2" customFormat="1" x14ac:dyDescent="0.4">
      <c r="A237" s="2" t="s">
        <v>72</v>
      </c>
      <c r="B237" s="2" t="s">
        <v>364</v>
      </c>
      <c r="C237" s="2" t="s">
        <v>74</v>
      </c>
      <c r="D237" s="2" t="s">
        <v>74</v>
      </c>
      <c r="E237" s="2" t="s">
        <v>74</v>
      </c>
      <c r="F237" s="2" t="s">
        <v>2899</v>
      </c>
      <c r="G237" s="2" t="s">
        <v>74</v>
      </c>
      <c r="H237" s="2" t="s">
        <v>74</v>
      </c>
      <c r="I237" s="2" t="s">
        <v>2900</v>
      </c>
      <c r="J237" s="2" t="s">
        <v>2901</v>
      </c>
      <c r="K237" s="2" t="s">
        <v>74</v>
      </c>
      <c r="L237" s="2" t="s">
        <v>74</v>
      </c>
      <c r="M237" s="2" t="s">
        <v>74</v>
      </c>
      <c r="N237" s="2" t="s">
        <v>74</v>
      </c>
      <c r="O237" s="2" t="s">
        <v>74</v>
      </c>
      <c r="P237" s="2" t="s">
        <v>74</v>
      </c>
      <c r="Q237" s="2" t="s">
        <v>74</v>
      </c>
      <c r="R237" s="2" t="s">
        <v>74</v>
      </c>
      <c r="S237" s="2" t="s">
        <v>74</v>
      </c>
      <c r="T237" s="2" t="s">
        <v>74</v>
      </c>
      <c r="U237" s="2" t="s">
        <v>74</v>
      </c>
      <c r="V237" s="5" t="s">
        <v>2902</v>
      </c>
      <c r="W237" s="2" t="s">
        <v>74</v>
      </c>
      <c r="X237" s="2" t="s">
        <v>74</v>
      </c>
      <c r="Y237" s="2" t="s">
        <v>74</v>
      </c>
      <c r="Z237" s="2" t="s">
        <v>74</v>
      </c>
      <c r="AA237" s="2" t="s">
        <v>369</v>
      </c>
      <c r="AB237" s="2" t="s">
        <v>370</v>
      </c>
      <c r="AC237" s="2" t="s">
        <v>74</v>
      </c>
      <c r="AD237" s="2" t="s">
        <v>74</v>
      </c>
      <c r="AE237" s="2" t="s">
        <v>74</v>
      </c>
      <c r="AF237" s="2" t="s">
        <v>74</v>
      </c>
      <c r="AG237" s="2" t="s">
        <v>74</v>
      </c>
      <c r="AH237" s="2" t="s">
        <v>74</v>
      </c>
      <c r="AI237" s="2" t="s">
        <v>74</v>
      </c>
      <c r="AJ237" s="2" t="s">
        <v>74</v>
      </c>
      <c r="AK237" s="2" t="s">
        <v>74</v>
      </c>
      <c r="AL237" s="2" t="s">
        <v>74</v>
      </c>
      <c r="AM237" s="2" t="s">
        <v>74</v>
      </c>
      <c r="AN237" s="2" t="s">
        <v>74</v>
      </c>
      <c r="AO237" s="2" t="s">
        <v>2903</v>
      </c>
      <c r="AP237" s="2" t="s">
        <v>2904</v>
      </c>
      <c r="AQ237" s="2" t="s">
        <v>74</v>
      </c>
      <c r="AR237" s="2" t="s">
        <v>74</v>
      </c>
      <c r="AS237" s="2" t="s">
        <v>74</v>
      </c>
      <c r="AT237" s="2" t="s">
        <v>74</v>
      </c>
      <c r="AU237" s="2">
        <v>2010</v>
      </c>
      <c r="AV237" s="2">
        <v>22</v>
      </c>
      <c r="AW237" s="2">
        <v>2</v>
      </c>
      <c r="AX237" s="2" t="s">
        <v>74</v>
      </c>
      <c r="AY237" s="2" t="s">
        <v>74</v>
      </c>
      <c r="AZ237" s="2" t="s">
        <v>74</v>
      </c>
      <c r="BA237" s="2" t="s">
        <v>74</v>
      </c>
      <c r="BB237" s="2">
        <v>167</v>
      </c>
      <c r="BC237" s="2">
        <v>181</v>
      </c>
      <c r="BD237" s="2" t="s">
        <v>2905</v>
      </c>
      <c r="BE237" s="2" t="s">
        <v>2906</v>
      </c>
      <c r="BF237" s="2" t="str">
        <f>HYPERLINK("http://dx.doi.org/10.1080/03949371003707885","http://dx.doi.org/10.1080/03949371003707885")</f>
        <v>http://dx.doi.org/10.1080/03949371003707885</v>
      </c>
      <c r="BG237" s="2" t="s">
        <v>74</v>
      </c>
      <c r="BH237" s="2" t="s">
        <v>74</v>
      </c>
      <c r="BI237" s="2" t="s">
        <v>74</v>
      </c>
      <c r="BJ237" s="2" t="s">
        <v>74</v>
      </c>
      <c r="BK237" s="2" t="s">
        <v>74</v>
      </c>
      <c r="BL237" s="2" t="s">
        <v>74</v>
      </c>
      <c r="BM237" s="2" t="s">
        <v>74</v>
      </c>
      <c r="BN237" s="2" t="s">
        <v>74</v>
      </c>
      <c r="BO237" s="2" t="s">
        <v>74</v>
      </c>
      <c r="BP237" s="2" t="s">
        <v>74</v>
      </c>
      <c r="BQ237" s="2" t="s">
        <v>74</v>
      </c>
      <c r="BR237" s="2" t="s">
        <v>74</v>
      </c>
      <c r="BS237" s="2" t="s">
        <v>2907</v>
      </c>
      <c r="BT237" s="2" t="str">
        <f>HYPERLINK("https%3A%2F%2Fwww.webofscience.com%2Fwos%2Fwoscc%2Ffull-record%2FWOS:000277606200006","View Full Record in Web of Science")</f>
        <v>View Full Record in Web of Science</v>
      </c>
    </row>
    <row r="238" spans="1:72" s="2" customFormat="1" x14ac:dyDescent="0.4">
      <c r="A238" s="2" t="s">
        <v>72</v>
      </c>
      <c r="B238" s="2" t="s">
        <v>3471</v>
      </c>
      <c r="C238" s="2" t="s">
        <v>74</v>
      </c>
      <c r="D238" s="2" t="s">
        <v>74</v>
      </c>
      <c r="E238" s="2" t="s">
        <v>74</v>
      </c>
      <c r="F238" s="2" t="s">
        <v>3472</v>
      </c>
      <c r="G238" s="2" t="s">
        <v>74</v>
      </c>
      <c r="H238" s="2" t="s">
        <v>74</v>
      </c>
      <c r="I238" s="2" t="s">
        <v>3473</v>
      </c>
      <c r="J238" s="2" t="s">
        <v>218</v>
      </c>
      <c r="K238" s="2" t="s">
        <v>74</v>
      </c>
      <c r="L238" s="2" t="s">
        <v>74</v>
      </c>
      <c r="M238" s="2" t="s">
        <v>74</v>
      </c>
      <c r="N238" s="2" t="s">
        <v>74</v>
      </c>
      <c r="O238" s="2" t="s">
        <v>74</v>
      </c>
      <c r="P238" s="2" t="s">
        <v>74</v>
      </c>
      <c r="Q238" s="2" t="s">
        <v>74</v>
      </c>
      <c r="R238" s="2" t="s">
        <v>74</v>
      </c>
      <c r="S238" s="2" t="s">
        <v>74</v>
      </c>
      <c r="T238" s="2" t="s">
        <v>74</v>
      </c>
      <c r="U238" s="2" t="s">
        <v>74</v>
      </c>
      <c r="V238" s="5" t="s">
        <v>3474</v>
      </c>
      <c r="W238" s="2" t="s">
        <v>74</v>
      </c>
      <c r="X238" s="2" t="s">
        <v>74</v>
      </c>
      <c r="Y238" s="2" t="s">
        <v>74</v>
      </c>
      <c r="Z238" s="2" t="s">
        <v>74</v>
      </c>
      <c r="AA238" s="2" t="s">
        <v>1724</v>
      </c>
      <c r="AB238" s="2" t="s">
        <v>1725</v>
      </c>
      <c r="AC238" s="2" t="s">
        <v>74</v>
      </c>
      <c r="AD238" s="2" t="s">
        <v>74</v>
      </c>
      <c r="AE238" s="2" t="s">
        <v>74</v>
      </c>
      <c r="AF238" s="2" t="s">
        <v>74</v>
      </c>
      <c r="AG238" s="2" t="s">
        <v>74</v>
      </c>
      <c r="AH238" s="2" t="s">
        <v>74</v>
      </c>
      <c r="AI238" s="2" t="s">
        <v>74</v>
      </c>
      <c r="AJ238" s="2" t="s">
        <v>74</v>
      </c>
      <c r="AK238" s="2" t="s">
        <v>74</v>
      </c>
      <c r="AL238" s="2" t="s">
        <v>74</v>
      </c>
      <c r="AM238" s="2" t="s">
        <v>74</v>
      </c>
      <c r="AN238" s="2" t="s">
        <v>74</v>
      </c>
      <c r="AO238" s="2" t="s">
        <v>221</v>
      </c>
      <c r="AP238" s="2" t="s">
        <v>222</v>
      </c>
      <c r="AQ238" s="2" t="s">
        <v>74</v>
      </c>
      <c r="AR238" s="2" t="s">
        <v>74</v>
      </c>
      <c r="AS238" s="2" t="s">
        <v>74</v>
      </c>
      <c r="AT238" s="2" t="s">
        <v>964</v>
      </c>
      <c r="AU238" s="2">
        <v>2014</v>
      </c>
      <c r="AV238" s="2">
        <v>27</v>
      </c>
      <c r="AW238" s="2">
        <v>2</v>
      </c>
      <c r="AX238" s="2" t="s">
        <v>74</v>
      </c>
      <c r="AY238" s="2" t="s">
        <v>74</v>
      </c>
      <c r="AZ238" s="2" t="s">
        <v>74</v>
      </c>
      <c r="BA238" s="2" t="s">
        <v>74</v>
      </c>
      <c r="BB238" s="2">
        <v>325</v>
      </c>
      <c r="BC238" s="2">
        <v>336</v>
      </c>
      <c r="BD238" s="2" t="s">
        <v>74</v>
      </c>
      <c r="BE238" s="2" t="s">
        <v>3475</v>
      </c>
      <c r="BF238" s="2" t="str">
        <f>HYPERLINK("http://dx.doi.org/10.1111/jeb.12295","http://dx.doi.org/10.1111/jeb.12295")</f>
        <v>http://dx.doi.org/10.1111/jeb.12295</v>
      </c>
      <c r="BG238" s="2" t="s">
        <v>74</v>
      </c>
      <c r="BH238" s="2" t="s">
        <v>74</v>
      </c>
      <c r="BI238" s="2" t="s">
        <v>74</v>
      </c>
      <c r="BJ238" s="2" t="s">
        <v>74</v>
      </c>
      <c r="BK238" s="2" t="s">
        <v>74</v>
      </c>
      <c r="BL238" s="2" t="s">
        <v>74</v>
      </c>
      <c r="BM238" s="2" t="s">
        <v>74</v>
      </c>
      <c r="BN238" s="2">
        <v>24341383</v>
      </c>
      <c r="BO238" s="2" t="s">
        <v>74</v>
      </c>
      <c r="BP238" s="2" t="s">
        <v>74</v>
      </c>
      <c r="BQ238" s="2" t="s">
        <v>74</v>
      </c>
      <c r="BR238" s="2" t="s">
        <v>74</v>
      </c>
      <c r="BS238" s="2" t="s">
        <v>3476</v>
      </c>
      <c r="BT238" s="2" t="str">
        <f>HYPERLINK("https%3A%2F%2Fwww.webofscience.com%2Fwos%2Fwoscc%2Ffull-record%2FWOS:000330016400008","View Full Record in Web of Science")</f>
        <v>View Full Record in Web of Science</v>
      </c>
    </row>
    <row r="239" spans="1:72" s="2" customFormat="1" x14ac:dyDescent="0.4">
      <c r="A239" s="2" t="s">
        <v>72</v>
      </c>
      <c r="B239" s="2" t="s">
        <v>364</v>
      </c>
      <c r="C239" s="2" t="s">
        <v>74</v>
      </c>
      <c r="D239" s="2" t="s">
        <v>74</v>
      </c>
      <c r="E239" s="2" t="s">
        <v>74</v>
      </c>
      <c r="F239" s="2" t="s">
        <v>365</v>
      </c>
      <c r="G239" s="2" t="s">
        <v>74</v>
      </c>
      <c r="H239" s="2" t="s">
        <v>74</v>
      </c>
      <c r="I239" s="2" t="s">
        <v>366</v>
      </c>
      <c r="J239" s="2" t="s">
        <v>367</v>
      </c>
      <c r="K239" s="2" t="s">
        <v>74</v>
      </c>
      <c r="L239" s="2" t="s">
        <v>74</v>
      </c>
      <c r="M239" s="2" t="s">
        <v>74</v>
      </c>
      <c r="N239" s="2" t="s">
        <v>74</v>
      </c>
      <c r="O239" s="2" t="s">
        <v>74</v>
      </c>
      <c r="P239" s="2" t="s">
        <v>74</v>
      </c>
      <c r="Q239" s="2" t="s">
        <v>74</v>
      </c>
      <c r="R239" s="2" t="s">
        <v>74</v>
      </c>
      <c r="S239" s="2" t="s">
        <v>74</v>
      </c>
      <c r="T239" s="2" t="s">
        <v>74</v>
      </c>
      <c r="U239" s="2" t="s">
        <v>74</v>
      </c>
      <c r="V239" s="5" t="s">
        <v>368</v>
      </c>
      <c r="W239" s="2" t="s">
        <v>74</v>
      </c>
      <c r="X239" s="2" t="s">
        <v>74</v>
      </c>
      <c r="Y239" s="2" t="s">
        <v>74</v>
      </c>
      <c r="Z239" s="2" t="s">
        <v>74</v>
      </c>
      <c r="AA239" s="2" t="s">
        <v>369</v>
      </c>
      <c r="AB239" s="2" t="s">
        <v>370</v>
      </c>
      <c r="AC239" s="2" t="s">
        <v>74</v>
      </c>
      <c r="AD239" s="2" t="s">
        <v>74</v>
      </c>
      <c r="AE239" s="2" t="s">
        <v>74</v>
      </c>
      <c r="AF239" s="2" t="s">
        <v>74</v>
      </c>
      <c r="AG239" s="2" t="s">
        <v>74</v>
      </c>
      <c r="AH239" s="2" t="s">
        <v>74</v>
      </c>
      <c r="AI239" s="2" t="s">
        <v>74</v>
      </c>
      <c r="AJ239" s="2" t="s">
        <v>74</v>
      </c>
      <c r="AK239" s="2" t="s">
        <v>74</v>
      </c>
      <c r="AL239" s="2" t="s">
        <v>74</v>
      </c>
      <c r="AM239" s="2" t="s">
        <v>74</v>
      </c>
      <c r="AN239" s="2" t="s">
        <v>74</v>
      </c>
      <c r="AO239" s="2" t="s">
        <v>371</v>
      </c>
      <c r="AP239" s="2" t="s">
        <v>372</v>
      </c>
      <c r="AQ239" s="2" t="s">
        <v>74</v>
      </c>
      <c r="AR239" s="2" t="s">
        <v>74</v>
      </c>
      <c r="AS239" s="2" t="s">
        <v>74</v>
      </c>
      <c r="AT239" s="2" t="s">
        <v>145</v>
      </c>
      <c r="AU239" s="2">
        <v>2009</v>
      </c>
      <c r="AV239" s="2">
        <v>123</v>
      </c>
      <c r="AW239" s="2">
        <v>3</v>
      </c>
      <c r="AX239" s="2" t="s">
        <v>74</v>
      </c>
      <c r="AY239" s="2" t="s">
        <v>74</v>
      </c>
      <c r="AZ239" s="2" t="s">
        <v>74</v>
      </c>
      <c r="BA239" s="2" t="s">
        <v>74</v>
      </c>
      <c r="BB239" s="2">
        <v>310</v>
      </c>
      <c r="BC239" s="2">
        <v>315</v>
      </c>
      <c r="BD239" s="2" t="s">
        <v>74</v>
      </c>
      <c r="BE239" s="2" t="s">
        <v>373</v>
      </c>
      <c r="BF239" s="2" t="str">
        <f>HYPERLINK("http://dx.doi.org/10.1037/a0015837","http://dx.doi.org/10.1037/a0015837")</f>
        <v>http://dx.doi.org/10.1037/a0015837</v>
      </c>
      <c r="BG239" s="2" t="s">
        <v>74</v>
      </c>
      <c r="BH239" s="2" t="s">
        <v>74</v>
      </c>
      <c r="BI239" s="2" t="s">
        <v>74</v>
      </c>
      <c r="BJ239" s="2" t="s">
        <v>74</v>
      </c>
      <c r="BK239" s="2" t="s">
        <v>74</v>
      </c>
      <c r="BL239" s="2" t="s">
        <v>74</v>
      </c>
      <c r="BM239" s="2" t="s">
        <v>74</v>
      </c>
      <c r="BN239" s="2">
        <v>19685973</v>
      </c>
      <c r="BO239" s="2" t="s">
        <v>74</v>
      </c>
      <c r="BP239" s="2" t="s">
        <v>74</v>
      </c>
      <c r="BQ239" s="2" t="s">
        <v>74</v>
      </c>
      <c r="BR239" s="2" t="s">
        <v>74</v>
      </c>
      <c r="BS239" s="2" t="s">
        <v>374</v>
      </c>
      <c r="BT239" s="2" t="str">
        <f>HYPERLINK("https%3A%2F%2Fwww.webofscience.com%2Fwos%2Fwoscc%2Ffull-record%2FWOS:000268963900010","View Full Record in Web of Science")</f>
        <v>View Full Record in Web of Science</v>
      </c>
    </row>
    <row r="240" spans="1:72" s="2" customFormat="1" x14ac:dyDescent="0.4">
      <c r="A240" s="2" t="s">
        <v>72</v>
      </c>
      <c r="B240" s="2" t="s">
        <v>364</v>
      </c>
      <c r="C240" s="2" t="s">
        <v>74</v>
      </c>
      <c r="D240" s="2" t="s">
        <v>74</v>
      </c>
      <c r="E240" s="2" t="s">
        <v>74</v>
      </c>
      <c r="F240" s="2" t="s">
        <v>365</v>
      </c>
      <c r="G240" s="2" t="s">
        <v>74</v>
      </c>
      <c r="H240" s="2" t="s">
        <v>74</v>
      </c>
      <c r="I240" s="2" t="s">
        <v>5467</v>
      </c>
      <c r="J240" s="2" t="s">
        <v>119</v>
      </c>
      <c r="K240" s="2" t="s">
        <v>74</v>
      </c>
      <c r="L240" s="2" t="s">
        <v>74</v>
      </c>
      <c r="M240" s="2" t="s">
        <v>74</v>
      </c>
      <c r="N240" s="2" t="s">
        <v>74</v>
      </c>
      <c r="O240" s="2" t="s">
        <v>74</v>
      </c>
      <c r="P240" s="2" t="s">
        <v>74</v>
      </c>
      <c r="Q240" s="2" t="s">
        <v>74</v>
      </c>
      <c r="R240" s="2" t="s">
        <v>74</v>
      </c>
      <c r="S240" s="2" t="s">
        <v>74</v>
      </c>
      <c r="T240" s="2" t="s">
        <v>74</v>
      </c>
      <c r="U240" s="2" t="s">
        <v>74</v>
      </c>
      <c r="V240" s="5" t="s">
        <v>5468</v>
      </c>
      <c r="W240" s="2" t="s">
        <v>74</v>
      </c>
      <c r="X240" s="2" t="s">
        <v>74</v>
      </c>
      <c r="Y240" s="2" t="s">
        <v>74</v>
      </c>
      <c r="Z240" s="2" t="s">
        <v>74</v>
      </c>
      <c r="AA240" s="2" t="s">
        <v>369</v>
      </c>
      <c r="AB240" s="2" t="s">
        <v>370</v>
      </c>
      <c r="AC240" s="2" t="s">
        <v>74</v>
      </c>
      <c r="AD240" s="2" t="s">
        <v>74</v>
      </c>
      <c r="AE240" s="2" t="s">
        <v>74</v>
      </c>
      <c r="AF240" s="2" t="s">
        <v>74</v>
      </c>
      <c r="AG240" s="2" t="s">
        <v>74</v>
      </c>
      <c r="AH240" s="2" t="s">
        <v>74</v>
      </c>
      <c r="AI240" s="2" t="s">
        <v>74</v>
      </c>
      <c r="AJ240" s="2" t="s">
        <v>74</v>
      </c>
      <c r="AK240" s="2" t="s">
        <v>74</v>
      </c>
      <c r="AL240" s="2" t="s">
        <v>74</v>
      </c>
      <c r="AM240" s="2" t="s">
        <v>74</v>
      </c>
      <c r="AN240" s="2" t="s">
        <v>74</v>
      </c>
      <c r="AO240" s="2" t="s">
        <v>121</v>
      </c>
      <c r="AP240" s="2" t="s">
        <v>122</v>
      </c>
      <c r="AQ240" s="2" t="s">
        <v>74</v>
      </c>
      <c r="AR240" s="2" t="s">
        <v>74</v>
      </c>
      <c r="AS240" s="2" t="s">
        <v>74</v>
      </c>
      <c r="AT240" s="2" t="s">
        <v>255</v>
      </c>
      <c r="AU240" s="2">
        <v>2009</v>
      </c>
      <c r="AV240" s="2">
        <v>80</v>
      </c>
      <c r="AW240" s="2">
        <v>1</v>
      </c>
      <c r="AX240" s="2" t="s">
        <v>74</v>
      </c>
      <c r="AY240" s="2" t="s">
        <v>74</v>
      </c>
      <c r="AZ240" s="2" t="s">
        <v>74</v>
      </c>
      <c r="BA240" s="2" t="s">
        <v>74</v>
      </c>
      <c r="BB240" s="2">
        <v>90</v>
      </c>
      <c r="BC240" s="2">
        <v>98</v>
      </c>
      <c r="BD240" s="2" t="s">
        <v>74</v>
      </c>
      <c r="BE240" s="2" t="s">
        <v>5469</v>
      </c>
      <c r="BF240" s="2" t="str">
        <f>HYPERLINK("http://dx.doi.org/10.1016/j.beproc.2008.10.007","http://dx.doi.org/10.1016/j.beproc.2008.10.007")</f>
        <v>http://dx.doi.org/10.1016/j.beproc.2008.10.007</v>
      </c>
      <c r="BG240" s="2" t="s">
        <v>74</v>
      </c>
      <c r="BH240" s="2" t="s">
        <v>74</v>
      </c>
      <c r="BI240" s="2" t="s">
        <v>74</v>
      </c>
      <c r="BJ240" s="2" t="s">
        <v>74</v>
      </c>
      <c r="BK240" s="2" t="s">
        <v>74</v>
      </c>
      <c r="BL240" s="2" t="s">
        <v>74</v>
      </c>
      <c r="BM240" s="2" t="s">
        <v>74</v>
      </c>
      <c r="BN240" s="2">
        <v>19010401</v>
      </c>
      <c r="BO240" s="2" t="s">
        <v>74</v>
      </c>
      <c r="BP240" s="2" t="s">
        <v>74</v>
      </c>
      <c r="BQ240" s="2" t="s">
        <v>74</v>
      </c>
      <c r="BR240" s="2" t="s">
        <v>74</v>
      </c>
      <c r="BS240" s="2" t="s">
        <v>5470</v>
      </c>
      <c r="BT240" s="2" t="str">
        <f>HYPERLINK("https%3A%2F%2Fwww.webofscience.com%2Fwos%2Fwoscc%2Ffull-record%2FWOS:000262546900014","View Full Record in Web of Science")</f>
        <v>View Full Record in Web of Science</v>
      </c>
    </row>
    <row r="241" spans="1:72" s="2" customFormat="1" x14ac:dyDescent="0.4">
      <c r="A241" s="2" t="s">
        <v>72</v>
      </c>
      <c r="B241" s="2" t="s">
        <v>4862</v>
      </c>
      <c r="C241" s="2" t="s">
        <v>74</v>
      </c>
      <c r="D241" s="2" t="s">
        <v>74</v>
      </c>
      <c r="E241" s="2" t="s">
        <v>74</v>
      </c>
      <c r="F241" s="2" t="s">
        <v>4863</v>
      </c>
      <c r="G241" s="2" t="s">
        <v>74</v>
      </c>
      <c r="H241" s="2" t="s">
        <v>74</v>
      </c>
      <c r="I241" s="2" t="s">
        <v>4864</v>
      </c>
      <c r="J241" s="2" t="s">
        <v>610</v>
      </c>
      <c r="K241" s="2" t="s">
        <v>74</v>
      </c>
      <c r="L241" s="2" t="s">
        <v>74</v>
      </c>
      <c r="M241" s="2" t="s">
        <v>74</v>
      </c>
      <c r="N241" s="2" t="s">
        <v>74</v>
      </c>
      <c r="O241" s="2" t="s">
        <v>74</v>
      </c>
      <c r="P241" s="2" t="s">
        <v>74</v>
      </c>
      <c r="Q241" s="2" t="s">
        <v>74</v>
      </c>
      <c r="R241" s="2" t="s">
        <v>74</v>
      </c>
      <c r="S241" s="2" t="s">
        <v>74</v>
      </c>
      <c r="T241" s="2" t="s">
        <v>74</v>
      </c>
      <c r="U241" s="2" t="s">
        <v>74</v>
      </c>
      <c r="V241" s="5" t="s">
        <v>4865</v>
      </c>
      <c r="W241" s="2" t="s">
        <v>74</v>
      </c>
      <c r="X241" s="2" t="s">
        <v>74</v>
      </c>
      <c r="Y241" s="2" t="s">
        <v>74</v>
      </c>
      <c r="Z241" s="2" t="s">
        <v>74</v>
      </c>
      <c r="AA241" s="2" t="s">
        <v>4866</v>
      </c>
      <c r="AB241" s="2" t="s">
        <v>4867</v>
      </c>
      <c r="AC241" s="2" t="s">
        <v>74</v>
      </c>
      <c r="AD241" s="2" t="s">
        <v>74</v>
      </c>
      <c r="AE241" s="2" t="s">
        <v>74</v>
      </c>
      <c r="AF241" s="2" t="s">
        <v>74</v>
      </c>
      <c r="AG241" s="2" t="s">
        <v>74</v>
      </c>
      <c r="AH241" s="2" t="s">
        <v>74</v>
      </c>
      <c r="AI241" s="2" t="s">
        <v>74</v>
      </c>
      <c r="AJ241" s="2" t="s">
        <v>74</v>
      </c>
      <c r="AK241" s="2" t="s">
        <v>74</v>
      </c>
      <c r="AL241" s="2" t="s">
        <v>74</v>
      </c>
      <c r="AM241" s="2" t="s">
        <v>74</v>
      </c>
      <c r="AN241" s="2" t="s">
        <v>74</v>
      </c>
      <c r="AO241" s="2" t="s">
        <v>614</v>
      </c>
      <c r="AP241" s="2" t="s">
        <v>615</v>
      </c>
      <c r="AQ241" s="2" t="s">
        <v>74</v>
      </c>
      <c r="AR241" s="2" t="s">
        <v>74</v>
      </c>
      <c r="AS241" s="2" t="s">
        <v>74</v>
      </c>
      <c r="AT241" s="2" t="s">
        <v>255</v>
      </c>
      <c r="AU241" s="2">
        <v>2009</v>
      </c>
      <c r="AV241" s="2">
        <v>115</v>
      </c>
      <c r="AW241" s="2">
        <v>1</v>
      </c>
      <c r="AX241" s="2" t="s">
        <v>74</v>
      </c>
      <c r="AY241" s="2" t="s">
        <v>74</v>
      </c>
      <c r="AZ241" s="2" t="s">
        <v>74</v>
      </c>
      <c r="BA241" s="2" t="s">
        <v>74</v>
      </c>
      <c r="BB241" s="2">
        <v>23</v>
      </c>
      <c r="BC241" s="2">
        <v>32</v>
      </c>
      <c r="BD241" s="2" t="s">
        <v>74</v>
      </c>
      <c r="BE241" s="2" t="s">
        <v>4868</v>
      </c>
      <c r="BF241" s="2" t="str">
        <f>HYPERLINK("http://dx.doi.org/10.1111/j.1439-0310.2008.01584.x","http://dx.doi.org/10.1111/j.1439-0310.2008.01584.x")</f>
        <v>http://dx.doi.org/10.1111/j.1439-0310.2008.01584.x</v>
      </c>
      <c r="BG241" s="2" t="s">
        <v>74</v>
      </c>
      <c r="BH241" s="2" t="s">
        <v>74</v>
      </c>
      <c r="BI241" s="2" t="s">
        <v>74</v>
      </c>
      <c r="BJ241" s="2" t="s">
        <v>74</v>
      </c>
      <c r="BK241" s="2" t="s">
        <v>74</v>
      </c>
      <c r="BL241" s="2" t="s">
        <v>74</v>
      </c>
      <c r="BM241" s="2" t="s">
        <v>74</v>
      </c>
      <c r="BN241" s="2" t="s">
        <v>74</v>
      </c>
      <c r="BO241" s="2" t="s">
        <v>74</v>
      </c>
      <c r="BP241" s="2" t="s">
        <v>74</v>
      </c>
      <c r="BQ241" s="2" t="s">
        <v>74</v>
      </c>
      <c r="BR241" s="2" t="s">
        <v>74</v>
      </c>
      <c r="BS241" s="2" t="s">
        <v>4869</v>
      </c>
      <c r="BT241" s="2" t="str">
        <f>HYPERLINK("https%3A%2F%2Fwww.webofscience.com%2Fwos%2Fwoscc%2Ffull-record%2FWOS:000261836000004","View Full Record in Web of Science")</f>
        <v>View Full Record in Web of Science</v>
      </c>
    </row>
    <row r="242" spans="1:72" s="2" customFormat="1" x14ac:dyDescent="0.4">
      <c r="A242" s="2" t="s">
        <v>72</v>
      </c>
      <c r="B242" s="2" t="s">
        <v>6759</v>
      </c>
      <c r="C242" s="2" t="s">
        <v>74</v>
      </c>
      <c r="D242" s="2" t="s">
        <v>74</v>
      </c>
      <c r="E242" s="2" t="s">
        <v>74</v>
      </c>
      <c r="F242" s="2" t="s">
        <v>6759</v>
      </c>
      <c r="G242" s="2" t="s">
        <v>74</v>
      </c>
      <c r="H242" s="2" t="s">
        <v>74</v>
      </c>
      <c r="I242" s="2" t="s">
        <v>6760</v>
      </c>
      <c r="J242" s="2" t="s">
        <v>312</v>
      </c>
      <c r="K242" s="2" t="s">
        <v>74</v>
      </c>
      <c r="L242" s="2" t="s">
        <v>74</v>
      </c>
      <c r="M242" s="2" t="s">
        <v>74</v>
      </c>
      <c r="N242" s="2" t="s">
        <v>74</v>
      </c>
      <c r="O242" s="2" t="s">
        <v>74</v>
      </c>
      <c r="P242" s="2" t="s">
        <v>74</v>
      </c>
      <c r="Q242" s="2" t="s">
        <v>74</v>
      </c>
      <c r="R242" s="2" t="s">
        <v>74</v>
      </c>
      <c r="S242" s="2" t="s">
        <v>74</v>
      </c>
      <c r="T242" s="2" t="s">
        <v>74</v>
      </c>
      <c r="U242" s="2" t="s">
        <v>74</v>
      </c>
      <c r="V242" s="5" t="s">
        <v>6761</v>
      </c>
      <c r="W242" s="2" t="s">
        <v>74</v>
      </c>
      <c r="X242" s="2" t="s">
        <v>74</v>
      </c>
      <c r="Y242" s="2" t="s">
        <v>74</v>
      </c>
      <c r="Z242" s="2" t="s">
        <v>74</v>
      </c>
      <c r="AA242" s="2" t="s">
        <v>1724</v>
      </c>
      <c r="AB242" s="2" t="s">
        <v>1725</v>
      </c>
      <c r="AC242" s="2" t="s">
        <v>74</v>
      </c>
      <c r="AD242" s="2" t="s">
        <v>74</v>
      </c>
      <c r="AE242" s="2" t="s">
        <v>74</v>
      </c>
      <c r="AF242" s="2" t="s">
        <v>74</v>
      </c>
      <c r="AG242" s="2" t="s">
        <v>74</v>
      </c>
      <c r="AH242" s="2" t="s">
        <v>74</v>
      </c>
      <c r="AI242" s="2" t="s">
        <v>74</v>
      </c>
      <c r="AJ242" s="2" t="s">
        <v>74</v>
      </c>
      <c r="AK242" s="2" t="s">
        <v>74</v>
      </c>
      <c r="AL242" s="2" t="s">
        <v>74</v>
      </c>
      <c r="AM242" s="2" t="s">
        <v>74</v>
      </c>
      <c r="AN242" s="2" t="s">
        <v>74</v>
      </c>
      <c r="AO242" s="2" t="s">
        <v>314</v>
      </c>
      <c r="AP242" s="2" t="s">
        <v>74</v>
      </c>
      <c r="AQ242" s="2" t="s">
        <v>74</v>
      </c>
      <c r="AR242" s="2" t="s">
        <v>74</v>
      </c>
      <c r="AS242" s="2" t="s">
        <v>74</v>
      </c>
      <c r="AT242" s="2" t="s">
        <v>134</v>
      </c>
      <c r="AU242" s="2">
        <v>2002</v>
      </c>
      <c r="AV242" s="2">
        <v>159</v>
      </c>
      <c r="AW242" s="2">
        <v>5</v>
      </c>
      <c r="AX242" s="2" t="s">
        <v>74</v>
      </c>
      <c r="AY242" s="2" t="s">
        <v>74</v>
      </c>
      <c r="AZ242" s="2" t="s">
        <v>74</v>
      </c>
      <c r="BA242" s="2" t="s">
        <v>74</v>
      </c>
      <c r="BB242" s="2">
        <v>438</v>
      </c>
      <c r="BC242" s="2">
        <v>450</v>
      </c>
      <c r="BD242" s="2" t="s">
        <v>74</v>
      </c>
      <c r="BE242" s="2" t="s">
        <v>6762</v>
      </c>
      <c r="BF242" s="2" t="str">
        <f>HYPERLINK("http://dx.doi.org/10.1086/339457","http://dx.doi.org/10.1086/339457")</f>
        <v>http://dx.doi.org/10.1086/339457</v>
      </c>
      <c r="BG242" s="2" t="s">
        <v>74</v>
      </c>
      <c r="BH242" s="2" t="s">
        <v>74</v>
      </c>
      <c r="BI242" s="2" t="s">
        <v>74</v>
      </c>
      <c r="BJ242" s="2" t="s">
        <v>74</v>
      </c>
      <c r="BK242" s="2" t="s">
        <v>74</v>
      </c>
      <c r="BL242" s="2" t="s">
        <v>74</v>
      </c>
      <c r="BM242" s="2" t="s">
        <v>74</v>
      </c>
      <c r="BN242" s="2">
        <v>18707428</v>
      </c>
      <c r="BO242" s="2" t="s">
        <v>74</v>
      </c>
      <c r="BP242" s="2" t="s">
        <v>74</v>
      </c>
      <c r="BQ242" s="2" t="s">
        <v>74</v>
      </c>
      <c r="BR242" s="2" t="s">
        <v>74</v>
      </c>
      <c r="BS242" s="2" t="s">
        <v>6763</v>
      </c>
      <c r="BT242" s="2" t="str">
        <f>HYPERLINK("https%3A%2F%2Fwww.webofscience.com%2Fwos%2Fwoscc%2Ffull-record%2FWOS:000175302800002","View Full Record in Web of Science")</f>
        <v>View Full Record in Web of Science</v>
      </c>
    </row>
    <row r="243" spans="1:72" s="2" customFormat="1" x14ac:dyDescent="0.4">
      <c r="A243" s="2" t="s">
        <v>72</v>
      </c>
      <c r="B243" s="2" t="s">
        <v>8168</v>
      </c>
      <c r="C243" s="2" t="s">
        <v>74</v>
      </c>
      <c r="D243" s="2" t="s">
        <v>74</v>
      </c>
      <c r="E243" s="2" t="s">
        <v>74</v>
      </c>
      <c r="F243" s="2" t="s">
        <v>8168</v>
      </c>
      <c r="G243" s="2" t="s">
        <v>74</v>
      </c>
      <c r="H243" s="2" t="s">
        <v>74</v>
      </c>
      <c r="I243" s="2" t="s">
        <v>8169</v>
      </c>
      <c r="J243" s="2" t="s">
        <v>171</v>
      </c>
      <c r="K243" s="2" t="s">
        <v>74</v>
      </c>
      <c r="L243" s="2" t="s">
        <v>74</v>
      </c>
      <c r="M243" s="2" t="s">
        <v>74</v>
      </c>
      <c r="N243" s="2" t="s">
        <v>74</v>
      </c>
      <c r="O243" s="2" t="s">
        <v>74</v>
      </c>
      <c r="P243" s="2" t="s">
        <v>74</v>
      </c>
      <c r="Q243" s="2" t="s">
        <v>74</v>
      </c>
      <c r="R243" s="2" t="s">
        <v>74</v>
      </c>
      <c r="S243" s="2" t="s">
        <v>74</v>
      </c>
      <c r="T243" s="2" t="s">
        <v>74</v>
      </c>
      <c r="U243" s="2" t="s">
        <v>74</v>
      </c>
      <c r="V243" s="5" t="s">
        <v>8170</v>
      </c>
      <c r="W243" s="2" t="s">
        <v>74</v>
      </c>
      <c r="X243" s="2" t="s">
        <v>74</v>
      </c>
      <c r="Y243" s="2" t="s">
        <v>74</v>
      </c>
      <c r="Z243" s="2" t="s">
        <v>74</v>
      </c>
      <c r="AA243" s="2" t="s">
        <v>8171</v>
      </c>
      <c r="AB243" s="2" t="s">
        <v>8172</v>
      </c>
      <c r="AC243" s="2" t="s">
        <v>74</v>
      </c>
      <c r="AD243" s="2" t="s">
        <v>74</v>
      </c>
      <c r="AE243" s="2" t="s">
        <v>74</v>
      </c>
      <c r="AF243" s="2" t="s">
        <v>74</v>
      </c>
      <c r="AG243" s="2" t="s">
        <v>74</v>
      </c>
      <c r="AH243" s="2" t="s">
        <v>74</v>
      </c>
      <c r="AI243" s="2" t="s">
        <v>74</v>
      </c>
      <c r="AJ243" s="2" t="s">
        <v>74</v>
      </c>
      <c r="AK243" s="2" t="s">
        <v>74</v>
      </c>
      <c r="AL243" s="2" t="s">
        <v>74</v>
      </c>
      <c r="AM243" s="2" t="s">
        <v>74</v>
      </c>
      <c r="AN243" s="2" t="s">
        <v>74</v>
      </c>
      <c r="AO243" s="2" t="s">
        <v>173</v>
      </c>
      <c r="AP243" s="2" t="s">
        <v>174</v>
      </c>
      <c r="AQ243" s="2" t="s">
        <v>74</v>
      </c>
      <c r="AR243" s="2" t="s">
        <v>74</v>
      </c>
      <c r="AS243" s="2" t="s">
        <v>74</v>
      </c>
      <c r="AT243" s="2" t="s">
        <v>305</v>
      </c>
      <c r="AU243" s="2">
        <v>1998</v>
      </c>
      <c r="AV243" s="2">
        <v>52</v>
      </c>
      <c r="AW243" s="2">
        <v>6</v>
      </c>
      <c r="AX243" s="2" t="s">
        <v>74</v>
      </c>
      <c r="AY243" s="2" t="s">
        <v>74</v>
      </c>
      <c r="AZ243" s="2" t="s">
        <v>74</v>
      </c>
      <c r="BA243" s="2" t="s">
        <v>74</v>
      </c>
      <c r="BB243" s="2">
        <v>1602</v>
      </c>
      <c r="BC243" s="2">
        <v>1611</v>
      </c>
      <c r="BD243" s="2" t="s">
        <v>74</v>
      </c>
      <c r="BE243" s="2" t="s">
        <v>8173</v>
      </c>
      <c r="BF243" s="2" t="str">
        <f>HYPERLINK("http://dx.doi.org/10.1111/j.1558-5646.1998.tb02241.x","http://dx.doi.org/10.1111/j.1558-5646.1998.tb02241.x")</f>
        <v>http://dx.doi.org/10.1111/j.1558-5646.1998.tb02241.x</v>
      </c>
      <c r="BG243" s="2" t="s">
        <v>74</v>
      </c>
      <c r="BH243" s="2" t="s">
        <v>74</v>
      </c>
      <c r="BI243" s="2" t="s">
        <v>74</v>
      </c>
      <c r="BJ243" s="2" t="s">
        <v>74</v>
      </c>
      <c r="BK243" s="2" t="s">
        <v>74</v>
      </c>
      <c r="BL243" s="2" t="s">
        <v>74</v>
      </c>
      <c r="BM243" s="2" t="s">
        <v>74</v>
      </c>
      <c r="BN243" s="2">
        <v>28565336</v>
      </c>
      <c r="BO243" s="2" t="s">
        <v>74</v>
      </c>
      <c r="BP243" s="2" t="s">
        <v>74</v>
      </c>
      <c r="BQ243" s="2" t="s">
        <v>74</v>
      </c>
      <c r="BR243" s="2" t="s">
        <v>74</v>
      </c>
      <c r="BS243" s="2" t="s">
        <v>8174</v>
      </c>
      <c r="BT243" s="2" t="str">
        <f>HYPERLINK("https%3A%2F%2Fwww.webofscience.com%2Fwos%2Fwoscc%2Ffull-record%2FWOS:000078076700007","View Full Record in Web of Science")</f>
        <v>View Full Record in Web of Science</v>
      </c>
    </row>
    <row r="244" spans="1:72" s="2" customFormat="1" x14ac:dyDescent="0.4">
      <c r="A244" s="2" t="s">
        <v>72</v>
      </c>
      <c r="B244" s="2" t="s">
        <v>4640</v>
      </c>
      <c r="C244" s="2" t="s">
        <v>74</v>
      </c>
      <c r="D244" s="2" t="s">
        <v>74</v>
      </c>
      <c r="E244" s="2" t="s">
        <v>74</v>
      </c>
      <c r="F244" s="2" t="s">
        <v>4640</v>
      </c>
      <c r="G244" s="2" t="s">
        <v>74</v>
      </c>
      <c r="H244" s="2" t="s">
        <v>74</v>
      </c>
      <c r="I244" s="2" t="s">
        <v>4641</v>
      </c>
      <c r="J244" s="2" t="s">
        <v>140</v>
      </c>
      <c r="K244" s="2" t="s">
        <v>74</v>
      </c>
      <c r="L244" s="2" t="s">
        <v>74</v>
      </c>
      <c r="M244" s="2" t="s">
        <v>74</v>
      </c>
      <c r="N244" s="2" t="s">
        <v>74</v>
      </c>
      <c r="O244" s="2" t="s">
        <v>74</v>
      </c>
      <c r="P244" s="2" t="s">
        <v>74</v>
      </c>
      <c r="Q244" s="2" t="s">
        <v>74</v>
      </c>
      <c r="R244" s="2" t="s">
        <v>74</v>
      </c>
      <c r="S244" s="2" t="s">
        <v>74</v>
      </c>
      <c r="T244" s="2" t="s">
        <v>74</v>
      </c>
      <c r="U244" s="2" t="s">
        <v>74</v>
      </c>
      <c r="V244" s="5" t="s">
        <v>4642</v>
      </c>
      <c r="W244" s="2" t="s">
        <v>74</v>
      </c>
      <c r="X244" s="2" t="s">
        <v>74</v>
      </c>
      <c r="Y244" s="2" t="s">
        <v>74</v>
      </c>
      <c r="Z244" s="2" t="s">
        <v>74</v>
      </c>
      <c r="AA244" s="2" t="s">
        <v>4643</v>
      </c>
      <c r="AB244" s="2" t="s">
        <v>74</v>
      </c>
      <c r="AC244" s="2" t="s">
        <v>74</v>
      </c>
      <c r="AD244" s="2" t="s">
        <v>74</v>
      </c>
      <c r="AE244" s="2" t="s">
        <v>74</v>
      </c>
      <c r="AF244" s="2" t="s">
        <v>74</v>
      </c>
      <c r="AG244" s="2" t="s">
        <v>74</v>
      </c>
      <c r="AH244" s="2" t="s">
        <v>74</v>
      </c>
      <c r="AI244" s="2" t="s">
        <v>74</v>
      </c>
      <c r="AJ244" s="2" t="s">
        <v>74</v>
      </c>
      <c r="AK244" s="2" t="s">
        <v>74</v>
      </c>
      <c r="AL244" s="2" t="s">
        <v>74</v>
      </c>
      <c r="AM244" s="2" t="s">
        <v>74</v>
      </c>
      <c r="AN244" s="2" t="s">
        <v>74</v>
      </c>
      <c r="AO244" s="2" t="s">
        <v>143</v>
      </c>
      <c r="AP244" s="2" t="s">
        <v>74</v>
      </c>
      <c r="AQ244" s="2" t="s">
        <v>74</v>
      </c>
      <c r="AR244" s="2" t="s">
        <v>74</v>
      </c>
      <c r="AS244" s="2" t="s">
        <v>74</v>
      </c>
      <c r="AT244" s="2" t="s">
        <v>204</v>
      </c>
      <c r="AU244" s="2">
        <v>1999</v>
      </c>
      <c r="AV244" s="2">
        <v>58</v>
      </c>
      <c r="AW244" s="2" t="s">
        <v>74</v>
      </c>
      <c r="AX244" s="2">
        <v>1</v>
      </c>
      <c r="AY244" s="2" t="s">
        <v>74</v>
      </c>
      <c r="AZ244" s="2" t="s">
        <v>74</v>
      </c>
      <c r="BA244" s="2" t="s">
        <v>74</v>
      </c>
      <c r="BB244" s="2">
        <v>151</v>
      </c>
      <c r="BC244" s="2">
        <v>158</v>
      </c>
      <c r="BD244" s="2" t="s">
        <v>74</v>
      </c>
      <c r="BE244" s="2" t="s">
        <v>4644</v>
      </c>
      <c r="BF244" s="2" t="str">
        <f>HYPERLINK("http://dx.doi.org/10.1006/anbe.1999.1121","http://dx.doi.org/10.1006/anbe.1999.1121")</f>
        <v>http://dx.doi.org/10.1006/anbe.1999.1121</v>
      </c>
      <c r="BG244" s="2" t="s">
        <v>74</v>
      </c>
      <c r="BH244" s="2" t="s">
        <v>74</v>
      </c>
      <c r="BI244" s="2" t="s">
        <v>74</v>
      </c>
      <c r="BJ244" s="2" t="s">
        <v>74</v>
      </c>
      <c r="BK244" s="2" t="s">
        <v>74</v>
      </c>
      <c r="BL244" s="2" t="s">
        <v>74</v>
      </c>
      <c r="BM244" s="2" t="s">
        <v>74</v>
      </c>
      <c r="BN244" s="2">
        <v>10413551</v>
      </c>
      <c r="BO244" s="2" t="s">
        <v>74</v>
      </c>
      <c r="BP244" s="2" t="s">
        <v>74</v>
      </c>
      <c r="BQ244" s="2" t="s">
        <v>74</v>
      </c>
      <c r="BR244" s="2" t="s">
        <v>74</v>
      </c>
      <c r="BS244" s="2" t="s">
        <v>4645</v>
      </c>
      <c r="BT244" s="2" t="str">
        <f>HYPERLINK("https%3A%2F%2Fwww.webofscience.com%2Fwos%2Fwoscc%2Ffull-record%2FWOS:000081982700017","View Full Record in Web of Science")</f>
        <v>View Full Record in Web of Science</v>
      </c>
    </row>
    <row r="245" spans="1:72" s="2" customFormat="1" x14ac:dyDescent="0.4">
      <c r="A245" s="2" t="s">
        <v>72</v>
      </c>
      <c r="B245" s="2" t="s">
        <v>8216</v>
      </c>
      <c r="C245" s="2" t="s">
        <v>74</v>
      </c>
      <c r="D245" s="2" t="s">
        <v>74</v>
      </c>
      <c r="E245" s="2" t="s">
        <v>74</v>
      </c>
      <c r="F245" s="2" t="s">
        <v>8217</v>
      </c>
      <c r="G245" s="2" t="s">
        <v>74</v>
      </c>
      <c r="H245" s="2" t="s">
        <v>74</v>
      </c>
      <c r="I245" s="2" t="s">
        <v>8218</v>
      </c>
      <c r="J245" s="2" t="s">
        <v>1574</v>
      </c>
      <c r="K245" s="2" t="s">
        <v>74</v>
      </c>
      <c r="L245" s="2" t="s">
        <v>74</v>
      </c>
      <c r="M245" s="2" t="s">
        <v>74</v>
      </c>
      <c r="N245" s="2" t="s">
        <v>74</v>
      </c>
      <c r="O245" s="2" t="s">
        <v>74</v>
      </c>
      <c r="P245" s="2" t="s">
        <v>74</v>
      </c>
      <c r="Q245" s="2" t="s">
        <v>74</v>
      </c>
      <c r="R245" s="2" t="s">
        <v>74</v>
      </c>
      <c r="S245" s="2" t="s">
        <v>74</v>
      </c>
      <c r="T245" s="2" t="s">
        <v>74</v>
      </c>
      <c r="U245" s="2" t="s">
        <v>74</v>
      </c>
      <c r="V245" s="5" t="s">
        <v>8219</v>
      </c>
      <c r="W245" s="2" t="s">
        <v>74</v>
      </c>
      <c r="X245" s="2" t="s">
        <v>74</v>
      </c>
      <c r="Y245" s="2" t="s">
        <v>74</v>
      </c>
      <c r="Z245" s="2" t="s">
        <v>74</v>
      </c>
      <c r="AA245" s="2" t="s">
        <v>74</v>
      </c>
      <c r="AB245" s="2" t="s">
        <v>74</v>
      </c>
      <c r="AC245" s="2" t="s">
        <v>74</v>
      </c>
      <c r="AD245" s="2" t="s">
        <v>74</v>
      </c>
      <c r="AE245" s="2" t="s">
        <v>74</v>
      </c>
      <c r="AF245" s="2" t="s">
        <v>74</v>
      </c>
      <c r="AG245" s="2" t="s">
        <v>74</v>
      </c>
      <c r="AH245" s="2" t="s">
        <v>74</v>
      </c>
      <c r="AI245" s="2" t="s">
        <v>74</v>
      </c>
      <c r="AJ245" s="2" t="s">
        <v>74</v>
      </c>
      <c r="AK245" s="2" t="s">
        <v>74</v>
      </c>
      <c r="AL245" s="2" t="s">
        <v>74</v>
      </c>
      <c r="AM245" s="2" t="s">
        <v>74</v>
      </c>
      <c r="AN245" s="2" t="s">
        <v>74</v>
      </c>
      <c r="AO245" s="2" t="s">
        <v>1576</v>
      </c>
      <c r="AP245" s="2" t="s">
        <v>1577</v>
      </c>
      <c r="AQ245" s="2" t="s">
        <v>74</v>
      </c>
      <c r="AR245" s="2" t="s">
        <v>74</v>
      </c>
      <c r="AS245" s="2" t="s">
        <v>74</v>
      </c>
      <c r="AT245" s="2" t="s">
        <v>204</v>
      </c>
      <c r="AU245" s="2">
        <v>2022</v>
      </c>
      <c r="AV245" s="2">
        <v>97</v>
      </c>
      <c r="AW245" s="2" t="s">
        <v>1276</v>
      </c>
      <c r="AX245" s="2" t="s">
        <v>74</v>
      </c>
      <c r="AY245" s="2" t="s">
        <v>74</v>
      </c>
      <c r="AZ245" s="2" t="s">
        <v>74</v>
      </c>
      <c r="BA245" s="2" t="s">
        <v>74</v>
      </c>
      <c r="BB245" s="2">
        <v>184</v>
      </c>
      <c r="BC245" s="2">
        <v>196</v>
      </c>
      <c r="BD245" s="2" t="s">
        <v>74</v>
      </c>
      <c r="BE245" s="2" t="s">
        <v>8220</v>
      </c>
      <c r="BF245" s="2" t="str">
        <f>HYPERLINK("http://dx.doi.org/10.1159/000524217","http://dx.doi.org/10.1159/000524217")</f>
        <v>http://dx.doi.org/10.1159/000524217</v>
      </c>
      <c r="BG245" s="2" t="s">
        <v>74</v>
      </c>
      <c r="BH245" s="2" t="s">
        <v>74</v>
      </c>
      <c r="BI245" s="2" t="s">
        <v>74</v>
      </c>
      <c r="BJ245" s="2" t="s">
        <v>74</v>
      </c>
      <c r="BK245" s="2" t="s">
        <v>74</v>
      </c>
      <c r="BL245" s="2" t="s">
        <v>74</v>
      </c>
      <c r="BM245" s="2" t="s">
        <v>74</v>
      </c>
      <c r="BN245" s="2">
        <v>35320812</v>
      </c>
      <c r="BO245" s="2" t="s">
        <v>74</v>
      </c>
      <c r="BP245" s="2" t="s">
        <v>74</v>
      </c>
      <c r="BQ245" s="2" t="s">
        <v>74</v>
      </c>
      <c r="BR245" s="2" t="s">
        <v>74</v>
      </c>
      <c r="BS245" s="2" t="s">
        <v>8221</v>
      </c>
      <c r="BT245" s="2" t="str">
        <f>HYPERLINK("https%3A%2F%2Fwww.webofscience.com%2Fwos%2Fwoscc%2Ffull-record%2FWOS:000840266300008","View Full Record in Web of Science")</f>
        <v>View Full Record in Web of Science</v>
      </c>
    </row>
    <row r="246" spans="1:72" s="2" customFormat="1" x14ac:dyDescent="0.4">
      <c r="A246" s="2" t="s">
        <v>72</v>
      </c>
      <c r="B246" s="2" t="s">
        <v>3913</v>
      </c>
      <c r="C246" s="2" t="s">
        <v>74</v>
      </c>
      <c r="D246" s="2" t="s">
        <v>74</v>
      </c>
      <c r="E246" s="2" t="s">
        <v>74</v>
      </c>
      <c r="F246" s="2" t="s">
        <v>3914</v>
      </c>
      <c r="G246" s="2" t="s">
        <v>74</v>
      </c>
      <c r="H246" s="2" t="s">
        <v>74</v>
      </c>
      <c r="I246" s="2" t="s">
        <v>3915</v>
      </c>
      <c r="J246" s="2" t="s">
        <v>1995</v>
      </c>
      <c r="K246" s="2" t="s">
        <v>74</v>
      </c>
      <c r="L246" s="2" t="s">
        <v>74</v>
      </c>
      <c r="M246" s="2" t="s">
        <v>74</v>
      </c>
      <c r="N246" s="2" t="s">
        <v>74</v>
      </c>
      <c r="O246" s="2" t="s">
        <v>74</v>
      </c>
      <c r="P246" s="2" t="s">
        <v>74</v>
      </c>
      <c r="Q246" s="2" t="s">
        <v>74</v>
      </c>
      <c r="R246" s="2" t="s">
        <v>74</v>
      </c>
      <c r="S246" s="2" t="s">
        <v>74</v>
      </c>
      <c r="T246" s="2" t="s">
        <v>74</v>
      </c>
      <c r="U246" s="2" t="s">
        <v>74</v>
      </c>
      <c r="V246" s="5" t="s">
        <v>3916</v>
      </c>
      <c r="W246" s="2" t="s">
        <v>74</v>
      </c>
      <c r="X246" s="2" t="s">
        <v>74</v>
      </c>
      <c r="Y246" s="2" t="s">
        <v>74</v>
      </c>
      <c r="Z246" s="2" t="s">
        <v>74</v>
      </c>
      <c r="AA246" s="2" t="s">
        <v>74</v>
      </c>
      <c r="AB246" s="2" t="s">
        <v>74</v>
      </c>
      <c r="AC246" s="2" t="s">
        <v>74</v>
      </c>
      <c r="AD246" s="2" t="s">
        <v>74</v>
      </c>
      <c r="AE246" s="2" t="s">
        <v>74</v>
      </c>
      <c r="AF246" s="2" t="s">
        <v>74</v>
      </c>
      <c r="AG246" s="2" t="s">
        <v>74</v>
      </c>
      <c r="AH246" s="2" t="s">
        <v>74</v>
      </c>
      <c r="AI246" s="2" t="s">
        <v>74</v>
      </c>
      <c r="AJ246" s="2" t="s">
        <v>74</v>
      </c>
      <c r="AK246" s="2" t="s">
        <v>74</v>
      </c>
      <c r="AL246" s="2" t="s">
        <v>74</v>
      </c>
      <c r="AM246" s="2" t="s">
        <v>74</v>
      </c>
      <c r="AN246" s="2" t="s">
        <v>74</v>
      </c>
      <c r="AO246" s="2" t="s">
        <v>1997</v>
      </c>
      <c r="AP246" s="2" t="s">
        <v>3917</v>
      </c>
      <c r="AQ246" s="2" t="s">
        <v>74</v>
      </c>
      <c r="AR246" s="2" t="s">
        <v>74</v>
      </c>
      <c r="AS246" s="2" t="s">
        <v>74</v>
      </c>
      <c r="AT246" s="2" t="s">
        <v>102</v>
      </c>
      <c r="AU246" s="2">
        <v>2009</v>
      </c>
      <c r="AV246" s="2">
        <v>80</v>
      </c>
      <c r="AW246" s="2">
        <v>2</v>
      </c>
      <c r="AX246" s="2" t="s">
        <v>74</v>
      </c>
      <c r="AY246" s="2" t="s">
        <v>74</v>
      </c>
      <c r="AZ246" s="2" t="s">
        <v>74</v>
      </c>
      <c r="BA246" s="2" t="s">
        <v>74</v>
      </c>
      <c r="BB246" s="2">
        <v>163</v>
      </c>
      <c r="BC246" s="2">
        <v>170</v>
      </c>
      <c r="BD246" s="2" t="s">
        <v>74</v>
      </c>
      <c r="BE246" s="2" t="s">
        <v>3918</v>
      </c>
      <c r="BF246" s="2" t="str">
        <f>HYPERLINK("http://dx.doi.org/10.1111/j.1557-9263.2009.00218.x","http://dx.doi.org/10.1111/j.1557-9263.2009.00218.x")</f>
        <v>http://dx.doi.org/10.1111/j.1557-9263.2009.00218.x</v>
      </c>
      <c r="BG246" s="2" t="s">
        <v>74</v>
      </c>
      <c r="BH246" s="2" t="s">
        <v>74</v>
      </c>
      <c r="BI246" s="2" t="s">
        <v>74</v>
      </c>
      <c r="BJ246" s="2" t="s">
        <v>74</v>
      </c>
      <c r="BK246" s="2" t="s">
        <v>74</v>
      </c>
      <c r="BL246" s="2" t="s">
        <v>74</v>
      </c>
      <c r="BM246" s="2" t="s">
        <v>74</v>
      </c>
      <c r="BN246" s="2" t="s">
        <v>74</v>
      </c>
      <c r="BO246" s="2" t="s">
        <v>74</v>
      </c>
      <c r="BP246" s="2" t="s">
        <v>74</v>
      </c>
      <c r="BQ246" s="2" t="s">
        <v>74</v>
      </c>
      <c r="BR246" s="2" t="s">
        <v>74</v>
      </c>
      <c r="BS246" s="2" t="s">
        <v>3919</v>
      </c>
      <c r="BT246" s="2" t="str">
        <f>HYPERLINK("https%3A%2F%2Fwww.webofscience.com%2Fwos%2Fwoscc%2Ffull-record%2FWOS:000266465200007","View Full Record in Web of Science")</f>
        <v>View Full Record in Web of Science</v>
      </c>
    </row>
    <row r="247" spans="1:72" s="1" customFormat="1" x14ac:dyDescent="0.4">
      <c r="A247" s="2" t="s">
        <v>72</v>
      </c>
      <c r="B247" s="2" t="s">
        <v>4769</v>
      </c>
      <c r="C247" s="2" t="s">
        <v>74</v>
      </c>
      <c r="D247" s="2" t="s">
        <v>74</v>
      </c>
      <c r="E247" s="2" t="s">
        <v>74</v>
      </c>
      <c r="F247" s="2" t="s">
        <v>4770</v>
      </c>
      <c r="G247" s="2" t="s">
        <v>74</v>
      </c>
      <c r="H247" s="2" t="s">
        <v>74</v>
      </c>
      <c r="I247" s="2" t="s">
        <v>4771</v>
      </c>
      <c r="J247" s="2" t="s">
        <v>4772</v>
      </c>
      <c r="K247" s="2" t="s">
        <v>74</v>
      </c>
      <c r="L247" s="2" t="s">
        <v>74</v>
      </c>
      <c r="M247" s="2" t="s">
        <v>74</v>
      </c>
      <c r="N247" s="2" t="s">
        <v>74</v>
      </c>
      <c r="O247" s="2" t="s">
        <v>74</v>
      </c>
      <c r="P247" s="2" t="s">
        <v>74</v>
      </c>
      <c r="Q247" s="2" t="s">
        <v>74</v>
      </c>
      <c r="R247" s="2" t="s">
        <v>74</v>
      </c>
      <c r="S247" s="2" t="s">
        <v>74</v>
      </c>
      <c r="T247" s="2" t="s">
        <v>74</v>
      </c>
      <c r="U247" s="2" t="s">
        <v>74</v>
      </c>
      <c r="V247" s="5" t="s">
        <v>4773</v>
      </c>
      <c r="W247" s="2" t="s">
        <v>74</v>
      </c>
      <c r="X247" s="2" t="s">
        <v>74</v>
      </c>
      <c r="Y247" s="2" t="s">
        <v>74</v>
      </c>
      <c r="Z247" s="2" t="s">
        <v>74</v>
      </c>
      <c r="AA247" s="2" t="s">
        <v>74</v>
      </c>
      <c r="AB247" s="2" t="s">
        <v>74</v>
      </c>
      <c r="AC247" s="2" t="s">
        <v>74</v>
      </c>
      <c r="AD247" s="2" t="s">
        <v>74</v>
      </c>
      <c r="AE247" s="2" t="s">
        <v>74</v>
      </c>
      <c r="AF247" s="2" t="s">
        <v>74</v>
      </c>
      <c r="AG247" s="2" t="s">
        <v>74</v>
      </c>
      <c r="AH247" s="2" t="s">
        <v>74</v>
      </c>
      <c r="AI247" s="2" t="s">
        <v>74</v>
      </c>
      <c r="AJ247" s="2" t="s">
        <v>74</v>
      </c>
      <c r="AK247" s="2" t="s">
        <v>74</v>
      </c>
      <c r="AL247" s="2" t="s">
        <v>74</v>
      </c>
      <c r="AM247" s="2" t="s">
        <v>74</v>
      </c>
      <c r="AN247" s="2" t="s">
        <v>74</v>
      </c>
      <c r="AO247" s="2" t="s">
        <v>4774</v>
      </c>
      <c r="AP247" s="2" t="s">
        <v>74</v>
      </c>
      <c r="AQ247" s="2" t="s">
        <v>74</v>
      </c>
      <c r="AR247" s="2" t="s">
        <v>74</v>
      </c>
      <c r="AS247" s="2" t="s">
        <v>74</v>
      </c>
      <c r="AT247" s="2" t="s">
        <v>204</v>
      </c>
      <c r="AU247" s="2">
        <v>2010</v>
      </c>
      <c r="AV247" s="2">
        <v>49</v>
      </c>
      <c r="AW247" s="2">
        <v>4</v>
      </c>
      <c r="AX247" s="2" t="s">
        <v>74</v>
      </c>
      <c r="AY247" s="2" t="s">
        <v>74</v>
      </c>
      <c r="AZ247" s="2" t="s">
        <v>74</v>
      </c>
      <c r="BA247" s="2" t="s">
        <v>74</v>
      </c>
      <c r="BB247" s="2">
        <v>336</v>
      </c>
      <c r="BC247" s="2">
        <v>344</v>
      </c>
      <c r="BD247" s="2" t="s">
        <v>74</v>
      </c>
      <c r="BE247" s="2" t="s">
        <v>4775</v>
      </c>
      <c r="BF247" s="2" t="str">
        <f>HYPERLINK("http://dx.doi.org/10.2216/09-19.1","http://dx.doi.org/10.2216/09-19.1")</f>
        <v>http://dx.doi.org/10.2216/09-19.1</v>
      </c>
      <c r="BG247" s="2" t="s">
        <v>74</v>
      </c>
      <c r="BH247" s="2" t="s">
        <v>74</v>
      </c>
      <c r="BI247" s="2" t="s">
        <v>74</v>
      </c>
      <c r="BJ247" s="2" t="s">
        <v>74</v>
      </c>
      <c r="BK247" s="2" t="s">
        <v>74</v>
      </c>
      <c r="BL247" s="2" t="s">
        <v>74</v>
      </c>
      <c r="BM247" s="2" t="s">
        <v>74</v>
      </c>
      <c r="BN247" s="2" t="s">
        <v>74</v>
      </c>
      <c r="BO247" s="2" t="s">
        <v>74</v>
      </c>
      <c r="BP247" s="2" t="s">
        <v>74</v>
      </c>
      <c r="BQ247" s="2" t="s">
        <v>74</v>
      </c>
      <c r="BR247" s="2" t="s">
        <v>74</v>
      </c>
      <c r="BS247" s="2" t="s">
        <v>4776</v>
      </c>
      <c r="BT247" s="2" t="str">
        <f>HYPERLINK("https%3A%2F%2Fwww.webofscience.com%2Fwos%2Fwoscc%2Ffull-record%2FWOS:000280232300004","View Full Record in Web of Science")</f>
        <v>View Full Record in Web of Science</v>
      </c>
    </row>
    <row r="248" spans="1:72" s="2" customFormat="1" x14ac:dyDescent="0.4">
      <c r="A248" s="2" t="s">
        <v>72</v>
      </c>
      <c r="B248" s="2" t="s">
        <v>6800</v>
      </c>
      <c r="C248" s="2" t="s">
        <v>74</v>
      </c>
      <c r="D248" s="2" t="s">
        <v>74</v>
      </c>
      <c r="E248" s="2" t="s">
        <v>74</v>
      </c>
      <c r="F248" s="2" t="s">
        <v>6800</v>
      </c>
      <c r="G248" s="2" t="s">
        <v>74</v>
      </c>
      <c r="H248" s="2" t="s">
        <v>74</v>
      </c>
      <c r="I248" s="2" t="s">
        <v>6801</v>
      </c>
      <c r="J248" s="2" t="s">
        <v>1198</v>
      </c>
      <c r="K248" s="2" t="s">
        <v>74</v>
      </c>
      <c r="L248" s="2" t="s">
        <v>74</v>
      </c>
      <c r="M248" s="2" t="s">
        <v>74</v>
      </c>
      <c r="N248" s="2" t="s">
        <v>74</v>
      </c>
      <c r="O248" s="2" t="s">
        <v>74</v>
      </c>
      <c r="P248" s="2" t="s">
        <v>74</v>
      </c>
      <c r="Q248" s="2" t="s">
        <v>74</v>
      </c>
      <c r="R248" s="2" t="s">
        <v>74</v>
      </c>
      <c r="S248" s="2" t="s">
        <v>74</v>
      </c>
      <c r="T248" s="2" t="s">
        <v>74</v>
      </c>
      <c r="U248" s="2" t="s">
        <v>74</v>
      </c>
      <c r="V248" s="5" t="s">
        <v>6802</v>
      </c>
      <c r="W248" s="2" t="s">
        <v>74</v>
      </c>
      <c r="X248" s="2" t="s">
        <v>74</v>
      </c>
      <c r="Y248" s="2" t="s">
        <v>74</v>
      </c>
      <c r="Z248" s="2" t="s">
        <v>74</v>
      </c>
      <c r="AA248" s="2" t="s">
        <v>74</v>
      </c>
      <c r="AB248" s="2" t="s">
        <v>74</v>
      </c>
      <c r="AC248" s="2" t="s">
        <v>74</v>
      </c>
      <c r="AD248" s="2" t="s">
        <v>74</v>
      </c>
      <c r="AE248" s="2" t="s">
        <v>74</v>
      </c>
      <c r="AF248" s="2" t="s">
        <v>74</v>
      </c>
      <c r="AG248" s="2" t="s">
        <v>74</v>
      </c>
      <c r="AH248" s="2" t="s">
        <v>74</v>
      </c>
      <c r="AI248" s="2" t="s">
        <v>74</v>
      </c>
      <c r="AJ248" s="2" t="s">
        <v>74</v>
      </c>
      <c r="AK248" s="2" t="s">
        <v>74</v>
      </c>
      <c r="AL248" s="2" t="s">
        <v>74</v>
      </c>
      <c r="AM248" s="2" t="s">
        <v>74</v>
      </c>
      <c r="AN248" s="2" t="s">
        <v>74</v>
      </c>
      <c r="AO248" s="2" t="s">
        <v>1202</v>
      </c>
      <c r="AP248" s="2" t="s">
        <v>1203</v>
      </c>
      <c r="AQ248" s="2" t="s">
        <v>74</v>
      </c>
      <c r="AR248" s="2" t="s">
        <v>74</v>
      </c>
      <c r="AS248" s="2" t="s">
        <v>74</v>
      </c>
      <c r="AT248" s="2" t="s">
        <v>102</v>
      </c>
      <c r="AU248" s="2">
        <v>1997</v>
      </c>
      <c r="AV248" s="2">
        <v>53</v>
      </c>
      <c r="AW248" s="2">
        <v>2</v>
      </c>
      <c r="AX248" s="2" t="s">
        <v>74</v>
      </c>
      <c r="AY248" s="2" t="s">
        <v>74</v>
      </c>
      <c r="AZ248" s="2" t="s">
        <v>74</v>
      </c>
      <c r="BA248" s="2" t="s">
        <v>74</v>
      </c>
      <c r="BB248" s="2">
        <v>206</v>
      </c>
      <c r="BC248" s="2">
        <v>217</v>
      </c>
      <c r="BD248" s="2" t="s">
        <v>74</v>
      </c>
      <c r="BE248" s="2" t="s">
        <v>74</v>
      </c>
      <c r="BF248" s="2" t="s">
        <v>74</v>
      </c>
      <c r="BG248" s="2" t="s">
        <v>74</v>
      </c>
      <c r="BH248" s="2" t="s">
        <v>74</v>
      </c>
      <c r="BI248" s="2" t="s">
        <v>74</v>
      </c>
      <c r="BJ248" s="2" t="s">
        <v>74</v>
      </c>
      <c r="BK248" s="2" t="s">
        <v>74</v>
      </c>
      <c r="BL248" s="2" t="s">
        <v>74</v>
      </c>
      <c r="BM248" s="2" t="s">
        <v>74</v>
      </c>
      <c r="BN248" s="2" t="s">
        <v>74</v>
      </c>
      <c r="BO248" s="2" t="s">
        <v>74</v>
      </c>
      <c r="BP248" s="2" t="s">
        <v>74</v>
      </c>
      <c r="BQ248" s="2" t="s">
        <v>74</v>
      </c>
      <c r="BR248" s="2" t="s">
        <v>74</v>
      </c>
      <c r="BS248" s="2" t="s">
        <v>6803</v>
      </c>
      <c r="BT248" s="2" t="str">
        <f>HYPERLINK("https%3A%2F%2Fwww.webofscience.com%2Fwos%2Fwoscc%2Ffull-record%2FWOS:A1997XC82700006","View Full Record in Web of Science")</f>
        <v>View Full Record in Web of Science</v>
      </c>
    </row>
    <row r="249" spans="1:72" s="2" customFormat="1" x14ac:dyDescent="0.4">
      <c r="A249" s="2" t="s">
        <v>72</v>
      </c>
      <c r="B249" s="2" t="s">
        <v>8646</v>
      </c>
      <c r="C249" s="2" t="s">
        <v>74</v>
      </c>
      <c r="D249" s="2" t="s">
        <v>74</v>
      </c>
      <c r="E249" s="2" t="s">
        <v>74</v>
      </c>
      <c r="F249" s="2" t="s">
        <v>8647</v>
      </c>
      <c r="G249" s="2" t="s">
        <v>74</v>
      </c>
      <c r="H249" s="2" t="s">
        <v>74</v>
      </c>
      <c r="I249" s="2" t="s">
        <v>8648</v>
      </c>
      <c r="J249" s="2" t="s">
        <v>3605</v>
      </c>
      <c r="K249" s="2" t="s">
        <v>74</v>
      </c>
      <c r="L249" s="2" t="s">
        <v>74</v>
      </c>
      <c r="M249" s="2" t="s">
        <v>74</v>
      </c>
      <c r="N249" s="2" t="s">
        <v>74</v>
      </c>
      <c r="O249" s="2" t="s">
        <v>74</v>
      </c>
      <c r="P249" s="2" t="s">
        <v>74</v>
      </c>
      <c r="Q249" s="2" t="s">
        <v>74</v>
      </c>
      <c r="R249" s="2" t="s">
        <v>74</v>
      </c>
      <c r="S249" s="2" t="s">
        <v>74</v>
      </c>
      <c r="T249" s="2" t="s">
        <v>74</v>
      </c>
      <c r="U249" s="2" t="s">
        <v>74</v>
      </c>
      <c r="V249" s="5" t="s">
        <v>8649</v>
      </c>
      <c r="W249" s="2" t="s">
        <v>74</v>
      </c>
      <c r="X249" s="2" t="s">
        <v>74</v>
      </c>
      <c r="Y249" s="2" t="s">
        <v>74</v>
      </c>
      <c r="Z249" s="2" t="s">
        <v>74</v>
      </c>
      <c r="AA249" s="2" t="s">
        <v>8650</v>
      </c>
      <c r="AB249" s="2" t="s">
        <v>8651</v>
      </c>
      <c r="AC249" s="2" t="s">
        <v>74</v>
      </c>
      <c r="AD249" s="2" t="s">
        <v>74</v>
      </c>
      <c r="AE249" s="2" t="s">
        <v>74</v>
      </c>
      <c r="AF249" s="2" t="s">
        <v>74</v>
      </c>
      <c r="AG249" s="2" t="s">
        <v>74</v>
      </c>
      <c r="AH249" s="2" t="s">
        <v>74</v>
      </c>
      <c r="AI249" s="2" t="s">
        <v>74</v>
      </c>
      <c r="AJ249" s="2" t="s">
        <v>74</v>
      </c>
      <c r="AK249" s="2" t="s">
        <v>74</v>
      </c>
      <c r="AL249" s="2" t="s">
        <v>74</v>
      </c>
      <c r="AM249" s="2" t="s">
        <v>74</v>
      </c>
      <c r="AN249" s="2" t="s">
        <v>74</v>
      </c>
      <c r="AO249" s="2" t="s">
        <v>3607</v>
      </c>
      <c r="AP249" s="2" t="s">
        <v>3608</v>
      </c>
      <c r="AQ249" s="2" t="s">
        <v>74</v>
      </c>
      <c r="AR249" s="2" t="s">
        <v>74</v>
      </c>
      <c r="AS249" s="2" t="s">
        <v>74</v>
      </c>
      <c r="AT249" s="2" t="s">
        <v>352</v>
      </c>
      <c r="AU249" s="2">
        <v>2019</v>
      </c>
      <c r="AV249" s="2">
        <v>99</v>
      </c>
      <c r="AW249" s="2">
        <v>6</v>
      </c>
      <c r="AX249" s="2" t="s">
        <v>74</v>
      </c>
      <c r="AY249" s="2" t="s">
        <v>74</v>
      </c>
      <c r="AZ249" s="2" t="s">
        <v>74</v>
      </c>
      <c r="BA249" s="2" t="s">
        <v>74</v>
      </c>
      <c r="BB249" s="2">
        <v>1267</v>
      </c>
      <c r="BC249" s="2">
        <v>1271</v>
      </c>
      <c r="BD249" s="2" t="s">
        <v>8652</v>
      </c>
      <c r="BE249" s="2" t="s">
        <v>8653</v>
      </c>
      <c r="BF249" s="2" t="str">
        <f>HYPERLINK("http://dx.doi.org/10.1017/S0025315419000171","http://dx.doi.org/10.1017/S0025315419000171")</f>
        <v>http://dx.doi.org/10.1017/S0025315419000171</v>
      </c>
      <c r="BG249" s="2" t="s">
        <v>74</v>
      </c>
      <c r="BH249" s="2" t="s">
        <v>74</v>
      </c>
      <c r="BI249" s="2" t="s">
        <v>74</v>
      </c>
      <c r="BJ249" s="2" t="s">
        <v>74</v>
      </c>
      <c r="BK249" s="2" t="s">
        <v>74</v>
      </c>
      <c r="BL249" s="2" t="s">
        <v>74</v>
      </c>
      <c r="BM249" s="2" t="s">
        <v>74</v>
      </c>
      <c r="BN249" s="2" t="s">
        <v>74</v>
      </c>
      <c r="BO249" s="2" t="s">
        <v>74</v>
      </c>
      <c r="BP249" s="2" t="s">
        <v>74</v>
      </c>
      <c r="BQ249" s="2" t="s">
        <v>74</v>
      </c>
      <c r="BR249" s="2" t="s">
        <v>74</v>
      </c>
      <c r="BS249" s="2" t="s">
        <v>8654</v>
      </c>
      <c r="BT249" s="2" t="str">
        <f>HYPERLINK("https%3A%2F%2Fwww.webofscience.com%2Fwos%2Fwoscc%2Ffull-record%2FWOS:000482975700004","View Full Record in Web of Science")</f>
        <v>View Full Record in Web of Science</v>
      </c>
    </row>
    <row r="250" spans="1:72" s="2" customFormat="1" x14ac:dyDescent="0.4">
      <c r="A250" s="2" t="s">
        <v>72</v>
      </c>
      <c r="B250" s="2" t="s">
        <v>5088</v>
      </c>
      <c r="C250" s="2" t="s">
        <v>74</v>
      </c>
      <c r="D250" s="2" t="s">
        <v>74</v>
      </c>
      <c r="E250" s="2" t="s">
        <v>74</v>
      </c>
      <c r="F250" s="2" t="s">
        <v>5089</v>
      </c>
      <c r="G250" s="2" t="s">
        <v>74</v>
      </c>
      <c r="H250" s="2" t="s">
        <v>74</v>
      </c>
      <c r="I250" s="2" t="s">
        <v>5090</v>
      </c>
      <c r="J250" s="2" t="s">
        <v>1635</v>
      </c>
      <c r="K250" s="2" t="s">
        <v>74</v>
      </c>
      <c r="L250" s="2" t="s">
        <v>74</v>
      </c>
      <c r="M250" s="2" t="s">
        <v>74</v>
      </c>
      <c r="N250" s="2" t="s">
        <v>74</v>
      </c>
      <c r="O250" s="2" t="s">
        <v>74</v>
      </c>
      <c r="P250" s="2" t="s">
        <v>74</v>
      </c>
      <c r="Q250" s="2" t="s">
        <v>74</v>
      </c>
      <c r="R250" s="2" t="s">
        <v>74</v>
      </c>
      <c r="S250" s="2" t="s">
        <v>74</v>
      </c>
      <c r="T250" s="2" t="s">
        <v>74</v>
      </c>
      <c r="U250" s="2" t="s">
        <v>74</v>
      </c>
      <c r="V250" s="5" t="s">
        <v>5091</v>
      </c>
      <c r="W250" s="2" t="s">
        <v>74</v>
      </c>
      <c r="X250" s="2" t="s">
        <v>74</v>
      </c>
      <c r="Y250" s="2" t="s">
        <v>74</v>
      </c>
      <c r="Z250" s="2" t="s">
        <v>74</v>
      </c>
      <c r="AA250" s="2" t="s">
        <v>74</v>
      </c>
      <c r="AB250" s="2" t="s">
        <v>74</v>
      </c>
      <c r="AC250" s="2" t="s">
        <v>74</v>
      </c>
      <c r="AD250" s="2" t="s">
        <v>74</v>
      </c>
      <c r="AE250" s="2" t="s">
        <v>74</v>
      </c>
      <c r="AF250" s="2" t="s">
        <v>74</v>
      </c>
      <c r="AG250" s="2" t="s">
        <v>74</v>
      </c>
      <c r="AH250" s="2" t="s">
        <v>74</v>
      </c>
      <c r="AI250" s="2" t="s">
        <v>74</v>
      </c>
      <c r="AJ250" s="2" t="s">
        <v>74</v>
      </c>
      <c r="AK250" s="2" t="s">
        <v>74</v>
      </c>
      <c r="AL250" s="2" t="s">
        <v>74</v>
      </c>
      <c r="AM250" s="2" t="s">
        <v>74</v>
      </c>
      <c r="AN250" s="2" t="s">
        <v>74</v>
      </c>
      <c r="AO250" s="2" t="s">
        <v>1639</v>
      </c>
      <c r="AP250" s="2" t="s">
        <v>1640</v>
      </c>
      <c r="AQ250" s="2" t="s">
        <v>74</v>
      </c>
      <c r="AR250" s="2" t="s">
        <v>74</v>
      </c>
      <c r="AS250" s="2" t="s">
        <v>74</v>
      </c>
      <c r="AT250" s="2" t="s">
        <v>5092</v>
      </c>
      <c r="AU250" s="2">
        <v>2009</v>
      </c>
      <c r="AV250" s="2">
        <v>364</v>
      </c>
      <c r="AW250" s="2">
        <v>1516</v>
      </c>
      <c r="AX250" s="2" t="s">
        <v>74</v>
      </c>
      <c r="AY250" s="2" t="s">
        <v>74</v>
      </c>
      <c r="AZ250" s="2" t="s">
        <v>74</v>
      </c>
      <c r="BA250" s="2" t="s">
        <v>74</v>
      </c>
      <c r="BB250" s="2">
        <v>537</v>
      </c>
      <c r="BC250" s="2">
        <v>548</v>
      </c>
      <c r="BD250" s="2" t="s">
        <v>74</v>
      </c>
      <c r="BE250" s="2" t="s">
        <v>5093</v>
      </c>
      <c r="BF250" s="2" t="str">
        <f>HYPERLINK("http://dx.doi.org/10.1098/rstb.2008.0221","http://dx.doi.org/10.1098/rstb.2008.0221")</f>
        <v>http://dx.doi.org/10.1098/rstb.2008.0221</v>
      </c>
      <c r="BG250" s="2" t="s">
        <v>74</v>
      </c>
      <c r="BH250" s="2" t="s">
        <v>74</v>
      </c>
      <c r="BI250" s="2" t="s">
        <v>74</v>
      </c>
      <c r="BJ250" s="2" t="s">
        <v>74</v>
      </c>
      <c r="BK250" s="2" t="s">
        <v>74</v>
      </c>
      <c r="BL250" s="2" t="s">
        <v>74</v>
      </c>
      <c r="BM250" s="2" t="s">
        <v>74</v>
      </c>
      <c r="BN250" s="2">
        <v>18990666</v>
      </c>
      <c r="BO250" s="2" t="s">
        <v>74</v>
      </c>
      <c r="BP250" s="2" t="s">
        <v>74</v>
      </c>
      <c r="BQ250" s="2" t="s">
        <v>74</v>
      </c>
      <c r="BR250" s="2" t="s">
        <v>74</v>
      </c>
      <c r="BS250" s="2" t="s">
        <v>5094</v>
      </c>
      <c r="BT250" s="2" t="str">
        <f>HYPERLINK("https%3A%2F%2Fwww.webofscience.com%2Fwos%2Fwoscc%2Ffull-record%2FWOS:000262353500014","View Full Record in Web of Science")</f>
        <v>View Full Record in Web of Science</v>
      </c>
    </row>
    <row r="251" spans="1:72" s="2" customFormat="1" x14ac:dyDescent="0.4">
      <c r="A251" s="2" t="s">
        <v>72</v>
      </c>
      <c r="B251" s="2" t="s">
        <v>2615</v>
      </c>
      <c r="C251" s="2" t="s">
        <v>74</v>
      </c>
      <c r="D251" s="2" t="s">
        <v>74</v>
      </c>
      <c r="E251" s="2" t="s">
        <v>74</v>
      </c>
      <c r="F251" s="2" t="s">
        <v>2615</v>
      </c>
      <c r="G251" s="2" t="s">
        <v>74</v>
      </c>
      <c r="H251" s="2" t="s">
        <v>74</v>
      </c>
      <c r="I251" s="2" t="s">
        <v>2616</v>
      </c>
      <c r="J251" s="2" t="s">
        <v>1812</v>
      </c>
      <c r="K251" s="2" t="s">
        <v>74</v>
      </c>
      <c r="L251" s="2" t="s">
        <v>74</v>
      </c>
      <c r="M251" s="2" t="s">
        <v>74</v>
      </c>
      <c r="N251" s="2" t="s">
        <v>74</v>
      </c>
      <c r="O251" s="2" t="s">
        <v>74</v>
      </c>
      <c r="P251" s="2" t="s">
        <v>74</v>
      </c>
      <c r="Q251" s="2" t="s">
        <v>74</v>
      </c>
      <c r="R251" s="2" t="s">
        <v>74</v>
      </c>
      <c r="S251" s="2" t="s">
        <v>74</v>
      </c>
      <c r="T251" s="2" t="s">
        <v>74</v>
      </c>
      <c r="U251" s="2" t="s">
        <v>74</v>
      </c>
      <c r="V251" s="5" t="s">
        <v>2617</v>
      </c>
      <c r="W251" s="2" t="s">
        <v>74</v>
      </c>
      <c r="X251" s="2" t="s">
        <v>74</v>
      </c>
      <c r="Y251" s="2" t="s">
        <v>74</v>
      </c>
      <c r="Z251" s="2" t="s">
        <v>74</v>
      </c>
      <c r="AA251" s="2" t="s">
        <v>74</v>
      </c>
      <c r="AB251" s="2" t="s">
        <v>74</v>
      </c>
      <c r="AC251" s="2" t="s">
        <v>74</v>
      </c>
      <c r="AD251" s="2" t="s">
        <v>74</v>
      </c>
      <c r="AE251" s="2" t="s">
        <v>74</v>
      </c>
      <c r="AF251" s="2" t="s">
        <v>74</v>
      </c>
      <c r="AG251" s="2" t="s">
        <v>74</v>
      </c>
      <c r="AH251" s="2" t="s">
        <v>74</v>
      </c>
      <c r="AI251" s="2" t="s">
        <v>74</v>
      </c>
      <c r="AJ251" s="2" t="s">
        <v>74</v>
      </c>
      <c r="AK251" s="2" t="s">
        <v>74</v>
      </c>
      <c r="AL251" s="2" t="s">
        <v>74</v>
      </c>
      <c r="AM251" s="2" t="s">
        <v>74</v>
      </c>
      <c r="AN251" s="2" t="s">
        <v>74</v>
      </c>
      <c r="AO251" s="2" t="s">
        <v>1814</v>
      </c>
      <c r="AP251" s="2" t="s">
        <v>74</v>
      </c>
      <c r="AQ251" s="2" t="s">
        <v>74</v>
      </c>
      <c r="AR251" s="2" t="s">
        <v>74</v>
      </c>
      <c r="AS251" s="2" t="s">
        <v>74</v>
      </c>
      <c r="AT251" s="2" t="s">
        <v>123</v>
      </c>
      <c r="AU251" s="2">
        <v>1995</v>
      </c>
      <c r="AV251" s="2">
        <v>29</v>
      </c>
      <c r="AW251" s="2">
        <v>1</v>
      </c>
      <c r="AX251" s="2" t="s">
        <v>74</v>
      </c>
      <c r="AY251" s="2" t="s">
        <v>74</v>
      </c>
      <c r="AZ251" s="2" t="s">
        <v>74</v>
      </c>
      <c r="BA251" s="2" t="s">
        <v>74</v>
      </c>
      <c r="BB251" s="2">
        <v>7</v>
      </c>
      <c r="BC251" s="2">
        <v>13</v>
      </c>
      <c r="BD251" s="2" t="s">
        <v>74</v>
      </c>
      <c r="BE251" s="2" t="s">
        <v>2618</v>
      </c>
      <c r="BF251" s="2" t="str">
        <f>HYPERLINK("http://dx.doi.org/10.2307/1565079","http://dx.doi.org/10.2307/1565079")</f>
        <v>http://dx.doi.org/10.2307/1565079</v>
      </c>
      <c r="BG251" s="2" t="s">
        <v>74</v>
      </c>
      <c r="BH251" s="2" t="s">
        <v>74</v>
      </c>
      <c r="BI251" s="2" t="s">
        <v>74</v>
      </c>
      <c r="BJ251" s="2" t="s">
        <v>74</v>
      </c>
      <c r="BK251" s="2" t="s">
        <v>74</v>
      </c>
      <c r="BL251" s="2" t="s">
        <v>74</v>
      </c>
      <c r="BM251" s="2" t="s">
        <v>74</v>
      </c>
      <c r="BN251" s="2" t="s">
        <v>74</v>
      </c>
      <c r="BO251" s="2" t="s">
        <v>74</v>
      </c>
      <c r="BP251" s="2" t="s">
        <v>74</v>
      </c>
      <c r="BQ251" s="2" t="s">
        <v>74</v>
      </c>
      <c r="BR251" s="2" t="s">
        <v>74</v>
      </c>
      <c r="BS251" s="2" t="s">
        <v>2619</v>
      </c>
      <c r="BT251" s="2" t="str">
        <f>HYPERLINK("https%3A%2F%2Fwww.webofscience.com%2Fwos%2Fwoscc%2Ffull-record%2FWOS:A1995QM52600002","View Full Record in Web of Science")</f>
        <v>View Full Record in Web of Science</v>
      </c>
    </row>
    <row r="252" spans="1:72" s="2" customFormat="1" x14ac:dyDescent="0.4">
      <c r="A252" s="2" t="s">
        <v>72</v>
      </c>
      <c r="B252" s="2" t="s">
        <v>7904</v>
      </c>
      <c r="C252" s="2" t="s">
        <v>74</v>
      </c>
      <c r="D252" s="2" t="s">
        <v>74</v>
      </c>
      <c r="E252" s="2" t="s">
        <v>74</v>
      </c>
      <c r="F252" s="2" t="s">
        <v>7905</v>
      </c>
      <c r="G252" s="2" t="s">
        <v>74</v>
      </c>
      <c r="H252" s="2" t="s">
        <v>74</v>
      </c>
      <c r="I252" s="2" t="s">
        <v>7906</v>
      </c>
      <c r="J252" s="2" t="s">
        <v>99</v>
      </c>
      <c r="K252" s="2" t="s">
        <v>74</v>
      </c>
      <c r="L252" s="2" t="s">
        <v>74</v>
      </c>
      <c r="M252" s="2" t="s">
        <v>74</v>
      </c>
      <c r="N252" s="2" t="s">
        <v>74</v>
      </c>
      <c r="O252" s="2" t="s">
        <v>74</v>
      </c>
      <c r="P252" s="2" t="s">
        <v>74</v>
      </c>
      <c r="Q252" s="2" t="s">
        <v>74</v>
      </c>
      <c r="R252" s="2" t="s">
        <v>74</v>
      </c>
      <c r="S252" s="2" t="s">
        <v>74</v>
      </c>
      <c r="T252" s="2" t="s">
        <v>74</v>
      </c>
      <c r="U252" s="2" t="s">
        <v>74</v>
      </c>
      <c r="V252" s="5" t="s">
        <v>7907</v>
      </c>
      <c r="W252" s="2" t="s">
        <v>74</v>
      </c>
      <c r="X252" s="2" t="s">
        <v>74</v>
      </c>
      <c r="Y252" s="2" t="s">
        <v>74</v>
      </c>
      <c r="Z252" s="2" t="s">
        <v>74</v>
      </c>
      <c r="AA252" s="2" t="s">
        <v>74</v>
      </c>
      <c r="AB252" s="2" t="s">
        <v>74</v>
      </c>
      <c r="AC252" s="2" t="s">
        <v>74</v>
      </c>
      <c r="AD252" s="2" t="s">
        <v>74</v>
      </c>
      <c r="AE252" s="2" t="s">
        <v>74</v>
      </c>
      <c r="AF252" s="2" t="s">
        <v>74</v>
      </c>
      <c r="AG252" s="2" t="s">
        <v>74</v>
      </c>
      <c r="AH252" s="2" t="s">
        <v>74</v>
      </c>
      <c r="AI252" s="2" t="s">
        <v>74</v>
      </c>
      <c r="AJ252" s="2" t="s">
        <v>74</v>
      </c>
      <c r="AK252" s="2" t="s">
        <v>74</v>
      </c>
      <c r="AL252" s="2" t="s">
        <v>74</v>
      </c>
      <c r="AM252" s="2" t="s">
        <v>74</v>
      </c>
      <c r="AN252" s="2" t="s">
        <v>74</v>
      </c>
      <c r="AO252" s="2" t="s">
        <v>101</v>
      </c>
      <c r="AP252" s="2" t="s">
        <v>1218</v>
      </c>
      <c r="AQ252" s="2" t="s">
        <v>74</v>
      </c>
      <c r="AR252" s="2" t="s">
        <v>74</v>
      </c>
      <c r="AS252" s="2" t="s">
        <v>74</v>
      </c>
      <c r="AT252" s="2" t="s">
        <v>102</v>
      </c>
      <c r="AU252" s="2">
        <v>2020</v>
      </c>
      <c r="AV252" s="2">
        <v>132</v>
      </c>
      <c r="AW252" s="2">
        <v>2</v>
      </c>
      <c r="AX252" s="2" t="s">
        <v>74</v>
      </c>
      <c r="AY252" s="2" t="s">
        <v>74</v>
      </c>
      <c r="AZ252" s="2" t="s">
        <v>74</v>
      </c>
      <c r="BA252" s="2" t="s">
        <v>74</v>
      </c>
      <c r="BB252" s="2">
        <v>295</v>
      </c>
      <c r="BC252" s="2">
        <v>305</v>
      </c>
      <c r="BD252" s="2" t="s">
        <v>74</v>
      </c>
      <c r="BE252" s="2" t="s">
        <v>7908</v>
      </c>
      <c r="BF252" s="2" t="str">
        <f>HYPERLINK("http://dx.doi.org/10.1676/1559-4491-132.2.295","http://dx.doi.org/10.1676/1559-4491-132.2.295")</f>
        <v>http://dx.doi.org/10.1676/1559-4491-132.2.295</v>
      </c>
      <c r="BG252" s="2" t="s">
        <v>74</v>
      </c>
      <c r="BH252" s="2" t="s">
        <v>74</v>
      </c>
      <c r="BI252" s="2" t="s">
        <v>74</v>
      </c>
      <c r="BJ252" s="2" t="s">
        <v>74</v>
      </c>
      <c r="BK252" s="2" t="s">
        <v>74</v>
      </c>
      <c r="BL252" s="2" t="s">
        <v>74</v>
      </c>
      <c r="BM252" s="2" t="s">
        <v>74</v>
      </c>
      <c r="BN252" s="2" t="s">
        <v>74</v>
      </c>
      <c r="BO252" s="2" t="s">
        <v>74</v>
      </c>
      <c r="BP252" s="2" t="s">
        <v>74</v>
      </c>
      <c r="BQ252" s="2" t="s">
        <v>74</v>
      </c>
      <c r="BR252" s="2" t="s">
        <v>74</v>
      </c>
      <c r="BS252" s="2" t="s">
        <v>7909</v>
      </c>
      <c r="BT252" s="2" t="str">
        <f>HYPERLINK("https%3A%2F%2Fwww.webofscience.com%2Fwos%2Fwoscc%2Ffull-record%2FWOS:000617763600006","View Full Record in Web of Science")</f>
        <v>View Full Record in Web of Science</v>
      </c>
    </row>
    <row r="253" spans="1:72" s="2" customFormat="1" x14ac:dyDescent="0.4">
      <c r="A253" s="2" t="s">
        <v>72</v>
      </c>
      <c r="B253" s="2" t="s">
        <v>5482</v>
      </c>
      <c r="C253" s="2" t="s">
        <v>74</v>
      </c>
      <c r="D253" s="2" t="s">
        <v>74</v>
      </c>
      <c r="E253" s="2" t="s">
        <v>74</v>
      </c>
      <c r="F253" s="2" t="s">
        <v>5483</v>
      </c>
      <c r="G253" s="2" t="s">
        <v>74</v>
      </c>
      <c r="H253" s="2" t="s">
        <v>74</v>
      </c>
      <c r="I253" s="2" t="s">
        <v>5484</v>
      </c>
      <c r="J253" s="2" t="s">
        <v>129</v>
      </c>
      <c r="K253" s="2" t="s">
        <v>74</v>
      </c>
      <c r="L253" s="2" t="s">
        <v>74</v>
      </c>
      <c r="M253" s="2" t="s">
        <v>74</v>
      </c>
      <c r="N253" s="2" t="s">
        <v>74</v>
      </c>
      <c r="O253" s="2" t="s">
        <v>74</v>
      </c>
      <c r="P253" s="2" t="s">
        <v>74</v>
      </c>
      <c r="Q253" s="2" t="s">
        <v>74</v>
      </c>
      <c r="R253" s="2" t="s">
        <v>74</v>
      </c>
      <c r="S253" s="2" t="s">
        <v>74</v>
      </c>
      <c r="T253" s="2" t="s">
        <v>74</v>
      </c>
      <c r="U253" s="2" t="s">
        <v>74</v>
      </c>
      <c r="V253" s="5" t="s">
        <v>5485</v>
      </c>
      <c r="W253" s="2" t="s">
        <v>74</v>
      </c>
      <c r="X253" s="2" t="s">
        <v>74</v>
      </c>
      <c r="Y253" s="2" t="s">
        <v>74</v>
      </c>
      <c r="Z253" s="2" t="s">
        <v>74</v>
      </c>
      <c r="AA253" s="2" t="s">
        <v>5486</v>
      </c>
      <c r="AB253" s="2" t="s">
        <v>5487</v>
      </c>
      <c r="AC253" s="2" t="s">
        <v>74</v>
      </c>
      <c r="AD253" s="2" t="s">
        <v>74</v>
      </c>
      <c r="AE253" s="2" t="s">
        <v>74</v>
      </c>
      <c r="AF253" s="2" t="s">
        <v>74</v>
      </c>
      <c r="AG253" s="2" t="s">
        <v>74</v>
      </c>
      <c r="AH253" s="2" t="s">
        <v>74</v>
      </c>
      <c r="AI253" s="2" t="s">
        <v>74</v>
      </c>
      <c r="AJ253" s="2" t="s">
        <v>74</v>
      </c>
      <c r="AK253" s="2" t="s">
        <v>74</v>
      </c>
      <c r="AL253" s="2" t="s">
        <v>74</v>
      </c>
      <c r="AM253" s="2" t="s">
        <v>74</v>
      </c>
      <c r="AN253" s="2" t="s">
        <v>74</v>
      </c>
      <c r="AO253" s="2" t="s">
        <v>132</v>
      </c>
      <c r="AP253" s="2" t="s">
        <v>133</v>
      </c>
      <c r="AQ253" s="2" t="s">
        <v>74</v>
      </c>
      <c r="AR253" s="2" t="s">
        <v>74</v>
      </c>
      <c r="AS253" s="2" t="s">
        <v>74</v>
      </c>
      <c r="AT253" s="2" t="s">
        <v>102</v>
      </c>
      <c r="AU253" s="2">
        <v>2022</v>
      </c>
      <c r="AV253" s="2">
        <v>76</v>
      </c>
      <c r="AW253" s="2">
        <v>6</v>
      </c>
      <c r="AX253" s="2" t="s">
        <v>74</v>
      </c>
      <c r="AY253" s="2" t="s">
        <v>74</v>
      </c>
      <c r="AZ253" s="2" t="s">
        <v>74</v>
      </c>
      <c r="BA253" s="2" t="s">
        <v>74</v>
      </c>
      <c r="BB253" s="2" t="s">
        <v>74</v>
      </c>
      <c r="BC253" s="2" t="s">
        <v>74</v>
      </c>
      <c r="BD253" s="2">
        <v>77</v>
      </c>
      <c r="BE253" s="2" t="s">
        <v>5488</v>
      </c>
      <c r="BF253" s="2" t="str">
        <f>HYPERLINK("http://dx.doi.org/10.1007/s00265-022-03181-x","http://dx.doi.org/10.1007/s00265-022-03181-x")</f>
        <v>http://dx.doi.org/10.1007/s00265-022-03181-x</v>
      </c>
      <c r="BG253" s="2" t="s">
        <v>74</v>
      </c>
      <c r="BH253" s="2" t="s">
        <v>74</v>
      </c>
      <c r="BI253" s="2" t="s">
        <v>74</v>
      </c>
      <c r="BJ253" s="2" t="s">
        <v>74</v>
      </c>
      <c r="BK253" s="2" t="s">
        <v>74</v>
      </c>
      <c r="BL253" s="2" t="s">
        <v>74</v>
      </c>
      <c r="BM253" s="2" t="s">
        <v>74</v>
      </c>
      <c r="BN253" s="2" t="s">
        <v>74</v>
      </c>
      <c r="BO253" s="2" t="s">
        <v>74</v>
      </c>
      <c r="BP253" s="2" t="s">
        <v>74</v>
      </c>
      <c r="BQ253" s="2" t="s">
        <v>74</v>
      </c>
      <c r="BR253" s="2" t="s">
        <v>74</v>
      </c>
      <c r="BS253" s="2" t="s">
        <v>5489</v>
      </c>
      <c r="BT253" s="2" t="str">
        <f>HYPERLINK("https%3A%2F%2Fwww.webofscience.com%2Fwos%2Fwoscc%2Ffull-record%2FWOS:000804747400001","View Full Record in Web of Science")</f>
        <v>View Full Record in Web of Science</v>
      </c>
    </row>
    <row r="254" spans="1:72" s="2" customFormat="1" x14ac:dyDescent="0.4">
      <c r="A254" s="2" t="s">
        <v>72</v>
      </c>
      <c r="B254" s="2" t="s">
        <v>1892</v>
      </c>
      <c r="C254" s="2" t="s">
        <v>74</v>
      </c>
      <c r="D254" s="2" t="s">
        <v>74</v>
      </c>
      <c r="E254" s="2" t="s">
        <v>74</v>
      </c>
      <c r="F254" s="2" t="s">
        <v>1893</v>
      </c>
      <c r="G254" s="2" t="s">
        <v>74</v>
      </c>
      <c r="H254" s="2" t="s">
        <v>74</v>
      </c>
      <c r="I254" s="2" t="s">
        <v>1894</v>
      </c>
      <c r="J254" s="2" t="s">
        <v>1384</v>
      </c>
      <c r="K254" s="2" t="s">
        <v>74</v>
      </c>
      <c r="L254" s="2" t="s">
        <v>74</v>
      </c>
      <c r="M254" s="2" t="s">
        <v>74</v>
      </c>
      <c r="N254" s="2" t="s">
        <v>74</v>
      </c>
      <c r="O254" s="2" t="s">
        <v>74</v>
      </c>
      <c r="P254" s="2" t="s">
        <v>74</v>
      </c>
      <c r="Q254" s="2" t="s">
        <v>74</v>
      </c>
      <c r="R254" s="2" t="s">
        <v>74</v>
      </c>
      <c r="S254" s="2" t="s">
        <v>74</v>
      </c>
      <c r="T254" s="2" t="s">
        <v>74</v>
      </c>
      <c r="U254" s="2" t="s">
        <v>74</v>
      </c>
      <c r="V254" s="5" t="s">
        <v>1895</v>
      </c>
      <c r="W254" s="2" t="s">
        <v>74</v>
      </c>
      <c r="X254" s="2" t="s">
        <v>74</v>
      </c>
      <c r="Y254" s="2" t="s">
        <v>74</v>
      </c>
      <c r="Z254" s="2" t="s">
        <v>74</v>
      </c>
      <c r="AA254" s="2" t="s">
        <v>1896</v>
      </c>
      <c r="AB254" s="2" t="s">
        <v>1897</v>
      </c>
      <c r="AC254" s="2" t="s">
        <v>74</v>
      </c>
      <c r="AD254" s="2" t="s">
        <v>74</v>
      </c>
      <c r="AE254" s="2" t="s">
        <v>74</v>
      </c>
      <c r="AF254" s="2" t="s">
        <v>74</v>
      </c>
      <c r="AG254" s="2" t="s">
        <v>74</v>
      </c>
      <c r="AH254" s="2" t="s">
        <v>74</v>
      </c>
      <c r="AI254" s="2" t="s">
        <v>74</v>
      </c>
      <c r="AJ254" s="2" t="s">
        <v>74</v>
      </c>
      <c r="AK254" s="2" t="s">
        <v>74</v>
      </c>
      <c r="AL254" s="2" t="s">
        <v>74</v>
      </c>
      <c r="AM254" s="2" t="s">
        <v>74</v>
      </c>
      <c r="AN254" s="2" t="s">
        <v>74</v>
      </c>
      <c r="AO254" s="2" t="s">
        <v>1388</v>
      </c>
      <c r="AP254" s="2" t="s">
        <v>1389</v>
      </c>
      <c r="AQ254" s="2" t="s">
        <v>74</v>
      </c>
      <c r="AR254" s="2" t="s">
        <v>74</v>
      </c>
      <c r="AS254" s="2" t="s">
        <v>74</v>
      </c>
      <c r="AT254" s="2" t="s">
        <v>175</v>
      </c>
      <c r="AU254" s="2">
        <v>2009</v>
      </c>
      <c r="AV254" s="2">
        <v>151</v>
      </c>
      <c r="AW254" s="2">
        <v>4</v>
      </c>
      <c r="AX254" s="2" t="s">
        <v>74</v>
      </c>
      <c r="AY254" s="2" t="s">
        <v>74</v>
      </c>
      <c r="AZ254" s="2" t="s">
        <v>74</v>
      </c>
      <c r="BA254" s="2" t="s">
        <v>74</v>
      </c>
      <c r="BB254" s="2">
        <v>689</v>
      </c>
      <c r="BC254" s="2">
        <v>698</v>
      </c>
      <c r="BD254" s="2" t="s">
        <v>74</v>
      </c>
      <c r="BE254" s="2" t="s">
        <v>1898</v>
      </c>
      <c r="BF254" s="2" t="str">
        <f>HYPERLINK("http://dx.doi.org/10.1111/j.1474-919X.2009.00953.x","http://dx.doi.org/10.1111/j.1474-919X.2009.00953.x")</f>
        <v>http://dx.doi.org/10.1111/j.1474-919X.2009.00953.x</v>
      </c>
      <c r="BG254" s="2" t="s">
        <v>74</v>
      </c>
      <c r="BH254" s="2" t="s">
        <v>74</v>
      </c>
      <c r="BI254" s="2" t="s">
        <v>74</v>
      </c>
      <c r="BJ254" s="2" t="s">
        <v>74</v>
      </c>
      <c r="BK254" s="2" t="s">
        <v>74</v>
      </c>
      <c r="BL254" s="2" t="s">
        <v>74</v>
      </c>
      <c r="BM254" s="2" t="s">
        <v>74</v>
      </c>
      <c r="BN254" s="2" t="s">
        <v>74</v>
      </c>
      <c r="BO254" s="2" t="s">
        <v>74</v>
      </c>
      <c r="BP254" s="2" t="s">
        <v>74</v>
      </c>
      <c r="BQ254" s="2" t="s">
        <v>74</v>
      </c>
      <c r="BR254" s="2" t="s">
        <v>74</v>
      </c>
      <c r="BS254" s="2" t="s">
        <v>1899</v>
      </c>
      <c r="BT254" s="2" t="str">
        <f>HYPERLINK("https%3A%2F%2Fwww.webofscience.com%2Fwos%2Fwoscc%2Ffull-record%2FWOS:000269977000006","View Full Record in Web of Science")</f>
        <v>View Full Record in Web of Science</v>
      </c>
    </row>
    <row r="255" spans="1:72" s="2" customFormat="1" x14ac:dyDescent="0.4">
      <c r="A255" s="2" t="s">
        <v>72</v>
      </c>
      <c r="B255" s="2" t="s">
        <v>1264</v>
      </c>
      <c r="C255" s="2" t="s">
        <v>74</v>
      </c>
      <c r="D255" s="2" t="s">
        <v>74</v>
      </c>
      <c r="E255" s="2" t="s">
        <v>74</v>
      </c>
      <c r="F255" s="2" t="s">
        <v>1265</v>
      </c>
      <c r="G255" s="2" t="s">
        <v>74</v>
      </c>
      <c r="H255" s="2" t="s">
        <v>74</v>
      </c>
      <c r="I255" s="2" t="s">
        <v>1266</v>
      </c>
      <c r="J255" s="2" t="s">
        <v>88</v>
      </c>
      <c r="K255" s="2" t="s">
        <v>74</v>
      </c>
      <c r="L255" s="2" t="s">
        <v>74</v>
      </c>
      <c r="M255" s="2" t="s">
        <v>74</v>
      </c>
      <c r="N255" s="2" t="s">
        <v>74</v>
      </c>
      <c r="O255" s="2" t="s">
        <v>74</v>
      </c>
      <c r="P255" s="2" t="s">
        <v>74</v>
      </c>
      <c r="Q255" s="2" t="s">
        <v>74</v>
      </c>
      <c r="R255" s="2" t="s">
        <v>74</v>
      </c>
      <c r="S255" s="2" t="s">
        <v>74</v>
      </c>
      <c r="T255" s="2" t="s">
        <v>74</v>
      </c>
      <c r="U255" s="2" t="s">
        <v>74</v>
      </c>
      <c r="V255" s="5" t="s">
        <v>1267</v>
      </c>
      <c r="W255" s="2" t="s">
        <v>74</v>
      </c>
      <c r="X255" s="2" t="s">
        <v>74</v>
      </c>
      <c r="Y255" s="2" t="s">
        <v>74</v>
      </c>
      <c r="Z255" s="2" t="s">
        <v>74</v>
      </c>
      <c r="AA255" s="2" t="s">
        <v>1268</v>
      </c>
      <c r="AB255" s="2" t="s">
        <v>1269</v>
      </c>
      <c r="AC255" s="2" t="s">
        <v>74</v>
      </c>
      <c r="AD255" s="2" t="s">
        <v>74</v>
      </c>
      <c r="AE255" s="2" t="s">
        <v>74</v>
      </c>
      <c r="AF255" s="2" t="s">
        <v>74</v>
      </c>
      <c r="AG255" s="2" t="s">
        <v>74</v>
      </c>
      <c r="AH255" s="2" t="s">
        <v>74</v>
      </c>
      <c r="AI255" s="2" t="s">
        <v>74</v>
      </c>
      <c r="AJ255" s="2" t="s">
        <v>74</v>
      </c>
      <c r="AK255" s="2" t="s">
        <v>74</v>
      </c>
      <c r="AL255" s="2" t="s">
        <v>74</v>
      </c>
      <c r="AM255" s="2" t="s">
        <v>74</v>
      </c>
      <c r="AN255" s="2" t="s">
        <v>74</v>
      </c>
      <c r="AO255" s="2" t="s">
        <v>91</v>
      </c>
      <c r="AP255" s="2" t="s">
        <v>74</v>
      </c>
      <c r="AQ255" s="2" t="s">
        <v>74</v>
      </c>
      <c r="AR255" s="2" t="s">
        <v>74</v>
      </c>
      <c r="AS255" s="2" t="s">
        <v>74</v>
      </c>
      <c r="AT255" s="2" t="s">
        <v>895</v>
      </c>
      <c r="AU255" s="2">
        <v>2008</v>
      </c>
      <c r="AV255" s="2">
        <v>4</v>
      </c>
      <c r="AW255" s="2">
        <v>5</v>
      </c>
      <c r="AX255" s="2" t="s">
        <v>74</v>
      </c>
      <c r="AY255" s="2" t="s">
        <v>74</v>
      </c>
      <c r="AZ255" s="2" t="s">
        <v>74</v>
      </c>
      <c r="BA255" s="2" t="s">
        <v>74</v>
      </c>
      <c r="BB255" s="2">
        <v>515</v>
      </c>
      <c r="BC255" s="2">
        <v>517</v>
      </c>
      <c r="BD255" s="2" t="s">
        <v>74</v>
      </c>
      <c r="BE255" s="2" t="s">
        <v>1270</v>
      </c>
      <c r="BF255" s="2" t="str">
        <f>HYPERLINK("http://dx.doi.org/10.1098/rsbl.2008.0279","http://dx.doi.org/10.1098/rsbl.2008.0279")</f>
        <v>http://dx.doi.org/10.1098/rsbl.2008.0279</v>
      </c>
      <c r="BG255" s="2" t="s">
        <v>74</v>
      </c>
      <c r="BH255" s="2" t="s">
        <v>74</v>
      </c>
      <c r="BI255" s="2" t="s">
        <v>74</v>
      </c>
      <c r="BJ255" s="2" t="s">
        <v>74</v>
      </c>
      <c r="BK255" s="2" t="s">
        <v>74</v>
      </c>
      <c r="BL255" s="2" t="s">
        <v>74</v>
      </c>
      <c r="BM255" s="2" t="s">
        <v>74</v>
      </c>
      <c r="BN255" s="2">
        <v>18593669</v>
      </c>
      <c r="BO255" s="2" t="s">
        <v>74</v>
      </c>
      <c r="BP255" s="2" t="s">
        <v>74</v>
      </c>
      <c r="BQ255" s="2" t="s">
        <v>74</v>
      </c>
      <c r="BR255" s="2" t="s">
        <v>74</v>
      </c>
      <c r="BS255" s="2" t="s">
        <v>1271</v>
      </c>
      <c r="BT255" s="2" t="str">
        <f>HYPERLINK("https%3A%2F%2Fwww.webofscience.com%2Fwos%2Fwoscc%2Ffull-record%2FWOS:000259085900022","View Full Record in Web of Science")</f>
        <v>View Full Record in Web of Science</v>
      </c>
    </row>
    <row r="256" spans="1:72" s="2" customFormat="1" x14ac:dyDescent="0.4">
      <c r="A256" s="2" t="s">
        <v>72</v>
      </c>
      <c r="B256" s="2" t="s">
        <v>116</v>
      </c>
      <c r="C256" s="2" t="s">
        <v>74</v>
      </c>
      <c r="D256" s="2" t="s">
        <v>74</v>
      </c>
      <c r="E256" s="2" t="s">
        <v>74</v>
      </c>
      <c r="F256" s="2" t="s">
        <v>117</v>
      </c>
      <c r="G256" s="2" t="s">
        <v>74</v>
      </c>
      <c r="H256" s="2" t="s">
        <v>74</v>
      </c>
      <c r="I256" s="2" t="s">
        <v>118</v>
      </c>
      <c r="J256" s="2" t="s">
        <v>119</v>
      </c>
      <c r="K256" s="2" t="s">
        <v>74</v>
      </c>
      <c r="L256" s="2" t="s">
        <v>74</v>
      </c>
      <c r="M256" s="2" t="s">
        <v>74</v>
      </c>
      <c r="N256" s="2" t="s">
        <v>74</v>
      </c>
      <c r="O256" s="2" t="s">
        <v>74</v>
      </c>
      <c r="P256" s="2" t="s">
        <v>74</v>
      </c>
      <c r="Q256" s="2" t="s">
        <v>74</v>
      </c>
      <c r="R256" s="2" t="s">
        <v>74</v>
      </c>
      <c r="S256" s="2" t="s">
        <v>74</v>
      </c>
      <c r="T256" s="2" t="s">
        <v>74</v>
      </c>
      <c r="U256" s="2" t="s">
        <v>74</v>
      </c>
      <c r="V256" s="5" t="s">
        <v>120</v>
      </c>
      <c r="W256" s="2" t="s">
        <v>74</v>
      </c>
      <c r="X256" s="2" t="s">
        <v>74</v>
      </c>
      <c r="Y256" s="2" t="s">
        <v>74</v>
      </c>
      <c r="Z256" s="2" t="s">
        <v>74</v>
      </c>
      <c r="AA256" s="2" t="s">
        <v>74</v>
      </c>
      <c r="AB256" s="2" t="s">
        <v>74</v>
      </c>
      <c r="AC256" s="2" t="s">
        <v>74</v>
      </c>
      <c r="AD256" s="2" t="s">
        <v>74</v>
      </c>
      <c r="AE256" s="2" t="s">
        <v>74</v>
      </c>
      <c r="AF256" s="2" t="s">
        <v>74</v>
      </c>
      <c r="AG256" s="2" t="s">
        <v>74</v>
      </c>
      <c r="AH256" s="2" t="s">
        <v>74</v>
      </c>
      <c r="AI256" s="2" t="s">
        <v>74</v>
      </c>
      <c r="AJ256" s="2" t="s">
        <v>74</v>
      </c>
      <c r="AK256" s="2" t="s">
        <v>74</v>
      </c>
      <c r="AL256" s="2" t="s">
        <v>74</v>
      </c>
      <c r="AM256" s="2" t="s">
        <v>74</v>
      </c>
      <c r="AN256" s="2" t="s">
        <v>74</v>
      </c>
      <c r="AO256" s="2" t="s">
        <v>121</v>
      </c>
      <c r="AP256" s="2" t="s">
        <v>122</v>
      </c>
      <c r="AQ256" s="2" t="s">
        <v>74</v>
      </c>
      <c r="AR256" s="2" t="s">
        <v>74</v>
      </c>
      <c r="AS256" s="2" t="s">
        <v>74</v>
      </c>
      <c r="AT256" s="2" t="s">
        <v>123</v>
      </c>
      <c r="AU256" s="2">
        <v>2017</v>
      </c>
      <c r="AV256" s="2">
        <v>136</v>
      </c>
      <c r="AW256" s="2" t="s">
        <v>74</v>
      </c>
      <c r="AX256" s="2" t="s">
        <v>74</v>
      </c>
      <c r="AY256" s="2" t="s">
        <v>74</v>
      </c>
      <c r="AZ256" s="2" t="s">
        <v>74</v>
      </c>
      <c r="BA256" s="2" t="s">
        <v>74</v>
      </c>
      <c r="BB256" s="2">
        <v>64</v>
      </c>
      <c r="BC256" s="2">
        <v>72</v>
      </c>
      <c r="BD256" s="2" t="s">
        <v>74</v>
      </c>
      <c r="BE256" s="2" t="s">
        <v>124</v>
      </c>
      <c r="BF256" s="2" t="str">
        <f>HYPERLINK("http://dx.doi.org/10.1016/j.beproc.2017.01.011","http://dx.doi.org/10.1016/j.beproc.2017.01.011")</f>
        <v>http://dx.doi.org/10.1016/j.beproc.2017.01.011</v>
      </c>
      <c r="BG256" s="2" t="s">
        <v>74</v>
      </c>
      <c r="BH256" s="2" t="s">
        <v>74</v>
      </c>
      <c r="BI256" s="2" t="s">
        <v>74</v>
      </c>
      <c r="BJ256" s="2" t="s">
        <v>74</v>
      </c>
      <c r="BK256" s="2" t="s">
        <v>74</v>
      </c>
      <c r="BL256" s="2" t="s">
        <v>74</v>
      </c>
      <c r="BM256" s="2" t="s">
        <v>74</v>
      </c>
      <c r="BN256" s="2">
        <v>28143722</v>
      </c>
      <c r="BO256" s="2" t="s">
        <v>74</v>
      </c>
      <c r="BP256" s="2" t="s">
        <v>74</v>
      </c>
      <c r="BQ256" s="2" t="s">
        <v>74</v>
      </c>
      <c r="BR256" s="2" t="s">
        <v>74</v>
      </c>
      <c r="BS256" s="2" t="s">
        <v>125</v>
      </c>
      <c r="BT256" s="2" t="str">
        <f>HYPERLINK("https%3A%2F%2Fwww.webofscience.com%2Fwos%2Fwoscc%2Ffull-record%2FWOS:000395844600010","View Full Record in Web of Science")</f>
        <v>View Full Record in Web of Science</v>
      </c>
    </row>
    <row r="257" spans="1:72" s="2" customFormat="1" x14ac:dyDescent="0.4">
      <c r="A257" s="2" t="s">
        <v>72</v>
      </c>
      <c r="B257" s="2" t="s">
        <v>619</v>
      </c>
      <c r="C257" s="2" t="s">
        <v>74</v>
      </c>
      <c r="D257" s="2" t="s">
        <v>74</v>
      </c>
      <c r="E257" s="2" t="s">
        <v>74</v>
      </c>
      <c r="F257" s="2" t="s">
        <v>620</v>
      </c>
      <c r="G257" s="2" t="s">
        <v>74</v>
      </c>
      <c r="H257" s="2" t="s">
        <v>74</v>
      </c>
      <c r="I257" s="2" t="s">
        <v>621</v>
      </c>
      <c r="J257" s="2" t="s">
        <v>610</v>
      </c>
      <c r="K257" s="2" t="s">
        <v>74</v>
      </c>
      <c r="L257" s="2" t="s">
        <v>74</v>
      </c>
      <c r="M257" s="2" t="s">
        <v>74</v>
      </c>
      <c r="N257" s="2" t="s">
        <v>74</v>
      </c>
      <c r="O257" s="2" t="s">
        <v>74</v>
      </c>
      <c r="P257" s="2" t="s">
        <v>74</v>
      </c>
      <c r="Q257" s="2" t="s">
        <v>74</v>
      </c>
      <c r="R257" s="2" t="s">
        <v>74</v>
      </c>
      <c r="S257" s="2" t="s">
        <v>74</v>
      </c>
      <c r="T257" s="2" t="s">
        <v>74</v>
      </c>
      <c r="U257" s="2" t="s">
        <v>74</v>
      </c>
      <c r="V257" s="5" t="s">
        <v>622</v>
      </c>
      <c r="W257" s="2" t="s">
        <v>74</v>
      </c>
      <c r="X257" s="2" t="s">
        <v>74</v>
      </c>
      <c r="Y257" s="2" t="s">
        <v>74</v>
      </c>
      <c r="Z257" s="2" t="s">
        <v>74</v>
      </c>
      <c r="AA257" s="2" t="s">
        <v>623</v>
      </c>
      <c r="AB257" s="2" t="s">
        <v>624</v>
      </c>
      <c r="AC257" s="2" t="s">
        <v>74</v>
      </c>
      <c r="AD257" s="2" t="s">
        <v>74</v>
      </c>
      <c r="AE257" s="2" t="s">
        <v>74</v>
      </c>
      <c r="AF257" s="2" t="s">
        <v>74</v>
      </c>
      <c r="AG257" s="2" t="s">
        <v>74</v>
      </c>
      <c r="AH257" s="2" t="s">
        <v>74</v>
      </c>
      <c r="AI257" s="2" t="s">
        <v>74</v>
      </c>
      <c r="AJ257" s="2" t="s">
        <v>74</v>
      </c>
      <c r="AK257" s="2" t="s">
        <v>74</v>
      </c>
      <c r="AL257" s="2" t="s">
        <v>74</v>
      </c>
      <c r="AM257" s="2" t="s">
        <v>74</v>
      </c>
      <c r="AN257" s="2" t="s">
        <v>74</v>
      </c>
      <c r="AO257" s="2" t="s">
        <v>614</v>
      </c>
      <c r="AP257" s="2" t="s">
        <v>615</v>
      </c>
      <c r="AQ257" s="2" t="s">
        <v>74</v>
      </c>
      <c r="AR257" s="2" t="s">
        <v>74</v>
      </c>
      <c r="AS257" s="2" t="s">
        <v>74</v>
      </c>
      <c r="AT257" s="2" t="s">
        <v>352</v>
      </c>
      <c r="AU257" s="2">
        <v>2018</v>
      </c>
      <c r="AV257" s="2">
        <v>124</v>
      </c>
      <c r="AW257" s="2">
        <v>9</v>
      </c>
      <c r="AX257" s="2" t="s">
        <v>74</v>
      </c>
      <c r="AY257" s="2" t="s">
        <v>74</v>
      </c>
      <c r="AZ257" s="2" t="s">
        <v>74</v>
      </c>
      <c r="BA257" s="2" t="s">
        <v>74</v>
      </c>
      <c r="BB257" s="2">
        <v>667</v>
      </c>
      <c r="BC257" s="2">
        <v>673</v>
      </c>
      <c r="BD257" s="2" t="s">
        <v>74</v>
      </c>
      <c r="BE257" s="2" t="s">
        <v>625</v>
      </c>
      <c r="BF257" s="2" t="str">
        <f>HYPERLINK("http://dx.doi.org/10.1111/eth.12771","http://dx.doi.org/10.1111/eth.12771")</f>
        <v>http://dx.doi.org/10.1111/eth.12771</v>
      </c>
      <c r="BG257" s="2" t="s">
        <v>74</v>
      </c>
      <c r="BH257" s="2" t="s">
        <v>74</v>
      </c>
      <c r="BI257" s="2" t="s">
        <v>74</v>
      </c>
      <c r="BJ257" s="2" t="s">
        <v>74</v>
      </c>
      <c r="BK257" s="2" t="s">
        <v>74</v>
      </c>
      <c r="BL257" s="2" t="s">
        <v>74</v>
      </c>
      <c r="BM257" s="2" t="s">
        <v>74</v>
      </c>
      <c r="BN257" s="2" t="s">
        <v>74</v>
      </c>
      <c r="BO257" s="2" t="s">
        <v>74</v>
      </c>
      <c r="BP257" s="2" t="s">
        <v>74</v>
      </c>
      <c r="BQ257" s="2" t="s">
        <v>74</v>
      </c>
      <c r="BR257" s="2" t="s">
        <v>74</v>
      </c>
      <c r="BS257" s="2" t="s">
        <v>626</v>
      </c>
      <c r="BT257" s="2" t="str">
        <f>HYPERLINK("https%3A%2F%2Fwww.webofscience.com%2Fwos%2Fwoscc%2Ffull-record%2FWOS:000440649700006","View Full Record in Web of Science")</f>
        <v>View Full Record in Web of Science</v>
      </c>
    </row>
    <row r="258" spans="1:72" s="2" customFormat="1" x14ac:dyDescent="0.4">
      <c r="A258" s="2" t="s">
        <v>72</v>
      </c>
      <c r="B258" s="2" t="s">
        <v>7993</v>
      </c>
      <c r="C258" s="2" t="s">
        <v>74</v>
      </c>
      <c r="D258" s="2" t="s">
        <v>74</v>
      </c>
      <c r="E258" s="2" t="s">
        <v>74</v>
      </c>
      <c r="F258" s="2" t="s">
        <v>7994</v>
      </c>
      <c r="G258" s="2" t="s">
        <v>74</v>
      </c>
      <c r="H258" s="2" t="s">
        <v>74</v>
      </c>
      <c r="I258" s="2" t="s">
        <v>7995</v>
      </c>
      <c r="J258" s="2" t="s">
        <v>408</v>
      </c>
      <c r="K258" s="2" t="s">
        <v>74</v>
      </c>
      <c r="L258" s="2" t="s">
        <v>74</v>
      </c>
      <c r="M258" s="2" t="s">
        <v>74</v>
      </c>
      <c r="N258" s="2" t="s">
        <v>74</v>
      </c>
      <c r="O258" s="2" t="s">
        <v>74</v>
      </c>
      <c r="P258" s="2" t="s">
        <v>74</v>
      </c>
      <c r="Q258" s="2" t="s">
        <v>74</v>
      </c>
      <c r="R258" s="2" t="s">
        <v>74</v>
      </c>
      <c r="S258" s="2" t="s">
        <v>74</v>
      </c>
      <c r="T258" s="2" t="s">
        <v>74</v>
      </c>
      <c r="U258" s="2" t="s">
        <v>74</v>
      </c>
      <c r="V258" s="5" t="s">
        <v>7996</v>
      </c>
      <c r="W258" s="2" t="s">
        <v>74</v>
      </c>
      <c r="X258" s="2" t="s">
        <v>74</v>
      </c>
      <c r="Y258" s="2" t="s">
        <v>74</v>
      </c>
      <c r="Z258" s="2" t="s">
        <v>74</v>
      </c>
      <c r="AA258" s="2" t="s">
        <v>74</v>
      </c>
      <c r="AB258" s="2" t="s">
        <v>74</v>
      </c>
      <c r="AC258" s="2" t="s">
        <v>74</v>
      </c>
      <c r="AD258" s="2" t="s">
        <v>74</v>
      </c>
      <c r="AE258" s="2" t="s">
        <v>74</v>
      </c>
      <c r="AF258" s="2" t="s">
        <v>74</v>
      </c>
      <c r="AG258" s="2" t="s">
        <v>74</v>
      </c>
      <c r="AH258" s="2" t="s">
        <v>74</v>
      </c>
      <c r="AI258" s="2" t="s">
        <v>74</v>
      </c>
      <c r="AJ258" s="2" t="s">
        <v>74</v>
      </c>
      <c r="AK258" s="2" t="s">
        <v>74</v>
      </c>
      <c r="AL258" s="2" t="s">
        <v>74</v>
      </c>
      <c r="AM258" s="2" t="s">
        <v>74</v>
      </c>
      <c r="AN258" s="2" t="s">
        <v>74</v>
      </c>
      <c r="AO258" s="2" t="s">
        <v>412</v>
      </c>
      <c r="AP258" s="2" t="s">
        <v>413</v>
      </c>
      <c r="AQ258" s="2" t="s">
        <v>74</v>
      </c>
      <c r="AR258" s="2" t="s">
        <v>74</v>
      </c>
      <c r="AS258" s="2" t="s">
        <v>74</v>
      </c>
      <c r="AT258" s="2" t="s">
        <v>5887</v>
      </c>
      <c r="AU258" s="2">
        <v>2023</v>
      </c>
      <c r="AV258" s="2">
        <v>139</v>
      </c>
      <c r="AW258" s="2">
        <v>3</v>
      </c>
      <c r="AX258" s="2" t="s">
        <v>74</v>
      </c>
      <c r="AY258" s="2" t="s">
        <v>74</v>
      </c>
      <c r="AZ258" s="2" t="s">
        <v>74</v>
      </c>
      <c r="BA258" s="2" t="s">
        <v>74</v>
      </c>
      <c r="BB258" s="2">
        <v>214</v>
      </c>
      <c r="BC258" s="2">
        <v>230</v>
      </c>
      <c r="BD258" s="2" t="s">
        <v>74</v>
      </c>
      <c r="BE258" s="2" t="s">
        <v>7997</v>
      </c>
      <c r="BF258" s="2" t="str">
        <f>HYPERLINK("http://dx.doi.org/10.1093/biolinnean/blad051","http://dx.doi.org/10.1093/biolinnean/blad051")</f>
        <v>http://dx.doi.org/10.1093/biolinnean/blad051</v>
      </c>
      <c r="BG258" s="2" t="s">
        <v>74</v>
      </c>
      <c r="BH258" s="2" t="s">
        <v>5120</v>
      </c>
      <c r="BI258" s="2" t="s">
        <v>74</v>
      </c>
      <c r="BJ258" s="2" t="s">
        <v>74</v>
      </c>
      <c r="BK258" s="2" t="s">
        <v>74</v>
      </c>
      <c r="BL258" s="2" t="s">
        <v>74</v>
      </c>
      <c r="BM258" s="2" t="s">
        <v>74</v>
      </c>
      <c r="BN258" s="2" t="s">
        <v>74</v>
      </c>
      <c r="BO258" s="2" t="s">
        <v>74</v>
      </c>
      <c r="BP258" s="2" t="s">
        <v>74</v>
      </c>
      <c r="BQ258" s="2" t="s">
        <v>74</v>
      </c>
      <c r="BR258" s="2" t="s">
        <v>74</v>
      </c>
      <c r="BS258" s="2" t="s">
        <v>7998</v>
      </c>
      <c r="BT258" s="2" t="str">
        <f>HYPERLINK("https%3A%2F%2Fwww.webofscience.com%2Fwos%2Fwoscc%2Ffull-record%2FWOS:001004104800001","View Full Record in Web of Science")</f>
        <v>View Full Record in Web of Science</v>
      </c>
    </row>
    <row r="259" spans="1:72" s="2" customFormat="1" x14ac:dyDescent="0.4">
      <c r="A259" s="2" t="s">
        <v>72</v>
      </c>
      <c r="B259" s="2" t="s">
        <v>1843</v>
      </c>
      <c r="C259" s="2" t="s">
        <v>74</v>
      </c>
      <c r="D259" s="2" t="s">
        <v>74</v>
      </c>
      <c r="E259" s="2" t="s">
        <v>74</v>
      </c>
      <c r="F259" s="2" t="s">
        <v>1844</v>
      </c>
      <c r="G259" s="2" t="s">
        <v>74</v>
      </c>
      <c r="H259" s="2" t="s">
        <v>74</v>
      </c>
      <c r="I259" s="2" t="s">
        <v>1845</v>
      </c>
      <c r="J259" s="2" t="s">
        <v>241</v>
      </c>
      <c r="K259" s="2" t="s">
        <v>74</v>
      </c>
      <c r="L259" s="2" t="s">
        <v>74</v>
      </c>
      <c r="M259" s="2" t="s">
        <v>74</v>
      </c>
      <c r="N259" s="2" t="s">
        <v>74</v>
      </c>
      <c r="O259" s="2" t="s">
        <v>74</v>
      </c>
      <c r="P259" s="2" t="s">
        <v>74</v>
      </c>
      <c r="Q259" s="2" t="s">
        <v>74</v>
      </c>
      <c r="R259" s="2" t="s">
        <v>74</v>
      </c>
      <c r="S259" s="2" t="s">
        <v>74</v>
      </c>
      <c r="T259" s="2" t="s">
        <v>74</v>
      </c>
      <c r="U259" s="2" t="s">
        <v>74</v>
      </c>
      <c r="V259" s="5" t="s">
        <v>1846</v>
      </c>
      <c r="W259" s="2" t="s">
        <v>74</v>
      </c>
      <c r="X259" s="2" t="s">
        <v>74</v>
      </c>
      <c r="Y259" s="2" t="s">
        <v>74</v>
      </c>
      <c r="Z259" s="2" t="s">
        <v>74</v>
      </c>
      <c r="AA259" s="2" t="s">
        <v>1847</v>
      </c>
      <c r="AB259" s="2" t="s">
        <v>1848</v>
      </c>
      <c r="AC259" s="2" t="s">
        <v>74</v>
      </c>
      <c r="AD259" s="2" t="s">
        <v>74</v>
      </c>
      <c r="AE259" s="2" t="s">
        <v>74</v>
      </c>
      <c r="AF259" s="2" t="s">
        <v>74</v>
      </c>
      <c r="AG259" s="2" t="s">
        <v>74</v>
      </c>
      <c r="AH259" s="2" t="s">
        <v>74</v>
      </c>
      <c r="AI259" s="2" t="s">
        <v>74</v>
      </c>
      <c r="AJ259" s="2" t="s">
        <v>74</v>
      </c>
      <c r="AK259" s="2" t="s">
        <v>74</v>
      </c>
      <c r="AL259" s="2" t="s">
        <v>74</v>
      </c>
      <c r="AM259" s="2" t="s">
        <v>74</v>
      </c>
      <c r="AN259" s="2" t="s">
        <v>74</v>
      </c>
      <c r="AO259" s="2" t="s">
        <v>245</v>
      </c>
      <c r="AP259" s="2" t="s">
        <v>246</v>
      </c>
      <c r="AQ259" s="2" t="s">
        <v>74</v>
      </c>
      <c r="AR259" s="2" t="s">
        <v>74</v>
      </c>
      <c r="AS259" s="2" t="s">
        <v>74</v>
      </c>
      <c r="AT259" s="2" t="s">
        <v>175</v>
      </c>
      <c r="AU259" s="2">
        <v>2018</v>
      </c>
      <c r="AV259" s="2">
        <v>188</v>
      </c>
      <c r="AW259" s="2">
        <v>2</v>
      </c>
      <c r="AX259" s="2" t="s">
        <v>74</v>
      </c>
      <c r="AY259" s="2" t="s">
        <v>74</v>
      </c>
      <c r="AZ259" s="2" t="s">
        <v>74</v>
      </c>
      <c r="BA259" s="2" t="s">
        <v>74</v>
      </c>
      <c r="BB259" s="2">
        <v>501</v>
      </c>
      <c r="BC259" s="2">
        <v>513</v>
      </c>
      <c r="BD259" s="2" t="s">
        <v>74</v>
      </c>
      <c r="BE259" s="2" t="s">
        <v>1849</v>
      </c>
      <c r="BF259" s="2" t="str">
        <f>HYPERLINK("http://dx.doi.org/10.1007/s00442-018-4239-7","http://dx.doi.org/10.1007/s00442-018-4239-7")</f>
        <v>http://dx.doi.org/10.1007/s00442-018-4239-7</v>
      </c>
      <c r="BG259" s="2" t="s">
        <v>74</v>
      </c>
      <c r="BH259" s="2" t="s">
        <v>74</v>
      </c>
      <c r="BI259" s="2" t="s">
        <v>74</v>
      </c>
      <c r="BJ259" s="2" t="s">
        <v>74</v>
      </c>
      <c r="BK259" s="2" t="s">
        <v>74</v>
      </c>
      <c r="BL259" s="2" t="s">
        <v>74</v>
      </c>
      <c r="BM259" s="2" t="s">
        <v>74</v>
      </c>
      <c r="BN259" s="2">
        <v>30099605</v>
      </c>
      <c r="BO259" s="2" t="s">
        <v>74</v>
      </c>
      <c r="BP259" s="2" t="s">
        <v>74</v>
      </c>
      <c r="BQ259" s="2" t="s">
        <v>74</v>
      </c>
      <c r="BR259" s="2" t="s">
        <v>74</v>
      </c>
      <c r="BS259" s="2" t="s">
        <v>1850</v>
      </c>
      <c r="BT259" s="2" t="str">
        <f>HYPERLINK("https%3A%2F%2Fwww.webofscience.com%2Fwos%2Fwoscc%2Ffull-record%2FWOS:000445426400015","View Full Record in Web of Science")</f>
        <v>View Full Record in Web of Science</v>
      </c>
    </row>
    <row r="260" spans="1:72" s="2" customFormat="1" x14ac:dyDescent="0.4">
      <c r="A260" s="2" t="s">
        <v>72</v>
      </c>
      <c r="B260" s="2" t="s">
        <v>760</v>
      </c>
      <c r="C260" s="2" t="s">
        <v>74</v>
      </c>
      <c r="D260" s="2" t="s">
        <v>74</v>
      </c>
      <c r="E260" s="2" t="s">
        <v>74</v>
      </c>
      <c r="F260" s="2" t="s">
        <v>761</v>
      </c>
      <c r="G260" s="2" t="s">
        <v>74</v>
      </c>
      <c r="H260" s="2" t="s">
        <v>74</v>
      </c>
      <c r="I260" s="2" t="s">
        <v>762</v>
      </c>
      <c r="J260" s="2" t="s">
        <v>763</v>
      </c>
      <c r="K260" s="2" t="s">
        <v>74</v>
      </c>
      <c r="L260" s="2" t="s">
        <v>74</v>
      </c>
      <c r="M260" s="2" t="s">
        <v>74</v>
      </c>
      <c r="N260" s="2" t="s">
        <v>74</v>
      </c>
      <c r="O260" s="2" t="s">
        <v>74</v>
      </c>
      <c r="P260" s="2" t="s">
        <v>74</v>
      </c>
      <c r="Q260" s="2" t="s">
        <v>74</v>
      </c>
      <c r="R260" s="2" t="s">
        <v>74</v>
      </c>
      <c r="S260" s="2" t="s">
        <v>74</v>
      </c>
      <c r="T260" s="2" t="s">
        <v>74</v>
      </c>
      <c r="U260" s="2" t="s">
        <v>74</v>
      </c>
      <c r="V260" s="5" t="s">
        <v>764</v>
      </c>
      <c r="W260" s="2" t="s">
        <v>74</v>
      </c>
      <c r="X260" s="2" t="s">
        <v>74</v>
      </c>
      <c r="Y260" s="2" t="s">
        <v>74</v>
      </c>
      <c r="Z260" s="2" t="s">
        <v>74</v>
      </c>
      <c r="AA260" s="2" t="s">
        <v>765</v>
      </c>
      <c r="AB260" s="2" t="s">
        <v>766</v>
      </c>
      <c r="AC260" s="2" t="s">
        <v>74</v>
      </c>
      <c r="AD260" s="2" t="s">
        <v>74</v>
      </c>
      <c r="AE260" s="2" t="s">
        <v>74</v>
      </c>
      <c r="AF260" s="2" t="s">
        <v>74</v>
      </c>
      <c r="AG260" s="2" t="s">
        <v>74</v>
      </c>
      <c r="AH260" s="2" t="s">
        <v>74</v>
      </c>
      <c r="AI260" s="2" t="s">
        <v>74</v>
      </c>
      <c r="AJ260" s="2" t="s">
        <v>74</v>
      </c>
      <c r="AK260" s="2" t="s">
        <v>74</v>
      </c>
      <c r="AL260" s="2" t="s">
        <v>74</v>
      </c>
      <c r="AM260" s="2" t="s">
        <v>74</v>
      </c>
      <c r="AN260" s="2" t="s">
        <v>74</v>
      </c>
      <c r="AO260" s="2" t="s">
        <v>767</v>
      </c>
      <c r="AP260" s="2" t="s">
        <v>768</v>
      </c>
      <c r="AQ260" s="2" t="s">
        <v>74</v>
      </c>
      <c r="AR260" s="2" t="s">
        <v>74</v>
      </c>
      <c r="AS260" s="2" t="s">
        <v>74</v>
      </c>
      <c r="AT260" s="2" t="s">
        <v>769</v>
      </c>
      <c r="AU260" s="2">
        <v>2016</v>
      </c>
      <c r="AV260" s="2">
        <v>219</v>
      </c>
      <c r="AW260" s="2">
        <v>4</v>
      </c>
      <c r="AX260" s="2" t="s">
        <v>74</v>
      </c>
      <c r="AY260" s="2" t="s">
        <v>74</v>
      </c>
      <c r="AZ260" s="2" t="s">
        <v>74</v>
      </c>
      <c r="BA260" s="2" t="s">
        <v>74</v>
      </c>
      <c r="BB260" s="2">
        <v>597</v>
      </c>
      <c r="BC260" s="2">
        <v>608</v>
      </c>
      <c r="BD260" s="2" t="s">
        <v>74</v>
      </c>
      <c r="BE260" s="2" t="s">
        <v>770</v>
      </c>
      <c r="BF260" s="2" t="str">
        <f>HYPERLINK("http://dx.doi.org/10.1242/jeb.122275","http://dx.doi.org/10.1242/jeb.122275")</f>
        <v>http://dx.doi.org/10.1242/jeb.122275</v>
      </c>
      <c r="BG260" s="2" t="s">
        <v>74</v>
      </c>
      <c r="BH260" s="2" t="s">
        <v>74</v>
      </c>
      <c r="BI260" s="2" t="s">
        <v>74</v>
      </c>
      <c r="BJ260" s="2" t="s">
        <v>74</v>
      </c>
      <c r="BK260" s="2" t="s">
        <v>74</v>
      </c>
      <c r="BL260" s="2" t="s">
        <v>74</v>
      </c>
      <c r="BM260" s="2" t="s">
        <v>74</v>
      </c>
      <c r="BN260" s="2">
        <v>26747903</v>
      </c>
      <c r="BO260" s="2" t="s">
        <v>74</v>
      </c>
      <c r="BP260" s="2" t="s">
        <v>74</v>
      </c>
      <c r="BQ260" s="2" t="s">
        <v>74</v>
      </c>
      <c r="BR260" s="2" t="s">
        <v>74</v>
      </c>
      <c r="BS260" s="2" t="s">
        <v>771</v>
      </c>
      <c r="BT260" s="2" t="str">
        <f>HYPERLINK("https%3A%2F%2Fwww.webofscience.com%2Fwos%2Fwoscc%2Ffull-record%2FWOS:000370238000021","View Full Record in Web of Science")</f>
        <v>View Full Record in Web of Science</v>
      </c>
    </row>
    <row r="261" spans="1:72" s="2" customFormat="1" x14ac:dyDescent="0.4">
      <c r="A261" s="2" t="s">
        <v>72</v>
      </c>
      <c r="B261" s="2" t="s">
        <v>5038</v>
      </c>
      <c r="C261" s="2" t="s">
        <v>74</v>
      </c>
      <c r="D261" s="2" t="s">
        <v>74</v>
      </c>
      <c r="E261" s="2" t="s">
        <v>74</v>
      </c>
      <c r="F261" s="2" t="s">
        <v>5039</v>
      </c>
      <c r="G261" s="2" t="s">
        <v>74</v>
      </c>
      <c r="H261" s="2" t="s">
        <v>74</v>
      </c>
      <c r="I261" s="2" t="s">
        <v>5040</v>
      </c>
      <c r="J261" s="2" t="s">
        <v>108</v>
      </c>
      <c r="K261" s="2" t="s">
        <v>74</v>
      </c>
      <c r="L261" s="2" t="s">
        <v>74</v>
      </c>
      <c r="M261" s="2" t="s">
        <v>74</v>
      </c>
      <c r="N261" s="2" t="s">
        <v>74</v>
      </c>
      <c r="O261" s="2" t="s">
        <v>74</v>
      </c>
      <c r="P261" s="2" t="s">
        <v>74</v>
      </c>
      <c r="Q261" s="2" t="s">
        <v>74</v>
      </c>
      <c r="R261" s="2" t="s">
        <v>74</v>
      </c>
      <c r="S261" s="2" t="s">
        <v>74</v>
      </c>
      <c r="T261" s="2" t="s">
        <v>74</v>
      </c>
      <c r="U261" s="2" t="s">
        <v>74</v>
      </c>
      <c r="V261" s="5" t="s">
        <v>5041</v>
      </c>
      <c r="W261" s="2" t="s">
        <v>74</v>
      </c>
      <c r="X261" s="2" t="s">
        <v>74</v>
      </c>
      <c r="Y261" s="2" t="s">
        <v>74</v>
      </c>
      <c r="Z261" s="2" t="s">
        <v>74</v>
      </c>
      <c r="AA261" s="2" t="s">
        <v>5042</v>
      </c>
      <c r="AB261" s="2" t="s">
        <v>5043</v>
      </c>
      <c r="AC261" s="2" t="s">
        <v>74</v>
      </c>
      <c r="AD261" s="2" t="s">
        <v>74</v>
      </c>
      <c r="AE261" s="2" t="s">
        <v>74</v>
      </c>
      <c r="AF261" s="2" t="s">
        <v>74</v>
      </c>
      <c r="AG261" s="2" t="s">
        <v>74</v>
      </c>
      <c r="AH261" s="2" t="s">
        <v>74</v>
      </c>
      <c r="AI261" s="2" t="s">
        <v>74</v>
      </c>
      <c r="AJ261" s="2" t="s">
        <v>74</v>
      </c>
      <c r="AK261" s="2" t="s">
        <v>74</v>
      </c>
      <c r="AL261" s="2" t="s">
        <v>74</v>
      </c>
      <c r="AM261" s="2" t="s">
        <v>74</v>
      </c>
      <c r="AN261" s="2" t="s">
        <v>74</v>
      </c>
      <c r="AO261" s="2" t="s">
        <v>111</v>
      </c>
      <c r="AP261" s="2" t="s">
        <v>112</v>
      </c>
      <c r="AQ261" s="2" t="s">
        <v>74</v>
      </c>
      <c r="AR261" s="2" t="s">
        <v>74</v>
      </c>
      <c r="AS261" s="2" t="s">
        <v>74</v>
      </c>
      <c r="AT261" s="2" t="s">
        <v>5044</v>
      </c>
      <c r="AU261" s="2">
        <v>2017</v>
      </c>
      <c r="AV261" s="2">
        <v>284</v>
      </c>
      <c r="AW261" s="2">
        <v>1854</v>
      </c>
      <c r="AX261" s="2" t="s">
        <v>74</v>
      </c>
      <c r="AY261" s="2" t="s">
        <v>74</v>
      </c>
      <c r="AZ261" s="2" t="s">
        <v>74</v>
      </c>
      <c r="BA261" s="2" t="s">
        <v>74</v>
      </c>
      <c r="BB261" s="2" t="s">
        <v>74</v>
      </c>
      <c r="BC261" s="2" t="s">
        <v>74</v>
      </c>
      <c r="BD261" s="2">
        <v>20170272</v>
      </c>
      <c r="BE261" s="2" t="s">
        <v>5045</v>
      </c>
      <c r="BF261" s="2" t="str">
        <f>HYPERLINK("http://dx.doi.org/10.1098/rspb.2017.0272","http://dx.doi.org/10.1098/rspb.2017.0272")</f>
        <v>http://dx.doi.org/10.1098/rspb.2017.0272</v>
      </c>
      <c r="BG261" s="2" t="s">
        <v>74</v>
      </c>
      <c r="BH261" s="2" t="s">
        <v>74</v>
      </c>
      <c r="BI261" s="2" t="s">
        <v>74</v>
      </c>
      <c r="BJ261" s="2" t="s">
        <v>74</v>
      </c>
      <c r="BK261" s="2" t="s">
        <v>74</v>
      </c>
      <c r="BL261" s="2" t="s">
        <v>74</v>
      </c>
      <c r="BM261" s="2" t="s">
        <v>74</v>
      </c>
      <c r="BN261" s="2">
        <v>28515202</v>
      </c>
      <c r="BO261" s="2" t="s">
        <v>74</v>
      </c>
      <c r="BP261" s="2" t="s">
        <v>74</v>
      </c>
      <c r="BQ261" s="2" t="s">
        <v>74</v>
      </c>
      <c r="BR261" s="2" t="s">
        <v>74</v>
      </c>
      <c r="BS261" s="2" t="s">
        <v>5046</v>
      </c>
      <c r="BT261" s="2" t="str">
        <f>HYPERLINK("https%3A%2F%2Fwww.webofscience.com%2Fwos%2Fwoscc%2Ffull-record%2FWOS:000404425100019","View Full Record in Web of Science")</f>
        <v>View Full Record in Web of Science</v>
      </c>
    </row>
    <row r="262" spans="1:72" s="2" customFormat="1" x14ac:dyDescent="0.4">
      <c r="A262" s="2" t="s">
        <v>72</v>
      </c>
      <c r="B262" s="2" t="s">
        <v>7143</v>
      </c>
      <c r="C262" s="2" t="s">
        <v>74</v>
      </c>
      <c r="D262" s="2" t="s">
        <v>74</v>
      </c>
      <c r="E262" s="2" t="s">
        <v>74</v>
      </c>
      <c r="F262" s="2" t="s">
        <v>7144</v>
      </c>
      <c r="G262" s="2" t="s">
        <v>74</v>
      </c>
      <c r="H262" s="2" t="s">
        <v>74</v>
      </c>
      <c r="I262" s="2" t="s">
        <v>7145</v>
      </c>
      <c r="J262" s="2" t="s">
        <v>7146</v>
      </c>
      <c r="K262" s="2" t="s">
        <v>74</v>
      </c>
      <c r="L262" s="2" t="s">
        <v>74</v>
      </c>
      <c r="M262" s="2" t="s">
        <v>74</v>
      </c>
      <c r="N262" s="2" t="s">
        <v>74</v>
      </c>
      <c r="O262" s="2" t="s">
        <v>74</v>
      </c>
      <c r="P262" s="2" t="s">
        <v>74</v>
      </c>
      <c r="Q262" s="2" t="s">
        <v>74</v>
      </c>
      <c r="R262" s="2" t="s">
        <v>74</v>
      </c>
      <c r="S262" s="2" t="s">
        <v>74</v>
      </c>
      <c r="T262" s="2" t="s">
        <v>74</v>
      </c>
      <c r="U262" s="2" t="s">
        <v>74</v>
      </c>
      <c r="V262" s="5" t="s">
        <v>7147</v>
      </c>
      <c r="W262" s="2" t="s">
        <v>74</v>
      </c>
      <c r="X262" s="2" t="s">
        <v>74</v>
      </c>
      <c r="Y262" s="2" t="s">
        <v>74</v>
      </c>
      <c r="Z262" s="2" t="s">
        <v>74</v>
      </c>
      <c r="AA262" s="2" t="s">
        <v>7148</v>
      </c>
      <c r="AB262" s="2" t="s">
        <v>7149</v>
      </c>
      <c r="AC262" s="2" t="s">
        <v>74</v>
      </c>
      <c r="AD262" s="2" t="s">
        <v>74</v>
      </c>
      <c r="AE262" s="2" t="s">
        <v>74</v>
      </c>
      <c r="AF262" s="2" t="s">
        <v>74</v>
      </c>
      <c r="AG262" s="2" t="s">
        <v>74</v>
      </c>
      <c r="AH262" s="2" t="s">
        <v>74</v>
      </c>
      <c r="AI262" s="2" t="s">
        <v>74</v>
      </c>
      <c r="AJ262" s="2" t="s">
        <v>74</v>
      </c>
      <c r="AK262" s="2" t="s">
        <v>74</v>
      </c>
      <c r="AL262" s="2" t="s">
        <v>74</v>
      </c>
      <c r="AM262" s="2" t="s">
        <v>74</v>
      </c>
      <c r="AN262" s="2" t="s">
        <v>74</v>
      </c>
      <c r="AO262" s="2" t="s">
        <v>7150</v>
      </c>
      <c r="AP262" s="2" t="s">
        <v>7151</v>
      </c>
      <c r="AQ262" s="2" t="s">
        <v>74</v>
      </c>
      <c r="AR262" s="2" t="s">
        <v>74</v>
      </c>
      <c r="AS262" s="2" t="s">
        <v>74</v>
      </c>
      <c r="AT262" s="2" t="s">
        <v>352</v>
      </c>
      <c r="AU262" s="2">
        <v>2014</v>
      </c>
      <c r="AV262" s="2">
        <v>62</v>
      </c>
      <c r="AW262" s="2">
        <v>3</v>
      </c>
      <c r="AX262" s="2" t="s">
        <v>74</v>
      </c>
      <c r="AY262" s="2" t="s">
        <v>74</v>
      </c>
      <c r="AZ262" s="2" t="s">
        <v>74</v>
      </c>
      <c r="BA262" s="2" t="s">
        <v>74</v>
      </c>
      <c r="BB262" s="2">
        <v>977</v>
      </c>
      <c r="BC262" s="2">
        <v>985</v>
      </c>
      <c r="BD262" s="2" t="s">
        <v>74</v>
      </c>
      <c r="BE262" s="2" t="s">
        <v>7152</v>
      </c>
      <c r="BF262" s="2" t="str">
        <f>HYPERLINK("http://dx.doi.org/10.15517/rbt.v62i3.11643","http://dx.doi.org/10.15517/rbt.v62i3.11643")</f>
        <v>http://dx.doi.org/10.15517/rbt.v62i3.11643</v>
      </c>
      <c r="BG262" s="2" t="s">
        <v>74</v>
      </c>
      <c r="BH262" s="2" t="s">
        <v>74</v>
      </c>
      <c r="BI262" s="2" t="s">
        <v>74</v>
      </c>
      <c r="BJ262" s="2" t="s">
        <v>74</v>
      </c>
      <c r="BK262" s="2" t="s">
        <v>74</v>
      </c>
      <c r="BL262" s="2" t="s">
        <v>74</v>
      </c>
      <c r="BM262" s="2" t="s">
        <v>74</v>
      </c>
      <c r="BN262" s="2">
        <v>25412530</v>
      </c>
      <c r="BO262" s="2" t="s">
        <v>74</v>
      </c>
      <c r="BP262" s="2" t="s">
        <v>74</v>
      </c>
      <c r="BQ262" s="2" t="s">
        <v>74</v>
      </c>
      <c r="BR262" s="2" t="s">
        <v>74</v>
      </c>
      <c r="BS262" s="2" t="s">
        <v>7153</v>
      </c>
      <c r="BT262" s="2" t="str">
        <f>HYPERLINK("https%3A%2F%2Fwww.webofscience.com%2Fwos%2Fwoscc%2Ffull-record%2FWOS:000343187200014","View Full Record in Web of Science")</f>
        <v>View Full Record in Web of Science</v>
      </c>
    </row>
    <row r="263" spans="1:72" s="2" customFormat="1" x14ac:dyDescent="0.4">
      <c r="A263" s="2" t="s">
        <v>72</v>
      </c>
      <c r="B263" s="2" t="s">
        <v>4373</v>
      </c>
      <c r="C263" s="2" t="s">
        <v>74</v>
      </c>
      <c r="D263" s="2" t="s">
        <v>74</v>
      </c>
      <c r="E263" s="2" t="s">
        <v>74</v>
      </c>
      <c r="F263" s="2" t="s">
        <v>4374</v>
      </c>
      <c r="G263" s="2" t="s">
        <v>74</v>
      </c>
      <c r="H263" s="2" t="s">
        <v>74</v>
      </c>
      <c r="I263" s="2" t="s">
        <v>4375</v>
      </c>
      <c r="J263" s="2" t="s">
        <v>140</v>
      </c>
      <c r="K263" s="2" t="s">
        <v>74</v>
      </c>
      <c r="L263" s="2" t="s">
        <v>74</v>
      </c>
      <c r="M263" s="2" t="s">
        <v>74</v>
      </c>
      <c r="N263" s="2" t="s">
        <v>74</v>
      </c>
      <c r="O263" s="2" t="s">
        <v>74</v>
      </c>
      <c r="P263" s="2" t="s">
        <v>74</v>
      </c>
      <c r="Q263" s="2" t="s">
        <v>74</v>
      </c>
      <c r="R263" s="2" t="s">
        <v>74</v>
      </c>
      <c r="S263" s="2" t="s">
        <v>74</v>
      </c>
      <c r="T263" s="2" t="s">
        <v>74</v>
      </c>
      <c r="U263" s="2" t="s">
        <v>74</v>
      </c>
      <c r="V263" s="5" t="s">
        <v>4376</v>
      </c>
      <c r="W263" s="2" t="s">
        <v>74</v>
      </c>
      <c r="X263" s="2" t="s">
        <v>74</v>
      </c>
      <c r="Y263" s="2" t="s">
        <v>74</v>
      </c>
      <c r="Z263" s="2" t="s">
        <v>74</v>
      </c>
      <c r="AA263" s="2" t="s">
        <v>4030</v>
      </c>
      <c r="AB263" s="2" t="s">
        <v>74</v>
      </c>
      <c r="AC263" s="2" t="s">
        <v>74</v>
      </c>
      <c r="AD263" s="2" t="s">
        <v>74</v>
      </c>
      <c r="AE263" s="2" t="s">
        <v>74</v>
      </c>
      <c r="AF263" s="2" t="s">
        <v>74</v>
      </c>
      <c r="AG263" s="2" t="s">
        <v>74</v>
      </c>
      <c r="AH263" s="2" t="s">
        <v>74</v>
      </c>
      <c r="AI263" s="2" t="s">
        <v>74</v>
      </c>
      <c r="AJ263" s="2" t="s">
        <v>74</v>
      </c>
      <c r="AK263" s="2" t="s">
        <v>74</v>
      </c>
      <c r="AL263" s="2" t="s">
        <v>74</v>
      </c>
      <c r="AM263" s="2" t="s">
        <v>74</v>
      </c>
      <c r="AN263" s="2" t="s">
        <v>74</v>
      </c>
      <c r="AO263" s="2" t="s">
        <v>143</v>
      </c>
      <c r="AP263" s="2" t="s">
        <v>144</v>
      </c>
      <c r="AQ263" s="2" t="s">
        <v>74</v>
      </c>
      <c r="AR263" s="2" t="s">
        <v>74</v>
      </c>
      <c r="AS263" s="2" t="s">
        <v>74</v>
      </c>
      <c r="AT263" s="2" t="s">
        <v>964</v>
      </c>
      <c r="AU263" s="2">
        <v>2011</v>
      </c>
      <c r="AV263" s="2">
        <v>81</v>
      </c>
      <c r="AW263" s="2">
        <v>2</v>
      </c>
      <c r="AX263" s="2" t="s">
        <v>74</v>
      </c>
      <c r="AY263" s="2" t="s">
        <v>74</v>
      </c>
      <c r="AZ263" s="2" t="s">
        <v>74</v>
      </c>
      <c r="BA263" s="2" t="s">
        <v>74</v>
      </c>
      <c r="BB263" s="2">
        <v>447</v>
      </c>
      <c r="BC263" s="2">
        <v>453</v>
      </c>
      <c r="BD263" s="2" t="s">
        <v>74</v>
      </c>
      <c r="BE263" s="2" t="s">
        <v>4377</v>
      </c>
      <c r="BF263" s="2" t="str">
        <f>HYPERLINK("http://dx.doi.org/10.1016/j.anbehav.2010.11.016","http://dx.doi.org/10.1016/j.anbehav.2010.11.016")</f>
        <v>http://dx.doi.org/10.1016/j.anbehav.2010.11.016</v>
      </c>
      <c r="BG263" s="2" t="s">
        <v>74</v>
      </c>
      <c r="BH263" s="2" t="s">
        <v>74</v>
      </c>
      <c r="BI263" s="2" t="s">
        <v>74</v>
      </c>
      <c r="BJ263" s="2" t="s">
        <v>74</v>
      </c>
      <c r="BK263" s="2" t="s">
        <v>74</v>
      </c>
      <c r="BL263" s="2" t="s">
        <v>74</v>
      </c>
      <c r="BM263" s="2" t="s">
        <v>74</v>
      </c>
      <c r="BN263" s="2" t="s">
        <v>74</v>
      </c>
      <c r="BO263" s="2" t="s">
        <v>74</v>
      </c>
      <c r="BP263" s="2" t="s">
        <v>74</v>
      </c>
      <c r="BQ263" s="2" t="s">
        <v>74</v>
      </c>
      <c r="BR263" s="2" t="s">
        <v>74</v>
      </c>
      <c r="BS263" s="2" t="s">
        <v>4378</v>
      </c>
      <c r="BT263" s="2" t="str">
        <f>HYPERLINK("https%3A%2F%2Fwww.webofscience.com%2Fwos%2Fwoscc%2Ffull-record%2FWOS:000286455400012","View Full Record in Web of Science")</f>
        <v>View Full Record in Web of Science</v>
      </c>
    </row>
    <row r="264" spans="1:72" s="2" customFormat="1" x14ac:dyDescent="0.4">
      <c r="A264" s="2" t="s">
        <v>72</v>
      </c>
      <c r="B264" s="2" t="s">
        <v>5238</v>
      </c>
      <c r="C264" s="2" t="s">
        <v>74</v>
      </c>
      <c r="D264" s="2" t="s">
        <v>74</v>
      </c>
      <c r="E264" s="2" t="s">
        <v>74</v>
      </c>
      <c r="F264" s="2" t="s">
        <v>5239</v>
      </c>
      <c r="G264" s="2" t="s">
        <v>74</v>
      </c>
      <c r="H264" s="2" t="s">
        <v>74</v>
      </c>
      <c r="I264" s="2" t="s">
        <v>5240</v>
      </c>
      <c r="J264" s="2" t="s">
        <v>824</v>
      </c>
      <c r="K264" s="2" t="s">
        <v>74</v>
      </c>
      <c r="L264" s="2" t="s">
        <v>74</v>
      </c>
      <c r="M264" s="2" t="s">
        <v>74</v>
      </c>
      <c r="N264" s="2" t="s">
        <v>74</v>
      </c>
      <c r="O264" s="2" t="s">
        <v>74</v>
      </c>
      <c r="P264" s="2" t="s">
        <v>74</v>
      </c>
      <c r="Q264" s="2" t="s">
        <v>74</v>
      </c>
      <c r="R264" s="2" t="s">
        <v>74</v>
      </c>
      <c r="S264" s="2" t="s">
        <v>74</v>
      </c>
      <c r="T264" s="2" t="s">
        <v>74</v>
      </c>
      <c r="U264" s="2" t="s">
        <v>74</v>
      </c>
      <c r="V264" s="5" t="s">
        <v>5241</v>
      </c>
      <c r="W264" s="2" t="s">
        <v>74</v>
      </c>
      <c r="X264" s="2" t="s">
        <v>74</v>
      </c>
      <c r="Y264" s="2" t="s">
        <v>74</v>
      </c>
      <c r="Z264" s="2" t="s">
        <v>74</v>
      </c>
      <c r="AA264" s="2" t="s">
        <v>5242</v>
      </c>
      <c r="AB264" s="2" t="s">
        <v>5243</v>
      </c>
      <c r="AC264" s="2" t="s">
        <v>74</v>
      </c>
      <c r="AD264" s="2" t="s">
        <v>74</v>
      </c>
      <c r="AE264" s="2" t="s">
        <v>74</v>
      </c>
      <c r="AF264" s="2" t="s">
        <v>74</v>
      </c>
      <c r="AG264" s="2" t="s">
        <v>74</v>
      </c>
      <c r="AH264" s="2" t="s">
        <v>74</v>
      </c>
      <c r="AI264" s="2" t="s">
        <v>74</v>
      </c>
      <c r="AJ264" s="2" t="s">
        <v>74</v>
      </c>
      <c r="AK264" s="2" t="s">
        <v>74</v>
      </c>
      <c r="AL264" s="2" t="s">
        <v>74</v>
      </c>
      <c r="AM264" s="2" t="s">
        <v>74</v>
      </c>
      <c r="AN264" s="2" t="s">
        <v>74</v>
      </c>
      <c r="AO264" s="2" t="s">
        <v>828</v>
      </c>
      <c r="AP264" s="2" t="s">
        <v>829</v>
      </c>
      <c r="AQ264" s="2" t="s">
        <v>74</v>
      </c>
      <c r="AR264" s="2" t="s">
        <v>74</v>
      </c>
      <c r="AS264" s="2" t="s">
        <v>74</v>
      </c>
      <c r="AT264" s="2" t="s">
        <v>123</v>
      </c>
      <c r="AU264" s="2">
        <v>2009</v>
      </c>
      <c r="AV264" s="2">
        <v>78</v>
      </c>
      <c r="AW264" s="2">
        <v>2</v>
      </c>
      <c r="AX264" s="2" t="s">
        <v>74</v>
      </c>
      <c r="AY264" s="2" t="s">
        <v>74</v>
      </c>
      <c r="AZ264" s="2" t="s">
        <v>74</v>
      </c>
      <c r="BA264" s="2" t="s">
        <v>74</v>
      </c>
      <c r="BB264" s="2">
        <v>476</v>
      </c>
      <c r="BC264" s="2">
        <v>484</v>
      </c>
      <c r="BD264" s="2" t="s">
        <v>74</v>
      </c>
      <c r="BE264" s="2" t="s">
        <v>5244</v>
      </c>
      <c r="BF264" s="2" t="str">
        <f>HYPERLINK("http://dx.doi.org/10.1111/j.1365-2656.2008.01496.x","http://dx.doi.org/10.1111/j.1365-2656.2008.01496.x")</f>
        <v>http://dx.doi.org/10.1111/j.1365-2656.2008.01496.x</v>
      </c>
      <c r="BG264" s="2" t="s">
        <v>74</v>
      </c>
      <c r="BH264" s="2" t="s">
        <v>74</v>
      </c>
      <c r="BI264" s="2" t="s">
        <v>74</v>
      </c>
      <c r="BJ264" s="2" t="s">
        <v>74</v>
      </c>
      <c r="BK264" s="2" t="s">
        <v>74</v>
      </c>
      <c r="BL264" s="2" t="s">
        <v>74</v>
      </c>
      <c r="BM264" s="2" t="s">
        <v>74</v>
      </c>
      <c r="BN264" s="2">
        <v>19021784</v>
      </c>
      <c r="BO264" s="2" t="s">
        <v>74</v>
      </c>
      <c r="BP264" s="2" t="s">
        <v>74</v>
      </c>
      <c r="BQ264" s="2" t="s">
        <v>74</v>
      </c>
      <c r="BR264" s="2" t="s">
        <v>74</v>
      </c>
      <c r="BS264" s="2" t="s">
        <v>5245</v>
      </c>
      <c r="BT264" s="2" t="str">
        <f>HYPERLINK("https%3A%2F%2Fwww.webofscience.com%2Fwos%2Fwoscc%2Ffull-record%2FWOS:000263038800020","View Full Record in Web of Science")</f>
        <v>View Full Record in Web of Science</v>
      </c>
    </row>
    <row r="265" spans="1:72" s="2" customFormat="1" x14ac:dyDescent="0.4">
      <c r="A265" s="2" t="s">
        <v>72</v>
      </c>
      <c r="B265" s="2" t="s">
        <v>5865</v>
      </c>
      <c r="C265" s="2" t="s">
        <v>74</v>
      </c>
      <c r="D265" s="2" t="s">
        <v>74</v>
      </c>
      <c r="E265" s="2" t="s">
        <v>74</v>
      </c>
      <c r="F265" s="2" t="s">
        <v>5865</v>
      </c>
      <c r="G265" s="2" t="s">
        <v>74</v>
      </c>
      <c r="H265" s="2" t="s">
        <v>74</v>
      </c>
      <c r="I265" s="2" t="s">
        <v>5866</v>
      </c>
      <c r="J265" s="2" t="s">
        <v>1673</v>
      </c>
      <c r="K265" s="2" t="s">
        <v>74</v>
      </c>
      <c r="L265" s="2" t="s">
        <v>74</v>
      </c>
      <c r="M265" s="2" t="s">
        <v>74</v>
      </c>
      <c r="N265" s="2" t="s">
        <v>74</v>
      </c>
      <c r="O265" s="2" t="s">
        <v>74</v>
      </c>
      <c r="P265" s="2" t="s">
        <v>74</v>
      </c>
      <c r="Q265" s="2" t="s">
        <v>74</v>
      </c>
      <c r="R265" s="2" t="s">
        <v>74</v>
      </c>
      <c r="S265" s="2" t="s">
        <v>74</v>
      </c>
      <c r="T265" s="2" t="s">
        <v>74</v>
      </c>
      <c r="U265" s="2" t="s">
        <v>74</v>
      </c>
      <c r="V265" s="5" t="s">
        <v>5867</v>
      </c>
      <c r="W265" s="2" t="s">
        <v>74</v>
      </c>
      <c r="X265" s="2" t="s">
        <v>74</v>
      </c>
      <c r="Y265" s="2" t="s">
        <v>74</v>
      </c>
      <c r="Z265" s="2" t="s">
        <v>74</v>
      </c>
      <c r="AA265" s="2" t="s">
        <v>74</v>
      </c>
      <c r="AB265" s="2" t="s">
        <v>74</v>
      </c>
      <c r="AC265" s="2" t="s">
        <v>74</v>
      </c>
      <c r="AD265" s="2" t="s">
        <v>74</v>
      </c>
      <c r="AE265" s="2" t="s">
        <v>74</v>
      </c>
      <c r="AF265" s="2" t="s">
        <v>74</v>
      </c>
      <c r="AG265" s="2" t="s">
        <v>74</v>
      </c>
      <c r="AH265" s="2" t="s">
        <v>74</v>
      </c>
      <c r="AI265" s="2" t="s">
        <v>74</v>
      </c>
      <c r="AJ265" s="2" t="s">
        <v>74</v>
      </c>
      <c r="AK265" s="2" t="s">
        <v>74</v>
      </c>
      <c r="AL265" s="2" t="s">
        <v>74</v>
      </c>
      <c r="AM265" s="2" t="s">
        <v>74</v>
      </c>
      <c r="AN265" s="2" t="s">
        <v>74</v>
      </c>
      <c r="AO265" s="2" t="s">
        <v>1239</v>
      </c>
      <c r="AP265" s="2" t="s">
        <v>1675</v>
      </c>
      <c r="AQ265" s="2" t="s">
        <v>74</v>
      </c>
      <c r="AR265" s="2" t="s">
        <v>74</v>
      </c>
      <c r="AS265" s="2" t="s">
        <v>74</v>
      </c>
      <c r="AT265" s="2" t="s">
        <v>204</v>
      </c>
      <c r="AU265" s="2">
        <v>1986</v>
      </c>
      <c r="AV265" s="2">
        <v>64</v>
      </c>
      <c r="AW265" s="2">
        <v>7</v>
      </c>
      <c r="AX265" s="2" t="s">
        <v>74</v>
      </c>
      <c r="AY265" s="2" t="s">
        <v>74</v>
      </c>
      <c r="AZ265" s="2" t="s">
        <v>74</v>
      </c>
      <c r="BA265" s="2" t="s">
        <v>74</v>
      </c>
      <c r="BB265" s="2">
        <v>1416</v>
      </c>
      <c r="BC265" s="2">
        <v>1421</v>
      </c>
      <c r="BD265" s="2" t="s">
        <v>74</v>
      </c>
      <c r="BE265" s="2" t="s">
        <v>5868</v>
      </c>
      <c r="BF265" s="2" t="str">
        <f>HYPERLINK("http://dx.doi.org/10.1139/z86-211","http://dx.doi.org/10.1139/z86-211")</f>
        <v>http://dx.doi.org/10.1139/z86-211</v>
      </c>
      <c r="BG265" s="2" t="s">
        <v>74</v>
      </c>
      <c r="BH265" s="2" t="s">
        <v>74</v>
      </c>
      <c r="BI265" s="2" t="s">
        <v>74</v>
      </c>
      <c r="BJ265" s="2" t="s">
        <v>74</v>
      </c>
      <c r="BK265" s="2" t="s">
        <v>74</v>
      </c>
      <c r="BL265" s="2" t="s">
        <v>74</v>
      </c>
      <c r="BM265" s="2" t="s">
        <v>74</v>
      </c>
      <c r="BN265" s="2" t="s">
        <v>74</v>
      </c>
      <c r="BO265" s="2" t="s">
        <v>74</v>
      </c>
      <c r="BP265" s="2" t="s">
        <v>74</v>
      </c>
      <c r="BQ265" s="2" t="s">
        <v>74</v>
      </c>
      <c r="BR265" s="2" t="s">
        <v>74</v>
      </c>
      <c r="BS265" s="2" t="s">
        <v>5869</v>
      </c>
      <c r="BT265" s="2" t="str">
        <f>HYPERLINK("https%3A%2F%2Fwww.webofscience.com%2Fwos%2Fwoscc%2Ffull-record%2FWOS:A1986D643700006","View Full Record in Web of Science")</f>
        <v>View Full Record in Web of Science</v>
      </c>
    </row>
    <row r="266" spans="1:72" s="2" customFormat="1" x14ac:dyDescent="0.4">
      <c r="A266" s="2" t="s">
        <v>72</v>
      </c>
      <c r="B266" s="2" t="s">
        <v>6290</v>
      </c>
      <c r="C266" s="2" t="s">
        <v>74</v>
      </c>
      <c r="D266" s="2" t="s">
        <v>74</v>
      </c>
      <c r="E266" s="2" t="s">
        <v>74</v>
      </c>
      <c r="F266" s="2" t="s">
        <v>6290</v>
      </c>
      <c r="G266" s="2" t="s">
        <v>74</v>
      </c>
      <c r="H266" s="2" t="s">
        <v>74</v>
      </c>
      <c r="I266" s="2" t="s">
        <v>6291</v>
      </c>
      <c r="J266" s="2" t="s">
        <v>4333</v>
      </c>
      <c r="K266" s="2" t="s">
        <v>74</v>
      </c>
      <c r="L266" s="2" t="s">
        <v>74</v>
      </c>
      <c r="M266" s="2" t="s">
        <v>74</v>
      </c>
      <c r="N266" s="2" t="s">
        <v>74</v>
      </c>
      <c r="O266" s="2" t="s">
        <v>74</v>
      </c>
      <c r="P266" s="2" t="s">
        <v>74</v>
      </c>
      <c r="Q266" s="2" t="s">
        <v>74</v>
      </c>
      <c r="R266" s="2" t="s">
        <v>74</v>
      </c>
      <c r="S266" s="2" t="s">
        <v>74</v>
      </c>
      <c r="T266" s="2" t="s">
        <v>74</v>
      </c>
      <c r="U266" s="2" t="s">
        <v>74</v>
      </c>
      <c r="V266" s="5" t="s">
        <v>6292</v>
      </c>
      <c r="W266" s="2" t="s">
        <v>74</v>
      </c>
      <c r="X266" s="2" t="s">
        <v>74</v>
      </c>
      <c r="Y266" s="2" t="s">
        <v>74</v>
      </c>
      <c r="Z266" s="2" t="s">
        <v>74</v>
      </c>
      <c r="AA266" s="2" t="s">
        <v>74</v>
      </c>
      <c r="AB266" s="2" t="s">
        <v>74</v>
      </c>
      <c r="AC266" s="2" t="s">
        <v>74</v>
      </c>
      <c r="AD266" s="2" t="s">
        <v>74</v>
      </c>
      <c r="AE266" s="2" t="s">
        <v>74</v>
      </c>
      <c r="AF266" s="2" t="s">
        <v>74</v>
      </c>
      <c r="AG266" s="2" t="s">
        <v>74</v>
      </c>
      <c r="AH266" s="2" t="s">
        <v>74</v>
      </c>
      <c r="AI266" s="2" t="s">
        <v>74</v>
      </c>
      <c r="AJ266" s="2" t="s">
        <v>74</v>
      </c>
      <c r="AK266" s="2" t="s">
        <v>74</v>
      </c>
      <c r="AL266" s="2" t="s">
        <v>74</v>
      </c>
      <c r="AM266" s="2" t="s">
        <v>74</v>
      </c>
      <c r="AN266" s="2" t="s">
        <v>74</v>
      </c>
      <c r="AO266" s="2" t="s">
        <v>4335</v>
      </c>
      <c r="AP266" s="2" t="s">
        <v>74</v>
      </c>
      <c r="AQ266" s="2" t="s">
        <v>74</v>
      </c>
      <c r="AR266" s="2" t="s">
        <v>74</v>
      </c>
      <c r="AS266" s="2" t="s">
        <v>74</v>
      </c>
      <c r="AT266" s="2" t="s">
        <v>74</v>
      </c>
      <c r="AU266" s="2">
        <v>1978</v>
      </c>
      <c r="AV266" s="2">
        <v>3</v>
      </c>
      <c r="AW266" s="2">
        <v>3</v>
      </c>
      <c r="AX266" s="2" t="s">
        <v>74</v>
      </c>
      <c r="AY266" s="2" t="s">
        <v>74</v>
      </c>
      <c r="AZ266" s="2" t="s">
        <v>74</v>
      </c>
      <c r="BA266" s="2" t="s">
        <v>74</v>
      </c>
      <c r="BB266" s="2">
        <v>233</v>
      </c>
      <c r="BC266" s="2">
        <v>241</v>
      </c>
      <c r="BD266" s="2" t="s">
        <v>74</v>
      </c>
      <c r="BE266" s="2" t="s">
        <v>74</v>
      </c>
      <c r="BF266" s="2" t="s">
        <v>74</v>
      </c>
      <c r="BG266" s="2" t="s">
        <v>74</v>
      </c>
      <c r="BH266" s="2" t="s">
        <v>74</v>
      </c>
      <c r="BI266" s="2" t="s">
        <v>74</v>
      </c>
      <c r="BJ266" s="2" t="s">
        <v>74</v>
      </c>
      <c r="BK266" s="2" t="s">
        <v>74</v>
      </c>
      <c r="BL266" s="2" t="s">
        <v>74</v>
      </c>
      <c r="BM266" s="2" t="s">
        <v>74</v>
      </c>
      <c r="BN266" s="2" t="s">
        <v>74</v>
      </c>
      <c r="BO266" s="2" t="s">
        <v>74</v>
      </c>
      <c r="BP266" s="2" t="s">
        <v>74</v>
      </c>
      <c r="BQ266" s="2" t="s">
        <v>74</v>
      </c>
      <c r="BR266" s="2" t="s">
        <v>74</v>
      </c>
      <c r="BS266" s="2" t="s">
        <v>6293</v>
      </c>
      <c r="BT266" s="2" t="str">
        <f>HYPERLINK("https%3A%2F%2Fwww.webofscience.com%2Fwos%2Fwoscc%2Ffull-record%2FWOS:A1978FR83100004","View Full Record in Web of Science")</f>
        <v>View Full Record in Web of Science</v>
      </c>
    </row>
    <row r="267" spans="1:72" s="1" customFormat="1" x14ac:dyDescent="0.4">
      <c r="A267" s="2" t="s">
        <v>72</v>
      </c>
      <c r="B267" s="2" t="s">
        <v>2348</v>
      </c>
      <c r="C267" s="2" t="s">
        <v>74</v>
      </c>
      <c r="D267" s="2" t="s">
        <v>74</v>
      </c>
      <c r="E267" s="2" t="s">
        <v>74</v>
      </c>
      <c r="F267" s="2" t="s">
        <v>2349</v>
      </c>
      <c r="G267" s="2" t="s">
        <v>74</v>
      </c>
      <c r="H267" s="2" t="s">
        <v>74</v>
      </c>
      <c r="I267" s="2" t="s">
        <v>2350</v>
      </c>
      <c r="J267" s="2" t="s">
        <v>1812</v>
      </c>
      <c r="K267" s="2" t="s">
        <v>74</v>
      </c>
      <c r="L267" s="2" t="s">
        <v>74</v>
      </c>
      <c r="M267" s="2" t="s">
        <v>74</v>
      </c>
      <c r="N267" s="2" t="s">
        <v>74</v>
      </c>
      <c r="O267" s="2" t="s">
        <v>74</v>
      </c>
      <c r="P267" s="2" t="s">
        <v>74</v>
      </c>
      <c r="Q267" s="2" t="s">
        <v>74</v>
      </c>
      <c r="R267" s="2" t="s">
        <v>74</v>
      </c>
      <c r="S267" s="2" t="s">
        <v>74</v>
      </c>
      <c r="T267" s="2" t="s">
        <v>74</v>
      </c>
      <c r="U267" s="2" t="s">
        <v>74</v>
      </c>
      <c r="V267" s="5" t="s">
        <v>2351</v>
      </c>
      <c r="W267" s="2" t="s">
        <v>74</v>
      </c>
      <c r="X267" s="2" t="s">
        <v>74</v>
      </c>
      <c r="Y267" s="2" t="s">
        <v>74</v>
      </c>
      <c r="Z267" s="2" t="s">
        <v>74</v>
      </c>
      <c r="AA267" s="2" t="s">
        <v>2352</v>
      </c>
      <c r="AB267" s="2" t="s">
        <v>2353</v>
      </c>
      <c r="AC267" s="2" t="s">
        <v>74</v>
      </c>
      <c r="AD267" s="2" t="s">
        <v>74</v>
      </c>
      <c r="AE267" s="2" t="s">
        <v>74</v>
      </c>
      <c r="AF267" s="2" t="s">
        <v>74</v>
      </c>
      <c r="AG267" s="2" t="s">
        <v>74</v>
      </c>
      <c r="AH267" s="2" t="s">
        <v>74</v>
      </c>
      <c r="AI267" s="2" t="s">
        <v>74</v>
      </c>
      <c r="AJ267" s="2" t="s">
        <v>74</v>
      </c>
      <c r="AK267" s="2" t="s">
        <v>74</v>
      </c>
      <c r="AL267" s="2" t="s">
        <v>74</v>
      </c>
      <c r="AM267" s="2" t="s">
        <v>74</v>
      </c>
      <c r="AN267" s="2" t="s">
        <v>74</v>
      </c>
      <c r="AO267" s="2" t="s">
        <v>1814</v>
      </c>
      <c r="AP267" s="2" t="s">
        <v>1815</v>
      </c>
      <c r="AQ267" s="2" t="s">
        <v>74</v>
      </c>
      <c r="AR267" s="2" t="s">
        <v>74</v>
      </c>
      <c r="AS267" s="2" t="s">
        <v>74</v>
      </c>
      <c r="AT267" s="2" t="s">
        <v>352</v>
      </c>
      <c r="AU267" s="2">
        <v>2020</v>
      </c>
      <c r="AV267" s="2">
        <v>54</v>
      </c>
      <c r="AW267" s="2">
        <v>3</v>
      </c>
      <c r="AX267" s="2" t="s">
        <v>74</v>
      </c>
      <c r="AY267" s="2" t="s">
        <v>74</v>
      </c>
      <c r="AZ267" s="2" t="s">
        <v>74</v>
      </c>
      <c r="BA267" s="2" t="s">
        <v>74</v>
      </c>
      <c r="BB267" s="2">
        <v>361</v>
      </c>
      <c r="BC267" s="2">
        <v>370</v>
      </c>
      <c r="BD267" s="2" t="s">
        <v>74</v>
      </c>
      <c r="BE267" s="2" t="s">
        <v>2354</v>
      </c>
      <c r="BF267" s="2" t="str">
        <f>HYPERLINK("http://dx.doi.org/10.1670/19-110","http://dx.doi.org/10.1670/19-110")</f>
        <v>http://dx.doi.org/10.1670/19-110</v>
      </c>
      <c r="BG267" s="2" t="s">
        <v>74</v>
      </c>
      <c r="BH267" s="2" t="s">
        <v>74</v>
      </c>
      <c r="BI267" s="2" t="s">
        <v>74</v>
      </c>
      <c r="BJ267" s="2" t="s">
        <v>74</v>
      </c>
      <c r="BK267" s="2" t="s">
        <v>74</v>
      </c>
      <c r="BL267" s="2" t="s">
        <v>74</v>
      </c>
      <c r="BM267" s="2" t="s">
        <v>74</v>
      </c>
      <c r="BN267" s="2" t="s">
        <v>74</v>
      </c>
      <c r="BO267" s="2" t="s">
        <v>74</v>
      </c>
      <c r="BP267" s="2" t="s">
        <v>74</v>
      </c>
      <c r="BQ267" s="2" t="s">
        <v>74</v>
      </c>
      <c r="BR267" s="2" t="s">
        <v>74</v>
      </c>
      <c r="BS267" s="2" t="s">
        <v>2355</v>
      </c>
      <c r="BT267" s="2" t="str">
        <f>HYPERLINK("https%3A%2F%2Fwww.webofscience.com%2Fwos%2Fwoscc%2Ffull-record%2FWOS:000589893000013","View Full Record in Web of Science")</f>
        <v>View Full Record in Web of Science</v>
      </c>
    </row>
    <row r="268" spans="1:72" s="2" customFormat="1" x14ac:dyDescent="0.4">
      <c r="A268" s="2" t="s">
        <v>72</v>
      </c>
      <c r="B268" s="2" t="s">
        <v>1572</v>
      </c>
      <c r="C268" s="2" t="s">
        <v>74</v>
      </c>
      <c r="D268" s="2" t="s">
        <v>74</v>
      </c>
      <c r="E268" s="2" t="s">
        <v>74</v>
      </c>
      <c r="F268" s="2" t="s">
        <v>1572</v>
      </c>
      <c r="G268" s="2" t="s">
        <v>74</v>
      </c>
      <c r="H268" s="2" t="s">
        <v>74</v>
      </c>
      <c r="I268" s="2" t="s">
        <v>1573</v>
      </c>
      <c r="J268" s="2" t="s">
        <v>1574</v>
      </c>
      <c r="K268" s="2" t="s">
        <v>74</v>
      </c>
      <c r="L268" s="2" t="s">
        <v>74</v>
      </c>
      <c r="M268" s="2" t="s">
        <v>74</v>
      </c>
      <c r="N268" s="2" t="s">
        <v>74</v>
      </c>
      <c r="O268" s="2" t="s">
        <v>74</v>
      </c>
      <c r="P268" s="2" t="s">
        <v>74</v>
      </c>
      <c r="Q268" s="2" t="s">
        <v>74</v>
      </c>
      <c r="R268" s="2" t="s">
        <v>74</v>
      </c>
      <c r="S268" s="2" t="s">
        <v>74</v>
      </c>
      <c r="T268" s="2" t="s">
        <v>74</v>
      </c>
      <c r="U268" s="2" t="s">
        <v>74</v>
      </c>
      <c r="V268" s="5" t="s">
        <v>1575</v>
      </c>
      <c r="W268" s="2" t="s">
        <v>74</v>
      </c>
      <c r="X268" s="2" t="s">
        <v>74</v>
      </c>
      <c r="Y268" s="2" t="s">
        <v>74</v>
      </c>
      <c r="Z268" s="2" t="s">
        <v>74</v>
      </c>
      <c r="AA268" s="2" t="s">
        <v>74</v>
      </c>
      <c r="AB268" s="2" t="s">
        <v>74</v>
      </c>
      <c r="AC268" s="2" t="s">
        <v>74</v>
      </c>
      <c r="AD268" s="2" t="s">
        <v>74</v>
      </c>
      <c r="AE268" s="2" t="s">
        <v>74</v>
      </c>
      <c r="AF268" s="2" t="s">
        <v>74</v>
      </c>
      <c r="AG268" s="2" t="s">
        <v>74</v>
      </c>
      <c r="AH268" s="2" t="s">
        <v>74</v>
      </c>
      <c r="AI268" s="2" t="s">
        <v>74</v>
      </c>
      <c r="AJ268" s="2" t="s">
        <v>74</v>
      </c>
      <c r="AK268" s="2" t="s">
        <v>74</v>
      </c>
      <c r="AL268" s="2" t="s">
        <v>74</v>
      </c>
      <c r="AM268" s="2" t="s">
        <v>74</v>
      </c>
      <c r="AN268" s="2" t="s">
        <v>74</v>
      </c>
      <c r="AO268" s="2" t="s">
        <v>1576</v>
      </c>
      <c r="AP268" s="2" t="s">
        <v>1577</v>
      </c>
      <c r="AQ268" s="2" t="s">
        <v>74</v>
      </c>
      <c r="AR268" s="2" t="s">
        <v>74</v>
      </c>
      <c r="AS268" s="2" t="s">
        <v>74</v>
      </c>
      <c r="AT268" s="2" t="s">
        <v>74</v>
      </c>
      <c r="AU268" s="2">
        <v>2005</v>
      </c>
      <c r="AV268" s="2">
        <v>66</v>
      </c>
      <c r="AW268" s="2">
        <v>2</v>
      </c>
      <c r="AX268" s="2" t="s">
        <v>74</v>
      </c>
      <c r="AY268" s="2" t="s">
        <v>74</v>
      </c>
      <c r="AZ268" s="2" t="s">
        <v>74</v>
      </c>
      <c r="BA268" s="2" t="s">
        <v>74</v>
      </c>
      <c r="BB268" s="2">
        <v>99</v>
      </c>
      <c r="BC268" s="2">
        <v>113</v>
      </c>
      <c r="BD268" s="2" t="s">
        <v>74</v>
      </c>
      <c r="BE268" s="2" t="s">
        <v>1578</v>
      </c>
      <c r="BF268" s="2" t="str">
        <f>HYPERLINK("http://dx.doi.org/10.1159/000086229","http://dx.doi.org/10.1159/000086229")</f>
        <v>http://dx.doi.org/10.1159/000086229</v>
      </c>
      <c r="BG268" s="2" t="s">
        <v>74</v>
      </c>
      <c r="BH268" s="2" t="s">
        <v>74</v>
      </c>
      <c r="BI268" s="2" t="s">
        <v>74</v>
      </c>
      <c r="BJ268" s="2" t="s">
        <v>74</v>
      </c>
      <c r="BK268" s="2" t="s">
        <v>74</v>
      </c>
      <c r="BL268" s="2" t="s">
        <v>74</v>
      </c>
      <c r="BM268" s="2" t="s">
        <v>74</v>
      </c>
      <c r="BN268" s="2">
        <v>15942161</v>
      </c>
      <c r="BO268" s="2" t="s">
        <v>74</v>
      </c>
      <c r="BP268" s="2" t="s">
        <v>74</v>
      </c>
      <c r="BQ268" s="2" t="s">
        <v>74</v>
      </c>
      <c r="BR268" s="2" t="s">
        <v>74</v>
      </c>
      <c r="BS268" s="2" t="s">
        <v>1579</v>
      </c>
      <c r="BT268" s="2" t="str">
        <f>HYPERLINK("https%3A%2F%2Fwww.webofscience.com%2Fwos%2Fwoscc%2Ffull-record%2FWOS:000230679800003","View Full Record in Web of Science")</f>
        <v>View Full Record in Web of Science</v>
      </c>
    </row>
    <row r="269" spans="1:72" s="2" customFormat="1" x14ac:dyDescent="0.4">
      <c r="A269" s="2" t="s">
        <v>72</v>
      </c>
      <c r="B269" s="2" t="s">
        <v>2413</v>
      </c>
      <c r="C269" s="2" t="s">
        <v>74</v>
      </c>
      <c r="D269" s="2" t="s">
        <v>74</v>
      </c>
      <c r="E269" s="2" t="s">
        <v>74</v>
      </c>
      <c r="F269" s="2" t="s">
        <v>2414</v>
      </c>
      <c r="G269" s="2" t="s">
        <v>74</v>
      </c>
      <c r="H269" s="2" t="s">
        <v>74</v>
      </c>
      <c r="I269" s="2" t="s">
        <v>2415</v>
      </c>
      <c r="J269" s="2" t="s">
        <v>1557</v>
      </c>
      <c r="K269" s="2" t="s">
        <v>74</v>
      </c>
      <c r="L269" s="2" t="s">
        <v>74</v>
      </c>
      <c r="M269" s="2" t="s">
        <v>74</v>
      </c>
      <c r="N269" s="2" t="s">
        <v>74</v>
      </c>
      <c r="O269" s="2" t="s">
        <v>74</v>
      </c>
      <c r="P269" s="2" t="s">
        <v>74</v>
      </c>
      <c r="Q269" s="2" t="s">
        <v>74</v>
      </c>
      <c r="R269" s="2" t="s">
        <v>74</v>
      </c>
      <c r="S269" s="2" t="s">
        <v>74</v>
      </c>
      <c r="T269" s="2" t="s">
        <v>74</v>
      </c>
      <c r="U269" s="2" t="s">
        <v>74</v>
      </c>
      <c r="V269" s="5" t="s">
        <v>2416</v>
      </c>
      <c r="W269" s="2" t="s">
        <v>74</v>
      </c>
      <c r="X269" s="2" t="s">
        <v>74</v>
      </c>
      <c r="Y269" s="2" t="s">
        <v>74</v>
      </c>
      <c r="Z269" s="2" t="s">
        <v>74</v>
      </c>
      <c r="AA269" s="2" t="s">
        <v>74</v>
      </c>
      <c r="AB269" s="2" t="s">
        <v>2417</v>
      </c>
      <c r="AC269" s="2" t="s">
        <v>74</v>
      </c>
      <c r="AD269" s="2" t="s">
        <v>74</v>
      </c>
      <c r="AE269" s="2" t="s">
        <v>74</v>
      </c>
      <c r="AF269" s="2" t="s">
        <v>74</v>
      </c>
      <c r="AG269" s="2" t="s">
        <v>74</v>
      </c>
      <c r="AH269" s="2" t="s">
        <v>74</v>
      </c>
      <c r="AI269" s="2" t="s">
        <v>74</v>
      </c>
      <c r="AJ269" s="2" t="s">
        <v>74</v>
      </c>
      <c r="AK269" s="2" t="s">
        <v>74</v>
      </c>
      <c r="AL269" s="2" t="s">
        <v>74</v>
      </c>
      <c r="AM269" s="2" t="s">
        <v>74</v>
      </c>
      <c r="AN269" s="2" t="s">
        <v>74</v>
      </c>
      <c r="AO269" s="2" t="s">
        <v>1561</v>
      </c>
      <c r="AP269" s="2" t="s">
        <v>74</v>
      </c>
      <c r="AQ269" s="2" t="s">
        <v>74</v>
      </c>
      <c r="AR269" s="2" t="s">
        <v>74</v>
      </c>
      <c r="AS269" s="2" t="s">
        <v>74</v>
      </c>
      <c r="AT269" s="2" t="s">
        <v>74</v>
      </c>
      <c r="AU269" s="2">
        <v>2009</v>
      </c>
      <c r="AV269" s="2">
        <v>42</v>
      </c>
      <c r="AW269" s="2">
        <v>4</v>
      </c>
      <c r="AX269" s="2" t="s">
        <v>74</v>
      </c>
      <c r="AY269" s="2" t="s">
        <v>74</v>
      </c>
      <c r="AZ269" s="2" t="s">
        <v>74</v>
      </c>
      <c r="BA269" s="2" t="s">
        <v>74</v>
      </c>
      <c r="BB269" s="2">
        <v>219</v>
      </c>
      <c r="BC269" s="2">
        <v>232</v>
      </c>
      <c r="BD269" s="2" t="s">
        <v>74</v>
      </c>
      <c r="BE269" s="2" t="s">
        <v>2418</v>
      </c>
      <c r="BF269" s="2" t="str">
        <f>HYPERLINK("http://dx.doi.org/10.1080/10236240903169222","http://dx.doi.org/10.1080/10236240903169222")</f>
        <v>http://dx.doi.org/10.1080/10236240903169222</v>
      </c>
      <c r="BG269" s="2" t="s">
        <v>74</v>
      </c>
      <c r="BH269" s="2" t="s">
        <v>74</v>
      </c>
      <c r="BI269" s="2" t="s">
        <v>74</v>
      </c>
      <c r="BJ269" s="2" t="s">
        <v>74</v>
      </c>
      <c r="BK269" s="2" t="s">
        <v>74</v>
      </c>
      <c r="BL269" s="2" t="s">
        <v>74</v>
      </c>
      <c r="BM269" s="2" t="s">
        <v>74</v>
      </c>
      <c r="BN269" s="2" t="s">
        <v>74</v>
      </c>
      <c r="BO269" s="2" t="s">
        <v>74</v>
      </c>
      <c r="BP269" s="2" t="s">
        <v>74</v>
      </c>
      <c r="BQ269" s="2" t="s">
        <v>74</v>
      </c>
      <c r="BR269" s="2" t="s">
        <v>74</v>
      </c>
      <c r="BS269" s="2" t="s">
        <v>2419</v>
      </c>
      <c r="BT269" s="2" t="str">
        <f>HYPERLINK("https%3A%2F%2Fwww.webofscience.com%2Fwos%2Fwoscc%2Ffull-record%2FWOS:000271013700001","View Full Record in Web of Science")</f>
        <v>View Full Record in Web of Science</v>
      </c>
    </row>
    <row r="270" spans="1:72" s="2" customFormat="1" x14ac:dyDescent="0.4">
      <c r="A270" s="2" t="s">
        <v>72</v>
      </c>
      <c r="B270" s="2" t="s">
        <v>5730</v>
      </c>
      <c r="C270" s="2" t="s">
        <v>74</v>
      </c>
      <c r="D270" s="2" t="s">
        <v>74</v>
      </c>
      <c r="E270" s="2" t="s">
        <v>74</v>
      </c>
      <c r="F270" s="2" t="s">
        <v>5730</v>
      </c>
      <c r="G270" s="2" t="s">
        <v>74</v>
      </c>
      <c r="H270" s="2" t="s">
        <v>74</v>
      </c>
      <c r="I270" s="2" t="s">
        <v>5731</v>
      </c>
      <c r="J270" s="2" t="s">
        <v>456</v>
      </c>
      <c r="K270" s="2" t="s">
        <v>74</v>
      </c>
      <c r="L270" s="2" t="s">
        <v>74</v>
      </c>
      <c r="M270" s="2" t="s">
        <v>74</v>
      </c>
      <c r="N270" s="2" t="s">
        <v>74</v>
      </c>
      <c r="O270" s="2" t="s">
        <v>74</v>
      </c>
      <c r="P270" s="2" t="s">
        <v>74</v>
      </c>
      <c r="Q270" s="2" t="s">
        <v>74</v>
      </c>
      <c r="R270" s="2" t="s">
        <v>74</v>
      </c>
      <c r="S270" s="2" t="s">
        <v>74</v>
      </c>
      <c r="T270" s="2" t="s">
        <v>74</v>
      </c>
      <c r="U270" s="2" t="s">
        <v>74</v>
      </c>
      <c r="V270" s="5" t="s">
        <v>5732</v>
      </c>
      <c r="W270" s="2" t="s">
        <v>74</v>
      </c>
      <c r="X270" s="2" t="s">
        <v>74</v>
      </c>
      <c r="Y270" s="2" t="s">
        <v>74</v>
      </c>
      <c r="Z270" s="2" t="s">
        <v>74</v>
      </c>
      <c r="AA270" s="2" t="s">
        <v>74</v>
      </c>
      <c r="AB270" s="2" t="s">
        <v>74</v>
      </c>
      <c r="AC270" s="2" t="s">
        <v>74</v>
      </c>
      <c r="AD270" s="2" t="s">
        <v>74</v>
      </c>
      <c r="AE270" s="2" t="s">
        <v>74</v>
      </c>
      <c r="AF270" s="2" t="s">
        <v>74</v>
      </c>
      <c r="AG270" s="2" t="s">
        <v>74</v>
      </c>
      <c r="AH270" s="2" t="s">
        <v>74</v>
      </c>
      <c r="AI270" s="2" t="s">
        <v>74</v>
      </c>
      <c r="AJ270" s="2" t="s">
        <v>74</v>
      </c>
      <c r="AK270" s="2" t="s">
        <v>74</v>
      </c>
      <c r="AL270" s="2" t="s">
        <v>74</v>
      </c>
      <c r="AM270" s="2" t="s">
        <v>74</v>
      </c>
      <c r="AN270" s="2" t="s">
        <v>74</v>
      </c>
      <c r="AO270" s="2" t="s">
        <v>460</v>
      </c>
      <c r="AP270" s="2" t="s">
        <v>461</v>
      </c>
      <c r="AQ270" s="2" t="s">
        <v>74</v>
      </c>
      <c r="AR270" s="2" t="s">
        <v>74</v>
      </c>
      <c r="AS270" s="2" t="s">
        <v>74</v>
      </c>
      <c r="AT270" s="2" t="s">
        <v>175</v>
      </c>
      <c r="AU270" s="2">
        <v>1998</v>
      </c>
      <c r="AV270" s="2">
        <v>246</v>
      </c>
      <c r="AW270" s="2" t="s">
        <v>74</v>
      </c>
      <c r="AX270" s="2">
        <v>2</v>
      </c>
      <c r="AY270" s="2" t="s">
        <v>74</v>
      </c>
      <c r="AZ270" s="2" t="s">
        <v>74</v>
      </c>
      <c r="BA270" s="2" t="s">
        <v>74</v>
      </c>
      <c r="BB270" s="2">
        <v>215</v>
      </c>
      <c r="BC270" s="2">
        <v>231</v>
      </c>
      <c r="BD270" s="2" t="s">
        <v>74</v>
      </c>
      <c r="BE270" s="2" t="s">
        <v>5733</v>
      </c>
      <c r="BF270" s="2" t="str">
        <f>HYPERLINK("http://dx.doi.org/10.1111/j.1469-7998.1998.tb00150.x","http://dx.doi.org/10.1111/j.1469-7998.1998.tb00150.x")</f>
        <v>http://dx.doi.org/10.1111/j.1469-7998.1998.tb00150.x</v>
      </c>
      <c r="BG270" s="2" t="s">
        <v>74</v>
      </c>
      <c r="BH270" s="2" t="s">
        <v>74</v>
      </c>
      <c r="BI270" s="2" t="s">
        <v>74</v>
      </c>
      <c r="BJ270" s="2" t="s">
        <v>74</v>
      </c>
      <c r="BK270" s="2" t="s">
        <v>74</v>
      </c>
      <c r="BL270" s="2" t="s">
        <v>74</v>
      </c>
      <c r="BM270" s="2" t="s">
        <v>74</v>
      </c>
      <c r="BN270" s="2" t="s">
        <v>74</v>
      </c>
      <c r="BO270" s="2" t="s">
        <v>74</v>
      </c>
      <c r="BP270" s="2" t="s">
        <v>74</v>
      </c>
      <c r="BQ270" s="2" t="s">
        <v>74</v>
      </c>
      <c r="BR270" s="2" t="s">
        <v>74</v>
      </c>
      <c r="BS270" s="2" t="s">
        <v>5734</v>
      </c>
      <c r="BT270" s="2" t="str">
        <f>HYPERLINK("https%3A%2F%2Fwww.webofscience.com%2Fwos%2Fwoscc%2Ffull-record%2FWOS:000077191700010","View Full Record in Web of Science")</f>
        <v>View Full Record in Web of Science</v>
      </c>
    </row>
    <row r="271" spans="1:72" s="2" customFormat="1" x14ac:dyDescent="0.4">
      <c r="A271" s="2" t="s">
        <v>72</v>
      </c>
      <c r="B271" s="2" t="s">
        <v>4304</v>
      </c>
      <c r="C271" s="2" t="s">
        <v>74</v>
      </c>
      <c r="D271" s="2" t="s">
        <v>74</v>
      </c>
      <c r="E271" s="2" t="s">
        <v>74</v>
      </c>
      <c r="F271" s="2" t="s">
        <v>4305</v>
      </c>
      <c r="G271" s="2" t="s">
        <v>74</v>
      </c>
      <c r="H271" s="2" t="s">
        <v>74</v>
      </c>
      <c r="I271" s="2" t="s">
        <v>4306</v>
      </c>
      <c r="J271" s="2" t="s">
        <v>1126</v>
      </c>
      <c r="K271" s="2" t="s">
        <v>74</v>
      </c>
      <c r="L271" s="2" t="s">
        <v>74</v>
      </c>
      <c r="M271" s="2" t="s">
        <v>74</v>
      </c>
      <c r="N271" s="2" t="s">
        <v>74</v>
      </c>
      <c r="O271" s="2" t="s">
        <v>74</v>
      </c>
      <c r="P271" s="2" t="s">
        <v>74</v>
      </c>
      <c r="Q271" s="2" t="s">
        <v>74</v>
      </c>
      <c r="R271" s="2" t="s">
        <v>74</v>
      </c>
      <c r="S271" s="2" t="s">
        <v>74</v>
      </c>
      <c r="T271" s="2" t="s">
        <v>74</v>
      </c>
      <c r="U271" s="2" t="s">
        <v>74</v>
      </c>
      <c r="V271" s="5" t="s">
        <v>4307</v>
      </c>
      <c r="W271" s="2" t="s">
        <v>74</v>
      </c>
      <c r="X271" s="2" t="s">
        <v>74</v>
      </c>
      <c r="Y271" s="2" t="s">
        <v>74</v>
      </c>
      <c r="Z271" s="2" t="s">
        <v>74</v>
      </c>
      <c r="AA271" s="2" t="s">
        <v>379</v>
      </c>
      <c r="AB271" s="2" t="s">
        <v>74</v>
      </c>
      <c r="AC271" s="2" t="s">
        <v>74</v>
      </c>
      <c r="AD271" s="2" t="s">
        <v>74</v>
      </c>
      <c r="AE271" s="2" t="s">
        <v>74</v>
      </c>
      <c r="AF271" s="2" t="s">
        <v>74</v>
      </c>
      <c r="AG271" s="2" t="s">
        <v>74</v>
      </c>
      <c r="AH271" s="2" t="s">
        <v>74</v>
      </c>
      <c r="AI271" s="2" t="s">
        <v>74</v>
      </c>
      <c r="AJ271" s="2" t="s">
        <v>74</v>
      </c>
      <c r="AK271" s="2" t="s">
        <v>74</v>
      </c>
      <c r="AL271" s="2" t="s">
        <v>74</v>
      </c>
      <c r="AM271" s="2" t="s">
        <v>74</v>
      </c>
      <c r="AN271" s="2" t="s">
        <v>74</v>
      </c>
      <c r="AO271" s="2" t="s">
        <v>1128</v>
      </c>
      <c r="AP271" s="2" t="s">
        <v>1129</v>
      </c>
      <c r="AQ271" s="2" t="s">
        <v>74</v>
      </c>
      <c r="AR271" s="2" t="s">
        <v>74</v>
      </c>
      <c r="AS271" s="2" t="s">
        <v>74</v>
      </c>
      <c r="AT271" s="2" t="s">
        <v>123</v>
      </c>
      <c r="AU271" s="2">
        <v>2013</v>
      </c>
      <c r="AV271" s="2" t="s">
        <v>74</v>
      </c>
      <c r="AW271" s="2">
        <v>1</v>
      </c>
      <c r="AX271" s="2" t="s">
        <v>74</v>
      </c>
      <c r="AY271" s="2" t="s">
        <v>74</v>
      </c>
      <c r="AZ271" s="2" t="s">
        <v>74</v>
      </c>
      <c r="BA271" s="2" t="s">
        <v>74</v>
      </c>
      <c r="BB271" s="2">
        <v>154</v>
      </c>
      <c r="BC271" s="2">
        <v>159</v>
      </c>
      <c r="BD271" s="2" t="s">
        <v>74</v>
      </c>
      <c r="BE271" s="2" t="s">
        <v>4308</v>
      </c>
      <c r="BF271" s="2" t="str">
        <f>HYPERLINK("http://dx.doi.org/10.1643/CE-12-056","http://dx.doi.org/10.1643/CE-12-056")</f>
        <v>http://dx.doi.org/10.1643/CE-12-056</v>
      </c>
      <c r="BG271" s="2" t="s">
        <v>74</v>
      </c>
      <c r="BH271" s="2" t="s">
        <v>74</v>
      </c>
      <c r="BI271" s="2" t="s">
        <v>74</v>
      </c>
      <c r="BJ271" s="2" t="s">
        <v>74</v>
      </c>
      <c r="BK271" s="2" t="s">
        <v>74</v>
      </c>
      <c r="BL271" s="2" t="s">
        <v>74</v>
      </c>
      <c r="BM271" s="2" t="s">
        <v>74</v>
      </c>
      <c r="BN271" s="2" t="s">
        <v>74</v>
      </c>
      <c r="BO271" s="2" t="s">
        <v>74</v>
      </c>
      <c r="BP271" s="2" t="s">
        <v>74</v>
      </c>
      <c r="BQ271" s="2" t="s">
        <v>74</v>
      </c>
      <c r="BR271" s="2" t="s">
        <v>74</v>
      </c>
      <c r="BS271" s="2" t="s">
        <v>4309</v>
      </c>
      <c r="BT271" s="2" t="str">
        <f>HYPERLINK("https%3A%2F%2Fwww.webofscience.com%2Fwos%2Fwoscc%2Ffull-record%2FWOS:000411881100019","View Full Record in Web of Science")</f>
        <v>View Full Record in Web of Science</v>
      </c>
    </row>
    <row r="272" spans="1:72" s="2" customFormat="1" x14ac:dyDescent="0.4">
      <c r="A272" s="2" t="s">
        <v>72</v>
      </c>
      <c r="B272" s="2" t="s">
        <v>8472</v>
      </c>
      <c r="C272" s="2" t="s">
        <v>74</v>
      </c>
      <c r="D272" s="2" t="s">
        <v>74</v>
      </c>
      <c r="E272" s="2" t="s">
        <v>74</v>
      </c>
      <c r="F272" s="2" t="s">
        <v>8473</v>
      </c>
      <c r="G272" s="2" t="s">
        <v>74</v>
      </c>
      <c r="H272" s="2" t="s">
        <v>74</v>
      </c>
      <c r="I272" s="2" t="s">
        <v>8474</v>
      </c>
      <c r="J272" s="2" t="s">
        <v>576</v>
      </c>
      <c r="K272" s="2" t="s">
        <v>74</v>
      </c>
      <c r="L272" s="2" t="s">
        <v>74</v>
      </c>
      <c r="M272" s="2" t="s">
        <v>74</v>
      </c>
      <c r="N272" s="2" t="s">
        <v>74</v>
      </c>
      <c r="O272" s="2" t="s">
        <v>74</v>
      </c>
      <c r="P272" s="2" t="s">
        <v>74</v>
      </c>
      <c r="Q272" s="2" t="s">
        <v>74</v>
      </c>
      <c r="R272" s="2" t="s">
        <v>74</v>
      </c>
      <c r="S272" s="2" t="s">
        <v>74</v>
      </c>
      <c r="T272" s="2" t="s">
        <v>74</v>
      </c>
      <c r="U272" s="2" t="s">
        <v>74</v>
      </c>
      <c r="V272" s="5" t="s">
        <v>8475</v>
      </c>
      <c r="W272" s="2" t="s">
        <v>74</v>
      </c>
      <c r="X272" s="2" t="s">
        <v>74</v>
      </c>
      <c r="Y272" s="2" t="s">
        <v>74</v>
      </c>
      <c r="Z272" s="2" t="s">
        <v>74</v>
      </c>
      <c r="AA272" s="2" t="s">
        <v>8476</v>
      </c>
      <c r="AB272" s="2" t="s">
        <v>8477</v>
      </c>
      <c r="AC272" s="2" t="s">
        <v>74</v>
      </c>
      <c r="AD272" s="2" t="s">
        <v>74</v>
      </c>
      <c r="AE272" s="2" t="s">
        <v>74</v>
      </c>
      <c r="AF272" s="2" t="s">
        <v>74</v>
      </c>
      <c r="AG272" s="2" t="s">
        <v>74</v>
      </c>
      <c r="AH272" s="2" t="s">
        <v>74</v>
      </c>
      <c r="AI272" s="2" t="s">
        <v>74</v>
      </c>
      <c r="AJ272" s="2" t="s">
        <v>74</v>
      </c>
      <c r="AK272" s="2" t="s">
        <v>74</v>
      </c>
      <c r="AL272" s="2" t="s">
        <v>74</v>
      </c>
      <c r="AM272" s="2" t="s">
        <v>74</v>
      </c>
      <c r="AN272" s="2" t="s">
        <v>74</v>
      </c>
      <c r="AO272" s="2" t="s">
        <v>579</v>
      </c>
      <c r="AP272" s="2" t="s">
        <v>580</v>
      </c>
      <c r="AQ272" s="2" t="s">
        <v>74</v>
      </c>
      <c r="AR272" s="2" t="s">
        <v>74</v>
      </c>
      <c r="AS272" s="2" t="s">
        <v>74</v>
      </c>
      <c r="AT272" s="2" t="s">
        <v>352</v>
      </c>
      <c r="AU272" s="2">
        <v>2014</v>
      </c>
      <c r="AV272" s="2">
        <v>28</v>
      </c>
      <c r="AW272" s="2">
        <v>5</v>
      </c>
      <c r="AX272" s="2" t="s">
        <v>74</v>
      </c>
      <c r="AY272" s="2" t="s">
        <v>74</v>
      </c>
      <c r="AZ272" s="2" t="s">
        <v>74</v>
      </c>
      <c r="BA272" s="2" t="s">
        <v>74</v>
      </c>
      <c r="BB272" s="2">
        <v>941</v>
      </c>
      <c r="BC272" s="2">
        <v>956</v>
      </c>
      <c r="BD272" s="2" t="s">
        <v>74</v>
      </c>
      <c r="BE272" s="2" t="s">
        <v>8478</v>
      </c>
      <c r="BF272" s="2" t="str">
        <f>HYPERLINK("http://dx.doi.org/10.1007/s10682-014-9711-1","http://dx.doi.org/10.1007/s10682-014-9711-1")</f>
        <v>http://dx.doi.org/10.1007/s10682-014-9711-1</v>
      </c>
      <c r="BG272" s="2" t="s">
        <v>74</v>
      </c>
      <c r="BH272" s="2" t="s">
        <v>74</v>
      </c>
      <c r="BI272" s="2" t="s">
        <v>74</v>
      </c>
      <c r="BJ272" s="2" t="s">
        <v>74</v>
      </c>
      <c r="BK272" s="2" t="s">
        <v>74</v>
      </c>
      <c r="BL272" s="2" t="s">
        <v>74</v>
      </c>
      <c r="BM272" s="2" t="s">
        <v>74</v>
      </c>
      <c r="BN272" s="2" t="s">
        <v>74</v>
      </c>
      <c r="BO272" s="2" t="s">
        <v>74</v>
      </c>
      <c r="BP272" s="2" t="s">
        <v>74</v>
      </c>
      <c r="BQ272" s="2" t="s">
        <v>74</v>
      </c>
      <c r="BR272" s="2" t="s">
        <v>74</v>
      </c>
      <c r="BS272" s="2" t="s">
        <v>8479</v>
      </c>
      <c r="BT272" s="2" t="str">
        <f>HYPERLINK("https%3A%2F%2Fwww.webofscience.com%2Fwos%2Fwoscc%2Ffull-record%2FWOS:000340496000009","View Full Record in Web of Science")</f>
        <v>View Full Record in Web of Science</v>
      </c>
    </row>
    <row r="273" spans="1:72" s="2" customFormat="1" x14ac:dyDescent="0.4">
      <c r="A273" s="2" t="s">
        <v>72</v>
      </c>
      <c r="B273" s="2" t="s">
        <v>1195</v>
      </c>
      <c r="C273" s="2" t="s">
        <v>74</v>
      </c>
      <c r="D273" s="2" t="s">
        <v>74</v>
      </c>
      <c r="E273" s="2" t="s">
        <v>74</v>
      </c>
      <c r="F273" s="2" t="s">
        <v>1196</v>
      </c>
      <c r="G273" s="2" t="s">
        <v>74</v>
      </c>
      <c r="H273" s="2" t="s">
        <v>74</v>
      </c>
      <c r="I273" s="2" t="s">
        <v>1197</v>
      </c>
      <c r="J273" s="2" t="s">
        <v>1198</v>
      </c>
      <c r="K273" s="2" t="s">
        <v>74</v>
      </c>
      <c r="L273" s="2" t="s">
        <v>74</v>
      </c>
      <c r="M273" s="2" t="s">
        <v>74</v>
      </c>
      <c r="N273" s="2" t="s">
        <v>74</v>
      </c>
      <c r="O273" s="2" t="s">
        <v>74</v>
      </c>
      <c r="P273" s="2" t="s">
        <v>74</v>
      </c>
      <c r="Q273" s="2" t="s">
        <v>74</v>
      </c>
      <c r="R273" s="2" t="s">
        <v>74</v>
      </c>
      <c r="S273" s="2" t="s">
        <v>74</v>
      </c>
      <c r="T273" s="2" t="s">
        <v>74</v>
      </c>
      <c r="U273" s="2" t="s">
        <v>74</v>
      </c>
      <c r="V273" s="5" t="s">
        <v>1199</v>
      </c>
      <c r="W273" s="2" t="s">
        <v>74</v>
      </c>
      <c r="X273" s="2" t="s">
        <v>74</v>
      </c>
      <c r="Y273" s="2" t="s">
        <v>74</v>
      </c>
      <c r="Z273" s="2" t="s">
        <v>74</v>
      </c>
      <c r="AA273" s="2" t="s">
        <v>1200</v>
      </c>
      <c r="AB273" s="2" t="s">
        <v>1201</v>
      </c>
      <c r="AC273" s="2" t="s">
        <v>74</v>
      </c>
      <c r="AD273" s="2" t="s">
        <v>74</v>
      </c>
      <c r="AE273" s="2" t="s">
        <v>74</v>
      </c>
      <c r="AF273" s="2" t="s">
        <v>74</v>
      </c>
      <c r="AG273" s="2" t="s">
        <v>74</v>
      </c>
      <c r="AH273" s="2" t="s">
        <v>74</v>
      </c>
      <c r="AI273" s="2" t="s">
        <v>74</v>
      </c>
      <c r="AJ273" s="2" t="s">
        <v>74</v>
      </c>
      <c r="AK273" s="2" t="s">
        <v>74</v>
      </c>
      <c r="AL273" s="2" t="s">
        <v>74</v>
      </c>
      <c r="AM273" s="2" t="s">
        <v>74</v>
      </c>
      <c r="AN273" s="2" t="s">
        <v>74</v>
      </c>
      <c r="AO273" s="2" t="s">
        <v>1202</v>
      </c>
      <c r="AP273" s="2" t="s">
        <v>1203</v>
      </c>
      <c r="AQ273" s="2" t="s">
        <v>74</v>
      </c>
      <c r="AR273" s="2" t="s">
        <v>74</v>
      </c>
      <c r="AS273" s="2" t="s">
        <v>74</v>
      </c>
      <c r="AT273" s="2" t="s">
        <v>123</v>
      </c>
      <c r="AU273" s="2">
        <v>2023</v>
      </c>
      <c r="AV273" s="2">
        <v>79</v>
      </c>
      <c r="AW273" s="2">
        <v>1</v>
      </c>
      <c r="AX273" s="2" t="s">
        <v>74</v>
      </c>
      <c r="AY273" s="2" t="s">
        <v>74</v>
      </c>
      <c r="AZ273" s="2" t="s">
        <v>74</v>
      </c>
      <c r="BA273" s="2" t="s">
        <v>74</v>
      </c>
      <c r="BB273" s="2">
        <v>37</v>
      </c>
      <c r="BC273" s="2">
        <v>47</v>
      </c>
      <c r="BD273" s="2" t="s">
        <v>74</v>
      </c>
      <c r="BE273" s="2" t="s">
        <v>74</v>
      </c>
      <c r="BF273" s="2" t="s">
        <v>74</v>
      </c>
      <c r="BG273" s="2" t="s">
        <v>74</v>
      </c>
      <c r="BH273" s="2" t="s">
        <v>74</v>
      </c>
      <c r="BI273" s="2" t="s">
        <v>74</v>
      </c>
      <c r="BJ273" s="2" t="s">
        <v>74</v>
      </c>
      <c r="BK273" s="2" t="s">
        <v>74</v>
      </c>
      <c r="BL273" s="2" t="s">
        <v>74</v>
      </c>
      <c r="BM273" s="2" t="s">
        <v>74</v>
      </c>
      <c r="BN273" s="2" t="s">
        <v>74</v>
      </c>
      <c r="BO273" s="2" t="s">
        <v>74</v>
      </c>
      <c r="BP273" s="2" t="s">
        <v>74</v>
      </c>
      <c r="BQ273" s="2" t="s">
        <v>74</v>
      </c>
      <c r="BR273" s="2" t="s">
        <v>74</v>
      </c>
      <c r="BS273" s="2" t="s">
        <v>1204</v>
      </c>
      <c r="BT273" s="2" t="str">
        <f>HYPERLINK("https%3A%2F%2Fwww.webofscience.com%2Fwos%2Fwoscc%2Ffull-record%2FWOS:000948166800005","View Full Record in Web of Science")</f>
        <v>View Full Record in Web of Science</v>
      </c>
    </row>
    <row r="274" spans="1:72" s="2" customFormat="1" x14ac:dyDescent="0.4">
      <c r="A274" s="2" t="s">
        <v>72</v>
      </c>
      <c r="B274" s="2" t="s">
        <v>5849</v>
      </c>
      <c r="C274" s="2" t="s">
        <v>74</v>
      </c>
      <c r="D274" s="2" t="s">
        <v>74</v>
      </c>
      <c r="E274" s="2" t="s">
        <v>74</v>
      </c>
      <c r="F274" s="2" t="s">
        <v>5850</v>
      </c>
      <c r="G274" s="2" t="s">
        <v>74</v>
      </c>
      <c r="H274" s="2" t="s">
        <v>74</v>
      </c>
      <c r="I274" s="2" t="s">
        <v>5851</v>
      </c>
      <c r="J274" s="2" t="s">
        <v>140</v>
      </c>
      <c r="K274" s="2" t="s">
        <v>74</v>
      </c>
      <c r="L274" s="2" t="s">
        <v>74</v>
      </c>
      <c r="M274" s="2" t="s">
        <v>74</v>
      </c>
      <c r="N274" s="2" t="s">
        <v>74</v>
      </c>
      <c r="O274" s="2" t="s">
        <v>74</v>
      </c>
      <c r="P274" s="2" t="s">
        <v>74</v>
      </c>
      <c r="Q274" s="2" t="s">
        <v>74</v>
      </c>
      <c r="R274" s="2" t="s">
        <v>74</v>
      </c>
      <c r="S274" s="2" t="s">
        <v>74</v>
      </c>
      <c r="T274" s="2" t="s">
        <v>74</v>
      </c>
      <c r="U274" s="2" t="s">
        <v>74</v>
      </c>
      <c r="V274" s="5" t="s">
        <v>5852</v>
      </c>
      <c r="W274" s="2" t="s">
        <v>74</v>
      </c>
      <c r="X274" s="2" t="s">
        <v>74</v>
      </c>
      <c r="Y274" s="2" t="s">
        <v>74</v>
      </c>
      <c r="Z274" s="2" t="s">
        <v>74</v>
      </c>
      <c r="AA274" s="2" t="s">
        <v>5853</v>
      </c>
      <c r="AB274" s="2" t="s">
        <v>5854</v>
      </c>
      <c r="AC274" s="2" t="s">
        <v>74</v>
      </c>
      <c r="AD274" s="2" t="s">
        <v>74</v>
      </c>
      <c r="AE274" s="2" t="s">
        <v>74</v>
      </c>
      <c r="AF274" s="2" t="s">
        <v>74</v>
      </c>
      <c r="AG274" s="2" t="s">
        <v>74</v>
      </c>
      <c r="AH274" s="2" t="s">
        <v>74</v>
      </c>
      <c r="AI274" s="2" t="s">
        <v>74</v>
      </c>
      <c r="AJ274" s="2" t="s">
        <v>74</v>
      </c>
      <c r="AK274" s="2" t="s">
        <v>74</v>
      </c>
      <c r="AL274" s="2" t="s">
        <v>74</v>
      </c>
      <c r="AM274" s="2" t="s">
        <v>74</v>
      </c>
      <c r="AN274" s="2" t="s">
        <v>74</v>
      </c>
      <c r="AO274" s="2" t="s">
        <v>143</v>
      </c>
      <c r="AP274" s="2" t="s">
        <v>144</v>
      </c>
      <c r="AQ274" s="2" t="s">
        <v>74</v>
      </c>
      <c r="AR274" s="2" t="s">
        <v>74</v>
      </c>
      <c r="AS274" s="2" t="s">
        <v>74</v>
      </c>
      <c r="AT274" s="2" t="s">
        <v>213</v>
      </c>
      <c r="AU274" s="2">
        <v>2015</v>
      </c>
      <c r="AV274" s="2">
        <v>109</v>
      </c>
      <c r="AW274" s="2" t="s">
        <v>74</v>
      </c>
      <c r="AX274" s="2" t="s">
        <v>74</v>
      </c>
      <c r="AY274" s="2" t="s">
        <v>74</v>
      </c>
      <c r="AZ274" s="2" t="s">
        <v>74</v>
      </c>
      <c r="BA274" s="2" t="s">
        <v>74</v>
      </c>
      <c r="BB274" s="2">
        <v>33</v>
      </c>
      <c r="BC274" s="2">
        <v>44</v>
      </c>
      <c r="BD274" s="2" t="s">
        <v>74</v>
      </c>
      <c r="BE274" s="2" t="s">
        <v>5855</v>
      </c>
      <c r="BF274" s="2" t="str">
        <f>HYPERLINK("http://dx.doi.org/10.1016/j.anbehav.2015.08.002","http://dx.doi.org/10.1016/j.anbehav.2015.08.002")</f>
        <v>http://dx.doi.org/10.1016/j.anbehav.2015.08.002</v>
      </c>
      <c r="BG274" s="2" t="s">
        <v>74</v>
      </c>
      <c r="BH274" s="2" t="s">
        <v>74</v>
      </c>
      <c r="BI274" s="2" t="s">
        <v>74</v>
      </c>
      <c r="BJ274" s="2" t="s">
        <v>74</v>
      </c>
      <c r="BK274" s="2" t="s">
        <v>74</v>
      </c>
      <c r="BL274" s="2" t="s">
        <v>74</v>
      </c>
      <c r="BM274" s="2" t="s">
        <v>74</v>
      </c>
      <c r="BN274" s="2" t="s">
        <v>74</v>
      </c>
      <c r="BO274" s="2" t="s">
        <v>74</v>
      </c>
      <c r="BP274" s="2" t="s">
        <v>74</v>
      </c>
      <c r="BQ274" s="2" t="s">
        <v>74</v>
      </c>
      <c r="BR274" s="2" t="s">
        <v>74</v>
      </c>
      <c r="BS274" s="2" t="s">
        <v>5856</v>
      </c>
      <c r="BT274" s="2" t="str">
        <f>HYPERLINK("https%3A%2F%2Fwww.webofscience.com%2Fwos%2Fwoscc%2Ffull-record%2FWOS:000363268300007","View Full Record in Web of Science")</f>
        <v>View Full Record in Web of Science</v>
      </c>
    </row>
    <row r="275" spans="1:72" s="2" customFormat="1" x14ac:dyDescent="0.4">
      <c r="A275" s="2" t="s">
        <v>72</v>
      </c>
      <c r="B275" s="2" t="s">
        <v>6750</v>
      </c>
      <c r="C275" s="2" t="s">
        <v>74</v>
      </c>
      <c r="D275" s="2" t="s">
        <v>74</v>
      </c>
      <c r="E275" s="2" t="s">
        <v>74</v>
      </c>
      <c r="F275" s="2" t="s">
        <v>6751</v>
      </c>
      <c r="G275" s="2" t="s">
        <v>74</v>
      </c>
      <c r="H275" s="2" t="s">
        <v>74</v>
      </c>
      <c r="I275" s="2" t="s">
        <v>6752</v>
      </c>
      <c r="J275" s="2" t="s">
        <v>610</v>
      </c>
      <c r="K275" s="2" t="s">
        <v>74</v>
      </c>
      <c r="L275" s="2" t="s">
        <v>74</v>
      </c>
      <c r="M275" s="2" t="s">
        <v>74</v>
      </c>
      <c r="N275" s="2" t="s">
        <v>74</v>
      </c>
      <c r="O275" s="2" t="s">
        <v>74</v>
      </c>
      <c r="P275" s="2" t="s">
        <v>74</v>
      </c>
      <c r="Q275" s="2" t="s">
        <v>74</v>
      </c>
      <c r="R275" s="2" t="s">
        <v>74</v>
      </c>
      <c r="S275" s="2" t="s">
        <v>74</v>
      </c>
      <c r="T275" s="2" t="s">
        <v>74</v>
      </c>
      <c r="U275" s="2" t="s">
        <v>74</v>
      </c>
      <c r="V275" s="5" t="s">
        <v>6753</v>
      </c>
      <c r="W275" s="2" t="s">
        <v>74</v>
      </c>
      <c r="X275" s="2" t="s">
        <v>74</v>
      </c>
      <c r="Y275" s="2" t="s">
        <v>74</v>
      </c>
      <c r="Z275" s="2" t="s">
        <v>74</v>
      </c>
      <c r="AA275" s="2" t="s">
        <v>6754</v>
      </c>
      <c r="AB275" s="2" t="s">
        <v>6755</v>
      </c>
      <c r="AC275" s="2" t="s">
        <v>74</v>
      </c>
      <c r="AD275" s="2" t="s">
        <v>74</v>
      </c>
      <c r="AE275" s="2" t="s">
        <v>74</v>
      </c>
      <c r="AF275" s="2" t="s">
        <v>74</v>
      </c>
      <c r="AG275" s="2" t="s">
        <v>74</v>
      </c>
      <c r="AH275" s="2" t="s">
        <v>74</v>
      </c>
      <c r="AI275" s="2" t="s">
        <v>74</v>
      </c>
      <c r="AJ275" s="2" t="s">
        <v>74</v>
      </c>
      <c r="AK275" s="2" t="s">
        <v>74</v>
      </c>
      <c r="AL275" s="2" t="s">
        <v>74</v>
      </c>
      <c r="AM275" s="2" t="s">
        <v>74</v>
      </c>
      <c r="AN275" s="2" t="s">
        <v>74</v>
      </c>
      <c r="AO275" s="2" t="s">
        <v>614</v>
      </c>
      <c r="AP275" s="2" t="s">
        <v>615</v>
      </c>
      <c r="AQ275" s="2" t="s">
        <v>74</v>
      </c>
      <c r="AR275" s="2" t="s">
        <v>74</v>
      </c>
      <c r="AS275" s="2" t="s">
        <v>74</v>
      </c>
      <c r="AT275" s="2" t="s">
        <v>964</v>
      </c>
      <c r="AU275" s="2">
        <v>2020</v>
      </c>
      <c r="AV275" s="2">
        <v>126</v>
      </c>
      <c r="AW275" s="2">
        <v>2</v>
      </c>
      <c r="AX275" s="2" t="s">
        <v>74</v>
      </c>
      <c r="AY275" s="2" t="s">
        <v>74</v>
      </c>
      <c r="AZ275" s="2" t="s">
        <v>848</v>
      </c>
      <c r="BA275" s="2" t="s">
        <v>74</v>
      </c>
      <c r="BB275" s="2">
        <v>140</v>
      </c>
      <c r="BC275" s="2">
        <v>152</v>
      </c>
      <c r="BD275" s="2" t="s">
        <v>74</v>
      </c>
      <c r="BE275" s="2" t="s">
        <v>6756</v>
      </c>
      <c r="BF275" s="2" t="str">
        <f>HYPERLINK("http://dx.doi.org/10.1111/eth.12954","http://dx.doi.org/10.1111/eth.12954")</f>
        <v>http://dx.doi.org/10.1111/eth.12954</v>
      </c>
      <c r="BG275" s="2" t="s">
        <v>74</v>
      </c>
      <c r="BH275" s="2" t="s">
        <v>6757</v>
      </c>
      <c r="BI275" s="2" t="s">
        <v>74</v>
      </c>
      <c r="BJ275" s="2" t="s">
        <v>74</v>
      </c>
      <c r="BK275" s="2" t="s">
        <v>74</v>
      </c>
      <c r="BL275" s="2" t="s">
        <v>74</v>
      </c>
      <c r="BM275" s="2" t="s">
        <v>74</v>
      </c>
      <c r="BN275" s="2" t="s">
        <v>74</v>
      </c>
      <c r="BO275" s="2" t="s">
        <v>74</v>
      </c>
      <c r="BP275" s="2" t="s">
        <v>74</v>
      </c>
      <c r="BQ275" s="2" t="s">
        <v>74</v>
      </c>
      <c r="BR275" s="2" t="s">
        <v>74</v>
      </c>
      <c r="BS275" s="2" t="s">
        <v>6758</v>
      </c>
      <c r="BT275" s="2" t="str">
        <f>HYPERLINK("https%3A%2F%2Fwww.webofscience.com%2Fwos%2Fwoscc%2Ffull-record%2FWOS:000488374300001","View Full Record in Web of Science")</f>
        <v>View Full Record in Web of Science</v>
      </c>
    </row>
    <row r="276" spans="1:72" s="2" customFormat="1" x14ac:dyDescent="0.4">
      <c r="A276" s="2" t="s">
        <v>72</v>
      </c>
      <c r="B276" s="2" t="s">
        <v>5771</v>
      </c>
      <c r="C276" s="2" t="s">
        <v>74</v>
      </c>
      <c r="D276" s="2" t="s">
        <v>74</v>
      </c>
      <c r="E276" s="2" t="s">
        <v>74</v>
      </c>
      <c r="F276" s="2" t="s">
        <v>5772</v>
      </c>
      <c r="G276" s="2" t="s">
        <v>74</v>
      </c>
      <c r="H276" s="2" t="s">
        <v>74</v>
      </c>
      <c r="I276" s="2" t="s">
        <v>5773</v>
      </c>
      <c r="J276" s="2" t="s">
        <v>5774</v>
      </c>
      <c r="K276" s="2" t="s">
        <v>74</v>
      </c>
      <c r="L276" s="2" t="s">
        <v>74</v>
      </c>
      <c r="M276" s="2" t="s">
        <v>74</v>
      </c>
      <c r="N276" s="2" t="s">
        <v>74</v>
      </c>
      <c r="O276" s="2" t="s">
        <v>74</v>
      </c>
      <c r="P276" s="2" t="s">
        <v>74</v>
      </c>
      <c r="Q276" s="2" t="s">
        <v>74</v>
      </c>
      <c r="R276" s="2" t="s">
        <v>74</v>
      </c>
      <c r="S276" s="2" t="s">
        <v>74</v>
      </c>
      <c r="T276" s="2" t="s">
        <v>74</v>
      </c>
      <c r="U276" s="2" t="s">
        <v>74</v>
      </c>
      <c r="V276" s="5" t="s">
        <v>5775</v>
      </c>
      <c r="W276" s="2" t="s">
        <v>74</v>
      </c>
      <c r="X276" s="2" t="s">
        <v>74</v>
      </c>
      <c r="Y276" s="2" t="s">
        <v>74</v>
      </c>
      <c r="Z276" s="2" t="s">
        <v>74</v>
      </c>
      <c r="AA276" s="2" t="s">
        <v>4828</v>
      </c>
      <c r="AB276" s="2" t="s">
        <v>4829</v>
      </c>
      <c r="AC276" s="2" t="s">
        <v>74</v>
      </c>
      <c r="AD276" s="2" t="s">
        <v>74</v>
      </c>
      <c r="AE276" s="2" t="s">
        <v>74</v>
      </c>
      <c r="AF276" s="2" t="s">
        <v>74</v>
      </c>
      <c r="AG276" s="2" t="s">
        <v>74</v>
      </c>
      <c r="AH276" s="2" t="s">
        <v>74</v>
      </c>
      <c r="AI276" s="2" t="s">
        <v>74</v>
      </c>
      <c r="AJ276" s="2" t="s">
        <v>74</v>
      </c>
      <c r="AK276" s="2" t="s">
        <v>74</v>
      </c>
      <c r="AL276" s="2" t="s">
        <v>74</v>
      </c>
      <c r="AM276" s="2" t="s">
        <v>74</v>
      </c>
      <c r="AN276" s="2" t="s">
        <v>74</v>
      </c>
      <c r="AO276" s="2" t="s">
        <v>5776</v>
      </c>
      <c r="AP276" s="2" t="s">
        <v>74</v>
      </c>
      <c r="AQ276" s="2" t="s">
        <v>74</v>
      </c>
      <c r="AR276" s="2" t="s">
        <v>74</v>
      </c>
      <c r="AS276" s="2" t="s">
        <v>74</v>
      </c>
      <c r="AT276" s="2" t="s">
        <v>102</v>
      </c>
      <c r="AU276" s="2">
        <v>2009</v>
      </c>
      <c r="AV276" s="2">
        <v>20</v>
      </c>
      <c r="AW276" s="2">
        <v>2</v>
      </c>
      <c r="AX276" s="2" t="s">
        <v>74</v>
      </c>
      <c r="AY276" s="2" t="s">
        <v>74</v>
      </c>
      <c r="AZ276" s="2" t="s">
        <v>74</v>
      </c>
      <c r="BA276" s="2" t="s">
        <v>74</v>
      </c>
      <c r="BB276" s="2">
        <v>163</v>
      </c>
      <c r="BC276" s="2">
        <v>178</v>
      </c>
      <c r="BD276" s="2" t="s">
        <v>74</v>
      </c>
      <c r="BE276" s="2" t="s">
        <v>74</v>
      </c>
      <c r="BF276" s="2" t="s">
        <v>74</v>
      </c>
      <c r="BG276" s="2" t="s">
        <v>74</v>
      </c>
      <c r="BH276" s="2" t="s">
        <v>74</v>
      </c>
      <c r="BI276" s="2" t="s">
        <v>74</v>
      </c>
      <c r="BJ276" s="2" t="s">
        <v>74</v>
      </c>
      <c r="BK276" s="2" t="s">
        <v>74</v>
      </c>
      <c r="BL276" s="2" t="s">
        <v>74</v>
      </c>
      <c r="BM276" s="2" t="s">
        <v>74</v>
      </c>
      <c r="BN276" s="2" t="s">
        <v>74</v>
      </c>
      <c r="BO276" s="2" t="s">
        <v>74</v>
      </c>
      <c r="BP276" s="2" t="s">
        <v>74</v>
      </c>
      <c r="BQ276" s="2" t="s">
        <v>74</v>
      </c>
      <c r="BR276" s="2" t="s">
        <v>74</v>
      </c>
      <c r="BS276" s="2" t="s">
        <v>5777</v>
      </c>
      <c r="BT276" s="2" t="str">
        <f>HYPERLINK("https%3A%2F%2Fwww.webofscience.com%2Fwos%2Fwoscc%2Ffull-record%2FWOS:000269324600006","View Full Record in Web of Science")</f>
        <v>View Full Record in Web of Science</v>
      </c>
    </row>
    <row r="277" spans="1:72" s="2" customFormat="1" x14ac:dyDescent="0.4">
      <c r="A277" s="2" t="s">
        <v>72</v>
      </c>
      <c r="B277" s="2" t="s">
        <v>6416</v>
      </c>
      <c r="C277" s="2" t="s">
        <v>74</v>
      </c>
      <c r="D277" s="2" t="s">
        <v>74</v>
      </c>
      <c r="E277" s="2" t="s">
        <v>74</v>
      </c>
      <c r="F277" s="2" t="s">
        <v>6417</v>
      </c>
      <c r="G277" s="2" t="s">
        <v>74</v>
      </c>
      <c r="H277" s="2" t="s">
        <v>74</v>
      </c>
      <c r="I277" s="2" t="s">
        <v>6418</v>
      </c>
      <c r="J277" s="2" t="s">
        <v>1812</v>
      </c>
      <c r="K277" s="2" t="s">
        <v>74</v>
      </c>
      <c r="L277" s="2" t="s">
        <v>74</v>
      </c>
      <c r="M277" s="2" t="s">
        <v>74</v>
      </c>
      <c r="N277" s="2" t="s">
        <v>74</v>
      </c>
      <c r="O277" s="2" t="s">
        <v>74</v>
      </c>
      <c r="P277" s="2" t="s">
        <v>74</v>
      </c>
      <c r="Q277" s="2" t="s">
        <v>74</v>
      </c>
      <c r="R277" s="2" t="s">
        <v>74</v>
      </c>
      <c r="S277" s="2" t="s">
        <v>74</v>
      </c>
      <c r="T277" s="2" t="s">
        <v>74</v>
      </c>
      <c r="U277" s="2" t="s">
        <v>74</v>
      </c>
      <c r="V277" s="5" t="s">
        <v>6419</v>
      </c>
      <c r="W277" s="2" t="s">
        <v>74</v>
      </c>
      <c r="X277" s="2" t="s">
        <v>74</v>
      </c>
      <c r="Y277" s="2" t="s">
        <v>74</v>
      </c>
      <c r="Z277" s="2" t="s">
        <v>74</v>
      </c>
      <c r="AA277" s="2" t="s">
        <v>6420</v>
      </c>
      <c r="AB277" s="2" t="s">
        <v>6421</v>
      </c>
      <c r="AC277" s="2" t="s">
        <v>74</v>
      </c>
      <c r="AD277" s="2" t="s">
        <v>74</v>
      </c>
      <c r="AE277" s="2" t="s">
        <v>74</v>
      </c>
      <c r="AF277" s="2" t="s">
        <v>74</v>
      </c>
      <c r="AG277" s="2" t="s">
        <v>74</v>
      </c>
      <c r="AH277" s="2" t="s">
        <v>74</v>
      </c>
      <c r="AI277" s="2" t="s">
        <v>74</v>
      </c>
      <c r="AJ277" s="2" t="s">
        <v>74</v>
      </c>
      <c r="AK277" s="2" t="s">
        <v>74</v>
      </c>
      <c r="AL277" s="2" t="s">
        <v>74</v>
      </c>
      <c r="AM277" s="2" t="s">
        <v>74</v>
      </c>
      <c r="AN277" s="2" t="s">
        <v>74</v>
      </c>
      <c r="AO277" s="2" t="s">
        <v>1814</v>
      </c>
      <c r="AP277" s="2" t="s">
        <v>1815</v>
      </c>
      <c r="AQ277" s="2" t="s">
        <v>74</v>
      </c>
      <c r="AR277" s="2" t="s">
        <v>74</v>
      </c>
      <c r="AS277" s="2" t="s">
        <v>74</v>
      </c>
      <c r="AT277" s="2" t="s">
        <v>123</v>
      </c>
      <c r="AU277" s="2">
        <v>2016</v>
      </c>
      <c r="AV277" s="2">
        <v>50</v>
      </c>
      <c r="AW277" s="2">
        <v>1</v>
      </c>
      <c r="AX277" s="2" t="s">
        <v>74</v>
      </c>
      <c r="AY277" s="2" t="s">
        <v>74</v>
      </c>
      <c r="AZ277" s="2" t="s">
        <v>74</v>
      </c>
      <c r="BA277" s="2" t="s">
        <v>74</v>
      </c>
      <c r="BB277" s="2">
        <v>169</v>
      </c>
      <c r="BC277" s="2">
        <v>178</v>
      </c>
      <c r="BD277" s="2" t="s">
        <v>74</v>
      </c>
      <c r="BE277" s="2" t="s">
        <v>6422</v>
      </c>
      <c r="BF277" s="2" t="str">
        <f>HYPERLINK("http://dx.doi.org/10.1670/14-119","http://dx.doi.org/10.1670/14-119")</f>
        <v>http://dx.doi.org/10.1670/14-119</v>
      </c>
      <c r="BG277" s="2" t="s">
        <v>74</v>
      </c>
      <c r="BH277" s="2" t="s">
        <v>74</v>
      </c>
      <c r="BI277" s="2" t="s">
        <v>74</v>
      </c>
      <c r="BJ277" s="2" t="s">
        <v>74</v>
      </c>
      <c r="BK277" s="2" t="s">
        <v>74</v>
      </c>
      <c r="BL277" s="2" t="s">
        <v>74</v>
      </c>
      <c r="BM277" s="2" t="s">
        <v>74</v>
      </c>
      <c r="BN277" s="2" t="s">
        <v>74</v>
      </c>
      <c r="BO277" s="2" t="s">
        <v>74</v>
      </c>
      <c r="BP277" s="2" t="s">
        <v>74</v>
      </c>
      <c r="BQ277" s="2" t="s">
        <v>74</v>
      </c>
      <c r="BR277" s="2" t="s">
        <v>74</v>
      </c>
      <c r="BS277" s="2" t="s">
        <v>6423</v>
      </c>
      <c r="BT277" s="2" t="str">
        <f>HYPERLINK("https%3A%2F%2Fwww.webofscience.com%2Fwos%2Fwoscc%2Ffull-record%2FWOS:000371617900026","View Full Record in Web of Science")</f>
        <v>View Full Record in Web of Science</v>
      </c>
    </row>
    <row r="278" spans="1:72" s="2" customFormat="1" x14ac:dyDescent="0.4">
      <c r="A278" s="2" t="s">
        <v>72</v>
      </c>
      <c r="B278" s="2" t="s">
        <v>5308</v>
      </c>
      <c r="C278" s="2" t="s">
        <v>74</v>
      </c>
      <c r="D278" s="2" t="s">
        <v>74</v>
      </c>
      <c r="E278" s="2" t="s">
        <v>74</v>
      </c>
      <c r="F278" s="2" t="s">
        <v>5309</v>
      </c>
      <c r="G278" s="2" t="s">
        <v>74</v>
      </c>
      <c r="H278" s="2" t="s">
        <v>74</v>
      </c>
      <c r="I278" s="2" t="s">
        <v>5310</v>
      </c>
      <c r="J278" s="2" t="s">
        <v>119</v>
      </c>
      <c r="K278" s="2" t="s">
        <v>74</v>
      </c>
      <c r="L278" s="2" t="s">
        <v>74</v>
      </c>
      <c r="M278" s="2" t="s">
        <v>74</v>
      </c>
      <c r="N278" s="2" t="s">
        <v>74</v>
      </c>
      <c r="O278" s="2" t="s">
        <v>74</v>
      </c>
      <c r="P278" s="2" t="s">
        <v>74</v>
      </c>
      <c r="Q278" s="2" t="s">
        <v>74</v>
      </c>
      <c r="R278" s="2" t="s">
        <v>74</v>
      </c>
      <c r="S278" s="2" t="s">
        <v>74</v>
      </c>
      <c r="T278" s="2" t="s">
        <v>74</v>
      </c>
      <c r="U278" s="2" t="s">
        <v>74</v>
      </c>
      <c r="V278" s="5" t="s">
        <v>5311</v>
      </c>
      <c r="W278" s="2" t="s">
        <v>74</v>
      </c>
      <c r="X278" s="2" t="s">
        <v>74</v>
      </c>
      <c r="Y278" s="2" t="s">
        <v>74</v>
      </c>
      <c r="Z278" s="2" t="s">
        <v>74</v>
      </c>
      <c r="AA278" s="2" t="s">
        <v>74</v>
      </c>
      <c r="AB278" s="2" t="s">
        <v>74</v>
      </c>
      <c r="AC278" s="2" t="s">
        <v>74</v>
      </c>
      <c r="AD278" s="2" t="s">
        <v>74</v>
      </c>
      <c r="AE278" s="2" t="s">
        <v>74</v>
      </c>
      <c r="AF278" s="2" t="s">
        <v>74</v>
      </c>
      <c r="AG278" s="2" t="s">
        <v>74</v>
      </c>
      <c r="AH278" s="2" t="s">
        <v>74</v>
      </c>
      <c r="AI278" s="2" t="s">
        <v>74</v>
      </c>
      <c r="AJ278" s="2" t="s">
        <v>74</v>
      </c>
      <c r="AK278" s="2" t="s">
        <v>74</v>
      </c>
      <c r="AL278" s="2" t="s">
        <v>74</v>
      </c>
      <c r="AM278" s="2" t="s">
        <v>74</v>
      </c>
      <c r="AN278" s="2" t="s">
        <v>74</v>
      </c>
      <c r="AO278" s="2" t="s">
        <v>121</v>
      </c>
      <c r="AP278" s="2" t="s">
        <v>122</v>
      </c>
      <c r="AQ278" s="2" t="s">
        <v>74</v>
      </c>
      <c r="AR278" s="2" t="s">
        <v>74</v>
      </c>
      <c r="AS278" s="2" t="s">
        <v>74</v>
      </c>
      <c r="AT278" s="2" t="s">
        <v>255</v>
      </c>
      <c r="AU278" s="2">
        <v>2009</v>
      </c>
      <c r="AV278" s="2">
        <v>80</v>
      </c>
      <c r="AW278" s="2">
        <v>1</v>
      </c>
      <c r="AX278" s="2" t="s">
        <v>74</v>
      </c>
      <c r="AY278" s="2" t="s">
        <v>74</v>
      </c>
      <c r="AZ278" s="2" t="s">
        <v>74</v>
      </c>
      <c r="BA278" s="2" t="s">
        <v>74</v>
      </c>
      <c r="BB278" s="2">
        <v>46</v>
      </c>
      <c r="BC278" s="2">
        <v>50</v>
      </c>
      <c r="BD278" s="2" t="s">
        <v>74</v>
      </c>
      <c r="BE278" s="2" t="s">
        <v>5312</v>
      </c>
      <c r="BF278" s="2" t="str">
        <f>HYPERLINK("http://dx.doi.org/10.1016/j.beproc.2008.09.007","http://dx.doi.org/10.1016/j.beproc.2008.09.007")</f>
        <v>http://dx.doi.org/10.1016/j.beproc.2008.09.007</v>
      </c>
      <c r="BG278" s="2" t="s">
        <v>74</v>
      </c>
      <c r="BH278" s="2" t="s">
        <v>74</v>
      </c>
      <c r="BI278" s="2" t="s">
        <v>74</v>
      </c>
      <c r="BJ278" s="2" t="s">
        <v>74</v>
      </c>
      <c r="BK278" s="2" t="s">
        <v>74</v>
      </c>
      <c r="BL278" s="2" t="s">
        <v>74</v>
      </c>
      <c r="BM278" s="2" t="s">
        <v>74</v>
      </c>
      <c r="BN278" s="2">
        <v>18929629</v>
      </c>
      <c r="BO278" s="2" t="s">
        <v>74</v>
      </c>
      <c r="BP278" s="2" t="s">
        <v>74</v>
      </c>
      <c r="BQ278" s="2" t="s">
        <v>74</v>
      </c>
      <c r="BR278" s="2" t="s">
        <v>74</v>
      </c>
      <c r="BS278" s="2" t="s">
        <v>5313</v>
      </c>
      <c r="BT278" s="2" t="str">
        <f>HYPERLINK("https%3A%2F%2Fwww.webofscience.com%2Fwos%2Fwoscc%2Ffull-record%2FWOS:000262546900008","View Full Record in Web of Science")</f>
        <v>View Full Record in Web of Science</v>
      </c>
    </row>
    <row r="279" spans="1:72" s="2" customFormat="1" x14ac:dyDescent="0.4">
      <c r="A279" s="2" t="s">
        <v>72</v>
      </c>
      <c r="B279" s="2" t="s">
        <v>6625</v>
      </c>
      <c r="C279" s="2" t="s">
        <v>74</v>
      </c>
      <c r="D279" s="2" t="s">
        <v>74</v>
      </c>
      <c r="E279" s="2" t="s">
        <v>74</v>
      </c>
      <c r="F279" s="2" t="s">
        <v>6625</v>
      </c>
      <c r="G279" s="2" t="s">
        <v>74</v>
      </c>
      <c r="H279" s="2" t="s">
        <v>74</v>
      </c>
      <c r="I279" s="2" t="s">
        <v>6626</v>
      </c>
      <c r="J279" s="2" t="s">
        <v>814</v>
      </c>
      <c r="K279" s="2" t="s">
        <v>74</v>
      </c>
      <c r="L279" s="2" t="s">
        <v>74</v>
      </c>
      <c r="M279" s="2" t="s">
        <v>74</v>
      </c>
      <c r="N279" s="2" t="s">
        <v>74</v>
      </c>
      <c r="O279" s="2" t="s">
        <v>74</v>
      </c>
      <c r="P279" s="2" t="s">
        <v>74</v>
      </c>
      <c r="Q279" s="2" t="s">
        <v>74</v>
      </c>
      <c r="R279" s="2" t="s">
        <v>74</v>
      </c>
      <c r="S279" s="2" t="s">
        <v>74</v>
      </c>
      <c r="T279" s="2" t="s">
        <v>74</v>
      </c>
      <c r="U279" s="2" t="s">
        <v>74</v>
      </c>
      <c r="V279" s="5" t="s">
        <v>6627</v>
      </c>
      <c r="W279" s="2" t="s">
        <v>74</v>
      </c>
      <c r="X279" s="2" t="s">
        <v>74</v>
      </c>
      <c r="Y279" s="2" t="s">
        <v>74</v>
      </c>
      <c r="Z279" s="2" t="s">
        <v>74</v>
      </c>
      <c r="AA279" s="2" t="s">
        <v>74</v>
      </c>
      <c r="AB279" s="2" t="s">
        <v>74</v>
      </c>
      <c r="AC279" s="2" t="s">
        <v>74</v>
      </c>
      <c r="AD279" s="2" t="s">
        <v>74</v>
      </c>
      <c r="AE279" s="2" t="s">
        <v>74</v>
      </c>
      <c r="AF279" s="2" t="s">
        <v>74</v>
      </c>
      <c r="AG279" s="2" t="s">
        <v>74</v>
      </c>
      <c r="AH279" s="2" t="s">
        <v>74</v>
      </c>
      <c r="AI279" s="2" t="s">
        <v>74</v>
      </c>
      <c r="AJ279" s="2" t="s">
        <v>74</v>
      </c>
      <c r="AK279" s="2" t="s">
        <v>74</v>
      </c>
      <c r="AL279" s="2" t="s">
        <v>74</v>
      </c>
      <c r="AM279" s="2" t="s">
        <v>74</v>
      </c>
      <c r="AN279" s="2" t="s">
        <v>74</v>
      </c>
      <c r="AO279" s="2" t="s">
        <v>818</v>
      </c>
      <c r="AP279" s="2" t="s">
        <v>74</v>
      </c>
      <c r="AQ279" s="2" t="s">
        <v>74</v>
      </c>
      <c r="AR279" s="2" t="s">
        <v>74</v>
      </c>
      <c r="AS279" s="2" t="s">
        <v>74</v>
      </c>
      <c r="AT279" s="2" t="s">
        <v>74</v>
      </c>
      <c r="AU279" s="2">
        <v>2005</v>
      </c>
      <c r="AV279" s="2">
        <v>108</v>
      </c>
      <c r="AW279" s="2">
        <v>1</v>
      </c>
      <c r="AX279" s="2" t="s">
        <v>74</v>
      </c>
      <c r="AY279" s="2" t="s">
        <v>74</v>
      </c>
      <c r="AZ279" s="2" t="s">
        <v>74</v>
      </c>
      <c r="BA279" s="2" t="s">
        <v>74</v>
      </c>
      <c r="BB279" s="2">
        <v>27</v>
      </c>
      <c r="BC279" s="2">
        <v>39</v>
      </c>
      <c r="BD279" s="2" t="s">
        <v>74</v>
      </c>
      <c r="BE279" s="2" t="s">
        <v>6628</v>
      </c>
      <c r="BF279" s="2" t="str">
        <f>HYPERLINK("http://dx.doi.org/10.1016/j.zool.2004.07.007","http://dx.doi.org/10.1016/j.zool.2004.07.007")</f>
        <v>http://dx.doi.org/10.1016/j.zool.2004.07.007</v>
      </c>
      <c r="BG279" s="2" t="s">
        <v>74</v>
      </c>
      <c r="BH279" s="2" t="s">
        <v>74</v>
      </c>
      <c r="BI279" s="2" t="s">
        <v>74</v>
      </c>
      <c r="BJ279" s="2" t="s">
        <v>74</v>
      </c>
      <c r="BK279" s="2" t="s">
        <v>74</v>
      </c>
      <c r="BL279" s="2" t="s">
        <v>74</v>
      </c>
      <c r="BM279" s="2" t="s">
        <v>74</v>
      </c>
      <c r="BN279" s="2">
        <v>16351952</v>
      </c>
      <c r="BO279" s="2" t="s">
        <v>74</v>
      </c>
      <c r="BP279" s="2" t="s">
        <v>74</v>
      </c>
      <c r="BQ279" s="2" t="s">
        <v>74</v>
      </c>
      <c r="BR279" s="2" t="s">
        <v>74</v>
      </c>
      <c r="BS279" s="2" t="s">
        <v>6629</v>
      </c>
      <c r="BT279" s="2" t="str">
        <f>HYPERLINK("https%3A%2F%2Fwww.webofscience.com%2Fwos%2Fwoscc%2Ffull-record%2FWOS:000228395300003","View Full Record in Web of Science")</f>
        <v>View Full Record in Web of Science</v>
      </c>
    </row>
    <row r="280" spans="1:72" s="7" customFormat="1" x14ac:dyDescent="0.4">
      <c r="A280" s="2" t="s">
        <v>72</v>
      </c>
      <c r="B280" s="2" t="s">
        <v>96</v>
      </c>
      <c r="C280" s="2" t="s">
        <v>74</v>
      </c>
      <c r="D280" s="2" t="s">
        <v>74</v>
      </c>
      <c r="E280" s="2" t="s">
        <v>74</v>
      </c>
      <c r="F280" s="2" t="s">
        <v>97</v>
      </c>
      <c r="G280" s="2" t="s">
        <v>74</v>
      </c>
      <c r="H280" s="2" t="s">
        <v>74</v>
      </c>
      <c r="I280" s="2" t="s">
        <v>98</v>
      </c>
      <c r="J280" s="2" t="s">
        <v>99</v>
      </c>
      <c r="K280" s="2" t="s">
        <v>74</v>
      </c>
      <c r="L280" s="2" t="s">
        <v>74</v>
      </c>
      <c r="M280" s="2" t="s">
        <v>74</v>
      </c>
      <c r="N280" s="2" t="s">
        <v>74</v>
      </c>
      <c r="O280" s="2" t="s">
        <v>74</v>
      </c>
      <c r="P280" s="2" t="s">
        <v>74</v>
      </c>
      <c r="Q280" s="2" t="s">
        <v>74</v>
      </c>
      <c r="R280" s="2" t="s">
        <v>74</v>
      </c>
      <c r="S280" s="2" t="s">
        <v>74</v>
      </c>
      <c r="T280" s="2" t="s">
        <v>74</v>
      </c>
      <c r="U280" s="2" t="s">
        <v>74</v>
      </c>
      <c r="V280" s="5" t="s">
        <v>100</v>
      </c>
      <c r="W280" s="2" t="s">
        <v>74</v>
      </c>
      <c r="X280" s="2" t="s">
        <v>74</v>
      </c>
      <c r="Y280" s="2" t="s">
        <v>74</v>
      </c>
      <c r="Z280" s="2" t="s">
        <v>74</v>
      </c>
      <c r="AA280" s="2" t="s">
        <v>74</v>
      </c>
      <c r="AB280" s="2" t="s">
        <v>74</v>
      </c>
      <c r="AC280" s="2" t="s">
        <v>74</v>
      </c>
      <c r="AD280" s="2" t="s">
        <v>74</v>
      </c>
      <c r="AE280" s="2" t="s">
        <v>74</v>
      </c>
      <c r="AF280" s="2" t="s">
        <v>74</v>
      </c>
      <c r="AG280" s="2" t="s">
        <v>74</v>
      </c>
      <c r="AH280" s="2" t="s">
        <v>74</v>
      </c>
      <c r="AI280" s="2" t="s">
        <v>74</v>
      </c>
      <c r="AJ280" s="2" t="s">
        <v>74</v>
      </c>
      <c r="AK280" s="2" t="s">
        <v>74</v>
      </c>
      <c r="AL280" s="2" t="s">
        <v>74</v>
      </c>
      <c r="AM280" s="2" t="s">
        <v>74</v>
      </c>
      <c r="AN280" s="2" t="s">
        <v>74</v>
      </c>
      <c r="AO280" s="2" t="s">
        <v>101</v>
      </c>
      <c r="AP280" s="2" t="s">
        <v>74</v>
      </c>
      <c r="AQ280" s="2" t="s">
        <v>74</v>
      </c>
      <c r="AR280" s="2" t="s">
        <v>74</v>
      </c>
      <c r="AS280" s="2" t="s">
        <v>74</v>
      </c>
      <c r="AT280" s="2" t="s">
        <v>102</v>
      </c>
      <c r="AU280" s="2">
        <v>2013</v>
      </c>
      <c r="AV280" s="2">
        <v>125</v>
      </c>
      <c r="AW280" s="2">
        <v>2</v>
      </c>
      <c r="AX280" s="2" t="s">
        <v>74</v>
      </c>
      <c r="AY280" s="2" t="s">
        <v>74</v>
      </c>
      <c r="AZ280" s="2" t="s">
        <v>74</v>
      </c>
      <c r="BA280" s="2" t="s">
        <v>74</v>
      </c>
      <c r="BB280" s="2">
        <v>348</v>
      </c>
      <c r="BC280" s="2">
        <v>357</v>
      </c>
      <c r="BD280" s="2" t="s">
        <v>74</v>
      </c>
      <c r="BE280" s="2" t="s">
        <v>103</v>
      </c>
      <c r="BF280" s="2" t="str">
        <f>HYPERLINK("http://dx.doi.org/10.1676/12-155.1","http://dx.doi.org/10.1676/12-155.1")</f>
        <v>http://dx.doi.org/10.1676/12-155.1</v>
      </c>
      <c r="BG280" s="2" t="s">
        <v>74</v>
      </c>
      <c r="BH280" s="2" t="s">
        <v>74</v>
      </c>
      <c r="BI280" s="2" t="s">
        <v>74</v>
      </c>
      <c r="BJ280" s="2" t="s">
        <v>74</v>
      </c>
      <c r="BK280" s="2" t="s">
        <v>74</v>
      </c>
      <c r="BL280" s="2" t="s">
        <v>74</v>
      </c>
      <c r="BM280" s="2" t="s">
        <v>74</v>
      </c>
      <c r="BN280" s="2" t="s">
        <v>74</v>
      </c>
      <c r="BO280" s="2" t="s">
        <v>74</v>
      </c>
      <c r="BP280" s="2" t="s">
        <v>74</v>
      </c>
      <c r="BQ280" s="2" t="s">
        <v>74</v>
      </c>
      <c r="BR280" s="2" t="s">
        <v>74</v>
      </c>
      <c r="BS280" s="2" t="s">
        <v>104</v>
      </c>
      <c r="BT280" s="2" t="str">
        <f>HYPERLINK("https%3A%2F%2Fwww.webofscience.com%2Fwos%2Fwoscc%2Ffull-record%2FWOS:000320893300015","View Full Record in Web of Science")</f>
        <v>View Full Record in Web of Science</v>
      </c>
    </row>
    <row r="281" spans="1:72" s="2" customFormat="1" x14ac:dyDescent="0.4">
      <c r="A281" s="2" t="s">
        <v>72</v>
      </c>
      <c r="B281" s="2" t="s">
        <v>3530</v>
      </c>
      <c r="C281" s="2" t="s">
        <v>74</v>
      </c>
      <c r="D281" s="2" t="s">
        <v>74</v>
      </c>
      <c r="E281" s="2" t="s">
        <v>74</v>
      </c>
      <c r="F281" s="2" t="s">
        <v>3531</v>
      </c>
      <c r="G281" s="2" t="s">
        <v>74</v>
      </c>
      <c r="H281" s="2" t="s">
        <v>74</v>
      </c>
      <c r="I281" s="2" t="s">
        <v>3532</v>
      </c>
      <c r="J281" s="2" t="s">
        <v>1112</v>
      </c>
      <c r="K281" s="2" t="s">
        <v>74</v>
      </c>
      <c r="L281" s="2" t="s">
        <v>74</v>
      </c>
      <c r="M281" s="2" t="s">
        <v>74</v>
      </c>
      <c r="N281" s="2" t="s">
        <v>74</v>
      </c>
      <c r="O281" s="2" t="s">
        <v>74</v>
      </c>
      <c r="P281" s="2" t="s">
        <v>74</v>
      </c>
      <c r="Q281" s="2" t="s">
        <v>74</v>
      </c>
      <c r="R281" s="2" t="s">
        <v>74</v>
      </c>
      <c r="S281" s="2" t="s">
        <v>74</v>
      </c>
      <c r="T281" s="2" t="s">
        <v>74</v>
      </c>
      <c r="U281" s="2" t="s">
        <v>74</v>
      </c>
      <c r="V281" s="5" t="s">
        <v>3533</v>
      </c>
      <c r="W281" s="2" t="s">
        <v>74</v>
      </c>
      <c r="X281" s="2" t="s">
        <v>74</v>
      </c>
      <c r="Y281" s="2" t="s">
        <v>74</v>
      </c>
      <c r="Z281" s="2" t="s">
        <v>74</v>
      </c>
      <c r="AA281" s="2" t="s">
        <v>3534</v>
      </c>
      <c r="AB281" s="2" t="s">
        <v>3535</v>
      </c>
      <c r="AC281" s="2" t="s">
        <v>74</v>
      </c>
      <c r="AD281" s="2" t="s">
        <v>74</v>
      </c>
      <c r="AE281" s="2" t="s">
        <v>74</v>
      </c>
      <c r="AF281" s="2" t="s">
        <v>74</v>
      </c>
      <c r="AG281" s="2" t="s">
        <v>74</v>
      </c>
      <c r="AH281" s="2" t="s">
        <v>74</v>
      </c>
      <c r="AI281" s="2" t="s">
        <v>74</v>
      </c>
      <c r="AJ281" s="2" t="s">
        <v>74</v>
      </c>
      <c r="AK281" s="2" t="s">
        <v>74</v>
      </c>
      <c r="AL281" s="2" t="s">
        <v>74</v>
      </c>
      <c r="AM281" s="2" t="s">
        <v>74</v>
      </c>
      <c r="AN281" s="2" t="s">
        <v>74</v>
      </c>
      <c r="AO281" s="2" t="s">
        <v>1114</v>
      </c>
      <c r="AP281" s="2" t="s">
        <v>1115</v>
      </c>
      <c r="AQ281" s="2" t="s">
        <v>74</v>
      </c>
      <c r="AR281" s="2" t="s">
        <v>74</v>
      </c>
      <c r="AS281" s="2" t="s">
        <v>74</v>
      </c>
      <c r="AT281" s="2" t="s">
        <v>123</v>
      </c>
      <c r="AU281" s="2">
        <v>2020</v>
      </c>
      <c r="AV281" s="2">
        <v>224</v>
      </c>
      <c r="AW281" s="2" t="s">
        <v>74</v>
      </c>
      <c r="AX281" s="2" t="s">
        <v>74</v>
      </c>
      <c r="AY281" s="2" t="s">
        <v>74</v>
      </c>
      <c r="AZ281" s="2" t="s">
        <v>74</v>
      </c>
      <c r="BA281" s="2" t="s">
        <v>74</v>
      </c>
      <c r="BB281" s="2" t="s">
        <v>74</v>
      </c>
      <c r="BC281" s="2" t="s">
        <v>74</v>
      </c>
      <c r="BD281" s="2">
        <v>104947</v>
      </c>
      <c r="BE281" s="2" t="s">
        <v>3536</v>
      </c>
      <c r="BF281" s="2" t="str">
        <f>HYPERLINK("http://dx.doi.org/10.1016/j.applanim.2020.104947","http://dx.doi.org/10.1016/j.applanim.2020.104947")</f>
        <v>http://dx.doi.org/10.1016/j.applanim.2020.104947</v>
      </c>
      <c r="BG281" s="2" t="s">
        <v>74</v>
      </c>
      <c r="BH281" s="2" t="s">
        <v>74</v>
      </c>
      <c r="BI281" s="2" t="s">
        <v>74</v>
      </c>
      <c r="BJ281" s="2" t="s">
        <v>74</v>
      </c>
      <c r="BK281" s="2" t="s">
        <v>74</v>
      </c>
      <c r="BL281" s="2" t="s">
        <v>74</v>
      </c>
      <c r="BM281" s="2" t="s">
        <v>74</v>
      </c>
      <c r="BN281" s="2" t="s">
        <v>74</v>
      </c>
      <c r="BO281" s="2" t="s">
        <v>74</v>
      </c>
      <c r="BP281" s="2" t="s">
        <v>74</v>
      </c>
      <c r="BQ281" s="2" t="s">
        <v>74</v>
      </c>
      <c r="BR281" s="2" t="s">
        <v>74</v>
      </c>
      <c r="BS281" s="2" t="s">
        <v>3537</v>
      </c>
      <c r="BT281" s="2" t="str">
        <f>HYPERLINK("https%3A%2F%2Fwww.webofscience.com%2Fwos%2Fwoscc%2Ffull-record%2FWOS:000524493000016","View Full Record in Web of Science")</f>
        <v>View Full Record in Web of Science</v>
      </c>
    </row>
    <row r="282" spans="1:72" s="7" customFormat="1" x14ac:dyDescent="0.4">
      <c r="A282" s="2" t="s">
        <v>72</v>
      </c>
      <c r="B282" s="2" t="s">
        <v>2728</v>
      </c>
      <c r="C282" s="2" t="s">
        <v>74</v>
      </c>
      <c r="D282" s="2" t="s">
        <v>74</v>
      </c>
      <c r="E282" s="2" t="s">
        <v>74</v>
      </c>
      <c r="F282" s="2" t="s">
        <v>2728</v>
      </c>
      <c r="G282" s="2" t="s">
        <v>74</v>
      </c>
      <c r="H282" s="2" t="s">
        <v>74</v>
      </c>
      <c r="I282" s="2" t="s">
        <v>2729</v>
      </c>
      <c r="J282" s="2" t="s">
        <v>431</v>
      </c>
      <c r="K282" s="2" t="s">
        <v>74</v>
      </c>
      <c r="L282" s="2" t="s">
        <v>74</v>
      </c>
      <c r="M282" s="2" t="s">
        <v>74</v>
      </c>
      <c r="N282" s="2" t="s">
        <v>74</v>
      </c>
      <c r="O282" s="2" t="s">
        <v>74</v>
      </c>
      <c r="P282" s="2" t="s">
        <v>74</v>
      </c>
      <c r="Q282" s="2" t="s">
        <v>74</v>
      </c>
      <c r="R282" s="2" t="s">
        <v>74</v>
      </c>
      <c r="S282" s="2" t="s">
        <v>74</v>
      </c>
      <c r="T282" s="2" t="s">
        <v>74</v>
      </c>
      <c r="U282" s="2" t="s">
        <v>74</v>
      </c>
      <c r="V282" s="5" t="s">
        <v>2730</v>
      </c>
      <c r="W282" s="2" t="s">
        <v>74</v>
      </c>
      <c r="X282" s="2" t="s">
        <v>74</v>
      </c>
      <c r="Y282" s="2" t="s">
        <v>74</v>
      </c>
      <c r="Z282" s="2" t="s">
        <v>74</v>
      </c>
      <c r="AA282" s="2" t="s">
        <v>74</v>
      </c>
      <c r="AB282" s="2" t="s">
        <v>74</v>
      </c>
      <c r="AC282" s="2" t="s">
        <v>74</v>
      </c>
      <c r="AD282" s="2" t="s">
        <v>74</v>
      </c>
      <c r="AE282" s="2" t="s">
        <v>74</v>
      </c>
      <c r="AF282" s="2" t="s">
        <v>74</v>
      </c>
      <c r="AG282" s="2" t="s">
        <v>74</v>
      </c>
      <c r="AH282" s="2" t="s">
        <v>74</v>
      </c>
      <c r="AI282" s="2" t="s">
        <v>74</v>
      </c>
      <c r="AJ282" s="2" t="s">
        <v>74</v>
      </c>
      <c r="AK282" s="2" t="s">
        <v>74</v>
      </c>
      <c r="AL282" s="2" t="s">
        <v>74</v>
      </c>
      <c r="AM282" s="2" t="s">
        <v>74</v>
      </c>
      <c r="AN282" s="2" t="s">
        <v>74</v>
      </c>
      <c r="AO282" s="2" t="s">
        <v>1458</v>
      </c>
      <c r="AP282" s="2" t="s">
        <v>435</v>
      </c>
      <c r="AQ282" s="2" t="s">
        <v>74</v>
      </c>
      <c r="AR282" s="2" t="s">
        <v>74</v>
      </c>
      <c r="AS282" s="2" t="s">
        <v>74</v>
      </c>
      <c r="AT282" s="2" t="s">
        <v>175</v>
      </c>
      <c r="AU282" s="2">
        <v>1993</v>
      </c>
      <c r="AV282" s="2">
        <v>110</v>
      </c>
      <c r="AW282" s="2">
        <v>4</v>
      </c>
      <c r="AX282" s="2" t="s">
        <v>74</v>
      </c>
      <c r="AY282" s="2" t="s">
        <v>74</v>
      </c>
      <c r="AZ282" s="2" t="s">
        <v>74</v>
      </c>
      <c r="BA282" s="2" t="s">
        <v>74</v>
      </c>
      <c r="BB282" s="2">
        <v>683</v>
      </c>
      <c r="BC282" s="2">
        <v>692</v>
      </c>
      <c r="BD282" s="2" t="s">
        <v>74</v>
      </c>
      <c r="BE282" s="2" t="s">
        <v>2731</v>
      </c>
      <c r="BF282" s="2" t="str">
        <f>HYPERLINK("http://dx.doi.org/10.2307/4088624","http://dx.doi.org/10.2307/4088624")</f>
        <v>http://dx.doi.org/10.2307/4088624</v>
      </c>
      <c r="BG282" s="2" t="s">
        <v>74</v>
      </c>
      <c r="BH282" s="2" t="s">
        <v>74</v>
      </c>
      <c r="BI282" s="2" t="s">
        <v>74</v>
      </c>
      <c r="BJ282" s="2" t="s">
        <v>74</v>
      </c>
      <c r="BK282" s="2" t="s">
        <v>74</v>
      </c>
      <c r="BL282" s="2" t="s">
        <v>74</v>
      </c>
      <c r="BM282" s="2" t="s">
        <v>74</v>
      </c>
      <c r="BN282" s="2" t="s">
        <v>74</v>
      </c>
      <c r="BO282" s="2" t="s">
        <v>74</v>
      </c>
      <c r="BP282" s="2" t="s">
        <v>74</v>
      </c>
      <c r="BQ282" s="2" t="s">
        <v>74</v>
      </c>
      <c r="BR282" s="2" t="s">
        <v>74</v>
      </c>
      <c r="BS282" s="2" t="s">
        <v>2732</v>
      </c>
      <c r="BT282" s="2" t="str">
        <f>HYPERLINK("https%3A%2F%2Fwww.webofscience.com%2Fwos%2Fwoscc%2Ffull-record%2FWOS:A1993NL01100001","View Full Record in Web of Science")</f>
        <v>View Full Record in Web of Science</v>
      </c>
    </row>
    <row r="283" spans="1:72" s="2" customFormat="1" x14ac:dyDescent="0.4">
      <c r="A283" s="2" t="s">
        <v>72</v>
      </c>
      <c r="B283" s="2" t="s">
        <v>7272</v>
      </c>
      <c r="C283" s="2" t="s">
        <v>74</v>
      </c>
      <c r="D283" s="2" t="s">
        <v>74</v>
      </c>
      <c r="E283" s="2" t="s">
        <v>74</v>
      </c>
      <c r="F283" s="2" t="s">
        <v>7272</v>
      </c>
      <c r="G283" s="2" t="s">
        <v>74</v>
      </c>
      <c r="H283" s="2" t="s">
        <v>74</v>
      </c>
      <c r="I283" s="2" t="s">
        <v>7273</v>
      </c>
      <c r="J283" s="2" t="s">
        <v>431</v>
      </c>
      <c r="K283" s="2" t="s">
        <v>74</v>
      </c>
      <c r="L283" s="2" t="s">
        <v>74</v>
      </c>
      <c r="M283" s="2" t="s">
        <v>74</v>
      </c>
      <c r="N283" s="2" t="s">
        <v>74</v>
      </c>
      <c r="O283" s="2" t="s">
        <v>74</v>
      </c>
      <c r="P283" s="2" t="s">
        <v>74</v>
      </c>
      <c r="Q283" s="2" t="s">
        <v>74</v>
      </c>
      <c r="R283" s="2" t="s">
        <v>74</v>
      </c>
      <c r="S283" s="2" t="s">
        <v>74</v>
      </c>
      <c r="T283" s="2" t="s">
        <v>74</v>
      </c>
      <c r="U283" s="2" t="s">
        <v>74</v>
      </c>
      <c r="V283" s="5" t="s">
        <v>7274</v>
      </c>
      <c r="W283" s="2" t="s">
        <v>74</v>
      </c>
      <c r="X283" s="2" t="s">
        <v>74</v>
      </c>
      <c r="Y283" s="2" t="s">
        <v>74</v>
      </c>
      <c r="Z283" s="2" t="s">
        <v>74</v>
      </c>
      <c r="AA283" s="2" t="s">
        <v>74</v>
      </c>
      <c r="AB283" s="2" t="s">
        <v>74</v>
      </c>
      <c r="AC283" s="2" t="s">
        <v>74</v>
      </c>
      <c r="AD283" s="2" t="s">
        <v>74</v>
      </c>
      <c r="AE283" s="2" t="s">
        <v>74</v>
      </c>
      <c r="AF283" s="2" t="s">
        <v>74</v>
      </c>
      <c r="AG283" s="2" t="s">
        <v>74</v>
      </c>
      <c r="AH283" s="2" t="s">
        <v>74</v>
      </c>
      <c r="AI283" s="2" t="s">
        <v>74</v>
      </c>
      <c r="AJ283" s="2" t="s">
        <v>74</v>
      </c>
      <c r="AK283" s="2" t="s">
        <v>74</v>
      </c>
      <c r="AL283" s="2" t="s">
        <v>74</v>
      </c>
      <c r="AM283" s="2" t="s">
        <v>74</v>
      </c>
      <c r="AN283" s="2" t="s">
        <v>74</v>
      </c>
      <c r="AO283" s="2" t="s">
        <v>74</v>
      </c>
      <c r="AP283" s="2" t="s">
        <v>435</v>
      </c>
      <c r="AQ283" s="2" t="s">
        <v>74</v>
      </c>
      <c r="AR283" s="2" t="s">
        <v>74</v>
      </c>
      <c r="AS283" s="2" t="s">
        <v>74</v>
      </c>
      <c r="AT283" s="2" t="s">
        <v>74</v>
      </c>
      <c r="AU283" s="2">
        <v>1980</v>
      </c>
      <c r="AV283" s="2">
        <v>97</v>
      </c>
      <c r="AW283" s="2">
        <v>2</v>
      </c>
      <c r="AX283" s="2" t="s">
        <v>74</v>
      </c>
      <c r="AY283" s="2" t="s">
        <v>74</v>
      </c>
      <c r="AZ283" s="2" t="s">
        <v>74</v>
      </c>
      <c r="BA283" s="2" t="s">
        <v>74</v>
      </c>
      <c r="BB283" s="2">
        <v>213</v>
      </c>
      <c r="BC283" s="2">
        <v>226</v>
      </c>
      <c r="BD283" s="2" t="s">
        <v>74</v>
      </c>
      <c r="BE283" s="2" t="s">
        <v>74</v>
      </c>
      <c r="BF283" s="2" t="s">
        <v>74</v>
      </c>
      <c r="BG283" s="2" t="s">
        <v>74</v>
      </c>
      <c r="BH283" s="2" t="s">
        <v>74</v>
      </c>
      <c r="BI283" s="2" t="s">
        <v>74</v>
      </c>
      <c r="BJ283" s="2" t="s">
        <v>74</v>
      </c>
      <c r="BK283" s="2" t="s">
        <v>74</v>
      </c>
      <c r="BL283" s="2" t="s">
        <v>74</v>
      </c>
      <c r="BM283" s="2" t="s">
        <v>74</v>
      </c>
      <c r="BN283" s="2" t="s">
        <v>74</v>
      </c>
      <c r="BO283" s="2" t="s">
        <v>74</v>
      </c>
      <c r="BP283" s="2" t="s">
        <v>74</v>
      </c>
      <c r="BQ283" s="2" t="s">
        <v>74</v>
      </c>
      <c r="BR283" s="2" t="s">
        <v>74</v>
      </c>
      <c r="BS283" s="2" t="s">
        <v>7275</v>
      </c>
      <c r="BT283" s="2" t="str">
        <f>HYPERLINK("https%3A%2F%2Fwww.webofscience.com%2Fwos%2Fwoscc%2Ffull-record%2FWOS:A1980JR68800001","View Full Record in Web of Science")</f>
        <v>View Full Record in Web of Science</v>
      </c>
    </row>
    <row r="284" spans="1:72" s="2" customFormat="1" x14ac:dyDescent="0.4">
      <c r="A284" s="2" t="s">
        <v>72</v>
      </c>
      <c r="B284" s="2" t="s">
        <v>2844</v>
      </c>
      <c r="C284" s="2" t="s">
        <v>74</v>
      </c>
      <c r="D284" s="2" t="s">
        <v>74</v>
      </c>
      <c r="E284" s="2" t="s">
        <v>74</v>
      </c>
      <c r="F284" s="2" t="s">
        <v>2845</v>
      </c>
      <c r="G284" s="2" t="s">
        <v>74</v>
      </c>
      <c r="H284" s="2" t="s">
        <v>74</v>
      </c>
      <c r="I284" s="2" t="s">
        <v>2846</v>
      </c>
      <c r="J284" s="2" t="s">
        <v>2847</v>
      </c>
      <c r="K284" s="2" t="s">
        <v>74</v>
      </c>
      <c r="L284" s="2" t="s">
        <v>74</v>
      </c>
      <c r="M284" s="2" t="s">
        <v>74</v>
      </c>
      <c r="N284" s="2" t="s">
        <v>74</v>
      </c>
      <c r="O284" s="2" t="s">
        <v>74</v>
      </c>
      <c r="P284" s="2" t="s">
        <v>74</v>
      </c>
      <c r="Q284" s="2" t="s">
        <v>74</v>
      </c>
      <c r="R284" s="2" t="s">
        <v>74</v>
      </c>
      <c r="S284" s="2" t="s">
        <v>74</v>
      </c>
      <c r="T284" s="2" t="s">
        <v>74</v>
      </c>
      <c r="U284" s="2" t="s">
        <v>74</v>
      </c>
      <c r="V284" s="5" t="s">
        <v>2848</v>
      </c>
      <c r="W284" s="2" t="s">
        <v>74</v>
      </c>
      <c r="X284" s="2" t="s">
        <v>74</v>
      </c>
      <c r="Y284" s="2" t="s">
        <v>74</v>
      </c>
      <c r="Z284" s="2" t="s">
        <v>74</v>
      </c>
      <c r="AA284" s="2" t="s">
        <v>74</v>
      </c>
      <c r="AB284" s="2" t="s">
        <v>74</v>
      </c>
      <c r="AC284" s="2" t="s">
        <v>74</v>
      </c>
      <c r="AD284" s="2" t="s">
        <v>74</v>
      </c>
      <c r="AE284" s="2" t="s">
        <v>74</v>
      </c>
      <c r="AF284" s="2" t="s">
        <v>74</v>
      </c>
      <c r="AG284" s="2" t="s">
        <v>74</v>
      </c>
      <c r="AH284" s="2" t="s">
        <v>74</v>
      </c>
      <c r="AI284" s="2" t="s">
        <v>74</v>
      </c>
      <c r="AJ284" s="2" t="s">
        <v>74</v>
      </c>
      <c r="AK284" s="2" t="s">
        <v>74</v>
      </c>
      <c r="AL284" s="2" t="s">
        <v>74</v>
      </c>
      <c r="AM284" s="2" t="s">
        <v>74</v>
      </c>
      <c r="AN284" s="2" t="s">
        <v>74</v>
      </c>
      <c r="AO284" s="2" t="s">
        <v>2849</v>
      </c>
      <c r="AP284" s="2" t="s">
        <v>2850</v>
      </c>
      <c r="AQ284" s="2" t="s">
        <v>74</v>
      </c>
      <c r="AR284" s="2" t="s">
        <v>74</v>
      </c>
      <c r="AS284" s="2" t="s">
        <v>74</v>
      </c>
      <c r="AT284" s="2" t="s">
        <v>213</v>
      </c>
      <c r="AU284" s="2">
        <v>2017</v>
      </c>
      <c r="AV284" s="2">
        <v>496</v>
      </c>
      <c r="AW284" s="2" t="s">
        <v>74</v>
      </c>
      <c r="AX284" s="2" t="s">
        <v>74</v>
      </c>
      <c r="AY284" s="2" t="s">
        <v>74</v>
      </c>
      <c r="AZ284" s="2" t="s">
        <v>74</v>
      </c>
      <c r="BA284" s="2" t="s">
        <v>74</v>
      </c>
      <c r="BB284" s="2">
        <v>29</v>
      </c>
      <c r="BC284" s="2">
        <v>36</v>
      </c>
      <c r="BD284" s="2" t="s">
        <v>74</v>
      </c>
      <c r="BE284" s="2" t="s">
        <v>2851</v>
      </c>
      <c r="BF284" s="2" t="str">
        <f>HYPERLINK("http://dx.doi.org/10.1016/j.jembe.2017.07.011","http://dx.doi.org/10.1016/j.jembe.2017.07.011")</f>
        <v>http://dx.doi.org/10.1016/j.jembe.2017.07.011</v>
      </c>
      <c r="BG284" s="2" t="s">
        <v>74</v>
      </c>
      <c r="BH284" s="2" t="s">
        <v>74</v>
      </c>
      <c r="BI284" s="2" t="s">
        <v>74</v>
      </c>
      <c r="BJ284" s="2" t="s">
        <v>74</v>
      </c>
      <c r="BK284" s="2" t="s">
        <v>74</v>
      </c>
      <c r="BL284" s="2" t="s">
        <v>74</v>
      </c>
      <c r="BM284" s="2" t="s">
        <v>74</v>
      </c>
      <c r="BN284" s="2" t="s">
        <v>74</v>
      </c>
      <c r="BO284" s="2" t="s">
        <v>74</v>
      </c>
      <c r="BP284" s="2" t="s">
        <v>74</v>
      </c>
      <c r="BQ284" s="2" t="s">
        <v>74</v>
      </c>
      <c r="BR284" s="2" t="s">
        <v>74</v>
      </c>
      <c r="BS284" s="2" t="s">
        <v>2852</v>
      </c>
      <c r="BT284" s="2" t="str">
        <f>HYPERLINK("https%3A%2F%2Fwww.webofscience.com%2Fwos%2Fwoscc%2Ffull-record%2FWOS:000412252700005","View Full Record in Web of Science")</f>
        <v>View Full Record in Web of Science</v>
      </c>
    </row>
    <row r="285" spans="1:72" s="2" customFormat="1" x14ac:dyDescent="0.4">
      <c r="A285" s="2" t="s">
        <v>72</v>
      </c>
      <c r="B285" s="2" t="s">
        <v>6945</v>
      </c>
      <c r="C285" s="2" t="s">
        <v>74</v>
      </c>
      <c r="D285" s="2" t="s">
        <v>74</v>
      </c>
      <c r="E285" s="2" t="s">
        <v>74</v>
      </c>
      <c r="F285" s="2" t="s">
        <v>6946</v>
      </c>
      <c r="G285" s="2" t="s">
        <v>74</v>
      </c>
      <c r="H285" s="2" t="s">
        <v>74</v>
      </c>
      <c r="I285" s="2" t="s">
        <v>6947</v>
      </c>
      <c r="J285" s="2" t="s">
        <v>1480</v>
      </c>
      <c r="K285" s="2" t="s">
        <v>74</v>
      </c>
      <c r="L285" s="2" t="s">
        <v>74</v>
      </c>
      <c r="M285" s="2" t="s">
        <v>74</v>
      </c>
      <c r="N285" s="2" t="s">
        <v>74</v>
      </c>
      <c r="O285" s="2" t="s">
        <v>74</v>
      </c>
      <c r="P285" s="2" t="s">
        <v>74</v>
      </c>
      <c r="Q285" s="2" t="s">
        <v>74</v>
      </c>
      <c r="R285" s="2" t="s">
        <v>74</v>
      </c>
      <c r="S285" s="2" t="s">
        <v>74</v>
      </c>
      <c r="T285" s="2" t="s">
        <v>74</v>
      </c>
      <c r="U285" s="2" t="s">
        <v>74</v>
      </c>
      <c r="V285" s="5" t="s">
        <v>6948</v>
      </c>
      <c r="W285" s="2" t="s">
        <v>74</v>
      </c>
      <c r="X285" s="2" t="s">
        <v>74</v>
      </c>
      <c r="Y285" s="2" t="s">
        <v>74</v>
      </c>
      <c r="Z285" s="2" t="s">
        <v>74</v>
      </c>
      <c r="AA285" s="2" t="s">
        <v>74</v>
      </c>
      <c r="AB285" s="2" t="s">
        <v>74</v>
      </c>
      <c r="AC285" s="2" t="s">
        <v>74</v>
      </c>
      <c r="AD285" s="2" t="s">
        <v>74</v>
      </c>
      <c r="AE285" s="2" t="s">
        <v>74</v>
      </c>
      <c r="AF285" s="2" t="s">
        <v>74</v>
      </c>
      <c r="AG285" s="2" t="s">
        <v>74</v>
      </c>
      <c r="AH285" s="2" t="s">
        <v>74</v>
      </c>
      <c r="AI285" s="2" t="s">
        <v>74</v>
      </c>
      <c r="AJ285" s="2" t="s">
        <v>74</v>
      </c>
      <c r="AK285" s="2" t="s">
        <v>74</v>
      </c>
      <c r="AL285" s="2" t="s">
        <v>74</v>
      </c>
      <c r="AM285" s="2" t="s">
        <v>74</v>
      </c>
      <c r="AN285" s="2" t="s">
        <v>74</v>
      </c>
      <c r="AO285" s="2" t="s">
        <v>1482</v>
      </c>
      <c r="AP285" s="2" t="s">
        <v>6949</v>
      </c>
      <c r="AQ285" s="2" t="s">
        <v>74</v>
      </c>
      <c r="AR285" s="2" t="s">
        <v>74</v>
      </c>
      <c r="AS285" s="2" t="s">
        <v>74</v>
      </c>
      <c r="AT285" s="2" t="s">
        <v>352</v>
      </c>
      <c r="AU285" s="2">
        <v>2014</v>
      </c>
      <c r="AV285" s="2">
        <v>93</v>
      </c>
      <c r="AW285" s="2">
        <v>9</v>
      </c>
      <c r="AX285" s="2" t="s">
        <v>74</v>
      </c>
      <c r="AY285" s="2" t="s">
        <v>74</v>
      </c>
      <c r="AZ285" s="2" t="s">
        <v>74</v>
      </c>
      <c r="BA285" s="2" t="s">
        <v>74</v>
      </c>
      <c r="BB285" s="2">
        <v>2143</v>
      </c>
      <c r="BC285" s="2">
        <v>2150</v>
      </c>
      <c r="BD285" s="2" t="s">
        <v>74</v>
      </c>
      <c r="BE285" s="2" t="s">
        <v>6950</v>
      </c>
      <c r="BF285" s="2" t="str">
        <f>HYPERLINK("http://dx.doi.org/10.3382/ps.2014-03885","http://dx.doi.org/10.3382/ps.2014-03885")</f>
        <v>http://dx.doi.org/10.3382/ps.2014-03885</v>
      </c>
      <c r="BG285" s="2" t="s">
        <v>74</v>
      </c>
      <c r="BH285" s="2" t="s">
        <v>74</v>
      </c>
      <c r="BI285" s="2" t="s">
        <v>74</v>
      </c>
      <c r="BJ285" s="2" t="s">
        <v>74</v>
      </c>
      <c r="BK285" s="2" t="s">
        <v>74</v>
      </c>
      <c r="BL285" s="2" t="s">
        <v>74</v>
      </c>
      <c r="BM285" s="2" t="s">
        <v>74</v>
      </c>
      <c r="BN285" s="2">
        <v>25037824</v>
      </c>
      <c r="BO285" s="2" t="s">
        <v>74</v>
      </c>
      <c r="BP285" s="2" t="s">
        <v>74</v>
      </c>
      <c r="BQ285" s="2" t="s">
        <v>74</v>
      </c>
      <c r="BR285" s="2" t="s">
        <v>74</v>
      </c>
      <c r="BS285" s="2" t="s">
        <v>6951</v>
      </c>
      <c r="BT285" s="2" t="str">
        <f>HYPERLINK("https%3A%2F%2Fwww.webofscience.com%2Fwos%2Fwoscc%2Ffull-record%2FWOS:000341309600001","View Full Record in Web of Science")</f>
        <v>View Full Record in Web of Science</v>
      </c>
    </row>
    <row r="286" spans="1:72" s="1" customFormat="1" x14ac:dyDescent="0.4">
      <c r="A286" s="2" t="s">
        <v>72</v>
      </c>
      <c r="B286" s="2" t="s">
        <v>8398</v>
      </c>
      <c r="C286" s="2" t="s">
        <v>74</v>
      </c>
      <c r="D286" s="2" t="s">
        <v>74</v>
      </c>
      <c r="E286" s="2" t="s">
        <v>74</v>
      </c>
      <c r="F286" s="2" t="s">
        <v>8399</v>
      </c>
      <c r="G286" s="2" t="s">
        <v>74</v>
      </c>
      <c r="H286" s="2" t="s">
        <v>74</v>
      </c>
      <c r="I286" s="2" t="s">
        <v>8400</v>
      </c>
      <c r="J286" s="2" t="s">
        <v>5961</v>
      </c>
      <c r="K286" s="2" t="s">
        <v>74</v>
      </c>
      <c r="L286" s="2" t="s">
        <v>74</v>
      </c>
      <c r="M286" s="2" t="s">
        <v>74</v>
      </c>
      <c r="N286" s="2" t="s">
        <v>74</v>
      </c>
      <c r="O286" s="2" t="s">
        <v>74</v>
      </c>
      <c r="P286" s="2" t="s">
        <v>74</v>
      </c>
      <c r="Q286" s="2" t="s">
        <v>74</v>
      </c>
      <c r="R286" s="2" t="s">
        <v>74</v>
      </c>
      <c r="S286" s="2" t="s">
        <v>74</v>
      </c>
      <c r="T286" s="2" t="s">
        <v>74</v>
      </c>
      <c r="U286" s="2" t="s">
        <v>74</v>
      </c>
      <c r="V286" s="5" t="s">
        <v>8401</v>
      </c>
      <c r="W286" s="2" t="s">
        <v>74</v>
      </c>
      <c r="X286" s="2" t="s">
        <v>74</v>
      </c>
      <c r="Y286" s="2" t="s">
        <v>74</v>
      </c>
      <c r="Z286" s="2" t="s">
        <v>74</v>
      </c>
      <c r="AA286" s="2" t="s">
        <v>74</v>
      </c>
      <c r="AB286" s="2" t="s">
        <v>8402</v>
      </c>
      <c r="AC286" s="2" t="s">
        <v>74</v>
      </c>
      <c r="AD286" s="2" t="s">
        <v>74</v>
      </c>
      <c r="AE286" s="2" t="s">
        <v>74</v>
      </c>
      <c r="AF286" s="2" t="s">
        <v>74</v>
      </c>
      <c r="AG286" s="2" t="s">
        <v>74</v>
      </c>
      <c r="AH286" s="2" t="s">
        <v>74</v>
      </c>
      <c r="AI286" s="2" t="s">
        <v>74</v>
      </c>
      <c r="AJ286" s="2" t="s">
        <v>74</v>
      </c>
      <c r="AK286" s="2" t="s">
        <v>74</v>
      </c>
      <c r="AL286" s="2" t="s">
        <v>74</v>
      </c>
      <c r="AM286" s="2" t="s">
        <v>74</v>
      </c>
      <c r="AN286" s="2" t="s">
        <v>74</v>
      </c>
      <c r="AO286" s="2" t="s">
        <v>5965</v>
      </c>
      <c r="AP286" s="2" t="s">
        <v>5966</v>
      </c>
      <c r="AQ286" s="2" t="s">
        <v>74</v>
      </c>
      <c r="AR286" s="2" t="s">
        <v>74</v>
      </c>
      <c r="AS286" s="2" t="s">
        <v>74</v>
      </c>
      <c r="AT286" s="2" t="s">
        <v>175</v>
      </c>
      <c r="AU286" s="2">
        <v>2020</v>
      </c>
      <c r="AV286" s="2">
        <v>45</v>
      </c>
      <c r="AW286" s="2">
        <v>4</v>
      </c>
      <c r="AX286" s="2" t="s">
        <v>74</v>
      </c>
      <c r="AY286" s="2" t="s">
        <v>74</v>
      </c>
      <c r="AZ286" s="2" t="s">
        <v>74</v>
      </c>
      <c r="BA286" s="2" t="s">
        <v>74</v>
      </c>
      <c r="BB286" s="2">
        <v>803</v>
      </c>
      <c r="BC286" s="2">
        <v>837</v>
      </c>
      <c r="BD286" s="2" t="s">
        <v>74</v>
      </c>
      <c r="BE286" s="2" t="s">
        <v>8403</v>
      </c>
      <c r="BF286" s="2" t="str">
        <f>HYPERLINK("http://dx.doi.org/10.1111/syen.12428","http://dx.doi.org/10.1111/syen.12428")</f>
        <v>http://dx.doi.org/10.1111/syen.12428</v>
      </c>
      <c r="BG286" s="2" t="s">
        <v>74</v>
      </c>
      <c r="BH286" s="2" t="s">
        <v>8404</v>
      </c>
      <c r="BI286" s="2" t="s">
        <v>74</v>
      </c>
      <c r="BJ286" s="2" t="s">
        <v>74</v>
      </c>
      <c r="BK286" s="2" t="s">
        <v>74</v>
      </c>
      <c r="BL286" s="2" t="s">
        <v>74</v>
      </c>
      <c r="BM286" s="2" t="s">
        <v>74</v>
      </c>
      <c r="BN286" s="2">
        <v>34744257</v>
      </c>
      <c r="BO286" s="2" t="s">
        <v>74</v>
      </c>
      <c r="BP286" s="2" t="s">
        <v>74</v>
      </c>
      <c r="BQ286" s="2" t="s">
        <v>74</v>
      </c>
      <c r="BR286" s="2" t="s">
        <v>74</v>
      </c>
      <c r="BS286" s="2" t="s">
        <v>8405</v>
      </c>
      <c r="BT286" s="2" t="str">
        <f>HYPERLINK("https%3A%2F%2Fwww.webofscience.com%2Fwos%2Fwoscc%2Ffull-record%2FWOS:000516977500001","View Full Record in Web of Science")</f>
        <v>View Full Record in Web of Science</v>
      </c>
    </row>
    <row r="287" spans="1:72" s="2" customFormat="1" x14ac:dyDescent="0.4">
      <c r="A287" s="2" t="s">
        <v>72</v>
      </c>
      <c r="B287" s="2" t="s">
        <v>3611</v>
      </c>
      <c r="C287" s="2" t="s">
        <v>74</v>
      </c>
      <c r="D287" s="2" t="s">
        <v>74</v>
      </c>
      <c r="E287" s="2" t="s">
        <v>74</v>
      </c>
      <c r="F287" s="2" t="s">
        <v>3612</v>
      </c>
      <c r="G287" s="2" t="s">
        <v>74</v>
      </c>
      <c r="H287" s="2" t="s">
        <v>74</v>
      </c>
      <c r="I287" s="2" t="s">
        <v>3613</v>
      </c>
      <c r="J287" s="2" t="s">
        <v>610</v>
      </c>
      <c r="K287" s="2" t="s">
        <v>74</v>
      </c>
      <c r="L287" s="2" t="s">
        <v>74</v>
      </c>
      <c r="M287" s="2" t="s">
        <v>74</v>
      </c>
      <c r="N287" s="2" t="s">
        <v>74</v>
      </c>
      <c r="O287" s="2" t="s">
        <v>74</v>
      </c>
      <c r="P287" s="2" t="s">
        <v>74</v>
      </c>
      <c r="Q287" s="2" t="s">
        <v>74</v>
      </c>
      <c r="R287" s="2" t="s">
        <v>74</v>
      </c>
      <c r="S287" s="2" t="s">
        <v>74</v>
      </c>
      <c r="T287" s="2" t="s">
        <v>74</v>
      </c>
      <c r="U287" s="2" t="s">
        <v>74</v>
      </c>
      <c r="V287" s="5" t="s">
        <v>3614</v>
      </c>
      <c r="W287" s="2" t="s">
        <v>74</v>
      </c>
      <c r="X287" s="2" t="s">
        <v>74</v>
      </c>
      <c r="Y287" s="2" t="s">
        <v>74</v>
      </c>
      <c r="Z287" s="2" t="s">
        <v>74</v>
      </c>
      <c r="AA287" s="2" t="s">
        <v>3615</v>
      </c>
      <c r="AB287" s="2" t="s">
        <v>3616</v>
      </c>
      <c r="AC287" s="2" t="s">
        <v>74</v>
      </c>
      <c r="AD287" s="2" t="s">
        <v>74</v>
      </c>
      <c r="AE287" s="2" t="s">
        <v>74</v>
      </c>
      <c r="AF287" s="2" t="s">
        <v>74</v>
      </c>
      <c r="AG287" s="2" t="s">
        <v>74</v>
      </c>
      <c r="AH287" s="2" t="s">
        <v>74</v>
      </c>
      <c r="AI287" s="2" t="s">
        <v>74</v>
      </c>
      <c r="AJ287" s="2" t="s">
        <v>74</v>
      </c>
      <c r="AK287" s="2" t="s">
        <v>74</v>
      </c>
      <c r="AL287" s="2" t="s">
        <v>74</v>
      </c>
      <c r="AM287" s="2" t="s">
        <v>74</v>
      </c>
      <c r="AN287" s="2" t="s">
        <v>74</v>
      </c>
      <c r="AO287" s="2" t="s">
        <v>614</v>
      </c>
      <c r="AP287" s="2" t="s">
        <v>615</v>
      </c>
      <c r="AQ287" s="2" t="s">
        <v>74</v>
      </c>
      <c r="AR287" s="2" t="s">
        <v>74</v>
      </c>
      <c r="AS287" s="2" t="s">
        <v>74</v>
      </c>
      <c r="AT287" s="2" t="s">
        <v>175</v>
      </c>
      <c r="AU287" s="2">
        <v>2007</v>
      </c>
      <c r="AV287" s="2">
        <v>113</v>
      </c>
      <c r="AW287" s="2">
        <v>10</v>
      </c>
      <c r="AX287" s="2" t="s">
        <v>74</v>
      </c>
      <c r="AY287" s="2" t="s">
        <v>74</v>
      </c>
      <c r="AZ287" s="2" t="s">
        <v>74</v>
      </c>
      <c r="BA287" s="2" t="s">
        <v>74</v>
      </c>
      <c r="BB287" s="2">
        <v>944</v>
      </c>
      <c r="BC287" s="2">
        <v>952</v>
      </c>
      <c r="BD287" s="2" t="s">
        <v>74</v>
      </c>
      <c r="BE287" s="2" t="s">
        <v>3617</v>
      </c>
      <c r="BF287" s="2" t="str">
        <f>HYPERLINK("http://dx.doi.org/10.1111/j.1439-0310.2007.01402.x","http://dx.doi.org/10.1111/j.1439-0310.2007.01402.x")</f>
        <v>http://dx.doi.org/10.1111/j.1439-0310.2007.01402.x</v>
      </c>
      <c r="BG287" s="2" t="s">
        <v>74</v>
      </c>
      <c r="BH287" s="2" t="s">
        <v>74</v>
      </c>
      <c r="BI287" s="2" t="s">
        <v>74</v>
      </c>
      <c r="BJ287" s="2" t="s">
        <v>74</v>
      </c>
      <c r="BK287" s="2" t="s">
        <v>74</v>
      </c>
      <c r="BL287" s="2" t="s">
        <v>74</v>
      </c>
      <c r="BM287" s="2" t="s">
        <v>74</v>
      </c>
      <c r="BN287" s="2" t="s">
        <v>74</v>
      </c>
      <c r="BO287" s="2" t="s">
        <v>74</v>
      </c>
      <c r="BP287" s="2" t="s">
        <v>74</v>
      </c>
      <c r="BQ287" s="2" t="s">
        <v>74</v>
      </c>
      <c r="BR287" s="2" t="s">
        <v>74</v>
      </c>
      <c r="BS287" s="2" t="s">
        <v>3618</v>
      </c>
      <c r="BT287" s="2" t="str">
        <f>HYPERLINK("https%3A%2F%2Fwww.webofscience.com%2Fwos%2Fwoscc%2Ffull-record%2FWOS:000249661000004","View Full Record in Web of Science")</f>
        <v>View Full Record in Web of Science</v>
      </c>
    </row>
    <row r="288" spans="1:72" s="2" customFormat="1" x14ac:dyDescent="0.4">
      <c r="A288" s="2" t="s">
        <v>72</v>
      </c>
      <c r="B288" s="2" t="s">
        <v>265</v>
      </c>
      <c r="C288" s="2" t="s">
        <v>74</v>
      </c>
      <c r="D288" s="2" t="s">
        <v>74</v>
      </c>
      <c r="E288" s="2" t="s">
        <v>74</v>
      </c>
      <c r="F288" s="2" t="s">
        <v>266</v>
      </c>
      <c r="G288" s="2" t="s">
        <v>74</v>
      </c>
      <c r="H288" s="2" t="s">
        <v>74</v>
      </c>
      <c r="I288" s="2" t="s">
        <v>267</v>
      </c>
      <c r="J288" s="2" t="s">
        <v>192</v>
      </c>
      <c r="K288" s="2" t="s">
        <v>74</v>
      </c>
      <c r="L288" s="2" t="s">
        <v>74</v>
      </c>
      <c r="M288" s="2" t="s">
        <v>74</v>
      </c>
      <c r="N288" s="2" t="s">
        <v>74</v>
      </c>
      <c r="O288" s="2" t="s">
        <v>74</v>
      </c>
      <c r="P288" s="2" t="s">
        <v>74</v>
      </c>
      <c r="Q288" s="2" t="s">
        <v>74</v>
      </c>
      <c r="R288" s="2" t="s">
        <v>74</v>
      </c>
      <c r="S288" s="2" t="s">
        <v>74</v>
      </c>
      <c r="T288" s="2" t="s">
        <v>74</v>
      </c>
      <c r="U288" s="2" t="s">
        <v>74</v>
      </c>
      <c r="V288" s="5" t="s">
        <v>268</v>
      </c>
      <c r="W288" s="2" t="s">
        <v>74</v>
      </c>
      <c r="X288" s="2" t="s">
        <v>74</v>
      </c>
      <c r="Y288" s="2" t="s">
        <v>74</v>
      </c>
      <c r="Z288" s="2" t="s">
        <v>74</v>
      </c>
      <c r="AA288" s="2" t="s">
        <v>74</v>
      </c>
      <c r="AB288" s="2" t="s">
        <v>74</v>
      </c>
      <c r="AC288" s="2" t="s">
        <v>74</v>
      </c>
      <c r="AD288" s="2" t="s">
        <v>74</v>
      </c>
      <c r="AE288" s="2" t="s">
        <v>74</v>
      </c>
      <c r="AF288" s="2" t="s">
        <v>74</v>
      </c>
      <c r="AG288" s="2" t="s">
        <v>74</v>
      </c>
      <c r="AH288" s="2" t="s">
        <v>74</v>
      </c>
      <c r="AI288" s="2" t="s">
        <v>74</v>
      </c>
      <c r="AJ288" s="2" t="s">
        <v>74</v>
      </c>
      <c r="AK288" s="2" t="s">
        <v>74</v>
      </c>
      <c r="AL288" s="2" t="s">
        <v>74</v>
      </c>
      <c r="AM288" s="2" t="s">
        <v>74</v>
      </c>
      <c r="AN288" s="2" t="s">
        <v>74</v>
      </c>
      <c r="AO288" s="2" t="s">
        <v>195</v>
      </c>
      <c r="AP288" s="2" t="s">
        <v>196</v>
      </c>
      <c r="AQ288" s="2" t="s">
        <v>74</v>
      </c>
      <c r="AR288" s="2" t="s">
        <v>74</v>
      </c>
      <c r="AS288" s="2" t="s">
        <v>74</v>
      </c>
      <c r="AT288" s="2" t="s">
        <v>123</v>
      </c>
      <c r="AU288" s="2">
        <v>2018</v>
      </c>
      <c r="AV288" s="2">
        <v>809</v>
      </c>
      <c r="AW288" s="2">
        <v>1</v>
      </c>
      <c r="AX288" s="2" t="s">
        <v>74</v>
      </c>
      <c r="AY288" s="2" t="s">
        <v>74</v>
      </c>
      <c r="AZ288" s="2" t="s">
        <v>74</v>
      </c>
      <c r="BA288" s="2" t="s">
        <v>74</v>
      </c>
      <c r="BB288" s="2">
        <v>31</v>
      </c>
      <c r="BC288" s="2">
        <v>40</v>
      </c>
      <c r="BD288" s="2" t="s">
        <v>74</v>
      </c>
      <c r="BE288" s="2" t="s">
        <v>269</v>
      </c>
      <c r="BF288" s="2" t="str">
        <f>HYPERLINK("http://dx.doi.org/10.1007/s10750-017-3442-6","http://dx.doi.org/10.1007/s10750-017-3442-6")</f>
        <v>http://dx.doi.org/10.1007/s10750-017-3442-6</v>
      </c>
      <c r="BG288" s="2" t="s">
        <v>74</v>
      </c>
      <c r="BH288" s="2" t="s">
        <v>74</v>
      </c>
      <c r="BI288" s="2" t="s">
        <v>74</v>
      </c>
      <c r="BJ288" s="2" t="s">
        <v>74</v>
      </c>
      <c r="BK288" s="2" t="s">
        <v>74</v>
      </c>
      <c r="BL288" s="2" t="s">
        <v>74</v>
      </c>
      <c r="BM288" s="2" t="s">
        <v>74</v>
      </c>
      <c r="BN288" s="2" t="s">
        <v>74</v>
      </c>
      <c r="BO288" s="2" t="s">
        <v>74</v>
      </c>
      <c r="BP288" s="2" t="s">
        <v>74</v>
      </c>
      <c r="BQ288" s="2" t="s">
        <v>74</v>
      </c>
      <c r="BR288" s="2" t="s">
        <v>74</v>
      </c>
      <c r="BS288" s="2" t="s">
        <v>270</v>
      </c>
      <c r="BT288" s="2" t="str">
        <f>HYPERLINK("https%3A%2F%2Fwww.webofscience.com%2Fwos%2Fwoscc%2Ffull-record%2FWOS:000424203000004","View Full Record in Web of Science")</f>
        <v>View Full Record in Web of Science</v>
      </c>
    </row>
    <row r="289" spans="1:72" s="2" customFormat="1" x14ac:dyDescent="0.4">
      <c r="A289" s="2" t="s">
        <v>72</v>
      </c>
      <c r="B289" s="2" t="s">
        <v>5377</v>
      </c>
      <c r="C289" s="2" t="s">
        <v>74</v>
      </c>
      <c r="D289" s="2" t="s">
        <v>74</v>
      </c>
      <c r="E289" s="2" t="s">
        <v>74</v>
      </c>
      <c r="F289" s="2" t="s">
        <v>5378</v>
      </c>
      <c r="G289" s="2" t="s">
        <v>74</v>
      </c>
      <c r="H289" s="2" t="s">
        <v>74</v>
      </c>
      <c r="I289" s="2" t="s">
        <v>5379</v>
      </c>
      <c r="J289" s="2" t="s">
        <v>1044</v>
      </c>
      <c r="K289" s="2" t="s">
        <v>74</v>
      </c>
      <c r="L289" s="2" t="s">
        <v>74</v>
      </c>
      <c r="M289" s="2" t="s">
        <v>74</v>
      </c>
      <c r="N289" s="2" t="s">
        <v>74</v>
      </c>
      <c r="O289" s="2" t="s">
        <v>74</v>
      </c>
      <c r="P289" s="2" t="s">
        <v>74</v>
      </c>
      <c r="Q289" s="2" t="s">
        <v>74</v>
      </c>
      <c r="R289" s="2" t="s">
        <v>74</v>
      </c>
      <c r="S289" s="2" t="s">
        <v>74</v>
      </c>
      <c r="T289" s="2" t="s">
        <v>74</v>
      </c>
      <c r="U289" s="2" t="s">
        <v>74</v>
      </c>
      <c r="V289" s="5" t="s">
        <v>5380</v>
      </c>
      <c r="W289" s="2" t="s">
        <v>74</v>
      </c>
      <c r="X289" s="2" t="s">
        <v>74</v>
      </c>
      <c r="Y289" s="2" t="s">
        <v>74</v>
      </c>
      <c r="Z289" s="2" t="s">
        <v>74</v>
      </c>
      <c r="AA289" s="2" t="s">
        <v>74</v>
      </c>
      <c r="AB289" s="2" t="s">
        <v>322</v>
      </c>
      <c r="AC289" s="2" t="s">
        <v>74</v>
      </c>
      <c r="AD289" s="2" t="s">
        <v>74</v>
      </c>
      <c r="AE289" s="2" t="s">
        <v>74</v>
      </c>
      <c r="AF289" s="2" t="s">
        <v>74</v>
      </c>
      <c r="AG289" s="2" t="s">
        <v>74</v>
      </c>
      <c r="AH289" s="2" t="s">
        <v>74</v>
      </c>
      <c r="AI289" s="2" t="s">
        <v>74</v>
      </c>
      <c r="AJ289" s="2" t="s">
        <v>74</v>
      </c>
      <c r="AK289" s="2" t="s">
        <v>74</v>
      </c>
      <c r="AL289" s="2" t="s">
        <v>74</v>
      </c>
      <c r="AM289" s="2" t="s">
        <v>74</v>
      </c>
      <c r="AN289" s="2" t="s">
        <v>74</v>
      </c>
      <c r="AO289" s="2" t="s">
        <v>1048</v>
      </c>
      <c r="AP289" s="2" t="s">
        <v>1049</v>
      </c>
      <c r="AQ289" s="2" t="s">
        <v>74</v>
      </c>
      <c r="AR289" s="2" t="s">
        <v>74</v>
      </c>
      <c r="AS289" s="2" t="s">
        <v>74</v>
      </c>
      <c r="AT289" s="2" t="s">
        <v>204</v>
      </c>
      <c r="AU289" s="2">
        <v>2017</v>
      </c>
      <c r="AV289" s="2">
        <v>26</v>
      </c>
      <c r="AW289" s="2">
        <v>14</v>
      </c>
      <c r="AX289" s="2" t="s">
        <v>74</v>
      </c>
      <c r="AY289" s="2" t="s">
        <v>74</v>
      </c>
      <c r="AZ289" s="2" t="s">
        <v>74</v>
      </c>
      <c r="BA289" s="2" t="s">
        <v>74</v>
      </c>
      <c r="BB289" s="2">
        <v>3760</v>
      </c>
      <c r="BC289" s="2">
        <v>3774</v>
      </c>
      <c r="BD289" s="2" t="s">
        <v>74</v>
      </c>
      <c r="BE289" s="2" t="s">
        <v>5381</v>
      </c>
      <c r="BF289" s="2" t="str">
        <f>HYPERLINK("http://dx.doi.org/10.1111/mec.14116","http://dx.doi.org/10.1111/mec.14116")</f>
        <v>http://dx.doi.org/10.1111/mec.14116</v>
      </c>
      <c r="BG289" s="2" t="s">
        <v>74</v>
      </c>
      <c r="BH289" s="2" t="s">
        <v>74</v>
      </c>
      <c r="BI289" s="2" t="s">
        <v>74</v>
      </c>
      <c r="BJ289" s="2" t="s">
        <v>74</v>
      </c>
      <c r="BK289" s="2" t="s">
        <v>74</v>
      </c>
      <c r="BL289" s="2" t="s">
        <v>74</v>
      </c>
      <c r="BM289" s="2" t="s">
        <v>74</v>
      </c>
      <c r="BN289" s="2">
        <v>28370617</v>
      </c>
      <c r="BO289" s="2" t="s">
        <v>74</v>
      </c>
      <c r="BP289" s="2" t="s">
        <v>74</v>
      </c>
      <c r="BQ289" s="2" t="s">
        <v>74</v>
      </c>
      <c r="BR289" s="2" t="s">
        <v>74</v>
      </c>
      <c r="BS289" s="2" t="s">
        <v>5382</v>
      </c>
      <c r="BT289" s="2" t="str">
        <f>HYPERLINK("https%3A%2F%2Fwww.webofscience.com%2Fwos%2Fwoscc%2Ffull-record%2FWOS:000404618000015","View Full Record in Web of Science")</f>
        <v>View Full Record in Web of Science</v>
      </c>
    </row>
    <row r="290" spans="1:72" s="2" customFormat="1" x14ac:dyDescent="0.4">
      <c r="A290" s="2" t="s">
        <v>72</v>
      </c>
      <c r="B290" s="2" t="s">
        <v>8439</v>
      </c>
      <c r="C290" s="2" t="s">
        <v>74</v>
      </c>
      <c r="D290" s="2" t="s">
        <v>74</v>
      </c>
      <c r="E290" s="2" t="s">
        <v>74</v>
      </c>
      <c r="F290" s="2" t="s">
        <v>8439</v>
      </c>
      <c r="G290" s="2" t="s">
        <v>74</v>
      </c>
      <c r="H290" s="2" t="s">
        <v>74</v>
      </c>
      <c r="I290" s="2" t="s">
        <v>8440</v>
      </c>
      <c r="J290" s="2" t="s">
        <v>691</v>
      </c>
      <c r="K290" s="2" t="s">
        <v>74</v>
      </c>
      <c r="L290" s="2" t="s">
        <v>74</v>
      </c>
      <c r="M290" s="2" t="s">
        <v>74</v>
      </c>
      <c r="N290" s="2" t="s">
        <v>74</v>
      </c>
      <c r="O290" s="2" t="s">
        <v>74</v>
      </c>
      <c r="P290" s="2" t="s">
        <v>74</v>
      </c>
      <c r="Q290" s="2" t="s">
        <v>74</v>
      </c>
      <c r="R290" s="2" t="s">
        <v>74</v>
      </c>
      <c r="S290" s="2" t="s">
        <v>74</v>
      </c>
      <c r="T290" s="2" t="s">
        <v>74</v>
      </c>
      <c r="U290" s="2" t="s">
        <v>74</v>
      </c>
      <c r="V290" s="5" t="s">
        <v>8441</v>
      </c>
      <c r="W290" s="2" t="s">
        <v>74</v>
      </c>
      <c r="X290" s="2" t="s">
        <v>74</v>
      </c>
      <c r="Y290" s="2" t="s">
        <v>74</v>
      </c>
      <c r="Z290" s="2" t="s">
        <v>74</v>
      </c>
      <c r="AA290" s="2" t="s">
        <v>74</v>
      </c>
      <c r="AB290" s="2" t="s">
        <v>74</v>
      </c>
      <c r="AC290" s="2" t="s">
        <v>74</v>
      </c>
      <c r="AD290" s="2" t="s">
        <v>74</v>
      </c>
      <c r="AE290" s="2" t="s">
        <v>74</v>
      </c>
      <c r="AF290" s="2" t="s">
        <v>74</v>
      </c>
      <c r="AG290" s="2" t="s">
        <v>74</v>
      </c>
      <c r="AH290" s="2" t="s">
        <v>74</v>
      </c>
      <c r="AI290" s="2" t="s">
        <v>74</v>
      </c>
      <c r="AJ290" s="2" t="s">
        <v>74</v>
      </c>
      <c r="AK290" s="2" t="s">
        <v>74</v>
      </c>
      <c r="AL290" s="2" t="s">
        <v>74</v>
      </c>
      <c r="AM290" s="2" t="s">
        <v>74</v>
      </c>
      <c r="AN290" s="2" t="s">
        <v>74</v>
      </c>
      <c r="AO290" s="2" t="s">
        <v>695</v>
      </c>
      <c r="AP290" s="2" t="s">
        <v>74</v>
      </c>
      <c r="AQ290" s="2" t="s">
        <v>74</v>
      </c>
      <c r="AR290" s="2" t="s">
        <v>74</v>
      </c>
      <c r="AS290" s="2" t="s">
        <v>74</v>
      </c>
      <c r="AT290" s="2" t="s">
        <v>305</v>
      </c>
      <c r="AU290" s="2">
        <v>1995</v>
      </c>
      <c r="AV290" s="2">
        <v>58</v>
      </c>
      <c r="AW290" s="2">
        <v>6</v>
      </c>
      <c r="AX290" s="2" t="s">
        <v>74</v>
      </c>
      <c r="AY290" s="2" t="s">
        <v>74</v>
      </c>
      <c r="AZ290" s="2" t="s">
        <v>74</v>
      </c>
      <c r="BA290" s="2" t="s">
        <v>74</v>
      </c>
      <c r="BB290" s="2">
        <v>1221</v>
      </c>
      <c r="BC290" s="2">
        <v>1225</v>
      </c>
      <c r="BD290" s="2" t="s">
        <v>74</v>
      </c>
      <c r="BE290" s="2" t="s">
        <v>8442</v>
      </c>
      <c r="BF290" s="2" t="str">
        <f>HYPERLINK("http://dx.doi.org/10.1016/0031-9384(95)02057-8","http://dx.doi.org/10.1016/0031-9384(95)02057-8")</f>
        <v>http://dx.doi.org/10.1016/0031-9384(95)02057-8</v>
      </c>
      <c r="BG290" s="2" t="s">
        <v>74</v>
      </c>
      <c r="BH290" s="2" t="s">
        <v>74</v>
      </c>
      <c r="BI290" s="2" t="s">
        <v>74</v>
      </c>
      <c r="BJ290" s="2" t="s">
        <v>74</v>
      </c>
      <c r="BK290" s="2" t="s">
        <v>74</v>
      </c>
      <c r="BL290" s="2" t="s">
        <v>74</v>
      </c>
      <c r="BM290" s="2" t="s">
        <v>74</v>
      </c>
      <c r="BN290" s="2">
        <v>8623024</v>
      </c>
      <c r="BO290" s="2" t="s">
        <v>74</v>
      </c>
      <c r="BP290" s="2" t="s">
        <v>74</v>
      </c>
      <c r="BQ290" s="2" t="s">
        <v>74</v>
      </c>
      <c r="BR290" s="2" t="s">
        <v>74</v>
      </c>
      <c r="BS290" s="2" t="s">
        <v>8443</v>
      </c>
      <c r="BT290" s="2" t="str">
        <f>HYPERLINK("https%3A%2F%2Fwww.webofscience.com%2Fwos%2Fwoscc%2Ffull-record%2FWOS:A1995TH80700023","View Full Record in Web of Science")</f>
        <v>View Full Record in Web of Science</v>
      </c>
    </row>
    <row r="291" spans="1:72" s="2" customFormat="1" x14ac:dyDescent="0.4">
      <c r="A291" s="2" t="s">
        <v>72</v>
      </c>
      <c r="B291" s="2" t="s">
        <v>4532</v>
      </c>
      <c r="C291" s="2" t="s">
        <v>74</v>
      </c>
      <c r="D291" s="2" t="s">
        <v>74</v>
      </c>
      <c r="E291" s="2" t="s">
        <v>74</v>
      </c>
      <c r="F291" s="2" t="s">
        <v>4532</v>
      </c>
      <c r="G291" s="2" t="s">
        <v>74</v>
      </c>
      <c r="H291" s="2" t="s">
        <v>74</v>
      </c>
      <c r="I291" s="2" t="s">
        <v>4533</v>
      </c>
      <c r="J291" s="2" t="s">
        <v>140</v>
      </c>
      <c r="K291" s="2" t="s">
        <v>74</v>
      </c>
      <c r="L291" s="2" t="s">
        <v>74</v>
      </c>
      <c r="M291" s="2" t="s">
        <v>74</v>
      </c>
      <c r="N291" s="2" t="s">
        <v>74</v>
      </c>
      <c r="O291" s="2" t="s">
        <v>74</v>
      </c>
      <c r="P291" s="2" t="s">
        <v>74</v>
      </c>
      <c r="Q291" s="2" t="s">
        <v>74</v>
      </c>
      <c r="R291" s="2" t="s">
        <v>74</v>
      </c>
      <c r="S291" s="2" t="s">
        <v>74</v>
      </c>
      <c r="T291" s="2" t="s">
        <v>74</v>
      </c>
      <c r="U291" s="2" t="s">
        <v>74</v>
      </c>
      <c r="V291" s="5" t="s">
        <v>4534</v>
      </c>
      <c r="W291" s="2" t="s">
        <v>74</v>
      </c>
      <c r="X291" s="2" t="s">
        <v>74</v>
      </c>
      <c r="Y291" s="2" t="s">
        <v>74</v>
      </c>
      <c r="Z291" s="2" t="s">
        <v>74</v>
      </c>
      <c r="AA291" s="2" t="s">
        <v>74</v>
      </c>
      <c r="AB291" s="2" t="s">
        <v>74</v>
      </c>
      <c r="AC291" s="2" t="s">
        <v>74</v>
      </c>
      <c r="AD291" s="2" t="s">
        <v>74</v>
      </c>
      <c r="AE291" s="2" t="s">
        <v>74</v>
      </c>
      <c r="AF291" s="2" t="s">
        <v>74</v>
      </c>
      <c r="AG291" s="2" t="s">
        <v>74</v>
      </c>
      <c r="AH291" s="2" t="s">
        <v>74</v>
      </c>
      <c r="AI291" s="2" t="s">
        <v>74</v>
      </c>
      <c r="AJ291" s="2" t="s">
        <v>74</v>
      </c>
      <c r="AK291" s="2" t="s">
        <v>74</v>
      </c>
      <c r="AL291" s="2" t="s">
        <v>74</v>
      </c>
      <c r="AM291" s="2" t="s">
        <v>74</v>
      </c>
      <c r="AN291" s="2" t="s">
        <v>74</v>
      </c>
      <c r="AO291" s="2" t="s">
        <v>143</v>
      </c>
      <c r="AP291" s="2" t="s">
        <v>144</v>
      </c>
      <c r="AQ291" s="2" t="s">
        <v>74</v>
      </c>
      <c r="AR291" s="2" t="s">
        <v>74</v>
      </c>
      <c r="AS291" s="2" t="s">
        <v>74</v>
      </c>
      <c r="AT291" s="2" t="s">
        <v>145</v>
      </c>
      <c r="AU291" s="2">
        <v>1987</v>
      </c>
      <c r="AV291" s="2">
        <v>35</v>
      </c>
      <c r="AW291" s="2" t="s">
        <v>74</v>
      </c>
      <c r="AX291" s="2">
        <v>4</v>
      </c>
      <c r="AY291" s="2" t="s">
        <v>74</v>
      </c>
      <c r="AZ291" s="2" t="s">
        <v>74</v>
      </c>
      <c r="BA291" s="2" t="s">
        <v>74</v>
      </c>
      <c r="BB291" s="2">
        <v>1177</v>
      </c>
      <c r="BC291" s="2">
        <v>1187</v>
      </c>
      <c r="BD291" s="2" t="s">
        <v>74</v>
      </c>
      <c r="BE291" s="2" t="s">
        <v>4535</v>
      </c>
      <c r="BF291" s="2" t="str">
        <f>HYPERLINK("http://dx.doi.org/10.1016/S0003-3472(87)80174-4","http://dx.doi.org/10.1016/S0003-3472(87)80174-4")</f>
        <v>http://dx.doi.org/10.1016/S0003-3472(87)80174-4</v>
      </c>
      <c r="BG291" s="2" t="s">
        <v>74</v>
      </c>
      <c r="BH291" s="2" t="s">
        <v>74</v>
      </c>
      <c r="BI291" s="2" t="s">
        <v>74</v>
      </c>
      <c r="BJ291" s="2" t="s">
        <v>74</v>
      </c>
      <c r="BK291" s="2" t="s">
        <v>74</v>
      </c>
      <c r="BL291" s="2" t="s">
        <v>74</v>
      </c>
      <c r="BM291" s="2" t="s">
        <v>74</v>
      </c>
      <c r="BN291" s="2" t="s">
        <v>74</v>
      </c>
      <c r="BO291" s="2" t="s">
        <v>74</v>
      </c>
      <c r="BP291" s="2" t="s">
        <v>74</v>
      </c>
      <c r="BQ291" s="2" t="s">
        <v>74</v>
      </c>
      <c r="BR291" s="2" t="s">
        <v>74</v>
      </c>
      <c r="BS291" s="2" t="s">
        <v>4536</v>
      </c>
      <c r="BT291" s="2" t="str">
        <f>HYPERLINK("https%3A%2F%2Fwww.webofscience.com%2Fwos%2Fwoscc%2Ffull-record%2FWOS:A1987J540600022","View Full Record in Web of Science")</f>
        <v>View Full Record in Web of Science</v>
      </c>
    </row>
    <row r="292" spans="1:72" s="1" customFormat="1" x14ac:dyDescent="0.4">
      <c r="A292" s="2" t="s">
        <v>72</v>
      </c>
      <c r="B292" s="2" t="s">
        <v>4021</v>
      </c>
      <c r="C292" s="2" t="s">
        <v>74</v>
      </c>
      <c r="D292" s="2" t="s">
        <v>74</v>
      </c>
      <c r="E292" s="2" t="s">
        <v>74</v>
      </c>
      <c r="F292" s="2" t="s">
        <v>4021</v>
      </c>
      <c r="G292" s="2" t="s">
        <v>74</v>
      </c>
      <c r="H292" s="2" t="s">
        <v>74</v>
      </c>
      <c r="I292" s="2" t="s">
        <v>4022</v>
      </c>
      <c r="J292" s="2" t="s">
        <v>1812</v>
      </c>
      <c r="K292" s="2" t="s">
        <v>74</v>
      </c>
      <c r="L292" s="2" t="s">
        <v>74</v>
      </c>
      <c r="M292" s="2" t="s">
        <v>74</v>
      </c>
      <c r="N292" s="2" t="s">
        <v>74</v>
      </c>
      <c r="O292" s="2" t="s">
        <v>74</v>
      </c>
      <c r="P292" s="2" t="s">
        <v>74</v>
      </c>
      <c r="Q292" s="2" t="s">
        <v>74</v>
      </c>
      <c r="R292" s="2" t="s">
        <v>74</v>
      </c>
      <c r="S292" s="2" t="s">
        <v>74</v>
      </c>
      <c r="T292" s="2" t="s">
        <v>74</v>
      </c>
      <c r="U292" s="2" t="s">
        <v>74</v>
      </c>
      <c r="V292" s="5" t="s">
        <v>4023</v>
      </c>
      <c r="W292" s="2" t="s">
        <v>74</v>
      </c>
      <c r="X292" s="2" t="s">
        <v>74</v>
      </c>
      <c r="Y292" s="2" t="s">
        <v>74</v>
      </c>
      <c r="Z292" s="2" t="s">
        <v>74</v>
      </c>
      <c r="AA292" s="2" t="s">
        <v>74</v>
      </c>
      <c r="AB292" s="2" t="s">
        <v>74</v>
      </c>
      <c r="AC292" s="2" t="s">
        <v>74</v>
      </c>
      <c r="AD292" s="2" t="s">
        <v>74</v>
      </c>
      <c r="AE292" s="2" t="s">
        <v>74</v>
      </c>
      <c r="AF292" s="2" t="s">
        <v>74</v>
      </c>
      <c r="AG292" s="2" t="s">
        <v>74</v>
      </c>
      <c r="AH292" s="2" t="s">
        <v>74</v>
      </c>
      <c r="AI292" s="2" t="s">
        <v>74</v>
      </c>
      <c r="AJ292" s="2" t="s">
        <v>74</v>
      </c>
      <c r="AK292" s="2" t="s">
        <v>74</v>
      </c>
      <c r="AL292" s="2" t="s">
        <v>74</v>
      </c>
      <c r="AM292" s="2" t="s">
        <v>74</v>
      </c>
      <c r="AN292" s="2" t="s">
        <v>74</v>
      </c>
      <c r="AO292" s="2" t="s">
        <v>1814</v>
      </c>
      <c r="AP292" s="2" t="s">
        <v>1815</v>
      </c>
      <c r="AQ292" s="2" t="s">
        <v>74</v>
      </c>
      <c r="AR292" s="2" t="s">
        <v>74</v>
      </c>
      <c r="AS292" s="2" t="s">
        <v>74</v>
      </c>
      <c r="AT292" s="2" t="s">
        <v>102</v>
      </c>
      <c r="AU292" s="2">
        <v>1987</v>
      </c>
      <c r="AV292" s="2">
        <v>21</v>
      </c>
      <c r="AW292" s="2">
        <v>2</v>
      </c>
      <c r="AX292" s="2" t="s">
        <v>74</v>
      </c>
      <c r="AY292" s="2" t="s">
        <v>74</v>
      </c>
      <c r="AZ292" s="2" t="s">
        <v>74</v>
      </c>
      <c r="BA292" s="2" t="s">
        <v>74</v>
      </c>
      <c r="BB292" s="2">
        <v>96</v>
      </c>
      <c r="BC292" s="2">
        <v>101</v>
      </c>
      <c r="BD292" s="2" t="s">
        <v>74</v>
      </c>
      <c r="BE292" s="2" t="s">
        <v>4024</v>
      </c>
      <c r="BF292" s="2" t="str">
        <f>HYPERLINK("http://dx.doi.org/10.2307/1564469","http://dx.doi.org/10.2307/1564469")</f>
        <v>http://dx.doi.org/10.2307/1564469</v>
      </c>
      <c r="BG292" s="2" t="s">
        <v>74</v>
      </c>
      <c r="BH292" s="2" t="s">
        <v>74</v>
      </c>
      <c r="BI292" s="2" t="s">
        <v>74</v>
      </c>
      <c r="BJ292" s="2" t="s">
        <v>74</v>
      </c>
      <c r="BK292" s="2" t="s">
        <v>74</v>
      </c>
      <c r="BL292" s="2" t="s">
        <v>74</v>
      </c>
      <c r="BM292" s="2" t="s">
        <v>74</v>
      </c>
      <c r="BN292" s="2" t="s">
        <v>74</v>
      </c>
      <c r="BO292" s="2" t="s">
        <v>74</v>
      </c>
      <c r="BP292" s="2" t="s">
        <v>74</v>
      </c>
      <c r="BQ292" s="2" t="s">
        <v>74</v>
      </c>
      <c r="BR292" s="2" t="s">
        <v>74</v>
      </c>
      <c r="BS292" s="2" t="s">
        <v>4025</v>
      </c>
      <c r="BT292" s="2" t="str">
        <f>HYPERLINK("https%3A%2F%2Fwww.webofscience.com%2Fwos%2Fwoscc%2Ffull-record%2FWOS:A1987H691700002","View Full Record in Web of Science")</f>
        <v>View Full Record in Web of Science</v>
      </c>
    </row>
    <row r="293" spans="1:72" s="2" customFormat="1" x14ac:dyDescent="0.4">
      <c r="A293" s="2" t="s">
        <v>72</v>
      </c>
      <c r="B293" s="2" t="s">
        <v>4356</v>
      </c>
      <c r="C293" s="2" t="s">
        <v>74</v>
      </c>
      <c r="D293" s="2" t="s">
        <v>74</v>
      </c>
      <c r="E293" s="2" t="s">
        <v>74</v>
      </c>
      <c r="F293" s="2" t="s">
        <v>4356</v>
      </c>
      <c r="G293" s="2" t="s">
        <v>74</v>
      </c>
      <c r="H293" s="2" t="s">
        <v>74</v>
      </c>
      <c r="I293" s="2" t="s">
        <v>4357</v>
      </c>
      <c r="J293" s="2" t="s">
        <v>1126</v>
      </c>
      <c r="K293" s="2" t="s">
        <v>74</v>
      </c>
      <c r="L293" s="2" t="s">
        <v>74</v>
      </c>
      <c r="M293" s="2" t="s">
        <v>74</v>
      </c>
      <c r="N293" s="2" t="s">
        <v>74</v>
      </c>
      <c r="O293" s="2" t="s">
        <v>74</v>
      </c>
      <c r="P293" s="2" t="s">
        <v>74</v>
      </c>
      <c r="Q293" s="2" t="s">
        <v>74</v>
      </c>
      <c r="R293" s="2" t="s">
        <v>74</v>
      </c>
      <c r="S293" s="2" t="s">
        <v>74</v>
      </c>
      <c r="T293" s="2" t="s">
        <v>74</v>
      </c>
      <c r="U293" s="2" t="s">
        <v>74</v>
      </c>
      <c r="V293" s="5" t="s">
        <v>4358</v>
      </c>
      <c r="W293" s="2" t="s">
        <v>74</v>
      </c>
      <c r="X293" s="2" t="s">
        <v>74</v>
      </c>
      <c r="Y293" s="2" t="s">
        <v>74</v>
      </c>
      <c r="Z293" s="2" t="s">
        <v>74</v>
      </c>
      <c r="AA293" s="2" t="s">
        <v>74</v>
      </c>
      <c r="AB293" s="2" t="s">
        <v>74</v>
      </c>
      <c r="AC293" s="2" t="s">
        <v>74</v>
      </c>
      <c r="AD293" s="2" t="s">
        <v>74</v>
      </c>
      <c r="AE293" s="2" t="s">
        <v>74</v>
      </c>
      <c r="AF293" s="2" t="s">
        <v>74</v>
      </c>
      <c r="AG293" s="2" t="s">
        <v>74</v>
      </c>
      <c r="AH293" s="2" t="s">
        <v>74</v>
      </c>
      <c r="AI293" s="2" t="s">
        <v>74</v>
      </c>
      <c r="AJ293" s="2" t="s">
        <v>74</v>
      </c>
      <c r="AK293" s="2" t="s">
        <v>74</v>
      </c>
      <c r="AL293" s="2" t="s">
        <v>74</v>
      </c>
      <c r="AM293" s="2" t="s">
        <v>74</v>
      </c>
      <c r="AN293" s="2" t="s">
        <v>74</v>
      </c>
      <c r="AO293" s="2" t="s">
        <v>1128</v>
      </c>
      <c r="AP293" s="2" t="s">
        <v>1129</v>
      </c>
      <c r="AQ293" s="2" t="s">
        <v>74</v>
      </c>
      <c r="AR293" s="2" t="s">
        <v>74</v>
      </c>
      <c r="AS293" s="2" t="s">
        <v>74</v>
      </c>
      <c r="AT293" s="2" t="s">
        <v>4359</v>
      </c>
      <c r="AU293" s="2">
        <v>1988</v>
      </c>
      <c r="AV293" s="2" t="s">
        <v>74</v>
      </c>
      <c r="AW293" s="2">
        <v>1</v>
      </c>
      <c r="AX293" s="2" t="s">
        <v>74</v>
      </c>
      <c r="AY293" s="2" t="s">
        <v>74</v>
      </c>
      <c r="AZ293" s="2" t="s">
        <v>74</v>
      </c>
      <c r="BA293" s="2" t="s">
        <v>74</v>
      </c>
      <c r="BB293" s="2">
        <v>1</v>
      </c>
      <c r="BC293" s="2">
        <v>6</v>
      </c>
      <c r="BD293" s="2" t="s">
        <v>74</v>
      </c>
      <c r="BE293" s="2" t="s">
        <v>74</v>
      </c>
      <c r="BF293" s="2" t="s">
        <v>74</v>
      </c>
      <c r="BG293" s="2" t="s">
        <v>74</v>
      </c>
      <c r="BH293" s="2" t="s">
        <v>74</v>
      </c>
      <c r="BI293" s="2" t="s">
        <v>74</v>
      </c>
      <c r="BJ293" s="2" t="s">
        <v>74</v>
      </c>
      <c r="BK293" s="2" t="s">
        <v>74</v>
      </c>
      <c r="BL293" s="2" t="s">
        <v>74</v>
      </c>
      <c r="BM293" s="2" t="s">
        <v>74</v>
      </c>
      <c r="BN293" s="2" t="s">
        <v>74</v>
      </c>
      <c r="BO293" s="2" t="s">
        <v>74</v>
      </c>
      <c r="BP293" s="2" t="s">
        <v>74</v>
      </c>
      <c r="BQ293" s="2" t="s">
        <v>74</v>
      </c>
      <c r="BR293" s="2" t="s">
        <v>74</v>
      </c>
      <c r="BS293" s="2" t="s">
        <v>4360</v>
      </c>
      <c r="BT293" s="2" t="str">
        <f>HYPERLINK("https%3A%2F%2Fwww.webofscience.com%2Fwos%2Fwoscc%2Ffull-record%2FWOS:A1988M131600001","View Full Record in Web of Science")</f>
        <v>View Full Record in Web of Science</v>
      </c>
    </row>
    <row r="294" spans="1:72" s="2" customFormat="1" x14ac:dyDescent="0.4">
      <c r="A294" s="2" t="s">
        <v>72</v>
      </c>
      <c r="B294" s="2" t="s">
        <v>8655</v>
      </c>
      <c r="C294" s="2" t="s">
        <v>74</v>
      </c>
      <c r="D294" s="2" t="s">
        <v>74</v>
      </c>
      <c r="E294" s="2" t="s">
        <v>74</v>
      </c>
      <c r="F294" s="2" t="s">
        <v>8656</v>
      </c>
      <c r="G294" s="2" t="s">
        <v>74</v>
      </c>
      <c r="H294" s="2" t="s">
        <v>74</v>
      </c>
      <c r="I294" s="2" t="s">
        <v>8657</v>
      </c>
      <c r="J294" s="2" t="s">
        <v>1044</v>
      </c>
      <c r="K294" s="2" t="s">
        <v>74</v>
      </c>
      <c r="L294" s="2" t="s">
        <v>74</v>
      </c>
      <c r="M294" s="2" t="s">
        <v>74</v>
      </c>
      <c r="N294" s="2" t="s">
        <v>74</v>
      </c>
      <c r="O294" s="2" t="s">
        <v>74</v>
      </c>
      <c r="P294" s="2" t="s">
        <v>74</v>
      </c>
      <c r="Q294" s="2" t="s">
        <v>74</v>
      </c>
      <c r="R294" s="2" t="s">
        <v>74</v>
      </c>
      <c r="S294" s="2" t="s">
        <v>74</v>
      </c>
      <c r="T294" s="2" t="s">
        <v>74</v>
      </c>
      <c r="U294" s="2" t="s">
        <v>74</v>
      </c>
      <c r="V294" s="5" t="s">
        <v>8658</v>
      </c>
      <c r="W294" s="2" t="s">
        <v>74</v>
      </c>
      <c r="X294" s="2" t="s">
        <v>74</v>
      </c>
      <c r="Y294" s="2" t="s">
        <v>74</v>
      </c>
      <c r="Z294" s="2" t="s">
        <v>74</v>
      </c>
      <c r="AA294" s="2" t="s">
        <v>8659</v>
      </c>
      <c r="AB294" s="2" t="s">
        <v>8660</v>
      </c>
      <c r="AC294" s="2" t="s">
        <v>74</v>
      </c>
      <c r="AD294" s="2" t="s">
        <v>74</v>
      </c>
      <c r="AE294" s="2" t="s">
        <v>74</v>
      </c>
      <c r="AF294" s="2" t="s">
        <v>74</v>
      </c>
      <c r="AG294" s="2" t="s">
        <v>74</v>
      </c>
      <c r="AH294" s="2" t="s">
        <v>74</v>
      </c>
      <c r="AI294" s="2" t="s">
        <v>74</v>
      </c>
      <c r="AJ294" s="2" t="s">
        <v>74</v>
      </c>
      <c r="AK294" s="2" t="s">
        <v>74</v>
      </c>
      <c r="AL294" s="2" t="s">
        <v>74</v>
      </c>
      <c r="AM294" s="2" t="s">
        <v>74</v>
      </c>
      <c r="AN294" s="2" t="s">
        <v>74</v>
      </c>
      <c r="AO294" s="2" t="s">
        <v>1048</v>
      </c>
      <c r="AP294" s="2" t="s">
        <v>1049</v>
      </c>
      <c r="AQ294" s="2" t="s">
        <v>74</v>
      </c>
      <c r="AR294" s="2" t="s">
        <v>74</v>
      </c>
      <c r="AS294" s="2" t="s">
        <v>74</v>
      </c>
      <c r="AT294" s="2" t="s">
        <v>633</v>
      </c>
      <c r="AU294" s="2">
        <v>2020</v>
      </c>
      <c r="AV294" s="2">
        <v>29</v>
      </c>
      <c r="AW294" s="2">
        <v>7</v>
      </c>
      <c r="AX294" s="2" t="s">
        <v>74</v>
      </c>
      <c r="AY294" s="2" t="s">
        <v>74</v>
      </c>
      <c r="AZ294" s="2" t="s">
        <v>74</v>
      </c>
      <c r="BA294" s="2" t="s">
        <v>74</v>
      </c>
      <c r="BB294" s="2">
        <v>1358</v>
      </c>
      <c r="BC294" s="2">
        <v>1371</v>
      </c>
      <c r="BD294" s="2" t="s">
        <v>74</v>
      </c>
      <c r="BE294" s="2" t="s">
        <v>8661</v>
      </c>
      <c r="BF294" s="2" t="str">
        <f>HYPERLINK("http://dx.doi.org/10.1111/mec.15398","http://dx.doi.org/10.1111/mec.15398")</f>
        <v>http://dx.doi.org/10.1111/mec.15398</v>
      </c>
      <c r="BG294" s="2" t="s">
        <v>74</v>
      </c>
      <c r="BH294" s="2" t="s">
        <v>3584</v>
      </c>
      <c r="BI294" s="2" t="s">
        <v>74</v>
      </c>
      <c r="BJ294" s="2" t="s">
        <v>74</v>
      </c>
      <c r="BK294" s="2" t="s">
        <v>74</v>
      </c>
      <c r="BL294" s="2" t="s">
        <v>74</v>
      </c>
      <c r="BM294" s="2" t="s">
        <v>74</v>
      </c>
      <c r="BN294" s="2">
        <v>32115796</v>
      </c>
      <c r="BO294" s="2" t="s">
        <v>74</v>
      </c>
      <c r="BP294" s="2" t="s">
        <v>74</v>
      </c>
      <c r="BQ294" s="2" t="s">
        <v>74</v>
      </c>
      <c r="BR294" s="2" t="s">
        <v>74</v>
      </c>
      <c r="BS294" s="2" t="s">
        <v>8662</v>
      </c>
      <c r="BT294" s="2" t="str">
        <f>HYPERLINK("https%3A%2F%2Fwww.webofscience.com%2Fwos%2Fwoscc%2Ffull-record%2FWOS:000524283300001","View Full Record in Web of Science")</f>
        <v>View Full Record in Web of Science</v>
      </c>
    </row>
    <row r="295" spans="1:72" s="2" customFormat="1" x14ac:dyDescent="0.4">
      <c r="A295" s="2" t="s">
        <v>72</v>
      </c>
      <c r="B295" s="2" t="s">
        <v>4243</v>
      </c>
      <c r="C295" s="2" t="s">
        <v>74</v>
      </c>
      <c r="D295" s="2" t="s">
        <v>74</v>
      </c>
      <c r="E295" s="2" t="s">
        <v>74</v>
      </c>
      <c r="F295" s="2" t="s">
        <v>4244</v>
      </c>
      <c r="G295" s="2" t="s">
        <v>74</v>
      </c>
      <c r="H295" s="2" t="s">
        <v>74</v>
      </c>
      <c r="I295" s="2" t="s">
        <v>4245</v>
      </c>
      <c r="J295" s="2" t="s">
        <v>333</v>
      </c>
      <c r="K295" s="2" t="s">
        <v>74</v>
      </c>
      <c r="L295" s="2" t="s">
        <v>74</v>
      </c>
      <c r="M295" s="2" t="s">
        <v>74</v>
      </c>
      <c r="N295" s="2" t="s">
        <v>74</v>
      </c>
      <c r="O295" s="2" t="s">
        <v>74</v>
      </c>
      <c r="P295" s="2" t="s">
        <v>74</v>
      </c>
      <c r="Q295" s="2" t="s">
        <v>74</v>
      </c>
      <c r="R295" s="2" t="s">
        <v>74</v>
      </c>
      <c r="S295" s="2" t="s">
        <v>74</v>
      </c>
      <c r="T295" s="2" t="s">
        <v>74</v>
      </c>
      <c r="U295" s="2" t="s">
        <v>74</v>
      </c>
      <c r="V295" s="5" t="s">
        <v>4246</v>
      </c>
      <c r="W295" s="2" t="s">
        <v>74</v>
      </c>
      <c r="X295" s="2" t="s">
        <v>74</v>
      </c>
      <c r="Y295" s="2" t="s">
        <v>74</v>
      </c>
      <c r="Z295" s="2" t="s">
        <v>74</v>
      </c>
      <c r="AA295" s="2" t="s">
        <v>4247</v>
      </c>
      <c r="AB295" s="2" t="s">
        <v>4248</v>
      </c>
      <c r="AC295" s="2" t="s">
        <v>74</v>
      </c>
      <c r="AD295" s="2" t="s">
        <v>74</v>
      </c>
      <c r="AE295" s="2" t="s">
        <v>74</v>
      </c>
      <c r="AF295" s="2" t="s">
        <v>74</v>
      </c>
      <c r="AG295" s="2" t="s">
        <v>74</v>
      </c>
      <c r="AH295" s="2" t="s">
        <v>74</v>
      </c>
      <c r="AI295" s="2" t="s">
        <v>74</v>
      </c>
      <c r="AJ295" s="2" t="s">
        <v>74</v>
      </c>
      <c r="AK295" s="2" t="s">
        <v>74</v>
      </c>
      <c r="AL295" s="2" t="s">
        <v>74</v>
      </c>
      <c r="AM295" s="2" t="s">
        <v>74</v>
      </c>
      <c r="AN295" s="2" t="s">
        <v>74</v>
      </c>
      <c r="AO295" s="2" t="s">
        <v>337</v>
      </c>
      <c r="AP295" s="2" t="s">
        <v>338</v>
      </c>
      <c r="AQ295" s="2" t="s">
        <v>74</v>
      </c>
      <c r="AR295" s="2" t="s">
        <v>74</v>
      </c>
      <c r="AS295" s="2" t="s">
        <v>74</v>
      </c>
      <c r="AT295" s="2" t="s">
        <v>1075</v>
      </c>
      <c r="AU295" s="2">
        <v>2018</v>
      </c>
      <c r="AV295" s="2">
        <v>29</v>
      </c>
      <c r="AW295" s="2">
        <v>6</v>
      </c>
      <c r="AX295" s="2" t="s">
        <v>74</v>
      </c>
      <c r="AY295" s="2" t="s">
        <v>74</v>
      </c>
      <c r="AZ295" s="2" t="s">
        <v>74</v>
      </c>
      <c r="BA295" s="2" t="s">
        <v>74</v>
      </c>
      <c r="BB295" s="2">
        <v>1472</v>
      </c>
      <c r="BC295" s="2">
        <v>1480</v>
      </c>
      <c r="BD295" s="2" t="s">
        <v>74</v>
      </c>
      <c r="BE295" s="2" t="s">
        <v>4249</v>
      </c>
      <c r="BF295" s="2" t="str">
        <f>HYPERLINK("http://dx.doi.org/10.1093/beheco/ary102","http://dx.doi.org/10.1093/beheco/ary102")</f>
        <v>http://dx.doi.org/10.1093/beheco/ary102</v>
      </c>
      <c r="BG295" s="2" t="s">
        <v>74</v>
      </c>
      <c r="BH295" s="2" t="s">
        <v>74</v>
      </c>
      <c r="BI295" s="2" t="s">
        <v>74</v>
      </c>
      <c r="BJ295" s="2" t="s">
        <v>74</v>
      </c>
      <c r="BK295" s="2" t="s">
        <v>74</v>
      </c>
      <c r="BL295" s="2" t="s">
        <v>74</v>
      </c>
      <c r="BM295" s="2" t="s">
        <v>74</v>
      </c>
      <c r="BN295" s="2" t="s">
        <v>74</v>
      </c>
      <c r="BO295" s="2" t="s">
        <v>74</v>
      </c>
      <c r="BP295" s="2" t="s">
        <v>74</v>
      </c>
      <c r="BQ295" s="2" t="s">
        <v>74</v>
      </c>
      <c r="BR295" s="2" t="s">
        <v>74</v>
      </c>
      <c r="BS295" s="2" t="s">
        <v>4250</v>
      </c>
      <c r="BT295" s="2" t="str">
        <f>HYPERLINK("https%3A%2F%2Fwww.webofscience.com%2Fwos%2Fwoscc%2Ffull-record%2FWOS:000453209600037","View Full Record in Web of Science")</f>
        <v>View Full Record in Web of Science</v>
      </c>
    </row>
    <row r="296" spans="1:72" s="2" customFormat="1" x14ac:dyDescent="0.4">
      <c r="A296" s="2" t="s">
        <v>72</v>
      </c>
      <c r="B296" s="2" t="s">
        <v>5835</v>
      </c>
      <c r="C296" s="2" t="s">
        <v>74</v>
      </c>
      <c r="D296" s="2" t="s">
        <v>74</v>
      </c>
      <c r="E296" s="2" t="s">
        <v>74</v>
      </c>
      <c r="F296" s="2" t="s">
        <v>5836</v>
      </c>
      <c r="G296" s="2" t="s">
        <v>74</v>
      </c>
      <c r="H296" s="2" t="s">
        <v>74</v>
      </c>
      <c r="I296" s="2" t="s">
        <v>5837</v>
      </c>
      <c r="J296" s="2" t="s">
        <v>108</v>
      </c>
      <c r="K296" s="2" t="s">
        <v>74</v>
      </c>
      <c r="L296" s="2" t="s">
        <v>74</v>
      </c>
      <c r="M296" s="2" t="s">
        <v>74</v>
      </c>
      <c r="N296" s="2" t="s">
        <v>74</v>
      </c>
      <c r="O296" s="2" t="s">
        <v>74</v>
      </c>
      <c r="P296" s="2" t="s">
        <v>74</v>
      </c>
      <c r="Q296" s="2" t="s">
        <v>74</v>
      </c>
      <c r="R296" s="2" t="s">
        <v>74</v>
      </c>
      <c r="S296" s="2" t="s">
        <v>74</v>
      </c>
      <c r="T296" s="2" t="s">
        <v>74</v>
      </c>
      <c r="U296" s="2" t="s">
        <v>74</v>
      </c>
      <c r="V296" s="5" t="s">
        <v>5838</v>
      </c>
      <c r="W296" s="2" t="s">
        <v>74</v>
      </c>
      <c r="X296" s="2" t="s">
        <v>74</v>
      </c>
      <c r="Y296" s="2" t="s">
        <v>74</v>
      </c>
      <c r="Z296" s="2" t="s">
        <v>74</v>
      </c>
      <c r="AA296" s="2" t="s">
        <v>5839</v>
      </c>
      <c r="AB296" s="2" t="s">
        <v>5840</v>
      </c>
      <c r="AC296" s="2" t="s">
        <v>74</v>
      </c>
      <c r="AD296" s="2" t="s">
        <v>74</v>
      </c>
      <c r="AE296" s="2" t="s">
        <v>74</v>
      </c>
      <c r="AF296" s="2" t="s">
        <v>74</v>
      </c>
      <c r="AG296" s="2" t="s">
        <v>74</v>
      </c>
      <c r="AH296" s="2" t="s">
        <v>74</v>
      </c>
      <c r="AI296" s="2" t="s">
        <v>74</v>
      </c>
      <c r="AJ296" s="2" t="s">
        <v>74</v>
      </c>
      <c r="AK296" s="2" t="s">
        <v>74</v>
      </c>
      <c r="AL296" s="2" t="s">
        <v>74</v>
      </c>
      <c r="AM296" s="2" t="s">
        <v>74</v>
      </c>
      <c r="AN296" s="2" t="s">
        <v>74</v>
      </c>
      <c r="AO296" s="2" t="s">
        <v>111</v>
      </c>
      <c r="AP296" s="2" t="s">
        <v>112</v>
      </c>
      <c r="AQ296" s="2" t="s">
        <v>74</v>
      </c>
      <c r="AR296" s="2" t="s">
        <v>74</v>
      </c>
      <c r="AS296" s="2" t="s">
        <v>74</v>
      </c>
      <c r="AT296" s="2" t="s">
        <v>3140</v>
      </c>
      <c r="AU296" s="2">
        <v>2007</v>
      </c>
      <c r="AV296" s="2">
        <v>274</v>
      </c>
      <c r="AW296" s="2">
        <v>1624</v>
      </c>
      <c r="AX296" s="2" t="s">
        <v>74</v>
      </c>
      <c r="AY296" s="2" t="s">
        <v>74</v>
      </c>
      <c r="AZ296" s="2" t="s">
        <v>74</v>
      </c>
      <c r="BA296" s="2" t="s">
        <v>74</v>
      </c>
      <c r="BB296" s="2">
        <v>2445</v>
      </c>
      <c r="BC296" s="2">
        <v>2448</v>
      </c>
      <c r="BD296" s="2" t="s">
        <v>74</v>
      </c>
      <c r="BE296" s="2" t="s">
        <v>5841</v>
      </c>
      <c r="BF296" s="2" t="str">
        <f>HYPERLINK("http://dx.doi.org/10.1098/rspb.2007.0797","http://dx.doi.org/10.1098/rspb.2007.0797")</f>
        <v>http://dx.doi.org/10.1098/rspb.2007.0797</v>
      </c>
      <c r="BG296" s="2" t="s">
        <v>74</v>
      </c>
      <c r="BH296" s="2" t="s">
        <v>74</v>
      </c>
      <c r="BI296" s="2" t="s">
        <v>74</v>
      </c>
      <c r="BJ296" s="2" t="s">
        <v>74</v>
      </c>
      <c r="BK296" s="2" t="s">
        <v>74</v>
      </c>
      <c r="BL296" s="2" t="s">
        <v>74</v>
      </c>
      <c r="BM296" s="2" t="s">
        <v>74</v>
      </c>
      <c r="BN296" s="2">
        <v>17652064</v>
      </c>
      <c r="BO296" s="2" t="s">
        <v>74</v>
      </c>
      <c r="BP296" s="2" t="s">
        <v>74</v>
      </c>
      <c r="BQ296" s="2" t="s">
        <v>74</v>
      </c>
      <c r="BR296" s="2" t="s">
        <v>74</v>
      </c>
      <c r="BS296" s="2" t="s">
        <v>5842</v>
      </c>
      <c r="BT296" s="2" t="str">
        <f>HYPERLINK("https%3A%2F%2Fwww.webofscience.com%2Fwos%2Fwoscc%2Ffull-record%2FWOS:000248887800011","View Full Record in Web of Science")</f>
        <v>View Full Record in Web of Science</v>
      </c>
    </row>
    <row r="297" spans="1:72" s="2" customFormat="1" x14ac:dyDescent="0.4">
      <c r="A297" s="2" t="s">
        <v>72</v>
      </c>
      <c r="B297" s="2" t="s">
        <v>5289</v>
      </c>
      <c r="C297" s="2" t="s">
        <v>74</v>
      </c>
      <c r="D297" s="2" t="s">
        <v>74</v>
      </c>
      <c r="E297" s="2" t="s">
        <v>74</v>
      </c>
      <c r="F297" s="2" t="s">
        <v>5290</v>
      </c>
      <c r="G297" s="2" t="s">
        <v>74</v>
      </c>
      <c r="H297" s="2" t="s">
        <v>74</v>
      </c>
      <c r="I297" s="2" t="s">
        <v>5291</v>
      </c>
      <c r="J297" s="2" t="s">
        <v>129</v>
      </c>
      <c r="K297" s="2" t="s">
        <v>74</v>
      </c>
      <c r="L297" s="2" t="s">
        <v>74</v>
      </c>
      <c r="M297" s="2" t="s">
        <v>74</v>
      </c>
      <c r="N297" s="2" t="s">
        <v>74</v>
      </c>
      <c r="O297" s="2" t="s">
        <v>74</v>
      </c>
      <c r="P297" s="2" t="s">
        <v>74</v>
      </c>
      <c r="Q297" s="2" t="s">
        <v>74</v>
      </c>
      <c r="R297" s="2" t="s">
        <v>74</v>
      </c>
      <c r="S297" s="2" t="s">
        <v>74</v>
      </c>
      <c r="T297" s="2" t="s">
        <v>74</v>
      </c>
      <c r="U297" s="2" t="s">
        <v>74</v>
      </c>
      <c r="V297" s="5" t="s">
        <v>5292</v>
      </c>
      <c r="W297" s="2" t="s">
        <v>74</v>
      </c>
      <c r="X297" s="2" t="s">
        <v>74</v>
      </c>
      <c r="Y297" s="2" t="s">
        <v>74</v>
      </c>
      <c r="Z297" s="2" t="s">
        <v>74</v>
      </c>
      <c r="AA297" s="2" t="s">
        <v>74</v>
      </c>
      <c r="AB297" s="2" t="s">
        <v>74</v>
      </c>
      <c r="AC297" s="2" t="s">
        <v>74</v>
      </c>
      <c r="AD297" s="2" t="s">
        <v>74</v>
      </c>
      <c r="AE297" s="2" t="s">
        <v>74</v>
      </c>
      <c r="AF297" s="2" t="s">
        <v>74</v>
      </c>
      <c r="AG297" s="2" t="s">
        <v>74</v>
      </c>
      <c r="AH297" s="2" t="s">
        <v>74</v>
      </c>
      <c r="AI297" s="2" t="s">
        <v>74</v>
      </c>
      <c r="AJ297" s="2" t="s">
        <v>74</v>
      </c>
      <c r="AK297" s="2" t="s">
        <v>74</v>
      </c>
      <c r="AL297" s="2" t="s">
        <v>74</v>
      </c>
      <c r="AM297" s="2" t="s">
        <v>74</v>
      </c>
      <c r="AN297" s="2" t="s">
        <v>74</v>
      </c>
      <c r="AO297" s="2" t="s">
        <v>132</v>
      </c>
      <c r="AP297" s="2" t="s">
        <v>133</v>
      </c>
      <c r="AQ297" s="2" t="s">
        <v>74</v>
      </c>
      <c r="AR297" s="2" t="s">
        <v>74</v>
      </c>
      <c r="AS297" s="2" t="s">
        <v>74</v>
      </c>
      <c r="AT297" s="2" t="s">
        <v>145</v>
      </c>
      <c r="AU297" s="2">
        <v>2013</v>
      </c>
      <c r="AV297" s="2">
        <v>67</v>
      </c>
      <c r="AW297" s="2">
        <v>8</v>
      </c>
      <c r="AX297" s="2" t="s">
        <v>74</v>
      </c>
      <c r="AY297" s="2" t="s">
        <v>74</v>
      </c>
      <c r="AZ297" s="2" t="s">
        <v>74</v>
      </c>
      <c r="BA297" s="2" t="s">
        <v>74</v>
      </c>
      <c r="BB297" s="2">
        <v>1357</v>
      </c>
      <c r="BC297" s="2">
        <v>1367</v>
      </c>
      <c r="BD297" s="2" t="s">
        <v>74</v>
      </c>
      <c r="BE297" s="2" t="s">
        <v>5293</v>
      </c>
      <c r="BF297" s="2" t="str">
        <f>HYPERLINK("http://dx.doi.org/10.1007/s00265-013-1564-z","http://dx.doi.org/10.1007/s00265-013-1564-z")</f>
        <v>http://dx.doi.org/10.1007/s00265-013-1564-z</v>
      </c>
      <c r="BG297" s="2" t="s">
        <v>74</v>
      </c>
      <c r="BH297" s="2" t="s">
        <v>74</v>
      </c>
      <c r="BI297" s="2" t="s">
        <v>74</v>
      </c>
      <c r="BJ297" s="2" t="s">
        <v>74</v>
      </c>
      <c r="BK297" s="2" t="s">
        <v>74</v>
      </c>
      <c r="BL297" s="2" t="s">
        <v>74</v>
      </c>
      <c r="BM297" s="2" t="s">
        <v>74</v>
      </c>
      <c r="BN297" s="2" t="s">
        <v>74</v>
      </c>
      <c r="BO297" s="2" t="s">
        <v>74</v>
      </c>
      <c r="BP297" s="2" t="s">
        <v>74</v>
      </c>
      <c r="BQ297" s="2" t="s">
        <v>74</v>
      </c>
      <c r="BR297" s="2" t="s">
        <v>74</v>
      </c>
      <c r="BS297" s="2" t="s">
        <v>5294</v>
      </c>
      <c r="BT297" s="2" t="str">
        <f>HYPERLINK("https%3A%2F%2Fwww.webofscience.com%2Fwos%2Fwoscc%2Ffull-record%2FWOS:000321964800016","View Full Record in Web of Science")</f>
        <v>View Full Record in Web of Science</v>
      </c>
    </row>
    <row r="298" spans="1:72" s="2" customFormat="1" x14ac:dyDescent="0.4">
      <c r="A298" s="2" t="s">
        <v>72</v>
      </c>
      <c r="B298" s="2" t="s">
        <v>2008</v>
      </c>
      <c r="C298" s="2" t="s">
        <v>74</v>
      </c>
      <c r="D298" s="2" t="s">
        <v>74</v>
      </c>
      <c r="E298" s="2" t="s">
        <v>74</v>
      </c>
      <c r="F298" s="2" t="s">
        <v>2008</v>
      </c>
      <c r="G298" s="2" t="s">
        <v>74</v>
      </c>
      <c r="H298" s="2" t="s">
        <v>74</v>
      </c>
      <c r="I298" s="2" t="s">
        <v>2009</v>
      </c>
      <c r="J298" s="2" t="s">
        <v>333</v>
      </c>
      <c r="K298" s="2" t="s">
        <v>74</v>
      </c>
      <c r="L298" s="2" t="s">
        <v>74</v>
      </c>
      <c r="M298" s="2" t="s">
        <v>74</v>
      </c>
      <c r="N298" s="2" t="s">
        <v>74</v>
      </c>
      <c r="O298" s="2" t="s">
        <v>74</v>
      </c>
      <c r="P298" s="2" t="s">
        <v>74</v>
      </c>
      <c r="Q298" s="2" t="s">
        <v>74</v>
      </c>
      <c r="R298" s="2" t="s">
        <v>74</v>
      </c>
      <c r="S298" s="2" t="s">
        <v>74</v>
      </c>
      <c r="T298" s="2" t="s">
        <v>74</v>
      </c>
      <c r="U298" s="2" t="s">
        <v>74</v>
      </c>
      <c r="V298" s="5" t="s">
        <v>2010</v>
      </c>
      <c r="W298" s="2" t="s">
        <v>74</v>
      </c>
      <c r="X298" s="2" t="s">
        <v>74</v>
      </c>
      <c r="Y298" s="2" t="s">
        <v>74</v>
      </c>
      <c r="Z298" s="2" t="s">
        <v>74</v>
      </c>
      <c r="AA298" s="2" t="s">
        <v>74</v>
      </c>
      <c r="AB298" s="2" t="s">
        <v>2011</v>
      </c>
      <c r="AC298" s="2" t="s">
        <v>74</v>
      </c>
      <c r="AD298" s="2" t="s">
        <v>74</v>
      </c>
      <c r="AE298" s="2" t="s">
        <v>74</v>
      </c>
      <c r="AF298" s="2" t="s">
        <v>74</v>
      </c>
      <c r="AG298" s="2" t="s">
        <v>74</v>
      </c>
      <c r="AH298" s="2" t="s">
        <v>74</v>
      </c>
      <c r="AI298" s="2" t="s">
        <v>74</v>
      </c>
      <c r="AJ298" s="2" t="s">
        <v>74</v>
      </c>
      <c r="AK298" s="2" t="s">
        <v>74</v>
      </c>
      <c r="AL298" s="2" t="s">
        <v>74</v>
      </c>
      <c r="AM298" s="2" t="s">
        <v>74</v>
      </c>
      <c r="AN298" s="2" t="s">
        <v>74</v>
      </c>
      <c r="AO298" s="2" t="s">
        <v>337</v>
      </c>
      <c r="AP298" s="2" t="s">
        <v>74</v>
      </c>
      <c r="AQ298" s="2" t="s">
        <v>74</v>
      </c>
      <c r="AR298" s="2" t="s">
        <v>74</v>
      </c>
      <c r="AS298" s="2" t="s">
        <v>74</v>
      </c>
      <c r="AT298" s="2" t="s">
        <v>255</v>
      </c>
      <c r="AU298" s="2">
        <v>2002</v>
      </c>
      <c r="AV298" s="2">
        <v>13</v>
      </c>
      <c r="AW298" s="2">
        <v>1</v>
      </c>
      <c r="AX298" s="2" t="s">
        <v>74</v>
      </c>
      <c r="AY298" s="2" t="s">
        <v>74</v>
      </c>
      <c r="AZ298" s="2" t="s">
        <v>74</v>
      </c>
      <c r="BA298" s="2" t="s">
        <v>74</v>
      </c>
      <c r="BB298" s="2">
        <v>59</v>
      </c>
      <c r="BC298" s="2">
        <v>64</v>
      </c>
      <c r="BD298" s="2" t="s">
        <v>74</v>
      </c>
      <c r="BE298" s="2" t="s">
        <v>2012</v>
      </c>
      <c r="BF298" s="2" t="str">
        <f>HYPERLINK("http://dx.doi.org/10.1093/beheco/13.1.59","http://dx.doi.org/10.1093/beheco/13.1.59")</f>
        <v>http://dx.doi.org/10.1093/beheco/13.1.59</v>
      </c>
      <c r="BG298" s="2" t="s">
        <v>74</v>
      </c>
      <c r="BH298" s="2" t="s">
        <v>74</v>
      </c>
      <c r="BI298" s="2" t="s">
        <v>74</v>
      </c>
      <c r="BJ298" s="2" t="s">
        <v>74</v>
      </c>
      <c r="BK298" s="2" t="s">
        <v>74</v>
      </c>
      <c r="BL298" s="2" t="s">
        <v>74</v>
      </c>
      <c r="BM298" s="2" t="s">
        <v>74</v>
      </c>
      <c r="BN298" s="2" t="s">
        <v>74</v>
      </c>
      <c r="BO298" s="2" t="s">
        <v>74</v>
      </c>
      <c r="BP298" s="2" t="s">
        <v>74</v>
      </c>
      <c r="BQ298" s="2" t="s">
        <v>74</v>
      </c>
      <c r="BR298" s="2" t="s">
        <v>74</v>
      </c>
      <c r="BS298" s="2" t="s">
        <v>2013</v>
      </c>
      <c r="BT298" s="2" t="str">
        <f>HYPERLINK("https%3A%2F%2Fwww.webofscience.com%2Fwos%2Fwoscc%2Ffull-record%2FWOS:000173390700008","View Full Record in Web of Science")</f>
        <v>View Full Record in Web of Science</v>
      </c>
    </row>
    <row r="299" spans="1:72" s="2" customFormat="1" x14ac:dyDescent="0.4">
      <c r="A299" s="2" t="s">
        <v>72</v>
      </c>
      <c r="B299" s="2" t="s">
        <v>6996</v>
      </c>
      <c r="C299" s="2" t="s">
        <v>74</v>
      </c>
      <c r="D299" s="2" t="s">
        <v>74</v>
      </c>
      <c r="E299" s="2" t="s">
        <v>74</v>
      </c>
      <c r="F299" s="2" t="s">
        <v>6997</v>
      </c>
      <c r="G299" s="2" t="s">
        <v>74</v>
      </c>
      <c r="H299" s="2" t="s">
        <v>74</v>
      </c>
      <c r="I299" s="2" t="s">
        <v>6998</v>
      </c>
      <c r="J299" s="2" t="s">
        <v>99</v>
      </c>
      <c r="K299" s="2" t="s">
        <v>74</v>
      </c>
      <c r="L299" s="2" t="s">
        <v>74</v>
      </c>
      <c r="M299" s="2" t="s">
        <v>74</v>
      </c>
      <c r="N299" s="2" t="s">
        <v>74</v>
      </c>
      <c r="O299" s="2" t="s">
        <v>74</v>
      </c>
      <c r="P299" s="2" t="s">
        <v>74</v>
      </c>
      <c r="Q299" s="2" t="s">
        <v>74</v>
      </c>
      <c r="R299" s="2" t="s">
        <v>74</v>
      </c>
      <c r="S299" s="2" t="s">
        <v>74</v>
      </c>
      <c r="T299" s="2" t="s">
        <v>74</v>
      </c>
      <c r="U299" s="2" t="s">
        <v>74</v>
      </c>
      <c r="V299" s="5" t="s">
        <v>6999</v>
      </c>
      <c r="W299" s="2" t="s">
        <v>74</v>
      </c>
      <c r="X299" s="2" t="s">
        <v>74</v>
      </c>
      <c r="Y299" s="2" t="s">
        <v>74</v>
      </c>
      <c r="Z299" s="2" t="s">
        <v>74</v>
      </c>
      <c r="AA299" s="2" t="s">
        <v>74</v>
      </c>
      <c r="AB299" s="2" t="s">
        <v>74</v>
      </c>
      <c r="AC299" s="2" t="s">
        <v>74</v>
      </c>
      <c r="AD299" s="2" t="s">
        <v>74</v>
      </c>
      <c r="AE299" s="2" t="s">
        <v>74</v>
      </c>
      <c r="AF299" s="2" t="s">
        <v>74</v>
      </c>
      <c r="AG299" s="2" t="s">
        <v>74</v>
      </c>
      <c r="AH299" s="2" t="s">
        <v>74</v>
      </c>
      <c r="AI299" s="2" t="s">
        <v>74</v>
      </c>
      <c r="AJ299" s="2" t="s">
        <v>74</v>
      </c>
      <c r="AK299" s="2" t="s">
        <v>74</v>
      </c>
      <c r="AL299" s="2" t="s">
        <v>74</v>
      </c>
      <c r="AM299" s="2" t="s">
        <v>74</v>
      </c>
      <c r="AN299" s="2" t="s">
        <v>74</v>
      </c>
      <c r="AO299" s="2" t="s">
        <v>101</v>
      </c>
      <c r="AP299" s="2" t="s">
        <v>1218</v>
      </c>
      <c r="AQ299" s="2" t="s">
        <v>74</v>
      </c>
      <c r="AR299" s="2" t="s">
        <v>74</v>
      </c>
      <c r="AS299" s="2" t="s">
        <v>74</v>
      </c>
      <c r="AT299" s="2" t="s">
        <v>102</v>
      </c>
      <c r="AU299" s="2">
        <v>2009</v>
      </c>
      <c r="AV299" s="2">
        <v>121</v>
      </c>
      <c r="AW299" s="2">
        <v>2</v>
      </c>
      <c r="AX299" s="2" t="s">
        <v>74</v>
      </c>
      <c r="AY299" s="2" t="s">
        <v>74</v>
      </c>
      <c r="AZ299" s="2" t="s">
        <v>74</v>
      </c>
      <c r="BA299" s="2" t="s">
        <v>74</v>
      </c>
      <c r="BB299" s="2">
        <v>359</v>
      </c>
      <c r="BC299" s="2">
        <v>365</v>
      </c>
      <c r="BD299" s="2" t="s">
        <v>74</v>
      </c>
      <c r="BE299" s="2" t="s">
        <v>7000</v>
      </c>
      <c r="BF299" s="2" t="str">
        <f>HYPERLINK("http://dx.doi.org/10.1676/07-138.1","http://dx.doi.org/10.1676/07-138.1")</f>
        <v>http://dx.doi.org/10.1676/07-138.1</v>
      </c>
      <c r="BG299" s="2" t="s">
        <v>74</v>
      </c>
      <c r="BH299" s="2" t="s">
        <v>74</v>
      </c>
      <c r="BI299" s="2" t="s">
        <v>74</v>
      </c>
      <c r="BJ299" s="2" t="s">
        <v>74</v>
      </c>
      <c r="BK299" s="2" t="s">
        <v>74</v>
      </c>
      <c r="BL299" s="2" t="s">
        <v>74</v>
      </c>
      <c r="BM299" s="2" t="s">
        <v>74</v>
      </c>
      <c r="BN299" s="2" t="s">
        <v>74</v>
      </c>
      <c r="BO299" s="2" t="s">
        <v>74</v>
      </c>
      <c r="BP299" s="2" t="s">
        <v>74</v>
      </c>
      <c r="BQ299" s="2" t="s">
        <v>74</v>
      </c>
      <c r="BR299" s="2" t="s">
        <v>74</v>
      </c>
      <c r="BS299" s="2" t="s">
        <v>7001</v>
      </c>
      <c r="BT299" s="2" t="str">
        <f>HYPERLINK("https%3A%2F%2Fwww.webofscience.com%2Fwos%2Fwoscc%2Ffull-record%2FWOS:000276803600015","View Full Record in Web of Science")</f>
        <v>View Full Record in Web of Science</v>
      </c>
    </row>
    <row r="300" spans="1:72" s="2" customFormat="1" x14ac:dyDescent="0.4">
      <c r="A300" s="2" t="s">
        <v>72</v>
      </c>
      <c r="B300" s="2" t="s">
        <v>8545</v>
      </c>
      <c r="C300" s="2" t="s">
        <v>74</v>
      </c>
      <c r="D300" s="2" t="s">
        <v>74</v>
      </c>
      <c r="E300" s="2" t="s">
        <v>74</v>
      </c>
      <c r="F300" s="2" t="s">
        <v>8545</v>
      </c>
      <c r="G300" s="2" t="s">
        <v>74</v>
      </c>
      <c r="H300" s="2" t="s">
        <v>74</v>
      </c>
      <c r="I300" s="2" t="s">
        <v>8546</v>
      </c>
      <c r="J300" s="2" t="s">
        <v>1126</v>
      </c>
      <c r="K300" s="2" t="s">
        <v>74</v>
      </c>
      <c r="L300" s="2" t="s">
        <v>74</v>
      </c>
      <c r="M300" s="2" t="s">
        <v>74</v>
      </c>
      <c r="N300" s="2" t="s">
        <v>74</v>
      </c>
      <c r="O300" s="2" t="s">
        <v>74</v>
      </c>
      <c r="P300" s="2" t="s">
        <v>74</v>
      </c>
      <c r="Q300" s="2" t="s">
        <v>74</v>
      </c>
      <c r="R300" s="2" t="s">
        <v>74</v>
      </c>
      <c r="S300" s="2" t="s">
        <v>74</v>
      </c>
      <c r="T300" s="2" t="s">
        <v>74</v>
      </c>
      <c r="U300" s="2" t="s">
        <v>74</v>
      </c>
      <c r="V300" s="5" t="s">
        <v>8547</v>
      </c>
      <c r="W300" s="2" t="s">
        <v>74</v>
      </c>
      <c r="X300" s="2" t="s">
        <v>74</v>
      </c>
      <c r="Y300" s="2" t="s">
        <v>74</v>
      </c>
      <c r="Z300" s="2" t="s">
        <v>74</v>
      </c>
      <c r="AA300" s="2" t="s">
        <v>74</v>
      </c>
      <c r="AB300" s="2" t="s">
        <v>74</v>
      </c>
      <c r="AC300" s="2" t="s">
        <v>74</v>
      </c>
      <c r="AD300" s="2" t="s">
        <v>74</v>
      </c>
      <c r="AE300" s="2" t="s">
        <v>74</v>
      </c>
      <c r="AF300" s="2" t="s">
        <v>74</v>
      </c>
      <c r="AG300" s="2" t="s">
        <v>74</v>
      </c>
      <c r="AH300" s="2" t="s">
        <v>74</v>
      </c>
      <c r="AI300" s="2" t="s">
        <v>74</v>
      </c>
      <c r="AJ300" s="2" t="s">
        <v>74</v>
      </c>
      <c r="AK300" s="2" t="s">
        <v>74</v>
      </c>
      <c r="AL300" s="2" t="s">
        <v>74</v>
      </c>
      <c r="AM300" s="2" t="s">
        <v>74</v>
      </c>
      <c r="AN300" s="2" t="s">
        <v>74</v>
      </c>
      <c r="AO300" s="2" t="s">
        <v>1128</v>
      </c>
      <c r="AP300" s="2" t="s">
        <v>1129</v>
      </c>
      <c r="AQ300" s="2" t="s">
        <v>74</v>
      </c>
      <c r="AR300" s="2" t="s">
        <v>74</v>
      </c>
      <c r="AS300" s="2" t="s">
        <v>74</v>
      </c>
      <c r="AT300" s="2" t="s">
        <v>8548</v>
      </c>
      <c r="AU300" s="2">
        <v>2005</v>
      </c>
      <c r="AV300" s="2" t="s">
        <v>74</v>
      </c>
      <c r="AW300" s="2">
        <v>3</v>
      </c>
      <c r="AX300" s="2" t="s">
        <v>74</v>
      </c>
      <c r="AY300" s="2" t="s">
        <v>74</v>
      </c>
      <c r="AZ300" s="2" t="s">
        <v>74</v>
      </c>
      <c r="BA300" s="2" t="s">
        <v>74</v>
      </c>
      <c r="BB300" s="2">
        <v>597</v>
      </c>
      <c r="BC300" s="2">
        <v>608</v>
      </c>
      <c r="BD300" s="2" t="s">
        <v>74</v>
      </c>
      <c r="BE300" s="2" t="s">
        <v>74</v>
      </c>
      <c r="BF300" s="2" t="s">
        <v>74</v>
      </c>
      <c r="BG300" s="2" t="s">
        <v>74</v>
      </c>
      <c r="BH300" s="2" t="s">
        <v>74</v>
      </c>
      <c r="BI300" s="2" t="s">
        <v>74</v>
      </c>
      <c r="BJ300" s="2" t="s">
        <v>74</v>
      </c>
      <c r="BK300" s="2" t="s">
        <v>74</v>
      </c>
      <c r="BL300" s="2" t="s">
        <v>74</v>
      </c>
      <c r="BM300" s="2" t="s">
        <v>74</v>
      </c>
      <c r="BN300" s="2" t="s">
        <v>74</v>
      </c>
      <c r="BO300" s="2" t="s">
        <v>74</v>
      </c>
      <c r="BP300" s="2" t="s">
        <v>74</v>
      </c>
      <c r="BQ300" s="2" t="s">
        <v>74</v>
      </c>
      <c r="BR300" s="2" t="s">
        <v>74</v>
      </c>
      <c r="BS300" s="2" t="s">
        <v>8549</v>
      </c>
      <c r="BT300" s="2" t="str">
        <f>HYPERLINK("https%3A%2F%2Fwww.webofscience.com%2Fwos%2Fwoscc%2Ffull-record%2FWOS:000231035500014","View Full Record in Web of Science")</f>
        <v>View Full Record in Web of Science</v>
      </c>
    </row>
    <row r="301" spans="1:72" s="2" customFormat="1" x14ac:dyDescent="0.4">
      <c r="A301" s="2" t="s">
        <v>72</v>
      </c>
      <c r="B301" s="2" t="s">
        <v>6039</v>
      </c>
      <c r="C301" s="2" t="s">
        <v>74</v>
      </c>
      <c r="D301" s="2" t="s">
        <v>74</v>
      </c>
      <c r="E301" s="2" t="s">
        <v>74</v>
      </c>
      <c r="F301" s="2" t="s">
        <v>6040</v>
      </c>
      <c r="G301" s="2" t="s">
        <v>74</v>
      </c>
      <c r="H301" s="2" t="s">
        <v>74</v>
      </c>
      <c r="I301" s="2" t="s">
        <v>6041</v>
      </c>
      <c r="J301" s="2" t="s">
        <v>6042</v>
      </c>
      <c r="K301" s="2" t="s">
        <v>74</v>
      </c>
      <c r="L301" s="2" t="s">
        <v>74</v>
      </c>
      <c r="M301" s="2" t="s">
        <v>74</v>
      </c>
      <c r="N301" s="2" t="s">
        <v>74</v>
      </c>
      <c r="O301" s="2" t="s">
        <v>74</v>
      </c>
      <c r="P301" s="2" t="s">
        <v>74</v>
      </c>
      <c r="Q301" s="2" t="s">
        <v>74</v>
      </c>
      <c r="R301" s="2" t="s">
        <v>74</v>
      </c>
      <c r="S301" s="2" t="s">
        <v>74</v>
      </c>
      <c r="T301" s="2" t="s">
        <v>74</v>
      </c>
      <c r="U301" s="2" t="s">
        <v>74</v>
      </c>
      <c r="V301" s="5" t="s">
        <v>6043</v>
      </c>
      <c r="W301" s="2" t="s">
        <v>74</v>
      </c>
      <c r="X301" s="2" t="s">
        <v>74</v>
      </c>
      <c r="Y301" s="2" t="s">
        <v>74</v>
      </c>
      <c r="Z301" s="2" t="s">
        <v>74</v>
      </c>
      <c r="AA301" s="2" t="s">
        <v>74</v>
      </c>
      <c r="AB301" s="2" t="s">
        <v>74</v>
      </c>
      <c r="AC301" s="2" t="s">
        <v>74</v>
      </c>
      <c r="AD301" s="2" t="s">
        <v>74</v>
      </c>
      <c r="AE301" s="2" t="s">
        <v>74</v>
      </c>
      <c r="AF301" s="2" t="s">
        <v>74</v>
      </c>
      <c r="AG301" s="2" t="s">
        <v>74</v>
      </c>
      <c r="AH301" s="2" t="s">
        <v>74</v>
      </c>
      <c r="AI301" s="2" t="s">
        <v>74</v>
      </c>
      <c r="AJ301" s="2" t="s">
        <v>74</v>
      </c>
      <c r="AK301" s="2" t="s">
        <v>74</v>
      </c>
      <c r="AL301" s="2" t="s">
        <v>74</v>
      </c>
      <c r="AM301" s="2" t="s">
        <v>74</v>
      </c>
      <c r="AN301" s="2" t="s">
        <v>74</v>
      </c>
      <c r="AO301" s="2" t="s">
        <v>6044</v>
      </c>
      <c r="AP301" s="2" t="s">
        <v>6045</v>
      </c>
      <c r="AQ301" s="2" t="s">
        <v>74</v>
      </c>
      <c r="AR301" s="2" t="s">
        <v>74</v>
      </c>
      <c r="AS301" s="2" t="s">
        <v>74</v>
      </c>
      <c r="AT301" s="2" t="s">
        <v>1349</v>
      </c>
      <c r="AU301" s="2">
        <v>2008</v>
      </c>
      <c r="AV301" s="2" t="s">
        <v>6046</v>
      </c>
      <c r="AW301" s="2">
        <v>9</v>
      </c>
      <c r="AX301" s="2" t="s">
        <v>74</v>
      </c>
      <c r="AY301" s="2" t="s">
        <v>74</v>
      </c>
      <c r="AZ301" s="2" t="s">
        <v>74</v>
      </c>
      <c r="BA301" s="2" t="s">
        <v>74</v>
      </c>
      <c r="BB301" s="2">
        <v>505</v>
      </c>
      <c r="BC301" s="2">
        <v>514</v>
      </c>
      <c r="BD301" s="2" t="s">
        <v>74</v>
      </c>
      <c r="BE301" s="2" t="s">
        <v>6047</v>
      </c>
      <c r="BF301" s="2" t="str">
        <f>HYPERLINK("http://dx.doi.org/10.1002/jez.481","http://dx.doi.org/10.1002/jez.481")</f>
        <v>http://dx.doi.org/10.1002/jez.481</v>
      </c>
      <c r="BG301" s="2" t="s">
        <v>74</v>
      </c>
      <c r="BH301" s="2" t="s">
        <v>74</v>
      </c>
      <c r="BI301" s="2" t="s">
        <v>74</v>
      </c>
      <c r="BJ301" s="2" t="s">
        <v>74</v>
      </c>
      <c r="BK301" s="2" t="s">
        <v>74</v>
      </c>
      <c r="BL301" s="2" t="s">
        <v>74</v>
      </c>
      <c r="BM301" s="2" t="s">
        <v>74</v>
      </c>
      <c r="BN301" s="2">
        <v>18661470</v>
      </c>
      <c r="BO301" s="2" t="s">
        <v>74</v>
      </c>
      <c r="BP301" s="2" t="s">
        <v>74</v>
      </c>
      <c r="BQ301" s="2" t="s">
        <v>74</v>
      </c>
      <c r="BR301" s="2" t="s">
        <v>74</v>
      </c>
      <c r="BS301" s="2" t="s">
        <v>6048</v>
      </c>
      <c r="BT301" s="2" t="str">
        <f>HYPERLINK("https%3A%2F%2Fwww.webofscience.com%2Fwos%2Fwoscc%2Ffull-record%2FWOS:000260626200001","View Full Record in Web of Science")</f>
        <v>View Full Record in Web of Science</v>
      </c>
    </row>
    <row r="302" spans="1:72" s="2" customFormat="1" x14ac:dyDescent="0.4">
      <c r="A302" s="2" t="s">
        <v>72</v>
      </c>
      <c r="B302" s="2" t="s">
        <v>7252</v>
      </c>
      <c r="C302" s="2" t="s">
        <v>74</v>
      </c>
      <c r="D302" s="2" t="s">
        <v>74</v>
      </c>
      <c r="E302" s="2" t="s">
        <v>74</v>
      </c>
      <c r="F302" s="2" t="s">
        <v>7252</v>
      </c>
      <c r="G302" s="2" t="s">
        <v>74</v>
      </c>
      <c r="H302" s="2" t="s">
        <v>74</v>
      </c>
      <c r="I302" s="2" t="s">
        <v>7253</v>
      </c>
      <c r="J302" s="2" t="s">
        <v>2144</v>
      </c>
      <c r="K302" s="2" t="s">
        <v>74</v>
      </c>
      <c r="L302" s="2" t="s">
        <v>74</v>
      </c>
      <c r="M302" s="2" t="s">
        <v>74</v>
      </c>
      <c r="N302" s="2" t="s">
        <v>74</v>
      </c>
      <c r="O302" s="2" t="s">
        <v>74</v>
      </c>
      <c r="P302" s="2" t="s">
        <v>74</v>
      </c>
      <c r="Q302" s="2" t="s">
        <v>74</v>
      </c>
      <c r="R302" s="2" t="s">
        <v>74</v>
      </c>
      <c r="S302" s="2" t="s">
        <v>74</v>
      </c>
      <c r="T302" s="2" t="s">
        <v>74</v>
      </c>
      <c r="U302" s="2" t="s">
        <v>74</v>
      </c>
      <c r="V302" s="5" t="s">
        <v>7254</v>
      </c>
      <c r="W302" s="2" t="s">
        <v>74</v>
      </c>
      <c r="X302" s="2" t="s">
        <v>74</v>
      </c>
      <c r="Y302" s="2" t="s">
        <v>74</v>
      </c>
      <c r="Z302" s="2" t="s">
        <v>74</v>
      </c>
      <c r="AA302" s="2" t="s">
        <v>74</v>
      </c>
      <c r="AB302" s="2" t="s">
        <v>74</v>
      </c>
      <c r="AC302" s="2" t="s">
        <v>74</v>
      </c>
      <c r="AD302" s="2" t="s">
        <v>74</v>
      </c>
      <c r="AE302" s="2" t="s">
        <v>74</v>
      </c>
      <c r="AF302" s="2" t="s">
        <v>74</v>
      </c>
      <c r="AG302" s="2" t="s">
        <v>74</v>
      </c>
      <c r="AH302" s="2" t="s">
        <v>74</v>
      </c>
      <c r="AI302" s="2" t="s">
        <v>74</v>
      </c>
      <c r="AJ302" s="2" t="s">
        <v>74</v>
      </c>
      <c r="AK302" s="2" t="s">
        <v>74</v>
      </c>
      <c r="AL302" s="2" t="s">
        <v>74</v>
      </c>
      <c r="AM302" s="2" t="s">
        <v>74</v>
      </c>
      <c r="AN302" s="2" t="s">
        <v>74</v>
      </c>
      <c r="AO302" s="2" t="s">
        <v>2146</v>
      </c>
      <c r="AP302" s="2" t="s">
        <v>2147</v>
      </c>
      <c r="AQ302" s="2" t="s">
        <v>74</v>
      </c>
      <c r="AR302" s="2" t="s">
        <v>74</v>
      </c>
      <c r="AS302" s="2" t="s">
        <v>74</v>
      </c>
      <c r="AT302" s="2" t="s">
        <v>74</v>
      </c>
      <c r="AU302" s="2">
        <v>1977</v>
      </c>
      <c r="AV302" s="2">
        <v>4</v>
      </c>
      <c r="AW302" s="2">
        <v>4</v>
      </c>
      <c r="AX302" s="2" t="s">
        <v>74</v>
      </c>
      <c r="AY302" s="2" t="s">
        <v>74</v>
      </c>
      <c r="AZ302" s="2" t="s">
        <v>74</v>
      </c>
      <c r="BA302" s="2" t="s">
        <v>74</v>
      </c>
      <c r="BB302" s="2">
        <v>413</v>
      </c>
      <c r="BC302" s="2">
        <v>433</v>
      </c>
      <c r="BD302" s="2" t="s">
        <v>74</v>
      </c>
      <c r="BE302" s="2" t="s">
        <v>7255</v>
      </c>
      <c r="BF302" s="2" t="str">
        <f>HYPERLINK("http://dx.doi.org/10.1080/03014223.1977.9517966","http://dx.doi.org/10.1080/03014223.1977.9517966")</f>
        <v>http://dx.doi.org/10.1080/03014223.1977.9517966</v>
      </c>
      <c r="BG302" s="2" t="s">
        <v>74</v>
      </c>
      <c r="BH302" s="2" t="s">
        <v>74</v>
      </c>
      <c r="BI302" s="2" t="s">
        <v>74</v>
      </c>
      <c r="BJ302" s="2" t="s">
        <v>74</v>
      </c>
      <c r="BK302" s="2" t="s">
        <v>74</v>
      </c>
      <c r="BL302" s="2" t="s">
        <v>74</v>
      </c>
      <c r="BM302" s="2" t="s">
        <v>74</v>
      </c>
      <c r="BN302" s="2" t="s">
        <v>74</v>
      </c>
      <c r="BO302" s="2" t="s">
        <v>74</v>
      </c>
      <c r="BP302" s="2" t="s">
        <v>74</v>
      </c>
      <c r="BQ302" s="2" t="s">
        <v>74</v>
      </c>
      <c r="BR302" s="2" t="s">
        <v>74</v>
      </c>
      <c r="BS302" s="2" t="s">
        <v>7256</v>
      </c>
      <c r="BT302" s="2" t="str">
        <f>HYPERLINK("https%3A%2F%2Fwww.webofscience.com%2Fwos%2Fwoscc%2Ffull-record%2FWOS:A1977EK27900008","View Full Record in Web of Science")</f>
        <v>View Full Record in Web of Science</v>
      </c>
    </row>
    <row r="303" spans="1:72" s="2" customFormat="1" x14ac:dyDescent="0.4">
      <c r="A303" s="2" t="s">
        <v>72</v>
      </c>
      <c r="B303" s="2" t="s">
        <v>5342</v>
      </c>
      <c r="C303" s="2" t="s">
        <v>74</v>
      </c>
      <c r="D303" s="2" t="s">
        <v>74</v>
      </c>
      <c r="E303" s="2" t="s">
        <v>74</v>
      </c>
      <c r="F303" s="2" t="s">
        <v>5342</v>
      </c>
      <c r="G303" s="2" t="s">
        <v>74</v>
      </c>
      <c r="H303" s="2" t="s">
        <v>74</v>
      </c>
      <c r="I303" s="2" t="s">
        <v>5343</v>
      </c>
      <c r="J303" s="2" t="s">
        <v>1995</v>
      </c>
      <c r="K303" s="2" t="s">
        <v>74</v>
      </c>
      <c r="L303" s="2" t="s">
        <v>74</v>
      </c>
      <c r="M303" s="2" t="s">
        <v>74</v>
      </c>
      <c r="N303" s="2" t="s">
        <v>74</v>
      </c>
      <c r="O303" s="2" t="s">
        <v>74</v>
      </c>
      <c r="P303" s="2" t="s">
        <v>74</v>
      </c>
      <c r="Q303" s="2" t="s">
        <v>74</v>
      </c>
      <c r="R303" s="2" t="s">
        <v>74</v>
      </c>
      <c r="S303" s="2" t="s">
        <v>74</v>
      </c>
      <c r="T303" s="2" t="s">
        <v>74</v>
      </c>
      <c r="U303" s="2" t="s">
        <v>74</v>
      </c>
      <c r="V303" s="5" t="s">
        <v>5344</v>
      </c>
      <c r="W303" s="2" t="s">
        <v>74</v>
      </c>
      <c r="X303" s="2" t="s">
        <v>74</v>
      </c>
      <c r="Y303" s="2" t="s">
        <v>74</v>
      </c>
      <c r="Z303" s="2" t="s">
        <v>74</v>
      </c>
      <c r="AA303" s="2" t="s">
        <v>74</v>
      </c>
      <c r="AB303" s="2" t="s">
        <v>74</v>
      </c>
      <c r="AC303" s="2" t="s">
        <v>74</v>
      </c>
      <c r="AD303" s="2" t="s">
        <v>74</v>
      </c>
      <c r="AE303" s="2" t="s">
        <v>74</v>
      </c>
      <c r="AF303" s="2" t="s">
        <v>74</v>
      </c>
      <c r="AG303" s="2" t="s">
        <v>74</v>
      </c>
      <c r="AH303" s="2" t="s">
        <v>74</v>
      </c>
      <c r="AI303" s="2" t="s">
        <v>74</v>
      </c>
      <c r="AJ303" s="2" t="s">
        <v>74</v>
      </c>
      <c r="AK303" s="2" t="s">
        <v>74</v>
      </c>
      <c r="AL303" s="2" t="s">
        <v>74</v>
      </c>
      <c r="AM303" s="2" t="s">
        <v>74</v>
      </c>
      <c r="AN303" s="2" t="s">
        <v>74</v>
      </c>
      <c r="AO303" s="2" t="s">
        <v>1997</v>
      </c>
      <c r="AP303" s="2" t="s">
        <v>74</v>
      </c>
      <c r="AQ303" s="2" t="s">
        <v>74</v>
      </c>
      <c r="AR303" s="2" t="s">
        <v>74</v>
      </c>
      <c r="AS303" s="2" t="s">
        <v>74</v>
      </c>
      <c r="AT303" s="2" t="s">
        <v>5345</v>
      </c>
      <c r="AU303" s="2">
        <v>2002</v>
      </c>
      <c r="AV303" s="2">
        <v>73</v>
      </c>
      <c r="AW303" s="2">
        <v>1</v>
      </c>
      <c r="AX303" s="2" t="s">
        <v>74</v>
      </c>
      <c r="AY303" s="2" t="s">
        <v>74</v>
      </c>
      <c r="AZ303" s="2" t="s">
        <v>74</v>
      </c>
      <c r="BA303" s="2" t="s">
        <v>74</v>
      </c>
      <c r="BB303" s="2">
        <v>70</v>
      </c>
      <c r="BC303" s="2">
        <v>73</v>
      </c>
      <c r="BD303" s="2" t="s">
        <v>74</v>
      </c>
      <c r="BE303" s="2" t="s">
        <v>5346</v>
      </c>
      <c r="BF303" s="2" t="str">
        <f>HYPERLINK("http://dx.doi.org/10.1648/0273-8570-73.1.70","http://dx.doi.org/10.1648/0273-8570-73.1.70")</f>
        <v>http://dx.doi.org/10.1648/0273-8570-73.1.70</v>
      </c>
      <c r="BG303" s="2" t="s">
        <v>74</v>
      </c>
      <c r="BH303" s="2" t="s">
        <v>74</v>
      </c>
      <c r="BI303" s="2" t="s">
        <v>74</v>
      </c>
      <c r="BJ303" s="2" t="s">
        <v>74</v>
      </c>
      <c r="BK303" s="2" t="s">
        <v>74</v>
      </c>
      <c r="BL303" s="2" t="s">
        <v>74</v>
      </c>
      <c r="BM303" s="2" t="s">
        <v>74</v>
      </c>
      <c r="BN303" s="2" t="s">
        <v>74</v>
      </c>
      <c r="BO303" s="2" t="s">
        <v>74</v>
      </c>
      <c r="BP303" s="2" t="s">
        <v>74</v>
      </c>
      <c r="BQ303" s="2" t="s">
        <v>74</v>
      </c>
      <c r="BR303" s="2" t="s">
        <v>74</v>
      </c>
      <c r="BS303" s="2" t="s">
        <v>5347</v>
      </c>
      <c r="BT303" s="2" t="str">
        <f>HYPERLINK("https%3A%2F%2Fwww.webofscience.com%2Fwos%2Fwoscc%2Ffull-record%2FWOS:000174001500012","View Full Record in Web of Science")</f>
        <v>View Full Record in Web of Science</v>
      </c>
    </row>
    <row r="304" spans="1:72" s="2" customFormat="1" x14ac:dyDescent="0.4">
      <c r="A304" s="2" t="s">
        <v>72</v>
      </c>
      <c r="B304" s="2" t="s">
        <v>2570</v>
      </c>
      <c r="C304" s="2" t="s">
        <v>74</v>
      </c>
      <c r="D304" s="2" t="s">
        <v>74</v>
      </c>
      <c r="E304" s="2" t="s">
        <v>74</v>
      </c>
      <c r="F304" s="2" t="s">
        <v>2570</v>
      </c>
      <c r="G304" s="2" t="s">
        <v>74</v>
      </c>
      <c r="H304" s="2" t="s">
        <v>74</v>
      </c>
      <c r="I304" s="2" t="s">
        <v>2571</v>
      </c>
      <c r="J304" s="2" t="s">
        <v>610</v>
      </c>
      <c r="K304" s="2" t="s">
        <v>74</v>
      </c>
      <c r="L304" s="2" t="s">
        <v>74</v>
      </c>
      <c r="M304" s="2" t="s">
        <v>74</v>
      </c>
      <c r="N304" s="2" t="s">
        <v>74</v>
      </c>
      <c r="O304" s="2" t="s">
        <v>74</v>
      </c>
      <c r="P304" s="2" t="s">
        <v>74</v>
      </c>
      <c r="Q304" s="2" t="s">
        <v>74</v>
      </c>
      <c r="R304" s="2" t="s">
        <v>74</v>
      </c>
      <c r="S304" s="2" t="s">
        <v>74</v>
      </c>
      <c r="T304" s="2" t="s">
        <v>74</v>
      </c>
      <c r="U304" s="2" t="s">
        <v>74</v>
      </c>
      <c r="V304" s="5" t="s">
        <v>2572</v>
      </c>
      <c r="W304" s="2" t="s">
        <v>74</v>
      </c>
      <c r="X304" s="2" t="s">
        <v>74</v>
      </c>
      <c r="Y304" s="2" t="s">
        <v>74</v>
      </c>
      <c r="Z304" s="2" t="s">
        <v>74</v>
      </c>
      <c r="AA304" s="2" t="s">
        <v>74</v>
      </c>
      <c r="AB304" s="2" t="s">
        <v>74</v>
      </c>
      <c r="AC304" s="2" t="s">
        <v>74</v>
      </c>
      <c r="AD304" s="2" t="s">
        <v>74</v>
      </c>
      <c r="AE304" s="2" t="s">
        <v>74</v>
      </c>
      <c r="AF304" s="2" t="s">
        <v>74</v>
      </c>
      <c r="AG304" s="2" t="s">
        <v>74</v>
      </c>
      <c r="AH304" s="2" t="s">
        <v>74</v>
      </c>
      <c r="AI304" s="2" t="s">
        <v>74</v>
      </c>
      <c r="AJ304" s="2" t="s">
        <v>74</v>
      </c>
      <c r="AK304" s="2" t="s">
        <v>74</v>
      </c>
      <c r="AL304" s="2" t="s">
        <v>74</v>
      </c>
      <c r="AM304" s="2" t="s">
        <v>74</v>
      </c>
      <c r="AN304" s="2" t="s">
        <v>74</v>
      </c>
      <c r="AO304" s="2" t="s">
        <v>614</v>
      </c>
      <c r="AP304" s="2" t="s">
        <v>74</v>
      </c>
      <c r="AQ304" s="2" t="s">
        <v>74</v>
      </c>
      <c r="AR304" s="2" t="s">
        <v>74</v>
      </c>
      <c r="AS304" s="2" t="s">
        <v>74</v>
      </c>
      <c r="AT304" s="2" t="s">
        <v>123</v>
      </c>
      <c r="AU304" s="2">
        <v>2005</v>
      </c>
      <c r="AV304" s="2">
        <v>111</v>
      </c>
      <c r="AW304" s="2">
        <v>3</v>
      </c>
      <c r="AX304" s="2" t="s">
        <v>74</v>
      </c>
      <c r="AY304" s="2" t="s">
        <v>74</v>
      </c>
      <c r="AZ304" s="2" t="s">
        <v>74</v>
      </c>
      <c r="BA304" s="2" t="s">
        <v>74</v>
      </c>
      <c r="BB304" s="2">
        <v>287</v>
      </c>
      <c r="BC304" s="2">
        <v>300</v>
      </c>
      <c r="BD304" s="2" t="s">
        <v>74</v>
      </c>
      <c r="BE304" s="2" t="s">
        <v>2573</v>
      </c>
      <c r="BF304" s="2" t="str">
        <f>HYPERLINK("http://dx.doi.org/10.1111/j.1439-0310.2004.01062.x","http://dx.doi.org/10.1111/j.1439-0310.2004.01062.x")</f>
        <v>http://dx.doi.org/10.1111/j.1439-0310.2004.01062.x</v>
      </c>
      <c r="BG304" s="2" t="s">
        <v>74</v>
      </c>
      <c r="BH304" s="2" t="s">
        <v>74</v>
      </c>
      <c r="BI304" s="2" t="s">
        <v>74</v>
      </c>
      <c r="BJ304" s="2" t="s">
        <v>74</v>
      </c>
      <c r="BK304" s="2" t="s">
        <v>74</v>
      </c>
      <c r="BL304" s="2" t="s">
        <v>74</v>
      </c>
      <c r="BM304" s="2" t="s">
        <v>74</v>
      </c>
      <c r="BN304" s="2" t="s">
        <v>74</v>
      </c>
      <c r="BO304" s="2" t="s">
        <v>74</v>
      </c>
      <c r="BP304" s="2" t="s">
        <v>74</v>
      </c>
      <c r="BQ304" s="2" t="s">
        <v>74</v>
      </c>
      <c r="BR304" s="2" t="s">
        <v>74</v>
      </c>
      <c r="BS304" s="2" t="s">
        <v>2574</v>
      </c>
      <c r="BT304" s="2" t="str">
        <f>HYPERLINK("https%3A%2F%2Fwww.webofscience.com%2Fwos%2Fwoscc%2Ffull-record%2FWOS:000227192500004","View Full Record in Web of Science")</f>
        <v>View Full Record in Web of Science</v>
      </c>
    </row>
    <row r="305" spans="1:72" s="2" customFormat="1" x14ac:dyDescent="0.4">
      <c r="A305" s="2" t="s">
        <v>72</v>
      </c>
      <c r="B305" s="2" t="s">
        <v>7556</v>
      </c>
      <c r="C305" s="2" t="s">
        <v>74</v>
      </c>
      <c r="D305" s="2" t="s">
        <v>74</v>
      </c>
      <c r="E305" s="2" t="s">
        <v>74</v>
      </c>
      <c r="F305" s="2" t="s">
        <v>7557</v>
      </c>
      <c r="G305" s="2" t="s">
        <v>74</v>
      </c>
      <c r="H305" s="2" t="s">
        <v>74</v>
      </c>
      <c r="I305" s="2" t="s">
        <v>7558</v>
      </c>
      <c r="J305" s="2" t="s">
        <v>7559</v>
      </c>
      <c r="K305" s="2" t="s">
        <v>74</v>
      </c>
      <c r="L305" s="2" t="s">
        <v>74</v>
      </c>
      <c r="M305" s="2" t="s">
        <v>74</v>
      </c>
      <c r="N305" s="2" t="s">
        <v>74</v>
      </c>
      <c r="O305" s="2" t="s">
        <v>74</v>
      </c>
      <c r="P305" s="2" t="s">
        <v>74</v>
      </c>
      <c r="Q305" s="2" t="s">
        <v>74</v>
      </c>
      <c r="R305" s="2" t="s">
        <v>74</v>
      </c>
      <c r="S305" s="2" t="s">
        <v>74</v>
      </c>
      <c r="T305" s="2" t="s">
        <v>74</v>
      </c>
      <c r="U305" s="2" t="s">
        <v>74</v>
      </c>
      <c r="V305" s="5" t="s">
        <v>7560</v>
      </c>
      <c r="W305" s="2" t="s">
        <v>74</v>
      </c>
      <c r="X305" s="2" t="s">
        <v>74</v>
      </c>
      <c r="Y305" s="2" t="s">
        <v>74</v>
      </c>
      <c r="Z305" s="2" t="s">
        <v>74</v>
      </c>
      <c r="AA305" s="2" t="s">
        <v>7561</v>
      </c>
      <c r="AB305" s="2" t="s">
        <v>7562</v>
      </c>
      <c r="AC305" s="2" t="s">
        <v>74</v>
      </c>
      <c r="AD305" s="2" t="s">
        <v>74</v>
      </c>
      <c r="AE305" s="2" t="s">
        <v>74</v>
      </c>
      <c r="AF305" s="2" t="s">
        <v>74</v>
      </c>
      <c r="AG305" s="2" t="s">
        <v>74</v>
      </c>
      <c r="AH305" s="2" t="s">
        <v>74</v>
      </c>
      <c r="AI305" s="2" t="s">
        <v>74</v>
      </c>
      <c r="AJ305" s="2" t="s">
        <v>74</v>
      </c>
      <c r="AK305" s="2" t="s">
        <v>74</v>
      </c>
      <c r="AL305" s="2" t="s">
        <v>74</v>
      </c>
      <c r="AM305" s="2" t="s">
        <v>74</v>
      </c>
      <c r="AN305" s="2" t="s">
        <v>74</v>
      </c>
      <c r="AO305" s="2" t="s">
        <v>74</v>
      </c>
      <c r="AP305" s="2" t="s">
        <v>7563</v>
      </c>
      <c r="AQ305" s="2" t="s">
        <v>74</v>
      </c>
      <c r="AR305" s="2" t="s">
        <v>74</v>
      </c>
      <c r="AS305" s="2" t="s">
        <v>74</v>
      </c>
      <c r="AT305" s="2" t="s">
        <v>134</v>
      </c>
      <c r="AU305" s="2">
        <v>2024</v>
      </c>
      <c r="AV305" s="2">
        <v>14</v>
      </c>
      <c r="AW305" s="2">
        <v>5</v>
      </c>
      <c r="AX305" s="2" t="s">
        <v>74</v>
      </c>
      <c r="AY305" s="2" t="s">
        <v>74</v>
      </c>
      <c r="AZ305" s="2" t="s">
        <v>74</v>
      </c>
      <c r="BA305" s="2" t="s">
        <v>74</v>
      </c>
      <c r="BB305" s="2" t="s">
        <v>74</v>
      </c>
      <c r="BC305" s="2" t="s">
        <v>74</v>
      </c>
      <c r="BD305" s="2">
        <v>574</v>
      </c>
      <c r="BE305" s="2" t="s">
        <v>7564</v>
      </c>
      <c r="BF305" s="2" t="str">
        <f>HYPERLINK("http://dx.doi.org/10.3390/life14050574","http://dx.doi.org/10.3390/life14050574")</f>
        <v>http://dx.doi.org/10.3390/life14050574</v>
      </c>
      <c r="BG305" s="2" t="s">
        <v>74</v>
      </c>
      <c r="BH305" s="2" t="s">
        <v>74</v>
      </c>
      <c r="BI305" s="2" t="s">
        <v>74</v>
      </c>
      <c r="BJ305" s="2" t="s">
        <v>74</v>
      </c>
      <c r="BK305" s="2" t="s">
        <v>74</v>
      </c>
      <c r="BL305" s="2" t="s">
        <v>74</v>
      </c>
      <c r="BM305" s="2" t="s">
        <v>74</v>
      </c>
      <c r="BN305" s="2">
        <v>38792595</v>
      </c>
      <c r="BO305" s="2" t="s">
        <v>74</v>
      </c>
      <c r="BP305" s="2" t="s">
        <v>74</v>
      </c>
      <c r="BQ305" s="2" t="s">
        <v>74</v>
      </c>
      <c r="BR305" s="2" t="s">
        <v>74</v>
      </c>
      <c r="BS305" s="2" t="s">
        <v>7565</v>
      </c>
      <c r="BT305" s="2" t="str">
        <f>HYPERLINK("https%3A%2F%2Fwww.webofscience.com%2Fwos%2Fwoscc%2Ffull-record%2FWOS:001232301700001","View Full Record in Web of Science")</f>
        <v>View Full Record in Web of Science</v>
      </c>
    </row>
    <row r="306" spans="1:72" s="2" customFormat="1" x14ac:dyDescent="0.4">
      <c r="A306" s="2" t="s">
        <v>72</v>
      </c>
      <c r="B306" s="2" t="s">
        <v>8075</v>
      </c>
      <c r="C306" s="2" t="s">
        <v>74</v>
      </c>
      <c r="D306" s="2" t="s">
        <v>74</v>
      </c>
      <c r="E306" s="2" t="s">
        <v>74</v>
      </c>
      <c r="F306" s="2" t="s">
        <v>8075</v>
      </c>
      <c r="G306" s="2" t="s">
        <v>74</v>
      </c>
      <c r="H306" s="2" t="s">
        <v>74</v>
      </c>
      <c r="I306" s="2" t="s">
        <v>8076</v>
      </c>
      <c r="J306" s="2" t="s">
        <v>8077</v>
      </c>
      <c r="K306" s="2" t="s">
        <v>74</v>
      </c>
      <c r="L306" s="2" t="s">
        <v>74</v>
      </c>
      <c r="M306" s="2" t="s">
        <v>74</v>
      </c>
      <c r="N306" s="2" t="s">
        <v>74</v>
      </c>
      <c r="O306" s="2" t="s">
        <v>74</v>
      </c>
      <c r="P306" s="2" t="s">
        <v>74</v>
      </c>
      <c r="Q306" s="2" t="s">
        <v>74</v>
      </c>
      <c r="R306" s="2" t="s">
        <v>74</v>
      </c>
      <c r="S306" s="2" t="s">
        <v>74</v>
      </c>
      <c r="T306" s="2" t="s">
        <v>74</v>
      </c>
      <c r="U306" s="2" t="s">
        <v>74</v>
      </c>
      <c r="V306" s="5" t="s">
        <v>8078</v>
      </c>
      <c r="W306" s="2" t="s">
        <v>74</v>
      </c>
      <c r="X306" s="2" t="s">
        <v>74</v>
      </c>
      <c r="Y306" s="2" t="s">
        <v>74</v>
      </c>
      <c r="Z306" s="2" t="s">
        <v>74</v>
      </c>
      <c r="AA306" s="2" t="s">
        <v>74</v>
      </c>
      <c r="AB306" s="2" t="s">
        <v>8079</v>
      </c>
      <c r="AC306" s="2" t="s">
        <v>74</v>
      </c>
      <c r="AD306" s="2" t="s">
        <v>74</v>
      </c>
      <c r="AE306" s="2" t="s">
        <v>74</v>
      </c>
      <c r="AF306" s="2" t="s">
        <v>74</v>
      </c>
      <c r="AG306" s="2" t="s">
        <v>74</v>
      </c>
      <c r="AH306" s="2" t="s">
        <v>74</v>
      </c>
      <c r="AI306" s="2" t="s">
        <v>74</v>
      </c>
      <c r="AJ306" s="2" t="s">
        <v>74</v>
      </c>
      <c r="AK306" s="2" t="s">
        <v>74</v>
      </c>
      <c r="AL306" s="2" t="s">
        <v>74</v>
      </c>
      <c r="AM306" s="2" t="s">
        <v>74</v>
      </c>
      <c r="AN306" s="2" t="s">
        <v>74</v>
      </c>
      <c r="AO306" s="2" t="s">
        <v>4147</v>
      </c>
      <c r="AP306" s="2" t="s">
        <v>74</v>
      </c>
      <c r="AQ306" s="2" t="s">
        <v>74</v>
      </c>
      <c r="AR306" s="2" t="s">
        <v>74</v>
      </c>
      <c r="AS306" s="2" t="s">
        <v>74</v>
      </c>
      <c r="AT306" s="2" t="s">
        <v>255</v>
      </c>
      <c r="AU306" s="2">
        <v>2000</v>
      </c>
      <c r="AV306" s="2">
        <v>186</v>
      </c>
      <c r="AW306" s="2">
        <v>1</v>
      </c>
      <c r="AX306" s="2" t="s">
        <v>74</v>
      </c>
      <c r="AY306" s="2" t="s">
        <v>74</v>
      </c>
      <c r="AZ306" s="2" t="s">
        <v>74</v>
      </c>
      <c r="BA306" s="2" t="s">
        <v>74</v>
      </c>
      <c r="BB306" s="2">
        <v>1</v>
      </c>
      <c r="BC306" s="2">
        <v>12</v>
      </c>
      <c r="BD306" s="2" t="s">
        <v>74</v>
      </c>
      <c r="BE306" s="2" t="s">
        <v>8080</v>
      </c>
      <c r="BF306" s="2" t="str">
        <f>HYPERLINK("http://dx.doi.org/10.1007/s003590050001","http://dx.doi.org/10.1007/s003590050001")</f>
        <v>http://dx.doi.org/10.1007/s003590050001</v>
      </c>
      <c r="BG306" s="2" t="s">
        <v>74</v>
      </c>
      <c r="BH306" s="2" t="s">
        <v>74</v>
      </c>
      <c r="BI306" s="2" t="s">
        <v>74</v>
      </c>
      <c r="BJ306" s="2" t="s">
        <v>74</v>
      </c>
      <c r="BK306" s="2" t="s">
        <v>74</v>
      </c>
      <c r="BL306" s="2" t="s">
        <v>74</v>
      </c>
      <c r="BM306" s="2" t="s">
        <v>74</v>
      </c>
      <c r="BN306" s="2">
        <v>10659037</v>
      </c>
      <c r="BO306" s="2" t="s">
        <v>74</v>
      </c>
      <c r="BP306" s="2" t="s">
        <v>74</v>
      </c>
      <c r="BQ306" s="2" t="s">
        <v>74</v>
      </c>
      <c r="BR306" s="2" t="s">
        <v>74</v>
      </c>
      <c r="BS306" s="2" t="s">
        <v>8081</v>
      </c>
      <c r="BT306" s="2" t="str">
        <f>HYPERLINK("https%3A%2F%2Fwww.webofscience.com%2Fwos%2Fwoscc%2Ffull-record%2FWOS:000084937600001","View Full Record in Web of Science")</f>
        <v>View Full Record in Web of Science</v>
      </c>
    </row>
    <row r="307" spans="1:72" s="2" customFormat="1" x14ac:dyDescent="0.4">
      <c r="A307" s="2" t="s">
        <v>72</v>
      </c>
      <c r="B307" s="2" t="s">
        <v>984</v>
      </c>
      <c r="C307" s="2" t="s">
        <v>74</v>
      </c>
      <c r="D307" s="2" t="s">
        <v>74</v>
      </c>
      <c r="E307" s="2" t="s">
        <v>74</v>
      </c>
      <c r="F307" s="2" t="s">
        <v>985</v>
      </c>
      <c r="G307" s="2" t="s">
        <v>74</v>
      </c>
      <c r="H307" s="2" t="s">
        <v>74</v>
      </c>
      <c r="I307" s="2" t="s">
        <v>986</v>
      </c>
      <c r="J307" s="2" t="s">
        <v>862</v>
      </c>
      <c r="K307" s="2" t="s">
        <v>74</v>
      </c>
      <c r="L307" s="2" t="s">
        <v>74</v>
      </c>
      <c r="M307" s="2" t="s">
        <v>74</v>
      </c>
      <c r="N307" s="2" t="s">
        <v>74</v>
      </c>
      <c r="O307" s="2" t="s">
        <v>74</v>
      </c>
      <c r="P307" s="2" t="s">
        <v>74</v>
      </c>
      <c r="Q307" s="2" t="s">
        <v>74</v>
      </c>
      <c r="R307" s="2" t="s">
        <v>74</v>
      </c>
      <c r="S307" s="2" t="s">
        <v>74</v>
      </c>
      <c r="T307" s="2" t="s">
        <v>74</v>
      </c>
      <c r="U307" s="2" t="s">
        <v>74</v>
      </c>
      <c r="V307" s="5" t="s">
        <v>987</v>
      </c>
      <c r="W307" s="2" t="s">
        <v>74</v>
      </c>
      <c r="X307" s="2" t="s">
        <v>74</v>
      </c>
      <c r="Y307" s="2" t="s">
        <v>74</v>
      </c>
      <c r="Z307" s="2" t="s">
        <v>74</v>
      </c>
      <c r="AA307" s="2" t="s">
        <v>74</v>
      </c>
      <c r="AB307" s="2" t="s">
        <v>988</v>
      </c>
      <c r="AC307" s="2" t="s">
        <v>74</v>
      </c>
      <c r="AD307" s="2" t="s">
        <v>74</v>
      </c>
      <c r="AE307" s="2" t="s">
        <v>74</v>
      </c>
      <c r="AF307" s="2" t="s">
        <v>74</v>
      </c>
      <c r="AG307" s="2" t="s">
        <v>74</v>
      </c>
      <c r="AH307" s="2" t="s">
        <v>74</v>
      </c>
      <c r="AI307" s="2" t="s">
        <v>74</v>
      </c>
      <c r="AJ307" s="2" t="s">
        <v>74</v>
      </c>
      <c r="AK307" s="2" t="s">
        <v>74</v>
      </c>
      <c r="AL307" s="2" t="s">
        <v>74</v>
      </c>
      <c r="AM307" s="2" t="s">
        <v>74</v>
      </c>
      <c r="AN307" s="2" t="s">
        <v>74</v>
      </c>
      <c r="AO307" s="2" t="s">
        <v>865</v>
      </c>
      <c r="AP307" s="2" t="s">
        <v>866</v>
      </c>
      <c r="AQ307" s="2" t="s">
        <v>74</v>
      </c>
      <c r="AR307" s="2" t="s">
        <v>74</v>
      </c>
      <c r="AS307" s="2" t="s">
        <v>74</v>
      </c>
      <c r="AT307" s="2" t="s">
        <v>175</v>
      </c>
      <c r="AU307" s="2">
        <v>2021</v>
      </c>
      <c r="AV307" s="2">
        <v>24</v>
      </c>
      <c r="AW307" s="2">
        <v>3</v>
      </c>
      <c r="AX307" s="2" t="s">
        <v>74</v>
      </c>
      <c r="AY307" s="2" t="s">
        <v>74</v>
      </c>
      <c r="AZ307" s="2" t="s">
        <v>74</v>
      </c>
      <c r="BA307" s="2" t="s">
        <v>74</v>
      </c>
      <c r="BB307" s="2">
        <v>143</v>
      </c>
      <c r="BC307" s="2">
        <v>147</v>
      </c>
      <c r="BD307" s="2" t="s">
        <v>74</v>
      </c>
      <c r="BE307" s="2" t="s">
        <v>989</v>
      </c>
      <c r="BF307" s="2" t="str">
        <f>HYPERLINK("http://dx.doi.org/10.1007/s10211-021-00372-z","http://dx.doi.org/10.1007/s10211-021-00372-z")</f>
        <v>http://dx.doi.org/10.1007/s10211-021-00372-z</v>
      </c>
      <c r="BG307" s="2" t="s">
        <v>74</v>
      </c>
      <c r="BH307" s="2" t="s">
        <v>224</v>
      </c>
      <c r="BI307" s="2" t="s">
        <v>74</v>
      </c>
      <c r="BJ307" s="2" t="s">
        <v>74</v>
      </c>
      <c r="BK307" s="2" t="s">
        <v>74</v>
      </c>
      <c r="BL307" s="2" t="s">
        <v>74</v>
      </c>
      <c r="BM307" s="2" t="s">
        <v>74</v>
      </c>
      <c r="BN307" s="2" t="s">
        <v>74</v>
      </c>
      <c r="BO307" s="2" t="s">
        <v>74</v>
      </c>
      <c r="BP307" s="2" t="s">
        <v>74</v>
      </c>
      <c r="BQ307" s="2" t="s">
        <v>74</v>
      </c>
      <c r="BR307" s="2" t="s">
        <v>74</v>
      </c>
      <c r="BS307" s="2" t="s">
        <v>990</v>
      </c>
      <c r="BT307" s="2" t="str">
        <f>HYPERLINK("https%3A%2F%2Fwww.webofscience.com%2Fwos%2Fwoscc%2Ffull-record%2FWOS:000660333200001","View Full Record in Web of Science")</f>
        <v>View Full Record in Web of Science</v>
      </c>
    </row>
    <row r="308" spans="1:72" s="2" customFormat="1" x14ac:dyDescent="0.4">
      <c r="A308" s="2" t="s">
        <v>72</v>
      </c>
      <c r="B308" s="2" t="s">
        <v>2575</v>
      </c>
      <c r="C308" s="2" t="s">
        <v>74</v>
      </c>
      <c r="D308" s="2" t="s">
        <v>74</v>
      </c>
      <c r="E308" s="2" t="s">
        <v>74</v>
      </c>
      <c r="F308" s="2" t="s">
        <v>2576</v>
      </c>
      <c r="G308" s="2" t="s">
        <v>74</v>
      </c>
      <c r="H308" s="2" t="s">
        <v>74</v>
      </c>
      <c r="I308" s="2" t="s">
        <v>2577</v>
      </c>
      <c r="J308" s="2" t="s">
        <v>2578</v>
      </c>
      <c r="K308" s="2" t="s">
        <v>74</v>
      </c>
      <c r="L308" s="2" t="s">
        <v>74</v>
      </c>
      <c r="M308" s="2" t="s">
        <v>74</v>
      </c>
      <c r="N308" s="2" t="s">
        <v>74</v>
      </c>
      <c r="O308" s="2" t="s">
        <v>74</v>
      </c>
      <c r="P308" s="2" t="s">
        <v>74</v>
      </c>
      <c r="Q308" s="2" t="s">
        <v>74</v>
      </c>
      <c r="R308" s="2" t="s">
        <v>74</v>
      </c>
      <c r="S308" s="2" t="s">
        <v>74</v>
      </c>
      <c r="T308" s="2" t="s">
        <v>74</v>
      </c>
      <c r="U308" s="2" t="s">
        <v>74</v>
      </c>
      <c r="V308" s="5" t="s">
        <v>2579</v>
      </c>
      <c r="W308" s="2" t="s">
        <v>74</v>
      </c>
      <c r="X308" s="2" t="s">
        <v>74</v>
      </c>
      <c r="Y308" s="2" t="s">
        <v>74</v>
      </c>
      <c r="Z308" s="2" t="s">
        <v>74</v>
      </c>
      <c r="AA308" s="2" t="s">
        <v>2580</v>
      </c>
      <c r="AB308" s="2" t="s">
        <v>2581</v>
      </c>
      <c r="AC308" s="2" t="s">
        <v>74</v>
      </c>
      <c r="AD308" s="2" t="s">
        <v>74</v>
      </c>
      <c r="AE308" s="2" t="s">
        <v>74</v>
      </c>
      <c r="AF308" s="2" t="s">
        <v>74</v>
      </c>
      <c r="AG308" s="2" t="s">
        <v>74</v>
      </c>
      <c r="AH308" s="2" t="s">
        <v>74</v>
      </c>
      <c r="AI308" s="2" t="s">
        <v>74</v>
      </c>
      <c r="AJ308" s="2" t="s">
        <v>74</v>
      </c>
      <c r="AK308" s="2" t="s">
        <v>74</v>
      </c>
      <c r="AL308" s="2" t="s">
        <v>74</v>
      </c>
      <c r="AM308" s="2" t="s">
        <v>74</v>
      </c>
      <c r="AN308" s="2" t="s">
        <v>74</v>
      </c>
      <c r="AO308" s="2" t="s">
        <v>2582</v>
      </c>
      <c r="AP308" s="2" t="s">
        <v>2583</v>
      </c>
      <c r="AQ308" s="2" t="s">
        <v>74</v>
      </c>
      <c r="AR308" s="2" t="s">
        <v>74</v>
      </c>
      <c r="AS308" s="2" t="s">
        <v>74</v>
      </c>
      <c r="AT308" s="2" t="s">
        <v>123</v>
      </c>
      <c r="AU308" s="2">
        <v>2020</v>
      </c>
      <c r="AV308" s="2">
        <v>48</v>
      </c>
      <c r="AW308" s="2">
        <v>1</v>
      </c>
      <c r="AX308" s="2" t="s">
        <v>74</v>
      </c>
      <c r="AY308" s="2" t="s">
        <v>74</v>
      </c>
      <c r="AZ308" s="2" t="s">
        <v>74</v>
      </c>
      <c r="BA308" s="2" t="s">
        <v>74</v>
      </c>
      <c r="BB308" s="2">
        <v>104</v>
      </c>
      <c r="BC308" s="2">
        <v>112</v>
      </c>
      <c r="BD308" s="2" t="s">
        <v>74</v>
      </c>
      <c r="BE308" s="2" t="s">
        <v>2584</v>
      </c>
      <c r="BF308" s="2" t="str">
        <f>HYPERLINK("http://dx.doi.org/10.3758/s13420-020-00411-y","http://dx.doi.org/10.3758/s13420-020-00411-y")</f>
        <v>http://dx.doi.org/10.3758/s13420-020-00411-y</v>
      </c>
      <c r="BG308" s="2" t="s">
        <v>74</v>
      </c>
      <c r="BH308" s="2" t="s">
        <v>74</v>
      </c>
      <c r="BI308" s="2" t="s">
        <v>74</v>
      </c>
      <c r="BJ308" s="2" t="s">
        <v>74</v>
      </c>
      <c r="BK308" s="2" t="s">
        <v>74</v>
      </c>
      <c r="BL308" s="2" t="s">
        <v>74</v>
      </c>
      <c r="BM308" s="2" t="s">
        <v>74</v>
      </c>
      <c r="BN308" s="2">
        <v>31975326</v>
      </c>
      <c r="BO308" s="2" t="s">
        <v>74</v>
      </c>
      <c r="BP308" s="2" t="s">
        <v>74</v>
      </c>
      <c r="BQ308" s="2" t="s">
        <v>74</v>
      </c>
      <c r="BR308" s="2" t="s">
        <v>74</v>
      </c>
      <c r="BS308" s="2" t="s">
        <v>2585</v>
      </c>
      <c r="BT308" s="2" t="str">
        <f>HYPERLINK("https%3A%2F%2Fwww.webofscience.com%2Fwos%2Fwoscc%2Ffull-record%2FWOS:000520711400013","View Full Record in Web of Science")</f>
        <v>View Full Record in Web of Science</v>
      </c>
    </row>
    <row r="309" spans="1:72" s="2" customFormat="1" x14ac:dyDescent="0.4">
      <c r="A309" s="2" t="s">
        <v>72</v>
      </c>
      <c r="B309" s="2" t="s">
        <v>5537</v>
      </c>
      <c r="C309" s="2" t="s">
        <v>74</v>
      </c>
      <c r="D309" s="2" t="s">
        <v>74</v>
      </c>
      <c r="E309" s="2" t="s">
        <v>74</v>
      </c>
      <c r="F309" s="2" t="s">
        <v>5538</v>
      </c>
      <c r="G309" s="2" t="s">
        <v>74</v>
      </c>
      <c r="H309" s="2" t="s">
        <v>74</v>
      </c>
      <c r="I309" s="2" t="s">
        <v>5539</v>
      </c>
      <c r="J309" s="2" t="s">
        <v>2662</v>
      </c>
      <c r="K309" s="2" t="s">
        <v>74</v>
      </c>
      <c r="L309" s="2" t="s">
        <v>74</v>
      </c>
      <c r="M309" s="2" t="s">
        <v>74</v>
      </c>
      <c r="N309" s="2" t="s">
        <v>74</v>
      </c>
      <c r="O309" s="2" t="s">
        <v>74</v>
      </c>
      <c r="P309" s="2" t="s">
        <v>74</v>
      </c>
      <c r="Q309" s="2" t="s">
        <v>74</v>
      </c>
      <c r="R309" s="2" t="s">
        <v>74</v>
      </c>
      <c r="S309" s="2" t="s">
        <v>74</v>
      </c>
      <c r="T309" s="2" t="s">
        <v>74</v>
      </c>
      <c r="U309" s="2" t="s">
        <v>74</v>
      </c>
      <c r="V309" s="5" t="s">
        <v>5540</v>
      </c>
      <c r="W309" s="2" t="s">
        <v>74</v>
      </c>
      <c r="X309" s="2" t="s">
        <v>74</v>
      </c>
      <c r="Y309" s="2" t="s">
        <v>74</v>
      </c>
      <c r="Z309" s="2" t="s">
        <v>74</v>
      </c>
      <c r="AA309" s="2" t="s">
        <v>5541</v>
      </c>
      <c r="AB309" s="2" t="s">
        <v>74</v>
      </c>
      <c r="AC309" s="2" t="s">
        <v>74</v>
      </c>
      <c r="AD309" s="2" t="s">
        <v>74</v>
      </c>
      <c r="AE309" s="2" t="s">
        <v>74</v>
      </c>
      <c r="AF309" s="2" t="s">
        <v>74</v>
      </c>
      <c r="AG309" s="2" t="s">
        <v>74</v>
      </c>
      <c r="AH309" s="2" t="s">
        <v>74</v>
      </c>
      <c r="AI309" s="2" t="s">
        <v>74</v>
      </c>
      <c r="AJ309" s="2" t="s">
        <v>74</v>
      </c>
      <c r="AK309" s="2" t="s">
        <v>74</v>
      </c>
      <c r="AL309" s="2" t="s">
        <v>74</v>
      </c>
      <c r="AM309" s="2" t="s">
        <v>74</v>
      </c>
      <c r="AN309" s="2" t="s">
        <v>74</v>
      </c>
      <c r="AO309" s="2" t="s">
        <v>2664</v>
      </c>
      <c r="AP309" s="2" t="s">
        <v>2665</v>
      </c>
      <c r="AQ309" s="2" t="s">
        <v>74</v>
      </c>
      <c r="AR309" s="2" t="s">
        <v>74</v>
      </c>
      <c r="AS309" s="2" t="s">
        <v>74</v>
      </c>
      <c r="AT309" s="2" t="s">
        <v>352</v>
      </c>
      <c r="AU309" s="2">
        <v>2018</v>
      </c>
      <c r="AV309" s="2">
        <v>52</v>
      </c>
      <c r="AW309" s="2">
        <v>3</v>
      </c>
      <c r="AX309" s="2" t="s">
        <v>74</v>
      </c>
      <c r="AY309" s="2" t="s">
        <v>74</v>
      </c>
      <c r="AZ309" s="2" t="s">
        <v>74</v>
      </c>
      <c r="BA309" s="2" t="s">
        <v>74</v>
      </c>
      <c r="BB309" s="2">
        <v>370</v>
      </c>
      <c r="BC309" s="2">
        <v>378</v>
      </c>
      <c r="BD309" s="2" t="s">
        <v>74</v>
      </c>
      <c r="BE309" s="2" t="s">
        <v>5542</v>
      </c>
      <c r="BF309" s="2" t="str">
        <f>HYPERLINK("http://dx.doi.org/10.3356/JRR-17-66.1","http://dx.doi.org/10.3356/JRR-17-66.1")</f>
        <v>http://dx.doi.org/10.3356/JRR-17-66.1</v>
      </c>
      <c r="BG309" s="2" t="s">
        <v>74</v>
      </c>
      <c r="BH309" s="2" t="s">
        <v>74</v>
      </c>
      <c r="BI309" s="2" t="s">
        <v>74</v>
      </c>
      <c r="BJ309" s="2" t="s">
        <v>74</v>
      </c>
      <c r="BK309" s="2" t="s">
        <v>74</v>
      </c>
      <c r="BL309" s="2" t="s">
        <v>74</v>
      </c>
      <c r="BM309" s="2" t="s">
        <v>74</v>
      </c>
      <c r="BN309" s="2" t="s">
        <v>74</v>
      </c>
      <c r="BO309" s="2" t="s">
        <v>74</v>
      </c>
      <c r="BP309" s="2" t="s">
        <v>74</v>
      </c>
      <c r="BQ309" s="2" t="s">
        <v>74</v>
      </c>
      <c r="BR309" s="2" t="s">
        <v>74</v>
      </c>
      <c r="BS309" s="2" t="s">
        <v>5543</v>
      </c>
      <c r="BT309" s="2" t="str">
        <f>HYPERLINK("https%3A%2F%2Fwww.webofscience.com%2Fwos%2Fwoscc%2Ffull-record%2FWOS:000441062500010","View Full Record in Web of Science")</f>
        <v>View Full Record in Web of Science</v>
      </c>
    </row>
    <row r="310" spans="1:72" s="2" customFormat="1" x14ac:dyDescent="0.4">
      <c r="A310" s="2" t="s">
        <v>72</v>
      </c>
      <c r="B310" s="2" t="s">
        <v>3638</v>
      </c>
      <c r="C310" s="2" t="s">
        <v>74</v>
      </c>
      <c r="D310" s="2" t="s">
        <v>74</v>
      </c>
      <c r="E310" s="2" t="s">
        <v>74</v>
      </c>
      <c r="F310" s="2" t="s">
        <v>3639</v>
      </c>
      <c r="G310" s="2" t="s">
        <v>74</v>
      </c>
      <c r="H310" s="2" t="s">
        <v>74</v>
      </c>
      <c r="I310" s="2" t="s">
        <v>3640</v>
      </c>
      <c r="J310" s="2" t="s">
        <v>509</v>
      </c>
      <c r="K310" s="2" t="s">
        <v>74</v>
      </c>
      <c r="L310" s="2" t="s">
        <v>74</v>
      </c>
      <c r="M310" s="2" t="s">
        <v>74</v>
      </c>
      <c r="N310" s="2" t="s">
        <v>74</v>
      </c>
      <c r="O310" s="2" t="s">
        <v>74</v>
      </c>
      <c r="P310" s="2" t="s">
        <v>74</v>
      </c>
      <c r="Q310" s="2" t="s">
        <v>74</v>
      </c>
      <c r="R310" s="2" t="s">
        <v>74</v>
      </c>
      <c r="S310" s="2" t="s">
        <v>74</v>
      </c>
      <c r="T310" s="2" t="s">
        <v>74</v>
      </c>
      <c r="U310" s="2" t="s">
        <v>74</v>
      </c>
      <c r="V310" s="5" t="s">
        <v>3641</v>
      </c>
      <c r="W310" s="2" t="s">
        <v>74</v>
      </c>
      <c r="X310" s="2" t="s">
        <v>74</v>
      </c>
      <c r="Y310" s="2" t="s">
        <v>74</v>
      </c>
      <c r="Z310" s="2" t="s">
        <v>74</v>
      </c>
      <c r="AA310" s="2" t="s">
        <v>74</v>
      </c>
      <c r="AB310" s="2" t="s">
        <v>3642</v>
      </c>
      <c r="AC310" s="2" t="s">
        <v>74</v>
      </c>
      <c r="AD310" s="2" t="s">
        <v>74</v>
      </c>
      <c r="AE310" s="2" t="s">
        <v>74</v>
      </c>
      <c r="AF310" s="2" t="s">
        <v>74</v>
      </c>
      <c r="AG310" s="2" t="s">
        <v>74</v>
      </c>
      <c r="AH310" s="2" t="s">
        <v>74</v>
      </c>
      <c r="AI310" s="2" t="s">
        <v>74</v>
      </c>
      <c r="AJ310" s="2" t="s">
        <v>74</v>
      </c>
      <c r="AK310" s="2" t="s">
        <v>74</v>
      </c>
      <c r="AL310" s="2" t="s">
        <v>74</v>
      </c>
      <c r="AM310" s="2" t="s">
        <v>74</v>
      </c>
      <c r="AN310" s="2" t="s">
        <v>74</v>
      </c>
      <c r="AO310" s="2" t="s">
        <v>511</v>
      </c>
      <c r="AP310" s="2" t="s">
        <v>512</v>
      </c>
      <c r="AQ310" s="2" t="s">
        <v>74</v>
      </c>
      <c r="AR310" s="2" t="s">
        <v>74</v>
      </c>
      <c r="AS310" s="2" t="s">
        <v>74</v>
      </c>
      <c r="AT310" s="2" t="s">
        <v>134</v>
      </c>
      <c r="AU310" s="2">
        <v>2007</v>
      </c>
      <c r="AV310" s="2">
        <v>51</v>
      </c>
      <c r="AW310" s="2">
        <v>5</v>
      </c>
      <c r="AX310" s="2" t="s">
        <v>74</v>
      </c>
      <c r="AY310" s="2" t="s">
        <v>74</v>
      </c>
      <c r="AZ310" s="2" t="s">
        <v>74</v>
      </c>
      <c r="BA310" s="2" t="s">
        <v>74</v>
      </c>
      <c r="BB310" s="2">
        <v>611</v>
      </c>
      <c r="BC310" s="2">
        <v>619</v>
      </c>
      <c r="BD310" s="2" t="s">
        <v>74</v>
      </c>
      <c r="BE310" s="2" t="s">
        <v>3643</v>
      </c>
      <c r="BF310" s="2" t="str">
        <f>HYPERLINK("http://dx.doi.org/10.1016/j.yhbeh.2007.02.010","http://dx.doi.org/10.1016/j.yhbeh.2007.02.010")</f>
        <v>http://dx.doi.org/10.1016/j.yhbeh.2007.02.010</v>
      </c>
      <c r="BG310" s="2" t="s">
        <v>74</v>
      </c>
      <c r="BH310" s="2" t="s">
        <v>74</v>
      </c>
      <c r="BI310" s="2" t="s">
        <v>74</v>
      </c>
      <c r="BJ310" s="2" t="s">
        <v>74</v>
      </c>
      <c r="BK310" s="2" t="s">
        <v>74</v>
      </c>
      <c r="BL310" s="2" t="s">
        <v>74</v>
      </c>
      <c r="BM310" s="2" t="s">
        <v>74</v>
      </c>
      <c r="BN310" s="2">
        <v>17462644</v>
      </c>
      <c r="BO310" s="2" t="s">
        <v>74</v>
      </c>
      <c r="BP310" s="2" t="s">
        <v>74</v>
      </c>
      <c r="BQ310" s="2" t="s">
        <v>74</v>
      </c>
      <c r="BR310" s="2" t="s">
        <v>74</v>
      </c>
      <c r="BS310" s="2" t="s">
        <v>3644</v>
      </c>
      <c r="BT310" s="2" t="str">
        <f>HYPERLINK("https%3A%2F%2Fwww.webofscience.com%2Fwos%2Fwoscc%2Ffull-record%2FWOS:000247275800006","View Full Record in Web of Science")</f>
        <v>View Full Record in Web of Science</v>
      </c>
    </row>
    <row r="311" spans="1:72" s="2" customFormat="1" x14ac:dyDescent="0.4">
      <c r="A311" s="2" t="s">
        <v>72</v>
      </c>
      <c r="B311" s="2" t="s">
        <v>2908</v>
      </c>
      <c r="C311" s="2" t="s">
        <v>74</v>
      </c>
      <c r="D311" s="2" t="s">
        <v>74</v>
      </c>
      <c r="E311" s="2" t="s">
        <v>74</v>
      </c>
      <c r="F311" s="2" t="s">
        <v>2909</v>
      </c>
      <c r="G311" s="2" t="s">
        <v>74</v>
      </c>
      <c r="H311" s="2" t="s">
        <v>74</v>
      </c>
      <c r="I311" s="2" t="s">
        <v>2910</v>
      </c>
      <c r="J311" s="2" t="s">
        <v>2911</v>
      </c>
      <c r="K311" s="2" t="s">
        <v>74</v>
      </c>
      <c r="L311" s="2" t="s">
        <v>74</v>
      </c>
      <c r="M311" s="2" t="s">
        <v>74</v>
      </c>
      <c r="N311" s="2" t="s">
        <v>74</v>
      </c>
      <c r="O311" s="2" t="s">
        <v>74</v>
      </c>
      <c r="P311" s="2" t="s">
        <v>74</v>
      </c>
      <c r="Q311" s="2" t="s">
        <v>74</v>
      </c>
      <c r="R311" s="2" t="s">
        <v>74</v>
      </c>
      <c r="S311" s="2" t="s">
        <v>74</v>
      </c>
      <c r="T311" s="2" t="s">
        <v>74</v>
      </c>
      <c r="U311" s="2" t="s">
        <v>74</v>
      </c>
      <c r="V311" s="5" t="s">
        <v>2912</v>
      </c>
      <c r="W311" s="2" t="s">
        <v>74</v>
      </c>
      <c r="X311" s="2" t="s">
        <v>74</v>
      </c>
      <c r="Y311" s="2" t="s">
        <v>74</v>
      </c>
      <c r="Z311" s="2" t="s">
        <v>74</v>
      </c>
      <c r="AA311" s="2" t="s">
        <v>2913</v>
      </c>
      <c r="AB311" s="2" t="s">
        <v>2914</v>
      </c>
      <c r="AC311" s="2" t="s">
        <v>74</v>
      </c>
      <c r="AD311" s="2" t="s">
        <v>74</v>
      </c>
      <c r="AE311" s="2" t="s">
        <v>74</v>
      </c>
      <c r="AF311" s="2" t="s">
        <v>74</v>
      </c>
      <c r="AG311" s="2" t="s">
        <v>74</v>
      </c>
      <c r="AH311" s="2" t="s">
        <v>74</v>
      </c>
      <c r="AI311" s="2" t="s">
        <v>74</v>
      </c>
      <c r="AJ311" s="2" t="s">
        <v>74</v>
      </c>
      <c r="AK311" s="2" t="s">
        <v>74</v>
      </c>
      <c r="AL311" s="2" t="s">
        <v>74</v>
      </c>
      <c r="AM311" s="2" t="s">
        <v>74</v>
      </c>
      <c r="AN311" s="2" t="s">
        <v>74</v>
      </c>
      <c r="AO311" s="2" t="s">
        <v>2915</v>
      </c>
      <c r="AP311" s="2" t="s">
        <v>2916</v>
      </c>
      <c r="AQ311" s="2" t="s">
        <v>74</v>
      </c>
      <c r="AR311" s="2" t="s">
        <v>74</v>
      </c>
      <c r="AS311" s="2" t="s">
        <v>74</v>
      </c>
      <c r="AT311" s="2" t="s">
        <v>769</v>
      </c>
      <c r="AU311" s="2">
        <v>2022</v>
      </c>
      <c r="AV311" s="2" t="s">
        <v>74</v>
      </c>
      <c r="AW311" s="2">
        <v>1084</v>
      </c>
      <c r="AX311" s="2" t="s">
        <v>74</v>
      </c>
      <c r="AY311" s="2" t="s">
        <v>74</v>
      </c>
      <c r="AZ311" s="2" t="s">
        <v>74</v>
      </c>
      <c r="BA311" s="2" t="s">
        <v>74</v>
      </c>
      <c r="BB311" s="2">
        <v>151</v>
      </c>
      <c r="BC311" s="2">
        <v>164</v>
      </c>
      <c r="BD311" s="2" t="s">
        <v>74</v>
      </c>
      <c r="BE311" s="2" t="s">
        <v>2917</v>
      </c>
      <c r="BF311" s="2" t="str">
        <f>HYPERLINK("http://dx.doi.org/10.3897/zookeys.1084.79415","http://dx.doi.org/10.3897/zookeys.1084.79415")</f>
        <v>http://dx.doi.org/10.3897/zookeys.1084.79415</v>
      </c>
      <c r="BG311" s="2" t="s">
        <v>74</v>
      </c>
      <c r="BH311" s="2" t="s">
        <v>74</v>
      </c>
      <c r="BI311" s="2" t="s">
        <v>74</v>
      </c>
      <c r="BJ311" s="2" t="s">
        <v>74</v>
      </c>
      <c r="BK311" s="2" t="s">
        <v>74</v>
      </c>
      <c r="BL311" s="2" t="s">
        <v>74</v>
      </c>
      <c r="BM311" s="2" t="s">
        <v>74</v>
      </c>
      <c r="BN311" s="2">
        <v>35233167</v>
      </c>
      <c r="BO311" s="2" t="s">
        <v>74</v>
      </c>
      <c r="BP311" s="2" t="s">
        <v>74</v>
      </c>
      <c r="BQ311" s="2" t="s">
        <v>74</v>
      </c>
      <c r="BR311" s="2" t="s">
        <v>74</v>
      </c>
      <c r="BS311" s="2" t="s">
        <v>2918</v>
      </c>
      <c r="BT311" s="2" t="str">
        <f>HYPERLINK("https%3A%2F%2Fwww.webofscience.com%2Fwos%2Fwoscc%2Ffull-record%2FWOS:000750859100001","View Full Record in Web of Science")</f>
        <v>View Full Record in Web of Science</v>
      </c>
    </row>
    <row r="312" spans="1:72" s="2" customFormat="1" x14ac:dyDescent="0.4">
      <c r="A312" s="2" t="s">
        <v>72</v>
      </c>
      <c r="B312" s="2" t="s">
        <v>2481</v>
      </c>
      <c r="C312" s="2" t="s">
        <v>74</v>
      </c>
      <c r="D312" s="2" t="s">
        <v>74</v>
      </c>
      <c r="E312" s="2" t="s">
        <v>74</v>
      </c>
      <c r="F312" s="2" t="s">
        <v>2482</v>
      </c>
      <c r="G312" s="2" t="s">
        <v>74</v>
      </c>
      <c r="H312" s="2" t="s">
        <v>74</v>
      </c>
      <c r="I312" s="2" t="s">
        <v>2483</v>
      </c>
      <c r="J312" s="2" t="s">
        <v>77</v>
      </c>
      <c r="K312" s="2" t="s">
        <v>74</v>
      </c>
      <c r="L312" s="2" t="s">
        <v>74</v>
      </c>
      <c r="M312" s="2" t="s">
        <v>74</v>
      </c>
      <c r="N312" s="2" t="s">
        <v>74</v>
      </c>
      <c r="O312" s="2" t="s">
        <v>74</v>
      </c>
      <c r="P312" s="2" t="s">
        <v>74</v>
      </c>
      <c r="Q312" s="2" t="s">
        <v>74</v>
      </c>
      <c r="R312" s="2" t="s">
        <v>74</v>
      </c>
      <c r="S312" s="2" t="s">
        <v>74</v>
      </c>
      <c r="T312" s="2" t="s">
        <v>74</v>
      </c>
      <c r="U312" s="2" t="s">
        <v>74</v>
      </c>
      <c r="V312" s="5" t="s">
        <v>2484</v>
      </c>
      <c r="W312" s="2" t="s">
        <v>74</v>
      </c>
      <c r="X312" s="2" t="s">
        <v>74</v>
      </c>
      <c r="Y312" s="2" t="s">
        <v>74</v>
      </c>
      <c r="Z312" s="2" t="s">
        <v>74</v>
      </c>
      <c r="AA312" s="2" t="s">
        <v>74</v>
      </c>
      <c r="AB312" s="2" t="s">
        <v>74</v>
      </c>
      <c r="AC312" s="2" t="s">
        <v>74</v>
      </c>
      <c r="AD312" s="2" t="s">
        <v>74</v>
      </c>
      <c r="AE312" s="2" t="s">
        <v>74</v>
      </c>
      <c r="AF312" s="2" t="s">
        <v>74</v>
      </c>
      <c r="AG312" s="2" t="s">
        <v>74</v>
      </c>
      <c r="AH312" s="2" t="s">
        <v>74</v>
      </c>
      <c r="AI312" s="2" t="s">
        <v>74</v>
      </c>
      <c r="AJ312" s="2" t="s">
        <v>74</v>
      </c>
      <c r="AK312" s="2" t="s">
        <v>74</v>
      </c>
      <c r="AL312" s="2" t="s">
        <v>74</v>
      </c>
      <c r="AM312" s="2" t="s">
        <v>74</v>
      </c>
      <c r="AN312" s="2" t="s">
        <v>74</v>
      </c>
      <c r="AO312" s="2" t="s">
        <v>81</v>
      </c>
      <c r="AP312" s="2" t="s">
        <v>82</v>
      </c>
      <c r="AQ312" s="2" t="s">
        <v>74</v>
      </c>
      <c r="AR312" s="2" t="s">
        <v>74</v>
      </c>
      <c r="AS312" s="2" t="s">
        <v>74</v>
      </c>
      <c r="AT312" s="2" t="s">
        <v>74</v>
      </c>
      <c r="AU312" s="2">
        <v>2015</v>
      </c>
      <c r="AV312" s="2">
        <v>152</v>
      </c>
      <c r="AW312" s="2">
        <v>11</v>
      </c>
      <c r="AX312" s="2" t="s">
        <v>74</v>
      </c>
      <c r="AY312" s="2" t="s">
        <v>74</v>
      </c>
      <c r="AZ312" s="2" t="s">
        <v>74</v>
      </c>
      <c r="BA312" s="2" t="s">
        <v>74</v>
      </c>
      <c r="BB312" s="2">
        <v>1463</v>
      </c>
      <c r="BC312" s="2">
        <v>1479</v>
      </c>
      <c r="BD312" s="2" t="s">
        <v>74</v>
      </c>
      <c r="BE312" s="2" t="s">
        <v>2485</v>
      </c>
      <c r="BF312" s="2" t="str">
        <f>HYPERLINK("http://dx.doi.org/10.1163/1568539X-00003287","http://dx.doi.org/10.1163/1568539X-00003287")</f>
        <v>http://dx.doi.org/10.1163/1568539X-00003287</v>
      </c>
      <c r="BG312" s="2" t="s">
        <v>74</v>
      </c>
      <c r="BH312" s="2" t="s">
        <v>74</v>
      </c>
      <c r="BI312" s="2" t="s">
        <v>74</v>
      </c>
      <c r="BJ312" s="2" t="s">
        <v>74</v>
      </c>
      <c r="BK312" s="2" t="s">
        <v>74</v>
      </c>
      <c r="BL312" s="2" t="s">
        <v>74</v>
      </c>
      <c r="BM312" s="2" t="s">
        <v>74</v>
      </c>
      <c r="BN312" s="2" t="s">
        <v>74</v>
      </c>
      <c r="BO312" s="2" t="s">
        <v>74</v>
      </c>
      <c r="BP312" s="2" t="s">
        <v>74</v>
      </c>
      <c r="BQ312" s="2" t="s">
        <v>74</v>
      </c>
      <c r="BR312" s="2" t="s">
        <v>74</v>
      </c>
      <c r="BS312" s="2" t="s">
        <v>2486</v>
      </c>
      <c r="BT312" s="2" t="str">
        <f>HYPERLINK("https%3A%2F%2Fwww.webofscience.com%2Fwos%2Fwoscc%2Ffull-record%2FWOS:000359994100002","View Full Record in Web of Science")</f>
        <v>View Full Record in Web of Science</v>
      </c>
    </row>
    <row r="313" spans="1:72" s="2" customFormat="1" x14ac:dyDescent="0.4">
      <c r="A313" s="2" t="s">
        <v>72</v>
      </c>
      <c r="B313" s="2" t="s">
        <v>2134</v>
      </c>
      <c r="C313" s="2" t="s">
        <v>74</v>
      </c>
      <c r="D313" s="2" t="s">
        <v>74</v>
      </c>
      <c r="E313" s="2" t="s">
        <v>74</v>
      </c>
      <c r="F313" s="2" t="s">
        <v>2135</v>
      </c>
      <c r="G313" s="2" t="s">
        <v>74</v>
      </c>
      <c r="H313" s="2" t="s">
        <v>74</v>
      </c>
      <c r="I313" s="2" t="s">
        <v>2136</v>
      </c>
      <c r="J313" s="2" t="s">
        <v>119</v>
      </c>
      <c r="K313" s="2" t="s">
        <v>74</v>
      </c>
      <c r="L313" s="2" t="s">
        <v>74</v>
      </c>
      <c r="M313" s="2" t="s">
        <v>74</v>
      </c>
      <c r="N313" s="2" t="s">
        <v>74</v>
      </c>
      <c r="O313" s="2" t="s">
        <v>74</v>
      </c>
      <c r="P313" s="2" t="s">
        <v>74</v>
      </c>
      <c r="Q313" s="2" t="s">
        <v>74</v>
      </c>
      <c r="R313" s="2" t="s">
        <v>74</v>
      </c>
      <c r="S313" s="2" t="s">
        <v>74</v>
      </c>
      <c r="T313" s="2" t="s">
        <v>74</v>
      </c>
      <c r="U313" s="2" t="s">
        <v>74</v>
      </c>
      <c r="V313" s="5" t="s">
        <v>2137</v>
      </c>
      <c r="W313" s="2" t="s">
        <v>74</v>
      </c>
      <c r="X313" s="2" t="s">
        <v>74</v>
      </c>
      <c r="Y313" s="2" t="s">
        <v>74</v>
      </c>
      <c r="Z313" s="2" t="s">
        <v>74</v>
      </c>
      <c r="AA313" s="2" t="s">
        <v>2138</v>
      </c>
      <c r="AB313" s="2" t="s">
        <v>2139</v>
      </c>
      <c r="AC313" s="2" t="s">
        <v>74</v>
      </c>
      <c r="AD313" s="2" t="s">
        <v>74</v>
      </c>
      <c r="AE313" s="2" t="s">
        <v>74</v>
      </c>
      <c r="AF313" s="2" t="s">
        <v>74</v>
      </c>
      <c r="AG313" s="2" t="s">
        <v>74</v>
      </c>
      <c r="AH313" s="2" t="s">
        <v>74</v>
      </c>
      <c r="AI313" s="2" t="s">
        <v>74</v>
      </c>
      <c r="AJ313" s="2" t="s">
        <v>74</v>
      </c>
      <c r="AK313" s="2" t="s">
        <v>74</v>
      </c>
      <c r="AL313" s="2" t="s">
        <v>74</v>
      </c>
      <c r="AM313" s="2" t="s">
        <v>74</v>
      </c>
      <c r="AN313" s="2" t="s">
        <v>74</v>
      </c>
      <c r="AO313" s="2" t="s">
        <v>121</v>
      </c>
      <c r="AP313" s="2" t="s">
        <v>122</v>
      </c>
      <c r="AQ313" s="2" t="s">
        <v>74</v>
      </c>
      <c r="AR313" s="2" t="s">
        <v>74</v>
      </c>
      <c r="AS313" s="2" t="s">
        <v>74</v>
      </c>
      <c r="AT313" s="2" t="s">
        <v>352</v>
      </c>
      <c r="AU313" s="2">
        <v>2014</v>
      </c>
      <c r="AV313" s="2">
        <v>107</v>
      </c>
      <c r="AW313" s="2" t="s">
        <v>74</v>
      </c>
      <c r="AX313" s="2" t="s">
        <v>74</v>
      </c>
      <c r="AY313" s="2" t="s">
        <v>74</v>
      </c>
      <c r="AZ313" s="2" t="s">
        <v>74</v>
      </c>
      <c r="BA313" s="2" t="s">
        <v>74</v>
      </c>
      <c r="BB313" s="2">
        <v>158</v>
      </c>
      <c r="BC313" s="2">
        <v>162</v>
      </c>
      <c r="BD313" s="2" t="s">
        <v>74</v>
      </c>
      <c r="BE313" s="2" t="s">
        <v>2140</v>
      </c>
      <c r="BF313" s="2" t="str">
        <f>HYPERLINK("http://dx.doi.org/10.1016/j.beproc.2014.08.010","http://dx.doi.org/10.1016/j.beproc.2014.08.010")</f>
        <v>http://dx.doi.org/10.1016/j.beproc.2014.08.010</v>
      </c>
      <c r="BG313" s="2" t="s">
        <v>74</v>
      </c>
      <c r="BH313" s="2" t="s">
        <v>74</v>
      </c>
      <c r="BI313" s="2" t="s">
        <v>74</v>
      </c>
      <c r="BJ313" s="2" t="s">
        <v>74</v>
      </c>
      <c r="BK313" s="2" t="s">
        <v>74</v>
      </c>
      <c r="BL313" s="2" t="s">
        <v>74</v>
      </c>
      <c r="BM313" s="2" t="s">
        <v>74</v>
      </c>
      <c r="BN313" s="2">
        <v>25151939</v>
      </c>
      <c r="BO313" s="2" t="s">
        <v>74</v>
      </c>
      <c r="BP313" s="2" t="s">
        <v>74</v>
      </c>
      <c r="BQ313" s="2" t="s">
        <v>74</v>
      </c>
      <c r="BR313" s="2" t="s">
        <v>74</v>
      </c>
      <c r="BS313" s="2" t="s">
        <v>2141</v>
      </c>
      <c r="BT313" s="2" t="str">
        <f>HYPERLINK("https%3A%2F%2Fwww.webofscience.com%2Fwos%2Fwoscc%2Ffull-record%2FWOS:000343628400020","View Full Record in Web of Science")</f>
        <v>View Full Record in Web of Science</v>
      </c>
    </row>
    <row r="314" spans="1:72" s="2" customFormat="1" x14ac:dyDescent="0.4">
      <c r="A314" s="2" t="s">
        <v>72</v>
      </c>
      <c r="B314" s="2" t="s">
        <v>6982</v>
      </c>
      <c r="C314" s="2" t="s">
        <v>74</v>
      </c>
      <c r="D314" s="2" t="s">
        <v>74</v>
      </c>
      <c r="E314" s="2" t="s">
        <v>74</v>
      </c>
      <c r="F314" s="2" t="s">
        <v>6983</v>
      </c>
      <c r="G314" s="2" t="s">
        <v>74</v>
      </c>
      <c r="H314" s="2" t="s">
        <v>74</v>
      </c>
      <c r="I314" s="2" t="s">
        <v>6984</v>
      </c>
      <c r="J314" s="2" t="s">
        <v>140</v>
      </c>
      <c r="K314" s="2" t="s">
        <v>74</v>
      </c>
      <c r="L314" s="2" t="s">
        <v>74</v>
      </c>
      <c r="M314" s="2" t="s">
        <v>74</v>
      </c>
      <c r="N314" s="2" t="s">
        <v>74</v>
      </c>
      <c r="O314" s="2" t="s">
        <v>74</v>
      </c>
      <c r="P314" s="2" t="s">
        <v>74</v>
      </c>
      <c r="Q314" s="2" t="s">
        <v>74</v>
      </c>
      <c r="R314" s="2" t="s">
        <v>74</v>
      </c>
      <c r="S314" s="2" t="s">
        <v>74</v>
      </c>
      <c r="T314" s="2" t="s">
        <v>74</v>
      </c>
      <c r="U314" s="2" t="s">
        <v>74</v>
      </c>
      <c r="V314" s="5" t="s">
        <v>6985</v>
      </c>
      <c r="W314" s="2" t="s">
        <v>74</v>
      </c>
      <c r="X314" s="2" t="s">
        <v>74</v>
      </c>
      <c r="Y314" s="2" t="s">
        <v>74</v>
      </c>
      <c r="Z314" s="2" t="s">
        <v>74</v>
      </c>
      <c r="AA314" s="2" t="s">
        <v>6986</v>
      </c>
      <c r="AB314" s="2" t="s">
        <v>6987</v>
      </c>
      <c r="AC314" s="2" t="s">
        <v>74</v>
      </c>
      <c r="AD314" s="2" t="s">
        <v>74</v>
      </c>
      <c r="AE314" s="2" t="s">
        <v>74</v>
      </c>
      <c r="AF314" s="2" t="s">
        <v>74</v>
      </c>
      <c r="AG314" s="2" t="s">
        <v>74</v>
      </c>
      <c r="AH314" s="2" t="s">
        <v>74</v>
      </c>
      <c r="AI314" s="2" t="s">
        <v>74</v>
      </c>
      <c r="AJ314" s="2" t="s">
        <v>74</v>
      </c>
      <c r="AK314" s="2" t="s">
        <v>74</v>
      </c>
      <c r="AL314" s="2" t="s">
        <v>74</v>
      </c>
      <c r="AM314" s="2" t="s">
        <v>74</v>
      </c>
      <c r="AN314" s="2" t="s">
        <v>74</v>
      </c>
      <c r="AO314" s="2" t="s">
        <v>143</v>
      </c>
      <c r="AP314" s="2" t="s">
        <v>144</v>
      </c>
      <c r="AQ314" s="2" t="s">
        <v>74</v>
      </c>
      <c r="AR314" s="2" t="s">
        <v>74</v>
      </c>
      <c r="AS314" s="2" t="s">
        <v>74</v>
      </c>
      <c r="AT314" s="2" t="s">
        <v>255</v>
      </c>
      <c r="AU314" s="2">
        <v>2008</v>
      </c>
      <c r="AV314" s="2">
        <v>75</v>
      </c>
      <c r="AW314" s="2" t="s">
        <v>74</v>
      </c>
      <c r="AX314" s="2">
        <v>1</v>
      </c>
      <c r="AY314" s="2" t="s">
        <v>74</v>
      </c>
      <c r="AZ314" s="2" t="s">
        <v>74</v>
      </c>
      <c r="BA314" s="2" t="s">
        <v>74</v>
      </c>
      <c r="BB314" s="2">
        <v>175</v>
      </c>
      <c r="BC314" s="2">
        <v>188</v>
      </c>
      <c r="BD314" s="2" t="s">
        <v>74</v>
      </c>
      <c r="BE314" s="2" t="s">
        <v>6988</v>
      </c>
      <c r="BF314" s="2" t="str">
        <f>HYPERLINK("http://dx.doi.org/10.1016/j.anbehav.2007.04.016","http://dx.doi.org/10.1016/j.anbehav.2007.04.016")</f>
        <v>http://dx.doi.org/10.1016/j.anbehav.2007.04.016</v>
      </c>
      <c r="BG314" s="2" t="s">
        <v>74</v>
      </c>
      <c r="BH314" s="2" t="s">
        <v>74</v>
      </c>
      <c r="BI314" s="2" t="s">
        <v>74</v>
      </c>
      <c r="BJ314" s="2" t="s">
        <v>74</v>
      </c>
      <c r="BK314" s="2" t="s">
        <v>74</v>
      </c>
      <c r="BL314" s="2" t="s">
        <v>74</v>
      </c>
      <c r="BM314" s="2" t="s">
        <v>74</v>
      </c>
      <c r="BN314" s="2" t="s">
        <v>74</v>
      </c>
      <c r="BO314" s="2" t="s">
        <v>74</v>
      </c>
      <c r="BP314" s="2" t="s">
        <v>74</v>
      </c>
      <c r="BQ314" s="2" t="s">
        <v>74</v>
      </c>
      <c r="BR314" s="2" t="s">
        <v>74</v>
      </c>
      <c r="BS314" s="2" t="s">
        <v>6989</v>
      </c>
      <c r="BT314" s="2" t="str">
        <f>HYPERLINK("https%3A%2F%2Fwww.webofscience.com%2Fwos%2Fwoscc%2Ffull-record%2FWOS:000252710000021","View Full Record in Web of Science")</f>
        <v>View Full Record in Web of Science</v>
      </c>
    </row>
    <row r="315" spans="1:72" s="2" customFormat="1" x14ac:dyDescent="0.4">
      <c r="A315" s="2" t="s">
        <v>72</v>
      </c>
      <c r="B315" s="2" t="s">
        <v>3814</v>
      </c>
      <c r="C315" s="2" t="s">
        <v>74</v>
      </c>
      <c r="D315" s="2" t="s">
        <v>74</v>
      </c>
      <c r="E315" s="2" t="s">
        <v>74</v>
      </c>
      <c r="F315" s="2" t="s">
        <v>3815</v>
      </c>
      <c r="G315" s="2" t="s">
        <v>74</v>
      </c>
      <c r="H315" s="2" t="s">
        <v>74</v>
      </c>
      <c r="I315" s="2" t="s">
        <v>3816</v>
      </c>
      <c r="J315" s="2" t="s">
        <v>3817</v>
      </c>
      <c r="K315" s="2" t="s">
        <v>74</v>
      </c>
      <c r="L315" s="2" t="s">
        <v>74</v>
      </c>
      <c r="M315" s="2" t="s">
        <v>74</v>
      </c>
      <c r="N315" s="2" t="s">
        <v>74</v>
      </c>
      <c r="O315" s="2" t="s">
        <v>74</v>
      </c>
      <c r="P315" s="2" t="s">
        <v>74</v>
      </c>
      <c r="Q315" s="2" t="s">
        <v>74</v>
      </c>
      <c r="R315" s="2" t="s">
        <v>74</v>
      </c>
      <c r="S315" s="2" t="s">
        <v>74</v>
      </c>
      <c r="T315" s="2" t="s">
        <v>74</v>
      </c>
      <c r="U315" s="2" t="s">
        <v>74</v>
      </c>
      <c r="V315" s="5" t="s">
        <v>3818</v>
      </c>
      <c r="W315" s="2" t="s">
        <v>74</v>
      </c>
      <c r="X315" s="2" t="s">
        <v>74</v>
      </c>
      <c r="Y315" s="2" t="s">
        <v>74</v>
      </c>
      <c r="Z315" s="2" t="s">
        <v>74</v>
      </c>
      <c r="AA315" s="2" t="s">
        <v>3819</v>
      </c>
      <c r="AB315" s="2" t="s">
        <v>3820</v>
      </c>
      <c r="AC315" s="2" t="s">
        <v>74</v>
      </c>
      <c r="AD315" s="2" t="s">
        <v>74</v>
      </c>
      <c r="AE315" s="2" t="s">
        <v>74</v>
      </c>
      <c r="AF315" s="2" t="s">
        <v>74</v>
      </c>
      <c r="AG315" s="2" t="s">
        <v>74</v>
      </c>
      <c r="AH315" s="2" t="s">
        <v>74</v>
      </c>
      <c r="AI315" s="2" t="s">
        <v>74</v>
      </c>
      <c r="AJ315" s="2" t="s">
        <v>74</v>
      </c>
      <c r="AK315" s="2" t="s">
        <v>74</v>
      </c>
      <c r="AL315" s="2" t="s">
        <v>74</v>
      </c>
      <c r="AM315" s="2" t="s">
        <v>74</v>
      </c>
      <c r="AN315" s="2" t="s">
        <v>74</v>
      </c>
      <c r="AO315" s="2" t="s">
        <v>3821</v>
      </c>
      <c r="AP315" s="2" t="s">
        <v>3822</v>
      </c>
      <c r="AQ315" s="2" t="s">
        <v>74</v>
      </c>
      <c r="AR315" s="2" t="s">
        <v>74</v>
      </c>
      <c r="AS315" s="2" t="s">
        <v>74</v>
      </c>
      <c r="AT315" s="2" t="s">
        <v>3823</v>
      </c>
      <c r="AU315" s="2">
        <v>2021</v>
      </c>
      <c r="AV315" s="2" t="s">
        <v>74</v>
      </c>
      <c r="AW315" s="2" t="s">
        <v>74</v>
      </c>
      <c r="AX315" s="2" t="s">
        <v>74</v>
      </c>
      <c r="AY315" s="2" t="s">
        <v>74</v>
      </c>
      <c r="AZ315" s="2" t="s">
        <v>74</v>
      </c>
      <c r="BA315" s="2" t="s">
        <v>74</v>
      </c>
      <c r="BB315" s="2" t="s">
        <v>74</v>
      </c>
      <c r="BC315" s="2" t="s">
        <v>74</v>
      </c>
      <c r="BD315" s="2" t="s">
        <v>3824</v>
      </c>
      <c r="BE315" s="2" t="s">
        <v>3825</v>
      </c>
      <c r="BF315" s="2" t="str">
        <f>HYPERLINK("http://dx.doi.org/10.1093/zoolinnean/zlab015","http://dx.doi.org/10.1093/zoolinnean/zlab015")</f>
        <v>http://dx.doi.org/10.1093/zoolinnean/zlab015</v>
      </c>
      <c r="BG315" s="2" t="s">
        <v>74</v>
      </c>
      <c r="BH315" s="2" t="s">
        <v>3826</v>
      </c>
      <c r="BI315" s="2" t="s">
        <v>74</v>
      </c>
      <c r="BJ315" s="2" t="s">
        <v>74</v>
      </c>
      <c r="BK315" s="2" t="s">
        <v>74</v>
      </c>
      <c r="BL315" s="2" t="s">
        <v>74</v>
      </c>
      <c r="BM315" s="2" t="s">
        <v>74</v>
      </c>
      <c r="BN315" s="2" t="s">
        <v>74</v>
      </c>
      <c r="BO315" s="2" t="s">
        <v>74</v>
      </c>
      <c r="BP315" s="2" t="s">
        <v>74</v>
      </c>
      <c r="BQ315" s="2" t="s">
        <v>74</v>
      </c>
      <c r="BR315" s="2" t="s">
        <v>74</v>
      </c>
      <c r="BS315" s="2" t="s">
        <v>3827</v>
      </c>
      <c r="BT315" s="2" t="str">
        <f>HYPERLINK("https%3A%2F%2Fwww.webofscience.com%2Fwos%2Fwoscc%2Ffull-record%2FWOS:000764722000001","View Full Record in Web of Science")</f>
        <v>View Full Record in Web of Science</v>
      </c>
    </row>
    <row r="316" spans="1:72" s="2" customFormat="1" x14ac:dyDescent="0.4">
      <c r="A316" s="2" t="s">
        <v>72</v>
      </c>
      <c r="B316" s="2" t="s">
        <v>3828</v>
      </c>
      <c r="C316" s="2" t="s">
        <v>74</v>
      </c>
      <c r="D316" s="2" t="s">
        <v>74</v>
      </c>
      <c r="E316" s="2" t="s">
        <v>74</v>
      </c>
      <c r="F316" s="2" t="s">
        <v>3829</v>
      </c>
      <c r="G316" s="2" t="s">
        <v>74</v>
      </c>
      <c r="H316" s="2" t="s">
        <v>74</v>
      </c>
      <c r="I316" s="2" t="s">
        <v>3816</v>
      </c>
      <c r="J316" s="2" t="s">
        <v>3817</v>
      </c>
      <c r="K316" s="2" t="s">
        <v>74</v>
      </c>
      <c r="L316" s="2" t="s">
        <v>74</v>
      </c>
      <c r="M316" s="2" t="s">
        <v>74</v>
      </c>
      <c r="N316" s="2" t="s">
        <v>74</v>
      </c>
      <c r="O316" s="2" t="s">
        <v>74</v>
      </c>
      <c r="P316" s="2" t="s">
        <v>74</v>
      </c>
      <c r="Q316" s="2" t="s">
        <v>74</v>
      </c>
      <c r="R316" s="2" t="s">
        <v>74</v>
      </c>
      <c r="S316" s="2" t="s">
        <v>74</v>
      </c>
      <c r="T316" s="2" t="s">
        <v>74</v>
      </c>
      <c r="U316" s="2" t="s">
        <v>74</v>
      </c>
      <c r="V316" s="5" t="s">
        <v>3830</v>
      </c>
      <c r="W316" s="2" t="s">
        <v>74</v>
      </c>
      <c r="X316" s="2" t="s">
        <v>74</v>
      </c>
      <c r="Y316" s="2" t="s">
        <v>74</v>
      </c>
      <c r="Z316" s="2" t="s">
        <v>74</v>
      </c>
      <c r="AA316" s="2" t="s">
        <v>3831</v>
      </c>
      <c r="AB316" s="2" t="s">
        <v>3832</v>
      </c>
      <c r="AC316" s="2" t="s">
        <v>74</v>
      </c>
      <c r="AD316" s="2" t="s">
        <v>74</v>
      </c>
      <c r="AE316" s="2" t="s">
        <v>74</v>
      </c>
      <c r="AF316" s="2" t="s">
        <v>74</v>
      </c>
      <c r="AG316" s="2" t="s">
        <v>74</v>
      </c>
      <c r="AH316" s="2" t="s">
        <v>74</v>
      </c>
      <c r="AI316" s="2" t="s">
        <v>74</v>
      </c>
      <c r="AJ316" s="2" t="s">
        <v>74</v>
      </c>
      <c r="AK316" s="2" t="s">
        <v>74</v>
      </c>
      <c r="AL316" s="2" t="s">
        <v>74</v>
      </c>
      <c r="AM316" s="2" t="s">
        <v>74</v>
      </c>
      <c r="AN316" s="2" t="s">
        <v>74</v>
      </c>
      <c r="AO316" s="2" t="s">
        <v>3821</v>
      </c>
      <c r="AP316" s="2" t="s">
        <v>3822</v>
      </c>
      <c r="AQ316" s="2" t="s">
        <v>74</v>
      </c>
      <c r="AR316" s="2" t="s">
        <v>74</v>
      </c>
      <c r="AS316" s="2" t="s">
        <v>74</v>
      </c>
      <c r="AT316" s="2" t="s">
        <v>3833</v>
      </c>
      <c r="AU316" s="2">
        <v>2022</v>
      </c>
      <c r="AV316" s="2">
        <v>194</v>
      </c>
      <c r="AW316" s="2">
        <v>3</v>
      </c>
      <c r="AX316" s="2" t="s">
        <v>74</v>
      </c>
      <c r="AY316" s="2" t="s">
        <v>74</v>
      </c>
      <c r="AZ316" s="2" t="s">
        <v>74</v>
      </c>
      <c r="BA316" s="2" t="s">
        <v>74</v>
      </c>
      <c r="BB316" s="2">
        <v>973</v>
      </c>
      <c r="BC316" s="2">
        <v>1034</v>
      </c>
      <c r="BD316" s="2" t="s">
        <v>74</v>
      </c>
      <c r="BE316" s="2" t="s">
        <v>74</v>
      </c>
      <c r="BF316" s="2" t="s">
        <v>74</v>
      </c>
      <c r="BG316" s="2" t="s">
        <v>74</v>
      </c>
      <c r="BH316" s="2" t="s">
        <v>74</v>
      </c>
      <c r="BI316" s="2" t="s">
        <v>74</v>
      </c>
      <c r="BJ316" s="2" t="s">
        <v>74</v>
      </c>
      <c r="BK316" s="2" t="s">
        <v>74</v>
      </c>
      <c r="BL316" s="2" t="s">
        <v>74</v>
      </c>
      <c r="BM316" s="2" t="s">
        <v>74</v>
      </c>
      <c r="BN316" s="2" t="s">
        <v>74</v>
      </c>
      <c r="BO316" s="2" t="s">
        <v>74</v>
      </c>
      <c r="BP316" s="2" t="s">
        <v>74</v>
      </c>
      <c r="BQ316" s="2" t="s">
        <v>74</v>
      </c>
      <c r="BR316" s="2" t="s">
        <v>74</v>
      </c>
      <c r="BS316" s="2" t="s">
        <v>3834</v>
      </c>
      <c r="BT316" s="2" t="str">
        <f>HYPERLINK("https%3A%2F%2Fwww.webofscience.com%2Fwos%2Fwoscc%2Ffull-record%2FWOS:000766308500011","View Full Record in Web of Science")</f>
        <v>View Full Record in Web of Science</v>
      </c>
    </row>
    <row r="317" spans="1:72" s="2" customFormat="1" x14ac:dyDescent="0.4">
      <c r="A317" s="2" t="s">
        <v>72</v>
      </c>
      <c r="B317" s="2" t="s">
        <v>2690</v>
      </c>
      <c r="C317" s="2" t="s">
        <v>74</v>
      </c>
      <c r="D317" s="2" t="s">
        <v>74</v>
      </c>
      <c r="E317" s="2" t="s">
        <v>74</v>
      </c>
      <c r="F317" s="2" t="s">
        <v>2690</v>
      </c>
      <c r="G317" s="2" t="s">
        <v>74</v>
      </c>
      <c r="H317" s="2" t="s">
        <v>74</v>
      </c>
      <c r="I317" s="2" t="s">
        <v>2691</v>
      </c>
      <c r="J317" s="2" t="s">
        <v>2692</v>
      </c>
      <c r="K317" s="2" t="s">
        <v>74</v>
      </c>
      <c r="L317" s="2" t="s">
        <v>74</v>
      </c>
      <c r="M317" s="2" t="s">
        <v>74</v>
      </c>
      <c r="N317" s="2" t="s">
        <v>74</v>
      </c>
      <c r="O317" s="2" t="s">
        <v>74</v>
      </c>
      <c r="P317" s="2" t="s">
        <v>74</v>
      </c>
      <c r="Q317" s="2" t="s">
        <v>74</v>
      </c>
      <c r="R317" s="2" t="s">
        <v>74</v>
      </c>
      <c r="S317" s="2" t="s">
        <v>74</v>
      </c>
      <c r="T317" s="2" t="s">
        <v>74</v>
      </c>
      <c r="U317" s="2" t="s">
        <v>74</v>
      </c>
      <c r="V317" s="5" t="s">
        <v>2693</v>
      </c>
      <c r="W317" s="2" t="s">
        <v>74</v>
      </c>
      <c r="X317" s="2" t="s">
        <v>74</v>
      </c>
      <c r="Y317" s="2" t="s">
        <v>74</v>
      </c>
      <c r="Z317" s="2" t="s">
        <v>74</v>
      </c>
      <c r="AA317" s="2" t="s">
        <v>74</v>
      </c>
      <c r="AB317" s="2" t="s">
        <v>74</v>
      </c>
      <c r="AC317" s="2" t="s">
        <v>74</v>
      </c>
      <c r="AD317" s="2" t="s">
        <v>74</v>
      </c>
      <c r="AE317" s="2" t="s">
        <v>74</v>
      </c>
      <c r="AF317" s="2" t="s">
        <v>74</v>
      </c>
      <c r="AG317" s="2" t="s">
        <v>74</v>
      </c>
      <c r="AH317" s="2" t="s">
        <v>74</v>
      </c>
      <c r="AI317" s="2" t="s">
        <v>74</v>
      </c>
      <c r="AJ317" s="2" t="s">
        <v>74</v>
      </c>
      <c r="AK317" s="2" t="s">
        <v>74</v>
      </c>
      <c r="AL317" s="2" t="s">
        <v>74</v>
      </c>
      <c r="AM317" s="2" t="s">
        <v>74</v>
      </c>
      <c r="AN317" s="2" t="s">
        <v>74</v>
      </c>
      <c r="AO317" s="2" t="s">
        <v>2694</v>
      </c>
      <c r="AP317" s="2" t="s">
        <v>74</v>
      </c>
      <c r="AQ317" s="2" t="s">
        <v>74</v>
      </c>
      <c r="AR317" s="2" t="s">
        <v>74</v>
      </c>
      <c r="AS317" s="2" t="s">
        <v>74</v>
      </c>
      <c r="AT317" s="2" t="s">
        <v>305</v>
      </c>
      <c r="AU317" s="2">
        <v>2002</v>
      </c>
      <c r="AV317" s="2">
        <v>12</v>
      </c>
      <c r="AW317" s="2">
        <v>4</v>
      </c>
      <c r="AX317" s="2" t="s">
        <v>74</v>
      </c>
      <c r="AY317" s="2" t="s">
        <v>74</v>
      </c>
      <c r="AZ317" s="2" t="s">
        <v>74</v>
      </c>
      <c r="BA317" s="2" t="s">
        <v>74</v>
      </c>
      <c r="BB317" s="2">
        <v>353</v>
      </c>
      <c r="BC317" s="2">
        <v>364</v>
      </c>
      <c r="BD317" s="2" t="s">
        <v>74</v>
      </c>
      <c r="BE317" s="2" t="s">
        <v>2695</v>
      </c>
      <c r="BF317" s="2" t="str">
        <f>HYPERLINK("http://dx.doi.org/10.1017/S0959270902002228","http://dx.doi.org/10.1017/S0959270902002228")</f>
        <v>http://dx.doi.org/10.1017/S0959270902002228</v>
      </c>
      <c r="BG317" s="2" t="s">
        <v>74</v>
      </c>
      <c r="BH317" s="2" t="s">
        <v>74</v>
      </c>
      <c r="BI317" s="2" t="s">
        <v>74</v>
      </c>
      <c r="BJ317" s="2" t="s">
        <v>74</v>
      </c>
      <c r="BK317" s="2" t="s">
        <v>74</v>
      </c>
      <c r="BL317" s="2" t="s">
        <v>74</v>
      </c>
      <c r="BM317" s="2" t="s">
        <v>74</v>
      </c>
      <c r="BN317" s="2" t="s">
        <v>74</v>
      </c>
      <c r="BO317" s="2" t="s">
        <v>74</v>
      </c>
      <c r="BP317" s="2" t="s">
        <v>74</v>
      </c>
      <c r="BQ317" s="2" t="s">
        <v>74</v>
      </c>
      <c r="BR317" s="2" t="s">
        <v>74</v>
      </c>
      <c r="BS317" s="2" t="s">
        <v>2696</v>
      </c>
      <c r="BT317" s="2" t="str">
        <f>HYPERLINK("https%3A%2F%2Fwww.webofscience.com%2Fwos%2Fwoscc%2Ffull-record%2FWOS:000180506600005","View Full Record in Web of Science")</f>
        <v>View Full Record in Web of Science</v>
      </c>
    </row>
    <row r="318" spans="1:72" s="2" customFormat="1" x14ac:dyDescent="0.4">
      <c r="A318" s="2" t="s">
        <v>72</v>
      </c>
      <c r="B318" s="2" t="s">
        <v>2865</v>
      </c>
      <c r="C318" s="2" t="s">
        <v>74</v>
      </c>
      <c r="D318" s="2" t="s">
        <v>74</v>
      </c>
      <c r="E318" s="2" t="s">
        <v>74</v>
      </c>
      <c r="F318" s="2" t="s">
        <v>2866</v>
      </c>
      <c r="G318" s="2" t="s">
        <v>74</v>
      </c>
      <c r="H318" s="2" t="s">
        <v>74</v>
      </c>
      <c r="I318" s="2" t="s">
        <v>2867</v>
      </c>
      <c r="J318" s="2" t="s">
        <v>1673</v>
      </c>
      <c r="K318" s="2" t="s">
        <v>74</v>
      </c>
      <c r="L318" s="2" t="s">
        <v>74</v>
      </c>
      <c r="M318" s="2" t="s">
        <v>74</v>
      </c>
      <c r="N318" s="2" t="s">
        <v>74</v>
      </c>
      <c r="O318" s="2" t="s">
        <v>74</v>
      </c>
      <c r="P318" s="2" t="s">
        <v>74</v>
      </c>
      <c r="Q318" s="2" t="s">
        <v>74</v>
      </c>
      <c r="R318" s="2" t="s">
        <v>74</v>
      </c>
      <c r="S318" s="2" t="s">
        <v>74</v>
      </c>
      <c r="T318" s="2" t="s">
        <v>74</v>
      </c>
      <c r="U318" s="2" t="s">
        <v>74</v>
      </c>
      <c r="V318" s="5" t="s">
        <v>2868</v>
      </c>
      <c r="W318" s="2" t="s">
        <v>74</v>
      </c>
      <c r="X318" s="2" t="s">
        <v>74</v>
      </c>
      <c r="Y318" s="2" t="s">
        <v>74</v>
      </c>
      <c r="Z318" s="2" t="s">
        <v>74</v>
      </c>
      <c r="AA318" s="2" t="s">
        <v>2869</v>
      </c>
      <c r="AB318" s="2" t="s">
        <v>2870</v>
      </c>
      <c r="AC318" s="2" t="s">
        <v>74</v>
      </c>
      <c r="AD318" s="2" t="s">
        <v>74</v>
      </c>
      <c r="AE318" s="2" t="s">
        <v>74</v>
      </c>
      <c r="AF318" s="2" t="s">
        <v>74</v>
      </c>
      <c r="AG318" s="2" t="s">
        <v>74</v>
      </c>
      <c r="AH318" s="2" t="s">
        <v>74</v>
      </c>
      <c r="AI318" s="2" t="s">
        <v>74</v>
      </c>
      <c r="AJ318" s="2" t="s">
        <v>74</v>
      </c>
      <c r="AK318" s="2" t="s">
        <v>74</v>
      </c>
      <c r="AL318" s="2" t="s">
        <v>74</v>
      </c>
      <c r="AM318" s="2" t="s">
        <v>74</v>
      </c>
      <c r="AN318" s="2" t="s">
        <v>74</v>
      </c>
      <c r="AO318" s="2" t="s">
        <v>1239</v>
      </c>
      <c r="AP318" s="2" t="s">
        <v>1675</v>
      </c>
      <c r="AQ318" s="2" t="s">
        <v>74</v>
      </c>
      <c r="AR318" s="2" t="s">
        <v>74</v>
      </c>
      <c r="AS318" s="2" t="s">
        <v>74</v>
      </c>
      <c r="AT318" s="2" t="s">
        <v>145</v>
      </c>
      <c r="AU318" s="2">
        <v>2023</v>
      </c>
      <c r="AV318" s="2">
        <v>101</v>
      </c>
      <c r="AW318" s="2">
        <v>8</v>
      </c>
      <c r="AX318" s="2" t="s">
        <v>74</v>
      </c>
      <c r="AY318" s="2" t="s">
        <v>74</v>
      </c>
      <c r="AZ318" s="2" t="s">
        <v>74</v>
      </c>
      <c r="BA318" s="2" t="s">
        <v>74</v>
      </c>
      <c r="BB318" s="2">
        <v>658</v>
      </c>
      <c r="BC318" s="2">
        <v>671</v>
      </c>
      <c r="BD318" s="2" t="s">
        <v>74</v>
      </c>
      <c r="BE318" s="2" t="s">
        <v>2871</v>
      </c>
      <c r="BF318" s="2" t="str">
        <f>HYPERLINK("http://dx.doi.org/10.1139/cjz-2023-0039","http://dx.doi.org/10.1139/cjz-2023-0039")</f>
        <v>http://dx.doi.org/10.1139/cjz-2023-0039</v>
      </c>
      <c r="BG318" s="2" t="s">
        <v>74</v>
      </c>
      <c r="BH318" s="2" t="s">
        <v>1391</v>
      </c>
      <c r="BI318" s="2" t="s">
        <v>74</v>
      </c>
      <c r="BJ318" s="2" t="s">
        <v>74</v>
      </c>
      <c r="BK318" s="2" t="s">
        <v>74</v>
      </c>
      <c r="BL318" s="2" t="s">
        <v>74</v>
      </c>
      <c r="BM318" s="2" t="s">
        <v>74</v>
      </c>
      <c r="BN318" s="2" t="s">
        <v>74</v>
      </c>
      <c r="BO318" s="2" t="s">
        <v>74</v>
      </c>
      <c r="BP318" s="2" t="s">
        <v>74</v>
      </c>
      <c r="BQ318" s="2" t="s">
        <v>74</v>
      </c>
      <c r="BR318" s="2" t="s">
        <v>74</v>
      </c>
      <c r="BS318" s="2" t="s">
        <v>2872</v>
      </c>
      <c r="BT318" s="2" t="str">
        <f>HYPERLINK("https%3A%2F%2Fwww.webofscience.com%2Fwos%2Fwoscc%2Ffull-record%2FWOS:000995450300001","View Full Record in Web of Science")</f>
        <v>View Full Record in Web of Science</v>
      </c>
    </row>
    <row r="319" spans="1:72" s="2" customFormat="1" x14ac:dyDescent="0.4">
      <c r="A319" s="2" t="s">
        <v>72</v>
      </c>
      <c r="B319" s="2" t="s">
        <v>4403</v>
      </c>
      <c r="C319" s="2" t="s">
        <v>74</v>
      </c>
      <c r="D319" s="2" t="s">
        <v>74</v>
      </c>
      <c r="E319" s="2" t="s">
        <v>74</v>
      </c>
      <c r="F319" s="2" t="s">
        <v>4403</v>
      </c>
      <c r="G319" s="2" t="s">
        <v>74</v>
      </c>
      <c r="H319" s="2" t="s">
        <v>74</v>
      </c>
      <c r="I319" s="2" t="s">
        <v>4404</v>
      </c>
      <c r="J319" s="2" t="s">
        <v>2152</v>
      </c>
      <c r="K319" s="2" t="s">
        <v>74</v>
      </c>
      <c r="L319" s="2" t="s">
        <v>74</v>
      </c>
      <c r="M319" s="2" t="s">
        <v>74</v>
      </c>
      <c r="N319" s="2" t="s">
        <v>74</v>
      </c>
      <c r="O319" s="2" t="s">
        <v>74</v>
      </c>
      <c r="P319" s="2" t="s">
        <v>74</v>
      </c>
      <c r="Q319" s="2" t="s">
        <v>74</v>
      </c>
      <c r="R319" s="2" t="s">
        <v>74</v>
      </c>
      <c r="S319" s="2" t="s">
        <v>74</v>
      </c>
      <c r="T319" s="2" t="s">
        <v>74</v>
      </c>
      <c r="U319" s="2" t="s">
        <v>74</v>
      </c>
      <c r="V319" s="5" t="s">
        <v>4405</v>
      </c>
      <c r="W319" s="2" t="s">
        <v>74</v>
      </c>
      <c r="X319" s="2" t="s">
        <v>74</v>
      </c>
      <c r="Y319" s="2" t="s">
        <v>74</v>
      </c>
      <c r="Z319" s="2" t="s">
        <v>74</v>
      </c>
      <c r="AA319" s="2" t="s">
        <v>74</v>
      </c>
      <c r="AB319" s="2" t="s">
        <v>74</v>
      </c>
      <c r="AC319" s="2" t="s">
        <v>74</v>
      </c>
      <c r="AD319" s="2" t="s">
        <v>74</v>
      </c>
      <c r="AE319" s="2" t="s">
        <v>74</v>
      </c>
      <c r="AF319" s="2" t="s">
        <v>74</v>
      </c>
      <c r="AG319" s="2" t="s">
        <v>74</v>
      </c>
      <c r="AH319" s="2" t="s">
        <v>74</v>
      </c>
      <c r="AI319" s="2" t="s">
        <v>74</v>
      </c>
      <c r="AJ319" s="2" t="s">
        <v>74</v>
      </c>
      <c r="AK319" s="2" t="s">
        <v>74</v>
      </c>
      <c r="AL319" s="2" t="s">
        <v>74</v>
      </c>
      <c r="AM319" s="2" t="s">
        <v>74</v>
      </c>
      <c r="AN319" s="2" t="s">
        <v>74</v>
      </c>
      <c r="AO319" s="2" t="s">
        <v>2153</v>
      </c>
      <c r="AP319" s="2" t="s">
        <v>74</v>
      </c>
      <c r="AQ319" s="2" t="s">
        <v>74</v>
      </c>
      <c r="AR319" s="2" t="s">
        <v>74</v>
      </c>
      <c r="AS319" s="2" t="s">
        <v>74</v>
      </c>
      <c r="AT319" s="2" t="s">
        <v>74</v>
      </c>
      <c r="AU319" s="2">
        <v>1983</v>
      </c>
      <c r="AV319" s="2">
        <v>32</v>
      </c>
      <c r="AW319" s="2">
        <v>1</v>
      </c>
      <c r="AX319" s="2" t="s">
        <v>74</v>
      </c>
      <c r="AY319" s="2" t="s">
        <v>74</v>
      </c>
      <c r="AZ319" s="2" t="s">
        <v>74</v>
      </c>
      <c r="BA319" s="2" t="s">
        <v>74</v>
      </c>
      <c r="BB319" s="2">
        <v>1</v>
      </c>
      <c r="BC319" s="2">
        <v>12</v>
      </c>
      <c r="BD319" s="2" t="s">
        <v>74</v>
      </c>
      <c r="BE319" s="2" t="s">
        <v>74</v>
      </c>
      <c r="BF319" s="2" t="s">
        <v>74</v>
      </c>
      <c r="BG319" s="2" t="s">
        <v>74</v>
      </c>
      <c r="BH319" s="2" t="s">
        <v>74</v>
      </c>
      <c r="BI319" s="2" t="s">
        <v>74</v>
      </c>
      <c r="BJ319" s="2" t="s">
        <v>74</v>
      </c>
      <c r="BK319" s="2" t="s">
        <v>74</v>
      </c>
      <c r="BL319" s="2" t="s">
        <v>74</v>
      </c>
      <c r="BM319" s="2" t="s">
        <v>74</v>
      </c>
      <c r="BN319" s="2" t="s">
        <v>74</v>
      </c>
      <c r="BO319" s="2" t="s">
        <v>74</v>
      </c>
      <c r="BP319" s="2" t="s">
        <v>74</v>
      </c>
      <c r="BQ319" s="2" t="s">
        <v>74</v>
      </c>
      <c r="BR319" s="2" t="s">
        <v>74</v>
      </c>
      <c r="BS319" s="2" t="s">
        <v>4406</v>
      </c>
      <c r="BT319" s="2" t="str">
        <f>HYPERLINK("https%3A%2F%2Fwww.webofscience.com%2Fwos%2Fwoscc%2Ffull-record%2FWOS:A1983RJ22700001","View Full Record in Web of Science")</f>
        <v>View Full Record in Web of Science</v>
      </c>
    </row>
    <row r="320" spans="1:72" s="2" customFormat="1" x14ac:dyDescent="0.4">
      <c r="A320" s="2" t="s">
        <v>72</v>
      </c>
      <c r="B320" s="2" t="s">
        <v>8007</v>
      </c>
      <c r="C320" s="2" t="s">
        <v>74</v>
      </c>
      <c r="D320" s="2" t="s">
        <v>74</v>
      </c>
      <c r="E320" s="2" t="s">
        <v>74</v>
      </c>
      <c r="F320" s="2" t="s">
        <v>8008</v>
      </c>
      <c r="G320" s="2" t="s">
        <v>74</v>
      </c>
      <c r="H320" s="2" t="s">
        <v>74</v>
      </c>
      <c r="I320" s="2" t="s">
        <v>8009</v>
      </c>
      <c r="J320" s="2" t="s">
        <v>333</v>
      </c>
      <c r="K320" s="2" t="s">
        <v>74</v>
      </c>
      <c r="L320" s="2" t="s">
        <v>74</v>
      </c>
      <c r="M320" s="2" t="s">
        <v>74</v>
      </c>
      <c r="N320" s="2" t="s">
        <v>74</v>
      </c>
      <c r="O320" s="2" t="s">
        <v>74</v>
      </c>
      <c r="P320" s="2" t="s">
        <v>74</v>
      </c>
      <c r="Q320" s="2" t="s">
        <v>74</v>
      </c>
      <c r="R320" s="2" t="s">
        <v>74</v>
      </c>
      <c r="S320" s="2" t="s">
        <v>74</v>
      </c>
      <c r="T320" s="2" t="s">
        <v>74</v>
      </c>
      <c r="U320" s="2" t="s">
        <v>74</v>
      </c>
      <c r="V320" s="5" t="s">
        <v>8010</v>
      </c>
      <c r="W320" s="2" t="s">
        <v>74</v>
      </c>
      <c r="X320" s="2" t="s">
        <v>74</v>
      </c>
      <c r="Y320" s="2" t="s">
        <v>74</v>
      </c>
      <c r="Z320" s="2" t="s">
        <v>74</v>
      </c>
      <c r="AA320" s="2" t="s">
        <v>1416</v>
      </c>
      <c r="AB320" s="2" t="s">
        <v>74</v>
      </c>
      <c r="AC320" s="2" t="s">
        <v>74</v>
      </c>
      <c r="AD320" s="2" t="s">
        <v>74</v>
      </c>
      <c r="AE320" s="2" t="s">
        <v>74</v>
      </c>
      <c r="AF320" s="2" t="s">
        <v>74</v>
      </c>
      <c r="AG320" s="2" t="s">
        <v>74</v>
      </c>
      <c r="AH320" s="2" t="s">
        <v>74</v>
      </c>
      <c r="AI320" s="2" t="s">
        <v>74</v>
      </c>
      <c r="AJ320" s="2" t="s">
        <v>74</v>
      </c>
      <c r="AK320" s="2" t="s">
        <v>74</v>
      </c>
      <c r="AL320" s="2" t="s">
        <v>74</v>
      </c>
      <c r="AM320" s="2" t="s">
        <v>74</v>
      </c>
      <c r="AN320" s="2" t="s">
        <v>74</v>
      </c>
      <c r="AO320" s="2" t="s">
        <v>337</v>
      </c>
      <c r="AP320" s="2" t="s">
        <v>338</v>
      </c>
      <c r="AQ320" s="2" t="s">
        <v>74</v>
      </c>
      <c r="AR320" s="2" t="s">
        <v>74</v>
      </c>
      <c r="AS320" s="2" t="s">
        <v>74</v>
      </c>
      <c r="AT320" s="2" t="s">
        <v>1013</v>
      </c>
      <c r="AU320" s="2">
        <v>2014</v>
      </c>
      <c r="AV320" s="2">
        <v>25</v>
      </c>
      <c r="AW320" s="2">
        <v>5</v>
      </c>
      <c r="AX320" s="2" t="s">
        <v>74</v>
      </c>
      <c r="AY320" s="2" t="s">
        <v>74</v>
      </c>
      <c r="AZ320" s="2" t="s">
        <v>74</v>
      </c>
      <c r="BA320" s="2" t="s">
        <v>74</v>
      </c>
      <c r="BB320" s="2">
        <v>1097</v>
      </c>
      <c r="BC320" s="2">
        <v>1104</v>
      </c>
      <c r="BD320" s="2" t="s">
        <v>74</v>
      </c>
      <c r="BE320" s="2" t="s">
        <v>8011</v>
      </c>
      <c r="BF320" s="2" t="str">
        <f>HYPERLINK("http://dx.doi.org/10.1093/beheco/aru087","http://dx.doi.org/10.1093/beheco/aru087")</f>
        <v>http://dx.doi.org/10.1093/beheco/aru087</v>
      </c>
      <c r="BG320" s="2" t="s">
        <v>74</v>
      </c>
      <c r="BH320" s="2" t="s">
        <v>74</v>
      </c>
      <c r="BI320" s="2" t="s">
        <v>74</v>
      </c>
      <c r="BJ320" s="2" t="s">
        <v>74</v>
      </c>
      <c r="BK320" s="2" t="s">
        <v>74</v>
      </c>
      <c r="BL320" s="2" t="s">
        <v>74</v>
      </c>
      <c r="BM320" s="2" t="s">
        <v>74</v>
      </c>
      <c r="BN320" s="2" t="s">
        <v>74</v>
      </c>
      <c r="BO320" s="2" t="s">
        <v>74</v>
      </c>
      <c r="BP320" s="2" t="s">
        <v>74</v>
      </c>
      <c r="BQ320" s="2" t="s">
        <v>74</v>
      </c>
      <c r="BR320" s="2" t="s">
        <v>74</v>
      </c>
      <c r="BS320" s="2" t="s">
        <v>8012</v>
      </c>
      <c r="BT320" s="2" t="str">
        <f>HYPERLINK("https%3A%2F%2Fwww.webofscience.com%2Fwos%2Fwoscc%2Ffull-record%2FWOS:000342360200015","View Full Record in Web of Science")</f>
        <v>View Full Record in Web of Science</v>
      </c>
    </row>
    <row r="321" spans="1:72" s="2" customFormat="1" x14ac:dyDescent="0.4">
      <c r="A321" s="2" t="s">
        <v>72</v>
      </c>
      <c r="B321" s="2" t="s">
        <v>6217</v>
      </c>
      <c r="C321" s="2" t="s">
        <v>74</v>
      </c>
      <c r="D321" s="2" t="s">
        <v>74</v>
      </c>
      <c r="E321" s="2" t="s">
        <v>74</v>
      </c>
      <c r="F321" s="2" t="s">
        <v>6217</v>
      </c>
      <c r="G321" s="2" t="s">
        <v>74</v>
      </c>
      <c r="H321" s="2" t="s">
        <v>74</v>
      </c>
      <c r="I321" s="2" t="s">
        <v>6218</v>
      </c>
      <c r="J321" s="2" t="s">
        <v>312</v>
      </c>
      <c r="K321" s="2" t="s">
        <v>74</v>
      </c>
      <c r="L321" s="2" t="s">
        <v>74</v>
      </c>
      <c r="M321" s="2" t="s">
        <v>74</v>
      </c>
      <c r="N321" s="2" t="s">
        <v>74</v>
      </c>
      <c r="O321" s="2" t="s">
        <v>74</v>
      </c>
      <c r="P321" s="2" t="s">
        <v>74</v>
      </c>
      <c r="Q321" s="2" t="s">
        <v>74</v>
      </c>
      <c r="R321" s="2" t="s">
        <v>74</v>
      </c>
      <c r="S321" s="2" t="s">
        <v>74</v>
      </c>
      <c r="T321" s="2" t="s">
        <v>74</v>
      </c>
      <c r="U321" s="2" t="s">
        <v>74</v>
      </c>
      <c r="V321" s="5" t="s">
        <v>6219</v>
      </c>
      <c r="W321" s="2" t="s">
        <v>74</v>
      </c>
      <c r="X321" s="2" t="s">
        <v>74</v>
      </c>
      <c r="Y321" s="2" t="s">
        <v>74</v>
      </c>
      <c r="Z321" s="2" t="s">
        <v>74</v>
      </c>
      <c r="AA321" s="2" t="s">
        <v>6220</v>
      </c>
      <c r="AB321" s="2" t="s">
        <v>6221</v>
      </c>
      <c r="AC321" s="2" t="s">
        <v>74</v>
      </c>
      <c r="AD321" s="2" t="s">
        <v>74</v>
      </c>
      <c r="AE321" s="2" t="s">
        <v>74</v>
      </c>
      <c r="AF321" s="2" t="s">
        <v>74</v>
      </c>
      <c r="AG321" s="2" t="s">
        <v>74</v>
      </c>
      <c r="AH321" s="2" t="s">
        <v>74</v>
      </c>
      <c r="AI321" s="2" t="s">
        <v>74</v>
      </c>
      <c r="AJ321" s="2" t="s">
        <v>74</v>
      </c>
      <c r="AK321" s="2" t="s">
        <v>74</v>
      </c>
      <c r="AL321" s="2" t="s">
        <v>74</v>
      </c>
      <c r="AM321" s="2" t="s">
        <v>74</v>
      </c>
      <c r="AN321" s="2" t="s">
        <v>74</v>
      </c>
      <c r="AO321" s="2" t="s">
        <v>314</v>
      </c>
      <c r="AP321" s="2" t="s">
        <v>315</v>
      </c>
      <c r="AQ321" s="2" t="s">
        <v>74</v>
      </c>
      <c r="AR321" s="2" t="s">
        <v>74</v>
      </c>
      <c r="AS321" s="2" t="s">
        <v>74</v>
      </c>
      <c r="AT321" s="2" t="s">
        <v>204</v>
      </c>
      <c r="AU321" s="2">
        <v>2001</v>
      </c>
      <c r="AV321" s="2">
        <v>158</v>
      </c>
      <c r="AW321" s="2">
        <v>1</v>
      </c>
      <c r="AX321" s="2" t="s">
        <v>74</v>
      </c>
      <c r="AY321" s="2" t="s">
        <v>74</v>
      </c>
      <c r="AZ321" s="2" t="s">
        <v>74</v>
      </c>
      <c r="BA321" s="2" t="s">
        <v>74</v>
      </c>
      <c r="BB321" s="2">
        <v>75</v>
      </c>
      <c r="BC321" s="2">
        <v>86</v>
      </c>
      <c r="BD321" s="2" t="s">
        <v>74</v>
      </c>
      <c r="BE321" s="2" t="s">
        <v>6222</v>
      </c>
      <c r="BF321" s="2" t="str">
        <f>HYPERLINK("http://dx.doi.org/10.1086/320861","http://dx.doi.org/10.1086/320861")</f>
        <v>http://dx.doi.org/10.1086/320861</v>
      </c>
      <c r="BG321" s="2" t="s">
        <v>74</v>
      </c>
      <c r="BH321" s="2" t="s">
        <v>74</v>
      </c>
      <c r="BI321" s="2" t="s">
        <v>74</v>
      </c>
      <c r="BJ321" s="2" t="s">
        <v>74</v>
      </c>
      <c r="BK321" s="2" t="s">
        <v>74</v>
      </c>
      <c r="BL321" s="2" t="s">
        <v>74</v>
      </c>
      <c r="BM321" s="2" t="s">
        <v>74</v>
      </c>
      <c r="BN321" s="2">
        <v>18707316</v>
      </c>
      <c r="BO321" s="2" t="s">
        <v>74</v>
      </c>
      <c r="BP321" s="2" t="s">
        <v>74</v>
      </c>
      <c r="BQ321" s="2" t="s">
        <v>74</v>
      </c>
      <c r="BR321" s="2" t="s">
        <v>74</v>
      </c>
      <c r="BS321" s="2" t="s">
        <v>6223</v>
      </c>
      <c r="BT321" s="2" t="str">
        <f>HYPERLINK("https%3A%2F%2Fwww.webofscience.com%2Fwos%2Fwoscc%2Ffull-record%2FWOS:000169198200006","View Full Record in Web of Science")</f>
        <v>View Full Record in Web of Science</v>
      </c>
    </row>
    <row r="322" spans="1:72" s="2" customFormat="1" x14ac:dyDescent="0.4">
      <c r="A322" s="2" t="s">
        <v>72</v>
      </c>
      <c r="B322" s="2" t="s">
        <v>6259</v>
      </c>
      <c r="C322" s="2" t="s">
        <v>74</v>
      </c>
      <c r="D322" s="2" t="s">
        <v>74</v>
      </c>
      <c r="E322" s="2" t="s">
        <v>74</v>
      </c>
      <c r="F322" s="2" t="s">
        <v>6260</v>
      </c>
      <c r="G322" s="2" t="s">
        <v>74</v>
      </c>
      <c r="H322" s="2" t="s">
        <v>74</v>
      </c>
      <c r="I322" s="2" t="s">
        <v>6261</v>
      </c>
      <c r="J322" s="2" t="s">
        <v>6262</v>
      </c>
      <c r="K322" s="2" t="s">
        <v>74</v>
      </c>
      <c r="L322" s="2" t="s">
        <v>74</v>
      </c>
      <c r="M322" s="2" t="s">
        <v>74</v>
      </c>
      <c r="N322" s="2" t="s">
        <v>74</v>
      </c>
      <c r="O322" s="2" t="s">
        <v>74</v>
      </c>
      <c r="P322" s="2" t="s">
        <v>74</v>
      </c>
      <c r="Q322" s="2" t="s">
        <v>74</v>
      </c>
      <c r="R322" s="2" t="s">
        <v>74</v>
      </c>
      <c r="S322" s="2" t="s">
        <v>74</v>
      </c>
      <c r="T322" s="2" t="s">
        <v>74</v>
      </c>
      <c r="U322" s="2" t="s">
        <v>74</v>
      </c>
      <c r="V322" s="5" t="s">
        <v>6263</v>
      </c>
      <c r="W322" s="2" t="s">
        <v>74</v>
      </c>
      <c r="X322" s="2" t="s">
        <v>74</v>
      </c>
      <c r="Y322" s="2" t="s">
        <v>74</v>
      </c>
      <c r="Z322" s="2" t="s">
        <v>74</v>
      </c>
      <c r="AA322" s="2" t="s">
        <v>6264</v>
      </c>
      <c r="AB322" s="2" t="s">
        <v>6265</v>
      </c>
      <c r="AC322" s="2" t="s">
        <v>74</v>
      </c>
      <c r="AD322" s="2" t="s">
        <v>74</v>
      </c>
      <c r="AE322" s="2" t="s">
        <v>74</v>
      </c>
      <c r="AF322" s="2" t="s">
        <v>74</v>
      </c>
      <c r="AG322" s="2" t="s">
        <v>74</v>
      </c>
      <c r="AH322" s="2" t="s">
        <v>74</v>
      </c>
      <c r="AI322" s="2" t="s">
        <v>74</v>
      </c>
      <c r="AJ322" s="2" t="s">
        <v>74</v>
      </c>
      <c r="AK322" s="2" t="s">
        <v>74</v>
      </c>
      <c r="AL322" s="2" t="s">
        <v>74</v>
      </c>
      <c r="AM322" s="2" t="s">
        <v>74</v>
      </c>
      <c r="AN322" s="2" t="s">
        <v>74</v>
      </c>
      <c r="AO322" s="2" t="s">
        <v>6266</v>
      </c>
      <c r="AP322" s="2" t="s">
        <v>74</v>
      </c>
      <c r="AQ322" s="2" t="s">
        <v>74</v>
      </c>
      <c r="AR322" s="2" t="s">
        <v>74</v>
      </c>
      <c r="AS322" s="2" t="s">
        <v>74</v>
      </c>
      <c r="AT322" s="2" t="s">
        <v>305</v>
      </c>
      <c r="AU322" s="2">
        <v>2006</v>
      </c>
      <c r="AV322" s="2">
        <v>29</v>
      </c>
      <c r="AW322" s="2">
        <v>6</v>
      </c>
      <c r="AX322" s="2" t="s">
        <v>74</v>
      </c>
      <c r="AY322" s="2" t="s">
        <v>74</v>
      </c>
      <c r="AZ322" s="2" t="s">
        <v>74</v>
      </c>
      <c r="BA322" s="2" t="s">
        <v>74</v>
      </c>
      <c r="BB322" s="2">
        <v>886</v>
      </c>
      <c r="BC322" s="2">
        <v>898</v>
      </c>
      <c r="BD322" s="2" t="s">
        <v>74</v>
      </c>
      <c r="BE322" s="2" t="s">
        <v>6267</v>
      </c>
      <c r="BF322" s="2" t="str">
        <f>HYPERLINK("http://dx.doi.org/10.1111/j.2006.0906-7590.04816.x","http://dx.doi.org/10.1111/j.2006.0906-7590.04816.x")</f>
        <v>http://dx.doi.org/10.1111/j.2006.0906-7590.04816.x</v>
      </c>
      <c r="BG322" s="2" t="s">
        <v>74</v>
      </c>
      <c r="BH322" s="2" t="s">
        <v>74</v>
      </c>
      <c r="BI322" s="2" t="s">
        <v>74</v>
      </c>
      <c r="BJ322" s="2" t="s">
        <v>74</v>
      </c>
      <c r="BK322" s="2" t="s">
        <v>74</v>
      </c>
      <c r="BL322" s="2" t="s">
        <v>74</v>
      </c>
      <c r="BM322" s="2" t="s">
        <v>74</v>
      </c>
      <c r="BN322" s="2" t="s">
        <v>74</v>
      </c>
      <c r="BO322" s="2" t="s">
        <v>74</v>
      </c>
      <c r="BP322" s="2" t="s">
        <v>74</v>
      </c>
      <c r="BQ322" s="2" t="s">
        <v>74</v>
      </c>
      <c r="BR322" s="2" t="s">
        <v>74</v>
      </c>
      <c r="BS322" s="2" t="s">
        <v>6268</v>
      </c>
      <c r="BT322" s="2" t="str">
        <f>HYPERLINK("https%3A%2F%2Fwww.webofscience.com%2Fwos%2Fwoscc%2Ffull-record%2FWOS:000243634500010","View Full Record in Web of Science")</f>
        <v>View Full Record in Web of Science</v>
      </c>
    </row>
    <row r="323" spans="1:72" s="2" customFormat="1" x14ac:dyDescent="0.4">
      <c r="A323" s="2" t="s">
        <v>72</v>
      </c>
      <c r="B323" s="2" t="s">
        <v>6781</v>
      </c>
      <c r="C323" s="2" t="s">
        <v>74</v>
      </c>
      <c r="D323" s="2" t="s">
        <v>74</v>
      </c>
      <c r="E323" s="2" t="s">
        <v>74</v>
      </c>
      <c r="F323" s="2" t="s">
        <v>6782</v>
      </c>
      <c r="G323" s="2" t="s">
        <v>74</v>
      </c>
      <c r="H323" s="2" t="s">
        <v>74</v>
      </c>
      <c r="I323" s="2" t="s">
        <v>6783</v>
      </c>
      <c r="J323" s="2" t="s">
        <v>367</v>
      </c>
      <c r="K323" s="2" t="s">
        <v>74</v>
      </c>
      <c r="L323" s="2" t="s">
        <v>74</v>
      </c>
      <c r="M323" s="2" t="s">
        <v>74</v>
      </c>
      <c r="N323" s="2" t="s">
        <v>74</v>
      </c>
      <c r="O323" s="2" t="s">
        <v>74</v>
      </c>
      <c r="P323" s="2" t="s">
        <v>74</v>
      </c>
      <c r="Q323" s="2" t="s">
        <v>74</v>
      </c>
      <c r="R323" s="2" t="s">
        <v>74</v>
      </c>
      <c r="S323" s="2" t="s">
        <v>74</v>
      </c>
      <c r="T323" s="2" t="s">
        <v>74</v>
      </c>
      <c r="U323" s="2" t="s">
        <v>74</v>
      </c>
      <c r="V323" s="5" t="s">
        <v>6784</v>
      </c>
      <c r="W323" s="2" t="s">
        <v>74</v>
      </c>
      <c r="X323" s="2" t="s">
        <v>74</v>
      </c>
      <c r="Y323" s="2" t="s">
        <v>74</v>
      </c>
      <c r="Z323" s="2" t="s">
        <v>74</v>
      </c>
      <c r="AA323" s="2" t="s">
        <v>6785</v>
      </c>
      <c r="AB323" s="2" t="s">
        <v>6786</v>
      </c>
      <c r="AC323" s="2" t="s">
        <v>74</v>
      </c>
      <c r="AD323" s="2" t="s">
        <v>74</v>
      </c>
      <c r="AE323" s="2" t="s">
        <v>74</v>
      </c>
      <c r="AF323" s="2" t="s">
        <v>74</v>
      </c>
      <c r="AG323" s="2" t="s">
        <v>74</v>
      </c>
      <c r="AH323" s="2" t="s">
        <v>74</v>
      </c>
      <c r="AI323" s="2" t="s">
        <v>74</v>
      </c>
      <c r="AJ323" s="2" t="s">
        <v>74</v>
      </c>
      <c r="AK323" s="2" t="s">
        <v>74</v>
      </c>
      <c r="AL323" s="2" t="s">
        <v>74</v>
      </c>
      <c r="AM323" s="2" t="s">
        <v>74</v>
      </c>
      <c r="AN323" s="2" t="s">
        <v>74</v>
      </c>
      <c r="AO323" s="2" t="s">
        <v>371</v>
      </c>
      <c r="AP323" s="2" t="s">
        <v>372</v>
      </c>
      <c r="AQ323" s="2" t="s">
        <v>74</v>
      </c>
      <c r="AR323" s="2" t="s">
        <v>74</v>
      </c>
      <c r="AS323" s="2" t="s">
        <v>74</v>
      </c>
      <c r="AT323" s="2" t="s">
        <v>134</v>
      </c>
      <c r="AU323" s="2">
        <v>2019</v>
      </c>
      <c r="AV323" s="2">
        <v>133</v>
      </c>
      <c r="AW323" s="2">
        <v>2</v>
      </c>
      <c r="AX323" s="2" t="s">
        <v>74</v>
      </c>
      <c r="AY323" s="2" t="s">
        <v>74</v>
      </c>
      <c r="AZ323" s="2" t="s">
        <v>74</v>
      </c>
      <c r="BA323" s="2" t="s">
        <v>74</v>
      </c>
      <c r="BB323" s="2">
        <v>262</v>
      </c>
      <c r="BC323" s="2">
        <v>271</v>
      </c>
      <c r="BD323" s="2" t="s">
        <v>74</v>
      </c>
      <c r="BE323" s="2" t="s">
        <v>6787</v>
      </c>
      <c r="BF323" s="2" t="str">
        <f>HYPERLINK("http://dx.doi.org/10.1037/com0000148","http://dx.doi.org/10.1037/com0000148")</f>
        <v>http://dx.doi.org/10.1037/com0000148</v>
      </c>
      <c r="BG323" s="2" t="s">
        <v>74</v>
      </c>
      <c r="BH323" s="2" t="s">
        <v>74</v>
      </c>
      <c r="BI323" s="2" t="s">
        <v>74</v>
      </c>
      <c r="BJ323" s="2" t="s">
        <v>74</v>
      </c>
      <c r="BK323" s="2" t="s">
        <v>74</v>
      </c>
      <c r="BL323" s="2" t="s">
        <v>74</v>
      </c>
      <c r="BM323" s="2" t="s">
        <v>74</v>
      </c>
      <c r="BN323" s="2">
        <v>30550303</v>
      </c>
      <c r="BO323" s="2" t="s">
        <v>74</v>
      </c>
      <c r="BP323" s="2" t="s">
        <v>74</v>
      </c>
      <c r="BQ323" s="2" t="s">
        <v>74</v>
      </c>
      <c r="BR323" s="2" t="s">
        <v>74</v>
      </c>
      <c r="BS323" s="2" t="s">
        <v>6788</v>
      </c>
      <c r="BT323" s="2" t="str">
        <f>HYPERLINK("https%3A%2F%2Fwww.webofscience.com%2Fwos%2Fwoscc%2Ffull-record%2FWOS:000467403500013","View Full Record in Web of Science")</f>
        <v>View Full Record in Web of Science</v>
      </c>
    </row>
    <row r="324" spans="1:72" s="2" customFormat="1" x14ac:dyDescent="0.4">
      <c r="A324" s="2" t="s">
        <v>72</v>
      </c>
      <c r="B324" s="2" t="s">
        <v>8126</v>
      </c>
      <c r="C324" s="2" t="s">
        <v>74</v>
      </c>
      <c r="D324" s="2" t="s">
        <v>74</v>
      </c>
      <c r="E324" s="2" t="s">
        <v>74</v>
      </c>
      <c r="F324" s="2" t="s">
        <v>8127</v>
      </c>
      <c r="G324" s="2" t="s">
        <v>74</v>
      </c>
      <c r="H324" s="2" t="s">
        <v>74</v>
      </c>
      <c r="I324" s="2" t="s">
        <v>8128</v>
      </c>
      <c r="J324" s="2" t="s">
        <v>8129</v>
      </c>
      <c r="K324" s="2" t="s">
        <v>74</v>
      </c>
      <c r="L324" s="2" t="s">
        <v>74</v>
      </c>
      <c r="M324" s="2" t="s">
        <v>74</v>
      </c>
      <c r="N324" s="2" t="s">
        <v>74</v>
      </c>
      <c r="O324" s="2" t="s">
        <v>74</v>
      </c>
      <c r="P324" s="2" t="s">
        <v>74</v>
      </c>
      <c r="Q324" s="2" t="s">
        <v>74</v>
      </c>
      <c r="R324" s="2" t="s">
        <v>74</v>
      </c>
      <c r="S324" s="2" t="s">
        <v>74</v>
      </c>
      <c r="T324" s="2" t="s">
        <v>74</v>
      </c>
      <c r="U324" s="2" t="s">
        <v>74</v>
      </c>
      <c r="V324" s="5" t="s">
        <v>8130</v>
      </c>
      <c r="W324" s="2" t="s">
        <v>74</v>
      </c>
      <c r="X324" s="2" t="s">
        <v>74</v>
      </c>
      <c r="Y324" s="2" t="s">
        <v>74</v>
      </c>
      <c r="Z324" s="2" t="s">
        <v>74</v>
      </c>
      <c r="AA324" s="2" t="s">
        <v>74</v>
      </c>
      <c r="AB324" s="2" t="s">
        <v>74</v>
      </c>
      <c r="AC324" s="2" t="s">
        <v>74</v>
      </c>
      <c r="AD324" s="2" t="s">
        <v>74</v>
      </c>
      <c r="AE324" s="2" t="s">
        <v>74</v>
      </c>
      <c r="AF324" s="2" t="s">
        <v>74</v>
      </c>
      <c r="AG324" s="2" t="s">
        <v>74</v>
      </c>
      <c r="AH324" s="2" t="s">
        <v>74</v>
      </c>
      <c r="AI324" s="2" t="s">
        <v>74</v>
      </c>
      <c r="AJ324" s="2" t="s">
        <v>74</v>
      </c>
      <c r="AK324" s="2" t="s">
        <v>74</v>
      </c>
      <c r="AL324" s="2" t="s">
        <v>74</v>
      </c>
      <c r="AM324" s="2" t="s">
        <v>74</v>
      </c>
      <c r="AN324" s="2" t="s">
        <v>74</v>
      </c>
      <c r="AO324" s="2" t="s">
        <v>8131</v>
      </c>
      <c r="AP324" s="2" t="s">
        <v>8132</v>
      </c>
      <c r="AQ324" s="2" t="s">
        <v>74</v>
      </c>
      <c r="AR324" s="2" t="s">
        <v>74</v>
      </c>
      <c r="AS324" s="2" t="s">
        <v>74</v>
      </c>
      <c r="AT324" s="2" t="s">
        <v>964</v>
      </c>
      <c r="AU324" s="2">
        <v>2020</v>
      </c>
      <c r="AV324" s="2">
        <v>22</v>
      </c>
      <c r="AW324" s="2">
        <v>2</v>
      </c>
      <c r="AX324" s="2" t="s">
        <v>74</v>
      </c>
      <c r="AY324" s="2" t="s">
        <v>74</v>
      </c>
      <c r="AZ324" s="2" t="s">
        <v>74</v>
      </c>
      <c r="BA324" s="2" t="s">
        <v>74</v>
      </c>
      <c r="BB324" s="2">
        <v>783</v>
      </c>
      <c r="BC324" s="2">
        <v>797</v>
      </c>
      <c r="BD324" s="2" t="s">
        <v>74</v>
      </c>
      <c r="BE324" s="2" t="s">
        <v>8133</v>
      </c>
      <c r="BF324" s="2" t="str">
        <f>HYPERLINK("http://dx.doi.org/10.1007/s10530-019-02130-6","http://dx.doi.org/10.1007/s10530-019-02130-6")</f>
        <v>http://dx.doi.org/10.1007/s10530-019-02130-6</v>
      </c>
      <c r="BG324" s="2" t="s">
        <v>74</v>
      </c>
      <c r="BH324" s="2" t="s">
        <v>2283</v>
      </c>
      <c r="BI324" s="2" t="s">
        <v>74</v>
      </c>
      <c r="BJ324" s="2" t="s">
        <v>74</v>
      </c>
      <c r="BK324" s="2" t="s">
        <v>74</v>
      </c>
      <c r="BL324" s="2" t="s">
        <v>74</v>
      </c>
      <c r="BM324" s="2" t="s">
        <v>74</v>
      </c>
      <c r="BN324" s="2" t="s">
        <v>74</v>
      </c>
      <c r="BO324" s="2" t="s">
        <v>74</v>
      </c>
      <c r="BP324" s="2" t="s">
        <v>74</v>
      </c>
      <c r="BQ324" s="2" t="s">
        <v>74</v>
      </c>
      <c r="BR324" s="2" t="s">
        <v>74</v>
      </c>
      <c r="BS324" s="2" t="s">
        <v>8134</v>
      </c>
      <c r="BT324" s="2" t="str">
        <f>HYPERLINK("https%3A%2F%2Fwww.webofscience.com%2Fwos%2Fwoscc%2Ffull-record%2FWOS:000498741600005","View Full Record in Web of Science")</f>
        <v>View Full Record in Web of Science</v>
      </c>
    </row>
    <row r="325" spans="1:72" s="2" customFormat="1" x14ac:dyDescent="0.4">
      <c r="A325" s="2" t="s">
        <v>72</v>
      </c>
      <c r="B325" s="2" t="s">
        <v>4453</v>
      </c>
      <c r="C325" s="2" t="s">
        <v>74</v>
      </c>
      <c r="D325" s="2" t="s">
        <v>74</v>
      </c>
      <c r="E325" s="2" t="s">
        <v>74</v>
      </c>
      <c r="F325" s="2" t="s">
        <v>4454</v>
      </c>
      <c r="G325" s="2" t="s">
        <v>74</v>
      </c>
      <c r="H325" s="2" t="s">
        <v>74</v>
      </c>
      <c r="I325" s="2" t="s">
        <v>4455</v>
      </c>
      <c r="J325" s="2" t="s">
        <v>4456</v>
      </c>
      <c r="K325" s="2" t="s">
        <v>74</v>
      </c>
      <c r="L325" s="2" t="s">
        <v>74</v>
      </c>
      <c r="M325" s="2" t="s">
        <v>74</v>
      </c>
      <c r="N325" s="2" t="s">
        <v>74</v>
      </c>
      <c r="O325" s="2" t="s">
        <v>74</v>
      </c>
      <c r="P325" s="2" t="s">
        <v>74</v>
      </c>
      <c r="Q325" s="2" t="s">
        <v>74</v>
      </c>
      <c r="R325" s="2" t="s">
        <v>74</v>
      </c>
      <c r="S325" s="2" t="s">
        <v>74</v>
      </c>
      <c r="T325" s="2" t="s">
        <v>74</v>
      </c>
      <c r="U325" s="2" t="s">
        <v>74</v>
      </c>
      <c r="V325" s="5" t="s">
        <v>4457</v>
      </c>
      <c r="W325" s="2" t="s">
        <v>74</v>
      </c>
      <c r="X325" s="2" t="s">
        <v>74</v>
      </c>
      <c r="Y325" s="2" t="s">
        <v>74</v>
      </c>
      <c r="Z325" s="2" t="s">
        <v>74</v>
      </c>
      <c r="AA325" s="2" t="s">
        <v>4458</v>
      </c>
      <c r="AB325" s="2" t="s">
        <v>4459</v>
      </c>
      <c r="AC325" s="2" t="s">
        <v>74</v>
      </c>
      <c r="AD325" s="2" t="s">
        <v>74</v>
      </c>
      <c r="AE325" s="2" t="s">
        <v>74</v>
      </c>
      <c r="AF325" s="2" t="s">
        <v>74</v>
      </c>
      <c r="AG325" s="2" t="s">
        <v>74</v>
      </c>
      <c r="AH325" s="2" t="s">
        <v>74</v>
      </c>
      <c r="AI325" s="2" t="s">
        <v>74</v>
      </c>
      <c r="AJ325" s="2" t="s">
        <v>74</v>
      </c>
      <c r="AK325" s="2" t="s">
        <v>74</v>
      </c>
      <c r="AL325" s="2" t="s">
        <v>74</v>
      </c>
      <c r="AM325" s="2" t="s">
        <v>74</v>
      </c>
      <c r="AN325" s="2" t="s">
        <v>74</v>
      </c>
      <c r="AO325" s="2" t="s">
        <v>4460</v>
      </c>
      <c r="AP325" s="2" t="s">
        <v>4461</v>
      </c>
      <c r="AQ325" s="2" t="s">
        <v>74</v>
      </c>
      <c r="AR325" s="2" t="s">
        <v>74</v>
      </c>
      <c r="AS325" s="2" t="s">
        <v>74</v>
      </c>
      <c r="AT325" s="2" t="s">
        <v>3445</v>
      </c>
      <c r="AU325" s="2">
        <v>2011</v>
      </c>
      <c r="AV325" s="2">
        <v>239</v>
      </c>
      <c r="AW325" s="2">
        <v>6</v>
      </c>
      <c r="AX325" s="2" t="s">
        <v>74</v>
      </c>
      <c r="AY325" s="2" t="s">
        <v>74</v>
      </c>
      <c r="AZ325" s="2" t="s">
        <v>74</v>
      </c>
      <c r="BA325" s="2" t="s">
        <v>74</v>
      </c>
      <c r="BB325" s="2">
        <v>796</v>
      </c>
      <c r="BC325" s="2">
        <v>801</v>
      </c>
      <c r="BD325" s="2" t="s">
        <v>74</v>
      </c>
      <c r="BE325" s="2" t="s">
        <v>74</v>
      </c>
      <c r="BF325" s="2" t="s">
        <v>74</v>
      </c>
      <c r="BG325" s="2" t="s">
        <v>74</v>
      </c>
      <c r="BH325" s="2" t="s">
        <v>74</v>
      </c>
      <c r="BI325" s="2" t="s">
        <v>74</v>
      </c>
      <c r="BJ325" s="2" t="s">
        <v>74</v>
      </c>
      <c r="BK325" s="2" t="s">
        <v>74</v>
      </c>
      <c r="BL325" s="2" t="s">
        <v>74</v>
      </c>
      <c r="BM325" s="2" t="s">
        <v>74</v>
      </c>
      <c r="BN325" s="2">
        <v>21916762</v>
      </c>
      <c r="BO325" s="2" t="s">
        <v>74</v>
      </c>
      <c r="BP325" s="2" t="s">
        <v>74</v>
      </c>
      <c r="BQ325" s="2" t="s">
        <v>74</v>
      </c>
      <c r="BR325" s="2" t="s">
        <v>74</v>
      </c>
      <c r="BS325" s="2" t="s">
        <v>4462</v>
      </c>
      <c r="BT325" s="2" t="str">
        <f>HYPERLINK("https%3A%2F%2Fwww.webofscience.com%2Fwos%2Fwoscc%2Ffull-record%2FWOS:000294792100008","View Full Record in Web of Science")</f>
        <v>View Full Record in Web of Science</v>
      </c>
    </row>
    <row r="326" spans="1:72" s="2" customFormat="1" x14ac:dyDescent="0.4">
      <c r="A326" s="2" t="s">
        <v>72</v>
      </c>
      <c r="B326" s="2" t="s">
        <v>7609</v>
      </c>
      <c r="C326" s="2" t="s">
        <v>74</v>
      </c>
      <c r="D326" s="2" t="s">
        <v>74</v>
      </c>
      <c r="E326" s="2" t="s">
        <v>74</v>
      </c>
      <c r="F326" s="2" t="s">
        <v>7610</v>
      </c>
      <c r="G326" s="2" t="s">
        <v>74</v>
      </c>
      <c r="H326" s="2" t="s">
        <v>74</v>
      </c>
      <c r="I326" s="2" t="s">
        <v>7611</v>
      </c>
      <c r="J326" s="2" t="s">
        <v>7612</v>
      </c>
      <c r="K326" s="2" t="s">
        <v>74</v>
      </c>
      <c r="L326" s="2" t="s">
        <v>74</v>
      </c>
      <c r="M326" s="2" t="s">
        <v>74</v>
      </c>
      <c r="N326" s="2" t="s">
        <v>74</v>
      </c>
      <c r="O326" s="2" t="s">
        <v>74</v>
      </c>
      <c r="P326" s="2" t="s">
        <v>74</v>
      </c>
      <c r="Q326" s="2" t="s">
        <v>74</v>
      </c>
      <c r="R326" s="2" t="s">
        <v>74</v>
      </c>
      <c r="S326" s="2" t="s">
        <v>74</v>
      </c>
      <c r="T326" s="2" t="s">
        <v>74</v>
      </c>
      <c r="U326" s="2" t="s">
        <v>74</v>
      </c>
      <c r="V326" s="5" t="s">
        <v>7613</v>
      </c>
      <c r="W326" s="2" t="s">
        <v>74</v>
      </c>
      <c r="X326" s="2" t="s">
        <v>74</v>
      </c>
      <c r="Y326" s="2" t="s">
        <v>74</v>
      </c>
      <c r="Z326" s="2" t="s">
        <v>74</v>
      </c>
      <c r="AA326" s="2" t="s">
        <v>74</v>
      </c>
      <c r="AB326" s="2" t="s">
        <v>7614</v>
      </c>
      <c r="AC326" s="2" t="s">
        <v>74</v>
      </c>
      <c r="AD326" s="2" t="s">
        <v>74</v>
      </c>
      <c r="AE326" s="2" t="s">
        <v>74</v>
      </c>
      <c r="AF326" s="2" t="s">
        <v>74</v>
      </c>
      <c r="AG326" s="2" t="s">
        <v>74</v>
      </c>
      <c r="AH326" s="2" t="s">
        <v>74</v>
      </c>
      <c r="AI326" s="2" t="s">
        <v>74</v>
      </c>
      <c r="AJ326" s="2" t="s">
        <v>74</v>
      </c>
      <c r="AK326" s="2" t="s">
        <v>74</v>
      </c>
      <c r="AL326" s="2" t="s">
        <v>74</v>
      </c>
      <c r="AM326" s="2" t="s">
        <v>74</v>
      </c>
      <c r="AN326" s="2" t="s">
        <v>74</v>
      </c>
      <c r="AO326" s="2" t="s">
        <v>7615</v>
      </c>
      <c r="AP326" s="2" t="s">
        <v>7616</v>
      </c>
      <c r="AQ326" s="2" t="s">
        <v>74</v>
      </c>
      <c r="AR326" s="2" t="s">
        <v>74</v>
      </c>
      <c r="AS326" s="2" t="s">
        <v>74</v>
      </c>
      <c r="AT326" s="2" t="s">
        <v>305</v>
      </c>
      <c r="AU326" s="2">
        <v>2019</v>
      </c>
      <c r="AV326" s="2">
        <v>35</v>
      </c>
      <c r="AW326" s="2">
        <v>6</v>
      </c>
      <c r="AX326" s="2" t="s">
        <v>74</v>
      </c>
      <c r="AY326" s="2" t="s">
        <v>74</v>
      </c>
      <c r="AZ326" s="2" t="s">
        <v>74</v>
      </c>
      <c r="BA326" s="2" t="s">
        <v>74</v>
      </c>
      <c r="BB326" s="2">
        <v>1225</v>
      </c>
      <c r="BC326" s="2">
        <v>1233</v>
      </c>
      <c r="BD326" s="2" t="s">
        <v>74</v>
      </c>
      <c r="BE326" s="2" t="s">
        <v>7617</v>
      </c>
      <c r="BF326" s="2" t="str">
        <f>HYPERLINK("http://dx.doi.org/10.1111/jai.13982","http://dx.doi.org/10.1111/jai.13982")</f>
        <v>http://dx.doi.org/10.1111/jai.13982</v>
      </c>
      <c r="BG326" s="2" t="s">
        <v>74</v>
      </c>
      <c r="BH326" s="2" t="s">
        <v>74</v>
      </c>
      <c r="BI326" s="2" t="s">
        <v>74</v>
      </c>
      <c r="BJ326" s="2" t="s">
        <v>74</v>
      </c>
      <c r="BK326" s="2" t="s">
        <v>74</v>
      </c>
      <c r="BL326" s="2" t="s">
        <v>74</v>
      </c>
      <c r="BM326" s="2" t="s">
        <v>74</v>
      </c>
      <c r="BN326" s="2" t="s">
        <v>74</v>
      </c>
      <c r="BO326" s="2" t="s">
        <v>74</v>
      </c>
      <c r="BP326" s="2" t="s">
        <v>74</v>
      </c>
      <c r="BQ326" s="2" t="s">
        <v>74</v>
      </c>
      <c r="BR326" s="2" t="s">
        <v>74</v>
      </c>
      <c r="BS326" s="2" t="s">
        <v>7618</v>
      </c>
      <c r="BT326" s="2" t="str">
        <f>HYPERLINK("https%3A%2F%2Fwww.webofscience.com%2Fwos%2Fwoscc%2Ffull-record%2FWOS:000499266300006","View Full Record in Web of Science")</f>
        <v>View Full Record in Web of Science</v>
      </c>
    </row>
    <row r="327" spans="1:72" s="7" customFormat="1" x14ac:dyDescent="0.4">
      <c r="A327" s="2" t="s">
        <v>72</v>
      </c>
      <c r="B327" s="2" t="s">
        <v>7643</v>
      </c>
      <c r="C327" s="2" t="s">
        <v>74</v>
      </c>
      <c r="D327" s="2" t="s">
        <v>74</v>
      </c>
      <c r="E327" s="2" t="s">
        <v>74</v>
      </c>
      <c r="F327" s="2" t="s">
        <v>7643</v>
      </c>
      <c r="G327" s="2" t="s">
        <v>74</v>
      </c>
      <c r="H327" s="2" t="s">
        <v>74</v>
      </c>
      <c r="I327" s="2" t="s">
        <v>7644</v>
      </c>
      <c r="J327" s="2" t="s">
        <v>431</v>
      </c>
      <c r="K327" s="2" t="s">
        <v>74</v>
      </c>
      <c r="L327" s="2" t="s">
        <v>74</v>
      </c>
      <c r="M327" s="2" t="s">
        <v>74</v>
      </c>
      <c r="N327" s="2" t="s">
        <v>74</v>
      </c>
      <c r="O327" s="2" t="s">
        <v>74</v>
      </c>
      <c r="P327" s="2" t="s">
        <v>74</v>
      </c>
      <c r="Q327" s="2" t="s">
        <v>74</v>
      </c>
      <c r="R327" s="2" t="s">
        <v>74</v>
      </c>
      <c r="S327" s="2" t="s">
        <v>74</v>
      </c>
      <c r="T327" s="2" t="s">
        <v>74</v>
      </c>
      <c r="U327" s="2" t="s">
        <v>74</v>
      </c>
      <c r="V327" s="5" t="s">
        <v>7645</v>
      </c>
      <c r="W327" s="2" t="s">
        <v>74</v>
      </c>
      <c r="X327" s="2" t="s">
        <v>74</v>
      </c>
      <c r="Y327" s="2" t="s">
        <v>74</v>
      </c>
      <c r="Z327" s="2" t="s">
        <v>74</v>
      </c>
      <c r="AA327" s="2" t="s">
        <v>74</v>
      </c>
      <c r="AB327" s="2" t="s">
        <v>74</v>
      </c>
      <c r="AC327" s="2" t="s">
        <v>74</v>
      </c>
      <c r="AD327" s="2" t="s">
        <v>74</v>
      </c>
      <c r="AE327" s="2" t="s">
        <v>74</v>
      </c>
      <c r="AF327" s="2" t="s">
        <v>74</v>
      </c>
      <c r="AG327" s="2" t="s">
        <v>74</v>
      </c>
      <c r="AH327" s="2" t="s">
        <v>74</v>
      </c>
      <c r="AI327" s="2" t="s">
        <v>74</v>
      </c>
      <c r="AJ327" s="2" t="s">
        <v>74</v>
      </c>
      <c r="AK327" s="2" t="s">
        <v>74</v>
      </c>
      <c r="AL327" s="2" t="s">
        <v>74</v>
      </c>
      <c r="AM327" s="2" t="s">
        <v>74</v>
      </c>
      <c r="AN327" s="2" t="s">
        <v>74</v>
      </c>
      <c r="AO327" s="2" t="s">
        <v>74</v>
      </c>
      <c r="AP327" s="2" t="s">
        <v>435</v>
      </c>
      <c r="AQ327" s="2" t="s">
        <v>74</v>
      </c>
      <c r="AR327" s="2" t="s">
        <v>74</v>
      </c>
      <c r="AS327" s="2" t="s">
        <v>74</v>
      </c>
      <c r="AT327" s="2" t="s">
        <v>74</v>
      </c>
      <c r="AU327" s="2">
        <v>1965</v>
      </c>
      <c r="AV327" s="2">
        <v>82</v>
      </c>
      <c r="AW327" s="2">
        <v>4</v>
      </c>
      <c r="AX327" s="2" t="s">
        <v>74</v>
      </c>
      <c r="AY327" s="2" t="s">
        <v>74</v>
      </c>
      <c r="AZ327" s="2" t="s">
        <v>74</v>
      </c>
      <c r="BA327" s="2" t="s">
        <v>74</v>
      </c>
      <c r="BB327" s="2">
        <v>537</v>
      </c>
      <c r="BC327" s="2" t="s">
        <v>726</v>
      </c>
      <c r="BD327" s="2" t="s">
        <v>74</v>
      </c>
      <c r="BE327" s="2" t="s">
        <v>7646</v>
      </c>
      <c r="BF327" s="2" t="str">
        <f>HYPERLINK("http://dx.doi.org/10.2307/4083220","http://dx.doi.org/10.2307/4083220")</f>
        <v>http://dx.doi.org/10.2307/4083220</v>
      </c>
      <c r="BG327" s="2" t="s">
        <v>74</v>
      </c>
      <c r="BH327" s="2" t="s">
        <v>74</v>
      </c>
      <c r="BI327" s="2" t="s">
        <v>74</v>
      </c>
      <c r="BJ327" s="2" t="s">
        <v>74</v>
      </c>
      <c r="BK327" s="2" t="s">
        <v>74</v>
      </c>
      <c r="BL327" s="2" t="s">
        <v>74</v>
      </c>
      <c r="BM327" s="2" t="s">
        <v>74</v>
      </c>
      <c r="BN327" s="2" t="s">
        <v>74</v>
      </c>
      <c r="BO327" s="2" t="s">
        <v>74</v>
      </c>
      <c r="BP327" s="2" t="s">
        <v>74</v>
      </c>
      <c r="BQ327" s="2" t="s">
        <v>74</v>
      </c>
      <c r="BR327" s="2" t="s">
        <v>74</v>
      </c>
      <c r="BS327" s="2" t="s">
        <v>7647</v>
      </c>
      <c r="BT327" s="2" t="str">
        <f>HYPERLINK("https%3A%2F%2Fwww.webofscience.com%2Fwos%2Fwoscc%2Ffull-record%2FWOS:A19657680200001","View Full Record in Web of Science")</f>
        <v>View Full Record in Web of Science</v>
      </c>
    </row>
    <row r="328" spans="1:72" s="2" customFormat="1" x14ac:dyDescent="0.4">
      <c r="A328" s="2" t="s">
        <v>72</v>
      </c>
      <c r="B328" s="2" t="s">
        <v>1176</v>
      </c>
      <c r="C328" s="2" t="s">
        <v>74</v>
      </c>
      <c r="D328" s="2" t="s">
        <v>74</v>
      </c>
      <c r="E328" s="2" t="s">
        <v>74</v>
      </c>
      <c r="F328" s="2" t="s">
        <v>1176</v>
      </c>
      <c r="G328" s="2" t="s">
        <v>74</v>
      </c>
      <c r="H328" s="2" t="s">
        <v>74</v>
      </c>
      <c r="I328" s="2" t="s">
        <v>1177</v>
      </c>
      <c r="J328" s="2" t="s">
        <v>119</v>
      </c>
      <c r="K328" s="2" t="s">
        <v>74</v>
      </c>
      <c r="L328" s="2" t="s">
        <v>74</v>
      </c>
      <c r="M328" s="2" t="s">
        <v>74</v>
      </c>
      <c r="N328" s="2" t="s">
        <v>74</v>
      </c>
      <c r="O328" s="2" t="s">
        <v>74</v>
      </c>
      <c r="P328" s="2" t="s">
        <v>74</v>
      </c>
      <c r="Q328" s="2" t="s">
        <v>74</v>
      </c>
      <c r="R328" s="2" t="s">
        <v>74</v>
      </c>
      <c r="S328" s="2" t="s">
        <v>74</v>
      </c>
      <c r="T328" s="2" t="s">
        <v>74</v>
      </c>
      <c r="U328" s="2" t="s">
        <v>74</v>
      </c>
      <c r="V328" s="5" t="s">
        <v>1178</v>
      </c>
      <c r="W328" s="2" t="s">
        <v>74</v>
      </c>
      <c r="X328" s="2" t="s">
        <v>74</v>
      </c>
      <c r="Y328" s="2" t="s">
        <v>74</v>
      </c>
      <c r="Z328" s="2" t="s">
        <v>74</v>
      </c>
      <c r="AA328" s="2" t="s">
        <v>74</v>
      </c>
      <c r="AB328" s="2" t="s">
        <v>74</v>
      </c>
      <c r="AC328" s="2" t="s">
        <v>74</v>
      </c>
      <c r="AD328" s="2" t="s">
        <v>74</v>
      </c>
      <c r="AE328" s="2" t="s">
        <v>74</v>
      </c>
      <c r="AF328" s="2" t="s">
        <v>74</v>
      </c>
      <c r="AG328" s="2" t="s">
        <v>74</v>
      </c>
      <c r="AH328" s="2" t="s">
        <v>74</v>
      </c>
      <c r="AI328" s="2" t="s">
        <v>74</v>
      </c>
      <c r="AJ328" s="2" t="s">
        <v>74</v>
      </c>
      <c r="AK328" s="2" t="s">
        <v>74</v>
      </c>
      <c r="AL328" s="2" t="s">
        <v>74</v>
      </c>
      <c r="AM328" s="2" t="s">
        <v>74</v>
      </c>
      <c r="AN328" s="2" t="s">
        <v>74</v>
      </c>
      <c r="AO328" s="2" t="s">
        <v>121</v>
      </c>
      <c r="AP328" s="2" t="s">
        <v>74</v>
      </c>
      <c r="AQ328" s="2" t="s">
        <v>74</v>
      </c>
      <c r="AR328" s="2" t="s">
        <v>74</v>
      </c>
      <c r="AS328" s="2" t="s">
        <v>74</v>
      </c>
      <c r="AT328" s="2" t="s">
        <v>305</v>
      </c>
      <c r="AU328" s="2">
        <v>1993</v>
      </c>
      <c r="AV328" s="2">
        <v>30</v>
      </c>
      <c r="AW328" s="2">
        <v>3</v>
      </c>
      <c r="AX328" s="2" t="s">
        <v>74</v>
      </c>
      <c r="AY328" s="2" t="s">
        <v>74</v>
      </c>
      <c r="AZ328" s="2" t="s">
        <v>74</v>
      </c>
      <c r="BA328" s="2" t="s">
        <v>74</v>
      </c>
      <c r="BB328" s="2">
        <v>245</v>
      </c>
      <c r="BC328" s="2">
        <v>251</v>
      </c>
      <c r="BD328" s="2" t="s">
        <v>74</v>
      </c>
      <c r="BE328" s="2" t="s">
        <v>1179</v>
      </c>
      <c r="BF328" s="2" t="str">
        <f>HYPERLINK("http://dx.doi.org/10.1016/0376-6357(93)90136-F","http://dx.doi.org/10.1016/0376-6357(93)90136-F")</f>
        <v>http://dx.doi.org/10.1016/0376-6357(93)90136-F</v>
      </c>
      <c r="BG328" s="2" t="s">
        <v>74</v>
      </c>
      <c r="BH328" s="2" t="s">
        <v>74</v>
      </c>
      <c r="BI328" s="2" t="s">
        <v>74</v>
      </c>
      <c r="BJ328" s="2" t="s">
        <v>74</v>
      </c>
      <c r="BK328" s="2" t="s">
        <v>74</v>
      </c>
      <c r="BL328" s="2" t="s">
        <v>74</v>
      </c>
      <c r="BM328" s="2" t="s">
        <v>74</v>
      </c>
      <c r="BN328" s="2">
        <v>24896948</v>
      </c>
      <c r="BO328" s="2" t="s">
        <v>74</v>
      </c>
      <c r="BP328" s="2" t="s">
        <v>74</v>
      </c>
      <c r="BQ328" s="2" t="s">
        <v>74</v>
      </c>
      <c r="BR328" s="2" t="s">
        <v>74</v>
      </c>
      <c r="BS328" s="2" t="s">
        <v>1180</v>
      </c>
      <c r="BT328" s="2" t="str">
        <f>HYPERLINK("https%3A%2F%2Fwww.webofscience.com%2Fwos%2Fwoscc%2Ffull-record%2FWOS:A1993MR36400005","View Full Record in Web of Science")</f>
        <v>View Full Record in Web of Science</v>
      </c>
    </row>
    <row r="329" spans="1:72" s="7" customFormat="1" x14ac:dyDescent="0.4">
      <c r="A329" s="2" t="s">
        <v>72</v>
      </c>
      <c r="B329" s="2" t="s">
        <v>4379</v>
      </c>
      <c r="C329" s="2" t="s">
        <v>74</v>
      </c>
      <c r="D329" s="2" t="s">
        <v>74</v>
      </c>
      <c r="E329" s="2" t="s">
        <v>74</v>
      </c>
      <c r="F329" s="2" t="s">
        <v>4379</v>
      </c>
      <c r="G329" s="2" t="s">
        <v>74</v>
      </c>
      <c r="H329" s="2" t="s">
        <v>74</v>
      </c>
      <c r="I329" s="2" t="s">
        <v>4380</v>
      </c>
      <c r="J329" s="2" t="s">
        <v>509</v>
      </c>
      <c r="K329" s="2" t="s">
        <v>74</v>
      </c>
      <c r="L329" s="2" t="s">
        <v>74</v>
      </c>
      <c r="M329" s="2" t="s">
        <v>74</v>
      </c>
      <c r="N329" s="2" t="s">
        <v>74</v>
      </c>
      <c r="O329" s="2" t="s">
        <v>74</v>
      </c>
      <c r="P329" s="2" t="s">
        <v>74</v>
      </c>
      <c r="Q329" s="2" t="s">
        <v>74</v>
      </c>
      <c r="R329" s="2" t="s">
        <v>74</v>
      </c>
      <c r="S329" s="2" t="s">
        <v>74</v>
      </c>
      <c r="T329" s="2" t="s">
        <v>74</v>
      </c>
      <c r="U329" s="2" t="s">
        <v>74</v>
      </c>
      <c r="V329" s="5" t="s">
        <v>4381</v>
      </c>
      <c r="W329" s="2" t="s">
        <v>74</v>
      </c>
      <c r="X329" s="2" t="s">
        <v>74</v>
      </c>
      <c r="Y329" s="2" t="s">
        <v>74</v>
      </c>
      <c r="Z329" s="2" t="s">
        <v>74</v>
      </c>
      <c r="AA329" s="2" t="s">
        <v>4382</v>
      </c>
      <c r="AB329" s="2" t="s">
        <v>4383</v>
      </c>
      <c r="AC329" s="2" t="s">
        <v>74</v>
      </c>
      <c r="AD329" s="2" t="s">
        <v>74</v>
      </c>
      <c r="AE329" s="2" t="s">
        <v>74</v>
      </c>
      <c r="AF329" s="2" t="s">
        <v>74</v>
      </c>
      <c r="AG329" s="2" t="s">
        <v>74</v>
      </c>
      <c r="AH329" s="2" t="s">
        <v>74</v>
      </c>
      <c r="AI329" s="2" t="s">
        <v>74</v>
      </c>
      <c r="AJ329" s="2" t="s">
        <v>74</v>
      </c>
      <c r="AK329" s="2" t="s">
        <v>74</v>
      </c>
      <c r="AL329" s="2" t="s">
        <v>74</v>
      </c>
      <c r="AM329" s="2" t="s">
        <v>74</v>
      </c>
      <c r="AN329" s="2" t="s">
        <v>74</v>
      </c>
      <c r="AO329" s="2" t="s">
        <v>511</v>
      </c>
      <c r="AP329" s="2" t="s">
        <v>512</v>
      </c>
      <c r="AQ329" s="2" t="s">
        <v>74</v>
      </c>
      <c r="AR329" s="2" t="s">
        <v>74</v>
      </c>
      <c r="AS329" s="2" t="s">
        <v>74</v>
      </c>
      <c r="AT329" s="2" t="s">
        <v>964</v>
      </c>
      <c r="AU329" s="2">
        <v>2006</v>
      </c>
      <c r="AV329" s="2">
        <v>49</v>
      </c>
      <c r="AW329" s="2">
        <v>2</v>
      </c>
      <c r="AX329" s="2" t="s">
        <v>74</v>
      </c>
      <c r="AY329" s="2" t="s">
        <v>74</v>
      </c>
      <c r="AZ329" s="2" t="s">
        <v>74</v>
      </c>
      <c r="BA329" s="2" t="s">
        <v>74</v>
      </c>
      <c r="BB329" s="2">
        <v>223</v>
      </c>
      <c r="BC329" s="2">
        <v>232</v>
      </c>
      <c r="BD329" s="2" t="s">
        <v>74</v>
      </c>
      <c r="BE329" s="2" t="s">
        <v>4384</v>
      </c>
      <c r="BF329" s="2" t="str">
        <f>HYPERLINK("http://dx.doi.org/10.1016/j.yhbeh.2005.07.006","http://dx.doi.org/10.1016/j.yhbeh.2005.07.006")</f>
        <v>http://dx.doi.org/10.1016/j.yhbeh.2005.07.006</v>
      </c>
      <c r="BG329" s="2" t="s">
        <v>74</v>
      </c>
      <c r="BH329" s="2" t="s">
        <v>74</v>
      </c>
      <c r="BI329" s="2" t="s">
        <v>74</v>
      </c>
      <c r="BJ329" s="2" t="s">
        <v>74</v>
      </c>
      <c r="BK329" s="2" t="s">
        <v>74</v>
      </c>
      <c r="BL329" s="2" t="s">
        <v>74</v>
      </c>
      <c r="BM329" s="2" t="s">
        <v>74</v>
      </c>
      <c r="BN329" s="2">
        <v>16085049</v>
      </c>
      <c r="BO329" s="2" t="s">
        <v>74</v>
      </c>
      <c r="BP329" s="2" t="s">
        <v>74</v>
      </c>
      <c r="BQ329" s="2" t="s">
        <v>74</v>
      </c>
      <c r="BR329" s="2" t="s">
        <v>74</v>
      </c>
      <c r="BS329" s="2" t="s">
        <v>4385</v>
      </c>
      <c r="BT329" s="2" t="str">
        <f>HYPERLINK("https%3A%2F%2Fwww.webofscience.com%2Fwos%2Fwoscc%2Ffull-record%2FWOS:000235502600013","View Full Record in Web of Science")</f>
        <v>View Full Record in Web of Science</v>
      </c>
    </row>
    <row r="330" spans="1:72" s="2" customFormat="1" x14ac:dyDescent="0.4">
      <c r="A330" s="2" t="s">
        <v>72</v>
      </c>
      <c r="B330" s="2" t="s">
        <v>2786</v>
      </c>
      <c r="C330" s="2" t="s">
        <v>74</v>
      </c>
      <c r="D330" s="2" t="s">
        <v>74</v>
      </c>
      <c r="E330" s="2" t="s">
        <v>74</v>
      </c>
      <c r="F330" s="2" t="s">
        <v>2787</v>
      </c>
      <c r="G330" s="2" t="s">
        <v>74</v>
      </c>
      <c r="H330" s="2" t="s">
        <v>74</v>
      </c>
      <c r="I330" s="2" t="s">
        <v>2788</v>
      </c>
      <c r="J330" s="2" t="s">
        <v>842</v>
      </c>
      <c r="K330" s="2" t="s">
        <v>74</v>
      </c>
      <c r="L330" s="2" t="s">
        <v>74</v>
      </c>
      <c r="M330" s="2" t="s">
        <v>74</v>
      </c>
      <c r="N330" s="2" t="s">
        <v>74</v>
      </c>
      <c r="O330" s="2" t="s">
        <v>74</v>
      </c>
      <c r="P330" s="2" t="s">
        <v>74</v>
      </c>
      <c r="Q330" s="2" t="s">
        <v>74</v>
      </c>
      <c r="R330" s="2" t="s">
        <v>74</v>
      </c>
      <c r="S330" s="2" t="s">
        <v>74</v>
      </c>
      <c r="T330" s="2" t="s">
        <v>74</v>
      </c>
      <c r="U330" s="2" t="s">
        <v>74</v>
      </c>
      <c r="V330" s="5" t="s">
        <v>2789</v>
      </c>
      <c r="W330" s="2" t="s">
        <v>74</v>
      </c>
      <c r="X330" s="2" t="s">
        <v>74</v>
      </c>
      <c r="Y330" s="2" t="s">
        <v>74</v>
      </c>
      <c r="Z330" s="2" t="s">
        <v>74</v>
      </c>
      <c r="AA330" s="2" t="s">
        <v>2790</v>
      </c>
      <c r="AB330" s="2" t="s">
        <v>2791</v>
      </c>
      <c r="AC330" s="2" t="s">
        <v>74</v>
      </c>
      <c r="AD330" s="2" t="s">
        <v>74</v>
      </c>
      <c r="AE330" s="2" t="s">
        <v>74</v>
      </c>
      <c r="AF330" s="2" t="s">
        <v>74</v>
      </c>
      <c r="AG330" s="2" t="s">
        <v>74</v>
      </c>
      <c r="AH330" s="2" t="s">
        <v>74</v>
      </c>
      <c r="AI330" s="2" t="s">
        <v>74</v>
      </c>
      <c r="AJ330" s="2" t="s">
        <v>74</v>
      </c>
      <c r="AK330" s="2" t="s">
        <v>74</v>
      </c>
      <c r="AL330" s="2" t="s">
        <v>74</v>
      </c>
      <c r="AM330" s="2" t="s">
        <v>74</v>
      </c>
      <c r="AN330" s="2" t="s">
        <v>74</v>
      </c>
      <c r="AO330" s="2" t="s">
        <v>846</v>
      </c>
      <c r="AP330" s="2" t="s">
        <v>847</v>
      </c>
      <c r="AQ330" s="2" t="s">
        <v>74</v>
      </c>
      <c r="AR330" s="2" t="s">
        <v>74</v>
      </c>
      <c r="AS330" s="2" t="s">
        <v>74</v>
      </c>
      <c r="AT330" s="2" t="s">
        <v>305</v>
      </c>
      <c r="AU330" s="2">
        <v>2006</v>
      </c>
      <c r="AV330" s="2">
        <v>68</v>
      </c>
      <c r="AW330" s="2">
        <v>12</v>
      </c>
      <c r="AX330" s="2" t="s">
        <v>74</v>
      </c>
      <c r="AY330" s="2" t="s">
        <v>74</v>
      </c>
      <c r="AZ330" s="2" t="s">
        <v>74</v>
      </c>
      <c r="BA330" s="2" t="s">
        <v>74</v>
      </c>
      <c r="BB330" s="2">
        <v>1129</v>
      </c>
      <c r="BC330" s="2">
        <v>1137</v>
      </c>
      <c r="BD330" s="2" t="s">
        <v>74</v>
      </c>
      <c r="BE330" s="2" t="s">
        <v>2792</v>
      </c>
      <c r="BF330" s="2" t="str">
        <f>HYPERLINK("http://dx.doi.org/10.1002/ajp.20312","http://dx.doi.org/10.1002/ajp.20312")</f>
        <v>http://dx.doi.org/10.1002/ajp.20312</v>
      </c>
      <c r="BG330" s="2" t="s">
        <v>74</v>
      </c>
      <c r="BH330" s="2" t="s">
        <v>74</v>
      </c>
      <c r="BI330" s="2" t="s">
        <v>74</v>
      </c>
      <c r="BJ330" s="2" t="s">
        <v>74</v>
      </c>
      <c r="BK330" s="2" t="s">
        <v>74</v>
      </c>
      <c r="BL330" s="2" t="s">
        <v>74</v>
      </c>
      <c r="BM330" s="2" t="s">
        <v>74</v>
      </c>
      <c r="BN330" s="2">
        <v>17096422</v>
      </c>
      <c r="BO330" s="2" t="s">
        <v>74</v>
      </c>
      <c r="BP330" s="2" t="s">
        <v>74</v>
      </c>
      <c r="BQ330" s="2" t="s">
        <v>74</v>
      </c>
      <c r="BR330" s="2" t="s">
        <v>74</v>
      </c>
      <c r="BS330" s="2" t="s">
        <v>2793</v>
      </c>
      <c r="BT330" s="2" t="str">
        <f>HYPERLINK("https%3A%2F%2Fwww.webofscience.com%2Fwos%2Fwoscc%2Ffull-record%2FWOS:000242416400001","View Full Record in Web of Science")</f>
        <v>View Full Record in Web of Science</v>
      </c>
    </row>
    <row r="331" spans="1:72" s="2" customFormat="1" x14ac:dyDescent="0.4">
      <c r="A331" s="2" t="s">
        <v>72</v>
      </c>
      <c r="B331" s="2" t="s">
        <v>6572</v>
      </c>
      <c r="C331" s="2" t="s">
        <v>74</v>
      </c>
      <c r="D331" s="2" t="s">
        <v>74</v>
      </c>
      <c r="E331" s="2" t="s">
        <v>74</v>
      </c>
      <c r="F331" s="2" t="s">
        <v>6573</v>
      </c>
      <c r="G331" s="2" t="s">
        <v>74</v>
      </c>
      <c r="H331" s="2" t="s">
        <v>74</v>
      </c>
      <c r="I331" s="2" t="s">
        <v>6574</v>
      </c>
      <c r="J331" s="2" t="s">
        <v>842</v>
      </c>
      <c r="K331" s="2" t="s">
        <v>74</v>
      </c>
      <c r="L331" s="2" t="s">
        <v>74</v>
      </c>
      <c r="M331" s="2" t="s">
        <v>74</v>
      </c>
      <c r="N331" s="2" t="s">
        <v>74</v>
      </c>
      <c r="O331" s="2" t="s">
        <v>74</v>
      </c>
      <c r="P331" s="2" t="s">
        <v>74</v>
      </c>
      <c r="Q331" s="2" t="s">
        <v>74</v>
      </c>
      <c r="R331" s="2" t="s">
        <v>74</v>
      </c>
      <c r="S331" s="2" t="s">
        <v>74</v>
      </c>
      <c r="T331" s="2" t="s">
        <v>74</v>
      </c>
      <c r="U331" s="2" t="s">
        <v>74</v>
      </c>
      <c r="V331" s="5" t="s">
        <v>6575</v>
      </c>
      <c r="W331" s="2" t="s">
        <v>74</v>
      </c>
      <c r="X331" s="2" t="s">
        <v>74</v>
      </c>
      <c r="Y331" s="2" t="s">
        <v>74</v>
      </c>
      <c r="Z331" s="2" t="s">
        <v>74</v>
      </c>
      <c r="AA331" s="2" t="s">
        <v>6576</v>
      </c>
      <c r="AB331" s="2" t="s">
        <v>6577</v>
      </c>
      <c r="AC331" s="2" t="s">
        <v>74</v>
      </c>
      <c r="AD331" s="2" t="s">
        <v>74</v>
      </c>
      <c r="AE331" s="2" t="s">
        <v>74</v>
      </c>
      <c r="AF331" s="2" t="s">
        <v>74</v>
      </c>
      <c r="AG331" s="2" t="s">
        <v>74</v>
      </c>
      <c r="AH331" s="2" t="s">
        <v>74</v>
      </c>
      <c r="AI331" s="2" t="s">
        <v>74</v>
      </c>
      <c r="AJ331" s="2" t="s">
        <v>74</v>
      </c>
      <c r="AK331" s="2" t="s">
        <v>74</v>
      </c>
      <c r="AL331" s="2" t="s">
        <v>74</v>
      </c>
      <c r="AM331" s="2" t="s">
        <v>74</v>
      </c>
      <c r="AN331" s="2" t="s">
        <v>74</v>
      </c>
      <c r="AO331" s="2" t="s">
        <v>846</v>
      </c>
      <c r="AP331" s="2" t="s">
        <v>847</v>
      </c>
      <c r="AQ331" s="2" t="s">
        <v>74</v>
      </c>
      <c r="AR331" s="2" t="s">
        <v>74</v>
      </c>
      <c r="AS331" s="2" t="s">
        <v>74</v>
      </c>
      <c r="AT331" s="2" t="s">
        <v>213</v>
      </c>
      <c r="AU331" s="2">
        <v>2013</v>
      </c>
      <c r="AV331" s="2">
        <v>75</v>
      </c>
      <c r="AW331" s="2">
        <v>11</v>
      </c>
      <c r="AX331" s="2" t="s">
        <v>74</v>
      </c>
      <c r="AY331" s="2" t="s">
        <v>74</v>
      </c>
      <c r="AZ331" s="2" t="s">
        <v>74</v>
      </c>
      <c r="BA331" s="2" t="s">
        <v>74</v>
      </c>
      <c r="BB331" s="2">
        <v>1084</v>
      </c>
      <c r="BC331" s="2">
        <v>1095</v>
      </c>
      <c r="BD331" s="2" t="s">
        <v>74</v>
      </c>
      <c r="BE331" s="2" t="s">
        <v>6578</v>
      </c>
      <c r="BF331" s="2" t="str">
        <f>HYPERLINK("http://dx.doi.org/10.1002/ajp.22167","http://dx.doi.org/10.1002/ajp.22167")</f>
        <v>http://dx.doi.org/10.1002/ajp.22167</v>
      </c>
      <c r="BG331" s="2" t="s">
        <v>74</v>
      </c>
      <c r="BH331" s="2" t="s">
        <v>74</v>
      </c>
      <c r="BI331" s="2" t="s">
        <v>74</v>
      </c>
      <c r="BJ331" s="2" t="s">
        <v>74</v>
      </c>
      <c r="BK331" s="2" t="s">
        <v>74</v>
      </c>
      <c r="BL331" s="2" t="s">
        <v>74</v>
      </c>
      <c r="BM331" s="2" t="s">
        <v>74</v>
      </c>
      <c r="BN331" s="2">
        <v>23776035</v>
      </c>
      <c r="BO331" s="2" t="s">
        <v>74</v>
      </c>
      <c r="BP331" s="2" t="s">
        <v>74</v>
      </c>
      <c r="BQ331" s="2" t="s">
        <v>74</v>
      </c>
      <c r="BR331" s="2" t="s">
        <v>74</v>
      </c>
      <c r="BS331" s="2" t="s">
        <v>6579</v>
      </c>
      <c r="BT331" s="2" t="str">
        <f>HYPERLINK("https%3A%2F%2Fwww.webofscience.com%2Fwos%2Fwoscc%2Ffull-record%2FWOS:000324914600002","View Full Record in Web of Science")</f>
        <v>View Full Record in Web of Science</v>
      </c>
    </row>
    <row r="332" spans="1:72" s="2" customFormat="1" x14ac:dyDescent="0.4">
      <c r="A332" s="2" t="s">
        <v>72</v>
      </c>
      <c r="B332" s="2" t="s">
        <v>6462</v>
      </c>
      <c r="C332" s="2" t="s">
        <v>74</v>
      </c>
      <c r="D332" s="2" t="s">
        <v>74</v>
      </c>
      <c r="E332" s="2" t="s">
        <v>74</v>
      </c>
      <c r="F332" s="2" t="s">
        <v>6463</v>
      </c>
      <c r="G332" s="2" t="s">
        <v>74</v>
      </c>
      <c r="H332" s="2" t="s">
        <v>74</v>
      </c>
      <c r="I332" s="2" t="s">
        <v>6464</v>
      </c>
      <c r="J332" s="2" t="s">
        <v>1656</v>
      </c>
      <c r="K332" s="2" t="s">
        <v>74</v>
      </c>
      <c r="L332" s="2" t="s">
        <v>74</v>
      </c>
      <c r="M332" s="2" t="s">
        <v>74</v>
      </c>
      <c r="N332" s="2" t="s">
        <v>74</v>
      </c>
      <c r="O332" s="2" t="s">
        <v>74</v>
      </c>
      <c r="P332" s="2" t="s">
        <v>74</v>
      </c>
      <c r="Q332" s="2" t="s">
        <v>74</v>
      </c>
      <c r="R332" s="2" t="s">
        <v>74</v>
      </c>
      <c r="S332" s="2" t="s">
        <v>74</v>
      </c>
      <c r="T332" s="2" t="s">
        <v>74</v>
      </c>
      <c r="U332" s="2" t="s">
        <v>74</v>
      </c>
      <c r="V332" s="5" t="s">
        <v>6465</v>
      </c>
      <c r="W332" s="2" t="s">
        <v>74</v>
      </c>
      <c r="X332" s="2" t="s">
        <v>74</v>
      </c>
      <c r="Y332" s="2" t="s">
        <v>74</v>
      </c>
      <c r="Z332" s="2" t="s">
        <v>74</v>
      </c>
      <c r="AA332" s="2" t="s">
        <v>74</v>
      </c>
      <c r="AB332" s="2" t="s">
        <v>6466</v>
      </c>
      <c r="AC332" s="2" t="s">
        <v>74</v>
      </c>
      <c r="AD332" s="2" t="s">
        <v>74</v>
      </c>
      <c r="AE332" s="2" t="s">
        <v>74</v>
      </c>
      <c r="AF332" s="2" t="s">
        <v>74</v>
      </c>
      <c r="AG332" s="2" t="s">
        <v>74</v>
      </c>
      <c r="AH332" s="2" t="s">
        <v>74</v>
      </c>
      <c r="AI332" s="2" t="s">
        <v>74</v>
      </c>
      <c r="AJ332" s="2" t="s">
        <v>74</v>
      </c>
      <c r="AK332" s="2" t="s">
        <v>74</v>
      </c>
      <c r="AL332" s="2" t="s">
        <v>74</v>
      </c>
      <c r="AM332" s="2" t="s">
        <v>74</v>
      </c>
      <c r="AN332" s="2" t="s">
        <v>74</v>
      </c>
      <c r="AO332" s="2" t="s">
        <v>1658</v>
      </c>
      <c r="AP332" s="2" t="s">
        <v>1659</v>
      </c>
      <c r="AQ332" s="2" t="s">
        <v>74</v>
      </c>
      <c r="AR332" s="2" t="s">
        <v>74</v>
      </c>
      <c r="AS332" s="2" t="s">
        <v>74</v>
      </c>
      <c r="AT332" s="2" t="s">
        <v>6467</v>
      </c>
      <c r="AU332" s="2">
        <v>2012</v>
      </c>
      <c r="AV332" s="2" t="s">
        <v>74</v>
      </c>
      <c r="AW332" s="2">
        <v>3367</v>
      </c>
      <c r="AX332" s="2" t="s">
        <v>74</v>
      </c>
      <c r="AY332" s="2" t="s">
        <v>74</v>
      </c>
      <c r="AZ332" s="2" t="s">
        <v>848</v>
      </c>
      <c r="BA332" s="2" t="s">
        <v>74</v>
      </c>
      <c r="BB332" s="2">
        <v>95</v>
      </c>
      <c r="BC332" s="2">
        <v>102</v>
      </c>
      <c r="BD332" s="2" t="s">
        <v>74</v>
      </c>
      <c r="BE332" s="2" t="s">
        <v>6468</v>
      </c>
      <c r="BF332" s="2" t="str">
        <f>HYPERLINK("http://dx.doi.org/10.11646/zootaxa.3367.1.9","http://dx.doi.org/10.11646/zootaxa.3367.1.9")</f>
        <v>http://dx.doi.org/10.11646/zootaxa.3367.1.9</v>
      </c>
      <c r="BG332" s="2" t="s">
        <v>74</v>
      </c>
      <c r="BH332" s="2" t="s">
        <v>74</v>
      </c>
      <c r="BI332" s="2" t="s">
        <v>74</v>
      </c>
      <c r="BJ332" s="2" t="s">
        <v>74</v>
      </c>
      <c r="BK332" s="2" t="s">
        <v>74</v>
      </c>
      <c r="BL332" s="2" t="s">
        <v>74</v>
      </c>
      <c r="BM332" s="2" t="s">
        <v>74</v>
      </c>
      <c r="BN332" s="2" t="s">
        <v>74</v>
      </c>
      <c r="BO332" s="2" t="s">
        <v>74</v>
      </c>
      <c r="BP332" s="2" t="s">
        <v>74</v>
      </c>
      <c r="BQ332" s="2" t="s">
        <v>74</v>
      </c>
      <c r="BR332" s="2" t="s">
        <v>74</v>
      </c>
      <c r="BS332" s="2" t="s">
        <v>6469</v>
      </c>
      <c r="BT332" s="2" t="str">
        <f>HYPERLINK("https%3A%2F%2Fwww.webofscience.com%2Fwos%2Fwoscc%2Ffull-record%2FWOS:000305937000008","View Full Record in Web of Science")</f>
        <v>View Full Record in Web of Science</v>
      </c>
    </row>
    <row r="333" spans="1:72" s="2" customFormat="1" x14ac:dyDescent="0.4">
      <c r="A333" s="2" t="s">
        <v>72</v>
      </c>
      <c r="B333" s="2" t="s">
        <v>999</v>
      </c>
      <c r="C333" s="2" t="s">
        <v>74</v>
      </c>
      <c r="D333" s="2" t="s">
        <v>74</v>
      </c>
      <c r="E333" s="2" t="s">
        <v>74</v>
      </c>
      <c r="F333" s="2" t="s">
        <v>1000</v>
      </c>
      <c r="G333" s="2" t="s">
        <v>74</v>
      </c>
      <c r="H333" s="2" t="s">
        <v>74</v>
      </c>
      <c r="I333" s="2" t="s">
        <v>1001</v>
      </c>
      <c r="J333" s="2" t="s">
        <v>140</v>
      </c>
      <c r="K333" s="2" t="s">
        <v>74</v>
      </c>
      <c r="L333" s="2" t="s">
        <v>74</v>
      </c>
      <c r="M333" s="2" t="s">
        <v>74</v>
      </c>
      <c r="N333" s="2" t="s">
        <v>74</v>
      </c>
      <c r="O333" s="2" t="s">
        <v>74</v>
      </c>
      <c r="P333" s="2" t="s">
        <v>74</v>
      </c>
      <c r="Q333" s="2" t="s">
        <v>74</v>
      </c>
      <c r="R333" s="2" t="s">
        <v>74</v>
      </c>
      <c r="S333" s="2" t="s">
        <v>74</v>
      </c>
      <c r="T333" s="2" t="s">
        <v>74</v>
      </c>
      <c r="U333" s="2" t="s">
        <v>74</v>
      </c>
      <c r="V333" s="5" t="s">
        <v>1002</v>
      </c>
      <c r="W333" s="2" t="s">
        <v>74</v>
      </c>
      <c r="X333" s="2" t="s">
        <v>74</v>
      </c>
      <c r="Y333" s="2" t="s">
        <v>74</v>
      </c>
      <c r="Z333" s="2" t="s">
        <v>74</v>
      </c>
      <c r="AA333" s="2" t="s">
        <v>1003</v>
      </c>
      <c r="AB333" s="2" t="s">
        <v>1004</v>
      </c>
      <c r="AC333" s="2" t="s">
        <v>74</v>
      </c>
      <c r="AD333" s="2" t="s">
        <v>74</v>
      </c>
      <c r="AE333" s="2" t="s">
        <v>74</v>
      </c>
      <c r="AF333" s="2" t="s">
        <v>74</v>
      </c>
      <c r="AG333" s="2" t="s">
        <v>74</v>
      </c>
      <c r="AH333" s="2" t="s">
        <v>74</v>
      </c>
      <c r="AI333" s="2" t="s">
        <v>74</v>
      </c>
      <c r="AJ333" s="2" t="s">
        <v>74</v>
      </c>
      <c r="AK333" s="2" t="s">
        <v>74</v>
      </c>
      <c r="AL333" s="2" t="s">
        <v>74</v>
      </c>
      <c r="AM333" s="2" t="s">
        <v>74</v>
      </c>
      <c r="AN333" s="2" t="s">
        <v>74</v>
      </c>
      <c r="AO333" s="2" t="s">
        <v>143</v>
      </c>
      <c r="AP333" s="2" t="s">
        <v>144</v>
      </c>
      <c r="AQ333" s="2" t="s">
        <v>74</v>
      </c>
      <c r="AR333" s="2" t="s">
        <v>74</v>
      </c>
      <c r="AS333" s="2" t="s">
        <v>74</v>
      </c>
      <c r="AT333" s="2" t="s">
        <v>123</v>
      </c>
      <c r="AU333" s="2">
        <v>2010</v>
      </c>
      <c r="AV333" s="2">
        <v>79</v>
      </c>
      <c r="AW333" s="2">
        <v>3</v>
      </c>
      <c r="AX333" s="2" t="s">
        <v>74</v>
      </c>
      <c r="AY333" s="2" t="s">
        <v>74</v>
      </c>
      <c r="AZ333" s="2" t="s">
        <v>74</v>
      </c>
      <c r="BA333" s="2" t="s">
        <v>74</v>
      </c>
      <c r="BB333" s="2">
        <v>739</v>
      </c>
      <c r="BC333" s="2">
        <v>745</v>
      </c>
      <c r="BD333" s="2" t="s">
        <v>74</v>
      </c>
      <c r="BE333" s="2" t="s">
        <v>1005</v>
      </c>
      <c r="BF333" s="2" t="str">
        <f>HYPERLINK("http://dx.doi.org/10.1016/j.anbehav.2009.12.031","http://dx.doi.org/10.1016/j.anbehav.2009.12.031")</f>
        <v>http://dx.doi.org/10.1016/j.anbehav.2009.12.031</v>
      </c>
      <c r="BG333" s="2" t="s">
        <v>74</v>
      </c>
      <c r="BH333" s="2" t="s">
        <v>74</v>
      </c>
      <c r="BI333" s="2" t="s">
        <v>74</v>
      </c>
      <c r="BJ333" s="2" t="s">
        <v>74</v>
      </c>
      <c r="BK333" s="2" t="s">
        <v>74</v>
      </c>
      <c r="BL333" s="2" t="s">
        <v>74</v>
      </c>
      <c r="BM333" s="2" t="s">
        <v>74</v>
      </c>
      <c r="BN333" s="2" t="s">
        <v>74</v>
      </c>
      <c r="BO333" s="2" t="s">
        <v>74</v>
      </c>
      <c r="BP333" s="2" t="s">
        <v>74</v>
      </c>
      <c r="BQ333" s="2" t="s">
        <v>74</v>
      </c>
      <c r="BR333" s="2" t="s">
        <v>74</v>
      </c>
      <c r="BS333" s="2" t="s">
        <v>1006</v>
      </c>
      <c r="BT333" s="2" t="str">
        <f>HYPERLINK("https%3A%2F%2Fwww.webofscience.com%2Fwos%2Fwoscc%2Ffull-record%2FWOS:000274587400029","View Full Record in Web of Science")</f>
        <v>View Full Record in Web of Science</v>
      </c>
    </row>
    <row r="334" spans="1:72" s="2" customFormat="1" x14ac:dyDescent="0.4">
      <c r="A334" s="2" t="s">
        <v>72</v>
      </c>
      <c r="B334" s="2" t="s">
        <v>4432</v>
      </c>
      <c r="C334" s="2" t="s">
        <v>74</v>
      </c>
      <c r="D334" s="2" t="s">
        <v>74</v>
      </c>
      <c r="E334" s="2" t="s">
        <v>74</v>
      </c>
      <c r="F334" s="2" t="s">
        <v>4433</v>
      </c>
      <c r="G334" s="2" t="s">
        <v>74</v>
      </c>
      <c r="H334" s="2" t="s">
        <v>74</v>
      </c>
      <c r="I334" s="2" t="s">
        <v>4434</v>
      </c>
      <c r="J334" s="2" t="s">
        <v>3374</v>
      </c>
      <c r="K334" s="2" t="s">
        <v>74</v>
      </c>
      <c r="L334" s="2" t="s">
        <v>74</v>
      </c>
      <c r="M334" s="2" t="s">
        <v>74</v>
      </c>
      <c r="N334" s="2" t="s">
        <v>74</v>
      </c>
      <c r="O334" s="2" t="s">
        <v>74</v>
      </c>
      <c r="P334" s="2" t="s">
        <v>74</v>
      </c>
      <c r="Q334" s="2" t="s">
        <v>74</v>
      </c>
      <c r="R334" s="2" t="s">
        <v>74</v>
      </c>
      <c r="S334" s="2" t="s">
        <v>74</v>
      </c>
      <c r="T334" s="2" t="s">
        <v>74</v>
      </c>
      <c r="U334" s="2" t="s">
        <v>74</v>
      </c>
      <c r="V334" s="5" t="s">
        <v>4435</v>
      </c>
      <c r="W334" s="2" t="s">
        <v>74</v>
      </c>
      <c r="X334" s="2" t="s">
        <v>74</v>
      </c>
      <c r="Y334" s="2" t="s">
        <v>74</v>
      </c>
      <c r="Z334" s="2" t="s">
        <v>74</v>
      </c>
      <c r="AA334" s="2" t="s">
        <v>4436</v>
      </c>
      <c r="AB334" s="2" t="s">
        <v>4437</v>
      </c>
      <c r="AC334" s="2" t="s">
        <v>74</v>
      </c>
      <c r="AD334" s="2" t="s">
        <v>74</v>
      </c>
      <c r="AE334" s="2" t="s">
        <v>74</v>
      </c>
      <c r="AF334" s="2" t="s">
        <v>74</v>
      </c>
      <c r="AG334" s="2" t="s">
        <v>74</v>
      </c>
      <c r="AH334" s="2" t="s">
        <v>74</v>
      </c>
      <c r="AI334" s="2" t="s">
        <v>74</v>
      </c>
      <c r="AJ334" s="2" t="s">
        <v>74</v>
      </c>
      <c r="AK334" s="2" t="s">
        <v>74</v>
      </c>
      <c r="AL334" s="2" t="s">
        <v>74</v>
      </c>
      <c r="AM334" s="2" t="s">
        <v>74</v>
      </c>
      <c r="AN334" s="2" t="s">
        <v>74</v>
      </c>
      <c r="AO334" s="2" t="s">
        <v>3378</v>
      </c>
      <c r="AP334" s="2" t="s">
        <v>3379</v>
      </c>
      <c r="AQ334" s="2" t="s">
        <v>74</v>
      </c>
      <c r="AR334" s="2" t="s">
        <v>74</v>
      </c>
      <c r="AS334" s="2" t="s">
        <v>74</v>
      </c>
      <c r="AT334" s="2" t="s">
        <v>134</v>
      </c>
      <c r="AU334" s="2">
        <v>2011</v>
      </c>
      <c r="AV334" s="2">
        <v>42</v>
      </c>
      <c r="AW334" s="2">
        <v>3</v>
      </c>
      <c r="AX334" s="2" t="s">
        <v>74</v>
      </c>
      <c r="AY334" s="2" t="s">
        <v>74</v>
      </c>
      <c r="AZ334" s="2" t="s">
        <v>74</v>
      </c>
      <c r="BA334" s="2" t="s">
        <v>74</v>
      </c>
      <c r="BB334" s="2">
        <v>301</v>
      </c>
      <c r="BC334" s="2">
        <v>306</v>
      </c>
      <c r="BD334" s="2" t="s">
        <v>74</v>
      </c>
      <c r="BE334" s="2" t="s">
        <v>4438</v>
      </c>
      <c r="BF334" s="2" t="str">
        <f>HYPERLINK("http://dx.doi.org/10.1007/s13592-011-0022-z","http://dx.doi.org/10.1007/s13592-011-0022-z")</f>
        <v>http://dx.doi.org/10.1007/s13592-011-0022-z</v>
      </c>
      <c r="BG334" s="2" t="s">
        <v>74</v>
      </c>
      <c r="BH334" s="2" t="s">
        <v>74</v>
      </c>
      <c r="BI334" s="2" t="s">
        <v>74</v>
      </c>
      <c r="BJ334" s="2" t="s">
        <v>74</v>
      </c>
      <c r="BK334" s="2" t="s">
        <v>74</v>
      </c>
      <c r="BL334" s="2" t="s">
        <v>74</v>
      </c>
      <c r="BM334" s="2" t="s">
        <v>74</v>
      </c>
      <c r="BN334" s="2" t="s">
        <v>74</v>
      </c>
      <c r="BO334" s="2" t="s">
        <v>74</v>
      </c>
      <c r="BP334" s="2" t="s">
        <v>74</v>
      </c>
      <c r="BQ334" s="2" t="s">
        <v>74</v>
      </c>
      <c r="BR334" s="2" t="s">
        <v>74</v>
      </c>
      <c r="BS334" s="2" t="s">
        <v>4439</v>
      </c>
      <c r="BT334" s="2" t="str">
        <f>HYPERLINK("https%3A%2F%2Fwww.webofscience.com%2Fwos%2Fwoscc%2Ffull-record%2FWOS:000292612900006","View Full Record in Web of Science")</f>
        <v>View Full Record in Web of Science</v>
      </c>
    </row>
    <row r="335" spans="1:72" s="2" customFormat="1" x14ac:dyDescent="0.4">
      <c r="A335" s="2" t="s">
        <v>72</v>
      </c>
      <c r="B335" s="2" t="s">
        <v>1678</v>
      </c>
      <c r="C335" s="2" t="s">
        <v>74</v>
      </c>
      <c r="D335" s="2" t="s">
        <v>74</v>
      </c>
      <c r="E335" s="2" t="s">
        <v>74</v>
      </c>
      <c r="F335" s="2" t="s">
        <v>1679</v>
      </c>
      <c r="G335" s="2" t="s">
        <v>74</v>
      </c>
      <c r="H335" s="2" t="s">
        <v>74</v>
      </c>
      <c r="I335" s="2" t="s">
        <v>1680</v>
      </c>
      <c r="J335" s="2" t="s">
        <v>367</v>
      </c>
      <c r="K335" s="2" t="s">
        <v>74</v>
      </c>
      <c r="L335" s="2" t="s">
        <v>74</v>
      </c>
      <c r="M335" s="2" t="s">
        <v>74</v>
      </c>
      <c r="N335" s="2" t="s">
        <v>74</v>
      </c>
      <c r="O335" s="2" t="s">
        <v>74</v>
      </c>
      <c r="P335" s="2" t="s">
        <v>74</v>
      </c>
      <c r="Q335" s="2" t="s">
        <v>74</v>
      </c>
      <c r="R335" s="2" t="s">
        <v>74</v>
      </c>
      <c r="S335" s="2" t="s">
        <v>74</v>
      </c>
      <c r="T335" s="2" t="s">
        <v>74</v>
      </c>
      <c r="U335" s="2" t="s">
        <v>74</v>
      </c>
      <c r="V335" s="5" t="s">
        <v>1681</v>
      </c>
      <c r="W335" s="2" t="s">
        <v>74</v>
      </c>
      <c r="X335" s="2" t="s">
        <v>74</v>
      </c>
      <c r="Y335" s="2" t="s">
        <v>74</v>
      </c>
      <c r="Z335" s="2" t="s">
        <v>74</v>
      </c>
      <c r="AA335" s="2" t="s">
        <v>1682</v>
      </c>
      <c r="AB335" s="2" t="s">
        <v>1683</v>
      </c>
      <c r="AC335" s="2" t="s">
        <v>74</v>
      </c>
      <c r="AD335" s="2" t="s">
        <v>74</v>
      </c>
      <c r="AE335" s="2" t="s">
        <v>74</v>
      </c>
      <c r="AF335" s="2" t="s">
        <v>74</v>
      </c>
      <c r="AG335" s="2" t="s">
        <v>74</v>
      </c>
      <c r="AH335" s="2" t="s">
        <v>74</v>
      </c>
      <c r="AI335" s="2" t="s">
        <v>74</v>
      </c>
      <c r="AJ335" s="2" t="s">
        <v>74</v>
      </c>
      <c r="AK335" s="2" t="s">
        <v>74</v>
      </c>
      <c r="AL335" s="2" t="s">
        <v>74</v>
      </c>
      <c r="AM335" s="2" t="s">
        <v>74</v>
      </c>
      <c r="AN335" s="2" t="s">
        <v>74</v>
      </c>
      <c r="AO335" s="2" t="s">
        <v>371</v>
      </c>
      <c r="AP335" s="2" t="s">
        <v>372</v>
      </c>
      <c r="AQ335" s="2" t="s">
        <v>74</v>
      </c>
      <c r="AR335" s="2" t="s">
        <v>74</v>
      </c>
      <c r="AS335" s="2" t="s">
        <v>74</v>
      </c>
      <c r="AT335" s="2" t="s">
        <v>145</v>
      </c>
      <c r="AU335" s="2">
        <v>2021</v>
      </c>
      <c r="AV335" s="2">
        <v>135</v>
      </c>
      <c r="AW335" s="2">
        <v>3</v>
      </c>
      <c r="AX335" s="2" t="s">
        <v>74</v>
      </c>
      <c r="AY335" s="2" t="s">
        <v>74</v>
      </c>
      <c r="AZ335" s="2" t="s">
        <v>74</v>
      </c>
      <c r="BA335" s="2" t="s">
        <v>74</v>
      </c>
      <c r="BB335" s="2">
        <v>338</v>
      </c>
      <c r="BC335" s="2">
        <v>348</v>
      </c>
      <c r="BD335" s="2" t="s">
        <v>74</v>
      </c>
      <c r="BE335" s="2" t="s">
        <v>1684</v>
      </c>
      <c r="BF335" s="2" t="str">
        <f>HYPERLINK("http://dx.doi.org/10.1037/com0000267","http://dx.doi.org/10.1037/com0000267")</f>
        <v>http://dx.doi.org/10.1037/com0000267</v>
      </c>
      <c r="BG335" s="2" t="s">
        <v>74</v>
      </c>
      <c r="BH335" s="2" t="s">
        <v>74</v>
      </c>
      <c r="BI335" s="2" t="s">
        <v>74</v>
      </c>
      <c r="BJ335" s="2" t="s">
        <v>74</v>
      </c>
      <c r="BK335" s="2" t="s">
        <v>74</v>
      </c>
      <c r="BL335" s="2" t="s">
        <v>74</v>
      </c>
      <c r="BM335" s="2" t="s">
        <v>74</v>
      </c>
      <c r="BN335" s="2">
        <v>33475388</v>
      </c>
      <c r="BO335" s="2" t="s">
        <v>74</v>
      </c>
      <c r="BP335" s="2" t="s">
        <v>74</v>
      </c>
      <c r="BQ335" s="2" t="s">
        <v>74</v>
      </c>
      <c r="BR335" s="2" t="s">
        <v>74</v>
      </c>
      <c r="BS335" s="2" t="s">
        <v>1685</v>
      </c>
      <c r="BT335" s="2" t="str">
        <f>HYPERLINK("https%3A%2F%2Fwww.webofscience.com%2Fwos%2Fwoscc%2Ffull-record%2FWOS:000699927200011","View Full Record in Web of Science")</f>
        <v>View Full Record in Web of Science</v>
      </c>
    </row>
    <row r="336" spans="1:72" s="2" customFormat="1" x14ac:dyDescent="0.4">
      <c r="A336" s="2" t="s">
        <v>72</v>
      </c>
      <c r="B336" s="2" t="s">
        <v>7659</v>
      </c>
      <c r="C336" s="2" t="s">
        <v>74</v>
      </c>
      <c r="D336" s="2" t="s">
        <v>74</v>
      </c>
      <c r="E336" s="2" t="s">
        <v>74</v>
      </c>
      <c r="F336" s="2" t="s">
        <v>7659</v>
      </c>
      <c r="G336" s="2" t="s">
        <v>74</v>
      </c>
      <c r="H336" s="2" t="s">
        <v>74</v>
      </c>
      <c r="I336" s="2" t="s">
        <v>7660</v>
      </c>
      <c r="J336" s="2" t="s">
        <v>431</v>
      </c>
      <c r="K336" s="2" t="s">
        <v>74</v>
      </c>
      <c r="L336" s="2" t="s">
        <v>74</v>
      </c>
      <c r="M336" s="2" t="s">
        <v>74</v>
      </c>
      <c r="N336" s="2" t="s">
        <v>74</v>
      </c>
      <c r="O336" s="2" t="s">
        <v>74</v>
      </c>
      <c r="P336" s="2" t="s">
        <v>74</v>
      </c>
      <c r="Q336" s="2" t="s">
        <v>74</v>
      </c>
      <c r="R336" s="2" t="s">
        <v>74</v>
      </c>
      <c r="S336" s="2" t="s">
        <v>74</v>
      </c>
      <c r="T336" s="2" t="s">
        <v>74</v>
      </c>
      <c r="U336" s="2" t="s">
        <v>74</v>
      </c>
      <c r="V336" s="5" t="s">
        <v>7661</v>
      </c>
      <c r="W336" s="2" t="s">
        <v>74</v>
      </c>
      <c r="X336" s="2" t="s">
        <v>74</v>
      </c>
      <c r="Y336" s="2" t="s">
        <v>74</v>
      </c>
      <c r="Z336" s="2" t="s">
        <v>74</v>
      </c>
      <c r="AA336" s="2" t="s">
        <v>7662</v>
      </c>
      <c r="AB336" s="2" t="s">
        <v>74</v>
      </c>
      <c r="AC336" s="2" t="s">
        <v>74</v>
      </c>
      <c r="AD336" s="2" t="s">
        <v>74</v>
      </c>
      <c r="AE336" s="2" t="s">
        <v>74</v>
      </c>
      <c r="AF336" s="2" t="s">
        <v>74</v>
      </c>
      <c r="AG336" s="2" t="s">
        <v>74</v>
      </c>
      <c r="AH336" s="2" t="s">
        <v>74</v>
      </c>
      <c r="AI336" s="2" t="s">
        <v>74</v>
      </c>
      <c r="AJ336" s="2" t="s">
        <v>74</v>
      </c>
      <c r="AK336" s="2" t="s">
        <v>74</v>
      </c>
      <c r="AL336" s="2" t="s">
        <v>74</v>
      </c>
      <c r="AM336" s="2" t="s">
        <v>74</v>
      </c>
      <c r="AN336" s="2" t="s">
        <v>74</v>
      </c>
      <c r="AO336" s="2" t="s">
        <v>1458</v>
      </c>
      <c r="AP336" s="2" t="s">
        <v>74</v>
      </c>
      <c r="AQ336" s="2" t="s">
        <v>74</v>
      </c>
      <c r="AR336" s="2" t="s">
        <v>74</v>
      </c>
      <c r="AS336" s="2" t="s">
        <v>74</v>
      </c>
      <c r="AT336" s="2" t="s">
        <v>633</v>
      </c>
      <c r="AU336" s="2">
        <v>2002</v>
      </c>
      <c r="AV336" s="2">
        <v>119</v>
      </c>
      <c r="AW336" s="2">
        <v>2</v>
      </c>
      <c r="AX336" s="2" t="s">
        <v>74</v>
      </c>
      <c r="AY336" s="2" t="s">
        <v>74</v>
      </c>
      <c r="AZ336" s="2" t="s">
        <v>74</v>
      </c>
      <c r="BA336" s="2" t="s">
        <v>74</v>
      </c>
      <c r="BB336" s="2">
        <v>487</v>
      </c>
      <c r="BC336" s="2">
        <v>497</v>
      </c>
      <c r="BD336" s="2" t="s">
        <v>74</v>
      </c>
      <c r="BE336" s="2" t="s">
        <v>7663</v>
      </c>
      <c r="BF336" s="2" t="str">
        <f>HYPERLINK("http://dx.doi.org/10.1642/0004-8038(2002)119[0487:SALTEO]2.0.CO;2","http://dx.doi.org/10.1642/0004-8038(2002)119[0487:SALTEO]2.0.CO;2")</f>
        <v>http://dx.doi.org/10.1642/0004-8038(2002)119[0487:SALTEO]2.0.CO;2</v>
      </c>
      <c r="BG336" s="2" t="s">
        <v>74</v>
      </c>
      <c r="BH336" s="2" t="s">
        <v>74</v>
      </c>
      <c r="BI336" s="2" t="s">
        <v>74</v>
      </c>
      <c r="BJ336" s="2" t="s">
        <v>74</v>
      </c>
      <c r="BK336" s="2" t="s">
        <v>74</v>
      </c>
      <c r="BL336" s="2" t="s">
        <v>74</v>
      </c>
      <c r="BM336" s="2" t="s">
        <v>74</v>
      </c>
      <c r="BN336" s="2" t="s">
        <v>74</v>
      </c>
      <c r="BO336" s="2" t="s">
        <v>74</v>
      </c>
      <c r="BP336" s="2" t="s">
        <v>74</v>
      </c>
      <c r="BQ336" s="2" t="s">
        <v>74</v>
      </c>
      <c r="BR336" s="2" t="s">
        <v>74</v>
      </c>
      <c r="BS336" s="2" t="s">
        <v>7664</v>
      </c>
      <c r="BT336" s="2" t="str">
        <f>HYPERLINK("https%3A%2F%2Fwww.webofscience.com%2Fwos%2Fwoscc%2Ffull-record%2FWOS:000175709400016","View Full Record in Web of Science")</f>
        <v>View Full Record in Web of Science</v>
      </c>
    </row>
    <row r="337" spans="1:72" s="2" customFormat="1" x14ac:dyDescent="0.4">
      <c r="A337" s="2" t="s">
        <v>72</v>
      </c>
      <c r="B337" s="2" t="s">
        <v>3108</v>
      </c>
      <c r="C337" s="2" t="s">
        <v>74</v>
      </c>
      <c r="D337" s="2" t="s">
        <v>74</v>
      </c>
      <c r="E337" s="2" t="s">
        <v>74</v>
      </c>
      <c r="F337" s="2" t="s">
        <v>3109</v>
      </c>
      <c r="G337" s="2" t="s">
        <v>74</v>
      </c>
      <c r="H337" s="2" t="s">
        <v>74</v>
      </c>
      <c r="I337" s="2" t="s">
        <v>3110</v>
      </c>
      <c r="J337" s="2" t="s">
        <v>3111</v>
      </c>
      <c r="K337" s="2" t="s">
        <v>74</v>
      </c>
      <c r="L337" s="2" t="s">
        <v>74</v>
      </c>
      <c r="M337" s="2" t="s">
        <v>74</v>
      </c>
      <c r="N337" s="2" t="s">
        <v>74</v>
      </c>
      <c r="O337" s="2" t="s">
        <v>74</v>
      </c>
      <c r="P337" s="2" t="s">
        <v>74</v>
      </c>
      <c r="Q337" s="2" t="s">
        <v>74</v>
      </c>
      <c r="R337" s="2" t="s">
        <v>74</v>
      </c>
      <c r="S337" s="2" t="s">
        <v>74</v>
      </c>
      <c r="T337" s="2" t="s">
        <v>74</v>
      </c>
      <c r="U337" s="2" t="s">
        <v>74</v>
      </c>
      <c r="V337" s="5" t="s">
        <v>3112</v>
      </c>
      <c r="W337" s="2" t="s">
        <v>74</v>
      </c>
      <c r="X337" s="2" t="s">
        <v>74</v>
      </c>
      <c r="Y337" s="2" t="s">
        <v>74</v>
      </c>
      <c r="Z337" s="2" t="s">
        <v>74</v>
      </c>
      <c r="AA337" s="2" t="s">
        <v>3113</v>
      </c>
      <c r="AB337" s="2" t="s">
        <v>3114</v>
      </c>
      <c r="AC337" s="2" t="s">
        <v>74</v>
      </c>
      <c r="AD337" s="2" t="s">
        <v>74</v>
      </c>
      <c r="AE337" s="2" t="s">
        <v>74</v>
      </c>
      <c r="AF337" s="2" t="s">
        <v>74</v>
      </c>
      <c r="AG337" s="2" t="s">
        <v>74</v>
      </c>
      <c r="AH337" s="2" t="s">
        <v>74</v>
      </c>
      <c r="AI337" s="2" t="s">
        <v>74</v>
      </c>
      <c r="AJ337" s="2" t="s">
        <v>74</v>
      </c>
      <c r="AK337" s="2" t="s">
        <v>74</v>
      </c>
      <c r="AL337" s="2" t="s">
        <v>74</v>
      </c>
      <c r="AM337" s="2" t="s">
        <v>74</v>
      </c>
      <c r="AN337" s="2" t="s">
        <v>74</v>
      </c>
      <c r="AO337" s="2" t="s">
        <v>3115</v>
      </c>
      <c r="AP337" s="2" t="s">
        <v>3116</v>
      </c>
      <c r="AQ337" s="2" t="s">
        <v>74</v>
      </c>
      <c r="AR337" s="2" t="s">
        <v>74</v>
      </c>
      <c r="AS337" s="2" t="s">
        <v>74</v>
      </c>
      <c r="AT337" s="2" t="s">
        <v>633</v>
      </c>
      <c r="AU337" s="2">
        <v>2010</v>
      </c>
      <c r="AV337" s="2">
        <v>4</v>
      </c>
      <c r="AW337" s="2">
        <v>4</v>
      </c>
      <c r="AX337" s="2" t="s">
        <v>74</v>
      </c>
      <c r="AY337" s="2" t="s">
        <v>74</v>
      </c>
      <c r="AZ337" s="2" t="s">
        <v>74</v>
      </c>
      <c r="BA337" s="2" t="s">
        <v>74</v>
      </c>
      <c r="BB337" s="2">
        <v>604</v>
      </c>
      <c r="BC337" s="2">
        <v>616</v>
      </c>
      <c r="BD337" s="2" t="s">
        <v>74</v>
      </c>
      <c r="BE337" s="2" t="s">
        <v>3117</v>
      </c>
      <c r="BF337" s="2" t="str">
        <f>HYPERLINK("http://dx.doi.org/10.1017/S1751731109991406","http://dx.doi.org/10.1017/S1751731109991406")</f>
        <v>http://dx.doi.org/10.1017/S1751731109991406</v>
      </c>
      <c r="BG337" s="2" t="s">
        <v>74</v>
      </c>
      <c r="BH337" s="2" t="s">
        <v>74</v>
      </c>
      <c r="BI337" s="2" t="s">
        <v>74</v>
      </c>
      <c r="BJ337" s="2" t="s">
        <v>74</v>
      </c>
      <c r="BK337" s="2" t="s">
        <v>74</v>
      </c>
      <c r="BL337" s="2" t="s">
        <v>74</v>
      </c>
      <c r="BM337" s="2" t="s">
        <v>74</v>
      </c>
      <c r="BN337" s="2">
        <v>22444048</v>
      </c>
      <c r="BO337" s="2" t="s">
        <v>74</v>
      </c>
      <c r="BP337" s="2" t="s">
        <v>74</v>
      </c>
      <c r="BQ337" s="2" t="s">
        <v>74</v>
      </c>
      <c r="BR337" s="2" t="s">
        <v>74</v>
      </c>
      <c r="BS337" s="2" t="s">
        <v>3118</v>
      </c>
      <c r="BT337" s="2" t="str">
        <f>HYPERLINK("https%3A%2F%2Fwww.webofscience.com%2Fwos%2Fwoscc%2Ffull-record%2FWOS:000276005600013","View Full Record in Web of Science")</f>
        <v>View Full Record in Web of Science</v>
      </c>
    </row>
    <row r="338" spans="1:72" s="2" customFormat="1" x14ac:dyDescent="0.4">
      <c r="A338" s="2" t="s">
        <v>72</v>
      </c>
      <c r="B338" s="2" t="s">
        <v>3076</v>
      </c>
      <c r="C338" s="2" t="s">
        <v>74</v>
      </c>
      <c r="D338" s="2" t="s">
        <v>74</v>
      </c>
      <c r="E338" s="2" t="s">
        <v>74</v>
      </c>
      <c r="F338" s="2" t="s">
        <v>3076</v>
      </c>
      <c r="G338" s="2" t="s">
        <v>74</v>
      </c>
      <c r="H338" s="2" t="s">
        <v>74</v>
      </c>
      <c r="I338" s="2" t="s">
        <v>3077</v>
      </c>
      <c r="J338" s="2" t="s">
        <v>731</v>
      </c>
      <c r="K338" s="2" t="s">
        <v>74</v>
      </c>
      <c r="L338" s="2" t="s">
        <v>74</v>
      </c>
      <c r="M338" s="2" t="s">
        <v>74</v>
      </c>
      <c r="N338" s="2" t="s">
        <v>74</v>
      </c>
      <c r="O338" s="2" t="s">
        <v>74</v>
      </c>
      <c r="P338" s="2" t="s">
        <v>74</v>
      </c>
      <c r="Q338" s="2" t="s">
        <v>74</v>
      </c>
      <c r="R338" s="2" t="s">
        <v>74</v>
      </c>
      <c r="S338" s="2" t="s">
        <v>74</v>
      </c>
      <c r="T338" s="2" t="s">
        <v>74</v>
      </c>
      <c r="U338" s="2" t="s">
        <v>74</v>
      </c>
      <c r="V338" s="5" t="s">
        <v>3078</v>
      </c>
      <c r="W338" s="2" t="s">
        <v>74</v>
      </c>
      <c r="X338" s="2" t="s">
        <v>74</v>
      </c>
      <c r="Y338" s="2" t="s">
        <v>74</v>
      </c>
      <c r="Z338" s="2" t="s">
        <v>74</v>
      </c>
      <c r="AA338" s="2" t="s">
        <v>74</v>
      </c>
      <c r="AB338" s="2" t="s">
        <v>74</v>
      </c>
      <c r="AC338" s="2" t="s">
        <v>74</v>
      </c>
      <c r="AD338" s="2" t="s">
        <v>74</v>
      </c>
      <c r="AE338" s="2" t="s">
        <v>74</v>
      </c>
      <c r="AF338" s="2" t="s">
        <v>74</v>
      </c>
      <c r="AG338" s="2" t="s">
        <v>74</v>
      </c>
      <c r="AH338" s="2" t="s">
        <v>74</v>
      </c>
      <c r="AI338" s="2" t="s">
        <v>74</v>
      </c>
      <c r="AJ338" s="2" t="s">
        <v>74</v>
      </c>
      <c r="AK338" s="2" t="s">
        <v>74</v>
      </c>
      <c r="AL338" s="2" t="s">
        <v>74</v>
      </c>
      <c r="AM338" s="2" t="s">
        <v>74</v>
      </c>
      <c r="AN338" s="2" t="s">
        <v>74</v>
      </c>
      <c r="AO338" s="2" t="s">
        <v>733</v>
      </c>
      <c r="AP338" s="2" t="s">
        <v>74</v>
      </c>
      <c r="AQ338" s="2" t="s">
        <v>74</v>
      </c>
      <c r="AR338" s="2" t="s">
        <v>74</v>
      </c>
      <c r="AS338" s="2" t="s">
        <v>74</v>
      </c>
      <c r="AT338" s="2" t="s">
        <v>145</v>
      </c>
      <c r="AU338" s="2">
        <v>1996</v>
      </c>
      <c r="AV338" s="2">
        <v>78</v>
      </c>
      <c r="AW338" s="2">
        <v>2</v>
      </c>
      <c r="AX338" s="2" t="s">
        <v>74</v>
      </c>
      <c r="AY338" s="2" t="s">
        <v>74</v>
      </c>
      <c r="AZ338" s="2" t="s">
        <v>74</v>
      </c>
      <c r="BA338" s="2" t="s">
        <v>74</v>
      </c>
      <c r="BB338" s="2">
        <v>175</v>
      </c>
      <c r="BC338" s="2">
        <v>182</v>
      </c>
      <c r="BD338" s="2" t="s">
        <v>74</v>
      </c>
      <c r="BE338" s="2" t="s">
        <v>74</v>
      </c>
      <c r="BF338" s="2" t="s">
        <v>74</v>
      </c>
      <c r="BG338" s="2" t="s">
        <v>74</v>
      </c>
      <c r="BH338" s="2" t="s">
        <v>74</v>
      </c>
      <c r="BI338" s="2" t="s">
        <v>74</v>
      </c>
      <c r="BJ338" s="2" t="s">
        <v>74</v>
      </c>
      <c r="BK338" s="2" t="s">
        <v>74</v>
      </c>
      <c r="BL338" s="2" t="s">
        <v>74</v>
      </c>
      <c r="BM338" s="2" t="s">
        <v>74</v>
      </c>
      <c r="BN338" s="2">
        <v>8864049</v>
      </c>
      <c r="BO338" s="2" t="s">
        <v>74</v>
      </c>
      <c r="BP338" s="2" t="s">
        <v>74</v>
      </c>
      <c r="BQ338" s="2" t="s">
        <v>74</v>
      </c>
      <c r="BR338" s="2" t="s">
        <v>74</v>
      </c>
      <c r="BS338" s="2" t="s">
        <v>3079</v>
      </c>
      <c r="BT338" s="2" t="str">
        <f>HYPERLINK("https%3A%2F%2Fwww.webofscience.com%2Fwos%2Fwoscc%2Ffull-record%2FWOS:A1996VD71100011","View Full Record in Web of Science")</f>
        <v>View Full Record in Web of Science</v>
      </c>
    </row>
    <row r="339" spans="1:72" s="2" customFormat="1" x14ac:dyDescent="0.4">
      <c r="A339" s="2" t="s">
        <v>72</v>
      </c>
      <c r="B339" s="2" t="s">
        <v>5822</v>
      </c>
      <c r="C339" s="2" t="s">
        <v>74</v>
      </c>
      <c r="D339" s="2" t="s">
        <v>74</v>
      </c>
      <c r="E339" s="2" t="s">
        <v>74</v>
      </c>
      <c r="F339" s="2" t="s">
        <v>5822</v>
      </c>
      <c r="G339" s="2" t="s">
        <v>74</v>
      </c>
      <c r="H339" s="2" t="s">
        <v>74</v>
      </c>
      <c r="I339" s="2" t="s">
        <v>5823</v>
      </c>
      <c r="J339" s="2" t="s">
        <v>4791</v>
      </c>
      <c r="K339" s="2" t="s">
        <v>74</v>
      </c>
      <c r="L339" s="2" t="s">
        <v>74</v>
      </c>
      <c r="M339" s="2" t="s">
        <v>74</v>
      </c>
      <c r="N339" s="2" t="s">
        <v>74</v>
      </c>
      <c r="O339" s="2" t="s">
        <v>74</v>
      </c>
      <c r="P339" s="2" t="s">
        <v>74</v>
      </c>
      <c r="Q339" s="2" t="s">
        <v>74</v>
      </c>
      <c r="R339" s="2" t="s">
        <v>74</v>
      </c>
      <c r="S339" s="2" t="s">
        <v>74</v>
      </c>
      <c r="T339" s="2" t="s">
        <v>74</v>
      </c>
      <c r="U339" s="2" t="s">
        <v>74</v>
      </c>
      <c r="V339" s="5" t="s">
        <v>5824</v>
      </c>
      <c r="W339" s="2" t="s">
        <v>74</v>
      </c>
      <c r="X339" s="2" t="s">
        <v>74</v>
      </c>
      <c r="Y339" s="2" t="s">
        <v>74</v>
      </c>
      <c r="Z339" s="2" t="s">
        <v>74</v>
      </c>
      <c r="AA339" s="2" t="s">
        <v>74</v>
      </c>
      <c r="AB339" s="2" t="s">
        <v>74</v>
      </c>
      <c r="AC339" s="2" t="s">
        <v>74</v>
      </c>
      <c r="AD339" s="2" t="s">
        <v>74</v>
      </c>
      <c r="AE339" s="2" t="s">
        <v>74</v>
      </c>
      <c r="AF339" s="2" t="s">
        <v>74</v>
      </c>
      <c r="AG339" s="2" t="s">
        <v>74</v>
      </c>
      <c r="AH339" s="2" t="s">
        <v>74</v>
      </c>
      <c r="AI339" s="2" t="s">
        <v>74</v>
      </c>
      <c r="AJ339" s="2" t="s">
        <v>74</v>
      </c>
      <c r="AK339" s="2" t="s">
        <v>74</v>
      </c>
      <c r="AL339" s="2" t="s">
        <v>74</v>
      </c>
      <c r="AM339" s="2" t="s">
        <v>74</v>
      </c>
      <c r="AN339" s="2" t="s">
        <v>74</v>
      </c>
      <c r="AO339" s="2" t="s">
        <v>4793</v>
      </c>
      <c r="AP339" s="2" t="s">
        <v>74</v>
      </c>
      <c r="AQ339" s="2" t="s">
        <v>74</v>
      </c>
      <c r="AR339" s="2" t="s">
        <v>74</v>
      </c>
      <c r="AS339" s="2" t="s">
        <v>74</v>
      </c>
      <c r="AT339" s="2" t="s">
        <v>932</v>
      </c>
      <c r="AU339" s="2">
        <v>1995</v>
      </c>
      <c r="AV339" s="2">
        <v>272</v>
      </c>
      <c r="AW339" s="2">
        <v>3</v>
      </c>
      <c r="AX339" s="2" t="s">
        <v>74</v>
      </c>
      <c r="AY339" s="2" t="s">
        <v>74</v>
      </c>
      <c r="AZ339" s="2" t="s">
        <v>74</v>
      </c>
      <c r="BA339" s="2" t="s">
        <v>74</v>
      </c>
      <c r="BB339" s="2">
        <v>194</v>
      </c>
      <c r="BC339" s="2">
        <v>200</v>
      </c>
      <c r="BD339" s="2" t="s">
        <v>74</v>
      </c>
      <c r="BE339" s="2" t="s">
        <v>5825</v>
      </c>
      <c r="BF339" s="2" t="str">
        <f>HYPERLINK("http://dx.doi.org/10.1002/jez.1402720304","http://dx.doi.org/10.1002/jez.1402720304")</f>
        <v>http://dx.doi.org/10.1002/jez.1402720304</v>
      </c>
      <c r="BG339" s="2" t="s">
        <v>74</v>
      </c>
      <c r="BH339" s="2" t="s">
        <v>74</v>
      </c>
      <c r="BI339" s="2" t="s">
        <v>74</v>
      </c>
      <c r="BJ339" s="2" t="s">
        <v>74</v>
      </c>
      <c r="BK339" s="2" t="s">
        <v>74</v>
      </c>
      <c r="BL339" s="2" t="s">
        <v>74</v>
      </c>
      <c r="BM339" s="2" t="s">
        <v>74</v>
      </c>
      <c r="BN339" s="2" t="s">
        <v>74</v>
      </c>
      <c r="BO339" s="2" t="s">
        <v>74</v>
      </c>
      <c r="BP339" s="2" t="s">
        <v>74</v>
      </c>
      <c r="BQ339" s="2" t="s">
        <v>74</v>
      </c>
      <c r="BR339" s="2" t="s">
        <v>74</v>
      </c>
      <c r="BS339" s="2" t="s">
        <v>5826</v>
      </c>
      <c r="BT339" s="2" t="str">
        <f>HYPERLINK("https%3A%2F%2Fwww.webofscience.com%2Fwos%2Fwoscc%2Ffull-record%2FWOS:A1995RG10200003","View Full Record in Web of Science")</f>
        <v>View Full Record in Web of Science</v>
      </c>
    </row>
    <row r="340" spans="1:72" s="2" customFormat="1" x14ac:dyDescent="0.4">
      <c r="A340" s="2" t="s">
        <v>72</v>
      </c>
      <c r="B340" s="2" t="s">
        <v>729</v>
      </c>
      <c r="C340" s="2" t="s">
        <v>74</v>
      </c>
      <c r="D340" s="2" t="s">
        <v>74</v>
      </c>
      <c r="E340" s="2" t="s">
        <v>74</v>
      </c>
      <c r="F340" s="2" t="s">
        <v>729</v>
      </c>
      <c r="G340" s="2" t="s">
        <v>74</v>
      </c>
      <c r="H340" s="2" t="s">
        <v>74</v>
      </c>
      <c r="I340" s="2" t="s">
        <v>730</v>
      </c>
      <c r="J340" s="2" t="s">
        <v>731</v>
      </c>
      <c r="K340" s="2" t="s">
        <v>74</v>
      </c>
      <c r="L340" s="2" t="s">
        <v>74</v>
      </c>
      <c r="M340" s="2" t="s">
        <v>74</v>
      </c>
      <c r="N340" s="2" t="s">
        <v>74</v>
      </c>
      <c r="O340" s="2" t="s">
        <v>74</v>
      </c>
      <c r="P340" s="2" t="s">
        <v>74</v>
      </c>
      <c r="Q340" s="2" t="s">
        <v>74</v>
      </c>
      <c r="R340" s="2" t="s">
        <v>74</v>
      </c>
      <c r="S340" s="2" t="s">
        <v>74</v>
      </c>
      <c r="T340" s="2" t="s">
        <v>74</v>
      </c>
      <c r="U340" s="2" t="s">
        <v>74</v>
      </c>
      <c r="V340" s="5" t="s">
        <v>732</v>
      </c>
      <c r="W340" s="2" t="s">
        <v>74</v>
      </c>
      <c r="X340" s="2" t="s">
        <v>74</v>
      </c>
      <c r="Y340" s="2" t="s">
        <v>74</v>
      </c>
      <c r="Z340" s="2" t="s">
        <v>74</v>
      </c>
      <c r="AA340" s="2" t="s">
        <v>74</v>
      </c>
      <c r="AB340" s="2" t="s">
        <v>74</v>
      </c>
      <c r="AC340" s="2" t="s">
        <v>74</v>
      </c>
      <c r="AD340" s="2" t="s">
        <v>74</v>
      </c>
      <c r="AE340" s="2" t="s">
        <v>74</v>
      </c>
      <c r="AF340" s="2" t="s">
        <v>74</v>
      </c>
      <c r="AG340" s="2" t="s">
        <v>74</v>
      </c>
      <c r="AH340" s="2" t="s">
        <v>74</v>
      </c>
      <c r="AI340" s="2" t="s">
        <v>74</v>
      </c>
      <c r="AJ340" s="2" t="s">
        <v>74</v>
      </c>
      <c r="AK340" s="2" t="s">
        <v>74</v>
      </c>
      <c r="AL340" s="2" t="s">
        <v>74</v>
      </c>
      <c r="AM340" s="2" t="s">
        <v>74</v>
      </c>
      <c r="AN340" s="2" t="s">
        <v>74</v>
      </c>
      <c r="AO340" s="2" t="s">
        <v>733</v>
      </c>
      <c r="AP340" s="2" t="s">
        <v>734</v>
      </c>
      <c r="AQ340" s="2" t="s">
        <v>74</v>
      </c>
      <c r="AR340" s="2" t="s">
        <v>74</v>
      </c>
      <c r="AS340" s="2" t="s">
        <v>74</v>
      </c>
      <c r="AT340" s="2" t="s">
        <v>175</v>
      </c>
      <c r="AU340" s="2">
        <v>1998</v>
      </c>
      <c r="AV340" s="2">
        <v>95</v>
      </c>
      <c r="AW340" s="2">
        <v>2</v>
      </c>
      <c r="AX340" s="2" t="s">
        <v>74</v>
      </c>
      <c r="AY340" s="2" t="s">
        <v>74</v>
      </c>
      <c r="AZ340" s="2" t="s">
        <v>74</v>
      </c>
      <c r="BA340" s="2" t="s">
        <v>74</v>
      </c>
      <c r="BB340" s="2">
        <v>227</v>
      </c>
      <c r="BC340" s="2">
        <v>232</v>
      </c>
      <c r="BD340" s="2" t="s">
        <v>74</v>
      </c>
      <c r="BE340" s="2" t="s">
        <v>735</v>
      </c>
      <c r="BF340" s="2" t="str">
        <f>HYPERLINK("http://dx.doi.org/10.1016/S0166-4328(98)00048-5","http://dx.doi.org/10.1016/S0166-4328(98)00048-5")</f>
        <v>http://dx.doi.org/10.1016/S0166-4328(98)00048-5</v>
      </c>
      <c r="BG340" s="2" t="s">
        <v>74</v>
      </c>
      <c r="BH340" s="2" t="s">
        <v>74</v>
      </c>
      <c r="BI340" s="2" t="s">
        <v>74</v>
      </c>
      <c r="BJ340" s="2" t="s">
        <v>74</v>
      </c>
      <c r="BK340" s="2" t="s">
        <v>74</v>
      </c>
      <c r="BL340" s="2" t="s">
        <v>74</v>
      </c>
      <c r="BM340" s="2" t="s">
        <v>74</v>
      </c>
      <c r="BN340" s="2">
        <v>9806442</v>
      </c>
      <c r="BO340" s="2" t="s">
        <v>74</v>
      </c>
      <c r="BP340" s="2" t="s">
        <v>74</v>
      </c>
      <c r="BQ340" s="2" t="s">
        <v>74</v>
      </c>
      <c r="BR340" s="2" t="s">
        <v>74</v>
      </c>
      <c r="BS340" s="2" t="s">
        <v>736</v>
      </c>
      <c r="BT340" s="2" t="str">
        <f>HYPERLINK("https%3A%2F%2Fwww.webofscience.com%2Fwos%2Fwoscc%2Ffull-record%2FWOS:000076619000008","View Full Record in Web of Science")</f>
        <v>View Full Record in Web of Science</v>
      </c>
    </row>
    <row r="341" spans="1:72" s="2" customFormat="1" x14ac:dyDescent="0.4">
      <c r="A341" s="2" t="s">
        <v>72</v>
      </c>
      <c r="B341" s="2" t="s">
        <v>7597</v>
      </c>
      <c r="C341" s="2" t="s">
        <v>74</v>
      </c>
      <c r="D341" s="2" t="s">
        <v>74</v>
      </c>
      <c r="E341" s="2" t="s">
        <v>74</v>
      </c>
      <c r="F341" s="2" t="s">
        <v>7597</v>
      </c>
      <c r="G341" s="2" t="s">
        <v>74</v>
      </c>
      <c r="H341" s="2" t="s">
        <v>74</v>
      </c>
      <c r="I341" s="2" t="s">
        <v>7598</v>
      </c>
      <c r="J341" s="2" t="s">
        <v>7599</v>
      </c>
      <c r="K341" s="2" t="s">
        <v>74</v>
      </c>
      <c r="L341" s="2" t="s">
        <v>74</v>
      </c>
      <c r="M341" s="2" t="s">
        <v>74</v>
      </c>
      <c r="N341" s="2" t="s">
        <v>74</v>
      </c>
      <c r="O341" s="2" t="s">
        <v>74</v>
      </c>
      <c r="P341" s="2" t="s">
        <v>74</v>
      </c>
      <c r="Q341" s="2" t="s">
        <v>74</v>
      </c>
      <c r="R341" s="2" t="s">
        <v>74</v>
      </c>
      <c r="S341" s="2" t="s">
        <v>74</v>
      </c>
      <c r="T341" s="2" t="s">
        <v>74</v>
      </c>
      <c r="U341" s="2" t="s">
        <v>74</v>
      </c>
      <c r="V341" s="5" t="s">
        <v>7600</v>
      </c>
      <c r="W341" s="2" t="s">
        <v>74</v>
      </c>
      <c r="X341" s="2" t="s">
        <v>74</v>
      </c>
      <c r="Y341" s="2" t="s">
        <v>74</v>
      </c>
      <c r="Z341" s="2" t="s">
        <v>74</v>
      </c>
      <c r="AA341" s="2" t="s">
        <v>74</v>
      </c>
      <c r="AB341" s="2" t="s">
        <v>74</v>
      </c>
      <c r="AC341" s="2" t="s">
        <v>74</v>
      </c>
      <c r="AD341" s="2" t="s">
        <v>74</v>
      </c>
      <c r="AE341" s="2" t="s">
        <v>74</v>
      </c>
      <c r="AF341" s="2" t="s">
        <v>74</v>
      </c>
      <c r="AG341" s="2" t="s">
        <v>74</v>
      </c>
      <c r="AH341" s="2" t="s">
        <v>74</v>
      </c>
      <c r="AI341" s="2" t="s">
        <v>74</v>
      </c>
      <c r="AJ341" s="2" t="s">
        <v>74</v>
      </c>
      <c r="AK341" s="2" t="s">
        <v>74</v>
      </c>
      <c r="AL341" s="2" t="s">
        <v>74</v>
      </c>
      <c r="AM341" s="2" t="s">
        <v>74</v>
      </c>
      <c r="AN341" s="2" t="s">
        <v>74</v>
      </c>
      <c r="AO341" s="2" t="s">
        <v>7601</v>
      </c>
      <c r="AP341" s="2" t="s">
        <v>74</v>
      </c>
      <c r="AQ341" s="2" t="s">
        <v>74</v>
      </c>
      <c r="AR341" s="2" t="s">
        <v>74</v>
      </c>
      <c r="AS341" s="2" t="s">
        <v>74</v>
      </c>
      <c r="AT341" s="2" t="s">
        <v>7602</v>
      </c>
      <c r="AU341" s="2">
        <v>1991</v>
      </c>
      <c r="AV341" s="2">
        <v>104</v>
      </c>
      <c r="AW341" s="2">
        <v>2</v>
      </c>
      <c r="AX341" s="2" t="s">
        <v>74</v>
      </c>
      <c r="AY341" s="2" t="s">
        <v>74</v>
      </c>
      <c r="AZ341" s="2" t="s">
        <v>74</v>
      </c>
      <c r="BA341" s="2" t="s">
        <v>74</v>
      </c>
      <c r="BB341" s="2">
        <v>370</v>
      </c>
      <c r="BC341" s="2">
        <v>386</v>
      </c>
      <c r="BD341" s="2" t="s">
        <v>74</v>
      </c>
      <c r="BE341" s="2" t="s">
        <v>74</v>
      </c>
      <c r="BF341" s="2" t="s">
        <v>74</v>
      </c>
      <c r="BG341" s="2" t="s">
        <v>74</v>
      </c>
      <c r="BH341" s="2" t="s">
        <v>74</v>
      </c>
      <c r="BI341" s="2" t="s">
        <v>74</v>
      </c>
      <c r="BJ341" s="2" t="s">
        <v>74</v>
      </c>
      <c r="BK341" s="2" t="s">
        <v>74</v>
      </c>
      <c r="BL341" s="2" t="s">
        <v>74</v>
      </c>
      <c r="BM341" s="2" t="s">
        <v>74</v>
      </c>
      <c r="BN341" s="2" t="s">
        <v>74</v>
      </c>
      <c r="BO341" s="2" t="s">
        <v>74</v>
      </c>
      <c r="BP341" s="2" t="s">
        <v>74</v>
      </c>
      <c r="BQ341" s="2" t="s">
        <v>74</v>
      </c>
      <c r="BR341" s="2" t="s">
        <v>74</v>
      </c>
      <c r="BS341" s="2" t="s">
        <v>7603</v>
      </c>
      <c r="BT341" s="2" t="str">
        <f>HYPERLINK("https%3A%2F%2Fwww.webofscience.com%2Fwos%2Fwoscc%2Ffull-record%2FWOS:A1991FT32000019","View Full Record in Web of Science")</f>
        <v>View Full Record in Web of Science</v>
      </c>
    </row>
    <row r="342" spans="1:72" s="2" customFormat="1" x14ac:dyDescent="0.4">
      <c r="A342" s="2" t="s">
        <v>72</v>
      </c>
      <c r="B342" s="2" t="s">
        <v>7484</v>
      </c>
      <c r="C342" s="2" t="s">
        <v>74</v>
      </c>
      <c r="D342" s="2" t="s">
        <v>74</v>
      </c>
      <c r="E342" s="2" t="s">
        <v>74</v>
      </c>
      <c r="F342" s="2" t="s">
        <v>7484</v>
      </c>
      <c r="G342" s="2" t="s">
        <v>74</v>
      </c>
      <c r="H342" s="2" t="s">
        <v>74</v>
      </c>
      <c r="I342" s="2" t="s">
        <v>7485</v>
      </c>
      <c r="J342" s="2" t="s">
        <v>7486</v>
      </c>
      <c r="K342" s="2" t="s">
        <v>74</v>
      </c>
      <c r="L342" s="2" t="s">
        <v>74</v>
      </c>
      <c r="M342" s="2" t="s">
        <v>74</v>
      </c>
      <c r="N342" s="2" t="s">
        <v>74</v>
      </c>
      <c r="O342" s="2" t="s">
        <v>74</v>
      </c>
      <c r="P342" s="2" t="s">
        <v>74</v>
      </c>
      <c r="Q342" s="2" t="s">
        <v>74</v>
      </c>
      <c r="R342" s="2" t="s">
        <v>74</v>
      </c>
      <c r="S342" s="2" t="s">
        <v>74</v>
      </c>
      <c r="T342" s="2" t="s">
        <v>74</v>
      </c>
      <c r="U342" s="2" t="s">
        <v>74</v>
      </c>
      <c r="V342" s="5" t="s">
        <v>7487</v>
      </c>
      <c r="W342" s="2" t="s">
        <v>74</v>
      </c>
      <c r="X342" s="2" t="s">
        <v>74</v>
      </c>
      <c r="Y342" s="2" t="s">
        <v>74</v>
      </c>
      <c r="Z342" s="2" t="s">
        <v>74</v>
      </c>
      <c r="AA342" s="2" t="s">
        <v>74</v>
      </c>
      <c r="AB342" s="2" t="s">
        <v>74</v>
      </c>
      <c r="AC342" s="2" t="s">
        <v>74</v>
      </c>
      <c r="AD342" s="2" t="s">
        <v>74</v>
      </c>
      <c r="AE342" s="2" t="s">
        <v>74</v>
      </c>
      <c r="AF342" s="2" t="s">
        <v>74</v>
      </c>
      <c r="AG342" s="2" t="s">
        <v>74</v>
      </c>
      <c r="AH342" s="2" t="s">
        <v>74</v>
      </c>
      <c r="AI342" s="2" t="s">
        <v>74</v>
      </c>
      <c r="AJ342" s="2" t="s">
        <v>74</v>
      </c>
      <c r="AK342" s="2" t="s">
        <v>74</v>
      </c>
      <c r="AL342" s="2" t="s">
        <v>74</v>
      </c>
      <c r="AM342" s="2" t="s">
        <v>74</v>
      </c>
      <c r="AN342" s="2" t="s">
        <v>74</v>
      </c>
      <c r="AO342" s="2" t="s">
        <v>74</v>
      </c>
      <c r="AP342" s="2" t="s">
        <v>74</v>
      </c>
      <c r="AQ342" s="2" t="s">
        <v>74</v>
      </c>
      <c r="AR342" s="2" t="s">
        <v>74</v>
      </c>
      <c r="AS342" s="2" t="s">
        <v>74</v>
      </c>
      <c r="AT342" s="2" t="s">
        <v>74</v>
      </c>
      <c r="AU342" s="2">
        <v>1982</v>
      </c>
      <c r="AV342" s="2">
        <v>36</v>
      </c>
      <c r="AW342" s="2">
        <v>1</v>
      </c>
      <c r="AX342" s="2" t="s">
        <v>74</v>
      </c>
      <c r="AY342" s="2" t="s">
        <v>74</v>
      </c>
      <c r="AZ342" s="2" t="s">
        <v>74</v>
      </c>
      <c r="BA342" s="2" t="s">
        <v>74</v>
      </c>
      <c r="BB342" s="2">
        <v>37</v>
      </c>
      <c r="BC342" s="2">
        <v>78</v>
      </c>
      <c r="BD342" s="2" t="s">
        <v>74</v>
      </c>
      <c r="BE342" s="2" t="s">
        <v>74</v>
      </c>
      <c r="BF342" s="2" t="s">
        <v>74</v>
      </c>
      <c r="BG342" s="2" t="s">
        <v>74</v>
      </c>
      <c r="BH342" s="2" t="s">
        <v>74</v>
      </c>
      <c r="BI342" s="2" t="s">
        <v>74</v>
      </c>
      <c r="BJ342" s="2" t="s">
        <v>74</v>
      </c>
      <c r="BK342" s="2" t="s">
        <v>74</v>
      </c>
      <c r="BL342" s="2" t="s">
        <v>74</v>
      </c>
      <c r="BM342" s="2" t="s">
        <v>74</v>
      </c>
      <c r="BN342" s="2" t="s">
        <v>74</v>
      </c>
      <c r="BO342" s="2" t="s">
        <v>74</v>
      </c>
      <c r="BP342" s="2" t="s">
        <v>74</v>
      </c>
      <c r="BQ342" s="2" t="s">
        <v>74</v>
      </c>
      <c r="BR342" s="2" t="s">
        <v>74</v>
      </c>
      <c r="BS342" s="2" t="s">
        <v>7488</v>
      </c>
      <c r="BT342" s="2" t="str">
        <f>HYPERLINK("https%3A%2F%2Fwww.webofscience.com%2Fwos%2Fwoscc%2Ffull-record%2FWOS:A1982MW10500003","View Full Record in Web of Science")</f>
        <v>View Full Record in Web of Science</v>
      </c>
    </row>
    <row r="343" spans="1:72" s="2" customFormat="1" x14ac:dyDescent="0.4">
      <c r="A343" s="2" t="s">
        <v>72</v>
      </c>
      <c r="B343" s="2" t="s">
        <v>1491</v>
      </c>
      <c r="C343" s="2" t="s">
        <v>74</v>
      </c>
      <c r="D343" s="2" t="s">
        <v>74</v>
      </c>
      <c r="E343" s="2" t="s">
        <v>74</v>
      </c>
      <c r="F343" s="2" t="s">
        <v>1492</v>
      </c>
      <c r="G343" s="2" t="s">
        <v>74</v>
      </c>
      <c r="H343" s="2" t="s">
        <v>74</v>
      </c>
      <c r="I343" s="2" t="s">
        <v>1493</v>
      </c>
      <c r="J343" s="2" t="s">
        <v>1494</v>
      </c>
      <c r="K343" s="2" t="s">
        <v>74</v>
      </c>
      <c r="L343" s="2" t="s">
        <v>74</v>
      </c>
      <c r="M343" s="2" t="s">
        <v>74</v>
      </c>
      <c r="N343" s="2" t="s">
        <v>74</v>
      </c>
      <c r="O343" s="2" t="s">
        <v>74</v>
      </c>
      <c r="P343" s="2" t="s">
        <v>74</v>
      </c>
      <c r="Q343" s="2" t="s">
        <v>74</v>
      </c>
      <c r="R343" s="2" t="s">
        <v>74</v>
      </c>
      <c r="S343" s="2" t="s">
        <v>74</v>
      </c>
      <c r="T343" s="2" t="s">
        <v>74</v>
      </c>
      <c r="U343" s="2" t="s">
        <v>74</v>
      </c>
      <c r="V343" s="5" t="s">
        <v>1495</v>
      </c>
      <c r="W343" s="2" t="s">
        <v>74</v>
      </c>
      <c r="X343" s="2" t="s">
        <v>74</v>
      </c>
      <c r="Y343" s="2" t="s">
        <v>74</v>
      </c>
      <c r="Z343" s="2" t="s">
        <v>74</v>
      </c>
      <c r="AA343" s="2" t="s">
        <v>1496</v>
      </c>
      <c r="AB343" s="2" t="s">
        <v>1497</v>
      </c>
      <c r="AC343" s="2" t="s">
        <v>74</v>
      </c>
      <c r="AD343" s="2" t="s">
        <v>74</v>
      </c>
      <c r="AE343" s="2" t="s">
        <v>74</v>
      </c>
      <c r="AF343" s="2" t="s">
        <v>74</v>
      </c>
      <c r="AG343" s="2" t="s">
        <v>74</v>
      </c>
      <c r="AH343" s="2" t="s">
        <v>74</v>
      </c>
      <c r="AI343" s="2" t="s">
        <v>74</v>
      </c>
      <c r="AJ343" s="2" t="s">
        <v>74</v>
      </c>
      <c r="AK343" s="2" t="s">
        <v>74</v>
      </c>
      <c r="AL343" s="2" t="s">
        <v>74</v>
      </c>
      <c r="AM343" s="2" t="s">
        <v>74</v>
      </c>
      <c r="AN343" s="2" t="s">
        <v>74</v>
      </c>
      <c r="AO343" s="2" t="s">
        <v>1498</v>
      </c>
      <c r="AP343" s="2" t="s">
        <v>74</v>
      </c>
      <c r="AQ343" s="2" t="s">
        <v>74</v>
      </c>
      <c r="AR343" s="2" t="s">
        <v>74</v>
      </c>
      <c r="AS343" s="2" t="s">
        <v>74</v>
      </c>
      <c r="AT343" s="2" t="s">
        <v>74</v>
      </c>
      <c r="AU343" s="2">
        <v>2019</v>
      </c>
      <c r="AV343" s="2">
        <v>32</v>
      </c>
      <c r="AW343" s="2" t="s">
        <v>74</v>
      </c>
      <c r="AX343" s="2" t="s">
        <v>74</v>
      </c>
      <c r="AY343" s="2" t="s">
        <v>74</v>
      </c>
      <c r="AZ343" s="2" t="s">
        <v>74</v>
      </c>
      <c r="BA343" s="2" t="s">
        <v>74</v>
      </c>
      <c r="BB343" s="2">
        <v>95</v>
      </c>
      <c r="BC343" s="2">
        <v>99</v>
      </c>
      <c r="BD343" s="2" t="s">
        <v>74</v>
      </c>
      <c r="BE343" s="2" t="s">
        <v>1499</v>
      </c>
      <c r="BF343" s="2" t="str">
        <f>HYPERLINK("http://dx.doi.org/10.3897/herpetozoa.32.e36023","http://dx.doi.org/10.3897/herpetozoa.32.e36023")</f>
        <v>http://dx.doi.org/10.3897/herpetozoa.32.e36023</v>
      </c>
      <c r="BG343" s="2" t="s">
        <v>74</v>
      </c>
      <c r="BH343" s="2" t="s">
        <v>74</v>
      </c>
      <c r="BI343" s="2" t="s">
        <v>74</v>
      </c>
      <c r="BJ343" s="2" t="s">
        <v>74</v>
      </c>
      <c r="BK343" s="2" t="s">
        <v>74</v>
      </c>
      <c r="BL343" s="2" t="s">
        <v>74</v>
      </c>
      <c r="BM343" s="2" t="s">
        <v>74</v>
      </c>
      <c r="BN343" s="2" t="s">
        <v>74</v>
      </c>
      <c r="BO343" s="2" t="s">
        <v>74</v>
      </c>
      <c r="BP343" s="2" t="s">
        <v>74</v>
      </c>
      <c r="BQ343" s="2" t="s">
        <v>74</v>
      </c>
      <c r="BR343" s="2" t="s">
        <v>74</v>
      </c>
      <c r="BS343" s="2" t="s">
        <v>1500</v>
      </c>
      <c r="BT343" s="2" t="str">
        <f>HYPERLINK("https%3A%2F%2Fwww.webofscience.com%2Fwos%2Fwoscc%2Ffull-record%2FWOS:000471808100016","View Full Record in Web of Science")</f>
        <v>View Full Record in Web of Science</v>
      </c>
    </row>
    <row r="344" spans="1:72" s="2" customFormat="1" x14ac:dyDescent="0.4">
      <c r="A344" s="2" t="s">
        <v>72</v>
      </c>
      <c r="B344" s="2" t="s">
        <v>2205</v>
      </c>
      <c r="C344" s="2" t="s">
        <v>74</v>
      </c>
      <c r="D344" s="2" t="s">
        <v>74</v>
      </c>
      <c r="E344" s="2" t="s">
        <v>74</v>
      </c>
      <c r="F344" s="2" t="s">
        <v>2205</v>
      </c>
      <c r="G344" s="2" t="s">
        <v>74</v>
      </c>
      <c r="H344" s="2" t="s">
        <v>74</v>
      </c>
      <c r="I344" s="2" t="s">
        <v>2206</v>
      </c>
      <c r="J344" s="2" t="s">
        <v>2207</v>
      </c>
      <c r="K344" s="2" t="s">
        <v>74</v>
      </c>
      <c r="L344" s="2" t="s">
        <v>74</v>
      </c>
      <c r="M344" s="2" t="s">
        <v>74</v>
      </c>
      <c r="N344" s="2" t="s">
        <v>74</v>
      </c>
      <c r="O344" s="2" t="s">
        <v>74</v>
      </c>
      <c r="P344" s="2" t="s">
        <v>74</v>
      </c>
      <c r="Q344" s="2" t="s">
        <v>74</v>
      </c>
      <c r="R344" s="2" t="s">
        <v>74</v>
      </c>
      <c r="S344" s="2" t="s">
        <v>74</v>
      </c>
      <c r="T344" s="2" t="s">
        <v>74</v>
      </c>
      <c r="U344" s="2" t="s">
        <v>74</v>
      </c>
      <c r="V344" s="5" t="s">
        <v>2208</v>
      </c>
      <c r="W344" s="2" t="s">
        <v>74</v>
      </c>
      <c r="X344" s="2" t="s">
        <v>74</v>
      </c>
      <c r="Y344" s="2" t="s">
        <v>74</v>
      </c>
      <c r="Z344" s="2" t="s">
        <v>74</v>
      </c>
      <c r="AA344" s="2" t="s">
        <v>2209</v>
      </c>
      <c r="AB344" s="2" t="s">
        <v>2210</v>
      </c>
      <c r="AC344" s="2" t="s">
        <v>74</v>
      </c>
      <c r="AD344" s="2" t="s">
        <v>74</v>
      </c>
      <c r="AE344" s="2" t="s">
        <v>74</v>
      </c>
      <c r="AF344" s="2" t="s">
        <v>74</v>
      </c>
      <c r="AG344" s="2" t="s">
        <v>74</v>
      </c>
      <c r="AH344" s="2" t="s">
        <v>74</v>
      </c>
      <c r="AI344" s="2" t="s">
        <v>74</v>
      </c>
      <c r="AJ344" s="2" t="s">
        <v>74</v>
      </c>
      <c r="AK344" s="2" t="s">
        <v>74</v>
      </c>
      <c r="AL344" s="2" t="s">
        <v>74</v>
      </c>
      <c r="AM344" s="2" t="s">
        <v>74</v>
      </c>
      <c r="AN344" s="2" t="s">
        <v>74</v>
      </c>
      <c r="AO344" s="2" t="s">
        <v>2211</v>
      </c>
      <c r="AP344" s="2" t="s">
        <v>74</v>
      </c>
      <c r="AQ344" s="2" t="s">
        <v>74</v>
      </c>
      <c r="AR344" s="2" t="s">
        <v>74</v>
      </c>
      <c r="AS344" s="2" t="s">
        <v>74</v>
      </c>
      <c r="AT344" s="2" t="s">
        <v>204</v>
      </c>
      <c r="AU344" s="2">
        <v>2006</v>
      </c>
      <c r="AV344" s="2">
        <v>37</v>
      </c>
      <c r="AW344" s="2">
        <v>4</v>
      </c>
      <c r="AX344" s="2" t="s">
        <v>74</v>
      </c>
      <c r="AY344" s="2" t="s">
        <v>74</v>
      </c>
      <c r="AZ344" s="2" t="s">
        <v>74</v>
      </c>
      <c r="BA344" s="2" t="s">
        <v>74</v>
      </c>
      <c r="BB344" s="2">
        <v>339</v>
      </c>
      <c r="BC344" s="2">
        <v>348</v>
      </c>
      <c r="BD344" s="2" t="s">
        <v>74</v>
      </c>
      <c r="BE344" s="2" t="s">
        <v>2212</v>
      </c>
      <c r="BF344" s="2" t="str">
        <f>HYPERLINK("http://dx.doi.org/10.1111/j.2006.0908-8857.03655.x","http://dx.doi.org/10.1111/j.2006.0908-8857.03655.x")</f>
        <v>http://dx.doi.org/10.1111/j.2006.0908-8857.03655.x</v>
      </c>
      <c r="BG344" s="2" t="s">
        <v>74</v>
      </c>
      <c r="BH344" s="2" t="s">
        <v>74</v>
      </c>
      <c r="BI344" s="2" t="s">
        <v>74</v>
      </c>
      <c r="BJ344" s="2" t="s">
        <v>74</v>
      </c>
      <c r="BK344" s="2" t="s">
        <v>74</v>
      </c>
      <c r="BL344" s="2" t="s">
        <v>74</v>
      </c>
      <c r="BM344" s="2" t="s">
        <v>74</v>
      </c>
      <c r="BN344" s="2" t="s">
        <v>74</v>
      </c>
      <c r="BO344" s="2" t="s">
        <v>74</v>
      </c>
      <c r="BP344" s="2" t="s">
        <v>74</v>
      </c>
      <c r="BQ344" s="2" t="s">
        <v>74</v>
      </c>
      <c r="BR344" s="2" t="s">
        <v>74</v>
      </c>
      <c r="BS344" s="2" t="s">
        <v>2213</v>
      </c>
      <c r="BT344" s="2" t="str">
        <f>HYPERLINK("https%3A%2F%2Fwww.webofscience.com%2Fwos%2Fwoscc%2Ffull-record%2FWOS:000238486700008","View Full Record in Web of Science")</f>
        <v>View Full Record in Web of Science</v>
      </c>
    </row>
    <row r="345" spans="1:72" s="2" customFormat="1" x14ac:dyDescent="0.4">
      <c r="A345" s="2" t="s">
        <v>72</v>
      </c>
      <c r="B345" s="2" t="s">
        <v>7287</v>
      </c>
      <c r="C345" s="2" t="s">
        <v>74</v>
      </c>
      <c r="D345" s="2" t="s">
        <v>74</v>
      </c>
      <c r="E345" s="2" t="s">
        <v>74</v>
      </c>
      <c r="F345" s="2" t="s">
        <v>7287</v>
      </c>
      <c r="G345" s="2" t="s">
        <v>74</v>
      </c>
      <c r="H345" s="2" t="s">
        <v>74</v>
      </c>
      <c r="I345" s="2" t="s">
        <v>7288</v>
      </c>
      <c r="J345" s="2" t="s">
        <v>367</v>
      </c>
      <c r="K345" s="2" t="s">
        <v>74</v>
      </c>
      <c r="L345" s="2" t="s">
        <v>74</v>
      </c>
      <c r="M345" s="2" t="s">
        <v>74</v>
      </c>
      <c r="N345" s="2" t="s">
        <v>74</v>
      </c>
      <c r="O345" s="2" t="s">
        <v>74</v>
      </c>
      <c r="P345" s="2" t="s">
        <v>74</v>
      </c>
      <c r="Q345" s="2" t="s">
        <v>74</v>
      </c>
      <c r="R345" s="2" t="s">
        <v>74</v>
      </c>
      <c r="S345" s="2" t="s">
        <v>74</v>
      </c>
      <c r="T345" s="2" t="s">
        <v>74</v>
      </c>
      <c r="U345" s="2" t="s">
        <v>74</v>
      </c>
      <c r="V345" s="5" t="s">
        <v>7289</v>
      </c>
      <c r="W345" s="2" t="s">
        <v>74</v>
      </c>
      <c r="X345" s="2" t="s">
        <v>74</v>
      </c>
      <c r="Y345" s="2" t="s">
        <v>74</v>
      </c>
      <c r="Z345" s="2" t="s">
        <v>74</v>
      </c>
      <c r="AA345" s="2" t="s">
        <v>74</v>
      </c>
      <c r="AB345" s="2" t="s">
        <v>74</v>
      </c>
      <c r="AC345" s="2" t="s">
        <v>74</v>
      </c>
      <c r="AD345" s="2" t="s">
        <v>74</v>
      </c>
      <c r="AE345" s="2" t="s">
        <v>74</v>
      </c>
      <c r="AF345" s="2" t="s">
        <v>74</v>
      </c>
      <c r="AG345" s="2" t="s">
        <v>74</v>
      </c>
      <c r="AH345" s="2" t="s">
        <v>74</v>
      </c>
      <c r="AI345" s="2" t="s">
        <v>74</v>
      </c>
      <c r="AJ345" s="2" t="s">
        <v>74</v>
      </c>
      <c r="AK345" s="2" t="s">
        <v>74</v>
      </c>
      <c r="AL345" s="2" t="s">
        <v>74</v>
      </c>
      <c r="AM345" s="2" t="s">
        <v>74</v>
      </c>
      <c r="AN345" s="2" t="s">
        <v>74</v>
      </c>
      <c r="AO345" s="2" t="s">
        <v>371</v>
      </c>
      <c r="AP345" s="2" t="s">
        <v>372</v>
      </c>
      <c r="AQ345" s="2" t="s">
        <v>74</v>
      </c>
      <c r="AR345" s="2" t="s">
        <v>74</v>
      </c>
      <c r="AS345" s="2" t="s">
        <v>74</v>
      </c>
      <c r="AT345" s="2" t="s">
        <v>102</v>
      </c>
      <c r="AU345" s="2">
        <v>1992</v>
      </c>
      <c r="AV345" s="2">
        <v>106</v>
      </c>
      <c r="AW345" s="2">
        <v>2</v>
      </c>
      <c r="AX345" s="2" t="s">
        <v>74</v>
      </c>
      <c r="AY345" s="2" t="s">
        <v>74</v>
      </c>
      <c r="AZ345" s="2" t="s">
        <v>74</v>
      </c>
      <c r="BA345" s="2" t="s">
        <v>74</v>
      </c>
      <c r="BB345" s="2">
        <v>150</v>
      </c>
      <c r="BC345" s="2">
        <v>162</v>
      </c>
      <c r="BD345" s="2" t="s">
        <v>74</v>
      </c>
      <c r="BE345" s="2" t="s">
        <v>74</v>
      </c>
      <c r="BF345" s="2" t="s">
        <v>74</v>
      </c>
      <c r="BG345" s="2" t="s">
        <v>74</v>
      </c>
      <c r="BH345" s="2" t="s">
        <v>74</v>
      </c>
      <c r="BI345" s="2" t="s">
        <v>74</v>
      </c>
      <c r="BJ345" s="2" t="s">
        <v>74</v>
      </c>
      <c r="BK345" s="2" t="s">
        <v>74</v>
      </c>
      <c r="BL345" s="2" t="s">
        <v>74</v>
      </c>
      <c r="BM345" s="2" t="s">
        <v>74</v>
      </c>
      <c r="BN345" s="2" t="s">
        <v>74</v>
      </c>
      <c r="BO345" s="2" t="s">
        <v>74</v>
      </c>
      <c r="BP345" s="2" t="s">
        <v>74</v>
      </c>
      <c r="BQ345" s="2" t="s">
        <v>74</v>
      </c>
      <c r="BR345" s="2" t="s">
        <v>74</v>
      </c>
      <c r="BS345" s="2" t="s">
        <v>7290</v>
      </c>
      <c r="BT345" s="2" t="str">
        <f>HYPERLINK("https%3A%2F%2Fwww.webofscience.com%2Fwos%2Fwoscc%2Ffull-record%2FWOS:A1992HW96900007","View Full Record in Web of Science")</f>
        <v>View Full Record in Web of Science</v>
      </c>
    </row>
    <row r="346" spans="1:72" s="2" customFormat="1" x14ac:dyDescent="0.4">
      <c r="A346" s="2" t="s">
        <v>72</v>
      </c>
      <c r="B346" s="2" t="s">
        <v>4178</v>
      </c>
      <c r="C346" s="2" t="s">
        <v>74</v>
      </c>
      <c r="D346" s="2" t="s">
        <v>74</v>
      </c>
      <c r="E346" s="2" t="s">
        <v>74</v>
      </c>
      <c r="F346" s="2" t="s">
        <v>4178</v>
      </c>
      <c r="G346" s="2" t="s">
        <v>74</v>
      </c>
      <c r="H346" s="2" t="s">
        <v>74</v>
      </c>
      <c r="I346" s="2" t="s">
        <v>4179</v>
      </c>
      <c r="J346" s="2" t="s">
        <v>1126</v>
      </c>
      <c r="K346" s="2" t="s">
        <v>74</v>
      </c>
      <c r="L346" s="2" t="s">
        <v>74</v>
      </c>
      <c r="M346" s="2" t="s">
        <v>74</v>
      </c>
      <c r="N346" s="2" t="s">
        <v>74</v>
      </c>
      <c r="O346" s="2" t="s">
        <v>74</v>
      </c>
      <c r="P346" s="2" t="s">
        <v>74</v>
      </c>
      <c r="Q346" s="2" t="s">
        <v>74</v>
      </c>
      <c r="R346" s="2" t="s">
        <v>74</v>
      </c>
      <c r="S346" s="2" t="s">
        <v>74</v>
      </c>
      <c r="T346" s="2" t="s">
        <v>74</v>
      </c>
      <c r="U346" s="2" t="s">
        <v>74</v>
      </c>
      <c r="V346" s="5" t="s">
        <v>4180</v>
      </c>
      <c r="W346" s="2" t="s">
        <v>74</v>
      </c>
      <c r="X346" s="2" t="s">
        <v>74</v>
      </c>
      <c r="Y346" s="2" t="s">
        <v>74</v>
      </c>
      <c r="Z346" s="2" t="s">
        <v>74</v>
      </c>
      <c r="AA346" s="2" t="s">
        <v>4181</v>
      </c>
      <c r="AB346" s="2" t="s">
        <v>74</v>
      </c>
      <c r="AC346" s="2" t="s">
        <v>74</v>
      </c>
      <c r="AD346" s="2" t="s">
        <v>74</v>
      </c>
      <c r="AE346" s="2" t="s">
        <v>74</v>
      </c>
      <c r="AF346" s="2" t="s">
        <v>74</v>
      </c>
      <c r="AG346" s="2" t="s">
        <v>74</v>
      </c>
      <c r="AH346" s="2" t="s">
        <v>74</v>
      </c>
      <c r="AI346" s="2" t="s">
        <v>74</v>
      </c>
      <c r="AJ346" s="2" t="s">
        <v>74</v>
      </c>
      <c r="AK346" s="2" t="s">
        <v>74</v>
      </c>
      <c r="AL346" s="2" t="s">
        <v>74</v>
      </c>
      <c r="AM346" s="2" t="s">
        <v>74</v>
      </c>
      <c r="AN346" s="2" t="s">
        <v>74</v>
      </c>
      <c r="AO346" s="2" t="s">
        <v>1128</v>
      </c>
      <c r="AP346" s="2" t="s">
        <v>1129</v>
      </c>
      <c r="AQ346" s="2" t="s">
        <v>74</v>
      </c>
      <c r="AR346" s="2" t="s">
        <v>74</v>
      </c>
      <c r="AS346" s="2" t="s">
        <v>74</v>
      </c>
      <c r="AT346" s="2" t="s">
        <v>2028</v>
      </c>
      <c r="AU346" s="2">
        <v>1985</v>
      </c>
      <c r="AV346" s="2" t="s">
        <v>74</v>
      </c>
      <c r="AW346" s="2">
        <v>4</v>
      </c>
      <c r="AX346" s="2" t="s">
        <v>74</v>
      </c>
      <c r="AY346" s="2" t="s">
        <v>74</v>
      </c>
      <c r="AZ346" s="2" t="s">
        <v>74</v>
      </c>
      <c r="BA346" s="2" t="s">
        <v>74</v>
      </c>
      <c r="BB346" s="2">
        <v>966</v>
      </c>
      <c r="BC346" s="2">
        <v>975</v>
      </c>
      <c r="BD346" s="2" t="s">
        <v>74</v>
      </c>
      <c r="BE346" s="2" t="s">
        <v>74</v>
      </c>
      <c r="BF346" s="2" t="s">
        <v>74</v>
      </c>
      <c r="BG346" s="2" t="s">
        <v>74</v>
      </c>
      <c r="BH346" s="2" t="s">
        <v>74</v>
      </c>
      <c r="BI346" s="2" t="s">
        <v>74</v>
      </c>
      <c r="BJ346" s="2" t="s">
        <v>74</v>
      </c>
      <c r="BK346" s="2" t="s">
        <v>74</v>
      </c>
      <c r="BL346" s="2" t="s">
        <v>74</v>
      </c>
      <c r="BM346" s="2" t="s">
        <v>74</v>
      </c>
      <c r="BN346" s="2" t="s">
        <v>74</v>
      </c>
      <c r="BO346" s="2" t="s">
        <v>74</v>
      </c>
      <c r="BP346" s="2" t="s">
        <v>74</v>
      </c>
      <c r="BQ346" s="2" t="s">
        <v>74</v>
      </c>
      <c r="BR346" s="2" t="s">
        <v>74</v>
      </c>
      <c r="BS346" s="2" t="s">
        <v>4182</v>
      </c>
      <c r="BT346" s="2" t="str">
        <f>HYPERLINK("https%3A%2F%2Fwww.webofscience.com%2Fwos%2Fwoscc%2Ffull-record%2FWOS:A1985AXC0800019","View Full Record in Web of Science")</f>
        <v>View Full Record in Web of Science</v>
      </c>
    </row>
    <row r="347" spans="1:72" s="2" customFormat="1" x14ac:dyDescent="0.4">
      <c r="A347" s="2" t="s">
        <v>72</v>
      </c>
      <c r="B347" s="2" t="s">
        <v>920</v>
      </c>
      <c r="C347" s="2" t="s">
        <v>74</v>
      </c>
      <c r="D347" s="2" t="s">
        <v>74</v>
      </c>
      <c r="E347" s="2" t="s">
        <v>74</v>
      </c>
      <c r="F347" s="2" t="s">
        <v>921</v>
      </c>
      <c r="G347" s="2" t="s">
        <v>74</v>
      </c>
      <c r="H347" s="2" t="s">
        <v>74</v>
      </c>
      <c r="I347" s="2" t="s">
        <v>922</v>
      </c>
      <c r="J347" s="2" t="s">
        <v>108</v>
      </c>
      <c r="K347" s="2" t="s">
        <v>74</v>
      </c>
      <c r="L347" s="2" t="s">
        <v>74</v>
      </c>
      <c r="M347" s="2" t="s">
        <v>74</v>
      </c>
      <c r="N347" s="2" t="s">
        <v>74</v>
      </c>
      <c r="O347" s="2" t="s">
        <v>74</v>
      </c>
      <c r="P347" s="2" t="s">
        <v>74</v>
      </c>
      <c r="Q347" s="2" t="s">
        <v>74</v>
      </c>
      <c r="R347" s="2" t="s">
        <v>74</v>
      </c>
      <c r="S347" s="2" t="s">
        <v>74</v>
      </c>
      <c r="T347" s="2" t="s">
        <v>74</v>
      </c>
      <c r="U347" s="2" t="s">
        <v>74</v>
      </c>
      <c r="V347" s="5" t="s">
        <v>923</v>
      </c>
      <c r="W347" s="2" t="s">
        <v>74</v>
      </c>
      <c r="X347" s="2" t="s">
        <v>74</v>
      </c>
      <c r="Y347" s="2" t="s">
        <v>74</v>
      </c>
      <c r="Z347" s="2" t="s">
        <v>74</v>
      </c>
      <c r="AA347" s="2" t="s">
        <v>74</v>
      </c>
      <c r="AB347" s="2" t="s">
        <v>74</v>
      </c>
      <c r="AC347" s="2" t="s">
        <v>74</v>
      </c>
      <c r="AD347" s="2" t="s">
        <v>74</v>
      </c>
      <c r="AE347" s="2" t="s">
        <v>74</v>
      </c>
      <c r="AF347" s="2" t="s">
        <v>74</v>
      </c>
      <c r="AG347" s="2" t="s">
        <v>74</v>
      </c>
      <c r="AH347" s="2" t="s">
        <v>74</v>
      </c>
      <c r="AI347" s="2" t="s">
        <v>74</v>
      </c>
      <c r="AJ347" s="2" t="s">
        <v>74</v>
      </c>
      <c r="AK347" s="2" t="s">
        <v>74</v>
      </c>
      <c r="AL347" s="2" t="s">
        <v>74</v>
      </c>
      <c r="AM347" s="2" t="s">
        <v>74</v>
      </c>
      <c r="AN347" s="2" t="s">
        <v>74</v>
      </c>
      <c r="AO347" s="2" t="s">
        <v>111</v>
      </c>
      <c r="AP347" s="2" t="s">
        <v>112</v>
      </c>
      <c r="AQ347" s="2" t="s">
        <v>74</v>
      </c>
      <c r="AR347" s="2" t="s">
        <v>74</v>
      </c>
      <c r="AS347" s="2" t="s">
        <v>74</v>
      </c>
      <c r="AT347" s="2" t="s">
        <v>924</v>
      </c>
      <c r="AU347" s="2">
        <v>2007</v>
      </c>
      <c r="AV347" s="2">
        <v>274</v>
      </c>
      <c r="AW347" s="2">
        <v>1627</v>
      </c>
      <c r="AX347" s="2" t="s">
        <v>74</v>
      </c>
      <c r="AY347" s="2" t="s">
        <v>74</v>
      </c>
      <c r="AZ347" s="2" t="s">
        <v>74</v>
      </c>
      <c r="BA347" s="2" t="s">
        <v>74</v>
      </c>
      <c r="BB347" s="2">
        <v>2785</v>
      </c>
      <c r="BC347" s="2">
        <v>2790</v>
      </c>
      <c r="BD347" s="2" t="s">
        <v>74</v>
      </c>
      <c r="BE347" s="2" t="s">
        <v>925</v>
      </c>
      <c r="BF347" s="2" t="str">
        <f>HYPERLINK("http://dx.doi.org/10.1098/rspb.2007.1059","http://dx.doi.org/10.1098/rspb.2007.1059")</f>
        <v>http://dx.doi.org/10.1098/rspb.2007.1059</v>
      </c>
      <c r="BG347" s="2" t="s">
        <v>74</v>
      </c>
      <c r="BH347" s="2" t="s">
        <v>74</v>
      </c>
      <c r="BI347" s="2" t="s">
        <v>74</v>
      </c>
      <c r="BJ347" s="2" t="s">
        <v>74</v>
      </c>
      <c r="BK347" s="2" t="s">
        <v>74</v>
      </c>
      <c r="BL347" s="2" t="s">
        <v>74</v>
      </c>
      <c r="BM347" s="2" t="s">
        <v>74</v>
      </c>
      <c r="BN347" s="2">
        <v>17848366</v>
      </c>
      <c r="BO347" s="2" t="s">
        <v>74</v>
      </c>
      <c r="BP347" s="2" t="s">
        <v>74</v>
      </c>
      <c r="BQ347" s="2" t="s">
        <v>74</v>
      </c>
      <c r="BR347" s="2" t="s">
        <v>74</v>
      </c>
      <c r="BS347" s="2" t="s">
        <v>926</v>
      </c>
      <c r="BT347" s="2" t="str">
        <f>HYPERLINK("https%3A%2F%2Fwww.webofscience.com%2Fwos%2Fwoscc%2Ffull-record%2FWOS:000250555000002","View Full Record in Web of Science")</f>
        <v>View Full Record in Web of Science</v>
      </c>
    </row>
    <row r="348" spans="1:72" s="2" customFormat="1" x14ac:dyDescent="0.4">
      <c r="A348" s="2" t="s">
        <v>72</v>
      </c>
      <c r="B348" s="2" t="s">
        <v>7098</v>
      </c>
      <c r="C348" s="2" t="s">
        <v>74</v>
      </c>
      <c r="D348" s="2" t="s">
        <v>74</v>
      </c>
      <c r="E348" s="2" t="s">
        <v>74</v>
      </c>
      <c r="F348" s="2" t="s">
        <v>7098</v>
      </c>
      <c r="G348" s="2" t="s">
        <v>74</v>
      </c>
      <c r="H348" s="2" t="s">
        <v>74</v>
      </c>
      <c r="I348" s="2" t="s">
        <v>7099</v>
      </c>
      <c r="J348" s="2" t="s">
        <v>4064</v>
      </c>
      <c r="K348" s="2" t="s">
        <v>74</v>
      </c>
      <c r="L348" s="2" t="s">
        <v>74</v>
      </c>
      <c r="M348" s="2" t="s">
        <v>74</v>
      </c>
      <c r="N348" s="2" t="s">
        <v>74</v>
      </c>
      <c r="O348" s="2" t="s">
        <v>74</v>
      </c>
      <c r="P348" s="2" t="s">
        <v>74</v>
      </c>
      <c r="Q348" s="2" t="s">
        <v>74</v>
      </c>
      <c r="R348" s="2" t="s">
        <v>74</v>
      </c>
      <c r="S348" s="2" t="s">
        <v>74</v>
      </c>
      <c r="T348" s="2" t="s">
        <v>74</v>
      </c>
      <c r="U348" s="2" t="s">
        <v>74</v>
      </c>
      <c r="V348" s="5" t="s">
        <v>7100</v>
      </c>
      <c r="W348" s="2" t="s">
        <v>74</v>
      </c>
      <c r="X348" s="2" t="s">
        <v>74</v>
      </c>
      <c r="Y348" s="2" t="s">
        <v>74</v>
      </c>
      <c r="Z348" s="2" t="s">
        <v>74</v>
      </c>
      <c r="AA348" s="2" t="s">
        <v>74</v>
      </c>
      <c r="AB348" s="2" t="s">
        <v>74</v>
      </c>
      <c r="AC348" s="2" t="s">
        <v>74</v>
      </c>
      <c r="AD348" s="2" t="s">
        <v>74</v>
      </c>
      <c r="AE348" s="2" t="s">
        <v>74</v>
      </c>
      <c r="AF348" s="2" t="s">
        <v>74</v>
      </c>
      <c r="AG348" s="2" t="s">
        <v>74</v>
      </c>
      <c r="AH348" s="2" t="s">
        <v>74</v>
      </c>
      <c r="AI348" s="2" t="s">
        <v>74</v>
      </c>
      <c r="AJ348" s="2" t="s">
        <v>74</v>
      </c>
      <c r="AK348" s="2" t="s">
        <v>74</v>
      </c>
      <c r="AL348" s="2" t="s">
        <v>74</v>
      </c>
      <c r="AM348" s="2" t="s">
        <v>74</v>
      </c>
      <c r="AN348" s="2" t="s">
        <v>74</v>
      </c>
      <c r="AO348" s="2" t="s">
        <v>4068</v>
      </c>
      <c r="AP348" s="2" t="s">
        <v>4069</v>
      </c>
      <c r="AQ348" s="2" t="s">
        <v>74</v>
      </c>
      <c r="AR348" s="2" t="s">
        <v>74</v>
      </c>
      <c r="AS348" s="2" t="s">
        <v>74</v>
      </c>
      <c r="AT348" s="2" t="s">
        <v>7101</v>
      </c>
      <c r="AU348" s="2">
        <v>2005</v>
      </c>
      <c r="AV348" s="2">
        <v>15</v>
      </c>
      <c r="AW348" s="2">
        <v>23</v>
      </c>
      <c r="AX348" s="2" t="s">
        <v>74</v>
      </c>
      <c r="AY348" s="2" t="s">
        <v>74</v>
      </c>
      <c r="AZ348" s="2" t="s">
        <v>74</v>
      </c>
      <c r="BA348" s="2" t="s">
        <v>74</v>
      </c>
      <c r="BB348" s="2">
        <v>2170</v>
      </c>
      <c r="BC348" s="2">
        <v>2174</v>
      </c>
      <c r="BD348" s="2" t="s">
        <v>74</v>
      </c>
      <c r="BE348" s="2" t="s">
        <v>7102</v>
      </c>
      <c r="BF348" s="2" t="str">
        <f>HYPERLINK("http://dx.doi.org/10.1016/j.cub.2005.10.067","http://dx.doi.org/10.1016/j.cub.2005.10.067")</f>
        <v>http://dx.doi.org/10.1016/j.cub.2005.10.067</v>
      </c>
      <c r="BG348" s="2" t="s">
        <v>74</v>
      </c>
      <c r="BH348" s="2" t="s">
        <v>74</v>
      </c>
      <c r="BI348" s="2" t="s">
        <v>74</v>
      </c>
      <c r="BJ348" s="2" t="s">
        <v>74</v>
      </c>
      <c r="BK348" s="2" t="s">
        <v>74</v>
      </c>
      <c r="BL348" s="2" t="s">
        <v>74</v>
      </c>
      <c r="BM348" s="2" t="s">
        <v>74</v>
      </c>
      <c r="BN348" s="2">
        <v>16332544</v>
      </c>
      <c r="BO348" s="2" t="s">
        <v>74</v>
      </c>
      <c r="BP348" s="2" t="s">
        <v>74</v>
      </c>
      <c r="BQ348" s="2" t="s">
        <v>74</v>
      </c>
      <c r="BR348" s="2" t="s">
        <v>74</v>
      </c>
      <c r="BS348" s="2" t="s">
        <v>7103</v>
      </c>
      <c r="BT348" s="2" t="str">
        <f>HYPERLINK("https%3A%2F%2Fwww.webofscience.com%2Fwos%2Fwoscc%2Ffull-record%2FWOS:000234013400033","View Full Record in Web of Science")</f>
        <v>View Full Record in Web of Science</v>
      </c>
    </row>
    <row r="349" spans="1:72" s="2" customFormat="1" x14ac:dyDescent="0.4">
      <c r="A349" s="2" t="s">
        <v>72</v>
      </c>
      <c r="B349" s="2" t="s">
        <v>7460</v>
      </c>
      <c r="C349" s="2" t="s">
        <v>74</v>
      </c>
      <c r="D349" s="2" t="s">
        <v>74</v>
      </c>
      <c r="E349" s="2" t="s">
        <v>74</v>
      </c>
      <c r="F349" s="2" t="s">
        <v>7461</v>
      </c>
      <c r="G349" s="2" t="s">
        <v>74</v>
      </c>
      <c r="H349" s="2" t="s">
        <v>74</v>
      </c>
      <c r="I349" s="2" t="s">
        <v>7462</v>
      </c>
      <c r="J349" s="2" t="s">
        <v>1026</v>
      </c>
      <c r="K349" s="2" t="s">
        <v>74</v>
      </c>
      <c r="L349" s="2" t="s">
        <v>74</v>
      </c>
      <c r="M349" s="2" t="s">
        <v>74</v>
      </c>
      <c r="N349" s="2" t="s">
        <v>74</v>
      </c>
      <c r="O349" s="2" t="s">
        <v>7463</v>
      </c>
      <c r="P349" s="2" t="s">
        <v>7464</v>
      </c>
      <c r="Q349" s="2" t="s">
        <v>7465</v>
      </c>
      <c r="R349" s="2" t="s">
        <v>7466</v>
      </c>
      <c r="S349" s="2" t="s">
        <v>74</v>
      </c>
      <c r="T349" s="2" t="s">
        <v>74</v>
      </c>
      <c r="U349" s="2" t="s">
        <v>74</v>
      </c>
      <c r="V349" s="5" t="s">
        <v>7467</v>
      </c>
      <c r="W349" s="2" t="s">
        <v>74</v>
      </c>
      <c r="X349" s="2" t="s">
        <v>74</v>
      </c>
      <c r="Y349" s="2" t="s">
        <v>74</v>
      </c>
      <c r="Z349" s="2" t="s">
        <v>74</v>
      </c>
      <c r="AA349" s="2" t="s">
        <v>74</v>
      </c>
      <c r="AB349" s="2" t="s">
        <v>74</v>
      </c>
      <c r="AC349" s="2" t="s">
        <v>74</v>
      </c>
      <c r="AD349" s="2" t="s">
        <v>74</v>
      </c>
      <c r="AE349" s="2" t="s">
        <v>74</v>
      </c>
      <c r="AF349" s="2" t="s">
        <v>74</v>
      </c>
      <c r="AG349" s="2" t="s">
        <v>74</v>
      </c>
      <c r="AH349" s="2" t="s">
        <v>74</v>
      </c>
      <c r="AI349" s="2" t="s">
        <v>74</v>
      </c>
      <c r="AJ349" s="2" t="s">
        <v>74</v>
      </c>
      <c r="AK349" s="2" t="s">
        <v>74</v>
      </c>
      <c r="AL349" s="2" t="s">
        <v>74</v>
      </c>
      <c r="AM349" s="2" t="s">
        <v>74</v>
      </c>
      <c r="AN349" s="2" t="s">
        <v>74</v>
      </c>
      <c r="AO349" s="2" t="s">
        <v>1030</v>
      </c>
      <c r="AP349" s="2" t="s">
        <v>1031</v>
      </c>
      <c r="AQ349" s="2" t="s">
        <v>74</v>
      </c>
      <c r="AR349" s="2" t="s">
        <v>74</v>
      </c>
      <c r="AS349" s="2" t="s">
        <v>74</v>
      </c>
      <c r="AT349" s="2" t="s">
        <v>964</v>
      </c>
      <c r="AU349" s="2">
        <v>2019</v>
      </c>
      <c r="AV349" s="2">
        <v>40</v>
      </c>
      <c r="AW349" s="2">
        <v>1</v>
      </c>
      <c r="AX349" s="2" t="s">
        <v>74</v>
      </c>
      <c r="AY349" s="2" t="s">
        <v>74</v>
      </c>
      <c r="AZ349" s="2" t="s">
        <v>848</v>
      </c>
      <c r="BA349" s="2" t="s">
        <v>74</v>
      </c>
      <c r="BB349" s="2">
        <v>28</v>
      </c>
      <c r="BC349" s="2">
        <v>52</v>
      </c>
      <c r="BD349" s="2" t="s">
        <v>74</v>
      </c>
      <c r="BE349" s="2" t="s">
        <v>7468</v>
      </c>
      <c r="BF349" s="2" t="str">
        <f>HYPERLINK("http://dx.doi.org/10.1007/s10764-018-0029-7","http://dx.doi.org/10.1007/s10764-018-0029-7")</f>
        <v>http://dx.doi.org/10.1007/s10764-018-0029-7</v>
      </c>
      <c r="BG349" s="2" t="s">
        <v>74</v>
      </c>
      <c r="BH349" s="2" t="s">
        <v>74</v>
      </c>
      <c r="BI349" s="2" t="s">
        <v>74</v>
      </c>
      <c r="BJ349" s="2" t="s">
        <v>74</v>
      </c>
      <c r="BK349" s="2" t="s">
        <v>74</v>
      </c>
      <c r="BL349" s="2" t="s">
        <v>74</v>
      </c>
      <c r="BM349" s="2" t="s">
        <v>74</v>
      </c>
      <c r="BN349" s="2" t="s">
        <v>74</v>
      </c>
      <c r="BO349" s="2" t="s">
        <v>74</v>
      </c>
      <c r="BP349" s="2" t="s">
        <v>74</v>
      </c>
      <c r="BQ349" s="2" t="s">
        <v>74</v>
      </c>
      <c r="BR349" s="2" t="s">
        <v>74</v>
      </c>
      <c r="BS349" s="2" t="s">
        <v>7469</v>
      </c>
      <c r="BT349" s="2" t="str">
        <f>HYPERLINK("https%3A%2F%2Fwww.webofscience.com%2Fwos%2Fwoscc%2Ffull-record%2FWOS:000460006300003","View Full Record in Web of Science")</f>
        <v>View Full Record in Web of Science</v>
      </c>
    </row>
    <row r="350" spans="1:72" s="2" customFormat="1" x14ac:dyDescent="0.4">
      <c r="A350" s="2" t="s">
        <v>72</v>
      </c>
      <c r="B350" s="2" t="s">
        <v>2321</v>
      </c>
      <c r="C350" s="2" t="s">
        <v>74</v>
      </c>
      <c r="D350" s="2" t="s">
        <v>74</v>
      </c>
      <c r="E350" s="2" t="s">
        <v>74</v>
      </c>
      <c r="F350" s="2" t="s">
        <v>2322</v>
      </c>
      <c r="G350" s="2" t="s">
        <v>74</v>
      </c>
      <c r="H350" s="2" t="s">
        <v>74</v>
      </c>
      <c r="I350" s="2" t="s">
        <v>2323</v>
      </c>
      <c r="J350" s="2" t="s">
        <v>431</v>
      </c>
      <c r="K350" s="2" t="s">
        <v>74</v>
      </c>
      <c r="L350" s="2" t="s">
        <v>74</v>
      </c>
      <c r="M350" s="2" t="s">
        <v>74</v>
      </c>
      <c r="N350" s="2" t="s">
        <v>74</v>
      </c>
      <c r="O350" s="2" t="s">
        <v>74</v>
      </c>
      <c r="P350" s="2" t="s">
        <v>74</v>
      </c>
      <c r="Q350" s="2" t="s">
        <v>74</v>
      </c>
      <c r="R350" s="2" t="s">
        <v>74</v>
      </c>
      <c r="S350" s="2" t="s">
        <v>74</v>
      </c>
      <c r="T350" s="2" t="s">
        <v>74</v>
      </c>
      <c r="U350" s="2" t="s">
        <v>74</v>
      </c>
      <c r="V350" s="5" t="s">
        <v>2324</v>
      </c>
      <c r="W350" s="2" t="s">
        <v>74</v>
      </c>
      <c r="X350" s="2" t="s">
        <v>74</v>
      </c>
      <c r="Y350" s="2" t="s">
        <v>74</v>
      </c>
      <c r="Z350" s="2" t="s">
        <v>74</v>
      </c>
      <c r="AA350" s="2" t="s">
        <v>74</v>
      </c>
      <c r="AB350" s="2" t="s">
        <v>2325</v>
      </c>
      <c r="AC350" s="2" t="s">
        <v>74</v>
      </c>
      <c r="AD350" s="2" t="s">
        <v>74</v>
      </c>
      <c r="AE350" s="2" t="s">
        <v>74</v>
      </c>
      <c r="AF350" s="2" t="s">
        <v>74</v>
      </c>
      <c r="AG350" s="2" t="s">
        <v>74</v>
      </c>
      <c r="AH350" s="2" t="s">
        <v>74</v>
      </c>
      <c r="AI350" s="2" t="s">
        <v>74</v>
      </c>
      <c r="AJ350" s="2" t="s">
        <v>74</v>
      </c>
      <c r="AK350" s="2" t="s">
        <v>74</v>
      </c>
      <c r="AL350" s="2" t="s">
        <v>74</v>
      </c>
      <c r="AM350" s="2" t="s">
        <v>74</v>
      </c>
      <c r="AN350" s="2" t="s">
        <v>74</v>
      </c>
      <c r="AO350" s="2" t="s">
        <v>74</v>
      </c>
      <c r="AP350" s="2" t="s">
        <v>435</v>
      </c>
      <c r="AQ350" s="2" t="s">
        <v>74</v>
      </c>
      <c r="AR350" s="2" t="s">
        <v>74</v>
      </c>
      <c r="AS350" s="2" t="s">
        <v>74</v>
      </c>
      <c r="AT350" s="2" t="s">
        <v>633</v>
      </c>
      <c r="AU350" s="2">
        <v>2017</v>
      </c>
      <c r="AV350" s="2">
        <v>134</v>
      </c>
      <c r="AW350" s="2">
        <v>2</v>
      </c>
      <c r="AX350" s="2" t="s">
        <v>74</v>
      </c>
      <c r="AY350" s="2" t="s">
        <v>74</v>
      </c>
      <c r="AZ350" s="2" t="s">
        <v>74</v>
      </c>
      <c r="BA350" s="2" t="s">
        <v>74</v>
      </c>
      <c r="BB350" s="2">
        <v>317</v>
      </c>
      <c r="BC350" s="2">
        <v>329</v>
      </c>
      <c r="BD350" s="2" t="s">
        <v>74</v>
      </c>
      <c r="BE350" s="2" t="s">
        <v>2326</v>
      </c>
      <c r="BF350" s="2" t="str">
        <f>HYPERLINK("http://dx.doi.org/10.1642/AUK-16-119.1","http://dx.doi.org/10.1642/AUK-16-119.1")</f>
        <v>http://dx.doi.org/10.1642/AUK-16-119.1</v>
      </c>
      <c r="BG350" s="2" t="s">
        <v>74</v>
      </c>
      <c r="BH350" s="2" t="s">
        <v>74</v>
      </c>
      <c r="BI350" s="2" t="s">
        <v>74</v>
      </c>
      <c r="BJ350" s="2" t="s">
        <v>74</v>
      </c>
      <c r="BK350" s="2" t="s">
        <v>74</v>
      </c>
      <c r="BL350" s="2" t="s">
        <v>74</v>
      </c>
      <c r="BM350" s="2" t="s">
        <v>74</v>
      </c>
      <c r="BN350" s="2" t="s">
        <v>74</v>
      </c>
      <c r="BO350" s="2" t="s">
        <v>74</v>
      </c>
      <c r="BP350" s="2" t="s">
        <v>74</v>
      </c>
      <c r="BQ350" s="2" t="s">
        <v>74</v>
      </c>
      <c r="BR350" s="2" t="s">
        <v>74</v>
      </c>
      <c r="BS350" s="2" t="s">
        <v>2327</v>
      </c>
      <c r="BT350" s="2" t="str">
        <f>HYPERLINK("https%3A%2F%2Fwww.webofscience.com%2Fwos%2Fwoscc%2Ffull-record%2FWOS:000398573200004","View Full Record in Web of Science")</f>
        <v>View Full Record in Web of Science</v>
      </c>
    </row>
    <row r="351" spans="1:72" s="2" customFormat="1" x14ac:dyDescent="0.4">
      <c r="A351" s="2" t="s">
        <v>72</v>
      </c>
      <c r="B351" s="2" t="s">
        <v>3496</v>
      </c>
      <c r="C351" s="2" t="s">
        <v>74</v>
      </c>
      <c r="D351" s="2" t="s">
        <v>74</v>
      </c>
      <c r="E351" s="2" t="s">
        <v>74</v>
      </c>
      <c r="F351" s="2" t="s">
        <v>3496</v>
      </c>
      <c r="G351" s="2" t="s">
        <v>74</v>
      </c>
      <c r="H351" s="2" t="s">
        <v>74</v>
      </c>
      <c r="I351" s="2" t="s">
        <v>3497</v>
      </c>
      <c r="J351" s="2" t="s">
        <v>3498</v>
      </c>
      <c r="K351" s="2" t="s">
        <v>74</v>
      </c>
      <c r="L351" s="2" t="s">
        <v>74</v>
      </c>
      <c r="M351" s="2" t="s">
        <v>74</v>
      </c>
      <c r="N351" s="2" t="s">
        <v>74</v>
      </c>
      <c r="O351" s="2" t="s">
        <v>74</v>
      </c>
      <c r="P351" s="2" t="s">
        <v>74</v>
      </c>
      <c r="Q351" s="2" t="s">
        <v>74</v>
      </c>
      <c r="R351" s="2" t="s">
        <v>74</v>
      </c>
      <c r="S351" s="2" t="s">
        <v>74</v>
      </c>
      <c r="T351" s="2" t="s">
        <v>74</v>
      </c>
      <c r="U351" s="2" t="s">
        <v>74</v>
      </c>
      <c r="V351" s="5" t="s">
        <v>3499</v>
      </c>
      <c r="W351" s="2" t="s">
        <v>74</v>
      </c>
      <c r="X351" s="2" t="s">
        <v>74</v>
      </c>
      <c r="Y351" s="2" t="s">
        <v>74</v>
      </c>
      <c r="Z351" s="2" t="s">
        <v>74</v>
      </c>
      <c r="AA351" s="2" t="s">
        <v>74</v>
      </c>
      <c r="AB351" s="2" t="s">
        <v>3500</v>
      </c>
      <c r="AC351" s="2" t="s">
        <v>74</v>
      </c>
      <c r="AD351" s="2" t="s">
        <v>74</v>
      </c>
      <c r="AE351" s="2" t="s">
        <v>74</v>
      </c>
      <c r="AF351" s="2" t="s">
        <v>74</v>
      </c>
      <c r="AG351" s="2" t="s">
        <v>74</v>
      </c>
      <c r="AH351" s="2" t="s">
        <v>74</v>
      </c>
      <c r="AI351" s="2" t="s">
        <v>74</v>
      </c>
      <c r="AJ351" s="2" t="s">
        <v>74</v>
      </c>
      <c r="AK351" s="2" t="s">
        <v>74</v>
      </c>
      <c r="AL351" s="2" t="s">
        <v>74</v>
      </c>
      <c r="AM351" s="2" t="s">
        <v>74</v>
      </c>
      <c r="AN351" s="2" t="s">
        <v>74</v>
      </c>
      <c r="AO351" s="2" t="s">
        <v>3501</v>
      </c>
      <c r="AP351" s="2" t="s">
        <v>3502</v>
      </c>
      <c r="AQ351" s="2" t="s">
        <v>74</v>
      </c>
      <c r="AR351" s="2" t="s">
        <v>74</v>
      </c>
      <c r="AS351" s="2" t="s">
        <v>74</v>
      </c>
      <c r="AT351" s="2" t="s">
        <v>633</v>
      </c>
      <c r="AU351" s="2">
        <v>1997</v>
      </c>
      <c r="AV351" s="2">
        <v>26</v>
      </c>
      <c r="AW351" s="2">
        <v>2</v>
      </c>
      <c r="AX351" s="2" t="s">
        <v>74</v>
      </c>
      <c r="AY351" s="2" t="s">
        <v>74</v>
      </c>
      <c r="AZ351" s="2" t="s">
        <v>74</v>
      </c>
      <c r="BA351" s="2" t="s">
        <v>74</v>
      </c>
      <c r="BB351" s="2">
        <v>318</v>
      </c>
      <c r="BC351" s="2">
        <v>326</v>
      </c>
      <c r="BD351" s="2" t="s">
        <v>74</v>
      </c>
      <c r="BE351" s="2" t="s">
        <v>3503</v>
      </c>
      <c r="BF351" s="2" t="str">
        <f>HYPERLINK("http://dx.doi.org/10.1093/ee/26.2.318","http://dx.doi.org/10.1093/ee/26.2.318")</f>
        <v>http://dx.doi.org/10.1093/ee/26.2.318</v>
      </c>
      <c r="BG351" s="2" t="s">
        <v>74</v>
      </c>
      <c r="BH351" s="2" t="s">
        <v>74</v>
      </c>
      <c r="BI351" s="2" t="s">
        <v>74</v>
      </c>
      <c r="BJ351" s="2" t="s">
        <v>74</v>
      </c>
      <c r="BK351" s="2" t="s">
        <v>74</v>
      </c>
      <c r="BL351" s="2" t="s">
        <v>74</v>
      </c>
      <c r="BM351" s="2" t="s">
        <v>74</v>
      </c>
      <c r="BN351" s="2" t="s">
        <v>74</v>
      </c>
      <c r="BO351" s="2" t="s">
        <v>74</v>
      </c>
      <c r="BP351" s="2" t="s">
        <v>74</v>
      </c>
      <c r="BQ351" s="2" t="s">
        <v>74</v>
      </c>
      <c r="BR351" s="2" t="s">
        <v>74</v>
      </c>
      <c r="BS351" s="2" t="s">
        <v>3504</v>
      </c>
      <c r="BT351" s="2" t="str">
        <f>HYPERLINK("https%3A%2F%2Fwww.webofscience.com%2Fwos%2Fwoscc%2Ffull-record%2FWOS:A1997WZ11800024","View Full Record in Web of Science")</f>
        <v>View Full Record in Web of Science</v>
      </c>
    </row>
    <row r="352" spans="1:72" s="2" customFormat="1" x14ac:dyDescent="0.4">
      <c r="A352" s="2" t="s">
        <v>72</v>
      </c>
      <c r="B352" s="2" t="s">
        <v>6849</v>
      </c>
      <c r="C352" s="2" t="s">
        <v>74</v>
      </c>
      <c r="D352" s="2" t="s">
        <v>74</v>
      </c>
      <c r="E352" s="2" t="s">
        <v>74</v>
      </c>
      <c r="F352" s="2" t="s">
        <v>6850</v>
      </c>
      <c r="G352" s="2" t="s">
        <v>74</v>
      </c>
      <c r="H352" s="2" t="s">
        <v>74</v>
      </c>
      <c r="I352" s="2" t="s">
        <v>6851</v>
      </c>
      <c r="J352" s="2" t="s">
        <v>2901</v>
      </c>
      <c r="K352" s="2" t="s">
        <v>74</v>
      </c>
      <c r="L352" s="2" t="s">
        <v>74</v>
      </c>
      <c r="M352" s="2" t="s">
        <v>74</v>
      </c>
      <c r="N352" s="2" t="s">
        <v>74</v>
      </c>
      <c r="O352" s="2" t="s">
        <v>74</v>
      </c>
      <c r="P352" s="2" t="s">
        <v>74</v>
      </c>
      <c r="Q352" s="2" t="s">
        <v>74</v>
      </c>
      <c r="R352" s="2" t="s">
        <v>74</v>
      </c>
      <c r="S352" s="2" t="s">
        <v>74</v>
      </c>
      <c r="T352" s="2" t="s">
        <v>74</v>
      </c>
      <c r="U352" s="2" t="s">
        <v>74</v>
      </c>
      <c r="V352" s="5" t="s">
        <v>6852</v>
      </c>
      <c r="W352" s="2" t="s">
        <v>74</v>
      </c>
      <c r="X352" s="2" t="s">
        <v>74</v>
      </c>
      <c r="Y352" s="2" t="s">
        <v>74</v>
      </c>
      <c r="Z352" s="2" t="s">
        <v>74</v>
      </c>
      <c r="AA352" s="2" t="s">
        <v>6853</v>
      </c>
      <c r="AB352" s="2" t="s">
        <v>6854</v>
      </c>
      <c r="AC352" s="2" t="s">
        <v>74</v>
      </c>
      <c r="AD352" s="2" t="s">
        <v>74</v>
      </c>
      <c r="AE352" s="2" t="s">
        <v>74</v>
      </c>
      <c r="AF352" s="2" t="s">
        <v>74</v>
      </c>
      <c r="AG352" s="2" t="s">
        <v>74</v>
      </c>
      <c r="AH352" s="2" t="s">
        <v>74</v>
      </c>
      <c r="AI352" s="2" t="s">
        <v>74</v>
      </c>
      <c r="AJ352" s="2" t="s">
        <v>74</v>
      </c>
      <c r="AK352" s="2" t="s">
        <v>74</v>
      </c>
      <c r="AL352" s="2" t="s">
        <v>74</v>
      </c>
      <c r="AM352" s="2" t="s">
        <v>74</v>
      </c>
      <c r="AN352" s="2" t="s">
        <v>74</v>
      </c>
      <c r="AO352" s="2" t="s">
        <v>2903</v>
      </c>
      <c r="AP352" s="2" t="s">
        <v>2904</v>
      </c>
      <c r="AQ352" s="2" t="s">
        <v>74</v>
      </c>
      <c r="AR352" s="2" t="s">
        <v>74</v>
      </c>
      <c r="AS352" s="2" t="s">
        <v>74</v>
      </c>
      <c r="AT352" s="2" t="s">
        <v>74</v>
      </c>
      <c r="AU352" s="2">
        <v>2016</v>
      </c>
      <c r="AV352" s="2">
        <v>28</v>
      </c>
      <c r="AW352" s="2">
        <v>4</v>
      </c>
      <c r="AX352" s="2" t="s">
        <v>74</v>
      </c>
      <c r="AY352" s="2" t="s">
        <v>74</v>
      </c>
      <c r="AZ352" s="2" t="s">
        <v>74</v>
      </c>
      <c r="BA352" s="2" t="s">
        <v>74</v>
      </c>
      <c r="BB352" s="2">
        <v>462</v>
      </c>
      <c r="BC352" s="2">
        <v>476</v>
      </c>
      <c r="BD352" s="2" t="s">
        <v>74</v>
      </c>
      <c r="BE352" s="2" t="s">
        <v>6855</v>
      </c>
      <c r="BF352" s="2" t="str">
        <f>HYPERLINK("http://dx.doi.org/10.1080/03949370.2015.1077892","http://dx.doi.org/10.1080/03949370.2015.1077892")</f>
        <v>http://dx.doi.org/10.1080/03949370.2015.1077892</v>
      </c>
      <c r="BG352" s="2" t="s">
        <v>74</v>
      </c>
      <c r="BH352" s="2" t="s">
        <v>74</v>
      </c>
      <c r="BI352" s="2" t="s">
        <v>74</v>
      </c>
      <c r="BJ352" s="2" t="s">
        <v>74</v>
      </c>
      <c r="BK352" s="2" t="s">
        <v>74</v>
      </c>
      <c r="BL352" s="2" t="s">
        <v>74</v>
      </c>
      <c r="BM352" s="2" t="s">
        <v>74</v>
      </c>
      <c r="BN352" s="2" t="s">
        <v>74</v>
      </c>
      <c r="BO352" s="2" t="s">
        <v>74</v>
      </c>
      <c r="BP352" s="2" t="s">
        <v>74</v>
      </c>
      <c r="BQ352" s="2" t="s">
        <v>74</v>
      </c>
      <c r="BR352" s="2" t="s">
        <v>74</v>
      </c>
      <c r="BS352" s="2" t="s">
        <v>6856</v>
      </c>
      <c r="BT352" s="2" t="str">
        <f>HYPERLINK("https%3A%2F%2Fwww.webofscience.com%2Fwos%2Fwoscc%2Ffull-record%2FWOS:000384547700009","View Full Record in Web of Science")</f>
        <v>View Full Record in Web of Science</v>
      </c>
    </row>
    <row r="353" spans="1:72" s="1" customFormat="1" x14ac:dyDescent="0.4">
      <c r="A353" s="2" t="s">
        <v>72</v>
      </c>
      <c r="B353" s="2" t="s">
        <v>8135</v>
      </c>
      <c r="C353" s="2" t="s">
        <v>74</v>
      </c>
      <c r="D353" s="2" t="s">
        <v>74</v>
      </c>
      <c r="E353" s="2" t="s">
        <v>74</v>
      </c>
      <c r="F353" s="2" t="s">
        <v>8135</v>
      </c>
      <c r="G353" s="2" t="s">
        <v>74</v>
      </c>
      <c r="H353" s="2" t="s">
        <v>74</v>
      </c>
      <c r="I353" s="2" t="s">
        <v>8136</v>
      </c>
      <c r="J353" s="2" t="s">
        <v>1237</v>
      </c>
      <c r="K353" s="2" t="s">
        <v>74</v>
      </c>
      <c r="L353" s="2" t="s">
        <v>74</v>
      </c>
      <c r="M353" s="2" t="s">
        <v>74</v>
      </c>
      <c r="N353" s="2" t="s">
        <v>74</v>
      </c>
      <c r="O353" s="2" t="s">
        <v>74</v>
      </c>
      <c r="P353" s="2" t="s">
        <v>74</v>
      </c>
      <c r="Q353" s="2" t="s">
        <v>74</v>
      </c>
      <c r="R353" s="2" t="s">
        <v>74</v>
      </c>
      <c r="S353" s="2" t="s">
        <v>74</v>
      </c>
      <c r="T353" s="2" t="s">
        <v>74</v>
      </c>
      <c r="U353" s="2" t="s">
        <v>74</v>
      </c>
      <c r="V353" s="5" t="s">
        <v>8137</v>
      </c>
      <c r="W353" s="2" t="s">
        <v>74</v>
      </c>
      <c r="X353" s="2" t="s">
        <v>74</v>
      </c>
      <c r="Y353" s="2" t="s">
        <v>74</v>
      </c>
      <c r="Z353" s="2" t="s">
        <v>74</v>
      </c>
      <c r="AA353" s="2" t="s">
        <v>8138</v>
      </c>
      <c r="AB353" s="2" t="s">
        <v>8139</v>
      </c>
      <c r="AC353" s="2" t="s">
        <v>74</v>
      </c>
      <c r="AD353" s="2" t="s">
        <v>74</v>
      </c>
      <c r="AE353" s="2" t="s">
        <v>74</v>
      </c>
      <c r="AF353" s="2" t="s">
        <v>74</v>
      </c>
      <c r="AG353" s="2" t="s">
        <v>74</v>
      </c>
      <c r="AH353" s="2" t="s">
        <v>74</v>
      </c>
      <c r="AI353" s="2" t="s">
        <v>74</v>
      </c>
      <c r="AJ353" s="2" t="s">
        <v>74</v>
      </c>
      <c r="AK353" s="2" t="s">
        <v>74</v>
      </c>
      <c r="AL353" s="2" t="s">
        <v>74</v>
      </c>
      <c r="AM353" s="2" t="s">
        <v>74</v>
      </c>
      <c r="AN353" s="2" t="s">
        <v>74</v>
      </c>
      <c r="AO353" s="2" t="s">
        <v>1239</v>
      </c>
      <c r="AP353" s="2" t="s">
        <v>74</v>
      </c>
      <c r="AQ353" s="2" t="s">
        <v>74</v>
      </c>
      <c r="AR353" s="2" t="s">
        <v>74</v>
      </c>
      <c r="AS353" s="2" t="s">
        <v>74</v>
      </c>
      <c r="AT353" s="2" t="s">
        <v>102</v>
      </c>
      <c r="AU353" s="2">
        <v>1993</v>
      </c>
      <c r="AV353" s="2">
        <v>71</v>
      </c>
      <c r="AW353" s="2">
        <v>6</v>
      </c>
      <c r="AX353" s="2" t="s">
        <v>74</v>
      </c>
      <c r="AY353" s="2" t="s">
        <v>74</v>
      </c>
      <c r="AZ353" s="2" t="s">
        <v>74</v>
      </c>
      <c r="BA353" s="2" t="s">
        <v>74</v>
      </c>
      <c r="BB353" s="2">
        <v>1104</v>
      </c>
      <c r="BC353" s="2">
        <v>1110</v>
      </c>
      <c r="BD353" s="2" t="s">
        <v>74</v>
      </c>
      <c r="BE353" s="2" t="s">
        <v>8140</v>
      </c>
      <c r="BF353" s="2" t="str">
        <f>HYPERLINK("http://dx.doi.org/10.1139/z93-150","http://dx.doi.org/10.1139/z93-150")</f>
        <v>http://dx.doi.org/10.1139/z93-150</v>
      </c>
      <c r="BG353" s="2" t="s">
        <v>74</v>
      </c>
      <c r="BH353" s="2" t="s">
        <v>74</v>
      </c>
      <c r="BI353" s="2" t="s">
        <v>74</v>
      </c>
      <c r="BJ353" s="2" t="s">
        <v>74</v>
      </c>
      <c r="BK353" s="2" t="s">
        <v>74</v>
      </c>
      <c r="BL353" s="2" t="s">
        <v>74</v>
      </c>
      <c r="BM353" s="2" t="s">
        <v>74</v>
      </c>
      <c r="BN353" s="2" t="s">
        <v>74</v>
      </c>
      <c r="BO353" s="2" t="s">
        <v>74</v>
      </c>
      <c r="BP353" s="2" t="s">
        <v>74</v>
      </c>
      <c r="BQ353" s="2" t="s">
        <v>74</v>
      </c>
      <c r="BR353" s="2" t="s">
        <v>74</v>
      </c>
      <c r="BS353" s="2" t="s">
        <v>8141</v>
      </c>
      <c r="BT353" s="2" t="str">
        <f>HYPERLINK("https%3A%2F%2Fwww.webofscience.com%2Fwos%2Fwoscc%2Ffull-record%2FWOS:A1993LU73200006","View Full Record in Web of Science")</f>
        <v>View Full Record in Web of Science</v>
      </c>
    </row>
    <row r="354" spans="1:72" s="2" customFormat="1" x14ac:dyDescent="0.4">
      <c r="A354" s="2" t="s">
        <v>72</v>
      </c>
      <c r="B354" s="2" t="s">
        <v>480</v>
      </c>
      <c r="C354" s="2" t="s">
        <v>74</v>
      </c>
      <c r="D354" s="2" t="s">
        <v>74</v>
      </c>
      <c r="E354" s="2" t="s">
        <v>74</v>
      </c>
      <c r="F354" s="2" t="s">
        <v>481</v>
      </c>
      <c r="G354" s="2" t="s">
        <v>74</v>
      </c>
      <c r="H354" s="2" t="s">
        <v>74</v>
      </c>
      <c r="I354" s="2" t="s">
        <v>482</v>
      </c>
      <c r="J354" s="2" t="s">
        <v>218</v>
      </c>
      <c r="K354" s="2" t="s">
        <v>74</v>
      </c>
      <c r="L354" s="2" t="s">
        <v>74</v>
      </c>
      <c r="M354" s="2" t="s">
        <v>74</v>
      </c>
      <c r="N354" s="2" t="s">
        <v>74</v>
      </c>
      <c r="O354" s="2" t="s">
        <v>74</v>
      </c>
      <c r="P354" s="2" t="s">
        <v>74</v>
      </c>
      <c r="Q354" s="2" t="s">
        <v>74</v>
      </c>
      <c r="R354" s="2" t="s">
        <v>74</v>
      </c>
      <c r="S354" s="2" t="s">
        <v>74</v>
      </c>
      <c r="T354" s="2" t="s">
        <v>74</v>
      </c>
      <c r="U354" s="2" t="s">
        <v>74</v>
      </c>
      <c r="V354" s="5" t="s">
        <v>483</v>
      </c>
      <c r="W354" s="2" t="s">
        <v>74</v>
      </c>
      <c r="X354" s="2" t="s">
        <v>74</v>
      </c>
      <c r="Y354" s="2" t="s">
        <v>74</v>
      </c>
      <c r="Z354" s="2" t="s">
        <v>74</v>
      </c>
      <c r="AA354" s="2" t="s">
        <v>484</v>
      </c>
      <c r="AB354" s="2" t="s">
        <v>485</v>
      </c>
      <c r="AC354" s="2" t="s">
        <v>74</v>
      </c>
      <c r="AD354" s="2" t="s">
        <v>74</v>
      </c>
      <c r="AE354" s="2" t="s">
        <v>74</v>
      </c>
      <c r="AF354" s="2" t="s">
        <v>74</v>
      </c>
      <c r="AG354" s="2" t="s">
        <v>74</v>
      </c>
      <c r="AH354" s="2" t="s">
        <v>74</v>
      </c>
      <c r="AI354" s="2" t="s">
        <v>74</v>
      </c>
      <c r="AJ354" s="2" t="s">
        <v>74</v>
      </c>
      <c r="AK354" s="2" t="s">
        <v>74</v>
      </c>
      <c r="AL354" s="2" t="s">
        <v>74</v>
      </c>
      <c r="AM354" s="2" t="s">
        <v>74</v>
      </c>
      <c r="AN354" s="2" t="s">
        <v>74</v>
      </c>
      <c r="AO354" s="2" t="s">
        <v>221</v>
      </c>
      <c r="AP354" s="2" t="s">
        <v>222</v>
      </c>
      <c r="AQ354" s="2" t="s">
        <v>74</v>
      </c>
      <c r="AR354" s="2" t="s">
        <v>74</v>
      </c>
      <c r="AS354" s="2" t="s">
        <v>74</v>
      </c>
      <c r="AT354" s="2" t="s">
        <v>123</v>
      </c>
      <c r="AU354" s="2">
        <v>2007</v>
      </c>
      <c r="AV354" s="2">
        <v>20</v>
      </c>
      <c r="AW354" s="2">
        <v>2</v>
      </c>
      <c r="AX354" s="2" t="s">
        <v>74</v>
      </c>
      <c r="AY354" s="2" t="s">
        <v>74</v>
      </c>
      <c r="AZ354" s="2" t="s">
        <v>74</v>
      </c>
      <c r="BA354" s="2" t="s">
        <v>74</v>
      </c>
      <c r="BB354" s="2">
        <v>496</v>
      </c>
      <c r="BC354" s="2">
        <v>502</v>
      </c>
      <c r="BD354" s="2" t="s">
        <v>74</v>
      </c>
      <c r="BE354" s="2" t="s">
        <v>486</v>
      </c>
      <c r="BF354" s="2" t="str">
        <f>HYPERLINK("http://dx.doi.org/10.1111/j.1420-9101.2006.01266.x","http://dx.doi.org/10.1111/j.1420-9101.2006.01266.x")</f>
        <v>http://dx.doi.org/10.1111/j.1420-9101.2006.01266.x</v>
      </c>
      <c r="BG354" s="2" t="s">
        <v>74</v>
      </c>
      <c r="BH354" s="2" t="s">
        <v>74</v>
      </c>
      <c r="BI354" s="2" t="s">
        <v>74</v>
      </c>
      <c r="BJ354" s="2" t="s">
        <v>74</v>
      </c>
      <c r="BK354" s="2" t="s">
        <v>74</v>
      </c>
      <c r="BL354" s="2" t="s">
        <v>74</v>
      </c>
      <c r="BM354" s="2" t="s">
        <v>74</v>
      </c>
      <c r="BN354" s="2">
        <v>17305815</v>
      </c>
      <c r="BO354" s="2" t="s">
        <v>74</v>
      </c>
      <c r="BP354" s="2" t="s">
        <v>74</v>
      </c>
      <c r="BQ354" s="2" t="s">
        <v>74</v>
      </c>
      <c r="BR354" s="2" t="s">
        <v>74</v>
      </c>
      <c r="BS354" s="2" t="s">
        <v>487</v>
      </c>
      <c r="BT354" s="2" t="str">
        <f>HYPERLINK("https%3A%2F%2Fwww.webofscience.com%2Fwos%2Fwoscc%2Ffull-record%2FWOS:000244244300008","View Full Record in Web of Science")</f>
        <v>View Full Record in Web of Science</v>
      </c>
    </row>
    <row r="355" spans="1:72" s="2" customFormat="1" x14ac:dyDescent="0.4">
      <c r="A355" s="2" t="s">
        <v>72</v>
      </c>
      <c r="B355" s="2" t="s">
        <v>4678</v>
      </c>
      <c r="C355" s="2" t="s">
        <v>74</v>
      </c>
      <c r="D355" s="2" t="s">
        <v>74</v>
      </c>
      <c r="E355" s="2" t="s">
        <v>74</v>
      </c>
      <c r="F355" s="2" t="s">
        <v>4679</v>
      </c>
      <c r="G355" s="2" t="s">
        <v>74</v>
      </c>
      <c r="H355" s="2" t="s">
        <v>74</v>
      </c>
      <c r="I355" s="2" t="s">
        <v>4680</v>
      </c>
      <c r="J355" s="2" t="s">
        <v>218</v>
      </c>
      <c r="K355" s="2" t="s">
        <v>74</v>
      </c>
      <c r="L355" s="2" t="s">
        <v>74</v>
      </c>
      <c r="M355" s="2" t="s">
        <v>74</v>
      </c>
      <c r="N355" s="2" t="s">
        <v>74</v>
      </c>
      <c r="O355" s="2" t="s">
        <v>74</v>
      </c>
      <c r="P355" s="2" t="s">
        <v>74</v>
      </c>
      <c r="Q355" s="2" t="s">
        <v>74</v>
      </c>
      <c r="R355" s="2" t="s">
        <v>74</v>
      </c>
      <c r="S355" s="2" t="s">
        <v>74</v>
      </c>
      <c r="T355" s="2" t="s">
        <v>74</v>
      </c>
      <c r="U355" s="2" t="s">
        <v>74</v>
      </c>
      <c r="V355" s="5" t="s">
        <v>4681</v>
      </c>
      <c r="W355" s="2" t="s">
        <v>74</v>
      </c>
      <c r="X355" s="2" t="s">
        <v>74</v>
      </c>
      <c r="Y355" s="2" t="s">
        <v>74</v>
      </c>
      <c r="Z355" s="2" t="s">
        <v>74</v>
      </c>
      <c r="AA355" s="2" t="s">
        <v>4682</v>
      </c>
      <c r="AB355" s="2" t="s">
        <v>4683</v>
      </c>
      <c r="AC355" s="2" t="s">
        <v>74</v>
      </c>
      <c r="AD355" s="2" t="s">
        <v>74</v>
      </c>
      <c r="AE355" s="2" t="s">
        <v>74</v>
      </c>
      <c r="AF355" s="2" t="s">
        <v>74</v>
      </c>
      <c r="AG355" s="2" t="s">
        <v>74</v>
      </c>
      <c r="AH355" s="2" t="s">
        <v>74</v>
      </c>
      <c r="AI355" s="2" t="s">
        <v>74</v>
      </c>
      <c r="AJ355" s="2" t="s">
        <v>74</v>
      </c>
      <c r="AK355" s="2" t="s">
        <v>74</v>
      </c>
      <c r="AL355" s="2" t="s">
        <v>74</v>
      </c>
      <c r="AM355" s="2" t="s">
        <v>74</v>
      </c>
      <c r="AN355" s="2" t="s">
        <v>74</v>
      </c>
      <c r="AO355" s="2" t="s">
        <v>221</v>
      </c>
      <c r="AP355" s="2" t="s">
        <v>222</v>
      </c>
      <c r="AQ355" s="2" t="s">
        <v>74</v>
      </c>
      <c r="AR355" s="2" t="s">
        <v>74</v>
      </c>
      <c r="AS355" s="2" t="s">
        <v>74</v>
      </c>
      <c r="AT355" s="2" t="s">
        <v>305</v>
      </c>
      <c r="AU355" s="2">
        <v>2011</v>
      </c>
      <c r="AV355" s="2">
        <v>24</v>
      </c>
      <c r="AW355" s="2">
        <v>12</v>
      </c>
      <c r="AX355" s="2" t="s">
        <v>74</v>
      </c>
      <c r="AY355" s="2" t="s">
        <v>74</v>
      </c>
      <c r="AZ355" s="2" t="s">
        <v>74</v>
      </c>
      <c r="BA355" s="2" t="s">
        <v>74</v>
      </c>
      <c r="BB355" s="2">
        <v>2639</v>
      </c>
      <c r="BC355" s="2">
        <v>2652</v>
      </c>
      <c r="BD355" s="2" t="s">
        <v>74</v>
      </c>
      <c r="BE355" s="2" t="s">
        <v>4684</v>
      </c>
      <c r="BF355" s="2" t="str">
        <f>HYPERLINK("http://dx.doi.org/10.1111/j.1420-9101.2011.02389.x","http://dx.doi.org/10.1111/j.1420-9101.2011.02389.x")</f>
        <v>http://dx.doi.org/10.1111/j.1420-9101.2011.02389.x</v>
      </c>
      <c r="BG355" s="2" t="s">
        <v>74</v>
      </c>
      <c r="BH355" s="2" t="s">
        <v>74</v>
      </c>
      <c r="BI355" s="2" t="s">
        <v>74</v>
      </c>
      <c r="BJ355" s="2" t="s">
        <v>74</v>
      </c>
      <c r="BK355" s="2" t="s">
        <v>74</v>
      </c>
      <c r="BL355" s="2" t="s">
        <v>74</v>
      </c>
      <c r="BM355" s="2" t="s">
        <v>74</v>
      </c>
      <c r="BN355" s="2">
        <v>21955260</v>
      </c>
      <c r="BO355" s="2" t="s">
        <v>74</v>
      </c>
      <c r="BP355" s="2" t="s">
        <v>74</v>
      </c>
      <c r="BQ355" s="2" t="s">
        <v>74</v>
      </c>
      <c r="BR355" s="2" t="s">
        <v>74</v>
      </c>
      <c r="BS355" s="2" t="s">
        <v>4685</v>
      </c>
      <c r="BT355" s="2" t="str">
        <f>HYPERLINK("https%3A%2F%2Fwww.webofscience.com%2Fwos%2Fwoscc%2Ffull-record%2FWOS:000297639600010","View Full Record in Web of Science")</f>
        <v>View Full Record in Web of Science</v>
      </c>
    </row>
    <row r="356" spans="1:72" s="2" customFormat="1" x14ac:dyDescent="0.4">
      <c r="A356" s="2" t="s">
        <v>72</v>
      </c>
      <c r="B356" s="2" t="s">
        <v>1078</v>
      </c>
      <c r="C356" s="2" t="s">
        <v>74</v>
      </c>
      <c r="D356" s="2" t="s">
        <v>74</v>
      </c>
      <c r="E356" s="2" t="s">
        <v>74</v>
      </c>
      <c r="F356" s="2" t="s">
        <v>1078</v>
      </c>
      <c r="G356" s="2" t="s">
        <v>74</v>
      </c>
      <c r="H356" s="2" t="s">
        <v>74</v>
      </c>
      <c r="I356" s="2" t="s">
        <v>1079</v>
      </c>
      <c r="J356" s="2" t="s">
        <v>129</v>
      </c>
      <c r="K356" s="2" t="s">
        <v>74</v>
      </c>
      <c r="L356" s="2" t="s">
        <v>74</v>
      </c>
      <c r="M356" s="2" t="s">
        <v>74</v>
      </c>
      <c r="N356" s="2" t="s">
        <v>74</v>
      </c>
      <c r="O356" s="2" t="s">
        <v>74</v>
      </c>
      <c r="P356" s="2" t="s">
        <v>74</v>
      </c>
      <c r="Q356" s="2" t="s">
        <v>74</v>
      </c>
      <c r="R356" s="2" t="s">
        <v>74</v>
      </c>
      <c r="S356" s="2" t="s">
        <v>74</v>
      </c>
      <c r="T356" s="2" t="s">
        <v>74</v>
      </c>
      <c r="U356" s="2" t="s">
        <v>74</v>
      </c>
      <c r="V356" s="5" t="s">
        <v>1080</v>
      </c>
      <c r="W356" s="2" t="s">
        <v>74</v>
      </c>
      <c r="X356" s="2" t="s">
        <v>74</v>
      </c>
      <c r="Y356" s="2" t="s">
        <v>74</v>
      </c>
      <c r="Z356" s="2" t="s">
        <v>74</v>
      </c>
      <c r="AA356" s="2" t="s">
        <v>1081</v>
      </c>
      <c r="AB356" s="2" t="s">
        <v>1082</v>
      </c>
      <c r="AC356" s="2" t="s">
        <v>74</v>
      </c>
      <c r="AD356" s="2" t="s">
        <v>74</v>
      </c>
      <c r="AE356" s="2" t="s">
        <v>74</v>
      </c>
      <c r="AF356" s="2" t="s">
        <v>74</v>
      </c>
      <c r="AG356" s="2" t="s">
        <v>74</v>
      </c>
      <c r="AH356" s="2" t="s">
        <v>74</v>
      </c>
      <c r="AI356" s="2" t="s">
        <v>74</v>
      </c>
      <c r="AJ356" s="2" t="s">
        <v>74</v>
      </c>
      <c r="AK356" s="2" t="s">
        <v>74</v>
      </c>
      <c r="AL356" s="2" t="s">
        <v>74</v>
      </c>
      <c r="AM356" s="2" t="s">
        <v>74</v>
      </c>
      <c r="AN356" s="2" t="s">
        <v>74</v>
      </c>
      <c r="AO356" s="2" t="s">
        <v>132</v>
      </c>
      <c r="AP356" s="2" t="s">
        <v>133</v>
      </c>
      <c r="AQ356" s="2" t="s">
        <v>74</v>
      </c>
      <c r="AR356" s="2" t="s">
        <v>74</v>
      </c>
      <c r="AS356" s="2" t="s">
        <v>74</v>
      </c>
      <c r="AT356" s="2" t="s">
        <v>123</v>
      </c>
      <c r="AU356" s="2">
        <v>2006</v>
      </c>
      <c r="AV356" s="2">
        <v>59</v>
      </c>
      <c r="AW356" s="2">
        <v>5</v>
      </c>
      <c r="AX356" s="2" t="s">
        <v>74</v>
      </c>
      <c r="AY356" s="2" t="s">
        <v>74</v>
      </c>
      <c r="AZ356" s="2" t="s">
        <v>74</v>
      </c>
      <c r="BA356" s="2" t="s">
        <v>74</v>
      </c>
      <c r="BB356" s="2">
        <v>704</v>
      </c>
      <c r="BC356" s="2">
        <v>713</v>
      </c>
      <c r="BD356" s="2" t="s">
        <v>74</v>
      </c>
      <c r="BE356" s="2" t="s">
        <v>1083</v>
      </c>
      <c r="BF356" s="2" t="str">
        <f>HYPERLINK("http://dx.doi.org/10.1007/s00265-005-0100-1","http://dx.doi.org/10.1007/s00265-005-0100-1")</f>
        <v>http://dx.doi.org/10.1007/s00265-005-0100-1</v>
      </c>
      <c r="BG356" s="2" t="s">
        <v>74</v>
      </c>
      <c r="BH356" s="2" t="s">
        <v>74</v>
      </c>
      <c r="BI356" s="2" t="s">
        <v>74</v>
      </c>
      <c r="BJ356" s="2" t="s">
        <v>74</v>
      </c>
      <c r="BK356" s="2" t="s">
        <v>74</v>
      </c>
      <c r="BL356" s="2" t="s">
        <v>74</v>
      </c>
      <c r="BM356" s="2" t="s">
        <v>74</v>
      </c>
      <c r="BN356" s="2" t="s">
        <v>74</v>
      </c>
      <c r="BO356" s="2" t="s">
        <v>74</v>
      </c>
      <c r="BP356" s="2" t="s">
        <v>74</v>
      </c>
      <c r="BQ356" s="2" t="s">
        <v>74</v>
      </c>
      <c r="BR356" s="2" t="s">
        <v>74</v>
      </c>
      <c r="BS356" s="2" t="s">
        <v>1084</v>
      </c>
      <c r="BT356" s="2" t="str">
        <f>HYPERLINK("https%3A%2F%2Fwww.webofscience.com%2Fwos%2Fwoscc%2Ffull-record%2FWOS:000235219700015","View Full Record in Web of Science")</f>
        <v>View Full Record in Web of Science</v>
      </c>
    </row>
    <row r="357" spans="1:72" s="2" customFormat="1" x14ac:dyDescent="0.4">
      <c r="A357" s="2" t="s">
        <v>72</v>
      </c>
      <c r="B357" s="2" t="s">
        <v>1913</v>
      </c>
      <c r="C357" s="2" t="s">
        <v>74</v>
      </c>
      <c r="D357" s="2" t="s">
        <v>74</v>
      </c>
      <c r="E357" s="2" t="s">
        <v>74</v>
      </c>
      <c r="F357" s="2" t="s">
        <v>1914</v>
      </c>
      <c r="G357" s="2" t="s">
        <v>74</v>
      </c>
      <c r="H357" s="2" t="s">
        <v>74</v>
      </c>
      <c r="I357" s="2" t="s">
        <v>1915</v>
      </c>
      <c r="J357" s="2" t="s">
        <v>108</v>
      </c>
      <c r="K357" s="2" t="s">
        <v>74</v>
      </c>
      <c r="L357" s="2" t="s">
        <v>74</v>
      </c>
      <c r="M357" s="2" t="s">
        <v>74</v>
      </c>
      <c r="N357" s="2" t="s">
        <v>74</v>
      </c>
      <c r="O357" s="2" t="s">
        <v>74</v>
      </c>
      <c r="P357" s="2" t="s">
        <v>74</v>
      </c>
      <c r="Q357" s="2" t="s">
        <v>74</v>
      </c>
      <c r="R357" s="2" t="s">
        <v>74</v>
      </c>
      <c r="S357" s="2" t="s">
        <v>74</v>
      </c>
      <c r="T357" s="2" t="s">
        <v>74</v>
      </c>
      <c r="U357" s="2" t="s">
        <v>74</v>
      </c>
      <c r="V357" s="5" t="s">
        <v>1916</v>
      </c>
      <c r="W357" s="2" t="s">
        <v>74</v>
      </c>
      <c r="X357" s="2" t="s">
        <v>74</v>
      </c>
      <c r="Y357" s="2" t="s">
        <v>74</v>
      </c>
      <c r="Z357" s="2" t="s">
        <v>74</v>
      </c>
      <c r="AA357" s="2" t="s">
        <v>1917</v>
      </c>
      <c r="AB357" s="2" t="s">
        <v>1918</v>
      </c>
      <c r="AC357" s="2" t="s">
        <v>74</v>
      </c>
      <c r="AD357" s="2" t="s">
        <v>74</v>
      </c>
      <c r="AE357" s="2" t="s">
        <v>74</v>
      </c>
      <c r="AF357" s="2" t="s">
        <v>74</v>
      </c>
      <c r="AG357" s="2" t="s">
        <v>74</v>
      </c>
      <c r="AH357" s="2" t="s">
        <v>74</v>
      </c>
      <c r="AI357" s="2" t="s">
        <v>74</v>
      </c>
      <c r="AJ357" s="2" t="s">
        <v>74</v>
      </c>
      <c r="AK357" s="2" t="s">
        <v>74</v>
      </c>
      <c r="AL357" s="2" t="s">
        <v>74</v>
      </c>
      <c r="AM357" s="2" t="s">
        <v>74</v>
      </c>
      <c r="AN357" s="2" t="s">
        <v>74</v>
      </c>
      <c r="AO357" s="2" t="s">
        <v>111</v>
      </c>
      <c r="AP357" s="2" t="s">
        <v>112</v>
      </c>
      <c r="AQ357" s="2" t="s">
        <v>74</v>
      </c>
      <c r="AR357" s="2" t="s">
        <v>74</v>
      </c>
      <c r="AS357" s="2" t="s">
        <v>74</v>
      </c>
      <c r="AT357" s="2" t="s">
        <v>1919</v>
      </c>
      <c r="AU357" s="2">
        <v>2017</v>
      </c>
      <c r="AV357" s="2">
        <v>284</v>
      </c>
      <c r="AW357" s="2">
        <v>1851</v>
      </c>
      <c r="AX357" s="2" t="s">
        <v>74</v>
      </c>
      <c r="AY357" s="2" t="s">
        <v>74</v>
      </c>
      <c r="AZ357" s="2" t="s">
        <v>74</v>
      </c>
      <c r="BA357" s="2" t="s">
        <v>74</v>
      </c>
      <c r="BB357" s="2" t="s">
        <v>74</v>
      </c>
      <c r="BC357" s="2" t="s">
        <v>74</v>
      </c>
      <c r="BD357" s="2">
        <v>20162838</v>
      </c>
      <c r="BE357" s="2" t="s">
        <v>1920</v>
      </c>
      <c r="BF357" s="2" t="str">
        <f>HYPERLINK("http://dx.doi.org/10.1098/rspb.2016.2838","http://dx.doi.org/10.1098/rspb.2016.2838")</f>
        <v>http://dx.doi.org/10.1098/rspb.2016.2838</v>
      </c>
      <c r="BG357" s="2" t="s">
        <v>74</v>
      </c>
      <c r="BH357" s="2" t="s">
        <v>74</v>
      </c>
      <c r="BI357" s="2" t="s">
        <v>74</v>
      </c>
      <c r="BJ357" s="2" t="s">
        <v>74</v>
      </c>
      <c r="BK357" s="2" t="s">
        <v>74</v>
      </c>
      <c r="BL357" s="2" t="s">
        <v>74</v>
      </c>
      <c r="BM357" s="2" t="s">
        <v>74</v>
      </c>
      <c r="BN357" s="2">
        <v>28356453</v>
      </c>
      <c r="BO357" s="2" t="s">
        <v>74</v>
      </c>
      <c r="BP357" s="2" t="s">
        <v>74</v>
      </c>
      <c r="BQ357" s="2" t="s">
        <v>74</v>
      </c>
      <c r="BR357" s="2" t="s">
        <v>74</v>
      </c>
      <c r="BS357" s="2" t="s">
        <v>1921</v>
      </c>
      <c r="BT357" s="2" t="str">
        <f>HYPERLINK("https%3A%2F%2Fwww.webofscience.com%2Fwos%2Fwoscc%2Ffull-record%2FWOS:000397884000018","View Full Record in Web of Science")</f>
        <v>View Full Record in Web of Science</v>
      </c>
    </row>
    <row r="358" spans="1:72" s="2" customFormat="1" x14ac:dyDescent="0.4">
      <c r="A358" s="2" t="s">
        <v>72</v>
      </c>
      <c r="B358" s="2" t="s">
        <v>3398</v>
      </c>
      <c r="C358" s="2" t="s">
        <v>74</v>
      </c>
      <c r="D358" s="2" t="s">
        <v>74</v>
      </c>
      <c r="E358" s="2" t="s">
        <v>74</v>
      </c>
      <c r="F358" s="2" t="s">
        <v>3399</v>
      </c>
      <c r="G358" s="2" t="s">
        <v>74</v>
      </c>
      <c r="H358" s="2" t="s">
        <v>74</v>
      </c>
      <c r="I358" s="2" t="s">
        <v>3400</v>
      </c>
      <c r="J358" s="2" t="s">
        <v>192</v>
      </c>
      <c r="K358" s="2" t="s">
        <v>74</v>
      </c>
      <c r="L358" s="2" t="s">
        <v>74</v>
      </c>
      <c r="M358" s="2" t="s">
        <v>74</v>
      </c>
      <c r="N358" s="2" t="s">
        <v>74</v>
      </c>
      <c r="O358" s="2" t="s">
        <v>74</v>
      </c>
      <c r="P358" s="2" t="s">
        <v>74</v>
      </c>
      <c r="Q358" s="2" t="s">
        <v>74</v>
      </c>
      <c r="R358" s="2" t="s">
        <v>74</v>
      </c>
      <c r="S358" s="2" t="s">
        <v>74</v>
      </c>
      <c r="T358" s="2" t="s">
        <v>74</v>
      </c>
      <c r="U358" s="2" t="s">
        <v>74</v>
      </c>
      <c r="V358" s="5" t="s">
        <v>3401</v>
      </c>
      <c r="W358" s="2" t="s">
        <v>74</v>
      </c>
      <c r="X358" s="2" t="s">
        <v>74</v>
      </c>
      <c r="Y358" s="2" t="s">
        <v>74</v>
      </c>
      <c r="Z358" s="2" t="s">
        <v>74</v>
      </c>
      <c r="AA358" s="2" t="s">
        <v>3402</v>
      </c>
      <c r="AB358" s="2" t="s">
        <v>3403</v>
      </c>
      <c r="AC358" s="2" t="s">
        <v>74</v>
      </c>
      <c r="AD358" s="2" t="s">
        <v>74</v>
      </c>
      <c r="AE358" s="2" t="s">
        <v>74</v>
      </c>
      <c r="AF358" s="2" t="s">
        <v>74</v>
      </c>
      <c r="AG358" s="2" t="s">
        <v>74</v>
      </c>
      <c r="AH358" s="2" t="s">
        <v>74</v>
      </c>
      <c r="AI358" s="2" t="s">
        <v>74</v>
      </c>
      <c r="AJ358" s="2" t="s">
        <v>74</v>
      </c>
      <c r="AK358" s="2" t="s">
        <v>74</v>
      </c>
      <c r="AL358" s="2" t="s">
        <v>74</v>
      </c>
      <c r="AM358" s="2" t="s">
        <v>74</v>
      </c>
      <c r="AN358" s="2" t="s">
        <v>74</v>
      </c>
      <c r="AO358" s="2" t="s">
        <v>195</v>
      </c>
      <c r="AP358" s="2" t="s">
        <v>196</v>
      </c>
      <c r="AQ358" s="2" t="s">
        <v>74</v>
      </c>
      <c r="AR358" s="2" t="s">
        <v>74</v>
      </c>
      <c r="AS358" s="2" t="s">
        <v>74</v>
      </c>
      <c r="AT358" s="2" t="s">
        <v>102</v>
      </c>
      <c r="AU358" s="2">
        <v>2023</v>
      </c>
      <c r="AV358" s="2">
        <v>850</v>
      </c>
      <c r="AW358" s="2" t="s">
        <v>3404</v>
      </c>
      <c r="AX358" s="2" t="s">
        <v>74</v>
      </c>
      <c r="AY358" s="2" t="s">
        <v>74</v>
      </c>
      <c r="AZ358" s="2" t="s">
        <v>848</v>
      </c>
      <c r="BA358" s="2" t="s">
        <v>74</v>
      </c>
      <c r="BB358" s="2">
        <v>2405</v>
      </c>
      <c r="BC358" s="2">
        <v>2423</v>
      </c>
      <c r="BD358" s="2" t="s">
        <v>74</v>
      </c>
      <c r="BE358" s="2" t="s">
        <v>3405</v>
      </c>
      <c r="BF358" s="2" t="str">
        <f>HYPERLINK("http://dx.doi.org/10.1007/s10750-022-04980-z","http://dx.doi.org/10.1007/s10750-022-04980-z")</f>
        <v>http://dx.doi.org/10.1007/s10750-022-04980-z</v>
      </c>
      <c r="BG358" s="2" t="s">
        <v>74</v>
      </c>
      <c r="BH358" s="2" t="s">
        <v>3406</v>
      </c>
      <c r="BI358" s="2" t="s">
        <v>74</v>
      </c>
      <c r="BJ358" s="2" t="s">
        <v>74</v>
      </c>
      <c r="BK358" s="2" t="s">
        <v>74</v>
      </c>
      <c r="BL358" s="2" t="s">
        <v>74</v>
      </c>
      <c r="BM358" s="2" t="s">
        <v>74</v>
      </c>
      <c r="BN358" s="2" t="s">
        <v>74</v>
      </c>
      <c r="BO358" s="2" t="s">
        <v>74</v>
      </c>
      <c r="BP358" s="2" t="s">
        <v>74</v>
      </c>
      <c r="BQ358" s="2" t="s">
        <v>74</v>
      </c>
      <c r="BR358" s="2" t="s">
        <v>74</v>
      </c>
      <c r="BS358" s="2" t="s">
        <v>3407</v>
      </c>
      <c r="BT358" s="2" t="str">
        <f>HYPERLINK("https%3A%2F%2Fwww.webofscience.com%2Fwos%2Fwoscc%2Ffull-record%2FWOS:000849168800001","View Full Record in Web of Science")</f>
        <v>View Full Record in Web of Science</v>
      </c>
    </row>
    <row r="359" spans="1:72" s="2" customFormat="1" x14ac:dyDescent="0.4">
      <c r="A359" s="2" t="s">
        <v>72</v>
      </c>
      <c r="B359" s="2" t="s">
        <v>3960</v>
      </c>
      <c r="C359" s="2" t="s">
        <v>74</v>
      </c>
      <c r="D359" s="2" t="s">
        <v>74</v>
      </c>
      <c r="E359" s="2" t="s">
        <v>74</v>
      </c>
      <c r="F359" s="2" t="s">
        <v>3961</v>
      </c>
      <c r="G359" s="2" t="s">
        <v>74</v>
      </c>
      <c r="H359" s="2" t="s">
        <v>74</v>
      </c>
      <c r="I359" s="2" t="s">
        <v>3962</v>
      </c>
      <c r="J359" s="2" t="s">
        <v>108</v>
      </c>
      <c r="K359" s="2" t="s">
        <v>74</v>
      </c>
      <c r="L359" s="2" t="s">
        <v>74</v>
      </c>
      <c r="M359" s="2" t="s">
        <v>74</v>
      </c>
      <c r="N359" s="2" t="s">
        <v>74</v>
      </c>
      <c r="O359" s="2" t="s">
        <v>74</v>
      </c>
      <c r="P359" s="2" t="s">
        <v>74</v>
      </c>
      <c r="Q359" s="2" t="s">
        <v>74</v>
      </c>
      <c r="R359" s="2" t="s">
        <v>74</v>
      </c>
      <c r="S359" s="2" t="s">
        <v>74</v>
      </c>
      <c r="T359" s="2" t="s">
        <v>74</v>
      </c>
      <c r="U359" s="2" t="s">
        <v>74</v>
      </c>
      <c r="V359" s="5" t="s">
        <v>3963</v>
      </c>
      <c r="W359" s="2" t="s">
        <v>74</v>
      </c>
      <c r="X359" s="2" t="s">
        <v>74</v>
      </c>
      <c r="Y359" s="2" t="s">
        <v>74</v>
      </c>
      <c r="Z359" s="2" t="s">
        <v>74</v>
      </c>
      <c r="AA359" s="2" t="s">
        <v>74</v>
      </c>
      <c r="AB359" s="2" t="s">
        <v>2478</v>
      </c>
      <c r="AC359" s="2" t="s">
        <v>74</v>
      </c>
      <c r="AD359" s="2" t="s">
        <v>74</v>
      </c>
      <c r="AE359" s="2" t="s">
        <v>74</v>
      </c>
      <c r="AF359" s="2" t="s">
        <v>74</v>
      </c>
      <c r="AG359" s="2" t="s">
        <v>74</v>
      </c>
      <c r="AH359" s="2" t="s">
        <v>74</v>
      </c>
      <c r="AI359" s="2" t="s">
        <v>74</v>
      </c>
      <c r="AJ359" s="2" t="s">
        <v>74</v>
      </c>
      <c r="AK359" s="2" t="s">
        <v>74</v>
      </c>
      <c r="AL359" s="2" t="s">
        <v>74</v>
      </c>
      <c r="AM359" s="2" t="s">
        <v>74</v>
      </c>
      <c r="AN359" s="2" t="s">
        <v>74</v>
      </c>
      <c r="AO359" s="2" t="s">
        <v>111</v>
      </c>
      <c r="AP359" s="2" t="s">
        <v>112</v>
      </c>
      <c r="AQ359" s="2" t="s">
        <v>74</v>
      </c>
      <c r="AR359" s="2" t="s">
        <v>74</v>
      </c>
      <c r="AS359" s="2" t="s">
        <v>74</v>
      </c>
      <c r="AT359" s="2" t="s">
        <v>2345</v>
      </c>
      <c r="AU359" s="2">
        <v>2008</v>
      </c>
      <c r="AV359" s="2">
        <v>275</v>
      </c>
      <c r="AW359" s="2">
        <v>1639</v>
      </c>
      <c r="AX359" s="2" t="s">
        <v>74</v>
      </c>
      <c r="AY359" s="2" t="s">
        <v>74</v>
      </c>
      <c r="AZ359" s="2" t="s">
        <v>74</v>
      </c>
      <c r="BA359" s="2" t="s">
        <v>74</v>
      </c>
      <c r="BB359" s="2">
        <v>1157</v>
      </c>
      <c r="BC359" s="2">
        <v>1162</v>
      </c>
      <c r="BD359" s="2" t="s">
        <v>74</v>
      </c>
      <c r="BE359" s="2" t="s">
        <v>3964</v>
      </c>
      <c r="BF359" s="2" t="str">
        <f>HYPERLINK("http://dx.doi.org/10.1098/rspb.2007.1700","http://dx.doi.org/10.1098/rspb.2007.1700")</f>
        <v>http://dx.doi.org/10.1098/rspb.2007.1700</v>
      </c>
      <c r="BG359" s="2" t="s">
        <v>74</v>
      </c>
      <c r="BH359" s="2" t="s">
        <v>74</v>
      </c>
      <c r="BI359" s="2" t="s">
        <v>74</v>
      </c>
      <c r="BJ359" s="2" t="s">
        <v>74</v>
      </c>
      <c r="BK359" s="2" t="s">
        <v>74</v>
      </c>
      <c r="BL359" s="2" t="s">
        <v>74</v>
      </c>
      <c r="BM359" s="2" t="s">
        <v>74</v>
      </c>
      <c r="BN359" s="2">
        <v>18270157</v>
      </c>
      <c r="BO359" s="2" t="s">
        <v>74</v>
      </c>
      <c r="BP359" s="2" t="s">
        <v>74</v>
      </c>
      <c r="BQ359" s="2" t="s">
        <v>74</v>
      </c>
      <c r="BR359" s="2" t="s">
        <v>74</v>
      </c>
      <c r="BS359" s="2" t="s">
        <v>3965</v>
      </c>
      <c r="BT359" s="2" t="str">
        <f>HYPERLINK("https%3A%2F%2Fwww.webofscience.com%2Fwos%2Fwoscc%2Ffull-record%2FWOS:000254464000008","View Full Record in Web of Science")</f>
        <v>View Full Record in Web of Science</v>
      </c>
    </row>
    <row r="360" spans="1:72" s="2" customFormat="1" x14ac:dyDescent="0.4">
      <c r="A360" s="2" t="s">
        <v>72</v>
      </c>
      <c r="B360" s="2" t="s">
        <v>1700</v>
      </c>
      <c r="C360" s="2" t="s">
        <v>74</v>
      </c>
      <c r="D360" s="2" t="s">
        <v>74</v>
      </c>
      <c r="E360" s="2" t="s">
        <v>74</v>
      </c>
      <c r="F360" s="2" t="s">
        <v>1701</v>
      </c>
      <c r="G360" s="2" t="s">
        <v>74</v>
      </c>
      <c r="H360" s="2" t="s">
        <v>74</v>
      </c>
      <c r="I360" s="2" t="s">
        <v>1702</v>
      </c>
      <c r="J360" s="2" t="s">
        <v>140</v>
      </c>
      <c r="K360" s="2" t="s">
        <v>74</v>
      </c>
      <c r="L360" s="2" t="s">
        <v>74</v>
      </c>
      <c r="M360" s="2" t="s">
        <v>74</v>
      </c>
      <c r="N360" s="2" t="s">
        <v>74</v>
      </c>
      <c r="O360" s="2" t="s">
        <v>74</v>
      </c>
      <c r="P360" s="2" t="s">
        <v>74</v>
      </c>
      <c r="Q360" s="2" t="s">
        <v>74</v>
      </c>
      <c r="R360" s="2" t="s">
        <v>74</v>
      </c>
      <c r="S360" s="2" t="s">
        <v>74</v>
      </c>
      <c r="T360" s="2" t="s">
        <v>74</v>
      </c>
      <c r="U360" s="2" t="s">
        <v>74</v>
      </c>
      <c r="V360" s="5" t="s">
        <v>1703</v>
      </c>
      <c r="W360" s="2" t="s">
        <v>74</v>
      </c>
      <c r="X360" s="2" t="s">
        <v>74</v>
      </c>
      <c r="Y360" s="2" t="s">
        <v>74</v>
      </c>
      <c r="Z360" s="2" t="s">
        <v>74</v>
      </c>
      <c r="AA360" s="2" t="s">
        <v>1106</v>
      </c>
      <c r="AB360" s="2" t="s">
        <v>1704</v>
      </c>
      <c r="AC360" s="2" t="s">
        <v>74</v>
      </c>
      <c r="AD360" s="2" t="s">
        <v>74</v>
      </c>
      <c r="AE360" s="2" t="s">
        <v>74</v>
      </c>
      <c r="AF360" s="2" t="s">
        <v>74</v>
      </c>
      <c r="AG360" s="2" t="s">
        <v>74</v>
      </c>
      <c r="AH360" s="2" t="s">
        <v>74</v>
      </c>
      <c r="AI360" s="2" t="s">
        <v>74</v>
      </c>
      <c r="AJ360" s="2" t="s">
        <v>74</v>
      </c>
      <c r="AK360" s="2" t="s">
        <v>74</v>
      </c>
      <c r="AL360" s="2" t="s">
        <v>74</v>
      </c>
      <c r="AM360" s="2" t="s">
        <v>74</v>
      </c>
      <c r="AN360" s="2" t="s">
        <v>74</v>
      </c>
      <c r="AO360" s="2" t="s">
        <v>143</v>
      </c>
      <c r="AP360" s="2" t="s">
        <v>144</v>
      </c>
      <c r="AQ360" s="2" t="s">
        <v>74</v>
      </c>
      <c r="AR360" s="2" t="s">
        <v>74</v>
      </c>
      <c r="AS360" s="2" t="s">
        <v>74</v>
      </c>
      <c r="AT360" s="2" t="s">
        <v>352</v>
      </c>
      <c r="AU360" s="2">
        <v>2008</v>
      </c>
      <c r="AV360" s="2">
        <v>76</v>
      </c>
      <c r="AW360" s="2" t="s">
        <v>74</v>
      </c>
      <c r="AX360" s="2">
        <v>3</v>
      </c>
      <c r="AY360" s="2" t="s">
        <v>74</v>
      </c>
      <c r="AZ360" s="2" t="s">
        <v>74</v>
      </c>
      <c r="BA360" s="2" t="s">
        <v>74</v>
      </c>
      <c r="BB360" s="2">
        <v>649</v>
      </c>
      <c r="BC360" s="2">
        <v>655</v>
      </c>
      <c r="BD360" s="2" t="s">
        <v>74</v>
      </c>
      <c r="BE360" s="2" t="s">
        <v>1705</v>
      </c>
      <c r="BF360" s="2" t="str">
        <f>HYPERLINK("http://dx.doi.org/10.1016/j.anbehav.2008.03.013","http://dx.doi.org/10.1016/j.anbehav.2008.03.013")</f>
        <v>http://dx.doi.org/10.1016/j.anbehav.2008.03.013</v>
      </c>
      <c r="BG360" s="2" t="s">
        <v>74</v>
      </c>
      <c r="BH360" s="2" t="s">
        <v>74</v>
      </c>
      <c r="BI360" s="2" t="s">
        <v>74</v>
      </c>
      <c r="BJ360" s="2" t="s">
        <v>74</v>
      </c>
      <c r="BK360" s="2" t="s">
        <v>74</v>
      </c>
      <c r="BL360" s="2" t="s">
        <v>74</v>
      </c>
      <c r="BM360" s="2" t="s">
        <v>74</v>
      </c>
      <c r="BN360" s="2" t="s">
        <v>74</v>
      </c>
      <c r="BO360" s="2" t="s">
        <v>74</v>
      </c>
      <c r="BP360" s="2" t="s">
        <v>74</v>
      </c>
      <c r="BQ360" s="2" t="s">
        <v>74</v>
      </c>
      <c r="BR360" s="2" t="s">
        <v>74</v>
      </c>
      <c r="BS360" s="2" t="s">
        <v>1706</v>
      </c>
      <c r="BT360" s="2" t="str">
        <f>HYPERLINK("https%3A%2F%2Fwww.webofscience.com%2Fwos%2Fwoscc%2Ffull-record%2FWOS:000258490800015","View Full Record in Web of Science")</f>
        <v>View Full Record in Web of Science</v>
      </c>
    </row>
    <row r="361" spans="1:72" s="2" customFormat="1" x14ac:dyDescent="0.4">
      <c r="A361" s="2" t="s">
        <v>72</v>
      </c>
      <c r="B361" s="2" t="s">
        <v>1956</v>
      </c>
      <c r="C361" s="2" t="s">
        <v>74</v>
      </c>
      <c r="D361" s="2" t="s">
        <v>74</v>
      </c>
      <c r="E361" s="2" t="s">
        <v>74</v>
      </c>
      <c r="F361" s="2" t="s">
        <v>1957</v>
      </c>
      <c r="G361" s="2" t="s">
        <v>74</v>
      </c>
      <c r="H361" s="2" t="s">
        <v>74</v>
      </c>
      <c r="I361" s="2" t="s">
        <v>1958</v>
      </c>
      <c r="J361" s="2" t="s">
        <v>108</v>
      </c>
      <c r="K361" s="2" t="s">
        <v>74</v>
      </c>
      <c r="L361" s="2" t="s">
        <v>74</v>
      </c>
      <c r="M361" s="2" t="s">
        <v>74</v>
      </c>
      <c r="N361" s="2" t="s">
        <v>74</v>
      </c>
      <c r="O361" s="2" t="s">
        <v>74</v>
      </c>
      <c r="P361" s="2" t="s">
        <v>74</v>
      </c>
      <c r="Q361" s="2" t="s">
        <v>74</v>
      </c>
      <c r="R361" s="2" t="s">
        <v>74</v>
      </c>
      <c r="S361" s="2" t="s">
        <v>74</v>
      </c>
      <c r="T361" s="2" t="s">
        <v>74</v>
      </c>
      <c r="U361" s="2" t="s">
        <v>74</v>
      </c>
      <c r="V361" s="5" t="s">
        <v>1959</v>
      </c>
      <c r="W361" s="2" t="s">
        <v>74</v>
      </c>
      <c r="X361" s="2" t="s">
        <v>74</v>
      </c>
      <c r="Y361" s="2" t="s">
        <v>74</v>
      </c>
      <c r="Z361" s="2" t="s">
        <v>74</v>
      </c>
      <c r="AA361" s="2" t="s">
        <v>1106</v>
      </c>
      <c r="AB361" s="2" t="s">
        <v>1704</v>
      </c>
      <c r="AC361" s="2" t="s">
        <v>74</v>
      </c>
      <c r="AD361" s="2" t="s">
        <v>74</v>
      </c>
      <c r="AE361" s="2" t="s">
        <v>74</v>
      </c>
      <c r="AF361" s="2" t="s">
        <v>74</v>
      </c>
      <c r="AG361" s="2" t="s">
        <v>74</v>
      </c>
      <c r="AH361" s="2" t="s">
        <v>74</v>
      </c>
      <c r="AI361" s="2" t="s">
        <v>74</v>
      </c>
      <c r="AJ361" s="2" t="s">
        <v>74</v>
      </c>
      <c r="AK361" s="2" t="s">
        <v>74</v>
      </c>
      <c r="AL361" s="2" t="s">
        <v>74</v>
      </c>
      <c r="AM361" s="2" t="s">
        <v>74</v>
      </c>
      <c r="AN361" s="2" t="s">
        <v>74</v>
      </c>
      <c r="AO361" s="2" t="s">
        <v>111</v>
      </c>
      <c r="AP361" s="2" t="s">
        <v>112</v>
      </c>
      <c r="AQ361" s="2" t="s">
        <v>74</v>
      </c>
      <c r="AR361" s="2" t="s">
        <v>74</v>
      </c>
      <c r="AS361" s="2" t="s">
        <v>74</v>
      </c>
      <c r="AT361" s="2" t="s">
        <v>1960</v>
      </c>
      <c r="AU361" s="2">
        <v>2008</v>
      </c>
      <c r="AV361" s="2">
        <v>275</v>
      </c>
      <c r="AW361" s="2">
        <v>1634</v>
      </c>
      <c r="AX361" s="2" t="s">
        <v>74</v>
      </c>
      <c r="AY361" s="2" t="s">
        <v>74</v>
      </c>
      <c r="AZ361" s="2" t="s">
        <v>74</v>
      </c>
      <c r="BA361" s="2" t="s">
        <v>74</v>
      </c>
      <c r="BB361" s="2">
        <v>519</v>
      </c>
      <c r="BC361" s="2">
        <v>526</v>
      </c>
      <c r="BD361" s="2" t="s">
        <v>74</v>
      </c>
      <c r="BE361" s="2" t="s">
        <v>1961</v>
      </c>
      <c r="BF361" s="2" t="str">
        <f>HYPERLINK("http://dx.doi.org/10.1098/rspb.2007.1441","http://dx.doi.org/10.1098/rspb.2007.1441")</f>
        <v>http://dx.doi.org/10.1098/rspb.2007.1441</v>
      </c>
      <c r="BG361" s="2" t="s">
        <v>74</v>
      </c>
      <c r="BH361" s="2" t="s">
        <v>74</v>
      </c>
      <c r="BI361" s="2" t="s">
        <v>74</v>
      </c>
      <c r="BJ361" s="2" t="s">
        <v>74</v>
      </c>
      <c r="BK361" s="2" t="s">
        <v>74</v>
      </c>
      <c r="BL361" s="2" t="s">
        <v>74</v>
      </c>
      <c r="BM361" s="2" t="s">
        <v>74</v>
      </c>
      <c r="BN361" s="2">
        <v>18077255</v>
      </c>
      <c r="BO361" s="2" t="s">
        <v>74</v>
      </c>
      <c r="BP361" s="2" t="s">
        <v>74</v>
      </c>
      <c r="BQ361" s="2" t="s">
        <v>74</v>
      </c>
      <c r="BR361" s="2" t="s">
        <v>74</v>
      </c>
      <c r="BS361" s="2" t="s">
        <v>1962</v>
      </c>
      <c r="BT361" s="2" t="str">
        <f>HYPERLINK("https%3A%2F%2Fwww.webofscience.com%2Fwos%2Fwoscc%2Ffull-record%2FWOS:000252764800006","View Full Record in Web of Science")</f>
        <v>View Full Record in Web of Science</v>
      </c>
    </row>
    <row r="362" spans="1:72" s="2" customFormat="1" x14ac:dyDescent="0.4">
      <c r="A362" s="2" t="s">
        <v>72</v>
      </c>
      <c r="B362" s="2" t="s">
        <v>1905</v>
      </c>
      <c r="C362" s="2" t="s">
        <v>74</v>
      </c>
      <c r="D362" s="2" t="s">
        <v>74</v>
      </c>
      <c r="E362" s="2" t="s">
        <v>74</v>
      </c>
      <c r="F362" s="2" t="s">
        <v>1906</v>
      </c>
      <c r="G362" s="2" t="s">
        <v>74</v>
      </c>
      <c r="H362" s="2" t="s">
        <v>74</v>
      </c>
      <c r="I362" s="2" t="s">
        <v>1907</v>
      </c>
      <c r="J362" s="2" t="s">
        <v>509</v>
      </c>
      <c r="K362" s="2" t="s">
        <v>74</v>
      </c>
      <c r="L362" s="2" t="s">
        <v>74</v>
      </c>
      <c r="M362" s="2" t="s">
        <v>74</v>
      </c>
      <c r="N362" s="2" t="s">
        <v>74</v>
      </c>
      <c r="O362" s="2" t="s">
        <v>74</v>
      </c>
      <c r="P362" s="2" t="s">
        <v>74</v>
      </c>
      <c r="Q362" s="2" t="s">
        <v>74</v>
      </c>
      <c r="R362" s="2" t="s">
        <v>74</v>
      </c>
      <c r="S362" s="2" t="s">
        <v>74</v>
      </c>
      <c r="T362" s="2" t="s">
        <v>74</v>
      </c>
      <c r="U362" s="2" t="s">
        <v>74</v>
      </c>
      <c r="V362" s="5" t="s">
        <v>1908</v>
      </c>
      <c r="W362" s="2" t="s">
        <v>74</v>
      </c>
      <c r="X362" s="2" t="s">
        <v>74</v>
      </c>
      <c r="Y362" s="2" t="s">
        <v>74</v>
      </c>
      <c r="Z362" s="2" t="s">
        <v>74</v>
      </c>
      <c r="AA362" s="2" t="s">
        <v>1909</v>
      </c>
      <c r="AB362" s="2" t="s">
        <v>1910</v>
      </c>
      <c r="AC362" s="2" t="s">
        <v>74</v>
      </c>
      <c r="AD362" s="2" t="s">
        <v>74</v>
      </c>
      <c r="AE362" s="2" t="s">
        <v>74</v>
      </c>
      <c r="AF362" s="2" t="s">
        <v>74</v>
      </c>
      <c r="AG362" s="2" t="s">
        <v>74</v>
      </c>
      <c r="AH362" s="2" t="s">
        <v>74</v>
      </c>
      <c r="AI362" s="2" t="s">
        <v>74</v>
      </c>
      <c r="AJ362" s="2" t="s">
        <v>74</v>
      </c>
      <c r="AK362" s="2" t="s">
        <v>74</v>
      </c>
      <c r="AL362" s="2" t="s">
        <v>74</v>
      </c>
      <c r="AM362" s="2" t="s">
        <v>74</v>
      </c>
      <c r="AN362" s="2" t="s">
        <v>74</v>
      </c>
      <c r="AO362" s="2" t="s">
        <v>511</v>
      </c>
      <c r="AP362" s="2" t="s">
        <v>512</v>
      </c>
      <c r="AQ362" s="2" t="s">
        <v>74</v>
      </c>
      <c r="AR362" s="2" t="s">
        <v>74</v>
      </c>
      <c r="AS362" s="2" t="s">
        <v>74</v>
      </c>
      <c r="AT362" s="2" t="s">
        <v>633</v>
      </c>
      <c r="AU362" s="2">
        <v>2012</v>
      </c>
      <c r="AV362" s="2">
        <v>61</v>
      </c>
      <c r="AW362" s="2">
        <v>4</v>
      </c>
      <c r="AX362" s="2" t="s">
        <v>74</v>
      </c>
      <c r="AY362" s="2" t="s">
        <v>74</v>
      </c>
      <c r="AZ362" s="2" t="s">
        <v>74</v>
      </c>
      <c r="BA362" s="2" t="s">
        <v>74</v>
      </c>
      <c r="BB362" s="2">
        <v>518</v>
      </c>
      <c r="BC362" s="2">
        <v>526</v>
      </c>
      <c r="BD362" s="2" t="s">
        <v>74</v>
      </c>
      <c r="BE362" s="2" t="s">
        <v>1911</v>
      </c>
      <c r="BF362" s="2" t="str">
        <f>HYPERLINK("http://dx.doi.org/10.1016/j.yhbeh.2012.01.011","http://dx.doi.org/10.1016/j.yhbeh.2012.01.011")</f>
        <v>http://dx.doi.org/10.1016/j.yhbeh.2012.01.011</v>
      </c>
      <c r="BG362" s="2" t="s">
        <v>74</v>
      </c>
      <c r="BH362" s="2" t="s">
        <v>74</v>
      </c>
      <c r="BI362" s="2" t="s">
        <v>74</v>
      </c>
      <c r="BJ362" s="2" t="s">
        <v>74</v>
      </c>
      <c r="BK362" s="2" t="s">
        <v>74</v>
      </c>
      <c r="BL362" s="2" t="s">
        <v>74</v>
      </c>
      <c r="BM362" s="2" t="s">
        <v>74</v>
      </c>
      <c r="BN362" s="2">
        <v>22289206</v>
      </c>
      <c r="BO362" s="2" t="s">
        <v>74</v>
      </c>
      <c r="BP362" s="2" t="s">
        <v>74</v>
      </c>
      <c r="BQ362" s="2" t="s">
        <v>74</v>
      </c>
      <c r="BR362" s="2" t="s">
        <v>74</v>
      </c>
      <c r="BS362" s="2" t="s">
        <v>1912</v>
      </c>
      <c r="BT362" s="2" t="str">
        <f>HYPERLINK("https%3A%2F%2Fwww.webofscience.com%2Fwos%2Fwoscc%2Ffull-record%2FWOS:000302763700008","View Full Record in Web of Science")</f>
        <v>View Full Record in Web of Science</v>
      </c>
    </row>
    <row r="363" spans="1:72" s="2" customFormat="1" x14ac:dyDescent="0.4">
      <c r="A363" s="2" t="s">
        <v>72</v>
      </c>
      <c r="B363" s="2" t="s">
        <v>8485</v>
      </c>
      <c r="C363" s="2" t="s">
        <v>74</v>
      </c>
      <c r="D363" s="2" t="s">
        <v>74</v>
      </c>
      <c r="E363" s="2" t="s">
        <v>74</v>
      </c>
      <c r="F363" s="2" t="s">
        <v>8485</v>
      </c>
      <c r="G363" s="2" t="s">
        <v>74</v>
      </c>
      <c r="H363" s="2" t="s">
        <v>74</v>
      </c>
      <c r="I363" s="2" t="s">
        <v>8486</v>
      </c>
      <c r="J363" s="2" t="s">
        <v>333</v>
      </c>
      <c r="K363" s="2" t="s">
        <v>74</v>
      </c>
      <c r="L363" s="2" t="s">
        <v>74</v>
      </c>
      <c r="M363" s="2" t="s">
        <v>74</v>
      </c>
      <c r="N363" s="2" t="s">
        <v>74</v>
      </c>
      <c r="O363" s="2" t="s">
        <v>74</v>
      </c>
      <c r="P363" s="2" t="s">
        <v>74</v>
      </c>
      <c r="Q363" s="2" t="s">
        <v>74</v>
      </c>
      <c r="R363" s="2" t="s">
        <v>74</v>
      </c>
      <c r="S363" s="2" t="s">
        <v>74</v>
      </c>
      <c r="T363" s="2" t="s">
        <v>74</v>
      </c>
      <c r="U363" s="2" t="s">
        <v>74</v>
      </c>
      <c r="V363" s="5" t="s">
        <v>8487</v>
      </c>
      <c r="W363" s="2" t="s">
        <v>74</v>
      </c>
      <c r="X363" s="2" t="s">
        <v>74</v>
      </c>
      <c r="Y363" s="2" t="s">
        <v>74</v>
      </c>
      <c r="Z363" s="2" t="s">
        <v>74</v>
      </c>
      <c r="AA363" s="2" t="s">
        <v>8488</v>
      </c>
      <c r="AB363" s="2" t="s">
        <v>8489</v>
      </c>
      <c r="AC363" s="2" t="s">
        <v>74</v>
      </c>
      <c r="AD363" s="2" t="s">
        <v>74</v>
      </c>
      <c r="AE363" s="2" t="s">
        <v>74</v>
      </c>
      <c r="AF363" s="2" t="s">
        <v>74</v>
      </c>
      <c r="AG363" s="2" t="s">
        <v>74</v>
      </c>
      <c r="AH363" s="2" t="s">
        <v>74</v>
      </c>
      <c r="AI363" s="2" t="s">
        <v>74</v>
      </c>
      <c r="AJ363" s="2" t="s">
        <v>74</v>
      </c>
      <c r="AK363" s="2" t="s">
        <v>74</v>
      </c>
      <c r="AL363" s="2" t="s">
        <v>74</v>
      </c>
      <c r="AM363" s="2" t="s">
        <v>74</v>
      </c>
      <c r="AN363" s="2" t="s">
        <v>74</v>
      </c>
      <c r="AO363" s="2" t="s">
        <v>337</v>
      </c>
      <c r="AP363" s="2" t="s">
        <v>338</v>
      </c>
      <c r="AQ363" s="2" t="s">
        <v>74</v>
      </c>
      <c r="AR363" s="2" t="s">
        <v>74</v>
      </c>
      <c r="AS363" s="2" t="s">
        <v>74</v>
      </c>
      <c r="AT363" s="2" t="s">
        <v>213</v>
      </c>
      <c r="AU363" s="2">
        <v>2004</v>
      </c>
      <c r="AV363" s="2">
        <v>15</v>
      </c>
      <c r="AW363" s="2">
        <v>6</v>
      </c>
      <c r="AX363" s="2" t="s">
        <v>74</v>
      </c>
      <c r="AY363" s="2" t="s">
        <v>74</v>
      </c>
      <c r="AZ363" s="2" t="s">
        <v>74</v>
      </c>
      <c r="BA363" s="2" t="s">
        <v>74</v>
      </c>
      <c r="BB363" s="2">
        <v>1023</v>
      </c>
      <c r="BC363" s="2">
        <v>1030</v>
      </c>
      <c r="BD363" s="2" t="s">
        <v>74</v>
      </c>
      <c r="BE363" s="2" t="s">
        <v>8490</v>
      </c>
      <c r="BF363" s="2" t="str">
        <f>HYPERLINK("http://dx.doi.org/10.1093/beheco/arh115","http://dx.doi.org/10.1093/beheco/arh115")</f>
        <v>http://dx.doi.org/10.1093/beheco/arh115</v>
      </c>
      <c r="BG363" s="2" t="s">
        <v>74</v>
      </c>
      <c r="BH363" s="2" t="s">
        <v>74</v>
      </c>
      <c r="BI363" s="2" t="s">
        <v>74</v>
      </c>
      <c r="BJ363" s="2" t="s">
        <v>74</v>
      </c>
      <c r="BK363" s="2" t="s">
        <v>74</v>
      </c>
      <c r="BL363" s="2" t="s">
        <v>74</v>
      </c>
      <c r="BM363" s="2" t="s">
        <v>74</v>
      </c>
      <c r="BN363" s="2" t="s">
        <v>74</v>
      </c>
      <c r="BO363" s="2" t="s">
        <v>74</v>
      </c>
      <c r="BP363" s="2" t="s">
        <v>74</v>
      </c>
      <c r="BQ363" s="2" t="s">
        <v>74</v>
      </c>
      <c r="BR363" s="2" t="s">
        <v>74</v>
      </c>
      <c r="BS363" s="2" t="s">
        <v>8491</v>
      </c>
      <c r="BT363" s="2" t="str">
        <f>HYPERLINK("https%3A%2F%2Fwww.webofscience.com%2Fwos%2Fwoscc%2Ffull-record%2FWOS:000224482000019","View Full Record in Web of Science")</f>
        <v>View Full Record in Web of Science</v>
      </c>
    </row>
    <row r="364" spans="1:72" s="2" customFormat="1" x14ac:dyDescent="0.4">
      <c r="A364" s="2" t="s">
        <v>72</v>
      </c>
      <c r="B364" s="2" t="s">
        <v>7007</v>
      </c>
      <c r="C364" s="2" t="s">
        <v>74</v>
      </c>
      <c r="D364" s="2" t="s">
        <v>74</v>
      </c>
      <c r="E364" s="2" t="s">
        <v>74</v>
      </c>
      <c r="F364" s="2" t="s">
        <v>7007</v>
      </c>
      <c r="G364" s="2" t="s">
        <v>74</v>
      </c>
      <c r="H364" s="2" t="s">
        <v>74</v>
      </c>
      <c r="I364" s="2" t="s">
        <v>7008</v>
      </c>
      <c r="J364" s="2" t="s">
        <v>7009</v>
      </c>
      <c r="K364" s="2" t="s">
        <v>74</v>
      </c>
      <c r="L364" s="2" t="s">
        <v>74</v>
      </c>
      <c r="M364" s="2" t="s">
        <v>74</v>
      </c>
      <c r="N364" s="2" t="s">
        <v>74</v>
      </c>
      <c r="O364" s="2" t="s">
        <v>74</v>
      </c>
      <c r="P364" s="2" t="s">
        <v>74</v>
      </c>
      <c r="Q364" s="2" t="s">
        <v>74</v>
      </c>
      <c r="R364" s="2" t="s">
        <v>74</v>
      </c>
      <c r="S364" s="2" t="s">
        <v>74</v>
      </c>
      <c r="T364" s="2" t="s">
        <v>74</v>
      </c>
      <c r="U364" s="2" t="s">
        <v>74</v>
      </c>
      <c r="V364" s="5" t="s">
        <v>7010</v>
      </c>
      <c r="W364" s="2" t="s">
        <v>74</v>
      </c>
      <c r="X364" s="2" t="s">
        <v>74</v>
      </c>
      <c r="Y364" s="2" t="s">
        <v>74</v>
      </c>
      <c r="Z364" s="2" t="s">
        <v>74</v>
      </c>
      <c r="AA364" s="2" t="s">
        <v>74</v>
      </c>
      <c r="AB364" s="2" t="s">
        <v>74</v>
      </c>
      <c r="AC364" s="2" t="s">
        <v>74</v>
      </c>
      <c r="AD364" s="2" t="s">
        <v>74</v>
      </c>
      <c r="AE364" s="2" t="s">
        <v>74</v>
      </c>
      <c r="AF364" s="2" t="s">
        <v>74</v>
      </c>
      <c r="AG364" s="2" t="s">
        <v>74</v>
      </c>
      <c r="AH364" s="2" t="s">
        <v>74</v>
      </c>
      <c r="AI364" s="2" t="s">
        <v>74</v>
      </c>
      <c r="AJ364" s="2" t="s">
        <v>74</v>
      </c>
      <c r="AK364" s="2" t="s">
        <v>74</v>
      </c>
      <c r="AL364" s="2" t="s">
        <v>74</v>
      </c>
      <c r="AM364" s="2" t="s">
        <v>74</v>
      </c>
      <c r="AN364" s="2" t="s">
        <v>74</v>
      </c>
      <c r="AO364" s="2" t="s">
        <v>7011</v>
      </c>
      <c r="AP364" s="2" t="s">
        <v>74</v>
      </c>
      <c r="AQ364" s="2" t="s">
        <v>74</v>
      </c>
      <c r="AR364" s="2" t="s">
        <v>74</v>
      </c>
      <c r="AS364" s="2" t="s">
        <v>74</v>
      </c>
      <c r="AT364" s="2" t="s">
        <v>964</v>
      </c>
      <c r="AU364" s="2">
        <v>1998</v>
      </c>
      <c r="AV364" s="2">
        <v>33</v>
      </c>
      <c r="AW364" s="2">
        <v>1</v>
      </c>
      <c r="AX364" s="2" t="s">
        <v>74</v>
      </c>
      <c r="AY364" s="2" t="s">
        <v>74</v>
      </c>
      <c r="AZ364" s="2" t="s">
        <v>74</v>
      </c>
      <c r="BA364" s="2" t="s">
        <v>74</v>
      </c>
      <c r="BB364" s="2">
        <v>73</v>
      </c>
      <c r="BC364" s="2">
        <v>80</v>
      </c>
      <c r="BD364" s="2" t="s">
        <v>74</v>
      </c>
      <c r="BE364" s="2" t="s">
        <v>7012</v>
      </c>
      <c r="BF364" s="2" t="str">
        <f>HYPERLINK("http://dx.doi.org/10.1017/S0967026298001607","http://dx.doi.org/10.1017/S0967026298001607")</f>
        <v>http://dx.doi.org/10.1017/S0967026298001607</v>
      </c>
      <c r="BG364" s="2" t="s">
        <v>74</v>
      </c>
      <c r="BH364" s="2" t="s">
        <v>74</v>
      </c>
      <c r="BI364" s="2" t="s">
        <v>74</v>
      </c>
      <c r="BJ364" s="2" t="s">
        <v>74</v>
      </c>
      <c r="BK364" s="2" t="s">
        <v>74</v>
      </c>
      <c r="BL364" s="2" t="s">
        <v>74</v>
      </c>
      <c r="BM364" s="2" t="s">
        <v>74</v>
      </c>
      <c r="BN364" s="2" t="s">
        <v>74</v>
      </c>
      <c r="BO364" s="2" t="s">
        <v>74</v>
      </c>
      <c r="BP364" s="2" t="s">
        <v>74</v>
      </c>
      <c r="BQ364" s="2" t="s">
        <v>74</v>
      </c>
      <c r="BR364" s="2" t="s">
        <v>74</v>
      </c>
      <c r="BS364" s="2" t="s">
        <v>7013</v>
      </c>
      <c r="BT364" s="2" t="str">
        <f>HYPERLINK("https%3A%2F%2Fwww.webofscience.com%2Fwos%2Fwoscc%2Ffull-record%2FWOS:000073192900008","View Full Record in Web of Science")</f>
        <v>View Full Record in Web of Science</v>
      </c>
    </row>
    <row r="365" spans="1:72" s="2" customFormat="1" x14ac:dyDescent="0.4">
      <c r="A365" s="2" t="s">
        <v>72</v>
      </c>
      <c r="B365" s="2" t="s">
        <v>6643</v>
      </c>
      <c r="C365" s="2" t="s">
        <v>74</v>
      </c>
      <c r="D365" s="2" t="s">
        <v>74</v>
      </c>
      <c r="E365" s="2" t="s">
        <v>74</v>
      </c>
      <c r="F365" s="2" t="s">
        <v>6644</v>
      </c>
      <c r="G365" s="2" t="s">
        <v>74</v>
      </c>
      <c r="H365" s="2" t="s">
        <v>74</v>
      </c>
      <c r="I365" s="2" t="s">
        <v>6645</v>
      </c>
      <c r="J365" s="2" t="s">
        <v>171</v>
      </c>
      <c r="K365" s="2" t="s">
        <v>74</v>
      </c>
      <c r="L365" s="2" t="s">
        <v>74</v>
      </c>
      <c r="M365" s="2" t="s">
        <v>74</v>
      </c>
      <c r="N365" s="2" t="s">
        <v>74</v>
      </c>
      <c r="O365" s="2" t="s">
        <v>74</v>
      </c>
      <c r="P365" s="2" t="s">
        <v>74</v>
      </c>
      <c r="Q365" s="2" t="s">
        <v>74</v>
      </c>
      <c r="R365" s="2" t="s">
        <v>74</v>
      </c>
      <c r="S365" s="2" t="s">
        <v>74</v>
      </c>
      <c r="T365" s="2" t="s">
        <v>74</v>
      </c>
      <c r="U365" s="2" t="s">
        <v>74</v>
      </c>
      <c r="V365" s="5" t="s">
        <v>6646</v>
      </c>
      <c r="W365" s="2" t="s">
        <v>74</v>
      </c>
      <c r="X365" s="2" t="s">
        <v>74</v>
      </c>
      <c r="Y365" s="2" t="s">
        <v>74</v>
      </c>
      <c r="Z365" s="2" t="s">
        <v>74</v>
      </c>
      <c r="AA365" s="2" t="s">
        <v>74</v>
      </c>
      <c r="AB365" s="2" t="s">
        <v>6647</v>
      </c>
      <c r="AC365" s="2" t="s">
        <v>74</v>
      </c>
      <c r="AD365" s="2" t="s">
        <v>74</v>
      </c>
      <c r="AE365" s="2" t="s">
        <v>74</v>
      </c>
      <c r="AF365" s="2" t="s">
        <v>74</v>
      </c>
      <c r="AG365" s="2" t="s">
        <v>74</v>
      </c>
      <c r="AH365" s="2" t="s">
        <v>74</v>
      </c>
      <c r="AI365" s="2" t="s">
        <v>74</v>
      </c>
      <c r="AJ365" s="2" t="s">
        <v>74</v>
      </c>
      <c r="AK365" s="2" t="s">
        <v>74</v>
      </c>
      <c r="AL365" s="2" t="s">
        <v>74</v>
      </c>
      <c r="AM365" s="2" t="s">
        <v>74</v>
      </c>
      <c r="AN365" s="2" t="s">
        <v>74</v>
      </c>
      <c r="AO365" s="2" t="s">
        <v>173</v>
      </c>
      <c r="AP365" s="2" t="s">
        <v>174</v>
      </c>
      <c r="AQ365" s="2" t="s">
        <v>74</v>
      </c>
      <c r="AR365" s="2" t="s">
        <v>74</v>
      </c>
      <c r="AS365" s="2" t="s">
        <v>74</v>
      </c>
      <c r="AT365" s="2" t="s">
        <v>6648</v>
      </c>
      <c r="AU365" s="2">
        <v>2023</v>
      </c>
      <c r="AV365" s="2">
        <v>77</v>
      </c>
      <c r="AW365" s="2">
        <v>10</v>
      </c>
      <c r="AX365" s="2" t="s">
        <v>74</v>
      </c>
      <c r="AY365" s="2" t="s">
        <v>74</v>
      </c>
      <c r="AZ365" s="2" t="s">
        <v>74</v>
      </c>
      <c r="BA365" s="2" t="s">
        <v>74</v>
      </c>
      <c r="BB365" s="2">
        <v>2224</v>
      </c>
      <c r="BC365" s="2">
        <v>2233</v>
      </c>
      <c r="BD365" s="2" t="s">
        <v>74</v>
      </c>
      <c r="BE365" s="2" t="s">
        <v>6649</v>
      </c>
      <c r="BF365" s="2" t="str">
        <f>HYPERLINK("http://dx.doi.org/10.1093/evolut/qpad134","http://dx.doi.org/10.1093/evolut/qpad134")</f>
        <v>http://dx.doi.org/10.1093/evolut/qpad134</v>
      </c>
      <c r="BG365" s="2" t="s">
        <v>74</v>
      </c>
      <c r="BH365" s="2" t="s">
        <v>2726</v>
      </c>
      <c r="BI365" s="2" t="s">
        <v>74</v>
      </c>
      <c r="BJ365" s="2" t="s">
        <v>74</v>
      </c>
      <c r="BK365" s="2" t="s">
        <v>74</v>
      </c>
      <c r="BL365" s="2" t="s">
        <v>74</v>
      </c>
      <c r="BM365" s="2" t="s">
        <v>74</v>
      </c>
      <c r="BN365" s="2">
        <v>37482374</v>
      </c>
      <c r="BO365" s="2" t="s">
        <v>74</v>
      </c>
      <c r="BP365" s="2" t="s">
        <v>74</v>
      </c>
      <c r="BQ365" s="2" t="s">
        <v>74</v>
      </c>
      <c r="BR365" s="2" t="s">
        <v>74</v>
      </c>
      <c r="BS365" s="2" t="s">
        <v>6650</v>
      </c>
      <c r="BT365" s="2" t="str">
        <f>HYPERLINK("https%3A%2F%2Fwww.webofscience.com%2Fwos%2Fwoscc%2Ffull-record%2FWOS:001050661400001","View Full Record in Web of Science")</f>
        <v>View Full Record in Web of Science</v>
      </c>
    </row>
    <row r="366" spans="1:72" s="2" customFormat="1" x14ac:dyDescent="0.4">
      <c r="A366" s="2" t="s">
        <v>72</v>
      </c>
      <c r="B366" s="2" t="s">
        <v>5331</v>
      </c>
      <c r="C366" s="2" t="s">
        <v>74</v>
      </c>
      <c r="D366" s="2" t="s">
        <v>74</v>
      </c>
      <c r="E366" s="2" t="s">
        <v>74</v>
      </c>
      <c r="F366" s="2" t="s">
        <v>5331</v>
      </c>
      <c r="G366" s="2" t="s">
        <v>74</v>
      </c>
      <c r="H366" s="2" t="s">
        <v>74</v>
      </c>
      <c r="I366" s="2" t="s">
        <v>5332</v>
      </c>
      <c r="J366" s="2" t="s">
        <v>5333</v>
      </c>
      <c r="K366" s="2" t="s">
        <v>74</v>
      </c>
      <c r="L366" s="2" t="s">
        <v>74</v>
      </c>
      <c r="M366" s="2" t="s">
        <v>74</v>
      </c>
      <c r="N366" s="2" t="s">
        <v>74</v>
      </c>
      <c r="O366" s="2" t="s">
        <v>74</v>
      </c>
      <c r="P366" s="2" t="s">
        <v>74</v>
      </c>
      <c r="Q366" s="2" t="s">
        <v>74</v>
      </c>
      <c r="R366" s="2" t="s">
        <v>74</v>
      </c>
      <c r="S366" s="2" t="s">
        <v>74</v>
      </c>
      <c r="T366" s="2" t="s">
        <v>74</v>
      </c>
      <c r="U366" s="2" t="s">
        <v>74</v>
      </c>
      <c r="V366" s="5" t="s">
        <v>5334</v>
      </c>
      <c r="W366" s="2" t="s">
        <v>74</v>
      </c>
      <c r="X366" s="2" t="s">
        <v>74</v>
      </c>
      <c r="Y366" s="2" t="s">
        <v>74</v>
      </c>
      <c r="Z366" s="2" t="s">
        <v>74</v>
      </c>
      <c r="AA366" s="2" t="s">
        <v>74</v>
      </c>
      <c r="AB366" s="2" t="s">
        <v>74</v>
      </c>
      <c r="AC366" s="2" t="s">
        <v>74</v>
      </c>
      <c r="AD366" s="2" t="s">
        <v>74</v>
      </c>
      <c r="AE366" s="2" t="s">
        <v>74</v>
      </c>
      <c r="AF366" s="2" t="s">
        <v>74</v>
      </c>
      <c r="AG366" s="2" t="s">
        <v>74</v>
      </c>
      <c r="AH366" s="2" t="s">
        <v>74</v>
      </c>
      <c r="AI366" s="2" t="s">
        <v>74</v>
      </c>
      <c r="AJ366" s="2" t="s">
        <v>74</v>
      </c>
      <c r="AK366" s="2" t="s">
        <v>74</v>
      </c>
      <c r="AL366" s="2" t="s">
        <v>74</v>
      </c>
      <c r="AM366" s="2" t="s">
        <v>74</v>
      </c>
      <c r="AN366" s="2" t="s">
        <v>74</v>
      </c>
      <c r="AO366" s="2" t="s">
        <v>5335</v>
      </c>
      <c r="AP366" s="2" t="s">
        <v>74</v>
      </c>
      <c r="AQ366" s="2" t="s">
        <v>74</v>
      </c>
      <c r="AR366" s="2" t="s">
        <v>74</v>
      </c>
      <c r="AS366" s="2" t="s">
        <v>74</v>
      </c>
      <c r="AT366" s="2" t="s">
        <v>74</v>
      </c>
      <c r="AU366" s="2">
        <v>1981</v>
      </c>
      <c r="AV366" s="2">
        <v>46</v>
      </c>
      <c r="AW366" s="2">
        <v>3</v>
      </c>
      <c r="AX366" s="2" t="s">
        <v>74</v>
      </c>
      <c r="AY366" s="2" t="s">
        <v>74</v>
      </c>
      <c r="AZ366" s="2" t="s">
        <v>74</v>
      </c>
      <c r="BA366" s="2" t="s">
        <v>74</v>
      </c>
      <c r="BB366" s="2">
        <v>151</v>
      </c>
      <c r="BC366" s="2">
        <v>161</v>
      </c>
      <c r="BD366" s="2" t="s">
        <v>74</v>
      </c>
      <c r="BE366" s="2" t="s">
        <v>74</v>
      </c>
      <c r="BF366" s="2" t="s">
        <v>74</v>
      </c>
      <c r="BG366" s="2" t="s">
        <v>74</v>
      </c>
      <c r="BH366" s="2" t="s">
        <v>74</v>
      </c>
      <c r="BI366" s="2" t="s">
        <v>74</v>
      </c>
      <c r="BJ366" s="2" t="s">
        <v>74</v>
      </c>
      <c r="BK366" s="2" t="s">
        <v>74</v>
      </c>
      <c r="BL366" s="2" t="s">
        <v>74</v>
      </c>
      <c r="BM366" s="2" t="s">
        <v>74</v>
      </c>
      <c r="BN366" s="2" t="s">
        <v>74</v>
      </c>
      <c r="BO366" s="2" t="s">
        <v>74</v>
      </c>
      <c r="BP366" s="2" t="s">
        <v>74</v>
      </c>
      <c r="BQ366" s="2" t="s">
        <v>74</v>
      </c>
      <c r="BR366" s="2" t="s">
        <v>74</v>
      </c>
      <c r="BS366" s="2" t="s">
        <v>5336</v>
      </c>
      <c r="BT366" s="2" t="str">
        <f>HYPERLINK("https%3A%2F%2Fwww.webofscience.com%2Fwos%2Fwoscc%2Ffull-record%2FWOS:A1981LX86400004","View Full Record in Web of Science")</f>
        <v>View Full Record in Web of Science</v>
      </c>
    </row>
    <row r="367" spans="1:72" s="2" customFormat="1" x14ac:dyDescent="0.4">
      <c r="A367" s="2" t="s">
        <v>72</v>
      </c>
      <c r="B367" s="2" t="s">
        <v>3439</v>
      </c>
      <c r="C367" s="2" t="s">
        <v>74</v>
      </c>
      <c r="D367" s="2" t="s">
        <v>74</v>
      </c>
      <c r="E367" s="2" t="s">
        <v>74</v>
      </c>
      <c r="F367" s="2" t="s">
        <v>3440</v>
      </c>
      <c r="G367" s="2" t="s">
        <v>74</v>
      </c>
      <c r="H367" s="2" t="s">
        <v>74</v>
      </c>
      <c r="I367" s="2" t="s">
        <v>3441</v>
      </c>
      <c r="J367" s="2" t="s">
        <v>763</v>
      </c>
      <c r="K367" s="2" t="s">
        <v>74</v>
      </c>
      <c r="L367" s="2" t="s">
        <v>74</v>
      </c>
      <c r="M367" s="2" t="s">
        <v>74</v>
      </c>
      <c r="N367" s="2" t="s">
        <v>74</v>
      </c>
      <c r="O367" s="2" t="s">
        <v>74</v>
      </c>
      <c r="P367" s="2" t="s">
        <v>74</v>
      </c>
      <c r="Q367" s="2" t="s">
        <v>74</v>
      </c>
      <c r="R367" s="2" t="s">
        <v>74</v>
      </c>
      <c r="S367" s="2" t="s">
        <v>74</v>
      </c>
      <c r="T367" s="2" t="s">
        <v>74</v>
      </c>
      <c r="U367" s="2" t="s">
        <v>74</v>
      </c>
      <c r="V367" s="5" t="s">
        <v>3442</v>
      </c>
      <c r="W367" s="2" t="s">
        <v>74</v>
      </c>
      <c r="X367" s="2" t="s">
        <v>74</v>
      </c>
      <c r="Y367" s="2" t="s">
        <v>74</v>
      </c>
      <c r="Z367" s="2" t="s">
        <v>74</v>
      </c>
      <c r="AA367" s="2" t="s">
        <v>3443</v>
      </c>
      <c r="AB367" s="2" t="s">
        <v>3444</v>
      </c>
      <c r="AC367" s="2" t="s">
        <v>74</v>
      </c>
      <c r="AD367" s="2" t="s">
        <v>74</v>
      </c>
      <c r="AE367" s="2" t="s">
        <v>74</v>
      </c>
      <c r="AF367" s="2" t="s">
        <v>74</v>
      </c>
      <c r="AG367" s="2" t="s">
        <v>74</v>
      </c>
      <c r="AH367" s="2" t="s">
        <v>74</v>
      </c>
      <c r="AI367" s="2" t="s">
        <v>74</v>
      </c>
      <c r="AJ367" s="2" t="s">
        <v>74</v>
      </c>
      <c r="AK367" s="2" t="s">
        <v>74</v>
      </c>
      <c r="AL367" s="2" t="s">
        <v>74</v>
      </c>
      <c r="AM367" s="2" t="s">
        <v>74</v>
      </c>
      <c r="AN367" s="2" t="s">
        <v>74</v>
      </c>
      <c r="AO367" s="2" t="s">
        <v>767</v>
      </c>
      <c r="AP367" s="2" t="s">
        <v>768</v>
      </c>
      <c r="AQ367" s="2" t="s">
        <v>74</v>
      </c>
      <c r="AR367" s="2" t="s">
        <v>74</v>
      </c>
      <c r="AS367" s="2" t="s">
        <v>74</v>
      </c>
      <c r="AT367" s="2" t="s">
        <v>3445</v>
      </c>
      <c r="AU367" s="2">
        <v>2016</v>
      </c>
      <c r="AV367" s="2">
        <v>219</v>
      </c>
      <c r="AW367" s="2">
        <v>18</v>
      </c>
      <c r="AX367" s="2" t="s">
        <v>74</v>
      </c>
      <c r="AY367" s="2" t="s">
        <v>74</v>
      </c>
      <c r="AZ367" s="2" t="s">
        <v>74</v>
      </c>
      <c r="BA367" s="2" t="s">
        <v>74</v>
      </c>
      <c r="BB367" s="2">
        <v>2837</v>
      </c>
      <c r="BC367" s="2">
        <v>2843</v>
      </c>
      <c r="BD367" s="2" t="s">
        <v>74</v>
      </c>
      <c r="BE367" s="2" t="s">
        <v>3446</v>
      </c>
      <c r="BF367" s="2" t="str">
        <f>HYPERLINK("http://dx.doi.org/10.1242/jeb.137885","http://dx.doi.org/10.1242/jeb.137885")</f>
        <v>http://dx.doi.org/10.1242/jeb.137885</v>
      </c>
      <c r="BG367" s="2" t="s">
        <v>74</v>
      </c>
      <c r="BH367" s="2" t="s">
        <v>74</v>
      </c>
      <c r="BI367" s="2" t="s">
        <v>74</v>
      </c>
      <c r="BJ367" s="2" t="s">
        <v>74</v>
      </c>
      <c r="BK367" s="2" t="s">
        <v>74</v>
      </c>
      <c r="BL367" s="2" t="s">
        <v>74</v>
      </c>
      <c r="BM367" s="2" t="s">
        <v>74</v>
      </c>
      <c r="BN367" s="2">
        <v>27401761</v>
      </c>
      <c r="BO367" s="2" t="s">
        <v>74</v>
      </c>
      <c r="BP367" s="2" t="s">
        <v>74</v>
      </c>
      <c r="BQ367" s="2" t="s">
        <v>74</v>
      </c>
      <c r="BR367" s="2" t="s">
        <v>74</v>
      </c>
      <c r="BS367" s="2" t="s">
        <v>3447</v>
      </c>
      <c r="BT367" s="2" t="str">
        <f>HYPERLINK("https%3A%2F%2Fwww.webofscience.com%2Fwos%2Fwoscc%2Ffull-record%2FWOS:000384250600015","View Full Record in Web of Science")</f>
        <v>View Full Record in Web of Science</v>
      </c>
    </row>
    <row r="368" spans="1:72" s="2" customFormat="1" x14ac:dyDescent="0.4">
      <c r="A368" s="2" t="s">
        <v>72</v>
      </c>
      <c r="B368" s="2" t="s">
        <v>8591</v>
      </c>
      <c r="C368" s="2" t="s">
        <v>74</v>
      </c>
      <c r="D368" s="2" t="s">
        <v>74</v>
      </c>
      <c r="E368" s="2" t="s">
        <v>74</v>
      </c>
      <c r="F368" s="2" t="s">
        <v>8591</v>
      </c>
      <c r="G368" s="2" t="s">
        <v>74</v>
      </c>
      <c r="H368" s="2" t="s">
        <v>74</v>
      </c>
      <c r="I368" s="2" t="s">
        <v>8592</v>
      </c>
      <c r="J368" s="2" t="s">
        <v>8067</v>
      </c>
      <c r="K368" s="2" t="s">
        <v>74</v>
      </c>
      <c r="L368" s="2" t="s">
        <v>74</v>
      </c>
      <c r="M368" s="2" t="s">
        <v>74</v>
      </c>
      <c r="N368" s="2" t="s">
        <v>74</v>
      </c>
      <c r="O368" s="2" t="s">
        <v>74</v>
      </c>
      <c r="P368" s="2" t="s">
        <v>74</v>
      </c>
      <c r="Q368" s="2" t="s">
        <v>74</v>
      </c>
      <c r="R368" s="2" t="s">
        <v>74</v>
      </c>
      <c r="S368" s="2" t="s">
        <v>74</v>
      </c>
      <c r="T368" s="2" t="s">
        <v>74</v>
      </c>
      <c r="U368" s="2" t="s">
        <v>74</v>
      </c>
      <c r="V368" s="5" t="s">
        <v>8593</v>
      </c>
      <c r="W368" s="2" t="s">
        <v>74</v>
      </c>
      <c r="X368" s="2" t="s">
        <v>74</v>
      </c>
      <c r="Y368" s="2" t="s">
        <v>74</v>
      </c>
      <c r="Z368" s="2" t="s">
        <v>74</v>
      </c>
      <c r="AA368" s="2" t="s">
        <v>8594</v>
      </c>
      <c r="AB368" s="2" t="s">
        <v>8595</v>
      </c>
      <c r="AC368" s="2" t="s">
        <v>74</v>
      </c>
      <c r="AD368" s="2" t="s">
        <v>74</v>
      </c>
      <c r="AE368" s="2" t="s">
        <v>74</v>
      </c>
      <c r="AF368" s="2" t="s">
        <v>74</v>
      </c>
      <c r="AG368" s="2" t="s">
        <v>74</v>
      </c>
      <c r="AH368" s="2" t="s">
        <v>74</v>
      </c>
      <c r="AI368" s="2" t="s">
        <v>74</v>
      </c>
      <c r="AJ368" s="2" t="s">
        <v>74</v>
      </c>
      <c r="AK368" s="2" t="s">
        <v>74</v>
      </c>
      <c r="AL368" s="2" t="s">
        <v>74</v>
      </c>
      <c r="AM368" s="2" t="s">
        <v>74</v>
      </c>
      <c r="AN368" s="2" t="s">
        <v>74</v>
      </c>
      <c r="AO368" s="2" t="s">
        <v>8071</v>
      </c>
      <c r="AP368" s="2" t="s">
        <v>74</v>
      </c>
      <c r="AQ368" s="2" t="s">
        <v>74</v>
      </c>
      <c r="AR368" s="2" t="s">
        <v>74</v>
      </c>
      <c r="AS368" s="2" t="s">
        <v>74</v>
      </c>
      <c r="AT368" s="2" t="s">
        <v>305</v>
      </c>
      <c r="AU368" s="2">
        <v>1995</v>
      </c>
      <c r="AV368" s="2">
        <v>189</v>
      </c>
      <c r="AW368" s="2">
        <v>3</v>
      </c>
      <c r="AX368" s="2" t="s">
        <v>74</v>
      </c>
      <c r="AY368" s="2" t="s">
        <v>74</v>
      </c>
      <c r="AZ368" s="2" t="s">
        <v>74</v>
      </c>
      <c r="BA368" s="2" t="s">
        <v>74</v>
      </c>
      <c r="BB368" s="2">
        <v>288</v>
      </c>
      <c r="BC368" s="2">
        <v>297</v>
      </c>
      <c r="BD368" s="2" t="s">
        <v>74</v>
      </c>
      <c r="BE368" s="2" t="s">
        <v>8596</v>
      </c>
      <c r="BF368" s="2" t="str">
        <f>HYPERLINK("http://dx.doi.org/10.2307/1542146","http://dx.doi.org/10.2307/1542146")</f>
        <v>http://dx.doi.org/10.2307/1542146</v>
      </c>
      <c r="BG368" s="2" t="s">
        <v>74</v>
      </c>
      <c r="BH368" s="2" t="s">
        <v>74</v>
      </c>
      <c r="BI368" s="2" t="s">
        <v>74</v>
      </c>
      <c r="BJ368" s="2" t="s">
        <v>74</v>
      </c>
      <c r="BK368" s="2" t="s">
        <v>74</v>
      </c>
      <c r="BL368" s="2" t="s">
        <v>74</v>
      </c>
      <c r="BM368" s="2" t="s">
        <v>74</v>
      </c>
      <c r="BN368" s="2">
        <v>29244570</v>
      </c>
      <c r="BO368" s="2" t="s">
        <v>74</v>
      </c>
      <c r="BP368" s="2" t="s">
        <v>74</v>
      </c>
      <c r="BQ368" s="2" t="s">
        <v>74</v>
      </c>
      <c r="BR368" s="2" t="s">
        <v>74</v>
      </c>
      <c r="BS368" s="2" t="s">
        <v>8597</v>
      </c>
      <c r="BT368" s="2" t="str">
        <f>HYPERLINK("https%3A%2F%2Fwww.webofscience.com%2Fwos%2Fwoscc%2Ffull-record%2FWOS:A1995TL76800004","View Full Record in Web of Science")</f>
        <v>View Full Record in Web of Science</v>
      </c>
    </row>
    <row r="369" spans="1:72" s="2" customFormat="1" x14ac:dyDescent="0.4">
      <c r="A369" s="2" t="s">
        <v>72</v>
      </c>
      <c r="B369" s="2" t="s">
        <v>6529</v>
      </c>
      <c r="C369" s="2" t="s">
        <v>74</v>
      </c>
      <c r="D369" s="2" t="s">
        <v>74</v>
      </c>
      <c r="E369" s="2" t="s">
        <v>74</v>
      </c>
      <c r="F369" s="2" t="s">
        <v>6530</v>
      </c>
      <c r="G369" s="2" t="s">
        <v>74</v>
      </c>
      <c r="H369" s="2" t="s">
        <v>74</v>
      </c>
      <c r="I369" s="2" t="s">
        <v>6531</v>
      </c>
      <c r="J369" s="2" t="s">
        <v>1302</v>
      </c>
      <c r="K369" s="2" t="s">
        <v>74</v>
      </c>
      <c r="L369" s="2" t="s">
        <v>74</v>
      </c>
      <c r="M369" s="2" t="s">
        <v>74</v>
      </c>
      <c r="N369" s="2" t="s">
        <v>74</v>
      </c>
      <c r="O369" s="2" t="s">
        <v>74</v>
      </c>
      <c r="P369" s="2" t="s">
        <v>74</v>
      </c>
      <c r="Q369" s="2" t="s">
        <v>74</v>
      </c>
      <c r="R369" s="2" t="s">
        <v>74</v>
      </c>
      <c r="S369" s="2" t="s">
        <v>74</v>
      </c>
      <c r="T369" s="2" t="s">
        <v>74</v>
      </c>
      <c r="U369" s="2" t="s">
        <v>74</v>
      </c>
      <c r="V369" s="5" t="s">
        <v>6532</v>
      </c>
      <c r="W369" s="2" t="s">
        <v>74</v>
      </c>
      <c r="X369" s="2" t="s">
        <v>74</v>
      </c>
      <c r="Y369" s="2" t="s">
        <v>74</v>
      </c>
      <c r="Z369" s="2" t="s">
        <v>74</v>
      </c>
      <c r="AA369" s="2" t="s">
        <v>74</v>
      </c>
      <c r="AB369" s="2" t="s">
        <v>6533</v>
      </c>
      <c r="AC369" s="2" t="s">
        <v>74</v>
      </c>
      <c r="AD369" s="2" t="s">
        <v>74</v>
      </c>
      <c r="AE369" s="2" t="s">
        <v>74</v>
      </c>
      <c r="AF369" s="2" t="s">
        <v>74</v>
      </c>
      <c r="AG369" s="2" t="s">
        <v>74</v>
      </c>
      <c r="AH369" s="2" t="s">
        <v>74</v>
      </c>
      <c r="AI369" s="2" t="s">
        <v>74</v>
      </c>
      <c r="AJ369" s="2" t="s">
        <v>74</v>
      </c>
      <c r="AK369" s="2" t="s">
        <v>74</v>
      </c>
      <c r="AL369" s="2" t="s">
        <v>74</v>
      </c>
      <c r="AM369" s="2" t="s">
        <v>74</v>
      </c>
      <c r="AN369" s="2" t="s">
        <v>74</v>
      </c>
      <c r="AO369" s="2" t="s">
        <v>1306</v>
      </c>
      <c r="AP369" s="2" t="s">
        <v>74</v>
      </c>
      <c r="AQ369" s="2" t="s">
        <v>74</v>
      </c>
      <c r="AR369" s="2" t="s">
        <v>74</v>
      </c>
      <c r="AS369" s="2" t="s">
        <v>74</v>
      </c>
      <c r="AT369" s="2" t="s">
        <v>74</v>
      </c>
      <c r="AU369" s="2">
        <v>2022</v>
      </c>
      <c r="AV369" s="2">
        <v>20</v>
      </c>
      <c r="AW369" s="2">
        <v>4</v>
      </c>
      <c r="AX369" s="2" t="s">
        <v>74</v>
      </c>
      <c r="AY369" s="2" t="s">
        <v>74</v>
      </c>
      <c r="AZ369" s="2" t="s">
        <v>74</v>
      </c>
      <c r="BA369" s="2" t="s">
        <v>74</v>
      </c>
      <c r="BB369" s="2" t="s">
        <v>74</v>
      </c>
      <c r="BC369" s="2" t="s">
        <v>74</v>
      </c>
      <c r="BD369" s="2" t="s">
        <v>6534</v>
      </c>
      <c r="BE369" s="2" t="s">
        <v>6535</v>
      </c>
      <c r="BF369" s="2" t="str">
        <f>HYPERLINK("http://dx.doi.org/10.1590/1982-0224-2022-0067","http://dx.doi.org/10.1590/1982-0224-2022-0067")</f>
        <v>http://dx.doi.org/10.1590/1982-0224-2022-0067</v>
      </c>
      <c r="BG369" s="2" t="s">
        <v>74</v>
      </c>
      <c r="BH369" s="2" t="s">
        <v>74</v>
      </c>
      <c r="BI369" s="2" t="s">
        <v>74</v>
      </c>
      <c r="BJ369" s="2" t="s">
        <v>74</v>
      </c>
      <c r="BK369" s="2" t="s">
        <v>74</v>
      </c>
      <c r="BL369" s="2" t="s">
        <v>74</v>
      </c>
      <c r="BM369" s="2" t="s">
        <v>74</v>
      </c>
      <c r="BN369" s="2" t="s">
        <v>74</v>
      </c>
      <c r="BO369" s="2" t="s">
        <v>74</v>
      </c>
      <c r="BP369" s="2" t="s">
        <v>74</v>
      </c>
      <c r="BQ369" s="2" t="s">
        <v>74</v>
      </c>
      <c r="BR369" s="2" t="s">
        <v>74</v>
      </c>
      <c r="BS369" s="2" t="s">
        <v>6536</v>
      </c>
      <c r="BT369" s="2" t="str">
        <f>HYPERLINK("https%3A%2F%2Fwww.webofscience.com%2Fwos%2Fwoscc%2Ffull-record%2FWOS:000889065500001","View Full Record in Web of Science")</f>
        <v>View Full Record in Web of Science</v>
      </c>
    </row>
    <row r="370" spans="1:72" s="2" customFormat="1" x14ac:dyDescent="0.4">
      <c r="A370" s="2" t="s">
        <v>72</v>
      </c>
      <c r="B370" s="2" t="s">
        <v>5890</v>
      </c>
      <c r="C370" s="2" t="s">
        <v>74</v>
      </c>
      <c r="D370" s="2" t="s">
        <v>74</v>
      </c>
      <c r="E370" s="2" t="s">
        <v>74</v>
      </c>
      <c r="F370" s="2" t="s">
        <v>5890</v>
      </c>
      <c r="G370" s="2" t="s">
        <v>74</v>
      </c>
      <c r="H370" s="2" t="s">
        <v>74</v>
      </c>
      <c r="I370" s="2" t="s">
        <v>5891</v>
      </c>
      <c r="J370" s="2" t="s">
        <v>367</v>
      </c>
      <c r="K370" s="2" t="s">
        <v>74</v>
      </c>
      <c r="L370" s="2" t="s">
        <v>74</v>
      </c>
      <c r="M370" s="2" t="s">
        <v>74</v>
      </c>
      <c r="N370" s="2" t="s">
        <v>74</v>
      </c>
      <c r="O370" s="2" t="s">
        <v>74</v>
      </c>
      <c r="P370" s="2" t="s">
        <v>74</v>
      </c>
      <c r="Q370" s="2" t="s">
        <v>74</v>
      </c>
      <c r="R370" s="2" t="s">
        <v>74</v>
      </c>
      <c r="S370" s="2" t="s">
        <v>74</v>
      </c>
      <c r="T370" s="2" t="s">
        <v>74</v>
      </c>
      <c r="U370" s="2" t="s">
        <v>74</v>
      </c>
      <c r="V370" s="5" t="s">
        <v>5892</v>
      </c>
      <c r="W370" s="2" t="s">
        <v>74</v>
      </c>
      <c r="X370" s="2" t="s">
        <v>74</v>
      </c>
      <c r="Y370" s="2" t="s">
        <v>74</v>
      </c>
      <c r="Z370" s="2" t="s">
        <v>74</v>
      </c>
      <c r="AA370" s="2" t="s">
        <v>74</v>
      </c>
      <c r="AB370" s="2" t="s">
        <v>74</v>
      </c>
      <c r="AC370" s="2" t="s">
        <v>74</v>
      </c>
      <c r="AD370" s="2" t="s">
        <v>74</v>
      </c>
      <c r="AE370" s="2" t="s">
        <v>74</v>
      </c>
      <c r="AF370" s="2" t="s">
        <v>74</v>
      </c>
      <c r="AG370" s="2" t="s">
        <v>74</v>
      </c>
      <c r="AH370" s="2" t="s">
        <v>74</v>
      </c>
      <c r="AI370" s="2" t="s">
        <v>74</v>
      </c>
      <c r="AJ370" s="2" t="s">
        <v>74</v>
      </c>
      <c r="AK370" s="2" t="s">
        <v>74</v>
      </c>
      <c r="AL370" s="2" t="s">
        <v>74</v>
      </c>
      <c r="AM370" s="2" t="s">
        <v>74</v>
      </c>
      <c r="AN370" s="2" t="s">
        <v>74</v>
      </c>
      <c r="AO370" s="2" t="s">
        <v>371</v>
      </c>
      <c r="AP370" s="2" t="s">
        <v>74</v>
      </c>
      <c r="AQ370" s="2" t="s">
        <v>74</v>
      </c>
      <c r="AR370" s="2" t="s">
        <v>74</v>
      </c>
      <c r="AS370" s="2" t="s">
        <v>74</v>
      </c>
      <c r="AT370" s="2" t="s">
        <v>102</v>
      </c>
      <c r="AU370" s="2">
        <v>1998</v>
      </c>
      <c r="AV370" s="2">
        <v>112</v>
      </c>
      <c r="AW370" s="2">
        <v>2</v>
      </c>
      <c r="AX370" s="2" t="s">
        <v>74</v>
      </c>
      <c r="AY370" s="2" t="s">
        <v>74</v>
      </c>
      <c r="AZ370" s="2" t="s">
        <v>74</v>
      </c>
      <c r="BA370" s="2" t="s">
        <v>74</v>
      </c>
      <c r="BB370" s="2">
        <v>170</v>
      </c>
      <c r="BC370" s="2">
        <v>182</v>
      </c>
      <c r="BD370" s="2" t="s">
        <v>74</v>
      </c>
      <c r="BE370" s="2" t="s">
        <v>5893</v>
      </c>
      <c r="BF370" s="2" t="str">
        <f>HYPERLINK("http://dx.doi.org/10.1037/0735-7036.112.2.170","http://dx.doi.org/10.1037/0735-7036.112.2.170")</f>
        <v>http://dx.doi.org/10.1037/0735-7036.112.2.170</v>
      </c>
      <c r="BG370" s="2" t="s">
        <v>74</v>
      </c>
      <c r="BH370" s="2" t="s">
        <v>74</v>
      </c>
      <c r="BI370" s="2" t="s">
        <v>74</v>
      </c>
      <c r="BJ370" s="2" t="s">
        <v>74</v>
      </c>
      <c r="BK370" s="2" t="s">
        <v>74</v>
      </c>
      <c r="BL370" s="2" t="s">
        <v>74</v>
      </c>
      <c r="BM370" s="2" t="s">
        <v>74</v>
      </c>
      <c r="BN370" s="2">
        <v>9642786</v>
      </c>
      <c r="BO370" s="2" t="s">
        <v>74</v>
      </c>
      <c r="BP370" s="2" t="s">
        <v>74</v>
      </c>
      <c r="BQ370" s="2" t="s">
        <v>74</v>
      </c>
      <c r="BR370" s="2" t="s">
        <v>74</v>
      </c>
      <c r="BS370" s="2" t="s">
        <v>5894</v>
      </c>
      <c r="BT370" s="2" t="str">
        <f>HYPERLINK("https%3A%2F%2Fwww.webofscience.com%2Fwos%2Fwoscc%2Ffull-record%2FWOS:000074164800007","View Full Record in Web of Science")</f>
        <v>View Full Record in Web of Science</v>
      </c>
    </row>
    <row r="371" spans="1:72" s="7" customFormat="1" x14ac:dyDescent="0.4">
      <c r="A371" s="2" t="s">
        <v>72</v>
      </c>
      <c r="B371" s="2" t="s">
        <v>4463</v>
      </c>
      <c r="C371" s="2" t="s">
        <v>74</v>
      </c>
      <c r="D371" s="2" t="s">
        <v>74</v>
      </c>
      <c r="E371" s="2" t="s">
        <v>74</v>
      </c>
      <c r="F371" s="2" t="s">
        <v>4464</v>
      </c>
      <c r="G371" s="2" t="s">
        <v>74</v>
      </c>
      <c r="H371" s="2" t="s">
        <v>74</v>
      </c>
      <c r="I371" s="2" t="s">
        <v>4465</v>
      </c>
      <c r="J371" s="2" t="s">
        <v>129</v>
      </c>
      <c r="K371" s="2" t="s">
        <v>74</v>
      </c>
      <c r="L371" s="2" t="s">
        <v>74</v>
      </c>
      <c r="M371" s="2" t="s">
        <v>74</v>
      </c>
      <c r="N371" s="2" t="s">
        <v>74</v>
      </c>
      <c r="O371" s="2" t="s">
        <v>74</v>
      </c>
      <c r="P371" s="2" t="s">
        <v>74</v>
      </c>
      <c r="Q371" s="2" t="s">
        <v>74</v>
      </c>
      <c r="R371" s="2" t="s">
        <v>74</v>
      </c>
      <c r="S371" s="2" t="s">
        <v>74</v>
      </c>
      <c r="T371" s="2" t="s">
        <v>74</v>
      </c>
      <c r="U371" s="2" t="s">
        <v>74</v>
      </c>
      <c r="V371" s="5" t="s">
        <v>4466</v>
      </c>
      <c r="W371" s="2" t="s">
        <v>74</v>
      </c>
      <c r="X371" s="2" t="s">
        <v>74</v>
      </c>
      <c r="Y371" s="2" t="s">
        <v>74</v>
      </c>
      <c r="Z371" s="2" t="s">
        <v>74</v>
      </c>
      <c r="AA371" s="2" t="s">
        <v>4467</v>
      </c>
      <c r="AB371" s="2" t="s">
        <v>4468</v>
      </c>
      <c r="AC371" s="2" t="s">
        <v>74</v>
      </c>
      <c r="AD371" s="2" t="s">
        <v>74</v>
      </c>
      <c r="AE371" s="2" t="s">
        <v>74</v>
      </c>
      <c r="AF371" s="2" t="s">
        <v>74</v>
      </c>
      <c r="AG371" s="2" t="s">
        <v>74</v>
      </c>
      <c r="AH371" s="2" t="s">
        <v>74</v>
      </c>
      <c r="AI371" s="2" t="s">
        <v>74</v>
      </c>
      <c r="AJ371" s="2" t="s">
        <v>74</v>
      </c>
      <c r="AK371" s="2" t="s">
        <v>74</v>
      </c>
      <c r="AL371" s="2" t="s">
        <v>74</v>
      </c>
      <c r="AM371" s="2" t="s">
        <v>74</v>
      </c>
      <c r="AN371" s="2" t="s">
        <v>74</v>
      </c>
      <c r="AO371" s="2" t="s">
        <v>132</v>
      </c>
      <c r="AP371" s="2" t="s">
        <v>133</v>
      </c>
      <c r="AQ371" s="2" t="s">
        <v>74</v>
      </c>
      <c r="AR371" s="2" t="s">
        <v>74</v>
      </c>
      <c r="AS371" s="2" t="s">
        <v>74</v>
      </c>
      <c r="AT371" s="2" t="s">
        <v>145</v>
      </c>
      <c r="AU371" s="2">
        <v>2015</v>
      </c>
      <c r="AV371" s="2">
        <v>69</v>
      </c>
      <c r="AW371" s="2">
        <v>8</v>
      </c>
      <c r="AX371" s="2" t="s">
        <v>74</v>
      </c>
      <c r="AY371" s="2" t="s">
        <v>74</v>
      </c>
      <c r="AZ371" s="2" t="s">
        <v>74</v>
      </c>
      <c r="BA371" s="2" t="s">
        <v>74</v>
      </c>
      <c r="BB371" s="2">
        <v>1251</v>
      </c>
      <c r="BC371" s="2">
        <v>1264</v>
      </c>
      <c r="BD371" s="2" t="s">
        <v>74</v>
      </c>
      <c r="BE371" s="2" t="s">
        <v>4469</v>
      </c>
      <c r="BF371" s="2" t="str">
        <f>HYPERLINK("http://dx.doi.org/10.1007/s00265-015-1938-5","http://dx.doi.org/10.1007/s00265-015-1938-5")</f>
        <v>http://dx.doi.org/10.1007/s00265-015-1938-5</v>
      </c>
      <c r="BG371" s="2" t="s">
        <v>74</v>
      </c>
      <c r="BH371" s="2" t="s">
        <v>74</v>
      </c>
      <c r="BI371" s="2" t="s">
        <v>74</v>
      </c>
      <c r="BJ371" s="2" t="s">
        <v>74</v>
      </c>
      <c r="BK371" s="2" t="s">
        <v>74</v>
      </c>
      <c r="BL371" s="2" t="s">
        <v>74</v>
      </c>
      <c r="BM371" s="2" t="s">
        <v>74</v>
      </c>
      <c r="BN371" s="2" t="s">
        <v>74</v>
      </c>
      <c r="BO371" s="2" t="s">
        <v>74</v>
      </c>
      <c r="BP371" s="2" t="s">
        <v>74</v>
      </c>
      <c r="BQ371" s="2" t="s">
        <v>74</v>
      </c>
      <c r="BR371" s="2" t="s">
        <v>74</v>
      </c>
      <c r="BS371" s="2" t="s">
        <v>4470</v>
      </c>
      <c r="BT371" s="2" t="str">
        <f>HYPERLINK("https%3A%2F%2Fwww.webofscience.com%2Fwos%2Fwoscc%2Ffull-record%2FWOS:000358734700002","View Full Record in Web of Science")</f>
        <v>View Full Record in Web of Science</v>
      </c>
    </row>
    <row r="372" spans="1:72" s="2" customFormat="1" x14ac:dyDescent="0.4">
      <c r="A372" s="2" t="s">
        <v>72</v>
      </c>
      <c r="B372" s="2" t="s">
        <v>3929</v>
      </c>
      <c r="C372" s="2" t="s">
        <v>74</v>
      </c>
      <c r="D372" s="2" t="s">
        <v>74</v>
      </c>
      <c r="E372" s="2" t="s">
        <v>74</v>
      </c>
      <c r="F372" s="2" t="s">
        <v>3930</v>
      </c>
      <c r="G372" s="2" t="s">
        <v>74</v>
      </c>
      <c r="H372" s="2" t="s">
        <v>74</v>
      </c>
      <c r="I372" s="2" t="s">
        <v>3931</v>
      </c>
      <c r="J372" s="2" t="s">
        <v>763</v>
      </c>
      <c r="K372" s="2" t="s">
        <v>74</v>
      </c>
      <c r="L372" s="2" t="s">
        <v>74</v>
      </c>
      <c r="M372" s="2" t="s">
        <v>74</v>
      </c>
      <c r="N372" s="2" t="s">
        <v>74</v>
      </c>
      <c r="O372" s="2" t="s">
        <v>74</v>
      </c>
      <c r="P372" s="2" t="s">
        <v>74</v>
      </c>
      <c r="Q372" s="2" t="s">
        <v>74</v>
      </c>
      <c r="R372" s="2" t="s">
        <v>74</v>
      </c>
      <c r="S372" s="2" t="s">
        <v>74</v>
      </c>
      <c r="T372" s="2" t="s">
        <v>74</v>
      </c>
      <c r="U372" s="2" t="s">
        <v>74</v>
      </c>
      <c r="V372" s="5" t="s">
        <v>3932</v>
      </c>
      <c r="W372" s="2" t="s">
        <v>74</v>
      </c>
      <c r="X372" s="2" t="s">
        <v>74</v>
      </c>
      <c r="Y372" s="2" t="s">
        <v>74</v>
      </c>
      <c r="Z372" s="2" t="s">
        <v>74</v>
      </c>
      <c r="AA372" s="2" t="s">
        <v>3933</v>
      </c>
      <c r="AB372" s="2" t="s">
        <v>3934</v>
      </c>
      <c r="AC372" s="2" t="s">
        <v>74</v>
      </c>
      <c r="AD372" s="2" t="s">
        <v>74</v>
      </c>
      <c r="AE372" s="2" t="s">
        <v>74</v>
      </c>
      <c r="AF372" s="2" t="s">
        <v>74</v>
      </c>
      <c r="AG372" s="2" t="s">
        <v>74</v>
      </c>
      <c r="AH372" s="2" t="s">
        <v>74</v>
      </c>
      <c r="AI372" s="2" t="s">
        <v>74</v>
      </c>
      <c r="AJ372" s="2" t="s">
        <v>74</v>
      </c>
      <c r="AK372" s="2" t="s">
        <v>74</v>
      </c>
      <c r="AL372" s="2" t="s">
        <v>74</v>
      </c>
      <c r="AM372" s="2" t="s">
        <v>74</v>
      </c>
      <c r="AN372" s="2" t="s">
        <v>74</v>
      </c>
      <c r="AO372" s="2" t="s">
        <v>767</v>
      </c>
      <c r="AP372" s="2" t="s">
        <v>768</v>
      </c>
      <c r="AQ372" s="2" t="s">
        <v>74</v>
      </c>
      <c r="AR372" s="2" t="s">
        <v>74</v>
      </c>
      <c r="AS372" s="2" t="s">
        <v>74</v>
      </c>
      <c r="AT372" s="2" t="s">
        <v>134</v>
      </c>
      <c r="AU372" s="2">
        <v>2022</v>
      </c>
      <c r="AV372" s="2">
        <v>225</v>
      </c>
      <c r="AW372" s="2">
        <v>10</v>
      </c>
      <c r="AX372" s="2" t="s">
        <v>74</v>
      </c>
      <c r="AY372" s="2" t="s">
        <v>74</v>
      </c>
      <c r="AZ372" s="2" t="s">
        <v>74</v>
      </c>
      <c r="BA372" s="2" t="s">
        <v>74</v>
      </c>
      <c r="BB372" s="2" t="s">
        <v>74</v>
      </c>
      <c r="BC372" s="2" t="s">
        <v>74</v>
      </c>
      <c r="BD372" s="2" t="s">
        <v>3935</v>
      </c>
      <c r="BE372" s="2" t="s">
        <v>3936</v>
      </c>
      <c r="BF372" s="2" t="str">
        <f>HYPERLINK("http://dx.doi.org/10.1242/jeb.242955","http://dx.doi.org/10.1242/jeb.242955")</f>
        <v>http://dx.doi.org/10.1242/jeb.242955</v>
      </c>
      <c r="BG372" s="2" t="s">
        <v>74</v>
      </c>
      <c r="BH372" s="2" t="s">
        <v>74</v>
      </c>
      <c r="BI372" s="2" t="s">
        <v>74</v>
      </c>
      <c r="BJ372" s="2" t="s">
        <v>74</v>
      </c>
      <c r="BK372" s="2" t="s">
        <v>74</v>
      </c>
      <c r="BL372" s="2" t="s">
        <v>74</v>
      </c>
      <c r="BM372" s="2" t="s">
        <v>74</v>
      </c>
      <c r="BN372" s="2">
        <v>35514228</v>
      </c>
      <c r="BO372" s="2" t="s">
        <v>74</v>
      </c>
      <c r="BP372" s="2" t="s">
        <v>74</v>
      </c>
      <c r="BQ372" s="2" t="s">
        <v>74</v>
      </c>
      <c r="BR372" s="2" t="s">
        <v>74</v>
      </c>
      <c r="BS372" s="2" t="s">
        <v>3937</v>
      </c>
      <c r="BT372" s="2" t="str">
        <f>HYPERLINK("https%3A%2F%2Fwww.webofscience.com%2Fwos%2Fwoscc%2Ffull-record%2FWOS:000806042900004","View Full Record in Web of Science")</f>
        <v>View Full Record in Web of Science</v>
      </c>
    </row>
    <row r="373" spans="1:72" s="2" customFormat="1" x14ac:dyDescent="0.4">
      <c r="A373" s="2" t="s">
        <v>72</v>
      </c>
      <c r="B373" s="2" t="s">
        <v>3304</v>
      </c>
      <c r="C373" s="2" t="s">
        <v>74</v>
      </c>
      <c r="D373" s="2" t="s">
        <v>74</v>
      </c>
      <c r="E373" s="2" t="s">
        <v>74</v>
      </c>
      <c r="F373" s="2" t="s">
        <v>3305</v>
      </c>
      <c r="G373" s="2" t="s">
        <v>74</v>
      </c>
      <c r="H373" s="2" t="s">
        <v>74</v>
      </c>
      <c r="I373" s="2" t="s">
        <v>3306</v>
      </c>
      <c r="J373" s="2" t="s">
        <v>218</v>
      </c>
      <c r="K373" s="2" t="s">
        <v>74</v>
      </c>
      <c r="L373" s="2" t="s">
        <v>74</v>
      </c>
      <c r="M373" s="2" t="s">
        <v>74</v>
      </c>
      <c r="N373" s="2" t="s">
        <v>74</v>
      </c>
      <c r="O373" s="2" t="s">
        <v>74</v>
      </c>
      <c r="P373" s="2" t="s">
        <v>74</v>
      </c>
      <c r="Q373" s="2" t="s">
        <v>74</v>
      </c>
      <c r="R373" s="2" t="s">
        <v>74</v>
      </c>
      <c r="S373" s="2" t="s">
        <v>74</v>
      </c>
      <c r="T373" s="2" t="s">
        <v>74</v>
      </c>
      <c r="U373" s="2" t="s">
        <v>74</v>
      </c>
      <c r="V373" s="5" t="s">
        <v>3307</v>
      </c>
      <c r="W373" s="2" t="s">
        <v>74</v>
      </c>
      <c r="X373" s="2" t="s">
        <v>74</v>
      </c>
      <c r="Y373" s="2" t="s">
        <v>74</v>
      </c>
      <c r="Z373" s="2" t="s">
        <v>74</v>
      </c>
      <c r="AA373" s="2" t="s">
        <v>623</v>
      </c>
      <c r="AB373" s="2" t="s">
        <v>1336</v>
      </c>
      <c r="AC373" s="2" t="s">
        <v>74</v>
      </c>
      <c r="AD373" s="2" t="s">
        <v>74</v>
      </c>
      <c r="AE373" s="2" t="s">
        <v>74</v>
      </c>
      <c r="AF373" s="2" t="s">
        <v>74</v>
      </c>
      <c r="AG373" s="2" t="s">
        <v>74</v>
      </c>
      <c r="AH373" s="2" t="s">
        <v>74</v>
      </c>
      <c r="AI373" s="2" t="s">
        <v>74</v>
      </c>
      <c r="AJ373" s="2" t="s">
        <v>74</v>
      </c>
      <c r="AK373" s="2" t="s">
        <v>74</v>
      </c>
      <c r="AL373" s="2" t="s">
        <v>74</v>
      </c>
      <c r="AM373" s="2" t="s">
        <v>74</v>
      </c>
      <c r="AN373" s="2" t="s">
        <v>74</v>
      </c>
      <c r="AO373" s="2" t="s">
        <v>221</v>
      </c>
      <c r="AP373" s="2" t="s">
        <v>222</v>
      </c>
      <c r="AQ373" s="2" t="s">
        <v>74</v>
      </c>
      <c r="AR373" s="2" t="s">
        <v>74</v>
      </c>
      <c r="AS373" s="2" t="s">
        <v>74</v>
      </c>
      <c r="AT373" s="2" t="s">
        <v>145</v>
      </c>
      <c r="AU373" s="2">
        <v>2015</v>
      </c>
      <c r="AV373" s="2">
        <v>28</v>
      </c>
      <c r="AW373" s="2">
        <v>8</v>
      </c>
      <c r="AX373" s="2" t="s">
        <v>74</v>
      </c>
      <c r="AY373" s="2" t="s">
        <v>74</v>
      </c>
      <c r="AZ373" s="2" t="s">
        <v>74</v>
      </c>
      <c r="BA373" s="2" t="s">
        <v>74</v>
      </c>
      <c r="BB373" s="2">
        <v>1439</v>
      </c>
      <c r="BC373" s="2">
        <v>1452</v>
      </c>
      <c r="BD373" s="2" t="s">
        <v>74</v>
      </c>
      <c r="BE373" s="2" t="s">
        <v>3308</v>
      </c>
      <c r="BF373" s="2" t="str">
        <f>HYPERLINK("http://dx.doi.org/10.1111/jeb.12665","http://dx.doi.org/10.1111/jeb.12665")</f>
        <v>http://dx.doi.org/10.1111/jeb.12665</v>
      </c>
      <c r="BG373" s="2" t="s">
        <v>74</v>
      </c>
      <c r="BH373" s="2" t="s">
        <v>74</v>
      </c>
      <c r="BI373" s="2" t="s">
        <v>74</v>
      </c>
      <c r="BJ373" s="2" t="s">
        <v>74</v>
      </c>
      <c r="BK373" s="2" t="s">
        <v>74</v>
      </c>
      <c r="BL373" s="2" t="s">
        <v>74</v>
      </c>
      <c r="BM373" s="2" t="s">
        <v>74</v>
      </c>
      <c r="BN373" s="2">
        <v>26033550</v>
      </c>
      <c r="BO373" s="2" t="s">
        <v>74</v>
      </c>
      <c r="BP373" s="2" t="s">
        <v>74</v>
      </c>
      <c r="BQ373" s="2" t="s">
        <v>74</v>
      </c>
      <c r="BR373" s="2" t="s">
        <v>74</v>
      </c>
      <c r="BS373" s="2" t="s">
        <v>3309</v>
      </c>
      <c r="BT373" s="2" t="str">
        <f>HYPERLINK("https%3A%2F%2Fwww.webofscience.com%2Fwos%2Fwoscc%2Ffull-record%2FWOS:000359606200002","View Full Record in Web of Science")</f>
        <v>View Full Record in Web of Science</v>
      </c>
    </row>
    <row r="374" spans="1:72" s="2" customFormat="1" x14ac:dyDescent="0.4">
      <c r="A374" s="2" t="s">
        <v>72</v>
      </c>
      <c r="B374" s="2" t="s">
        <v>1332</v>
      </c>
      <c r="C374" s="2" t="s">
        <v>74</v>
      </c>
      <c r="D374" s="2" t="s">
        <v>74</v>
      </c>
      <c r="E374" s="2" t="s">
        <v>74</v>
      </c>
      <c r="F374" s="2" t="s">
        <v>1333</v>
      </c>
      <c r="G374" s="2" t="s">
        <v>74</v>
      </c>
      <c r="H374" s="2" t="s">
        <v>74</v>
      </c>
      <c r="I374" s="2" t="s">
        <v>1334</v>
      </c>
      <c r="J374" s="2" t="s">
        <v>108</v>
      </c>
      <c r="K374" s="2" t="s">
        <v>74</v>
      </c>
      <c r="L374" s="2" t="s">
        <v>74</v>
      </c>
      <c r="M374" s="2" t="s">
        <v>74</v>
      </c>
      <c r="N374" s="2" t="s">
        <v>74</v>
      </c>
      <c r="O374" s="2" t="s">
        <v>74</v>
      </c>
      <c r="P374" s="2" t="s">
        <v>74</v>
      </c>
      <c r="Q374" s="2" t="s">
        <v>74</v>
      </c>
      <c r="R374" s="2" t="s">
        <v>74</v>
      </c>
      <c r="S374" s="2" t="s">
        <v>74</v>
      </c>
      <c r="T374" s="2" t="s">
        <v>74</v>
      </c>
      <c r="U374" s="2" t="s">
        <v>74</v>
      </c>
      <c r="V374" s="5" t="s">
        <v>1335</v>
      </c>
      <c r="W374" s="2" t="s">
        <v>74</v>
      </c>
      <c r="X374" s="2" t="s">
        <v>74</v>
      </c>
      <c r="Y374" s="2" t="s">
        <v>74</v>
      </c>
      <c r="Z374" s="2" t="s">
        <v>74</v>
      </c>
      <c r="AA374" s="2" t="s">
        <v>623</v>
      </c>
      <c r="AB374" s="2" t="s">
        <v>1336</v>
      </c>
      <c r="AC374" s="2" t="s">
        <v>74</v>
      </c>
      <c r="AD374" s="2" t="s">
        <v>74</v>
      </c>
      <c r="AE374" s="2" t="s">
        <v>74</v>
      </c>
      <c r="AF374" s="2" t="s">
        <v>74</v>
      </c>
      <c r="AG374" s="2" t="s">
        <v>74</v>
      </c>
      <c r="AH374" s="2" t="s">
        <v>74</v>
      </c>
      <c r="AI374" s="2" t="s">
        <v>74</v>
      </c>
      <c r="AJ374" s="2" t="s">
        <v>74</v>
      </c>
      <c r="AK374" s="2" t="s">
        <v>74</v>
      </c>
      <c r="AL374" s="2" t="s">
        <v>74</v>
      </c>
      <c r="AM374" s="2" t="s">
        <v>74</v>
      </c>
      <c r="AN374" s="2" t="s">
        <v>74</v>
      </c>
      <c r="AO374" s="2" t="s">
        <v>111</v>
      </c>
      <c r="AP374" s="2" t="s">
        <v>112</v>
      </c>
      <c r="AQ374" s="2" t="s">
        <v>74</v>
      </c>
      <c r="AR374" s="2" t="s">
        <v>74</v>
      </c>
      <c r="AS374" s="2" t="s">
        <v>74</v>
      </c>
      <c r="AT374" s="2" t="s">
        <v>939</v>
      </c>
      <c r="AU374" s="2">
        <v>2014</v>
      </c>
      <c r="AV374" s="2">
        <v>281</v>
      </c>
      <c r="AW374" s="2">
        <v>1796</v>
      </c>
      <c r="AX374" s="2" t="s">
        <v>74</v>
      </c>
      <c r="AY374" s="2" t="s">
        <v>74</v>
      </c>
      <c r="AZ374" s="2" t="s">
        <v>74</v>
      </c>
      <c r="BA374" s="2" t="s">
        <v>74</v>
      </c>
      <c r="BB374" s="2" t="s">
        <v>74</v>
      </c>
      <c r="BC374" s="2" t="s">
        <v>74</v>
      </c>
      <c r="BD374" s="2">
        <v>20141737</v>
      </c>
      <c r="BE374" s="2" t="s">
        <v>1337</v>
      </c>
      <c r="BF374" s="2" t="str">
        <f>HYPERLINK("http://dx.doi.org/10.1098/rspb.2014.1737","http://dx.doi.org/10.1098/rspb.2014.1737")</f>
        <v>http://dx.doi.org/10.1098/rspb.2014.1737</v>
      </c>
      <c r="BG374" s="2" t="s">
        <v>74</v>
      </c>
      <c r="BH374" s="2" t="s">
        <v>74</v>
      </c>
      <c r="BI374" s="2" t="s">
        <v>74</v>
      </c>
      <c r="BJ374" s="2" t="s">
        <v>74</v>
      </c>
      <c r="BK374" s="2" t="s">
        <v>74</v>
      </c>
      <c r="BL374" s="2" t="s">
        <v>74</v>
      </c>
      <c r="BM374" s="2" t="s">
        <v>74</v>
      </c>
      <c r="BN374" s="2">
        <v>25339724</v>
      </c>
      <c r="BO374" s="2" t="s">
        <v>74</v>
      </c>
      <c r="BP374" s="2" t="s">
        <v>74</v>
      </c>
      <c r="BQ374" s="2" t="s">
        <v>74</v>
      </c>
      <c r="BR374" s="2" t="s">
        <v>74</v>
      </c>
      <c r="BS374" s="2" t="s">
        <v>1338</v>
      </c>
      <c r="BT374" s="2" t="str">
        <f>HYPERLINK("https%3A%2F%2Fwww.webofscience.com%2Fwos%2Fwoscc%2Ffull-record%2FWOS:000343674500017","View Full Record in Web of Science")</f>
        <v>View Full Record in Web of Science</v>
      </c>
    </row>
    <row r="375" spans="1:72" s="2" customFormat="1" x14ac:dyDescent="0.4">
      <c r="A375" s="2" t="s">
        <v>72</v>
      </c>
      <c r="B375" s="2" t="s">
        <v>1979</v>
      </c>
      <c r="C375" s="2" t="s">
        <v>74</v>
      </c>
      <c r="D375" s="2" t="s">
        <v>74</v>
      </c>
      <c r="E375" s="2" t="s">
        <v>74</v>
      </c>
      <c r="F375" s="2" t="s">
        <v>1979</v>
      </c>
      <c r="G375" s="2" t="s">
        <v>74</v>
      </c>
      <c r="H375" s="2" t="s">
        <v>74</v>
      </c>
      <c r="I375" s="2" t="s">
        <v>1980</v>
      </c>
      <c r="J375" s="2" t="s">
        <v>1981</v>
      </c>
      <c r="K375" s="2" t="s">
        <v>74</v>
      </c>
      <c r="L375" s="2" t="s">
        <v>74</v>
      </c>
      <c r="M375" s="2" t="s">
        <v>74</v>
      </c>
      <c r="N375" s="2" t="s">
        <v>74</v>
      </c>
      <c r="O375" s="2" t="s">
        <v>74</v>
      </c>
      <c r="P375" s="2" t="s">
        <v>74</v>
      </c>
      <c r="Q375" s="2" t="s">
        <v>74</v>
      </c>
      <c r="R375" s="2" t="s">
        <v>74</v>
      </c>
      <c r="S375" s="2" t="s">
        <v>74</v>
      </c>
      <c r="T375" s="2" t="s">
        <v>74</v>
      </c>
      <c r="U375" s="2" t="s">
        <v>74</v>
      </c>
      <c r="V375" s="5" t="s">
        <v>1982</v>
      </c>
      <c r="W375" s="2" t="s">
        <v>74</v>
      </c>
      <c r="X375" s="2" t="s">
        <v>74</v>
      </c>
      <c r="Y375" s="2" t="s">
        <v>74</v>
      </c>
      <c r="Z375" s="2" t="s">
        <v>74</v>
      </c>
      <c r="AA375" s="2" t="s">
        <v>74</v>
      </c>
      <c r="AB375" s="2" t="s">
        <v>74</v>
      </c>
      <c r="AC375" s="2" t="s">
        <v>74</v>
      </c>
      <c r="AD375" s="2" t="s">
        <v>74</v>
      </c>
      <c r="AE375" s="2" t="s">
        <v>74</v>
      </c>
      <c r="AF375" s="2" t="s">
        <v>74</v>
      </c>
      <c r="AG375" s="2" t="s">
        <v>74</v>
      </c>
      <c r="AH375" s="2" t="s">
        <v>74</v>
      </c>
      <c r="AI375" s="2" t="s">
        <v>74</v>
      </c>
      <c r="AJ375" s="2" t="s">
        <v>74</v>
      </c>
      <c r="AK375" s="2" t="s">
        <v>74</v>
      </c>
      <c r="AL375" s="2" t="s">
        <v>74</v>
      </c>
      <c r="AM375" s="2" t="s">
        <v>74</v>
      </c>
      <c r="AN375" s="2" t="s">
        <v>74</v>
      </c>
      <c r="AO375" s="2" t="s">
        <v>1983</v>
      </c>
      <c r="AP375" s="2" t="s">
        <v>74</v>
      </c>
      <c r="AQ375" s="2" t="s">
        <v>74</v>
      </c>
      <c r="AR375" s="2" t="s">
        <v>74</v>
      </c>
      <c r="AS375" s="2" t="s">
        <v>74</v>
      </c>
      <c r="AT375" s="2" t="s">
        <v>102</v>
      </c>
      <c r="AU375" s="2">
        <v>1991</v>
      </c>
      <c r="AV375" s="2">
        <v>29</v>
      </c>
      <c r="AW375" s="2">
        <v>2</v>
      </c>
      <c r="AX375" s="2" t="s">
        <v>74</v>
      </c>
      <c r="AY375" s="2" t="s">
        <v>74</v>
      </c>
      <c r="AZ375" s="2" t="s">
        <v>74</v>
      </c>
      <c r="BA375" s="2" t="s">
        <v>74</v>
      </c>
      <c r="BB375" s="2">
        <v>123</v>
      </c>
      <c r="BC375" s="2">
        <v>138</v>
      </c>
      <c r="BD375" s="2" t="s">
        <v>74</v>
      </c>
      <c r="BE375" s="2" t="s">
        <v>74</v>
      </c>
      <c r="BF375" s="2" t="s">
        <v>74</v>
      </c>
      <c r="BG375" s="2" t="s">
        <v>74</v>
      </c>
      <c r="BH375" s="2" t="s">
        <v>74</v>
      </c>
      <c r="BI375" s="2" t="s">
        <v>74</v>
      </c>
      <c r="BJ375" s="2" t="s">
        <v>74</v>
      </c>
      <c r="BK375" s="2" t="s">
        <v>74</v>
      </c>
      <c r="BL375" s="2" t="s">
        <v>74</v>
      </c>
      <c r="BM375" s="2" t="s">
        <v>74</v>
      </c>
      <c r="BN375" s="2" t="s">
        <v>74</v>
      </c>
      <c r="BO375" s="2" t="s">
        <v>74</v>
      </c>
      <c r="BP375" s="2" t="s">
        <v>74</v>
      </c>
      <c r="BQ375" s="2" t="s">
        <v>74</v>
      </c>
      <c r="BR375" s="2" t="s">
        <v>74</v>
      </c>
      <c r="BS375" s="2" t="s">
        <v>1984</v>
      </c>
      <c r="BT375" s="2" t="str">
        <f>HYPERLINK("https%3A%2F%2Fwww.webofscience.com%2Fwos%2Fwoscc%2Ffull-record%2FWOS:A1991FW08800006","View Full Record in Web of Science")</f>
        <v>View Full Record in Web of Science</v>
      </c>
    </row>
    <row r="376" spans="1:72" s="2" customFormat="1" x14ac:dyDescent="0.4">
      <c r="A376" s="2" t="s">
        <v>72</v>
      </c>
      <c r="B376" s="2" t="s">
        <v>7477</v>
      </c>
      <c r="C376" s="2" t="s">
        <v>74</v>
      </c>
      <c r="D376" s="2" t="s">
        <v>74</v>
      </c>
      <c r="E376" s="2" t="s">
        <v>74</v>
      </c>
      <c r="F376" s="2" t="s">
        <v>7477</v>
      </c>
      <c r="G376" s="2" t="s">
        <v>74</v>
      </c>
      <c r="H376" s="2" t="s">
        <v>74</v>
      </c>
      <c r="I376" s="2" t="s">
        <v>7478</v>
      </c>
      <c r="J376" s="2" t="s">
        <v>408</v>
      </c>
      <c r="K376" s="2" t="s">
        <v>74</v>
      </c>
      <c r="L376" s="2" t="s">
        <v>74</v>
      </c>
      <c r="M376" s="2" t="s">
        <v>74</v>
      </c>
      <c r="N376" s="2" t="s">
        <v>74</v>
      </c>
      <c r="O376" s="2" t="s">
        <v>74</v>
      </c>
      <c r="P376" s="2" t="s">
        <v>74</v>
      </c>
      <c r="Q376" s="2" t="s">
        <v>74</v>
      </c>
      <c r="R376" s="2" t="s">
        <v>74</v>
      </c>
      <c r="S376" s="2" t="s">
        <v>74</v>
      </c>
      <c r="T376" s="2" t="s">
        <v>74</v>
      </c>
      <c r="U376" s="2" t="s">
        <v>74</v>
      </c>
      <c r="V376" s="5" t="s">
        <v>7479</v>
      </c>
      <c r="W376" s="2" t="s">
        <v>74</v>
      </c>
      <c r="X376" s="2" t="s">
        <v>74</v>
      </c>
      <c r="Y376" s="2" t="s">
        <v>74</v>
      </c>
      <c r="Z376" s="2" t="s">
        <v>74</v>
      </c>
      <c r="AA376" s="2" t="s">
        <v>7480</v>
      </c>
      <c r="AB376" s="2" t="s">
        <v>7481</v>
      </c>
      <c r="AC376" s="2" t="s">
        <v>74</v>
      </c>
      <c r="AD376" s="2" t="s">
        <v>74</v>
      </c>
      <c r="AE376" s="2" t="s">
        <v>74</v>
      </c>
      <c r="AF376" s="2" t="s">
        <v>74</v>
      </c>
      <c r="AG376" s="2" t="s">
        <v>74</v>
      </c>
      <c r="AH376" s="2" t="s">
        <v>74</v>
      </c>
      <c r="AI376" s="2" t="s">
        <v>74</v>
      </c>
      <c r="AJ376" s="2" t="s">
        <v>74</v>
      </c>
      <c r="AK376" s="2" t="s">
        <v>74</v>
      </c>
      <c r="AL376" s="2" t="s">
        <v>74</v>
      </c>
      <c r="AM376" s="2" t="s">
        <v>74</v>
      </c>
      <c r="AN376" s="2" t="s">
        <v>74</v>
      </c>
      <c r="AO376" s="2" t="s">
        <v>412</v>
      </c>
      <c r="AP376" s="2" t="s">
        <v>74</v>
      </c>
      <c r="AQ376" s="2" t="s">
        <v>74</v>
      </c>
      <c r="AR376" s="2" t="s">
        <v>74</v>
      </c>
      <c r="AS376" s="2" t="s">
        <v>74</v>
      </c>
      <c r="AT376" s="2" t="s">
        <v>204</v>
      </c>
      <c r="AU376" s="2">
        <v>1996</v>
      </c>
      <c r="AV376" s="2">
        <v>58</v>
      </c>
      <c r="AW376" s="2">
        <v>3</v>
      </c>
      <c r="AX376" s="2" t="s">
        <v>74</v>
      </c>
      <c r="AY376" s="2" t="s">
        <v>74</v>
      </c>
      <c r="AZ376" s="2" t="s">
        <v>74</v>
      </c>
      <c r="BA376" s="2" t="s">
        <v>74</v>
      </c>
      <c r="BB376" s="2">
        <v>307</v>
      </c>
      <c r="BC376" s="2">
        <v>324</v>
      </c>
      <c r="BD376" s="2" t="s">
        <v>74</v>
      </c>
      <c r="BE376" s="2" t="s">
        <v>7482</v>
      </c>
      <c r="BF376" s="2" t="str">
        <f>HYPERLINK("http://dx.doi.org/10.1111/j.1095-8312.1996.tb01437.x","http://dx.doi.org/10.1111/j.1095-8312.1996.tb01437.x")</f>
        <v>http://dx.doi.org/10.1111/j.1095-8312.1996.tb01437.x</v>
      </c>
      <c r="BG376" s="2" t="s">
        <v>74</v>
      </c>
      <c r="BH376" s="2" t="s">
        <v>74</v>
      </c>
      <c r="BI376" s="2" t="s">
        <v>74</v>
      </c>
      <c r="BJ376" s="2" t="s">
        <v>74</v>
      </c>
      <c r="BK376" s="2" t="s">
        <v>74</v>
      </c>
      <c r="BL376" s="2" t="s">
        <v>74</v>
      </c>
      <c r="BM376" s="2" t="s">
        <v>74</v>
      </c>
      <c r="BN376" s="2" t="s">
        <v>74</v>
      </c>
      <c r="BO376" s="2" t="s">
        <v>74</v>
      </c>
      <c r="BP376" s="2" t="s">
        <v>74</v>
      </c>
      <c r="BQ376" s="2" t="s">
        <v>74</v>
      </c>
      <c r="BR376" s="2" t="s">
        <v>74</v>
      </c>
      <c r="BS376" s="2" t="s">
        <v>7483</v>
      </c>
      <c r="BT376" s="2" t="str">
        <f>HYPERLINK("https%3A%2F%2Fwww.webofscience.com%2Fwos%2Fwoscc%2Ffull-record%2FWOS:A1996UY83000004","View Full Record in Web of Science")</f>
        <v>View Full Record in Web of Science</v>
      </c>
    </row>
    <row r="377" spans="1:72" s="2" customFormat="1" x14ac:dyDescent="0.4">
      <c r="A377" s="2" t="s">
        <v>72</v>
      </c>
      <c r="B377" s="2" t="s">
        <v>6091</v>
      </c>
      <c r="C377" s="2" t="s">
        <v>74</v>
      </c>
      <c r="D377" s="2" t="s">
        <v>74</v>
      </c>
      <c r="E377" s="2" t="s">
        <v>74</v>
      </c>
      <c r="F377" s="2" t="s">
        <v>6092</v>
      </c>
      <c r="G377" s="2" t="s">
        <v>74</v>
      </c>
      <c r="H377" s="2" t="s">
        <v>74</v>
      </c>
      <c r="I377" s="2" t="s">
        <v>6093</v>
      </c>
      <c r="J377" s="2" t="s">
        <v>4064</v>
      </c>
      <c r="K377" s="2" t="s">
        <v>74</v>
      </c>
      <c r="L377" s="2" t="s">
        <v>74</v>
      </c>
      <c r="M377" s="2" t="s">
        <v>74</v>
      </c>
      <c r="N377" s="2" t="s">
        <v>74</v>
      </c>
      <c r="O377" s="2" t="s">
        <v>74</v>
      </c>
      <c r="P377" s="2" t="s">
        <v>74</v>
      </c>
      <c r="Q377" s="2" t="s">
        <v>74</v>
      </c>
      <c r="R377" s="2" t="s">
        <v>74</v>
      </c>
      <c r="S377" s="2" t="s">
        <v>74</v>
      </c>
      <c r="T377" s="2" t="s">
        <v>74</v>
      </c>
      <c r="U377" s="2" t="s">
        <v>74</v>
      </c>
      <c r="V377" s="5" t="s">
        <v>6094</v>
      </c>
      <c r="W377" s="2" t="s">
        <v>74</v>
      </c>
      <c r="X377" s="2" t="s">
        <v>74</v>
      </c>
      <c r="Y377" s="2" t="s">
        <v>74</v>
      </c>
      <c r="Z377" s="2" t="s">
        <v>74</v>
      </c>
      <c r="AA377" s="2" t="s">
        <v>74</v>
      </c>
      <c r="AB377" s="2" t="s">
        <v>6095</v>
      </c>
      <c r="AC377" s="2" t="s">
        <v>74</v>
      </c>
      <c r="AD377" s="2" t="s">
        <v>74</v>
      </c>
      <c r="AE377" s="2" t="s">
        <v>74</v>
      </c>
      <c r="AF377" s="2" t="s">
        <v>74</v>
      </c>
      <c r="AG377" s="2" t="s">
        <v>74</v>
      </c>
      <c r="AH377" s="2" t="s">
        <v>74</v>
      </c>
      <c r="AI377" s="2" t="s">
        <v>74</v>
      </c>
      <c r="AJ377" s="2" t="s">
        <v>74</v>
      </c>
      <c r="AK377" s="2" t="s">
        <v>74</v>
      </c>
      <c r="AL377" s="2" t="s">
        <v>74</v>
      </c>
      <c r="AM377" s="2" t="s">
        <v>74</v>
      </c>
      <c r="AN377" s="2" t="s">
        <v>74</v>
      </c>
      <c r="AO377" s="2" t="s">
        <v>4068</v>
      </c>
      <c r="AP377" s="2" t="s">
        <v>4069</v>
      </c>
      <c r="AQ377" s="2" t="s">
        <v>74</v>
      </c>
      <c r="AR377" s="2" t="s">
        <v>74</v>
      </c>
      <c r="AS377" s="2" t="s">
        <v>74</v>
      </c>
      <c r="AT377" s="2" t="s">
        <v>6096</v>
      </c>
      <c r="AU377" s="2">
        <v>2016</v>
      </c>
      <c r="AV377" s="2">
        <v>26</v>
      </c>
      <c r="AW377" s="2">
        <v>9</v>
      </c>
      <c r="AX377" s="2" t="s">
        <v>74</v>
      </c>
      <c r="AY377" s="2" t="s">
        <v>74</v>
      </c>
      <c r="AZ377" s="2" t="s">
        <v>74</v>
      </c>
      <c r="BA377" s="2" t="s">
        <v>74</v>
      </c>
      <c r="BB377" s="2">
        <v>1195</v>
      </c>
      <c r="BC377" s="2">
        <v>1199</v>
      </c>
      <c r="BD377" s="2" t="s">
        <v>74</v>
      </c>
      <c r="BE377" s="2" t="s">
        <v>6097</v>
      </c>
      <c r="BF377" s="2" t="str">
        <f>HYPERLINK("http://dx.doi.org/10.1016/j.cub.2016.03.009","http://dx.doi.org/10.1016/j.cub.2016.03.009")</f>
        <v>http://dx.doi.org/10.1016/j.cub.2016.03.009</v>
      </c>
      <c r="BG377" s="2" t="s">
        <v>74</v>
      </c>
      <c r="BH377" s="2" t="s">
        <v>74</v>
      </c>
      <c r="BI377" s="2" t="s">
        <v>74</v>
      </c>
      <c r="BJ377" s="2" t="s">
        <v>74</v>
      </c>
      <c r="BK377" s="2" t="s">
        <v>74</v>
      </c>
      <c r="BL377" s="2" t="s">
        <v>74</v>
      </c>
      <c r="BM377" s="2" t="s">
        <v>74</v>
      </c>
      <c r="BN377" s="2">
        <v>27133871</v>
      </c>
      <c r="BO377" s="2" t="s">
        <v>74</v>
      </c>
      <c r="BP377" s="2" t="s">
        <v>74</v>
      </c>
      <c r="BQ377" s="2" t="s">
        <v>74</v>
      </c>
      <c r="BR377" s="2" t="s">
        <v>74</v>
      </c>
      <c r="BS377" s="2" t="s">
        <v>6098</v>
      </c>
      <c r="BT377" s="2" t="str">
        <f>HYPERLINK("https%3A%2F%2Fwww.webofscience.com%2Fwos%2Fwoscc%2Ffull-record%2FWOS:000375413700026","View Full Record in Web of Science")</f>
        <v>View Full Record in Web of Science</v>
      </c>
    </row>
    <row r="378" spans="1:72" s="2" customFormat="1" x14ac:dyDescent="0.4">
      <c r="A378" s="2" t="s">
        <v>72</v>
      </c>
      <c r="B378" s="2" t="s">
        <v>8037</v>
      </c>
      <c r="C378" s="2" t="s">
        <v>74</v>
      </c>
      <c r="D378" s="2" t="s">
        <v>74</v>
      </c>
      <c r="E378" s="2" t="s">
        <v>74</v>
      </c>
      <c r="F378" s="2" t="s">
        <v>8037</v>
      </c>
      <c r="G378" s="2" t="s">
        <v>74</v>
      </c>
      <c r="H378" s="2" t="s">
        <v>74</v>
      </c>
      <c r="I378" s="2" t="s">
        <v>8038</v>
      </c>
      <c r="J378" s="2" t="s">
        <v>77</v>
      </c>
      <c r="K378" s="2" t="s">
        <v>74</v>
      </c>
      <c r="L378" s="2" t="s">
        <v>74</v>
      </c>
      <c r="M378" s="2" t="s">
        <v>74</v>
      </c>
      <c r="N378" s="2" t="s">
        <v>74</v>
      </c>
      <c r="O378" s="2" t="s">
        <v>74</v>
      </c>
      <c r="P378" s="2" t="s">
        <v>74</v>
      </c>
      <c r="Q378" s="2" t="s">
        <v>74</v>
      </c>
      <c r="R378" s="2" t="s">
        <v>74</v>
      </c>
      <c r="S378" s="2" t="s">
        <v>74</v>
      </c>
      <c r="T378" s="2" t="s">
        <v>74</v>
      </c>
      <c r="U378" s="2" t="s">
        <v>74</v>
      </c>
      <c r="V378" s="5" t="s">
        <v>8039</v>
      </c>
      <c r="W378" s="2" t="s">
        <v>74</v>
      </c>
      <c r="X378" s="2" t="s">
        <v>74</v>
      </c>
      <c r="Y378" s="2" t="s">
        <v>74</v>
      </c>
      <c r="Z378" s="2" t="s">
        <v>74</v>
      </c>
      <c r="AA378" s="2" t="s">
        <v>74</v>
      </c>
      <c r="AB378" s="2" t="s">
        <v>74</v>
      </c>
      <c r="AC378" s="2" t="s">
        <v>74</v>
      </c>
      <c r="AD378" s="2" t="s">
        <v>74</v>
      </c>
      <c r="AE378" s="2" t="s">
        <v>74</v>
      </c>
      <c r="AF378" s="2" t="s">
        <v>74</v>
      </c>
      <c r="AG378" s="2" t="s">
        <v>74</v>
      </c>
      <c r="AH378" s="2" t="s">
        <v>74</v>
      </c>
      <c r="AI378" s="2" t="s">
        <v>74</v>
      </c>
      <c r="AJ378" s="2" t="s">
        <v>74</v>
      </c>
      <c r="AK378" s="2" t="s">
        <v>74</v>
      </c>
      <c r="AL378" s="2" t="s">
        <v>74</v>
      </c>
      <c r="AM378" s="2" t="s">
        <v>74</v>
      </c>
      <c r="AN378" s="2" t="s">
        <v>74</v>
      </c>
      <c r="AO378" s="2" t="s">
        <v>81</v>
      </c>
      <c r="AP378" s="2" t="s">
        <v>74</v>
      </c>
      <c r="AQ378" s="2" t="s">
        <v>74</v>
      </c>
      <c r="AR378" s="2" t="s">
        <v>74</v>
      </c>
      <c r="AS378" s="2" t="s">
        <v>74</v>
      </c>
      <c r="AT378" s="2" t="s">
        <v>964</v>
      </c>
      <c r="AU378" s="2">
        <v>1997</v>
      </c>
      <c r="AV378" s="2">
        <v>134</v>
      </c>
      <c r="AW378" s="2" t="s">
        <v>74</v>
      </c>
      <c r="AX378" s="2" t="s">
        <v>548</v>
      </c>
      <c r="AY378" s="2" t="s">
        <v>74</v>
      </c>
      <c r="AZ378" s="2" t="s">
        <v>74</v>
      </c>
      <c r="BA378" s="2" t="s">
        <v>74</v>
      </c>
      <c r="BB378" s="2">
        <v>127</v>
      </c>
      <c r="BC378" s="2">
        <v>142</v>
      </c>
      <c r="BD378" s="2" t="s">
        <v>74</v>
      </c>
      <c r="BE378" s="2" t="s">
        <v>8040</v>
      </c>
      <c r="BF378" s="2" t="str">
        <f>HYPERLINK("http://dx.doi.org/10.1163/156853997X00313","http://dx.doi.org/10.1163/156853997X00313")</f>
        <v>http://dx.doi.org/10.1163/156853997X00313</v>
      </c>
      <c r="BG378" s="2" t="s">
        <v>74</v>
      </c>
      <c r="BH378" s="2" t="s">
        <v>74</v>
      </c>
      <c r="BI378" s="2" t="s">
        <v>74</v>
      </c>
      <c r="BJ378" s="2" t="s">
        <v>74</v>
      </c>
      <c r="BK378" s="2" t="s">
        <v>74</v>
      </c>
      <c r="BL378" s="2" t="s">
        <v>74</v>
      </c>
      <c r="BM378" s="2" t="s">
        <v>74</v>
      </c>
      <c r="BN378" s="2" t="s">
        <v>74</v>
      </c>
      <c r="BO378" s="2" t="s">
        <v>74</v>
      </c>
      <c r="BP378" s="2" t="s">
        <v>74</v>
      </c>
      <c r="BQ378" s="2" t="s">
        <v>74</v>
      </c>
      <c r="BR378" s="2" t="s">
        <v>74</v>
      </c>
      <c r="BS378" s="2" t="s">
        <v>8041</v>
      </c>
      <c r="BT378" s="2" t="str">
        <f>HYPERLINK("https%3A%2F%2Fwww.webofscience.com%2Fwos%2Fwoscc%2Ffull-record%2FWOS:A1997WJ21600007","View Full Record in Web of Science")</f>
        <v>View Full Record in Web of Science</v>
      </c>
    </row>
    <row r="379" spans="1:72" s="2" customFormat="1" x14ac:dyDescent="0.4">
      <c r="A379" s="2" t="s">
        <v>72</v>
      </c>
      <c r="B379" s="2" t="s">
        <v>2659</v>
      </c>
      <c r="C379" s="2" t="s">
        <v>74</v>
      </c>
      <c r="D379" s="2" t="s">
        <v>74</v>
      </c>
      <c r="E379" s="2" t="s">
        <v>74</v>
      </c>
      <c r="F379" s="2" t="s">
        <v>2660</v>
      </c>
      <c r="G379" s="2" t="s">
        <v>74</v>
      </c>
      <c r="H379" s="2" t="s">
        <v>74</v>
      </c>
      <c r="I379" s="2" t="s">
        <v>2661</v>
      </c>
      <c r="J379" s="2" t="s">
        <v>2662</v>
      </c>
      <c r="K379" s="2" t="s">
        <v>74</v>
      </c>
      <c r="L379" s="2" t="s">
        <v>74</v>
      </c>
      <c r="M379" s="2" t="s">
        <v>74</v>
      </c>
      <c r="N379" s="2" t="s">
        <v>74</v>
      </c>
      <c r="O379" s="2" t="s">
        <v>74</v>
      </c>
      <c r="P379" s="2" t="s">
        <v>74</v>
      </c>
      <c r="Q379" s="2" t="s">
        <v>74</v>
      </c>
      <c r="R379" s="2" t="s">
        <v>74</v>
      </c>
      <c r="S379" s="2" t="s">
        <v>74</v>
      </c>
      <c r="T379" s="2" t="s">
        <v>74</v>
      </c>
      <c r="U379" s="2" t="s">
        <v>74</v>
      </c>
      <c r="V379" s="5" t="s">
        <v>2663</v>
      </c>
      <c r="W379" s="2" t="s">
        <v>74</v>
      </c>
      <c r="X379" s="2" t="s">
        <v>74</v>
      </c>
      <c r="Y379" s="2" t="s">
        <v>74</v>
      </c>
      <c r="Z379" s="2" t="s">
        <v>74</v>
      </c>
      <c r="AA379" s="2" t="s">
        <v>74</v>
      </c>
      <c r="AB379" s="2" t="s">
        <v>74</v>
      </c>
      <c r="AC379" s="2" t="s">
        <v>74</v>
      </c>
      <c r="AD379" s="2" t="s">
        <v>74</v>
      </c>
      <c r="AE379" s="2" t="s">
        <v>74</v>
      </c>
      <c r="AF379" s="2" t="s">
        <v>74</v>
      </c>
      <c r="AG379" s="2" t="s">
        <v>74</v>
      </c>
      <c r="AH379" s="2" t="s">
        <v>74</v>
      </c>
      <c r="AI379" s="2" t="s">
        <v>74</v>
      </c>
      <c r="AJ379" s="2" t="s">
        <v>74</v>
      </c>
      <c r="AK379" s="2" t="s">
        <v>74</v>
      </c>
      <c r="AL379" s="2" t="s">
        <v>74</v>
      </c>
      <c r="AM379" s="2" t="s">
        <v>74</v>
      </c>
      <c r="AN379" s="2" t="s">
        <v>74</v>
      </c>
      <c r="AO379" s="2" t="s">
        <v>2664</v>
      </c>
      <c r="AP379" s="2" t="s">
        <v>2665</v>
      </c>
      <c r="AQ379" s="2" t="s">
        <v>74</v>
      </c>
      <c r="AR379" s="2" t="s">
        <v>74</v>
      </c>
      <c r="AS379" s="2" t="s">
        <v>74</v>
      </c>
      <c r="AT379" s="2" t="s">
        <v>352</v>
      </c>
      <c r="AU379" s="2">
        <v>2014</v>
      </c>
      <c r="AV379" s="2">
        <v>48</v>
      </c>
      <c r="AW379" s="2">
        <v>3</v>
      </c>
      <c r="AX379" s="2" t="s">
        <v>74</v>
      </c>
      <c r="AY379" s="2" t="s">
        <v>74</v>
      </c>
      <c r="AZ379" s="2" t="s">
        <v>74</v>
      </c>
      <c r="BA379" s="2" t="s">
        <v>74</v>
      </c>
      <c r="BB379" s="2">
        <v>240</v>
      </c>
      <c r="BC379" s="2">
        <v>247</v>
      </c>
      <c r="BD379" s="2" t="s">
        <v>74</v>
      </c>
      <c r="BE379" s="2" t="s">
        <v>2666</v>
      </c>
      <c r="BF379" s="2" t="str">
        <f>HYPERLINK("http://dx.doi.org/10.3356/0892-1016-48.3.240","http://dx.doi.org/10.3356/0892-1016-48.3.240")</f>
        <v>http://dx.doi.org/10.3356/0892-1016-48.3.240</v>
      </c>
      <c r="BG379" s="2" t="s">
        <v>74</v>
      </c>
      <c r="BH379" s="2" t="s">
        <v>74</v>
      </c>
      <c r="BI379" s="2" t="s">
        <v>74</v>
      </c>
      <c r="BJ379" s="2" t="s">
        <v>74</v>
      </c>
      <c r="BK379" s="2" t="s">
        <v>74</v>
      </c>
      <c r="BL379" s="2" t="s">
        <v>74</v>
      </c>
      <c r="BM379" s="2" t="s">
        <v>74</v>
      </c>
      <c r="BN379" s="2" t="s">
        <v>74</v>
      </c>
      <c r="BO379" s="2" t="s">
        <v>74</v>
      </c>
      <c r="BP379" s="2" t="s">
        <v>74</v>
      </c>
      <c r="BQ379" s="2" t="s">
        <v>74</v>
      </c>
      <c r="BR379" s="2" t="s">
        <v>74</v>
      </c>
      <c r="BS379" s="2" t="s">
        <v>2667</v>
      </c>
      <c r="BT379" s="2" t="str">
        <f>HYPERLINK("https%3A%2F%2Fwww.webofscience.com%2Fwos%2Fwoscc%2Ffull-record%2FWOS:000341096200005","View Full Record in Web of Science")</f>
        <v>View Full Record in Web of Science</v>
      </c>
    </row>
    <row r="380" spans="1:72" s="2" customFormat="1" x14ac:dyDescent="0.4">
      <c r="A380" s="2" t="s">
        <v>72</v>
      </c>
      <c r="B380" s="2" t="s">
        <v>1624</v>
      </c>
      <c r="C380" s="2" t="s">
        <v>74</v>
      </c>
      <c r="D380" s="2" t="s">
        <v>74</v>
      </c>
      <c r="E380" s="2" t="s">
        <v>74</v>
      </c>
      <c r="F380" s="2" t="s">
        <v>1625</v>
      </c>
      <c r="G380" s="2" t="s">
        <v>74</v>
      </c>
      <c r="H380" s="2" t="s">
        <v>74</v>
      </c>
      <c r="I380" s="2" t="s">
        <v>1626</v>
      </c>
      <c r="J380" s="2" t="s">
        <v>129</v>
      </c>
      <c r="K380" s="2" t="s">
        <v>74</v>
      </c>
      <c r="L380" s="2" t="s">
        <v>74</v>
      </c>
      <c r="M380" s="2" t="s">
        <v>74</v>
      </c>
      <c r="N380" s="2" t="s">
        <v>74</v>
      </c>
      <c r="O380" s="2" t="s">
        <v>74</v>
      </c>
      <c r="P380" s="2" t="s">
        <v>74</v>
      </c>
      <c r="Q380" s="2" t="s">
        <v>74</v>
      </c>
      <c r="R380" s="2" t="s">
        <v>74</v>
      </c>
      <c r="S380" s="2" t="s">
        <v>74</v>
      </c>
      <c r="T380" s="2" t="s">
        <v>74</v>
      </c>
      <c r="U380" s="2" t="s">
        <v>74</v>
      </c>
      <c r="V380" s="5" t="s">
        <v>1627</v>
      </c>
      <c r="W380" s="2" t="s">
        <v>74</v>
      </c>
      <c r="X380" s="2" t="s">
        <v>74</v>
      </c>
      <c r="Y380" s="2" t="s">
        <v>74</v>
      </c>
      <c r="Z380" s="2" t="s">
        <v>74</v>
      </c>
      <c r="AA380" s="2" t="s">
        <v>74</v>
      </c>
      <c r="AB380" s="2" t="s">
        <v>1628</v>
      </c>
      <c r="AC380" s="2" t="s">
        <v>74</v>
      </c>
      <c r="AD380" s="2" t="s">
        <v>74</v>
      </c>
      <c r="AE380" s="2" t="s">
        <v>74</v>
      </c>
      <c r="AF380" s="2" t="s">
        <v>74</v>
      </c>
      <c r="AG380" s="2" t="s">
        <v>74</v>
      </c>
      <c r="AH380" s="2" t="s">
        <v>74</v>
      </c>
      <c r="AI380" s="2" t="s">
        <v>74</v>
      </c>
      <c r="AJ380" s="2" t="s">
        <v>74</v>
      </c>
      <c r="AK380" s="2" t="s">
        <v>74</v>
      </c>
      <c r="AL380" s="2" t="s">
        <v>74</v>
      </c>
      <c r="AM380" s="2" t="s">
        <v>74</v>
      </c>
      <c r="AN380" s="2" t="s">
        <v>74</v>
      </c>
      <c r="AO380" s="2" t="s">
        <v>132</v>
      </c>
      <c r="AP380" s="2" t="s">
        <v>133</v>
      </c>
      <c r="AQ380" s="2" t="s">
        <v>74</v>
      </c>
      <c r="AR380" s="2" t="s">
        <v>74</v>
      </c>
      <c r="AS380" s="2" t="s">
        <v>74</v>
      </c>
      <c r="AT380" s="2" t="s">
        <v>1629</v>
      </c>
      <c r="AU380" s="2">
        <v>2020</v>
      </c>
      <c r="AV380" s="2">
        <v>74</v>
      </c>
      <c r="AW380" s="2">
        <v>10</v>
      </c>
      <c r="AX380" s="2" t="s">
        <v>74</v>
      </c>
      <c r="AY380" s="2" t="s">
        <v>74</v>
      </c>
      <c r="AZ380" s="2" t="s">
        <v>74</v>
      </c>
      <c r="BA380" s="2" t="s">
        <v>74</v>
      </c>
      <c r="BB380" s="2" t="s">
        <v>74</v>
      </c>
      <c r="BC380" s="2" t="s">
        <v>74</v>
      </c>
      <c r="BD380" s="2">
        <v>116</v>
      </c>
      <c r="BE380" s="2" t="s">
        <v>1630</v>
      </c>
      <c r="BF380" s="2" t="str">
        <f>HYPERLINK("http://dx.doi.org/10.1007/s00265-020-02899-w","http://dx.doi.org/10.1007/s00265-020-02899-w")</f>
        <v>http://dx.doi.org/10.1007/s00265-020-02899-w</v>
      </c>
      <c r="BG380" s="2" t="s">
        <v>74</v>
      </c>
      <c r="BH380" s="2" t="s">
        <v>74</v>
      </c>
      <c r="BI380" s="2" t="s">
        <v>74</v>
      </c>
      <c r="BJ380" s="2" t="s">
        <v>74</v>
      </c>
      <c r="BK380" s="2" t="s">
        <v>74</v>
      </c>
      <c r="BL380" s="2" t="s">
        <v>74</v>
      </c>
      <c r="BM380" s="2" t="s">
        <v>74</v>
      </c>
      <c r="BN380" s="2" t="s">
        <v>74</v>
      </c>
      <c r="BO380" s="2" t="s">
        <v>74</v>
      </c>
      <c r="BP380" s="2" t="s">
        <v>74</v>
      </c>
      <c r="BQ380" s="2" t="s">
        <v>74</v>
      </c>
      <c r="BR380" s="2" t="s">
        <v>74</v>
      </c>
      <c r="BS380" s="2" t="s">
        <v>1631</v>
      </c>
      <c r="BT380" s="2" t="str">
        <f>HYPERLINK("https%3A%2F%2Fwww.webofscience.com%2Fwos%2Fwoscc%2Ffull-record%2FWOS:000565883300001","View Full Record in Web of Science")</f>
        <v>View Full Record in Web of Science</v>
      </c>
    </row>
    <row r="381" spans="1:72" s="2" customFormat="1" x14ac:dyDescent="0.4">
      <c r="A381" s="2" t="s">
        <v>72</v>
      </c>
      <c r="B381" s="2" t="s">
        <v>3408</v>
      </c>
      <c r="C381" s="2" t="s">
        <v>74</v>
      </c>
      <c r="D381" s="2" t="s">
        <v>74</v>
      </c>
      <c r="E381" s="2" t="s">
        <v>74</v>
      </c>
      <c r="F381" s="2" t="s">
        <v>3409</v>
      </c>
      <c r="G381" s="2" t="s">
        <v>74</v>
      </c>
      <c r="H381" s="2" t="s">
        <v>74</v>
      </c>
      <c r="I381" s="2" t="s">
        <v>3410</v>
      </c>
      <c r="J381" s="2" t="s">
        <v>3411</v>
      </c>
      <c r="K381" s="2" t="s">
        <v>74</v>
      </c>
      <c r="L381" s="2" t="s">
        <v>74</v>
      </c>
      <c r="M381" s="2" t="s">
        <v>74</v>
      </c>
      <c r="N381" s="2" t="s">
        <v>74</v>
      </c>
      <c r="O381" s="2" t="s">
        <v>74</v>
      </c>
      <c r="P381" s="2" t="s">
        <v>74</v>
      </c>
      <c r="Q381" s="2" t="s">
        <v>74</v>
      </c>
      <c r="R381" s="2" t="s">
        <v>74</v>
      </c>
      <c r="S381" s="2" t="s">
        <v>74</v>
      </c>
      <c r="T381" s="2" t="s">
        <v>74</v>
      </c>
      <c r="U381" s="2" t="s">
        <v>74</v>
      </c>
      <c r="V381" s="5" t="s">
        <v>3412</v>
      </c>
      <c r="W381" s="2" t="s">
        <v>74</v>
      </c>
      <c r="X381" s="2" t="s">
        <v>74</v>
      </c>
      <c r="Y381" s="2" t="s">
        <v>74</v>
      </c>
      <c r="Z381" s="2" t="s">
        <v>74</v>
      </c>
      <c r="AA381" s="2" t="s">
        <v>3413</v>
      </c>
      <c r="AB381" s="2" t="s">
        <v>3414</v>
      </c>
      <c r="AC381" s="2" t="s">
        <v>74</v>
      </c>
      <c r="AD381" s="2" t="s">
        <v>74</v>
      </c>
      <c r="AE381" s="2" t="s">
        <v>74</v>
      </c>
      <c r="AF381" s="2" t="s">
        <v>74</v>
      </c>
      <c r="AG381" s="2" t="s">
        <v>74</v>
      </c>
      <c r="AH381" s="2" t="s">
        <v>74</v>
      </c>
      <c r="AI381" s="2" t="s">
        <v>74</v>
      </c>
      <c r="AJ381" s="2" t="s">
        <v>74</v>
      </c>
      <c r="AK381" s="2" t="s">
        <v>74</v>
      </c>
      <c r="AL381" s="2" t="s">
        <v>74</v>
      </c>
      <c r="AM381" s="2" t="s">
        <v>74</v>
      </c>
      <c r="AN381" s="2" t="s">
        <v>74</v>
      </c>
      <c r="AO381" s="2" t="s">
        <v>3415</v>
      </c>
      <c r="AP381" s="2" t="s">
        <v>3416</v>
      </c>
      <c r="AQ381" s="2" t="s">
        <v>74</v>
      </c>
      <c r="AR381" s="2" t="s">
        <v>74</v>
      </c>
      <c r="AS381" s="2" t="s">
        <v>74</v>
      </c>
      <c r="AT381" s="2" t="s">
        <v>74</v>
      </c>
      <c r="AU381" s="2">
        <v>2018</v>
      </c>
      <c r="AV381" s="2">
        <v>118</v>
      </c>
      <c r="AW381" s="2">
        <v>4</v>
      </c>
      <c r="AX381" s="2" t="s">
        <v>74</v>
      </c>
      <c r="AY381" s="2" t="s">
        <v>74</v>
      </c>
      <c r="AZ381" s="2" t="s">
        <v>74</v>
      </c>
      <c r="BA381" s="2" t="s">
        <v>74</v>
      </c>
      <c r="BB381" s="2">
        <v>369</v>
      </c>
      <c r="BC381" s="2">
        <v>374</v>
      </c>
      <c r="BD381" s="2" t="s">
        <v>74</v>
      </c>
      <c r="BE381" s="2" t="s">
        <v>3417</v>
      </c>
      <c r="BF381" s="2" t="str">
        <f>HYPERLINK("http://dx.doi.org/10.1080/01584197.2018.1453304","http://dx.doi.org/10.1080/01584197.2018.1453304")</f>
        <v>http://dx.doi.org/10.1080/01584197.2018.1453304</v>
      </c>
      <c r="BG381" s="2" t="s">
        <v>74</v>
      </c>
      <c r="BH381" s="2" t="s">
        <v>74</v>
      </c>
      <c r="BI381" s="2" t="s">
        <v>74</v>
      </c>
      <c r="BJ381" s="2" t="s">
        <v>74</v>
      </c>
      <c r="BK381" s="2" t="s">
        <v>74</v>
      </c>
      <c r="BL381" s="2" t="s">
        <v>74</v>
      </c>
      <c r="BM381" s="2" t="s">
        <v>74</v>
      </c>
      <c r="BN381" s="2" t="s">
        <v>74</v>
      </c>
      <c r="BO381" s="2" t="s">
        <v>74</v>
      </c>
      <c r="BP381" s="2" t="s">
        <v>74</v>
      </c>
      <c r="BQ381" s="2" t="s">
        <v>74</v>
      </c>
      <c r="BR381" s="2" t="s">
        <v>74</v>
      </c>
      <c r="BS381" s="2" t="s">
        <v>3418</v>
      </c>
      <c r="BT381" s="2" t="str">
        <f>HYPERLINK("https%3A%2F%2Fwww.webofscience.com%2Fwos%2Fwoscc%2Ffull-record%2FWOS:000451715900007","View Full Record in Web of Science")</f>
        <v>View Full Record in Web of Science</v>
      </c>
    </row>
    <row r="382" spans="1:72" s="2" customFormat="1" x14ac:dyDescent="0.4">
      <c r="A382" s="2" t="s">
        <v>72</v>
      </c>
      <c r="B382" s="2" t="s">
        <v>2356</v>
      </c>
      <c r="C382" s="2" t="s">
        <v>74</v>
      </c>
      <c r="D382" s="2" t="s">
        <v>74</v>
      </c>
      <c r="E382" s="2" t="s">
        <v>74</v>
      </c>
      <c r="F382" s="2" t="s">
        <v>2357</v>
      </c>
      <c r="G382" s="2" t="s">
        <v>74</v>
      </c>
      <c r="H382" s="2" t="s">
        <v>74</v>
      </c>
      <c r="I382" s="2" t="s">
        <v>2358</v>
      </c>
      <c r="J382" s="2" t="s">
        <v>509</v>
      </c>
      <c r="K382" s="2" t="s">
        <v>74</v>
      </c>
      <c r="L382" s="2" t="s">
        <v>74</v>
      </c>
      <c r="M382" s="2" t="s">
        <v>74</v>
      </c>
      <c r="N382" s="2" t="s">
        <v>74</v>
      </c>
      <c r="O382" s="2" t="s">
        <v>74</v>
      </c>
      <c r="P382" s="2" t="s">
        <v>74</v>
      </c>
      <c r="Q382" s="2" t="s">
        <v>74</v>
      </c>
      <c r="R382" s="2" t="s">
        <v>74</v>
      </c>
      <c r="S382" s="2" t="s">
        <v>74</v>
      </c>
      <c r="T382" s="2" t="s">
        <v>74</v>
      </c>
      <c r="U382" s="2" t="s">
        <v>74</v>
      </c>
      <c r="V382" s="5" t="s">
        <v>2359</v>
      </c>
      <c r="W382" s="2" t="s">
        <v>74</v>
      </c>
      <c r="X382" s="2" t="s">
        <v>74</v>
      </c>
      <c r="Y382" s="2" t="s">
        <v>74</v>
      </c>
      <c r="Z382" s="2" t="s">
        <v>74</v>
      </c>
      <c r="AA382" s="2" t="s">
        <v>2360</v>
      </c>
      <c r="AB382" s="2" t="s">
        <v>2361</v>
      </c>
      <c r="AC382" s="2" t="s">
        <v>74</v>
      </c>
      <c r="AD382" s="2" t="s">
        <v>74</v>
      </c>
      <c r="AE382" s="2" t="s">
        <v>74</v>
      </c>
      <c r="AF382" s="2" t="s">
        <v>74</v>
      </c>
      <c r="AG382" s="2" t="s">
        <v>74</v>
      </c>
      <c r="AH382" s="2" t="s">
        <v>74</v>
      </c>
      <c r="AI382" s="2" t="s">
        <v>74</v>
      </c>
      <c r="AJ382" s="2" t="s">
        <v>74</v>
      </c>
      <c r="AK382" s="2" t="s">
        <v>74</v>
      </c>
      <c r="AL382" s="2" t="s">
        <v>74</v>
      </c>
      <c r="AM382" s="2" t="s">
        <v>74</v>
      </c>
      <c r="AN382" s="2" t="s">
        <v>74</v>
      </c>
      <c r="AO382" s="2" t="s">
        <v>511</v>
      </c>
      <c r="AP382" s="2" t="s">
        <v>512</v>
      </c>
      <c r="AQ382" s="2" t="s">
        <v>74</v>
      </c>
      <c r="AR382" s="2" t="s">
        <v>74</v>
      </c>
      <c r="AS382" s="2" t="s">
        <v>74</v>
      </c>
      <c r="AT382" s="2" t="s">
        <v>134</v>
      </c>
      <c r="AU382" s="2">
        <v>2015</v>
      </c>
      <c r="AV382" s="2">
        <v>71</v>
      </c>
      <c r="AW382" s="2" t="s">
        <v>74</v>
      </c>
      <c r="AX382" s="2" t="s">
        <v>74</v>
      </c>
      <c r="AY382" s="2" t="s">
        <v>74</v>
      </c>
      <c r="AZ382" s="2" t="s">
        <v>74</v>
      </c>
      <c r="BA382" s="2" t="s">
        <v>74</v>
      </c>
      <c r="BB382" s="2">
        <v>10</v>
      </c>
      <c r="BC382" s="2">
        <v>15</v>
      </c>
      <c r="BD382" s="2" t="s">
        <v>74</v>
      </c>
      <c r="BE382" s="2" t="s">
        <v>2362</v>
      </c>
      <c r="BF382" s="2" t="str">
        <f>HYPERLINK("http://dx.doi.org/10.1016/j.yhbeh.2015.03.005","http://dx.doi.org/10.1016/j.yhbeh.2015.03.005")</f>
        <v>http://dx.doi.org/10.1016/j.yhbeh.2015.03.005</v>
      </c>
      <c r="BG382" s="2" t="s">
        <v>74</v>
      </c>
      <c r="BH382" s="2" t="s">
        <v>74</v>
      </c>
      <c r="BI382" s="2" t="s">
        <v>74</v>
      </c>
      <c r="BJ382" s="2" t="s">
        <v>74</v>
      </c>
      <c r="BK382" s="2" t="s">
        <v>74</v>
      </c>
      <c r="BL382" s="2" t="s">
        <v>74</v>
      </c>
      <c r="BM382" s="2" t="s">
        <v>74</v>
      </c>
      <c r="BN382" s="2">
        <v>25840012</v>
      </c>
      <c r="BO382" s="2" t="s">
        <v>74</v>
      </c>
      <c r="BP382" s="2" t="s">
        <v>74</v>
      </c>
      <c r="BQ382" s="2" t="s">
        <v>74</v>
      </c>
      <c r="BR382" s="2" t="s">
        <v>74</v>
      </c>
      <c r="BS382" s="2" t="s">
        <v>2363</v>
      </c>
      <c r="BT382" s="2" t="str">
        <f>HYPERLINK("https%3A%2F%2Fwww.webofscience.com%2Fwos%2Fwoscc%2Ffull-record%2FWOS:000355573500002","View Full Record in Web of Science")</f>
        <v>View Full Record in Web of Science</v>
      </c>
    </row>
    <row r="383" spans="1:72" s="2" customFormat="1" x14ac:dyDescent="0.4">
      <c r="A383" s="2" t="s">
        <v>72</v>
      </c>
      <c r="B383" s="2" t="s">
        <v>5806</v>
      </c>
      <c r="C383" s="2" t="s">
        <v>74</v>
      </c>
      <c r="D383" s="2" t="s">
        <v>74</v>
      </c>
      <c r="E383" s="2" t="s">
        <v>74</v>
      </c>
      <c r="F383" s="2" t="s">
        <v>5806</v>
      </c>
      <c r="G383" s="2" t="s">
        <v>74</v>
      </c>
      <c r="H383" s="2" t="s">
        <v>74</v>
      </c>
      <c r="I383" s="2" t="s">
        <v>5807</v>
      </c>
      <c r="J383" s="2" t="s">
        <v>1533</v>
      </c>
      <c r="K383" s="2" t="s">
        <v>74</v>
      </c>
      <c r="L383" s="2" t="s">
        <v>74</v>
      </c>
      <c r="M383" s="2" t="s">
        <v>74</v>
      </c>
      <c r="N383" s="2" t="s">
        <v>74</v>
      </c>
      <c r="O383" s="2" t="s">
        <v>74</v>
      </c>
      <c r="P383" s="2" t="s">
        <v>74</v>
      </c>
      <c r="Q383" s="2" t="s">
        <v>74</v>
      </c>
      <c r="R383" s="2" t="s">
        <v>74</v>
      </c>
      <c r="S383" s="2" t="s">
        <v>74</v>
      </c>
      <c r="T383" s="2" t="s">
        <v>74</v>
      </c>
      <c r="U383" s="2" t="s">
        <v>74</v>
      </c>
      <c r="V383" s="5" t="s">
        <v>5808</v>
      </c>
      <c r="W383" s="2" t="s">
        <v>74</v>
      </c>
      <c r="X383" s="2" t="s">
        <v>74</v>
      </c>
      <c r="Y383" s="2" t="s">
        <v>74</v>
      </c>
      <c r="Z383" s="2" t="s">
        <v>74</v>
      </c>
      <c r="AA383" s="2" t="s">
        <v>74</v>
      </c>
      <c r="AB383" s="2" t="s">
        <v>74</v>
      </c>
      <c r="AC383" s="2" t="s">
        <v>74</v>
      </c>
      <c r="AD383" s="2" t="s">
        <v>74</v>
      </c>
      <c r="AE383" s="2" t="s">
        <v>74</v>
      </c>
      <c r="AF383" s="2" t="s">
        <v>74</v>
      </c>
      <c r="AG383" s="2" t="s">
        <v>74</v>
      </c>
      <c r="AH383" s="2" t="s">
        <v>74</v>
      </c>
      <c r="AI383" s="2" t="s">
        <v>74</v>
      </c>
      <c r="AJ383" s="2" t="s">
        <v>74</v>
      </c>
      <c r="AK383" s="2" t="s">
        <v>74</v>
      </c>
      <c r="AL383" s="2" t="s">
        <v>74</v>
      </c>
      <c r="AM383" s="2" t="s">
        <v>74</v>
      </c>
      <c r="AN383" s="2" t="s">
        <v>74</v>
      </c>
      <c r="AO383" s="2" t="s">
        <v>1535</v>
      </c>
      <c r="AP383" s="2" t="s">
        <v>1536</v>
      </c>
      <c r="AQ383" s="2" t="s">
        <v>74</v>
      </c>
      <c r="AR383" s="2" t="s">
        <v>74</v>
      </c>
      <c r="AS383" s="2" t="s">
        <v>74</v>
      </c>
      <c r="AT383" s="2" t="s">
        <v>74</v>
      </c>
      <c r="AU383" s="2">
        <v>1980</v>
      </c>
      <c r="AV383" s="2">
        <v>33</v>
      </c>
      <c r="AW383" s="2">
        <v>3</v>
      </c>
      <c r="AX383" s="2" t="s">
        <v>74</v>
      </c>
      <c r="AY383" s="2" t="s">
        <v>74</v>
      </c>
      <c r="AZ383" s="2" t="s">
        <v>74</v>
      </c>
      <c r="BA383" s="2" t="s">
        <v>74</v>
      </c>
      <c r="BB383" s="2">
        <v>383</v>
      </c>
      <c r="BC383" s="2">
        <v>395</v>
      </c>
      <c r="BD383" s="2" t="s">
        <v>74</v>
      </c>
      <c r="BE383" s="2" t="s">
        <v>5809</v>
      </c>
      <c r="BF383" s="2" t="str">
        <f>HYPERLINK("http://dx.doi.org/10.1901/jeab.1980.33-383","http://dx.doi.org/10.1901/jeab.1980.33-383")</f>
        <v>http://dx.doi.org/10.1901/jeab.1980.33-383</v>
      </c>
      <c r="BG383" s="2" t="s">
        <v>74</v>
      </c>
      <c r="BH383" s="2" t="s">
        <v>74</v>
      </c>
      <c r="BI383" s="2" t="s">
        <v>74</v>
      </c>
      <c r="BJ383" s="2" t="s">
        <v>74</v>
      </c>
      <c r="BK383" s="2" t="s">
        <v>74</v>
      </c>
      <c r="BL383" s="2" t="s">
        <v>74</v>
      </c>
      <c r="BM383" s="2" t="s">
        <v>74</v>
      </c>
      <c r="BN383" s="2">
        <v>16812171</v>
      </c>
      <c r="BO383" s="2" t="s">
        <v>74</v>
      </c>
      <c r="BP383" s="2" t="s">
        <v>74</v>
      </c>
      <c r="BQ383" s="2" t="s">
        <v>74</v>
      </c>
      <c r="BR383" s="2" t="s">
        <v>74</v>
      </c>
      <c r="BS383" s="2" t="s">
        <v>5810</v>
      </c>
      <c r="BT383" s="2" t="str">
        <f>HYPERLINK("https%3A%2F%2Fwww.webofscience.com%2Fwos%2Fwoscc%2Ffull-record%2FWOS:A1980JR70200008","View Full Record in Web of Science")</f>
        <v>View Full Record in Web of Science</v>
      </c>
    </row>
    <row r="384" spans="1:72" s="2" customFormat="1" x14ac:dyDescent="0.4">
      <c r="A384" s="2" t="s">
        <v>72</v>
      </c>
      <c r="B384" s="2" t="s">
        <v>7332</v>
      </c>
      <c r="C384" s="2" t="s">
        <v>74</v>
      </c>
      <c r="D384" s="2" t="s">
        <v>74</v>
      </c>
      <c r="E384" s="2" t="s">
        <v>74</v>
      </c>
      <c r="F384" s="2" t="s">
        <v>7333</v>
      </c>
      <c r="G384" s="2" t="s">
        <v>74</v>
      </c>
      <c r="H384" s="2" t="s">
        <v>74</v>
      </c>
      <c r="I384" s="2" t="s">
        <v>7334</v>
      </c>
      <c r="J384" s="2" t="s">
        <v>1384</v>
      </c>
      <c r="K384" s="2" t="s">
        <v>74</v>
      </c>
      <c r="L384" s="2" t="s">
        <v>74</v>
      </c>
      <c r="M384" s="2" t="s">
        <v>74</v>
      </c>
      <c r="N384" s="2" t="s">
        <v>74</v>
      </c>
      <c r="O384" s="2" t="s">
        <v>74</v>
      </c>
      <c r="P384" s="2" t="s">
        <v>74</v>
      </c>
      <c r="Q384" s="2" t="s">
        <v>74</v>
      </c>
      <c r="R384" s="2" t="s">
        <v>74</v>
      </c>
      <c r="S384" s="2" t="s">
        <v>74</v>
      </c>
      <c r="T384" s="2" t="s">
        <v>74</v>
      </c>
      <c r="U384" s="2" t="s">
        <v>74</v>
      </c>
      <c r="V384" s="5" t="s">
        <v>7335</v>
      </c>
      <c r="W384" s="2" t="s">
        <v>74</v>
      </c>
      <c r="X384" s="2" t="s">
        <v>74</v>
      </c>
      <c r="Y384" s="2" t="s">
        <v>74</v>
      </c>
      <c r="Z384" s="2" t="s">
        <v>74</v>
      </c>
      <c r="AA384" s="2" t="s">
        <v>7336</v>
      </c>
      <c r="AB384" s="2" t="s">
        <v>7337</v>
      </c>
      <c r="AC384" s="2" t="s">
        <v>74</v>
      </c>
      <c r="AD384" s="2" t="s">
        <v>74</v>
      </c>
      <c r="AE384" s="2" t="s">
        <v>74</v>
      </c>
      <c r="AF384" s="2" t="s">
        <v>74</v>
      </c>
      <c r="AG384" s="2" t="s">
        <v>74</v>
      </c>
      <c r="AH384" s="2" t="s">
        <v>74</v>
      </c>
      <c r="AI384" s="2" t="s">
        <v>74</v>
      </c>
      <c r="AJ384" s="2" t="s">
        <v>74</v>
      </c>
      <c r="AK384" s="2" t="s">
        <v>74</v>
      </c>
      <c r="AL384" s="2" t="s">
        <v>74</v>
      </c>
      <c r="AM384" s="2" t="s">
        <v>74</v>
      </c>
      <c r="AN384" s="2" t="s">
        <v>74</v>
      </c>
      <c r="AO384" s="2" t="s">
        <v>1388</v>
      </c>
      <c r="AP384" s="2" t="s">
        <v>1389</v>
      </c>
      <c r="AQ384" s="2" t="s">
        <v>74</v>
      </c>
      <c r="AR384" s="2" t="s">
        <v>74</v>
      </c>
      <c r="AS384" s="2" t="s">
        <v>74</v>
      </c>
      <c r="AT384" s="2" t="s">
        <v>633</v>
      </c>
      <c r="AU384" s="2">
        <v>2007</v>
      </c>
      <c r="AV384" s="2">
        <v>149</v>
      </c>
      <c r="AW384" s="2">
        <v>2</v>
      </c>
      <c r="AX384" s="2" t="s">
        <v>74</v>
      </c>
      <c r="AY384" s="2" t="s">
        <v>74</v>
      </c>
      <c r="AZ384" s="2" t="s">
        <v>74</v>
      </c>
      <c r="BA384" s="2" t="s">
        <v>74</v>
      </c>
      <c r="BB384" s="2">
        <v>313</v>
      </c>
      <c r="BC384" s="2">
        <v>320</v>
      </c>
      <c r="BD384" s="2" t="s">
        <v>74</v>
      </c>
      <c r="BE384" s="2" t="s">
        <v>7338</v>
      </c>
      <c r="BF384" s="2" t="str">
        <f>HYPERLINK("http://dx.doi.org/10.1111/j.1474-919X.2006.00632.x","http://dx.doi.org/10.1111/j.1474-919X.2006.00632.x")</f>
        <v>http://dx.doi.org/10.1111/j.1474-919X.2006.00632.x</v>
      </c>
      <c r="BG384" s="2" t="s">
        <v>74</v>
      </c>
      <c r="BH384" s="2" t="s">
        <v>74</v>
      </c>
      <c r="BI384" s="2" t="s">
        <v>74</v>
      </c>
      <c r="BJ384" s="2" t="s">
        <v>74</v>
      </c>
      <c r="BK384" s="2" t="s">
        <v>74</v>
      </c>
      <c r="BL384" s="2" t="s">
        <v>74</v>
      </c>
      <c r="BM384" s="2" t="s">
        <v>74</v>
      </c>
      <c r="BN384" s="2" t="s">
        <v>74</v>
      </c>
      <c r="BO384" s="2" t="s">
        <v>74</v>
      </c>
      <c r="BP384" s="2" t="s">
        <v>74</v>
      </c>
      <c r="BQ384" s="2" t="s">
        <v>74</v>
      </c>
      <c r="BR384" s="2" t="s">
        <v>74</v>
      </c>
      <c r="BS384" s="2" t="s">
        <v>7339</v>
      </c>
      <c r="BT384" s="2" t="str">
        <f>HYPERLINK("https%3A%2F%2Fwww.webofscience.com%2Fwos%2Fwoscc%2Ffull-record%2FWOS:000245312000012","View Full Record in Web of Science")</f>
        <v>View Full Record in Web of Science</v>
      </c>
    </row>
    <row r="385" spans="1:72" s="2" customFormat="1" x14ac:dyDescent="0.4">
      <c r="A385" s="2" t="s">
        <v>72</v>
      </c>
      <c r="B385" s="2" t="s">
        <v>8550</v>
      </c>
      <c r="C385" s="2" t="s">
        <v>74</v>
      </c>
      <c r="D385" s="2" t="s">
        <v>74</v>
      </c>
      <c r="E385" s="2" t="s">
        <v>74</v>
      </c>
      <c r="F385" s="2" t="s">
        <v>8551</v>
      </c>
      <c r="G385" s="2" t="s">
        <v>74</v>
      </c>
      <c r="H385" s="2" t="s">
        <v>74</v>
      </c>
      <c r="I385" s="2" t="s">
        <v>8552</v>
      </c>
      <c r="J385" s="2" t="s">
        <v>3595</v>
      </c>
      <c r="K385" s="2" t="s">
        <v>74</v>
      </c>
      <c r="L385" s="2" t="s">
        <v>74</v>
      </c>
      <c r="M385" s="2" t="s">
        <v>74</v>
      </c>
      <c r="N385" s="2" t="s">
        <v>74</v>
      </c>
      <c r="O385" s="2" t="s">
        <v>74</v>
      </c>
      <c r="P385" s="2" t="s">
        <v>74</v>
      </c>
      <c r="Q385" s="2" t="s">
        <v>74</v>
      </c>
      <c r="R385" s="2" t="s">
        <v>74</v>
      </c>
      <c r="S385" s="2" t="s">
        <v>74</v>
      </c>
      <c r="T385" s="2" t="s">
        <v>74</v>
      </c>
      <c r="U385" s="2" t="s">
        <v>74</v>
      </c>
      <c r="V385" s="5" t="s">
        <v>8553</v>
      </c>
      <c r="W385" s="2" t="s">
        <v>74</v>
      </c>
      <c r="X385" s="2" t="s">
        <v>74</v>
      </c>
      <c r="Y385" s="2" t="s">
        <v>74</v>
      </c>
      <c r="Z385" s="2" t="s">
        <v>74</v>
      </c>
      <c r="AA385" s="2" t="s">
        <v>74</v>
      </c>
      <c r="AB385" s="2" t="s">
        <v>8554</v>
      </c>
      <c r="AC385" s="2" t="s">
        <v>74</v>
      </c>
      <c r="AD385" s="2" t="s">
        <v>74</v>
      </c>
      <c r="AE385" s="2" t="s">
        <v>74</v>
      </c>
      <c r="AF385" s="2" t="s">
        <v>74</v>
      </c>
      <c r="AG385" s="2" t="s">
        <v>74</v>
      </c>
      <c r="AH385" s="2" t="s">
        <v>74</v>
      </c>
      <c r="AI385" s="2" t="s">
        <v>74</v>
      </c>
      <c r="AJ385" s="2" t="s">
        <v>74</v>
      </c>
      <c r="AK385" s="2" t="s">
        <v>74</v>
      </c>
      <c r="AL385" s="2" t="s">
        <v>74</v>
      </c>
      <c r="AM385" s="2" t="s">
        <v>74</v>
      </c>
      <c r="AN385" s="2" t="s">
        <v>74</v>
      </c>
      <c r="AO385" s="2" t="s">
        <v>3599</v>
      </c>
      <c r="AP385" s="2" t="s">
        <v>3600</v>
      </c>
      <c r="AQ385" s="2" t="s">
        <v>74</v>
      </c>
      <c r="AR385" s="2" t="s">
        <v>74</v>
      </c>
      <c r="AS385" s="2" t="s">
        <v>74</v>
      </c>
      <c r="AT385" s="2" t="s">
        <v>134</v>
      </c>
      <c r="AU385" s="2">
        <v>2020</v>
      </c>
      <c r="AV385" s="2">
        <v>172</v>
      </c>
      <c r="AW385" s="2">
        <v>1</v>
      </c>
      <c r="AX385" s="2" t="s">
        <v>74</v>
      </c>
      <c r="AY385" s="2" t="s">
        <v>74</v>
      </c>
      <c r="AZ385" s="2" t="s">
        <v>74</v>
      </c>
      <c r="BA385" s="2" t="s">
        <v>74</v>
      </c>
      <c r="BB385" s="2">
        <v>140</v>
      </c>
      <c r="BC385" s="2">
        <v>147</v>
      </c>
      <c r="BD385" s="2" t="s">
        <v>74</v>
      </c>
      <c r="BE385" s="2" t="s">
        <v>8555</v>
      </c>
      <c r="BF385" s="2" t="str">
        <f>HYPERLINK("http://dx.doi.org/10.1002/ajpa.24049","http://dx.doi.org/10.1002/ajpa.24049")</f>
        <v>http://dx.doi.org/10.1002/ajpa.24049</v>
      </c>
      <c r="BG385" s="2" t="s">
        <v>74</v>
      </c>
      <c r="BH385" s="2" t="s">
        <v>74</v>
      </c>
      <c r="BI385" s="2" t="s">
        <v>74</v>
      </c>
      <c r="BJ385" s="2" t="s">
        <v>74</v>
      </c>
      <c r="BK385" s="2" t="s">
        <v>74</v>
      </c>
      <c r="BL385" s="2" t="s">
        <v>74</v>
      </c>
      <c r="BM385" s="2" t="s">
        <v>74</v>
      </c>
      <c r="BN385" s="2">
        <v>32170724</v>
      </c>
      <c r="BO385" s="2" t="s">
        <v>74</v>
      </c>
      <c r="BP385" s="2" t="s">
        <v>74</v>
      </c>
      <c r="BQ385" s="2" t="s">
        <v>74</v>
      </c>
      <c r="BR385" s="2" t="s">
        <v>74</v>
      </c>
      <c r="BS385" s="2" t="s">
        <v>8556</v>
      </c>
      <c r="BT385" s="2" t="str">
        <f>HYPERLINK("https%3A%2F%2Fwww.webofscience.com%2Fwos%2Fwoscc%2Ffull-record%2FWOS:000527838500012","View Full Record in Web of Science")</f>
        <v>View Full Record in Web of Science</v>
      </c>
    </row>
    <row r="386" spans="1:72" s="2" customFormat="1" x14ac:dyDescent="0.4">
      <c r="A386" s="2" t="s">
        <v>72</v>
      </c>
      <c r="B386" s="2" t="s">
        <v>8114</v>
      </c>
      <c r="C386" s="2" t="s">
        <v>74</v>
      </c>
      <c r="D386" s="2" t="s">
        <v>74</v>
      </c>
      <c r="E386" s="2" t="s">
        <v>74</v>
      </c>
      <c r="F386" s="2" t="s">
        <v>8115</v>
      </c>
      <c r="G386" s="2" t="s">
        <v>74</v>
      </c>
      <c r="H386" s="2" t="s">
        <v>74</v>
      </c>
      <c r="I386" s="2" t="s">
        <v>8116</v>
      </c>
      <c r="J386" s="2" t="s">
        <v>2662</v>
      </c>
      <c r="K386" s="2" t="s">
        <v>74</v>
      </c>
      <c r="L386" s="2" t="s">
        <v>74</v>
      </c>
      <c r="M386" s="2" t="s">
        <v>74</v>
      </c>
      <c r="N386" s="2" t="s">
        <v>74</v>
      </c>
      <c r="O386" s="2" t="s">
        <v>74</v>
      </c>
      <c r="P386" s="2" t="s">
        <v>74</v>
      </c>
      <c r="Q386" s="2" t="s">
        <v>74</v>
      </c>
      <c r="R386" s="2" t="s">
        <v>74</v>
      </c>
      <c r="S386" s="2" t="s">
        <v>74</v>
      </c>
      <c r="T386" s="2" t="s">
        <v>74</v>
      </c>
      <c r="U386" s="2" t="s">
        <v>74</v>
      </c>
      <c r="V386" s="5" t="s">
        <v>8117</v>
      </c>
      <c r="W386" s="2" t="s">
        <v>74</v>
      </c>
      <c r="X386" s="2" t="s">
        <v>74</v>
      </c>
      <c r="Y386" s="2" t="s">
        <v>74</v>
      </c>
      <c r="Z386" s="2" t="s">
        <v>74</v>
      </c>
      <c r="AA386" s="2" t="s">
        <v>74</v>
      </c>
      <c r="AB386" s="2" t="s">
        <v>2537</v>
      </c>
      <c r="AC386" s="2" t="s">
        <v>74</v>
      </c>
      <c r="AD386" s="2" t="s">
        <v>74</v>
      </c>
      <c r="AE386" s="2" t="s">
        <v>74</v>
      </c>
      <c r="AF386" s="2" t="s">
        <v>74</v>
      </c>
      <c r="AG386" s="2" t="s">
        <v>74</v>
      </c>
      <c r="AH386" s="2" t="s">
        <v>74</v>
      </c>
      <c r="AI386" s="2" t="s">
        <v>74</v>
      </c>
      <c r="AJ386" s="2" t="s">
        <v>74</v>
      </c>
      <c r="AK386" s="2" t="s">
        <v>74</v>
      </c>
      <c r="AL386" s="2" t="s">
        <v>74</v>
      </c>
      <c r="AM386" s="2" t="s">
        <v>74</v>
      </c>
      <c r="AN386" s="2" t="s">
        <v>74</v>
      </c>
      <c r="AO386" s="2" t="s">
        <v>2664</v>
      </c>
      <c r="AP386" s="2" t="s">
        <v>2665</v>
      </c>
      <c r="AQ386" s="2" t="s">
        <v>74</v>
      </c>
      <c r="AR386" s="2" t="s">
        <v>74</v>
      </c>
      <c r="AS386" s="2" t="s">
        <v>74</v>
      </c>
      <c r="AT386" s="2" t="s">
        <v>123</v>
      </c>
      <c r="AU386" s="2">
        <v>2006</v>
      </c>
      <c r="AV386" s="2">
        <v>40</v>
      </c>
      <c r="AW386" s="2">
        <v>1</v>
      </c>
      <c r="AX386" s="2" t="s">
        <v>74</v>
      </c>
      <c r="AY386" s="2" t="s">
        <v>74</v>
      </c>
      <c r="AZ386" s="2" t="s">
        <v>74</v>
      </c>
      <c r="BA386" s="2" t="s">
        <v>74</v>
      </c>
      <c r="BB386" s="2">
        <v>1</v>
      </c>
      <c r="BC386" s="2">
        <v>28</v>
      </c>
      <c r="BD386" s="2" t="s">
        <v>74</v>
      </c>
      <c r="BE386" s="2" t="s">
        <v>8118</v>
      </c>
      <c r="BF386" s="2" t="str">
        <f>HYPERLINK("http://dx.doi.org/10.3356/0892-1016(2006)40[1:TAFAOG]2.0.CO;2","http://dx.doi.org/10.3356/0892-1016(2006)40[1:TAFAOG]2.0.CO;2")</f>
        <v>http://dx.doi.org/10.3356/0892-1016(2006)40[1:TAFAOG]2.0.CO;2</v>
      </c>
      <c r="BG386" s="2" t="s">
        <v>74</v>
      </c>
      <c r="BH386" s="2" t="s">
        <v>74</v>
      </c>
      <c r="BI386" s="2" t="s">
        <v>74</v>
      </c>
      <c r="BJ386" s="2" t="s">
        <v>74</v>
      </c>
      <c r="BK386" s="2" t="s">
        <v>74</v>
      </c>
      <c r="BL386" s="2" t="s">
        <v>74</v>
      </c>
      <c r="BM386" s="2" t="s">
        <v>74</v>
      </c>
      <c r="BN386" s="2" t="s">
        <v>74</v>
      </c>
      <c r="BO386" s="2" t="s">
        <v>74</v>
      </c>
      <c r="BP386" s="2" t="s">
        <v>74</v>
      </c>
      <c r="BQ386" s="2" t="s">
        <v>74</v>
      </c>
      <c r="BR386" s="2" t="s">
        <v>74</v>
      </c>
      <c r="BS386" s="2" t="s">
        <v>8119</v>
      </c>
      <c r="BT386" s="2" t="str">
        <f>HYPERLINK("https%3A%2F%2Fwww.webofscience.com%2Fwos%2Fwoscc%2Ffull-record%2FWOS:000237905000001","View Full Record in Web of Science")</f>
        <v>View Full Record in Web of Science</v>
      </c>
    </row>
    <row r="387" spans="1:72" s="2" customFormat="1" x14ac:dyDescent="0.4">
      <c r="A387" s="2" t="s">
        <v>72</v>
      </c>
      <c r="B387" s="2" t="s">
        <v>2534</v>
      </c>
      <c r="C387" s="2" t="s">
        <v>74</v>
      </c>
      <c r="D387" s="2" t="s">
        <v>74</v>
      </c>
      <c r="E387" s="2" t="s">
        <v>74</v>
      </c>
      <c r="F387" s="2" t="s">
        <v>2534</v>
      </c>
      <c r="G387" s="2" t="s">
        <v>74</v>
      </c>
      <c r="H387" s="2" t="s">
        <v>74</v>
      </c>
      <c r="I387" s="2" t="s">
        <v>2535</v>
      </c>
      <c r="J387" s="2" t="s">
        <v>431</v>
      </c>
      <c r="K387" s="2" t="s">
        <v>74</v>
      </c>
      <c r="L387" s="2" t="s">
        <v>74</v>
      </c>
      <c r="M387" s="2" t="s">
        <v>74</v>
      </c>
      <c r="N387" s="2" t="s">
        <v>74</v>
      </c>
      <c r="O387" s="2" t="s">
        <v>74</v>
      </c>
      <c r="P387" s="2" t="s">
        <v>74</v>
      </c>
      <c r="Q387" s="2" t="s">
        <v>74</v>
      </c>
      <c r="R387" s="2" t="s">
        <v>74</v>
      </c>
      <c r="S387" s="2" t="s">
        <v>74</v>
      </c>
      <c r="T387" s="2" t="s">
        <v>74</v>
      </c>
      <c r="U387" s="2" t="s">
        <v>74</v>
      </c>
      <c r="V387" s="5" t="s">
        <v>2536</v>
      </c>
      <c r="W387" s="2" t="s">
        <v>74</v>
      </c>
      <c r="X387" s="2" t="s">
        <v>74</v>
      </c>
      <c r="Y387" s="2" t="s">
        <v>74</v>
      </c>
      <c r="Z387" s="2" t="s">
        <v>74</v>
      </c>
      <c r="AA387" s="2" t="s">
        <v>74</v>
      </c>
      <c r="AB387" s="2" t="s">
        <v>2537</v>
      </c>
      <c r="AC387" s="2" t="s">
        <v>74</v>
      </c>
      <c r="AD387" s="2" t="s">
        <v>74</v>
      </c>
      <c r="AE387" s="2" t="s">
        <v>74</v>
      </c>
      <c r="AF387" s="2" t="s">
        <v>74</v>
      </c>
      <c r="AG387" s="2" t="s">
        <v>74</v>
      </c>
      <c r="AH387" s="2" t="s">
        <v>74</v>
      </c>
      <c r="AI387" s="2" t="s">
        <v>74</v>
      </c>
      <c r="AJ387" s="2" t="s">
        <v>74</v>
      </c>
      <c r="AK387" s="2" t="s">
        <v>74</v>
      </c>
      <c r="AL387" s="2" t="s">
        <v>74</v>
      </c>
      <c r="AM387" s="2" t="s">
        <v>74</v>
      </c>
      <c r="AN387" s="2" t="s">
        <v>74</v>
      </c>
      <c r="AO387" s="2" t="s">
        <v>74</v>
      </c>
      <c r="AP387" s="2" t="s">
        <v>435</v>
      </c>
      <c r="AQ387" s="2" t="s">
        <v>74</v>
      </c>
      <c r="AR387" s="2" t="s">
        <v>74</v>
      </c>
      <c r="AS387" s="2" t="s">
        <v>74</v>
      </c>
      <c r="AT387" s="2" t="s">
        <v>74</v>
      </c>
      <c r="AU387" s="2">
        <v>1983</v>
      </c>
      <c r="AV387" s="2">
        <v>100</v>
      </c>
      <c r="AW387" s="2">
        <v>2</v>
      </c>
      <c r="AX387" s="2" t="s">
        <v>74</v>
      </c>
      <c r="AY387" s="2" t="s">
        <v>74</v>
      </c>
      <c r="AZ387" s="2" t="s">
        <v>74</v>
      </c>
      <c r="BA387" s="2" t="s">
        <v>74</v>
      </c>
      <c r="BB387" s="2">
        <v>269</v>
      </c>
      <c r="BC387" s="2" t="s">
        <v>726</v>
      </c>
      <c r="BD387" s="2" t="s">
        <v>74</v>
      </c>
      <c r="BE387" s="2" t="s">
        <v>2538</v>
      </c>
      <c r="BF387" s="2" t="str">
        <f>HYPERLINK("http://dx.doi.org/10.1093/auk/100.2.269","http://dx.doi.org/10.1093/auk/100.2.269")</f>
        <v>http://dx.doi.org/10.1093/auk/100.2.269</v>
      </c>
      <c r="BG387" s="2" t="s">
        <v>74</v>
      </c>
      <c r="BH387" s="2" t="s">
        <v>74</v>
      </c>
      <c r="BI387" s="2" t="s">
        <v>74</v>
      </c>
      <c r="BJ387" s="2" t="s">
        <v>74</v>
      </c>
      <c r="BK387" s="2" t="s">
        <v>74</v>
      </c>
      <c r="BL387" s="2" t="s">
        <v>74</v>
      </c>
      <c r="BM387" s="2" t="s">
        <v>74</v>
      </c>
      <c r="BN387" s="2" t="s">
        <v>74</v>
      </c>
      <c r="BO387" s="2" t="s">
        <v>74</v>
      </c>
      <c r="BP387" s="2" t="s">
        <v>74</v>
      </c>
      <c r="BQ387" s="2" t="s">
        <v>74</v>
      </c>
      <c r="BR387" s="2" t="s">
        <v>74</v>
      </c>
      <c r="BS387" s="2" t="s">
        <v>2539</v>
      </c>
      <c r="BT387" s="2" t="str">
        <f>HYPERLINK("https%3A%2F%2Fwww.webofscience.com%2Fwos%2Fwoscc%2Ffull-record%2FWOS:A1983QX26300001","View Full Record in Web of Science")</f>
        <v>View Full Record in Web of Science</v>
      </c>
    </row>
    <row r="388" spans="1:72" s="2" customFormat="1" x14ac:dyDescent="0.4">
      <c r="A388" s="2" t="s">
        <v>72</v>
      </c>
      <c r="B388" s="2" t="s">
        <v>707</v>
      </c>
      <c r="C388" s="2" t="s">
        <v>74</v>
      </c>
      <c r="D388" s="2" t="s">
        <v>74</v>
      </c>
      <c r="E388" s="2" t="s">
        <v>74</v>
      </c>
      <c r="F388" s="2" t="s">
        <v>707</v>
      </c>
      <c r="G388" s="2" t="s">
        <v>74</v>
      </c>
      <c r="H388" s="2" t="s">
        <v>74</v>
      </c>
      <c r="I388" s="2" t="s">
        <v>708</v>
      </c>
      <c r="J388" s="2" t="s">
        <v>408</v>
      </c>
      <c r="K388" s="2" t="s">
        <v>74</v>
      </c>
      <c r="L388" s="2" t="s">
        <v>74</v>
      </c>
      <c r="M388" s="2" t="s">
        <v>74</v>
      </c>
      <c r="N388" s="2" t="s">
        <v>74</v>
      </c>
      <c r="O388" s="2" t="s">
        <v>74</v>
      </c>
      <c r="P388" s="2" t="s">
        <v>74</v>
      </c>
      <c r="Q388" s="2" t="s">
        <v>74</v>
      </c>
      <c r="R388" s="2" t="s">
        <v>74</v>
      </c>
      <c r="S388" s="2" t="s">
        <v>74</v>
      </c>
      <c r="T388" s="2" t="s">
        <v>74</v>
      </c>
      <c r="U388" s="2" t="s">
        <v>74</v>
      </c>
      <c r="V388" s="5" t="s">
        <v>709</v>
      </c>
      <c r="W388" s="2" t="s">
        <v>74</v>
      </c>
      <c r="X388" s="2" t="s">
        <v>74</v>
      </c>
      <c r="Y388" s="2" t="s">
        <v>74</v>
      </c>
      <c r="Z388" s="2" t="s">
        <v>74</v>
      </c>
      <c r="AA388" s="2" t="s">
        <v>710</v>
      </c>
      <c r="AB388" s="2" t="s">
        <v>711</v>
      </c>
      <c r="AC388" s="2" t="s">
        <v>74</v>
      </c>
      <c r="AD388" s="2" t="s">
        <v>74</v>
      </c>
      <c r="AE388" s="2" t="s">
        <v>74</v>
      </c>
      <c r="AF388" s="2" t="s">
        <v>74</v>
      </c>
      <c r="AG388" s="2" t="s">
        <v>74</v>
      </c>
      <c r="AH388" s="2" t="s">
        <v>74</v>
      </c>
      <c r="AI388" s="2" t="s">
        <v>74</v>
      </c>
      <c r="AJ388" s="2" t="s">
        <v>74</v>
      </c>
      <c r="AK388" s="2" t="s">
        <v>74</v>
      </c>
      <c r="AL388" s="2" t="s">
        <v>74</v>
      </c>
      <c r="AM388" s="2" t="s">
        <v>74</v>
      </c>
      <c r="AN388" s="2" t="s">
        <v>74</v>
      </c>
      <c r="AO388" s="2" t="s">
        <v>412</v>
      </c>
      <c r="AP388" s="2" t="s">
        <v>413</v>
      </c>
      <c r="AQ388" s="2" t="s">
        <v>74</v>
      </c>
      <c r="AR388" s="2" t="s">
        <v>74</v>
      </c>
      <c r="AS388" s="2" t="s">
        <v>74</v>
      </c>
      <c r="AT388" s="2" t="s">
        <v>305</v>
      </c>
      <c r="AU388" s="2">
        <v>1990</v>
      </c>
      <c r="AV388" s="2">
        <v>41</v>
      </c>
      <c r="AW388" s="2">
        <v>4</v>
      </c>
      <c r="AX388" s="2" t="s">
        <v>74</v>
      </c>
      <c r="AY388" s="2" t="s">
        <v>74</v>
      </c>
      <c r="AZ388" s="2" t="s">
        <v>74</v>
      </c>
      <c r="BA388" s="2" t="s">
        <v>74</v>
      </c>
      <c r="BB388" s="2">
        <v>315</v>
      </c>
      <c r="BC388" s="2">
        <v>352</v>
      </c>
      <c r="BD388" s="2" t="s">
        <v>74</v>
      </c>
      <c r="BE388" s="2" t="s">
        <v>712</v>
      </c>
      <c r="BF388" s="2" t="str">
        <f>HYPERLINK("http://dx.doi.org/10.1111/j.1095-8312.1990.tb00839.x","http://dx.doi.org/10.1111/j.1095-8312.1990.tb00839.x")</f>
        <v>http://dx.doi.org/10.1111/j.1095-8312.1990.tb00839.x</v>
      </c>
      <c r="BG388" s="2" t="s">
        <v>74</v>
      </c>
      <c r="BH388" s="2" t="s">
        <v>74</v>
      </c>
      <c r="BI388" s="2" t="s">
        <v>74</v>
      </c>
      <c r="BJ388" s="2" t="s">
        <v>74</v>
      </c>
      <c r="BK388" s="2" t="s">
        <v>74</v>
      </c>
      <c r="BL388" s="2" t="s">
        <v>74</v>
      </c>
      <c r="BM388" s="2" t="s">
        <v>74</v>
      </c>
      <c r="BN388" s="2" t="s">
        <v>74</v>
      </c>
      <c r="BO388" s="2" t="s">
        <v>74</v>
      </c>
      <c r="BP388" s="2" t="s">
        <v>74</v>
      </c>
      <c r="BQ388" s="2" t="s">
        <v>74</v>
      </c>
      <c r="BR388" s="2" t="s">
        <v>74</v>
      </c>
      <c r="BS388" s="2" t="s">
        <v>713</v>
      </c>
      <c r="BT388" s="2" t="str">
        <f>HYPERLINK("https%3A%2F%2Fwww.webofscience.com%2Fwos%2Fwoscc%2Ffull-record%2FWOS:A1990EQ25300002","View Full Record in Web of Science")</f>
        <v>View Full Record in Web of Science</v>
      </c>
    </row>
    <row r="389" spans="1:72" s="2" customFormat="1" x14ac:dyDescent="0.4">
      <c r="A389" s="2" t="s">
        <v>72</v>
      </c>
      <c r="B389" s="2" t="s">
        <v>5434</v>
      </c>
      <c r="C389" s="2" t="s">
        <v>74</v>
      </c>
      <c r="D389" s="2" t="s">
        <v>74</v>
      </c>
      <c r="E389" s="2" t="s">
        <v>74</v>
      </c>
      <c r="F389" s="2" t="s">
        <v>5435</v>
      </c>
      <c r="G389" s="2" t="s">
        <v>74</v>
      </c>
      <c r="H389" s="2" t="s">
        <v>74</v>
      </c>
      <c r="I389" s="2" t="s">
        <v>5436</v>
      </c>
      <c r="J389" s="2" t="s">
        <v>229</v>
      </c>
      <c r="K389" s="2" t="s">
        <v>74</v>
      </c>
      <c r="L389" s="2" t="s">
        <v>74</v>
      </c>
      <c r="M389" s="2" t="s">
        <v>74</v>
      </c>
      <c r="N389" s="2" t="s">
        <v>74</v>
      </c>
      <c r="O389" s="2" t="s">
        <v>74</v>
      </c>
      <c r="P389" s="2" t="s">
        <v>74</v>
      </c>
      <c r="Q389" s="2" t="s">
        <v>74</v>
      </c>
      <c r="R389" s="2" t="s">
        <v>74</v>
      </c>
      <c r="S389" s="2" t="s">
        <v>74</v>
      </c>
      <c r="T389" s="2" t="s">
        <v>74</v>
      </c>
      <c r="U389" s="2" t="s">
        <v>74</v>
      </c>
      <c r="V389" s="5" t="s">
        <v>5437</v>
      </c>
      <c r="W389" s="2" t="s">
        <v>74</v>
      </c>
      <c r="X389" s="2" t="s">
        <v>74</v>
      </c>
      <c r="Y389" s="2" t="s">
        <v>74</v>
      </c>
      <c r="Z389" s="2" t="s">
        <v>74</v>
      </c>
      <c r="AA389" s="2" t="s">
        <v>5438</v>
      </c>
      <c r="AB389" s="2" t="s">
        <v>5439</v>
      </c>
      <c r="AC389" s="2" t="s">
        <v>74</v>
      </c>
      <c r="AD389" s="2" t="s">
        <v>74</v>
      </c>
      <c r="AE389" s="2" t="s">
        <v>74</v>
      </c>
      <c r="AF389" s="2" t="s">
        <v>74</v>
      </c>
      <c r="AG389" s="2" t="s">
        <v>74</v>
      </c>
      <c r="AH389" s="2" t="s">
        <v>74</v>
      </c>
      <c r="AI389" s="2" t="s">
        <v>74</v>
      </c>
      <c r="AJ389" s="2" t="s">
        <v>74</v>
      </c>
      <c r="AK389" s="2" t="s">
        <v>74</v>
      </c>
      <c r="AL389" s="2" t="s">
        <v>74</v>
      </c>
      <c r="AM389" s="2" t="s">
        <v>74</v>
      </c>
      <c r="AN389" s="2" t="s">
        <v>74</v>
      </c>
      <c r="AO389" s="2" t="s">
        <v>233</v>
      </c>
      <c r="AP389" s="2" t="s">
        <v>234</v>
      </c>
      <c r="AQ389" s="2" t="s">
        <v>74</v>
      </c>
      <c r="AR389" s="2" t="s">
        <v>74</v>
      </c>
      <c r="AS389" s="2" t="s">
        <v>74</v>
      </c>
      <c r="AT389" s="2" t="s">
        <v>123</v>
      </c>
      <c r="AU389" s="2">
        <v>2014</v>
      </c>
      <c r="AV389" s="2">
        <v>40</v>
      </c>
      <c r="AW389" s="2">
        <v>2</v>
      </c>
      <c r="AX389" s="2" t="s">
        <v>74</v>
      </c>
      <c r="AY389" s="2" t="s">
        <v>74</v>
      </c>
      <c r="AZ389" s="2" t="s">
        <v>74</v>
      </c>
      <c r="BA389" s="2" t="s">
        <v>74</v>
      </c>
      <c r="BB389" s="2">
        <v>109</v>
      </c>
      <c r="BC389" s="2">
        <v>119</v>
      </c>
      <c r="BD389" s="2" t="s">
        <v>74</v>
      </c>
      <c r="BE389" s="2" t="s">
        <v>5440</v>
      </c>
      <c r="BF389" s="2" t="str">
        <f>HYPERLINK("http://dx.doi.org/10.1002/ab.21508","http://dx.doi.org/10.1002/ab.21508")</f>
        <v>http://dx.doi.org/10.1002/ab.21508</v>
      </c>
      <c r="BG389" s="2" t="s">
        <v>74</v>
      </c>
      <c r="BH389" s="2" t="s">
        <v>74</v>
      </c>
      <c r="BI389" s="2" t="s">
        <v>74</v>
      </c>
      <c r="BJ389" s="2" t="s">
        <v>74</v>
      </c>
      <c r="BK389" s="2" t="s">
        <v>74</v>
      </c>
      <c r="BL389" s="2" t="s">
        <v>74</v>
      </c>
      <c r="BM389" s="2" t="s">
        <v>74</v>
      </c>
      <c r="BN389" s="2">
        <v>24497000</v>
      </c>
      <c r="BO389" s="2" t="s">
        <v>74</v>
      </c>
      <c r="BP389" s="2" t="s">
        <v>74</v>
      </c>
      <c r="BQ389" s="2" t="s">
        <v>74</v>
      </c>
      <c r="BR389" s="2" t="s">
        <v>74</v>
      </c>
      <c r="BS389" s="2" t="s">
        <v>5441</v>
      </c>
      <c r="BT389" s="2" t="str">
        <f>HYPERLINK("https%3A%2F%2Fwww.webofscience.com%2Fwos%2Fwoscc%2Ffull-record%2FWOS:000331255700002","View Full Record in Web of Science")</f>
        <v>View Full Record in Web of Science</v>
      </c>
    </row>
    <row r="390" spans="1:72" s="2" customFormat="1" x14ac:dyDescent="0.4">
      <c r="A390" s="2" t="s">
        <v>72</v>
      </c>
      <c r="B390" s="2" t="s">
        <v>5383</v>
      </c>
      <c r="C390" s="2" t="s">
        <v>74</v>
      </c>
      <c r="D390" s="2" t="s">
        <v>74</v>
      </c>
      <c r="E390" s="2" t="s">
        <v>74</v>
      </c>
      <c r="F390" s="2" t="s">
        <v>5383</v>
      </c>
      <c r="G390" s="2" t="s">
        <v>74</v>
      </c>
      <c r="H390" s="2" t="s">
        <v>74</v>
      </c>
      <c r="I390" s="2" t="s">
        <v>5384</v>
      </c>
      <c r="J390" s="2" t="s">
        <v>5385</v>
      </c>
      <c r="K390" s="2" t="s">
        <v>74</v>
      </c>
      <c r="L390" s="2" t="s">
        <v>74</v>
      </c>
      <c r="M390" s="2" t="s">
        <v>74</v>
      </c>
      <c r="N390" s="2" t="s">
        <v>74</v>
      </c>
      <c r="O390" s="2" t="s">
        <v>74</v>
      </c>
      <c r="P390" s="2" t="s">
        <v>74</v>
      </c>
      <c r="Q390" s="2" t="s">
        <v>74</v>
      </c>
      <c r="R390" s="2" t="s">
        <v>74</v>
      </c>
      <c r="S390" s="2" t="s">
        <v>74</v>
      </c>
      <c r="T390" s="2" t="s">
        <v>74</v>
      </c>
      <c r="U390" s="2" t="s">
        <v>74</v>
      </c>
      <c r="V390" s="5" t="s">
        <v>5386</v>
      </c>
      <c r="W390" s="2" t="s">
        <v>74</v>
      </c>
      <c r="X390" s="2" t="s">
        <v>74</v>
      </c>
      <c r="Y390" s="2" t="s">
        <v>74</v>
      </c>
      <c r="Z390" s="2" t="s">
        <v>74</v>
      </c>
      <c r="AA390" s="2" t="s">
        <v>74</v>
      </c>
      <c r="AB390" s="2" t="s">
        <v>74</v>
      </c>
      <c r="AC390" s="2" t="s">
        <v>74</v>
      </c>
      <c r="AD390" s="2" t="s">
        <v>74</v>
      </c>
      <c r="AE390" s="2" t="s">
        <v>74</v>
      </c>
      <c r="AF390" s="2" t="s">
        <v>74</v>
      </c>
      <c r="AG390" s="2" t="s">
        <v>74</v>
      </c>
      <c r="AH390" s="2" t="s">
        <v>74</v>
      </c>
      <c r="AI390" s="2" t="s">
        <v>74</v>
      </c>
      <c r="AJ390" s="2" t="s">
        <v>74</v>
      </c>
      <c r="AK390" s="2" t="s">
        <v>74</v>
      </c>
      <c r="AL390" s="2" t="s">
        <v>74</v>
      </c>
      <c r="AM390" s="2" t="s">
        <v>74</v>
      </c>
      <c r="AN390" s="2" t="s">
        <v>74</v>
      </c>
      <c r="AO390" s="2" t="s">
        <v>5387</v>
      </c>
      <c r="AP390" s="2" t="s">
        <v>74</v>
      </c>
      <c r="AQ390" s="2" t="s">
        <v>74</v>
      </c>
      <c r="AR390" s="2" t="s">
        <v>74</v>
      </c>
      <c r="AS390" s="2" t="s">
        <v>74</v>
      </c>
      <c r="AT390" s="2" t="s">
        <v>74</v>
      </c>
      <c r="AU390" s="2">
        <v>1993</v>
      </c>
      <c r="AV390" s="2">
        <v>35</v>
      </c>
      <c r="AW390" s="2">
        <v>2</v>
      </c>
      <c r="AX390" s="2" t="s">
        <v>74</v>
      </c>
      <c r="AY390" s="2" t="s">
        <v>74</v>
      </c>
      <c r="AZ390" s="2" t="s">
        <v>74</v>
      </c>
      <c r="BA390" s="2" t="s">
        <v>74</v>
      </c>
      <c r="BB390" s="2">
        <v>371</v>
      </c>
      <c r="BC390" s="2">
        <v>388</v>
      </c>
      <c r="BD390" s="2" t="s">
        <v>74</v>
      </c>
      <c r="BE390" s="2" t="s">
        <v>74</v>
      </c>
      <c r="BF390" s="2" t="s">
        <v>74</v>
      </c>
      <c r="BG390" s="2" t="s">
        <v>74</v>
      </c>
      <c r="BH390" s="2" t="s">
        <v>74</v>
      </c>
      <c r="BI390" s="2" t="s">
        <v>74</v>
      </c>
      <c r="BJ390" s="2" t="s">
        <v>74</v>
      </c>
      <c r="BK390" s="2" t="s">
        <v>74</v>
      </c>
      <c r="BL390" s="2" t="s">
        <v>74</v>
      </c>
      <c r="BM390" s="2" t="s">
        <v>74</v>
      </c>
      <c r="BN390" s="2" t="s">
        <v>74</v>
      </c>
      <c r="BO390" s="2" t="s">
        <v>74</v>
      </c>
      <c r="BP390" s="2" t="s">
        <v>74</v>
      </c>
      <c r="BQ390" s="2" t="s">
        <v>74</v>
      </c>
      <c r="BR390" s="2" t="s">
        <v>74</v>
      </c>
      <c r="BS390" s="2" t="s">
        <v>5388</v>
      </c>
      <c r="BT390" s="2" t="str">
        <f>HYPERLINK("https%3A%2F%2Fwww.webofscience.com%2Fwos%2Fwoscc%2Ffull-record%2FWOS:A1993MK18700007","View Full Record in Web of Science")</f>
        <v>View Full Record in Web of Science</v>
      </c>
    </row>
    <row r="391" spans="1:72" s="2" customFormat="1" x14ac:dyDescent="0.4">
      <c r="A391" s="2" t="s">
        <v>72</v>
      </c>
      <c r="B391" s="2" t="s">
        <v>7131</v>
      </c>
      <c r="C391" s="2" t="s">
        <v>74</v>
      </c>
      <c r="D391" s="2" t="s">
        <v>74</v>
      </c>
      <c r="E391" s="2" t="s">
        <v>74</v>
      </c>
      <c r="F391" s="2" t="s">
        <v>7132</v>
      </c>
      <c r="G391" s="2" t="s">
        <v>74</v>
      </c>
      <c r="H391" s="2" t="s">
        <v>74</v>
      </c>
      <c r="I391" s="2" t="s">
        <v>7133</v>
      </c>
      <c r="J391" s="2" t="s">
        <v>119</v>
      </c>
      <c r="K391" s="2" t="s">
        <v>74</v>
      </c>
      <c r="L391" s="2" t="s">
        <v>74</v>
      </c>
      <c r="M391" s="2" t="s">
        <v>74</v>
      </c>
      <c r="N391" s="2" t="s">
        <v>74</v>
      </c>
      <c r="O391" s="2" t="s">
        <v>74</v>
      </c>
      <c r="P391" s="2" t="s">
        <v>74</v>
      </c>
      <c r="Q391" s="2" t="s">
        <v>74</v>
      </c>
      <c r="R391" s="2" t="s">
        <v>74</v>
      </c>
      <c r="S391" s="2" t="s">
        <v>74</v>
      </c>
      <c r="T391" s="2" t="s">
        <v>74</v>
      </c>
      <c r="U391" s="2" t="s">
        <v>74</v>
      </c>
      <c r="V391" s="5" t="s">
        <v>7134</v>
      </c>
      <c r="W391" s="2" t="s">
        <v>74</v>
      </c>
      <c r="X391" s="2" t="s">
        <v>74</v>
      </c>
      <c r="Y391" s="2" t="s">
        <v>74</v>
      </c>
      <c r="Z391" s="2" t="s">
        <v>74</v>
      </c>
      <c r="AA391" s="2" t="s">
        <v>7135</v>
      </c>
      <c r="AB391" s="2" t="s">
        <v>7136</v>
      </c>
      <c r="AC391" s="2" t="s">
        <v>74</v>
      </c>
      <c r="AD391" s="2" t="s">
        <v>74</v>
      </c>
      <c r="AE391" s="2" t="s">
        <v>74</v>
      </c>
      <c r="AF391" s="2" t="s">
        <v>74</v>
      </c>
      <c r="AG391" s="2" t="s">
        <v>74</v>
      </c>
      <c r="AH391" s="2" t="s">
        <v>74</v>
      </c>
      <c r="AI391" s="2" t="s">
        <v>74</v>
      </c>
      <c r="AJ391" s="2" t="s">
        <v>74</v>
      </c>
      <c r="AK391" s="2" t="s">
        <v>74</v>
      </c>
      <c r="AL391" s="2" t="s">
        <v>74</v>
      </c>
      <c r="AM391" s="2" t="s">
        <v>74</v>
      </c>
      <c r="AN391" s="2" t="s">
        <v>74</v>
      </c>
      <c r="AO391" s="2" t="s">
        <v>121</v>
      </c>
      <c r="AP391" s="2" t="s">
        <v>122</v>
      </c>
      <c r="AQ391" s="2" t="s">
        <v>74</v>
      </c>
      <c r="AR391" s="2" t="s">
        <v>74</v>
      </c>
      <c r="AS391" s="2" t="s">
        <v>74</v>
      </c>
      <c r="AT391" s="2" t="s">
        <v>352</v>
      </c>
      <c r="AU391" s="2">
        <v>2017</v>
      </c>
      <c r="AV391" s="2">
        <v>142</v>
      </c>
      <c r="AW391" s="2" t="s">
        <v>74</v>
      </c>
      <c r="AX391" s="2" t="s">
        <v>74</v>
      </c>
      <c r="AY391" s="2" t="s">
        <v>74</v>
      </c>
      <c r="AZ391" s="2" t="s">
        <v>74</v>
      </c>
      <c r="BA391" s="2" t="s">
        <v>74</v>
      </c>
      <c r="BB391" s="2">
        <v>116</v>
      </c>
      <c r="BC391" s="2">
        <v>118</v>
      </c>
      <c r="BD391" s="2" t="s">
        <v>74</v>
      </c>
      <c r="BE391" s="2" t="s">
        <v>7137</v>
      </c>
      <c r="BF391" s="2" t="str">
        <f>HYPERLINK("http://dx.doi.org/10.1016/j.beproc.2017.07.002","http://dx.doi.org/10.1016/j.beproc.2017.07.002")</f>
        <v>http://dx.doi.org/10.1016/j.beproc.2017.07.002</v>
      </c>
      <c r="BG391" s="2" t="s">
        <v>74</v>
      </c>
      <c r="BH391" s="2" t="s">
        <v>74</v>
      </c>
      <c r="BI391" s="2" t="s">
        <v>74</v>
      </c>
      <c r="BJ391" s="2" t="s">
        <v>74</v>
      </c>
      <c r="BK391" s="2" t="s">
        <v>74</v>
      </c>
      <c r="BL391" s="2" t="s">
        <v>74</v>
      </c>
      <c r="BM391" s="2" t="s">
        <v>74</v>
      </c>
      <c r="BN391" s="2">
        <v>28694127</v>
      </c>
      <c r="BO391" s="2" t="s">
        <v>74</v>
      </c>
      <c r="BP391" s="2" t="s">
        <v>74</v>
      </c>
      <c r="BQ391" s="2" t="s">
        <v>74</v>
      </c>
      <c r="BR391" s="2" t="s">
        <v>74</v>
      </c>
      <c r="BS391" s="2" t="s">
        <v>7138</v>
      </c>
      <c r="BT391" s="2" t="str">
        <f>HYPERLINK("https%3A%2F%2Fwww.webofscience.com%2Fwos%2Fwoscc%2Ffull-record%2FWOS:000411539500017","View Full Record in Web of Science")</f>
        <v>View Full Record in Web of Science</v>
      </c>
    </row>
    <row r="392" spans="1:72" s="2" customFormat="1" x14ac:dyDescent="0.4">
      <c r="A392" s="2" t="s">
        <v>72</v>
      </c>
      <c r="B392" s="2" t="s">
        <v>6651</v>
      </c>
      <c r="C392" s="2" t="s">
        <v>74</v>
      </c>
      <c r="D392" s="2" t="s">
        <v>74</v>
      </c>
      <c r="E392" s="2" t="s">
        <v>74</v>
      </c>
      <c r="F392" s="2" t="s">
        <v>6652</v>
      </c>
      <c r="G392" s="2" t="s">
        <v>74</v>
      </c>
      <c r="H392" s="2" t="s">
        <v>74</v>
      </c>
      <c r="I392" s="2" t="s">
        <v>6653</v>
      </c>
      <c r="J392" s="2" t="s">
        <v>824</v>
      </c>
      <c r="K392" s="2" t="s">
        <v>74</v>
      </c>
      <c r="L392" s="2" t="s">
        <v>74</v>
      </c>
      <c r="M392" s="2" t="s">
        <v>74</v>
      </c>
      <c r="N392" s="2" t="s">
        <v>74</v>
      </c>
      <c r="O392" s="2" t="s">
        <v>74</v>
      </c>
      <c r="P392" s="2" t="s">
        <v>74</v>
      </c>
      <c r="Q392" s="2" t="s">
        <v>74</v>
      </c>
      <c r="R392" s="2" t="s">
        <v>74</v>
      </c>
      <c r="S392" s="2" t="s">
        <v>74</v>
      </c>
      <c r="T392" s="2" t="s">
        <v>74</v>
      </c>
      <c r="U392" s="2" t="s">
        <v>74</v>
      </c>
      <c r="V392" s="5" t="s">
        <v>6654</v>
      </c>
      <c r="W392" s="2" t="s">
        <v>74</v>
      </c>
      <c r="X392" s="2" t="s">
        <v>74</v>
      </c>
      <c r="Y392" s="2" t="s">
        <v>74</v>
      </c>
      <c r="Z392" s="2" t="s">
        <v>74</v>
      </c>
      <c r="AA392" s="2" t="s">
        <v>6655</v>
      </c>
      <c r="AB392" s="2" t="s">
        <v>6656</v>
      </c>
      <c r="AC392" s="2" t="s">
        <v>74</v>
      </c>
      <c r="AD392" s="2" t="s">
        <v>74</v>
      </c>
      <c r="AE392" s="2" t="s">
        <v>74</v>
      </c>
      <c r="AF392" s="2" t="s">
        <v>74</v>
      </c>
      <c r="AG392" s="2" t="s">
        <v>74</v>
      </c>
      <c r="AH392" s="2" t="s">
        <v>74</v>
      </c>
      <c r="AI392" s="2" t="s">
        <v>74</v>
      </c>
      <c r="AJ392" s="2" t="s">
        <v>74</v>
      </c>
      <c r="AK392" s="2" t="s">
        <v>74</v>
      </c>
      <c r="AL392" s="2" t="s">
        <v>74</v>
      </c>
      <c r="AM392" s="2" t="s">
        <v>74</v>
      </c>
      <c r="AN392" s="2" t="s">
        <v>74</v>
      </c>
      <c r="AO392" s="2" t="s">
        <v>828</v>
      </c>
      <c r="AP392" s="2" t="s">
        <v>829</v>
      </c>
      <c r="AQ392" s="2" t="s">
        <v>74</v>
      </c>
      <c r="AR392" s="2" t="s">
        <v>74</v>
      </c>
      <c r="AS392" s="2" t="s">
        <v>74</v>
      </c>
      <c r="AT392" s="2" t="s">
        <v>352</v>
      </c>
      <c r="AU392" s="2">
        <v>2018</v>
      </c>
      <c r="AV392" s="2">
        <v>87</v>
      </c>
      <c r="AW392" s="2">
        <v>5</v>
      </c>
      <c r="AX392" s="2" t="s">
        <v>74</v>
      </c>
      <c r="AY392" s="2" t="s">
        <v>74</v>
      </c>
      <c r="AZ392" s="2" t="s">
        <v>74</v>
      </c>
      <c r="BA392" s="2" t="s">
        <v>74</v>
      </c>
      <c r="BB392" s="2">
        <v>1274</v>
      </c>
      <c r="BC392" s="2">
        <v>1285</v>
      </c>
      <c r="BD392" s="2" t="s">
        <v>74</v>
      </c>
      <c r="BE392" s="2" t="s">
        <v>6657</v>
      </c>
      <c r="BF392" s="2" t="str">
        <f>HYPERLINK("http://dx.doi.org/10.1111/1365-2656.12855","http://dx.doi.org/10.1111/1365-2656.12855")</f>
        <v>http://dx.doi.org/10.1111/1365-2656.12855</v>
      </c>
      <c r="BG392" s="2" t="s">
        <v>74</v>
      </c>
      <c r="BH392" s="2" t="s">
        <v>74</v>
      </c>
      <c r="BI392" s="2" t="s">
        <v>74</v>
      </c>
      <c r="BJ392" s="2" t="s">
        <v>74</v>
      </c>
      <c r="BK392" s="2" t="s">
        <v>74</v>
      </c>
      <c r="BL392" s="2" t="s">
        <v>74</v>
      </c>
      <c r="BM392" s="2" t="s">
        <v>74</v>
      </c>
      <c r="BN392" s="2">
        <v>29943467</v>
      </c>
      <c r="BO392" s="2" t="s">
        <v>74</v>
      </c>
      <c r="BP392" s="2" t="s">
        <v>74</v>
      </c>
      <c r="BQ392" s="2" t="s">
        <v>74</v>
      </c>
      <c r="BR392" s="2" t="s">
        <v>74</v>
      </c>
      <c r="BS392" s="2" t="s">
        <v>6658</v>
      </c>
      <c r="BT392" s="2" t="str">
        <f>HYPERLINK("https%3A%2F%2Fwww.webofscience.com%2Fwos%2Fwoscc%2Ffull-record%2FWOS:000441246100008","View Full Record in Web of Science")</f>
        <v>View Full Record in Web of Science</v>
      </c>
    </row>
    <row r="393" spans="1:72" s="2" customFormat="1" x14ac:dyDescent="0.4">
      <c r="A393" s="2" t="s">
        <v>72</v>
      </c>
      <c r="B393" s="2" t="s">
        <v>6470</v>
      </c>
      <c r="C393" s="2" t="s">
        <v>74</v>
      </c>
      <c r="D393" s="2" t="s">
        <v>74</v>
      </c>
      <c r="E393" s="2" t="s">
        <v>74</v>
      </c>
      <c r="F393" s="2" t="s">
        <v>6470</v>
      </c>
      <c r="G393" s="2" t="s">
        <v>74</v>
      </c>
      <c r="H393" s="2" t="s">
        <v>74</v>
      </c>
      <c r="I393" s="2" t="s">
        <v>6471</v>
      </c>
      <c r="J393" s="2" t="s">
        <v>77</v>
      </c>
      <c r="K393" s="2" t="s">
        <v>74</v>
      </c>
      <c r="L393" s="2" t="s">
        <v>74</v>
      </c>
      <c r="M393" s="2" t="s">
        <v>74</v>
      </c>
      <c r="N393" s="2" t="s">
        <v>74</v>
      </c>
      <c r="O393" s="2" t="s">
        <v>74</v>
      </c>
      <c r="P393" s="2" t="s">
        <v>74</v>
      </c>
      <c r="Q393" s="2" t="s">
        <v>74</v>
      </c>
      <c r="R393" s="2" t="s">
        <v>74</v>
      </c>
      <c r="S393" s="2" t="s">
        <v>74</v>
      </c>
      <c r="T393" s="2" t="s">
        <v>74</v>
      </c>
      <c r="U393" s="2" t="s">
        <v>74</v>
      </c>
      <c r="V393" s="5" t="s">
        <v>6472</v>
      </c>
      <c r="W393" s="2" t="s">
        <v>74</v>
      </c>
      <c r="X393" s="2" t="s">
        <v>74</v>
      </c>
      <c r="Y393" s="2" t="s">
        <v>74</v>
      </c>
      <c r="Z393" s="2" t="s">
        <v>74</v>
      </c>
      <c r="AA393" s="2" t="s">
        <v>6473</v>
      </c>
      <c r="AB393" s="2" t="s">
        <v>74</v>
      </c>
      <c r="AC393" s="2" t="s">
        <v>74</v>
      </c>
      <c r="AD393" s="2" t="s">
        <v>74</v>
      </c>
      <c r="AE393" s="2" t="s">
        <v>74</v>
      </c>
      <c r="AF393" s="2" t="s">
        <v>74</v>
      </c>
      <c r="AG393" s="2" t="s">
        <v>74</v>
      </c>
      <c r="AH393" s="2" t="s">
        <v>74</v>
      </c>
      <c r="AI393" s="2" t="s">
        <v>74</v>
      </c>
      <c r="AJ393" s="2" t="s">
        <v>74</v>
      </c>
      <c r="AK393" s="2" t="s">
        <v>74</v>
      </c>
      <c r="AL393" s="2" t="s">
        <v>74</v>
      </c>
      <c r="AM393" s="2" t="s">
        <v>74</v>
      </c>
      <c r="AN393" s="2" t="s">
        <v>74</v>
      </c>
      <c r="AO393" s="2" t="s">
        <v>81</v>
      </c>
      <c r="AP393" s="2" t="s">
        <v>82</v>
      </c>
      <c r="AQ393" s="2" t="s">
        <v>74</v>
      </c>
      <c r="AR393" s="2" t="s">
        <v>74</v>
      </c>
      <c r="AS393" s="2" t="s">
        <v>74</v>
      </c>
      <c r="AT393" s="2" t="s">
        <v>74</v>
      </c>
      <c r="AU393" s="2">
        <v>1980</v>
      </c>
      <c r="AV393" s="2">
        <v>74</v>
      </c>
      <c r="AW393" s="2" t="s">
        <v>74</v>
      </c>
      <c r="AX393" s="2" t="s">
        <v>548</v>
      </c>
      <c r="AY393" s="2" t="s">
        <v>74</v>
      </c>
      <c r="AZ393" s="2" t="s">
        <v>74</v>
      </c>
      <c r="BA393" s="2" t="s">
        <v>74</v>
      </c>
      <c r="BB393" s="2">
        <v>38</v>
      </c>
      <c r="BC393" s="2">
        <v>91</v>
      </c>
      <c r="BD393" s="2" t="s">
        <v>74</v>
      </c>
      <c r="BE393" s="2" t="s">
        <v>6474</v>
      </c>
      <c r="BF393" s="2" t="str">
        <f>HYPERLINK("http://dx.doi.org/10.1163/156853980X00311","http://dx.doi.org/10.1163/156853980X00311")</f>
        <v>http://dx.doi.org/10.1163/156853980X00311</v>
      </c>
      <c r="BG393" s="2" t="s">
        <v>74</v>
      </c>
      <c r="BH393" s="2" t="s">
        <v>74</v>
      </c>
      <c r="BI393" s="2" t="s">
        <v>74</v>
      </c>
      <c r="BJ393" s="2" t="s">
        <v>74</v>
      </c>
      <c r="BK393" s="2" t="s">
        <v>74</v>
      </c>
      <c r="BL393" s="2" t="s">
        <v>74</v>
      </c>
      <c r="BM393" s="2" t="s">
        <v>74</v>
      </c>
      <c r="BN393" s="2" t="s">
        <v>74</v>
      </c>
      <c r="BO393" s="2" t="s">
        <v>74</v>
      </c>
      <c r="BP393" s="2" t="s">
        <v>74</v>
      </c>
      <c r="BQ393" s="2" t="s">
        <v>74</v>
      </c>
      <c r="BR393" s="2" t="s">
        <v>74</v>
      </c>
      <c r="BS393" s="2" t="s">
        <v>6475</v>
      </c>
      <c r="BT393" s="2" t="str">
        <f>HYPERLINK("https%3A%2F%2Fwww.webofscience.com%2Fwos%2Fwoscc%2Ffull-record%2FWOS:A1980KK26100003","View Full Record in Web of Science")</f>
        <v>View Full Record in Web of Science</v>
      </c>
    </row>
    <row r="394" spans="1:72" s="2" customFormat="1" x14ac:dyDescent="0.4">
      <c r="A394" s="2" t="s">
        <v>72</v>
      </c>
      <c r="B394" s="2" t="s">
        <v>3886</v>
      </c>
      <c r="C394" s="2" t="s">
        <v>74</v>
      </c>
      <c r="D394" s="2" t="s">
        <v>74</v>
      </c>
      <c r="E394" s="2" t="s">
        <v>74</v>
      </c>
      <c r="F394" s="2" t="s">
        <v>3887</v>
      </c>
      <c r="G394" s="2" t="s">
        <v>74</v>
      </c>
      <c r="H394" s="2" t="s">
        <v>74</v>
      </c>
      <c r="I394" s="2" t="s">
        <v>3888</v>
      </c>
      <c r="J394" s="2" t="s">
        <v>140</v>
      </c>
      <c r="K394" s="2" t="s">
        <v>74</v>
      </c>
      <c r="L394" s="2" t="s">
        <v>74</v>
      </c>
      <c r="M394" s="2" t="s">
        <v>74</v>
      </c>
      <c r="N394" s="2" t="s">
        <v>74</v>
      </c>
      <c r="O394" s="2" t="s">
        <v>74</v>
      </c>
      <c r="P394" s="2" t="s">
        <v>74</v>
      </c>
      <c r="Q394" s="2" t="s">
        <v>74</v>
      </c>
      <c r="R394" s="2" t="s">
        <v>74</v>
      </c>
      <c r="S394" s="2" t="s">
        <v>74</v>
      </c>
      <c r="T394" s="2" t="s">
        <v>74</v>
      </c>
      <c r="U394" s="2" t="s">
        <v>74</v>
      </c>
      <c r="V394" s="5" t="s">
        <v>3889</v>
      </c>
      <c r="W394" s="2" t="s">
        <v>74</v>
      </c>
      <c r="X394" s="2" t="s">
        <v>74</v>
      </c>
      <c r="Y394" s="2" t="s">
        <v>74</v>
      </c>
      <c r="Z394" s="2" t="s">
        <v>74</v>
      </c>
      <c r="AA394" s="2" t="s">
        <v>74</v>
      </c>
      <c r="AB394" s="2" t="s">
        <v>74</v>
      </c>
      <c r="AC394" s="2" t="s">
        <v>74</v>
      </c>
      <c r="AD394" s="2" t="s">
        <v>74</v>
      </c>
      <c r="AE394" s="2" t="s">
        <v>74</v>
      </c>
      <c r="AF394" s="2" t="s">
        <v>74</v>
      </c>
      <c r="AG394" s="2" t="s">
        <v>74</v>
      </c>
      <c r="AH394" s="2" t="s">
        <v>74</v>
      </c>
      <c r="AI394" s="2" t="s">
        <v>74</v>
      </c>
      <c r="AJ394" s="2" t="s">
        <v>74</v>
      </c>
      <c r="AK394" s="2" t="s">
        <v>74</v>
      </c>
      <c r="AL394" s="2" t="s">
        <v>74</v>
      </c>
      <c r="AM394" s="2" t="s">
        <v>74</v>
      </c>
      <c r="AN394" s="2" t="s">
        <v>74</v>
      </c>
      <c r="AO394" s="2" t="s">
        <v>143</v>
      </c>
      <c r="AP394" s="2" t="s">
        <v>144</v>
      </c>
      <c r="AQ394" s="2" t="s">
        <v>74</v>
      </c>
      <c r="AR394" s="2" t="s">
        <v>74</v>
      </c>
      <c r="AS394" s="2" t="s">
        <v>74</v>
      </c>
      <c r="AT394" s="2" t="s">
        <v>134</v>
      </c>
      <c r="AU394" s="2">
        <v>2006</v>
      </c>
      <c r="AV394" s="2">
        <v>71</v>
      </c>
      <c r="AW394" s="2" t="s">
        <v>74</v>
      </c>
      <c r="AX394" s="2">
        <v>5</v>
      </c>
      <c r="AY394" s="2" t="s">
        <v>74</v>
      </c>
      <c r="AZ394" s="2" t="s">
        <v>74</v>
      </c>
      <c r="BA394" s="2" t="s">
        <v>74</v>
      </c>
      <c r="BB394" s="2">
        <v>1155</v>
      </c>
      <c r="BC394" s="2">
        <v>1164</v>
      </c>
      <c r="BD394" s="2" t="s">
        <v>74</v>
      </c>
      <c r="BE394" s="2" t="s">
        <v>3890</v>
      </c>
      <c r="BF394" s="2" t="str">
        <f>HYPERLINK("http://dx.doi.org/10.1016/j.anbehav.2005.10.006","http://dx.doi.org/10.1016/j.anbehav.2005.10.006")</f>
        <v>http://dx.doi.org/10.1016/j.anbehav.2005.10.006</v>
      </c>
      <c r="BG394" s="2" t="s">
        <v>74</v>
      </c>
      <c r="BH394" s="2" t="s">
        <v>74</v>
      </c>
      <c r="BI394" s="2" t="s">
        <v>74</v>
      </c>
      <c r="BJ394" s="2" t="s">
        <v>74</v>
      </c>
      <c r="BK394" s="2" t="s">
        <v>74</v>
      </c>
      <c r="BL394" s="2" t="s">
        <v>74</v>
      </c>
      <c r="BM394" s="2" t="s">
        <v>74</v>
      </c>
      <c r="BN394" s="2" t="s">
        <v>74</v>
      </c>
      <c r="BO394" s="2" t="s">
        <v>74</v>
      </c>
      <c r="BP394" s="2" t="s">
        <v>74</v>
      </c>
      <c r="BQ394" s="2" t="s">
        <v>74</v>
      </c>
      <c r="BR394" s="2" t="s">
        <v>74</v>
      </c>
      <c r="BS394" s="2" t="s">
        <v>3891</v>
      </c>
      <c r="BT394" s="2" t="str">
        <f>HYPERLINK("https%3A%2F%2Fwww.webofscience.com%2Fwos%2Fwoscc%2Ffull-record%2FWOS:000238108600018","View Full Record in Web of Science")</f>
        <v>View Full Record in Web of Science</v>
      </c>
    </row>
    <row r="395" spans="1:72" s="2" customFormat="1" x14ac:dyDescent="0.4">
      <c r="A395" s="2" t="s">
        <v>72</v>
      </c>
      <c r="B395" s="2" t="s">
        <v>8276</v>
      </c>
      <c r="C395" s="2" t="s">
        <v>74</v>
      </c>
      <c r="D395" s="2" t="s">
        <v>74</v>
      </c>
      <c r="E395" s="2" t="s">
        <v>74</v>
      </c>
      <c r="F395" s="2" t="s">
        <v>8277</v>
      </c>
      <c r="G395" s="2" t="s">
        <v>74</v>
      </c>
      <c r="H395" s="2" t="s">
        <v>74</v>
      </c>
      <c r="I395" s="2" t="s">
        <v>8278</v>
      </c>
      <c r="J395" s="2" t="s">
        <v>108</v>
      </c>
      <c r="K395" s="2" t="s">
        <v>74</v>
      </c>
      <c r="L395" s="2" t="s">
        <v>74</v>
      </c>
      <c r="M395" s="2" t="s">
        <v>74</v>
      </c>
      <c r="N395" s="2" t="s">
        <v>74</v>
      </c>
      <c r="O395" s="2" t="s">
        <v>74</v>
      </c>
      <c r="P395" s="2" t="s">
        <v>74</v>
      </c>
      <c r="Q395" s="2" t="s">
        <v>74</v>
      </c>
      <c r="R395" s="2" t="s">
        <v>74</v>
      </c>
      <c r="S395" s="2" t="s">
        <v>74</v>
      </c>
      <c r="T395" s="2" t="s">
        <v>74</v>
      </c>
      <c r="U395" s="2" t="s">
        <v>74</v>
      </c>
      <c r="V395" s="5" t="s">
        <v>8279</v>
      </c>
      <c r="W395" s="2" t="s">
        <v>74</v>
      </c>
      <c r="X395" s="2" t="s">
        <v>74</v>
      </c>
      <c r="Y395" s="2" t="s">
        <v>74</v>
      </c>
      <c r="Z395" s="2" t="s">
        <v>74</v>
      </c>
      <c r="AA395" s="2" t="s">
        <v>8280</v>
      </c>
      <c r="AB395" s="2" t="s">
        <v>8281</v>
      </c>
      <c r="AC395" s="2" t="s">
        <v>74</v>
      </c>
      <c r="AD395" s="2" t="s">
        <v>74</v>
      </c>
      <c r="AE395" s="2" t="s">
        <v>74</v>
      </c>
      <c r="AF395" s="2" t="s">
        <v>74</v>
      </c>
      <c r="AG395" s="2" t="s">
        <v>74</v>
      </c>
      <c r="AH395" s="2" t="s">
        <v>74</v>
      </c>
      <c r="AI395" s="2" t="s">
        <v>74</v>
      </c>
      <c r="AJ395" s="2" t="s">
        <v>74</v>
      </c>
      <c r="AK395" s="2" t="s">
        <v>74</v>
      </c>
      <c r="AL395" s="2" t="s">
        <v>74</v>
      </c>
      <c r="AM395" s="2" t="s">
        <v>74</v>
      </c>
      <c r="AN395" s="2" t="s">
        <v>74</v>
      </c>
      <c r="AO395" s="2" t="s">
        <v>111</v>
      </c>
      <c r="AP395" s="2" t="s">
        <v>112</v>
      </c>
      <c r="AQ395" s="2" t="s">
        <v>74</v>
      </c>
      <c r="AR395" s="2" t="s">
        <v>74</v>
      </c>
      <c r="AS395" s="2" t="s">
        <v>74</v>
      </c>
      <c r="AT395" s="2" t="s">
        <v>8282</v>
      </c>
      <c r="AU395" s="2">
        <v>2020</v>
      </c>
      <c r="AV395" s="2">
        <v>287</v>
      </c>
      <c r="AW395" s="2">
        <v>1924</v>
      </c>
      <c r="AX395" s="2" t="s">
        <v>74</v>
      </c>
      <c r="AY395" s="2" t="s">
        <v>74</v>
      </c>
      <c r="AZ395" s="2" t="s">
        <v>74</v>
      </c>
      <c r="BA395" s="2" t="s">
        <v>74</v>
      </c>
      <c r="BB395" s="2" t="s">
        <v>74</v>
      </c>
      <c r="BC395" s="2" t="s">
        <v>74</v>
      </c>
      <c r="BD395" s="2" t="s">
        <v>74</v>
      </c>
      <c r="BE395" s="2" t="s">
        <v>8283</v>
      </c>
      <c r="BF395" s="2" t="str">
        <f>HYPERLINK("http://dx.doi.org/10.1098/rspb.2020.0270","http://dx.doi.org/10.1098/rspb.2020.0270")</f>
        <v>http://dx.doi.org/10.1098/rspb.2020.0270</v>
      </c>
      <c r="BG395" s="2" t="s">
        <v>74</v>
      </c>
      <c r="BH395" s="2" t="s">
        <v>74</v>
      </c>
      <c r="BI395" s="2" t="s">
        <v>74</v>
      </c>
      <c r="BJ395" s="2" t="s">
        <v>74</v>
      </c>
      <c r="BK395" s="2" t="s">
        <v>74</v>
      </c>
      <c r="BL395" s="2" t="s">
        <v>74</v>
      </c>
      <c r="BM395" s="2" t="s">
        <v>74</v>
      </c>
      <c r="BN395" s="2">
        <v>32259470</v>
      </c>
      <c r="BO395" s="2" t="s">
        <v>74</v>
      </c>
      <c r="BP395" s="2" t="s">
        <v>74</v>
      </c>
      <c r="BQ395" s="2" t="s">
        <v>74</v>
      </c>
      <c r="BR395" s="2" t="s">
        <v>74</v>
      </c>
      <c r="BS395" s="2" t="s">
        <v>8284</v>
      </c>
      <c r="BT395" s="2" t="str">
        <f>HYPERLINK("https%3A%2F%2Fwww.webofscience.com%2Fwos%2Fwoscc%2Ffull-record%2FWOS:000546947600014","View Full Record in Web of Science")</f>
        <v>View Full Record in Web of Science</v>
      </c>
    </row>
    <row r="396" spans="1:72" s="2" customFormat="1" x14ac:dyDescent="0.4">
      <c r="A396" s="2" t="s">
        <v>72</v>
      </c>
      <c r="B396" s="2" t="s">
        <v>2487</v>
      </c>
      <c r="C396" s="2" t="s">
        <v>74</v>
      </c>
      <c r="D396" s="2" t="s">
        <v>74</v>
      </c>
      <c r="E396" s="2" t="s">
        <v>74</v>
      </c>
      <c r="F396" s="2" t="s">
        <v>2487</v>
      </c>
      <c r="G396" s="2" t="s">
        <v>74</v>
      </c>
      <c r="H396" s="2" t="s">
        <v>74</v>
      </c>
      <c r="I396" s="2" t="s">
        <v>2488</v>
      </c>
      <c r="J396" s="2" t="s">
        <v>119</v>
      </c>
      <c r="K396" s="2" t="s">
        <v>74</v>
      </c>
      <c r="L396" s="2" t="s">
        <v>74</v>
      </c>
      <c r="M396" s="2" t="s">
        <v>74</v>
      </c>
      <c r="N396" s="2" t="s">
        <v>74</v>
      </c>
      <c r="O396" s="2" t="s">
        <v>74</v>
      </c>
      <c r="P396" s="2" t="s">
        <v>74</v>
      </c>
      <c r="Q396" s="2" t="s">
        <v>74</v>
      </c>
      <c r="R396" s="2" t="s">
        <v>74</v>
      </c>
      <c r="S396" s="2" t="s">
        <v>74</v>
      </c>
      <c r="T396" s="2" t="s">
        <v>74</v>
      </c>
      <c r="U396" s="2" t="s">
        <v>74</v>
      </c>
      <c r="V396" s="5" t="s">
        <v>2489</v>
      </c>
      <c r="W396" s="2" t="s">
        <v>74</v>
      </c>
      <c r="X396" s="2" t="s">
        <v>74</v>
      </c>
      <c r="Y396" s="2" t="s">
        <v>74</v>
      </c>
      <c r="Z396" s="2" t="s">
        <v>74</v>
      </c>
      <c r="AA396" s="2" t="s">
        <v>2490</v>
      </c>
      <c r="AB396" s="2" t="s">
        <v>2491</v>
      </c>
      <c r="AC396" s="2" t="s">
        <v>74</v>
      </c>
      <c r="AD396" s="2" t="s">
        <v>74</v>
      </c>
      <c r="AE396" s="2" t="s">
        <v>74</v>
      </c>
      <c r="AF396" s="2" t="s">
        <v>74</v>
      </c>
      <c r="AG396" s="2" t="s">
        <v>74</v>
      </c>
      <c r="AH396" s="2" t="s">
        <v>74</v>
      </c>
      <c r="AI396" s="2" t="s">
        <v>74</v>
      </c>
      <c r="AJ396" s="2" t="s">
        <v>74</v>
      </c>
      <c r="AK396" s="2" t="s">
        <v>74</v>
      </c>
      <c r="AL396" s="2" t="s">
        <v>74</v>
      </c>
      <c r="AM396" s="2" t="s">
        <v>74</v>
      </c>
      <c r="AN396" s="2" t="s">
        <v>74</v>
      </c>
      <c r="AO396" s="2" t="s">
        <v>121</v>
      </c>
      <c r="AP396" s="2" t="s">
        <v>74</v>
      </c>
      <c r="AQ396" s="2" t="s">
        <v>74</v>
      </c>
      <c r="AR396" s="2" t="s">
        <v>74</v>
      </c>
      <c r="AS396" s="2" t="s">
        <v>74</v>
      </c>
      <c r="AT396" s="2" t="s">
        <v>2492</v>
      </c>
      <c r="AU396" s="2">
        <v>2004</v>
      </c>
      <c r="AV396" s="2">
        <v>67</v>
      </c>
      <c r="AW396" s="2">
        <v>3</v>
      </c>
      <c r="AX396" s="2" t="s">
        <v>74</v>
      </c>
      <c r="AY396" s="2" t="s">
        <v>74</v>
      </c>
      <c r="AZ396" s="2" t="s">
        <v>74</v>
      </c>
      <c r="BA396" s="2" t="s">
        <v>74</v>
      </c>
      <c r="BB396" s="2">
        <v>491</v>
      </c>
      <c r="BC396" s="2">
        <v>499</v>
      </c>
      <c r="BD396" s="2" t="s">
        <v>74</v>
      </c>
      <c r="BE396" s="2" t="s">
        <v>2493</v>
      </c>
      <c r="BF396" s="2" t="str">
        <f>HYPERLINK("http://dx.doi.org/10.1016/j.beproc.2004.08.005","http://dx.doi.org/10.1016/j.beproc.2004.08.005")</f>
        <v>http://dx.doi.org/10.1016/j.beproc.2004.08.005</v>
      </c>
      <c r="BG396" s="2" t="s">
        <v>74</v>
      </c>
      <c r="BH396" s="2" t="s">
        <v>74</v>
      </c>
      <c r="BI396" s="2" t="s">
        <v>74</v>
      </c>
      <c r="BJ396" s="2" t="s">
        <v>74</v>
      </c>
      <c r="BK396" s="2" t="s">
        <v>74</v>
      </c>
      <c r="BL396" s="2" t="s">
        <v>74</v>
      </c>
      <c r="BM396" s="2" t="s">
        <v>74</v>
      </c>
      <c r="BN396" s="2">
        <v>15518998</v>
      </c>
      <c r="BO396" s="2" t="s">
        <v>74</v>
      </c>
      <c r="BP396" s="2" t="s">
        <v>74</v>
      </c>
      <c r="BQ396" s="2" t="s">
        <v>74</v>
      </c>
      <c r="BR396" s="2" t="s">
        <v>74</v>
      </c>
      <c r="BS396" s="2" t="s">
        <v>2494</v>
      </c>
      <c r="BT396" s="2" t="str">
        <f>HYPERLINK("https%3A%2F%2Fwww.webofscience.com%2Fwos%2Fwoscc%2Ffull-record%2FWOS:000225051100016","View Full Record in Web of Science")</f>
        <v>View Full Record in Web of Science</v>
      </c>
    </row>
    <row r="397" spans="1:72" s="2" customFormat="1" x14ac:dyDescent="0.4">
      <c r="A397" s="2" t="s">
        <v>72</v>
      </c>
      <c r="B397" s="2" t="s">
        <v>2142</v>
      </c>
      <c r="C397" s="2" t="s">
        <v>74</v>
      </c>
      <c r="D397" s="2" t="s">
        <v>74</v>
      </c>
      <c r="E397" s="2" t="s">
        <v>74</v>
      </c>
      <c r="F397" s="2" t="s">
        <v>2142</v>
      </c>
      <c r="G397" s="2" t="s">
        <v>74</v>
      </c>
      <c r="H397" s="2" t="s">
        <v>74</v>
      </c>
      <c r="I397" s="2" t="s">
        <v>2143</v>
      </c>
      <c r="J397" s="2" t="s">
        <v>2144</v>
      </c>
      <c r="K397" s="2" t="s">
        <v>74</v>
      </c>
      <c r="L397" s="2" t="s">
        <v>74</v>
      </c>
      <c r="M397" s="2" t="s">
        <v>74</v>
      </c>
      <c r="N397" s="2" t="s">
        <v>74</v>
      </c>
      <c r="O397" s="2" t="s">
        <v>74</v>
      </c>
      <c r="P397" s="2" t="s">
        <v>74</v>
      </c>
      <c r="Q397" s="2" t="s">
        <v>74</v>
      </c>
      <c r="R397" s="2" t="s">
        <v>74</v>
      </c>
      <c r="S397" s="2" t="s">
        <v>74</v>
      </c>
      <c r="T397" s="2" t="s">
        <v>74</v>
      </c>
      <c r="U397" s="2" t="s">
        <v>74</v>
      </c>
      <c r="V397" s="5" t="s">
        <v>2145</v>
      </c>
      <c r="W397" s="2" t="s">
        <v>74</v>
      </c>
      <c r="X397" s="2" t="s">
        <v>74</v>
      </c>
      <c r="Y397" s="2" t="s">
        <v>74</v>
      </c>
      <c r="Z397" s="2" t="s">
        <v>74</v>
      </c>
      <c r="AA397" s="2" t="s">
        <v>74</v>
      </c>
      <c r="AB397" s="2" t="s">
        <v>74</v>
      </c>
      <c r="AC397" s="2" t="s">
        <v>74</v>
      </c>
      <c r="AD397" s="2" t="s">
        <v>74</v>
      </c>
      <c r="AE397" s="2" t="s">
        <v>74</v>
      </c>
      <c r="AF397" s="2" t="s">
        <v>74</v>
      </c>
      <c r="AG397" s="2" t="s">
        <v>74</v>
      </c>
      <c r="AH397" s="2" t="s">
        <v>74</v>
      </c>
      <c r="AI397" s="2" t="s">
        <v>74</v>
      </c>
      <c r="AJ397" s="2" t="s">
        <v>74</v>
      </c>
      <c r="AK397" s="2" t="s">
        <v>74</v>
      </c>
      <c r="AL397" s="2" t="s">
        <v>74</v>
      </c>
      <c r="AM397" s="2" t="s">
        <v>74</v>
      </c>
      <c r="AN397" s="2" t="s">
        <v>74</v>
      </c>
      <c r="AO397" s="2" t="s">
        <v>2146</v>
      </c>
      <c r="AP397" s="2" t="s">
        <v>2147</v>
      </c>
      <c r="AQ397" s="2" t="s">
        <v>74</v>
      </c>
      <c r="AR397" s="2" t="s">
        <v>74</v>
      </c>
      <c r="AS397" s="2" t="s">
        <v>74</v>
      </c>
      <c r="AT397" s="2" t="s">
        <v>74</v>
      </c>
      <c r="AU397" s="2">
        <v>1980</v>
      </c>
      <c r="AV397" s="2">
        <v>7</v>
      </c>
      <c r="AW397" s="2">
        <v>2</v>
      </c>
      <c r="AX397" s="2" t="s">
        <v>74</v>
      </c>
      <c r="AY397" s="2" t="s">
        <v>74</v>
      </c>
      <c r="AZ397" s="2" t="s">
        <v>74</v>
      </c>
      <c r="BA397" s="2" t="s">
        <v>74</v>
      </c>
      <c r="BB397" s="2">
        <v>211</v>
      </c>
      <c r="BC397" s="2">
        <v>220</v>
      </c>
      <c r="BD397" s="2" t="s">
        <v>74</v>
      </c>
      <c r="BE397" s="2" t="s">
        <v>2148</v>
      </c>
      <c r="BF397" s="2" t="str">
        <f>HYPERLINK("http://dx.doi.org/10.1080/03014223.1980.10423778","http://dx.doi.org/10.1080/03014223.1980.10423778")</f>
        <v>http://dx.doi.org/10.1080/03014223.1980.10423778</v>
      </c>
      <c r="BG397" s="2" t="s">
        <v>74</v>
      </c>
      <c r="BH397" s="2" t="s">
        <v>74</v>
      </c>
      <c r="BI397" s="2" t="s">
        <v>74</v>
      </c>
      <c r="BJ397" s="2" t="s">
        <v>74</v>
      </c>
      <c r="BK397" s="2" t="s">
        <v>74</v>
      </c>
      <c r="BL397" s="2" t="s">
        <v>74</v>
      </c>
      <c r="BM397" s="2" t="s">
        <v>74</v>
      </c>
      <c r="BN397" s="2" t="s">
        <v>74</v>
      </c>
      <c r="BO397" s="2" t="s">
        <v>74</v>
      </c>
      <c r="BP397" s="2" t="s">
        <v>74</v>
      </c>
      <c r="BQ397" s="2" t="s">
        <v>74</v>
      </c>
      <c r="BR397" s="2" t="s">
        <v>74</v>
      </c>
      <c r="BS397" s="2" t="s">
        <v>2149</v>
      </c>
      <c r="BT397" s="2" t="str">
        <f>HYPERLINK("https%3A%2F%2Fwww.webofscience.com%2Fwos%2Fwoscc%2Ffull-record%2FWOS:A1980JX22800006","View Full Record in Web of Science")</f>
        <v>View Full Record in Web of Science</v>
      </c>
    </row>
    <row r="398" spans="1:72" s="2" customFormat="1" x14ac:dyDescent="0.4">
      <c r="A398" s="2" t="s">
        <v>72</v>
      </c>
      <c r="B398" s="2" t="s">
        <v>2985</v>
      </c>
      <c r="C398" s="2" t="s">
        <v>74</v>
      </c>
      <c r="D398" s="2" t="s">
        <v>74</v>
      </c>
      <c r="E398" s="2" t="s">
        <v>74</v>
      </c>
      <c r="F398" s="2" t="s">
        <v>2986</v>
      </c>
      <c r="G398" s="2" t="s">
        <v>74</v>
      </c>
      <c r="H398" s="2" t="s">
        <v>74</v>
      </c>
      <c r="I398" s="2" t="s">
        <v>2987</v>
      </c>
      <c r="J398" s="2" t="s">
        <v>129</v>
      </c>
      <c r="K398" s="2" t="s">
        <v>74</v>
      </c>
      <c r="L398" s="2" t="s">
        <v>74</v>
      </c>
      <c r="M398" s="2" t="s">
        <v>74</v>
      </c>
      <c r="N398" s="2" t="s">
        <v>74</v>
      </c>
      <c r="O398" s="2" t="s">
        <v>74</v>
      </c>
      <c r="P398" s="2" t="s">
        <v>74</v>
      </c>
      <c r="Q398" s="2" t="s">
        <v>74</v>
      </c>
      <c r="R398" s="2" t="s">
        <v>74</v>
      </c>
      <c r="S398" s="2" t="s">
        <v>74</v>
      </c>
      <c r="T398" s="2" t="s">
        <v>74</v>
      </c>
      <c r="U398" s="2" t="s">
        <v>74</v>
      </c>
      <c r="V398" s="5" t="s">
        <v>2988</v>
      </c>
      <c r="W398" s="2" t="s">
        <v>74</v>
      </c>
      <c r="X398" s="2" t="s">
        <v>74</v>
      </c>
      <c r="Y398" s="2" t="s">
        <v>74</v>
      </c>
      <c r="Z398" s="2" t="s">
        <v>74</v>
      </c>
      <c r="AA398" s="2" t="s">
        <v>2989</v>
      </c>
      <c r="AB398" s="2" t="s">
        <v>2990</v>
      </c>
      <c r="AC398" s="2" t="s">
        <v>74</v>
      </c>
      <c r="AD398" s="2" t="s">
        <v>74</v>
      </c>
      <c r="AE398" s="2" t="s">
        <v>74</v>
      </c>
      <c r="AF398" s="2" t="s">
        <v>74</v>
      </c>
      <c r="AG398" s="2" t="s">
        <v>74</v>
      </c>
      <c r="AH398" s="2" t="s">
        <v>74</v>
      </c>
      <c r="AI398" s="2" t="s">
        <v>74</v>
      </c>
      <c r="AJ398" s="2" t="s">
        <v>74</v>
      </c>
      <c r="AK398" s="2" t="s">
        <v>74</v>
      </c>
      <c r="AL398" s="2" t="s">
        <v>74</v>
      </c>
      <c r="AM398" s="2" t="s">
        <v>74</v>
      </c>
      <c r="AN398" s="2" t="s">
        <v>74</v>
      </c>
      <c r="AO398" s="2" t="s">
        <v>132</v>
      </c>
      <c r="AP398" s="2" t="s">
        <v>133</v>
      </c>
      <c r="AQ398" s="2" t="s">
        <v>74</v>
      </c>
      <c r="AR398" s="2" t="s">
        <v>74</v>
      </c>
      <c r="AS398" s="2" t="s">
        <v>74</v>
      </c>
      <c r="AT398" s="2" t="s">
        <v>134</v>
      </c>
      <c r="AU398" s="2">
        <v>2007</v>
      </c>
      <c r="AV398" s="2">
        <v>61</v>
      </c>
      <c r="AW398" s="2">
        <v>7</v>
      </c>
      <c r="AX398" s="2" t="s">
        <v>74</v>
      </c>
      <c r="AY398" s="2" t="s">
        <v>74</v>
      </c>
      <c r="AZ398" s="2" t="s">
        <v>74</v>
      </c>
      <c r="BA398" s="2" t="s">
        <v>74</v>
      </c>
      <c r="BB398" s="2">
        <v>1121</v>
      </c>
      <c r="BC398" s="2">
        <v>1131</v>
      </c>
      <c r="BD398" s="2" t="s">
        <v>74</v>
      </c>
      <c r="BE398" s="2" t="s">
        <v>2991</v>
      </c>
      <c r="BF398" s="2" t="str">
        <f>HYPERLINK("http://dx.doi.org/10.1007/s00265-006-0345-3","http://dx.doi.org/10.1007/s00265-006-0345-3")</f>
        <v>http://dx.doi.org/10.1007/s00265-006-0345-3</v>
      </c>
      <c r="BG398" s="2" t="s">
        <v>74</v>
      </c>
      <c r="BH398" s="2" t="s">
        <v>74</v>
      </c>
      <c r="BI398" s="2" t="s">
        <v>74</v>
      </c>
      <c r="BJ398" s="2" t="s">
        <v>74</v>
      </c>
      <c r="BK398" s="2" t="s">
        <v>74</v>
      </c>
      <c r="BL398" s="2" t="s">
        <v>74</v>
      </c>
      <c r="BM398" s="2" t="s">
        <v>74</v>
      </c>
      <c r="BN398" s="2" t="s">
        <v>74</v>
      </c>
      <c r="BO398" s="2" t="s">
        <v>74</v>
      </c>
      <c r="BP398" s="2" t="s">
        <v>74</v>
      </c>
      <c r="BQ398" s="2" t="s">
        <v>74</v>
      </c>
      <c r="BR398" s="2" t="s">
        <v>74</v>
      </c>
      <c r="BS398" s="2" t="s">
        <v>2992</v>
      </c>
      <c r="BT398" s="2" t="str">
        <f>HYPERLINK("https%3A%2F%2Fwww.webofscience.com%2Fwos%2Fwoscc%2Ffull-record%2FWOS:000245519700015","View Full Record in Web of Science")</f>
        <v>View Full Record in Web of Science</v>
      </c>
    </row>
    <row r="399" spans="1:72" s="2" customFormat="1" x14ac:dyDescent="0.4">
      <c r="A399" s="2" t="s">
        <v>72</v>
      </c>
      <c r="B399" s="2" t="s">
        <v>7291</v>
      </c>
      <c r="C399" s="2" t="s">
        <v>74</v>
      </c>
      <c r="D399" s="2" t="s">
        <v>74</v>
      </c>
      <c r="E399" s="2" t="s">
        <v>74</v>
      </c>
      <c r="F399" s="2" t="s">
        <v>7291</v>
      </c>
      <c r="G399" s="2" t="s">
        <v>74</v>
      </c>
      <c r="H399" s="2" t="s">
        <v>74</v>
      </c>
      <c r="I399" s="2" t="s">
        <v>7292</v>
      </c>
      <c r="J399" s="2" t="s">
        <v>2629</v>
      </c>
      <c r="K399" s="2" t="s">
        <v>74</v>
      </c>
      <c r="L399" s="2" t="s">
        <v>74</v>
      </c>
      <c r="M399" s="2" t="s">
        <v>74</v>
      </c>
      <c r="N399" s="2" t="s">
        <v>74</v>
      </c>
      <c r="O399" s="2" t="s">
        <v>74</v>
      </c>
      <c r="P399" s="2" t="s">
        <v>74</v>
      </c>
      <c r="Q399" s="2" t="s">
        <v>74</v>
      </c>
      <c r="R399" s="2" t="s">
        <v>74</v>
      </c>
      <c r="S399" s="2" t="s">
        <v>74</v>
      </c>
      <c r="T399" s="2" t="s">
        <v>74</v>
      </c>
      <c r="U399" s="2" t="s">
        <v>74</v>
      </c>
      <c r="V399" s="5" t="s">
        <v>7293</v>
      </c>
      <c r="W399" s="2" t="s">
        <v>74</v>
      </c>
      <c r="X399" s="2" t="s">
        <v>74</v>
      </c>
      <c r="Y399" s="2" t="s">
        <v>74</v>
      </c>
      <c r="Z399" s="2" t="s">
        <v>74</v>
      </c>
      <c r="AA399" s="2" t="s">
        <v>74</v>
      </c>
      <c r="AB399" s="2" t="s">
        <v>74</v>
      </c>
      <c r="AC399" s="2" t="s">
        <v>74</v>
      </c>
      <c r="AD399" s="2" t="s">
        <v>74</v>
      </c>
      <c r="AE399" s="2" t="s">
        <v>74</v>
      </c>
      <c r="AF399" s="2" t="s">
        <v>74</v>
      </c>
      <c r="AG399" s="2" t="s">
        <v>74</v>
      </c>
      <c r="AH399" s="2" t="s">
        <v>74</v>
      </c>
      <c r="AI399" s="2" t="s">
        <v>74</v>
      </c>
      <c r="AJ399" s="2" t="s">
        <v>74</v>
      </c>
      <c r="AK399" s="2" t="s">
        <v>74</v>
      </c>
      <c r="AL399" s="2" t="s">
        <v>74</v>
      </c>
      <c r="AM399" s="2" t="s">
        <v>74</v>
      </c>
      <c r="AN399" s="2" t="s">
        <v>74</v>
      </c>
      <c r="AO399" s="2" t="s">
        <v>2632</v>
      </c>
      <c r="AP399" s="2" t="s">
        <v>74</v>
      </c>
      <c r="AQ399" s="2" t="s">
        <v>74</v>
      </c>
      <c r="AR399" s="2" t="s">
        <v>74</v>
      </c>
      <c r="AS399" s="2" t="s">
        <v>74</v>
      </c>
      <c r="AT399" s="2" t="s">
        <v>74</v>
      </c>
      <c r="AU399" s="2">
        <v>2000</v>
      </c>
      <c r="AV399" s="2">
        <v>48</v>
      </c>
      <c r="AW399" s="2">
        <v>4</v>
      </c>
      <c r="AX399" s="2" t="s">
        <v>74</v>
      </c>
      <c r="AY399" s="2" t="s">
        <v>74</v>
      </c>
      <c r="AZ399" s="2" t="s">
        <v>74</v>
      </c>
      <c r="BA399" s="2" t="s">
        <v>74</v>
      </c>
      <c r="BB399" s="2">
        <v>393</v>
      </c>
      <c r="BC399" s="2">
        <v>409</v>
      </c>
      <c r="BD399" s="2" t="s">
        <v>74</v>
      </c>
      <c r="BE399" s="2" t="s">
        <v>7294</v>
      </c>
      <c r="BF399" s="2" t="str">
        <f>HYPERLINK("http://dx.doi.org/10.1071/ZO00046","http://dx.doi.org/10.1071/ZO00046")</f>
        <v>http://dx.doi.org/10.1071/ZO00046</v>
      </c>
      <c r="BG399" s="2" t="s">
        <v>74</v>
      </c>
      <c r="BH399" s="2" t="s">
        <v>74</v>
      </c>
      <c r="BI399" s="2" t="s">
        <v>74</v>
      </c>
      <c r="BJ399" s="2" t="s">
        <v>74</v>
      </c>
      <c r="BK399" s="2" t="s">
        <v>74</v>
      </c>
      <c r="BL399" s="2" t="s">
        <v>74</v>
      </c>
      <c r="BM399" s="2" t="s">
        <v>74</v>
      </c>
      <c r="BN399" s="2" t="s">
        <v>74</v>
      </c>
      <c r="BO399" s="2" t="s">
        <v>74</v>
      </c>
      <c r="BP399" s="2" t="s">
        <v>74</v>
      </c>
      <c r="BQ399" s="2" t="s">
        <v>74</v>
      </c>
      <c r="BR399" s="2" t="s">
        <v>74</v>
      </c>
      <c r="BS399" s="2" t="s">
        <v>7295</v>
      </c>
      <c r="BT399" s="2" t="str">
        <f>HYPERLINK("https%3A%2F%2Fwww.webofscience.com%2Fwos%2Fwoscc%2Ffull-record%2FWOS:000089592900007","View Full Record in Web of Science")</f>
        <v>View Full Record in Web of Science</v>
      </c>
    </row>
    <row r="400" spans="1:72" s="2" customFormat="1" x14ac:dyDescent="0.4">
      <c r="A400" s="2" t="s">
        <v>72</v>
      </c>
      <c r="B400" s="2" t="s">
        <v>8175</v>
      </c>
      <c r="C400" s="2" t="s">
        <v>74</v>
      </c>
      <c r="D400" s="2" t="s">
        <v>74</v>
      </c>
      <c r="E400" s="2" t="s">
        <v>74</v>
      </c>
      <c r="F400" s="2" t="s">
        <v>8176</v>
      </c>
      <c r="G400" s="2" t="s">
        <v>74</v>
      </c>
      <c r="H400" s="2" t="s">
        <v>74</v>
      </c>
      <c r="I400" s="2" t="s">
        <v>8177</v>
      </c>
      <c r="J400" s="2" t="s">
        <v>8178</v>
      </c>
      <c r="K400" s="2" t="s">
        <v>74</v>
      </c>
      <c r="L400" s="2" t="s">
        <v>74</v>
      </c>
      <c r="M400" s="2" t="s">
        <v>74</v>
      </c>
      <c r="N400" s="2" t="s">
        <v>74</v>
      </c>
      <c r="O400" s="2" t="s">
        <v>74</v>
      </c>
      <c r="P400" s="2" t="s">
        <v>74</v>
      </c>
      <c r="Q400" s="2" t="s">
        <v>74</v>
      </c>
      <c r="R400" s="2" t="s">
        <v>74</v>
      </c>
      <c r="S400" s="2" t="s">
        <v>74</v>
      </c>
      <c r="T400" s="2" t="s">
        <v>74</v>
      </c>
      <c r="U400" s="2" t="s">
        <v>74</v>
      </c>
      <c r="V400" s="5" t="s">
        <v>8179</v>
      </c>
      <c r="W400" s="2" t="s">
        <v>74</v>
      </c>
      <c r="X400" s="2" t="s">
        <v>74</v>
      </c>
      <c r="Y400" s="2" t="s">
        <v>74</v>
      </c>
      <c r="Z400" s="2" t="s">
        <v>74</v>
      </c>
      <c r="AA400" s="2" t="s">
        <v>74</v>
      </c>
      <c r="AB400" s="2" t="s">
        <v>74</v>
      </c>
      <c r="AC400" s="2" t="s">
        <v>74</v>
      </c>
      <c r="AD400" s="2" t="s">
        <v>74</v>
      </c>
      <c r="AE400" s="2" t="s">
        <v>74</v>
      </c>
      <c r="AF400" s="2" t="s">
        <v>74</v>
      </c>
      <c r="AG400" s="2" t="s">
        <v>74</v>
      </c>
      <c r="AH400" s="2" t="s">
        <v>74</v>
      </c>
      <c r="AI400" s="2" t="s">
        <v>74</v>
      </c>
      <c r="AJ400" s="2" t="s">
        <v>74</v>
      </c>
      <c r="AK400" s="2" t="s">
        <v>74</v>
      </c>
      <c r="AL400" s="2" t="s">
        <v>74</v>
      </c>
      <c r="AM400" s="2" t="s">
        <v>74</v>
      </c>
      <c r="AN400" s="2" t="s">
        <v>74</v>
      </c>
      <c r="AO400" s="2" t="s">
        <v>8180</v>
      </c>
      <c r="AP400" s="2" t="s">
        <v>8181</v>
      </c>
      <c r="AQ400" s="2" t="s">
        <v>74</v>
      </c>
      <c r="AR400" s="2" t="s">
        <v>74</v>
      </c>
      <c r="AS400" s="2" t="s">
        <v>74</v>
      </c>
      <c r="AT400" s="2" t="s">
        <v>134</v>
      </c>
      <c r="AU400" s="2">
        <v>2020</v>
      </c>
      <c r="AV400" s="2">
        <v>148</v>
      </c>
      <c r="AW400" s="2" t="s">
        <v>74</v>
      </c>
      <c r="AX400" s="2" t="s">
        <v>74</v>
      </c>
      <c r="AY400" s="2" t="s">
        <v>74</v>
      </c>
      <c r="AZ400" s="2" t="s">
        <v>74</v>
      </c>
      <c r="BA400" s="2" t="s">
        <v>74</v>
      </c>
      <c r="BB400" s="2">
        <v>132</v>
      </c>
      <c r="BC400" s="2">
        <v>139</v>
      </c>
      <c r="BD400" s="2" t="s">
        <v>74</v>
      </c>
      <c r="BE400" s="2" t="s">
        <v>8182</v>
      </c>
      <c r="BF400" s="2" t="str">
        <f>HYPERLINK("http://dx.doi.org/10.1016/j.theriogenology.2020.03.004","http://dx.doi.org/10.1016/j.theriogenology.2020.03.004")</f>
        <v>http://dx.doi.org/10.1016/j.theriogenology.2020.03.004</v>
      </c>
      <c r="BG400" s="2" t="s">
        <v>74</v>
      </c>
      <c r="BH400" s="2" t="s">
        <v>74</v>
      </c>
      <c r="BI400" s="2" t="s">
        <v>74</v>
      </c>
      <c r="BJ400" s="2" t="s">
        <v>74</v>
      </c>
      <c r="BK400" s="2" t="s">
        <v>74</v>
      </c>
      <c r="BL400" s="2" t="s">
        <v>74</v>
      </c>
      <c r="BM400" s="2" t="s">
        <v>74</v>
      </c>
      <c r="BN400" s="2">
        <v>32171972</v>
      </c>
      <c r="BO400" s="2" t="s">
        <v>74</v>
      </c>
      <c r="BP400" s="2" t="s">
        <v>74</v>
      </c>
      <c r="BQ400" s="2" t="s">
        <v>74</v>
      </c>
      <c r="BR400" s="2" t="s">
        <v>74</v>
      </c>
      <c r="BS400" s="2" t="s">
        <v>8183</v>
      </c>
      <c r="BT400" s="2" t="str">
        <f>HYPERLINK("https%3A%2F%2Fwww.webofscience.com%2Fwos%2Fwoscc%2Ffull-record%2FWOS:000527365800015","View Full Record in Web of Science")</f>
        <v>View Full Record in Web of Science</v>
      </c>
    </row>
    <row r="401" spans="1:72" s="2" customFormat="1" x14ac:dyDescent="0.4">
      <c r="A401" s="2" t="s">
        <v>72</v>
      </c>
      <c r="B401" s="2" t="s">
        <v>7871</v>
      </c>
      <c r="C401" s="2" t="s">
        <v>74</v>
      </c>
      <c r="D401" s="2" t="s">
        <v>74</v>
      </c>
      <c r="E401" s="2" t="s">
        <v>74</v>
      </c>
      <c r="F401" s="2" t="s">
        <v>7871</v>
      </c>
      <c r="G401" s="2" t="s">
        <v>74</v>
      </c>
      <c r="H401" s="2" t="s">
        <v>74</v>
      </c>
      <c r="I401" s="2" t="s">
        <v>7872</v>
      </c>
      <c r="J401" s="2" t="s">
        <v>576</v>
      </c>
      <c r="K401" s="2" t="s">
        <v>74</v>
      </c>
      <c r="L401" s="2" t="s">
        <v>74</v>
      </c>
      <c r="M401" s="2" t="s">
        <v>74</v>
      </c>
      <c r="N401" s="2" t="s">
        <v>74</v>
      </c>
      <c r="O401" s="2" t="s">
        <v>74</v>
      </c>
      <c r="P401" s="2" t="s">
        <v>74</v>
      </c>
      <c r="Q401" s="2" t="s">
        <v>74</v>
      </c>
      <c r="R401" s="2" t="s">
        <v>74</v>
      </c>
      <c r="S401" s="2" t="s">
        <v>74</v>
      </c>
      <c r="T401" s="2" t="s">
        <v>74</v>
      </c>
      <c r="U401" s="2" t="s">
        <v>74</v>
      </c>
      <c r="V401" s="5" t="s">
        <v>7873</v>
      </c>
      <c r="W401" s="2" t="s">
        <v>74</v>
      </c>
      <c r="X401" s="2" t="s">
        <v>74</v>
      </c>
      <c r="Y401" s="2" t="s">
        <v>74</v>
      </c>
      <c r="Z401" s="2" t="s">
        <v>74</v>
      </c>
      <c r="AA401" s="2" t="s">
        <v>74</v>
      </c>
      <c r="AB401" s="2" t="s">
        <v>74</v>
      </c>
      <c r="AC401" s="2" t="s">
        <v>74</v>
      </c>
      <c r="AD401" s="2" t="s">
        <v>74</v>
      </c>
      <c r="AE401" s="2" t="s">
        <v>74</v>
      </c>
      <c r="AF401" s="2" t="s">
        <v>74</v>
      </c>
      <c r="AG401" s="2" t="s">
        <v>74</v>
      </c>
      <c r="AH401" s="2" t="s">
        <v>74</v>
      </c>
      <c r="AI401" s="2" t="s">
        <v>74</v>
      </c>
      <c r="AJ401" s="2" t="s">
        <v>74</v>
      </c>
      <c r="AK401" s="2" t="s">
        <v>74</v>
      </c>
      <c r="AL401" s="2" t="s">
        <v>74</v>
      </c>
      <c r="AM401" s="2" t="s">
        <v>74</v>
      </c>
      <c r="AN401" s="2" t="s">
        <v>74</v>
      </c>
      <c r="AO401" s="2" t="s">
        <v>579</v>
      </c>
      <c r="AP401" s="2" t="s">
        <v>74</v>
      </c>
      <c r="AQ401" s="2" t="s">
        <v>74</v>
      </c>
      <c r="AR401" s="2" t="s">
        <v>74</v>
      </c>
      <c r="AS401" s="2" t="s">
        <v>74</v>
      </c>
      <c r="AT401" s="2" t="s">
        <v>204</v>
      </c>
      <c r="AU401" s="2">
        <v>1994</v>
      </c>
      <c r="AV401" s="2">
        <v>8</v>
      </c>
      <c r="AW401" s="2">
        <v>4</v>
      </c>
      <c r="AX401" s="2" t="s">
        <v>74</v>
      </c>
      <c r="AY401" s="2" t="s">
        <v>74</v>
      </c>
      <c r="AZ401" s="2" t="s">
        <v>74</v>
      </c>
      <c r="BA401" s="2" t="s">
        <v>74</v>
      </c>
      <c r="BB401" s="2">
        <v>348</v>
      </c>
      <c r="BC401" s="2">
        <v>356</v>
      </c>
      <c r="BD401" s="2" t="s">
        <v>74</v>
      </c>
      <c r="BE401" s="2" t="s">
        <v>7874</v>
      </c>
      <c r="BF401" s="2" t="str">
        <f>HYPERLINK("http://dx.doi.org/10.1007/BF01238187","http://dx.doi.org/10.1007/BF01238187")</f>
        <v>http://dx.doi.org/10.1007/BF01238187</v>
      </c>
      <c r="BG401" s="2" t="s">
        <v>74</v>
      </c>
      <c r="BH401" s="2" t="s">
        <v>74</v>
      </c>
      <c r="BI401" s="2" t="s">
        <v>74</v>
      </c>
      <c r="BJ401" s="2" t="s">
        <v>74</v>
      </c>
      <c r="BK401" s="2" t="s">
        <v>74</v>
      </c>
      <c r="BL401" s="2" t="s">
        <v>74</v>
      </c>
      <c r="BM401" s="2" t="s">
        <v>74</v>
      </c>
      <c r="BN401" s="2" t="s">
        <v>74</v>
      </c>
      <c r="BO401" s="2" t="s">
        <v>74</v>
      </c>
      <c r="BP401" s="2" t="s">
        <v>74</v>
      </c>
      <c r="BQ401" s="2" t="s">
        <v>74</v>
      </c>
      <c r="BR401" s="2" t="s">
        <v>74</v>
      </c>
      <c r="BS401" s="2" t="s">
        <v>7875</v>
      </c>
      <c r="BT401" s="2" t="str">
        <f>HYPERLINK("https%3A%2F%2Fwww.webofscience.com%2Fwos%2Fwoscc%2Ffull-record%2FWOS:A1994NY27800002","View Full Record in Web of Science")</f>
        <v>View Full Record in Web of Science</v>
      </c>
    </row>
    <row r="402" spans="1:72" s="2" customFormat="1" x14ac:dyDescent="0.4">
      <c r="A402" s="2" t="s">
        <v>72</v>
      </c>
      <c r="B402" s="2" t="s">
        <v>4047</v>
      </c>
      <c r="C402" s="2" t="s">
        <v>74</v>
      </c>
      <c r="D402" s="2" t="s">
        <v>74</v>
      </c>
      <c r="E402" s="2" t="s">
        <v>74</v>
      </c>
      <c r="F402" s="2" t="s">
        <v>4048</v>
      </c>
      <c r="G402" s="2" t="s">
        <v>74</v>
      </c>
      <c r="H402" s="2" t="s">
        <v>74</v>
      </c>
      <c r="I402" s="2" t="s">
        <v>4049</v>
      </c>
      <c r="J402" s="2" t="s">
        <v>763</v>
      </c>
      <c r="K402" s="2" t="s">
        <v>74</v>
      </c>
      <c r="L402" s="2" t="s">
        <v>74</v>
      </c>
      <c r="M402" s="2" t="s">
        <v>74</v>
      </c>
      <c r="N402" s="2" t="s">
        <v>74</v>
      </c>
      <c r="O402" s="2" t="s">
        <v>74</v>
      </c>
      <c r="P402" s="2" t="s">
        <v>74</v>
      </c>
      <c r="Q402" s="2" t="s">
        <v>74</v>
      </c>
      <c r="R402" s="2" t="s">
        <v>74</v>
      </c>
      <c r="S402" s="2" t="s">
        <v>74</v>
      </c>
      <c r="T402" s="2" t="s">
        <v>74</v>
      </c>
      <c r="U402" s="2" t="s">
        <v>74</v>
      </c>
      <c r="V402" s="5" t="s">
        <v>4050</v>
      </c>
      <c r="W402" s="2" t="s">
        <v>74</v>
      </c>
      <c r="X402" s="2" t="s">
        <v>74</v>
      </c>
      <c r="Y402" s="2" t="s">
        <v>74</v>
      </c>
      <c r="Z402" s="2" t="s">
        <v>74</v>
      </c>
      <c r="AA402" s="2" t="s">
        <v>74</v>
      </c>
      <c r="AB402" s="2" t="s">
        <v>74</v>
      </c>
      <c r="AC402" s="2" t="s">
        <v>74</v>
      </c>
      <c r="AD402" s="2" t="s">
        <v>74</v>
      </c>
      <c r="AE402" s="2" t="s">
        <v>74</v>
      </c>
      <c r="AF402" s="2" t="s">
        <v>74</v>
      </c>
      <c r="AG402" s="2" t="s">
        <v>74</v>
      </c>
      <c r="AH402" s="2" t="s">
        <v>74</v>
      </c>
      <c r="AI402" s="2" t="s">
        <v>74</v>
      </c>
      <c r="AJ402" s="2" t="s">
        <v>74</v>
      </c>
      <c r="AK402" s="2" t="s">
        <v>74</v>
      </c>
      <c r="AL402" s="2" t="s">
        <v>74</v>
      </c>
      <c r="AM402" s="2" t="s">
        <v>74</v>
      </c>
      <c r="AN402" s="2" t="s">
        <v>74</v>
      </c>
      <c r="AO402" s="2" t="s">
        <v>767</v>
      </c>
      <c r="AP402" s="2" t="s">
        <v>768</v>
      </c>
      <c r="AQ402" s="2" t="s">
        <v>74</v>
      </c>
      <c r="AR402" s="2" t="s">
        <v>74</v>
      </c>
      <c r="AS402" s="2" t="s">
        <v>74</v>
      </c>
      <c r="AT402" s="2" t="s">
        <v>145</v>
      </c>
      <c r="AU402" s="2">
        <v>2013</v>
      </c>
      <c r="AV402" s="2">
        <v>216</v>
      </c>
      <c r="AW402" s="2">
        <v>15</v>
      </c>
      <c r="AX402" s="2" t="s">
        <v>74</v>
      </c>
      <c r="AY402" s="2" t="s">
        <v>74</v>
      </c>
      <c r="AZ402" s="2" t="s">
        <v>74</v>
      </c>
      <c r="BA402" s="2" t="s">
        <v>74</v>
      </c>
      <c r="BB402" s="2">
        <v>2806</v>
      </c>
      <c r="BC402" s="2">
        <v>2812</v>
      </c>
      <c r="BD402" s="2" t="s">
        <v>74</v>
      </c>
      <c r="BE402" s="2" t="s">
        <v>4051</v>
      </c>
      <c r="BF402" s="2" t="str">
        <f>HYPERLINK("http://dx.doi.org/10.1242/jeb.084889","http://dx.doi.org/10.1242/jeb.084889")</f>
        <v>http://dx.doi.org/10.1242/jeb.084889</v>
      </c>
      <c r="BG402" s="2" t="s">
        <v>74</v>
      </c>
      <c r="BH402" s="2" t="s">
        <v>74</v>
      </c>
      <c r="BI402" s="2" t="s">
        <v>74</v>
      </c>
      <c r="BJ402" s="2" t="s">
        <v>74</v>
      </c>
      <c r="BK402" s="2" t="s">
        <v>74</v>
      </c>
      <c r="BL402" s="2" t="s">
        <v>74</v>
      </c>
      <c r="BM402" s="2" t="s">
        <v>74</v>
      </c>
      <c r="BN402" s="2">
        <v>23580716</v>
      </c>
      <c r="BO402" s="2" t="s">
        <v>74</v>
      </c>
      <c r="BP402" s="2" t="s">
        <v>74</v>
      </c>
      <c r="BQ402" s="2" t="s">
        <v>74</v>
      </c>
      <c r="BR402" s="2" t="s">
        <v>74</v>
      </c>
      <c r="BS402" s="2" t="s">
        <v>4052</v>
      </c>
      <c r="BT402" s="2" t="str">
        <f>HYPERLINK("https%3A%2F%2Fwww.webofscience.com%2Fwos%2Fwoscc%2Ffull-record%2FWOS:000321614700015","View Full Record in Web of Science")</f>
        <v>View Full Record in Web of Science</v>
      </c>
    </row>
    <row r="403" spans="1:72" s="7" customFormat="1" x14ac:dyDescent="0.4">
      <c r="A403" s="2" t="s">
        <v>72</v>
      </c>
      <c r="B403" s="2" t="s">
        <v>3134</v>
      </c>
      <c r="C403" s="2" t="s">
        <v>74</v>
      </c>
      <c r="D403" s="2" t="s">
        <v>74</v>
      </c>
      <c r="E403" s="2" t="s">
        <v>74</v>
      </c>
      <c r="F403" s="2" t="s">
        <v>3135</v>
      </c>
      <c r="G403" s="2" t="s">
        <v>74</v>
      </c>
      <c r="H403" s="2" t="s">
        <v>74</v>
      </c>
      <c r="I403" s="2" t="s">
        <v>3136</v>
      </c>
      <c r="J403" s="2" t="s">
        <v>108</v>
      </c>
      <c r="K403" s="2" t="s">
        <v>74</v>
      </c>
      <c r="L403" s="2" t="s">
        <v>74</v>
      </c>
      <c r="M403" s="2" t="s">
        <v>74</v>
      </c>
      <c r="N403" s="2" t="s">
        <v>74</v>
      </c>
      <c r="O403" s="2" t="s">
        <v>74</v>
      </c>
      <c r="P403" s="2" t="s">
        <v>74</v>
      </c>
      <c r="Q403" s="2" t="s">
        <v>74</v>
      </c>
      <c r="R403" s="2" t="s">
        <v>74</v>
      </c>
      <c r="S403" s="2" t="s">
        <v>74</v>
      </c>
      <c r="T403" s="2" t="s">
        <v>74</v>
      </c>
      <c r="U403" s="2" t="s">
        <v>74</v>
      </c>
      <c r="V403" s="5" t="s">
        <v>3137</v>
      </c>
      <c r="W403" s="2" t="s">
        <v>74</v>
      </c>
      <c r="X403" s="2" t="s">
        <v>74</v>
      </c>
      <c r="Y403" s="2" t="s">
        <v>74</v>
      </c>
      <c r="Z403" s="2" t="s">
        <v>74</v>
      </c>
      <c r="AA403" s="2" t="s">
        <v>3138</v>
      </c>
      <c r="AB403" s="2" t="s">
        <v>3139</v>
      </c>
      <c r="AC403" s="2" t="s">
        <v>74</v>
      </c>
      <c r="AD403" s="2" t="s">
        <v>74</v>
      </c>
      <c r="AE403" s="2" t="s">
        <v>74</v>
      </c>
      <c r="AF403" s="2" t="s">
        <v>74</v>
      </c>
      <c r="AG403" s="2" t="s">
        <v>74</v>
      </c>
      <c r="AH403" s="2" t="s">
        <v>74</v>
      </c>
      <c r="AI403" s="2" t="s">
        <v>74</v>
      </c>
      <c r="AJ403" s="2" t="s">
        <v>74</v>
      </c>
      <c r="AK403" s="2" t="s">
        <v>74</v>
      </c>
      <c r="AL403" s="2" t="s">
        <v>74</v>
      </c>
      <c r="AM403" s="2" t="s">
        <v>74</v>
      </c>
      <c r="AN403" s="2" t="s">
        <v>74</v>
      </c>
      <c r="AO403" s="2" t="s">
        <v>111</v>
      </c>
      <c r="AP403" s="2" t="s">
        <v>74</v>
      </c>
      <c r="AQ403" s="2" t="s">
        <v>74</v>
      </c>
      <c r="AR403" s="2" t="s">
        <v>74</v>
      </c>
      <c r="AS403" s="2" t="s">
        <v>74</v>
      </c>
      <c r="AT403" s="2" t="s">
        <v>3140</v>
      </c>
      <c r="AU403" s="2">
        <v>2011</v>
      </c>
      <c r="AV403" s="2">
        <v>278</v>
      </c>
      <c r="AW403" s="2">
        <v>1720</v>
      </c>
      <c r="AX403" s="2" t="s">
        <v>74</v>
      </c>
      <c r="AY403" s="2" t="s">
        <v>74</v>
      </c>
      <c r="AZ403" s="2" t="s">
        <v>74</v>
      </c>
      <c r="BA403" s="2" t="s">
        <v>74</v>
      </c>
      <c r="BB403" s="2">
        <v>2891</v>
      </c>
      <c r="BC403" s="2">
        <v>2899</v>
      </c>
      <c r="BD403" s="2" t="s">
        <v>74</v>
      </c>
      <c r="BE403" s="2" t="s">
        <v>3141</v>
      </c>
      <c r="BF403" s="2" t="str">
        <f>HYPERLINK("http://dx.doi.org/10.1098/rspb.2011.0118","http://dx.doi.org/10.1098/rspb.2011.0118")</f>
        <v>http://dx.doi.org/10.1098/rspb.2011.0118</v>
      </c>
      <c r="BG403" s="2" t="s">
        <v>74</v>
      </c>
      <c r="BH403" s="2" t="s">
        <v>74</v>
      </c>
      <c r="BI403" s="2" t="s">
        <v>74</v>
      </c>
      <c r="BJ403" s="2" t="s">
        <v>74</v>
      </c>
      <c r="BK403" s="2" t="s">
        <v>74</v>
      </c>
      <c r="BL403" s="2" t="s">
        <v>74</v>
      </c>
      <c r="BM403" s="2" t="s">
        <v>74</v>
      </c>
      <c r="BN403" s="2">
        <v>21389031</v>
      </c>
      <c r="BO403" s="2" t="s">
        <v>74</v>
      </c>
      <c r="BP403" s="2" t="s">
        <v>74</v>
      </c>
      <c r="BQ403" s="2" t="s">
        <v>74</v>
      </c>
      <c r="BR403" s="2" t="s">
        <v>74</v>
      </c>
      <c r="BS403" s="2" t="s">
        <v>3142</v>
      </c>
      <c r="BT403" s="2" t="str">
        <f>HYPERLINK("https%3A%2F%2Fwww.webofscience.com%2Fwos%2Fwoscc%2Ffull-record%2FWOS:000294244900005","View Full Record in Web of Science")</f>
        <v>View Full Record in Web of Science</v>
      </c>
    </row>
    <row r="404" spans="1:72" s="2" customFormat="1" x14ac:dyDescent="0.4">
      <c r="A404" s="2" t="s">
        <v>72</v>
      </c>
      <c r="B404" s="2" t="s">
        <v>2873</v>
      </c>
      <c r="C404" s="2" t="s">
        <v>74</v>
      </c>
      <c r="D404" s="2" t="s">
        <v>74</v>
      </c>
      <c r="E404" s="2" t="s">
        <v>74</v>
      </c>
      <c r="F404" s="2" t="s">
        <v>2874</v>
      </c>
      <c r="G404" s="2" t="s">
        <v>74</v>
      </c>
      <c r="H404" s="2" t="s">
        <v>74</v>
      </c>
      <c r="I404" s="2" t="s">
        <v>2875</v>
      </c>
      <c r="J404" s="2" t="s">
        <v>312</v>
      </c>
      <c r="K404" s="2" t="s">
        <v>74</v>
      </c>
      <c r="L404" s="2" t="s">
        <v>74</v>
      </c>
      <c r="M404" s="2" t="s">
        <v>74</v>
      </c>
      <c r="N404" s="2" t="s">
        <v>74</v>
      </c>
      <c r="O404" s="2" t="s">
        <v>74</v>
      </c>
      <c r="P404" s="2" t="s">
        <v>74</v>
      </c>
      <c r="Q404" s="2" t="s">
        <v>74</v>
      </c>
      <c r="R404" s="2" t="s">
        <v>74</v>
      </c>
      <c r="S404" s="2" t="s">
        <v>74</v>
      </c>
      <c r="T404" s="2" t="s">
        <v>74</v>
      </c>
      <c r="U404" s="2" t="s">
        <v>74</v>
      </c>
      <c r="V404" s="5" t="s">
        <v>2876</v>
      </c>
      <c r="W404" s="2" t="s">
        <v>74</v>
      </c>
      <c r="X404" s="2" t="s">
        <v>74</v>
      </c>
      <c r="Y404" s="2" t="s">
        <v>74</v>
      </c>
      <c r="Z404" s="2" t="s">
        <v>74</v>
      </c>
      <c r="AA404" s="2" t="s">
        <v>74</v>
      </c>
      <c r="AB404" s="2" t="s">
        <v>931</v>
      </c>
      <c r="AC404" s="2" t="s">
        <v>74</v>
      </c>
      <c r="AD404" s="2" t="s">
        <v>74</v>
      </c>
      <c r="AE404" s="2" t="s">
        <v>74</v>
      </c>
      <c r="AF404" s="2" t="s">
        <v>74</v>
      </c>
      <c r="AG404" s="2" t="s">
        <v>74</v>
      </c>
      <c r="AH404" s="2" t="s">
        <v>74</v>
      </c>
      <c r="AI404" s="2" t="s">
        <v>74</v>
      </c>
      <c r="AJ404" s="2" t="s">
        <v>74</v>
      </c>
      <c r="AK404" s="2" t="s">
        <v>74</v>
      </c>
      <c r="AL404" s="2" t="s">
        <v>74</v>
      </c>
      <c r="AM404" s="2" t="s">
        <v>74</v>
      </c>
      <c r="AN404" s="2" t="s">
        <v>74</v>
      </c>
      <c r="AO404" s="2" t="s">
        <v>314</v>
      </c>
      <c r="AP404" s="2" t="s">
        <v>315</v>
      </c>
      <c r="AQ404" s="2" t="s">
        <v>74</v>
      </c>
      <c r="AR404" s="2" t="s">
        <v>74</v>
      </c>
      <c r="AS404" s="2" t="s">
        <v>74</v>
      </c>
      <c r="AT404" s="2" t="s">
        <v>1146</v>
      </c>
      <c r="AU404" s="2">
        <v>2022</v>
      </c>
      <c r="AV404" s="2">
        <v>200</v>
      </c>
      <c r="AW404" s="2">
        <v>2</v>
      </c>
      <c r="AX404" s="2" t="s">
        <v>74</v>
      </c>
      <c r="AY404" s="2" t="s">
        <v>74</v>
      </c>
      <c r="AZ404" s="2" t="s">
        <v>74</v>
      </c>
      <c r="BA404" s="2" t="s">
        <v>74</v>
      </c>
      <c r="BB404" s="2">
        <v>236</v>
      </c>
      <c r="BC404" s="2">
        <v>249</v>
      </c>
      <c r="BD404" s="2" t="s">
        <v>74</v>
      </c>
      <c r="BE404" s="2" t="s">
        <v>2877</v>
      </c>
      <c r="BF404" s="2" t="str">
        <f>HYPERLINK("http://dx.doi.org/10.1086/720267","http://dx.doi.org/10.1086/720267")</f>
        <v>http://dx.doi.org/10.1086/720267</v>
      </c>
      <c r="BG404" s="2" t="s">
        <v>74</v>
      </c>
      <c r="BH404" s="2" t="s">
        <v>307</v>
      </c>
      <c r="BI404" s="2" t="s">
        <v>74</v>
      </c>
      <c r="BJ404" s="2" t="s">
        <v>74</v>
      </c>
      <c r="BK404" s="2" t="s">
        <v>74</v>
      </c>
      <c r="BL404" s="2" t="s">
        <v>74</v>
      </c>
      <c r="BM404" s="2" t="s">
        <v>74</v>
      </c>
      <c r="BN404" s="2">
        <v>35905402</v>
      </c>
      <c r="BO404" s="2" t="s">
        <v>74</v>
      </c>
      <c r="BP404" s="2" t="s">
        <v>74</v>
      </c>
      <c r="BQ404" s="2" t="s">
        <v>74</v>
      </c>
      <c r="BR404" s="2" t="s">
        <v>74</v>
      </c>
      <c r="BS404" s="2" t="s">
        <v>2878</v>
      </c>
      <c r="BT404" s="2" t="str">
        <f>HYPERLINK("https%3A%2F%2Fwww.webofscience.com%2Fwos%2Fwoscc%2Ffull-record%2FWOS:000815766400001","View Full Record in Web of Science")</f>
        <v>View Full Record in Web of Science</v>
      </c>
    </row>
    <row r="405" spans="1:72" s="2" customFormat="1" x14ac:dyDescent="0.4">
      <c r="A405" s="2" t="s">
        <v>72</v>
      </c>
      <c r="B405" s="2" t="s">
        <v>927</v>
      </c>
      <c r="C405" s="2" t="s">
        <v>74</v>
      </c>
      <c r="D405" s="2" t="s">
        <v>74</v>
      </c>
      <c r="E405" s="2" t="s">
        <v>74</v>
      </c>
      <c r="F405" s="2" t="s">
        <v>928</v>
      </c>
      <c r="G405" s="2" t="s">
        <v>74</v>
      </c>
      <c r="H405" s="2" t="s">
        <v>74</v>
      </c>
      <c r="I405" s="2" t="s">
        <v>929</v>
      </c>
      <c r="J405" s="2" t="s">
        <v>763</v>
      </c>
      <c r="K405" s="2" t="s">
        <v>74</v>
      </c>
      <c r="L405" s="2" t="s">
        <v>74</v>
      </c>
      <c r="M405" s="2" t="s">
        <v>74</v>
      </c>
      <c r="N405" s="2" t="s">
        <v>74</v>
      </c>
      <c r="O405" s="2" t="s">
        <v>74</v>
      </c>
      <c r="P405" s="2" t="s">
        <v>74</v>
      </c>
      <c r="Q405" s="2" t="s">
        <v>74</v>
      </c>
      <c r="R405" s="2" t="s">
        <v>74</v>
      </c>
      <c r="S405" s="2" t="s">
        <v>74</v>
      </c>
      <c r="T405" s="2" t="s">
        <v>74</v>
      </c>
      <c r="U405" s="2" t="s">
        <v>74</v>
      </c>
      <c r="V405" s="5" t="s">
        <v>930</v>
      </c>
      <c r="W405" s="2" t="s">
        <v>74</v>
      </c>
      <c r="X405" s="2" t="s">
        <v>74</v>
      </c>
      <c r="Y405" s="2" t="s">
        <v>74</v>
      </c>
      <c r="Z405" s="2" t="s">
        <v>74</v>
      </c>
      <c r="AA405" s="2" t="s">
        <v>74</v>
      </c>
      <c r="AB405" s="2" t="s">
        <v>931</v>
      </c>
      <c r="AC405" s="2" t="s">
        <v>74</v>
      </c>
      <c r="AD405" s="2" t="s">
        <v>74</v>
      </c>
      <c r="AE405" s="2" t="s">
        <v>74</v>
      </c>
      <c r="AF405" s="2" t="s">
        <v>74</v>
      </c>
      <c r="AG405" s="2" t="s">
        <v>74</v>
      </c>
      <c r="AH405" s="2" t="s">
        <v>74</v>
      </c>
      <c r="AI405" s="2" t="s">
        <v>74</v>
      </c>
      <c r="AJ405" s="2" t="s">
        <v>74</v>
      </c>
      <c r="AK405" s="2" t="s">
        <v>74</v>
      </c>
      <c r="AL405" s="2" t="s">
        <v>74</v>
      </c>
      <c r="AM405" s="2" t="s">
        <v>74</v>
      </c>
      <c r="AN405" s="2" t="s">
        <v>74</v>
      </c>
      <c r="AO405" s="2" t="s">
        <v>767</v>
      </c>
      <c r="AP405" s="2" t="s">
        <v>768</v>
      </c>
      <c r="AQ405" s="2" t="s">
        <v>74</v>
      </c>
      <c r="AR405" s="2" t="s">
        <v>74</v>
      </c>
      <c r="AS405" s="2" t="s">
        <v>74</v>
      </c>
      <c r="AT405" s="2" t="s">
        <v>932</v>
      </c>
      <c r="AU405" s="2">
        <v>2017</v>
      </c>
      <c r="AV405" s="2">
        <v>220</v>
      </c>
      <c r="AW405" s="2">
        <v>12</v>
      </c>
      <c r="AX405" s="2" t="s">
        <v>74</v>
      </c>
      <c r="AY405" s="2" t="s">
        <v>74</v>
      </c>
      <c r="AZ405" s="2" t="s">
        <v>74</v>
      </c>
      <c r="BA405" s="2" t="s">
        <v>74</v>
      </c>
      <c r="BB405" s="2">
        <v>2154</v>
      </c>
      <c r="BC405" s="2">
        <v>2158</v>
      </c>
      <c r="BD405" s="2" t="s">
        <v>74</v>
      </c>
      <c r="BE405" s="2" t="s">
        <v>933</v>
      </c>
      <c r="BF405" s="2" t="str">
        <f>HYPERLINK("http://dx.doi.org/10.1242/jeb.150458","http://dx.doi.org/10.1242/jeb.150458")</f>
        <v>http://dx.doi.org/10.1242/jeb.150458</v>
      </c>
      <c r="BG405" s="2" t="s">
        <v>74</v>
      </c>
      <c r="BH405" s="2" t="s">
        <v>74</v>
      </c>
      <c r="BI405" s="2" t="s">
        <v>74</v>
      </c>
      <c r="BJ405" s="2" t="s">
        <v>74</v>
      </c>
      <c r="BK405" s="2" t="s">
        <v>74</v>
      </c>
      <c r="BL405" s="2" t="s">
        <v>74</v>
      </c>
      <c r="BM405" s="2" t="s">
        <v>74</v>
      </c>
      <c r="BN405" s="2">
        <v>28385798</v>
      </c>
      <c r="BO405" s="2" t="s">
        <v>74</v>
      </c>
      <c r="BP405" s="2" t="s">
        <v>74</v>
      </c>
      <c r="BQ405" s="2" t="s">
        <v>74</v>
      </c>
      <c r="BR405" s="2" t="s">
        <v>74</v>
      </c>
      <c r="BS405" s="2" t="s">
        <v>934</v>
      </c>
      <c r="BT405" s="2" t="str">
        <f>HYPERLINK("https%3A%2F%2Fwww.webofscience.com%2Fwos%2Fwoscc%2Ffull-record%2FWOS:000403337600009","View Full Record in Web of Science")</f>
        <v>View Full Record in Web of Science</v>
      </c>
    </row>
    <row r="406" spans="1:72" s="2" customFormat="1" x14ac:dyDescent="0.4">
      <c r="A406" s="2" t="s">
        <v>72</v>
      </c>
      <c r="B406" s="2" t="s">
        <v>5211</v>
      </c>
      <c r="C406" s="2" t="s">
        <v>74</v>
      </c>
      <c r="D406" s="2" t="s">
        <v>74</v>
      </c>
      <c r="E406" s="2" t="s">
        <v>74</v>
      </c>
      <c r="F406" s="2" t="s">
        <v>5212</v>
      </c>
      <c r="G406" s="2" t="s">
        <v>74</v>
      </c>
      <c r="H406" s="2" t="s">
        <v>74</v>
      </c>
      <c r="I406" s="2" t="s">
        <v>5213</v>
      </c>
      <c r="J406" s="2" t="s">
        <v>431</v>
      </c>
      <c r="K406" s="2" t="s">
        <v>74</v>
      </c>
      <c r="L406" s="2" t="s">
        <v>74</v>
      </c>
      <c r="M406" s="2" t="s">
        <v>74</v>
      </c>
      <c r="N406" s="2" t="s">
        <v>74</v>
      </c>
      <c r="O406" s="2" t="s">
        <v>74</v>
      </c>
      <c r="P406" s="2" t="s">
        <v>74</v>
      </c>
      <c r="Q406" s="2" t="s">
        <v>74</v>
      </c>
      <c r="R406" s="2" t="s">
        <v>74</v>
      </c>
      <c r="S406" s="2" t="s">
        <v>74</v>
      </c>
      <c r="T406" s="2" t="s">
        <v>74</v>
      </c>
      <c r="U406" s="2" t="s">
        <v>74</v>
      </c>
      <c r="V406" s="5" t="s">
        <v>5214</v>
      </c>
      <c r="W406" s="2" t="s">
        <v>74</v>
      </c>
      <c r="X406" s="2" t="s">
        <v>74</v>
      </c>
      <c r="Y406" s="2" t="s">
        <v>74</v>
      </c>
      <c r="Z406" s="2" t="s">
        <v>74</v>
      </c>
      <c r="AA406" s="2" t="s">
        <v>5215</v>
      </c>
      <c r="AB406" s="2" t="s">
        <v>5216</v>
      </c>
      <c r="AC406" s="2" t="s">
        <v>74</v>
      </c>
      <c r="AD406" s="2" t="s">
        <v>74</v>
      </c>
      <c r="AE406" s="2" t="s">
        <v>74</v>
      </c>
      <c r="AF406" s="2" t="s">
        <v>74</v>
      </c>
      <c r="AG406" s="2" t="s">
        <v>74</v>
      </c>
      <c r="AH406" s="2" t="s">
        <v>74</v>
      </c>
      <c r="AI406" s="2" t="s">
        <v>74</v>
      </c>
      <c r="AJ406" s="2" t="s">
        <v>74</v>
      </c>
      <c r="AK406" s="2" t="s">
        <v>74</v>
      </c>
      <c r="AL406" s="2" t="s">
        <v>74</v>
      </c>
      <c r="AM406" s="2" t="s">
        <v>74</v>
      </c>
      <c r="AN406" s="2" t="s">
        <v>74</v>
      </c>
      <c r="AO406" s="2" t="s">
        <v>1458</v>
      </c>
      <c r="AP406" s="2" t="s">
        <v>435</v>
      </c>
      <c r="AQ406" s="2" t="s">
        <v>74</v>
      </c>
      <c r="AR406" s="2" t="s">
        <v>74</v>
      </c>
      <c r="AS406" s="2" t="s">
        <v>74</v>
      </c>
      <c r="AT406" s="2" t="s">
        <v>633</v>
      </c>
      <c r="AU406" s="2">
        <v>2009</v>
      </c>
      <c r="AV406" s="2">
        <v>126</v>
      </c>
      <c r="AW406" s="2">
        <v>2</v>
      </c>
      <c r="AX406" s="2" t="s">
        <v>74</v>
      </c>
      <c r="AY406" s="2" t="s">
        <v>74</v>
      </c>
      <c r="AZ406" s="2" t="s">
        <v>74</v>
      </c>
      <c r="BA406" s="2" t="s">
        <v>74</v>
      </c>
      <c r="BB406" s="2">
        <v>351</v>
      </c>
      <c r="BC406" s="2">
        <v>358</v>
      </c>
      <c r="BD406" s="2" t="s">
        <v>74</v>
      </c>
      <c r="BE406" s="2" t="s">
        <v>5217</v>
      </c>
      <c r="BF406" s="2" t="str">
        <f>HYPERLINK("http://dx.doi.org/10.1525/auk.2009.08086","http://dx.doi.org/10.1525/auk.2009.08086")</f>
        <v>http://dx.doi.org/10.1525/auk.2009.08086</v>
      </c>
      <c r="BG406" s="2" t="s">
        <v>74</v>
      </c>
      <c r="BH406" s="2" t="s">
        <v>74</v>
      </c>
      <c r="BI406" s="2" t="s">
        <v>74</v>
      </c>
      <c r="BJ406" s="2" t="s">
        <v>74</v>
      </c>
      <c r="BK406" s="2" t="s">
        <v>74</v>
      </c>
      <c r="BL406" s="2" t="s">
        <v>74</v>
      </c>
      <c r="BM406" s="2" t="s">
        <v>74</v>
      </c>
      <c r="BN406" s="2" t="s">
        <v>74</v>
      </c>
      <c r="BO406" s="2" t="s">
        <v>74</v>
      </c>
      <c r="BP406" s="2" t="s">
        <v>74</v>
      </c>
      <c r="BQ406" s="2" t="s">
        <v>74</v>
      </c>
      <c r="BR406" s="2" t="s">
        <v>74</v>
      </c>
      <c r="BS406" s="2" t="s">
        <v>5218</v>
      </c>
      <c r="BT406" s="2" t="str">
        <f>HYPERLINK("https%3A%2F%2Fwww.webofscience.com%2Fwos%2Fwoscc%2Ffull-record%2FWOS:000265754300013","View Full Record in Web of Science")</f>
        <v>View Full Record in Web of Science</v>
      </c>
    </row>
    <row r="407" spans="1:72" s="2" customFormat="1" x14ac:dyDescent="0.4">
      <c r="A407" s="2" t="s">
        <v>72</v>
      </c>
      <c r="B407" s="2" t="s">
        <v>5337</v>
      </c>
      <c r="C407" s="2" t="s">
        <v>74</v>
      </c>
      <c r="D407" s="2" t="s">
        <v>74</v>
      </c>
      <c r="E407" s="2" t="s">
        <v>74</v>
      </c>
      <c r="F407" s="2" t="s">
        <v>5337</v>
      </c>
      <c r="G407" s="2" t="s">
        <v>74</v>
      </c>
      <c r="H407" s="2" t="s">
        <v>74</v>
      </c>
      <c r="I407" s="2" t="s">
        <v>5338</v>
      </c>
      <c r="J407" s="2" t="s">
        <v>129</v>
      </c>
      <c r="K407" s="2" t="s">
        <v>74</v>
      </c>
      <c r="L407" s="2" t="s">
        <v>74</v>
      </c>
      <c r="M407" s="2" t="s">
        <v>74</v>
      </c>
      <c r="N407" s="2" t="s">
        <v>74</v>
      </c>
      <c r="O407" s="2" t="s">
        <v>74</v>
      </c>
      <c r="P407" s="2" t="s">
        <v>74</v>
      </c>
      <c r="Q407" s="2" t="s">
        <v>74</v>
      </c>
      <c r="R407" s="2" t="s">
        <v>74</v>
      </c>
      <c r="S407" s="2" t="s">
        <v>74</v>
      </c>
      <c r="T407" s="2" t="s">
        <v>74</v>
      </c>
      <c r="U407" s="2" t="s">
        <v>74</v>
      </c>
      <c r="V407" s="5" t="s">
        <v>5339</v>
      </c>
      <c r="W407" s="2" t="s">
        <v>74</v>
      </c>
      <c r="X407" s="2" t="s">
        <v>74</v>
      </c>
      <c r="Y407" s="2" t="s">
        <v>74</v>
      </c>
      <c r="Z407" s="2" t="s">
        <v>74</v>
      </c>
      <c r="AA407" s="2" t="s">
        <v>74</v>
      </c>
      <c r="AB407" s="2" t="s">
        <v>74</v>
      </c>
      <c r="AC407" s="2" t="s">
        <v>74</v>
      </c>
      <c r="AD407" s="2" t="s">
        <v>74</v>
      </c>
      <c r="AE407" s="2" t="s">
        <v>74</v>
      </c>
      <c r="AF407" s="2" t="s">
        <v>74</v>
      </c>
      <c r="AG407" s="2" t="s">
        <v>74</v>
      </c>
      <c r="AH407" s="2" t="s">
        <v>74</v>
      </c>
      <c r="AI407" s="2" t="s">
        <v>74</v>
      </c>
      <c r="AJ407" s="2" t="s">
        <v>74</v>
      </c>
      <c r="AK407" s="2" t="s">
        <v>74</v>
      </c>
      <c r="AL407" s="2" t="s">
        <v>74</v>
      </c>
      <c r="AM407" s="2" t="s">
        <v>74</v>
      </c>
      <c r="AN407" s="2" t="s">
        <v>74</v>
      </c>
      <c r="AO407" s="2" t="s">
        <v>132</v>
      </c>
      <c r="AP407" s="2" t="s">
        <v>133</v>
      </c>
      <c r="AQ407" s="2" t="s">
        <v>74</v>
      </c>
      <c r="AR407" s="2" t="s">
        <v>74</v>
      </c>
      <c r="AS407" s="2" t="s">
        <v>74</v>
      </c>
      <c r="AT407" s="2" t="s">
        <v>74</v>
      </c>
      <c r="AU407" s="2">
        <v>1989</v>
      </c>
      <c r="AV407" s="2">
        <v>25</v>
      </c>
      <c r="AW407" s="2">
        <v>1</v>
      </c>
      <c r="AX407" s="2" t="s">
        <v>74</v>
      </c>
      <c r="AY407" s="2" t="s">
        <v>74</v>
      </c>
      <c r="AZ407" s="2" t="s">
        <v>74</v>
      </c>
      <c r="BA407" s="2" t="s">
        <v>74</v>
      </c>
      <c r="BB407" s="2">
        <v>49</v>
      </c>
      <c r="BC407" s="2">
        <v>56</v>
      </c>
      <c r="BD407" s="2" t="s">
        <v>74</v>
      </c>
      <c r="BE407" s="2" t="s">
        <v>5340</v>
      </c>
      <c r="BF407" s="2" t="str">
        <f>HYPERLINK("http://dx.doi.org/10.1007/BF00299710","http://dx.doi.org/10.1007/BF00299710")</f>
        <v>http://dx.doi.org/10.1007/BF00299710</v>
      </c>
      <c r="BG407" s="2" t="s">
        <v>74</v>
      </c>
      <c r="BH407" s="2" t="s">
        <v>74</v>
      </c>
      <c r="BI407" s="2" t="s">
        <v>74</v>
      </c>
      <c r="BJ407" s="2" t="s">
        <v>74</v>
      </c>
      <c r="BK407" s="2" t="s">
        <v>74</v>
      </c>
      <c r="BL407" s="2" t="s">
        <v>74</v>
      </c>
      <c r="BM407" s="2" t="s">
        <v>74</v>
      </c>
      <c r="BN407" s="2" t="s">
        <v>74</v>
      </c>
      <c r="BO407" s="2" t="s">
        <v>74</v>
      </c>
      <c r="BP407" s="2" t="s">
        <v>74</v>
      </c>
      <c r="BQ407" s="2" t="s">
        <v>74</v>
      </c>
      <c r="BR407" s="2" t="s">
        <v>74</v>
      </c>
      <c r="BS407" s="2" t="s">
        <v>5341</v>
      </c>
      <c r="BT407" s="2" t="str">
        <f>HYPERLINK("https%3A%2F%2Fwww.webofscience.com%2Fwos%2Fwoscc%2Ffull-record%2FWOS:A1989AJ00400006","View Full Record in Web of Science")</f>
        <v>View Full Record in Web of Science</v>
      </c>
    </row>
    <row r="408" spans="1:72" s="2" customFormat="1" ht="14.25" customHeight="1" x14ac:dyDescent="0.4">
      <c r="A408" s="2" t="s">
        <v>72</v>
      </c>
      <c r="B408" s="2" t="s">
        <v>5337</v>
      </c>
      <c r="C408" s="2" t="s">
        <v>74</v>
      </c>
      <c r="D408" s="2" t="s">
        <v>74</v>
      </c>
      <c r="E408" s="2" t="s">
        <v>74</v>
      </c>
      <c r="F408" s="2" t="s">
        <v>5337</v>
      </c>
      <c r="G408" s="2" t="s">
        <v>74</v>
      </c>
      <c r="H408" s="2" t="s">
        <v>74</v>
      </c>
      <c r="I408" s="2" t="s">
        <v>7139</v>
      </c>
      <c r="J408" s="2" t="s">
        <v>171</v>
      </c>
      <c r="K408" s="2" t="s">
        <v>74</v>
      </c>
      <c r="L408" s="2" t="s">
        <v>74</v>
      </c>
      <c r="M408" s="2" t="s">
        <v>74</v>
      </c>
      <c r="N408" s="2" t="s">
        <v>74</v>
      </c>
      <c r="O408" s="2" t="s">
        <v>74</v>
      </c>
      <c r="P408" s="2" t="s">
        <v>74</v>
      </c>
      <c r="Q408" s="2" t="s">
        <v>74</v>
      </c>
      <c r="R408" s="2" t="s">
        <v>74</v>
      </c>
      <c r="S408" s="2" t="s">
        <v>74</v>
      </c>
      <c r="T408" s="2" t="s">
        <v>74</v>
      </c>
      <c r="U408" s="2" t="s">
        <v>74</v>
      </c>
      <c r="V408" s="5" t="s">
        <v>7140</v>
      </c>
      <c r="W408" s="2" t="s">
        <v>74</v>
      </c>
      <c r="X408" s="2" t="s">
        <v>74</v>
      </c>
      <c r="Y408" s="2" t="s">
        <v>74</v>
      </c>
      <c r="Z408" s="2" t="s">
        <v>74</v>
      </c>
      <c r="AA408" s="2" t="s">
        <v>74</v>
      </c>
      <c r="AB408" s="2" t="s">
        <v>74</v>
      </c>
      <c r="AC408" s="2" t="s">
        <v>74</v>
      </c>
      <c r="AD408" s="2" t="s">
        <v>74</v>
      </c>
      <c r="AE408" s="2" t="s">
        <v>74</v>
      </c>
      <c r="AF408" s="2" t="s">
        <v>74</v>
      </c>
      <c r="AG408" s="2" t="s">
        <v>74</v>
      </c>
      <c r="AH408" s="2" t="s">
        <v>74</v>
      </c>
      <c r="AI408" s="2" t="s">
        <v>74</v>
      </c>
      <c r="AJ408" s="2" t="s">
        <v>74</v>
      </c>
      <c r="AK408" s="2" t="s">
        <v>74</v>
      </c>
      <c r="AL408" s="2" t="s">
        <v>74</v>
      </c>
      <c r="AM408" s="2" t="s">
        <v>74</v>
      </c>
      <c r="AN408" s="2" t="s">
        <v>74</v>
      </c>
      <c r="AO408" s="2" t="s">
        <v>173</v>
      </c>
      <c r="AP408" s="2" t="s">
        <v>174</v>
      </c>
      <c r="AQ408" s="2" t="s">
        <v>74</v>
      </c>
      <c r="AR408" s="2" t="s">
        <v>74</v>
      </c>
      <c r="AS408" s="2" t="s">
        <v>74</v>
      </c>
      <c r="AT408" s="2" t="s">
        <v>74</v>
      </c>
      <c r="AU408" s="2">
        <v>1984</v>
      </c>
      <c r="AV408" s="2">
        <v>38</v>
      </c>
      <c r="AW408" s="2">
        <v>2</v>
      </c>
      <c r="AX408" s="2" t="s">
        <v>74</v>
      </c>
      <c r="AY408" s="2" t="s">
        <v>74</v>
      </c>
      <c r="AZ408" s="2" t="s">
        <v>74</v>
      </c>
      <c r="BA408" s="2" t="s">
        <v>74</v>
      </c>
      <c r="BB408" s="2">
        <v>267</v>
      </c>
      <c r="BC408" s="2">
        <v>279</v>
      </c>
      <c r="BD408" s="2" t="s">
        <v>74</v>
      </c>
      <c r="BE408" s="2" t="s">
        <v>7141</v>
      </c>
      <c r="BF408" s="2" t="str">
        <f>HYPERLINK("http://dx.doi.org/10.2307/2408486","http://dx.doi.org/10.2307/2408486")</f>
        <v>http://dx.doi.org/10.2307/2408486</v>
      </c>
      <c r="BG408" s="2" t="s">
        <v>74</v>
      </c>
      <c r="BH408" s="2" t="s">
        <v>74</v>
      </c>
      <c r="BI408" s="2" t="s">
        <v>74</v>
      </c>
      <c r="BJ408" s="2" t="s">
        <v>74</v>
      </c>
      <c r="BK408" s="2" t="s">
        <v>74</v>
      </c>
      <c r="BL408" s="2" t="s">
        <v>74</v>
      </c>
      <c r="BM408" s="2" t="s">
        <v>74</v>
      </c>
      <c r="BN408" s="2">
        <v>28555921</v>
      </c>
      <c r="BO408" s="2" t="s">
        <v>74</v>
      </c>
      <c r="BP408" s="2" t="s">
        <v>74</v>
      </c>
      <c r="BQ408" s="2" t="s">
        <v>74</v>
      </c>
      <c r="BR408" s="2" t="s">
        <v>74</v>
      </c>
      <c r="BS408" s="2" t="s">
        <v>7142</v>
      </c>
      <c r="BT408" s="2" t="str">
        <f>HYPERLINK("https%3A%2F%2Fwww.webofscience.com%2Fwos%2Fwoscc%2Ffull-record%2FWOS:A1984SL13500004","View Full Record in Web of Science")</f>
        <v>View Full Record in Web of Science</v>
      </c>
    </row>
    <row r="409" spans="1:72" s="2" customFormat="1" x14ac:dyDescent="0.4">
      <c r="A409" s="2" t="s">
        <v>72</v>
      </c>
      <c r="B409" s="2" t="s">
        <v>1922</v>
      </c>
      <c r="C409" s="2" t="s">
        <v>74</v>
      </c>
      <c r="D409" s="2" t="s">
        <v>74</v>
      </c>
      <c r="E409" s="2" t="s">
        <v>74</v>
      </c>
      <c r="F409" s="2" t="s">
        <v>1923</v>
      </c>
      <c r="G409" s="2" t="s">
        <v>74</v>
      </c>
      <c r="H409" s="2" t="s">
        <v>74</v>
      </c>
      <c r="I409" s="2" t="s">
        <v>1924</v>
      </c>
      <c r="J409" s="2" t="s">
        <v>119</v>
      </c>
      <c r="K409" s="2" t="s">
        <v>74</v>
      </c>
      <c r="L409" s="2" t="s">
        <v>74</v>
      </c>
      <c r="M409" s="2" t="s">
        <v>74</v>
      </c>
      <c r="N409" s="2" t="s">
        <v>74</v>
      </c>
      <c r="O409" s="2" t="s">
        <v>74</v>
      </c>
      <c r="P409" s="2" t="s">
        <v>74</v>
      </c>
      <c r="Q409" s="2" t="s">
        <v>74</v>
      </c>
      <c r="R409" s="2" t="s">
        <v>74</v>
      </c>
      <c r="S409" s="2" t="s">
        <v>74</v>
      </c>
      <c r="T409" s="2" t="s">
        <v>74</v>
      </c>
      <c r="U409" s="2" t="s">
        <v>74</v>
      </c>
      <c r="V409" s="5" t="s">
        <v>1925</v>
      </c>
      <c r="W409" s="2" t="s">
        <v>74</v>
      </c>
      <c r="X409" s="2" t="s">
        <v>74</v>
      </c>
      <c r="Y409" s="2" t="s">
        <v>74</v>
      </c>
      <c r="Z409" s="2" t="s">
        <v>74</v>
      </c>
      <c r="AA409" s="2" t="s">
        <v>1926</v>
      </c>
      <c r="AB409" s="2" t="s">
        <v>1927</v>
      </c>
      <c r="AC409" s="2" t="s">
        <v>74</v>
      </c>
      <c r="AD409" s="2" t="s">
        <v>74</v>
      </c>
      <c r="AE409" s="2" t="s">
        <v>74</v>
      </c>
      <c r="AF409" s="2" t="s">
        <v>74</v>
      </c>
      <c r="AG409" s="2" t="s">
        <v>74</v>
      </c>
      <c r="AH409" s="2" t="s">
        <v>74</v>
      </c>
      <c r="AI409" s="2" t="s">
        <v>74</v>
      </c>
      <c r="AJ409" s="2" t="s">
        <v>74</v>
      </c>
      <c r="AK409" s="2" t="s">
        <v>74</v>
      </c>
      <c r="AL409" s="2" t="s">
        <v>74</v>
      </c>
      <c r="AM409" s="2" t="s">
        <v>74</v>
      </c>
      <c r="AN409" s="2" t="s">
        <v>74</v>
      </c>
      <c r="AO409" s="2" t="s">
        <v>121</v>
      </c>
      <c r="AP409" s="2" t="s">
        <v>122</v>
      </c>
      <c r="AQ409" s="2" t="s">
        <v>74</v>
      </c>
      <c r="AR409" s="2" t="s">
        <v>74</v>
      </c>
      <c r="AS409" s="2" t="s">
        <v>74</v>
      </c>
      <c r="AT409" s="2" t="s">
        <v>964</v>
      </c>
      <c r="AU409" s="2">
        <v>2018</v>
      </c>
      <c r="AV409" s="2">
        <v>147</v>
      </c>
      <c r="AW409" s="2" t="s">
        <v>74</v>
      </c>
      <c r="AX409" s="2" t="s">
        <v>74</v>
      </c>
      <c r="AY409" s="2" t="s">
        <v>74</v>
      </c>
      <c r="AZ409" s="2" t="s">
        <v>74</v>
      </c>
      <c r="BA409" s="2" t="s">
        <v>74</v>
      </c>
      <c r="BB409" s="2">
        <v>61</v>
      </c>
      <c r="BC409" s="2">
        <v>69</v>
      </c>
      <c r="BD409" s="2" t="s">
        <v>74</v>
      </c>
      <c r="BE409" s="2" t="s">
        <v>1928</v>
      </c>
      <c r="BF409" s="2" t="str">
        <f>HYPERLINK("http://dx.doi.org/10.1016/j.beproc.2017.12.015","http://dx.doi.org/10.1016/j.beproc.2017.12.015")</f>
        <v>http://dx.doi.org/10.1016/j.beproc.2017.12.015</v>
      </c>
      <c r="BG409" s="2" t="s">
        <v>74</v>
      </c>
      <c r="BH409" s="2" t="s">
        <v>74</v>
      </c>
      <c r="BI409" s="2" t="s">
        <v>74</v>
      </c>
      <c r="BJ409" s="2" t="s">
        <v>74</v>
      </c>
      <c r="BK409" s="2" t="s">
        <v>74</v>
      </c>
      <c r="BL409" s="2" t="s">
        <v>74</v>
      </c>
      <c r="BM409" s="2" t="s">
        <v>74</v>
      </c>
      <c r="BN409" s="2">
        <v>29273550</v>
      </c>
      <c r="BO409" s="2" t="s">
        <v>74</v>
      </c>
      <c r="BP409" s="2" t="s">
        <v>74</v>
      </c>
      <c r="BQ409" s="2" t="s">
        <v>74</v>
      </c>
      <c r="BR409" s="2" t="s">
        <v>74</v>
      </c>
      <c r="BS409" s="2" t="s">
        <v>1929</v>
      </c>
      <c r="BT409" s="2" t="str">
        <f>HYPERLINK("https%3A%2F%2Fwww.webofscience.com%2Fwos%2Fwoscc%2Ffull-record%2FWOS:000423645400009","View Full Record in Web of Science")</f>
        <v>View Full Record in Web of Science</v>
      </c>
    </row>
    <row r="410" spans="1:72" s="2" customFormat="1" x14ac:dyDescent="0.4">
      <c r="A410" s="2" t="s">
        <v>72</v>
      </c>
      <c r="B410" s="2" t="s">
        <v>6394</v>
      </c>
      <c r="C410" s="2" t="s">
        <v>74</v>
      </c>
      <c r="D410" s="2" t="s">
        <v>74</v>
      </c>
      <c r="E410" s="2" t="s">
        <v>74</v>
      </c>
      <c r="F410" s="2" t="s">
        <v>6394</v>
      </c>
      <c r="G410" s="2" t="s">
        <v>74</v>
      </c>
      <c r="H410" s="2" t="s">
        <v>74</v>
      </c>
      <c r="I410" s="2" t="s">
        <v>6395</v>
      </c>
      <c r="J410" s="2" t="s">
        <v>691</v>
      </c>
      <c r="K410" s="2" t="s">
        <v>74</v>
      </c>
      <c r="L410" s="2" t="s">
        <v>74</v>
      </c>
      <c r="M410" s="2" t="s">
        <v>74</v>
      </c>
      <c r="N410" s="2" t="s">
        <v>74</v>
      </c>
      <c r="O410" s="2" t="s">
        <v>74</v>
      </c>
      <c r="P410" s="2" t="s">
        <v>74</v>
      </c>
      <c r="Q410" s="2" t="s">
        <v>74</v>
      </c>
      <c r="R410" s="2" t="s">
        <v>74</v>
      </c>
      <c r="S410" s="2" t="s">
        <v>74</v>
      </c>
      <c r="T410" s="2" t="s">
        <v>74</v>
      </c>
      <c r="U410" s="2" t="s">
        <v>74</v>
      </c>
      <c r="V410" s="5" t="s">
        <v>6396</v>
      </c>
      <c r="W410" s="2" t="s">
        <v>74</v>
      </c>
      <c r="X410" s="2" t="s">
        <v>74</v>
      </c>
      <c r="Y410" s="2" t="s">
        <v>74</v>
      </c>
      <c r="Z410" s="2" t="s">
        <v>74</v>
      </c>
      <c r="AA410" s="2" t="s">
        <v>74</v>
      </c>
      <c r="AB410" s="2" t="s">
        <v>74</v>
      </c>
      <c r="AC410" s="2" t="s">
        <v>74</v>
      </c>
      <c r="AD410" s="2" t="s">
        <v>74</v>
      </c>
      <c r="AE410" s="2" t="s">
        <v>74</v>
      </c>
      <c r="AF410" s="2" t="s">
        <v>74</v>
      </c>
      <c r="AG410" s="2" t="s">
        <v>74</v>
      </c>
      <c r="AH410" s="2" t="s">
        <v>74</v>
      </c>
      <c r="AI410" s="2" t="s">
        <v>74</v>
      </c>
      <c r="AJ410" s="2" t="s">
        <v>74</v>
      </c>
      <c r="AK410" s="2" t="s">
        <v>74</v>
      </c>
      <c r="AL410" s="2" t="s">
        <v>74</v>
      </c>
      <c r="AM410" s="2" t="s">
        <v>74</v>
      </c>
      <c r="AN410" s="2" t="s">
        <v>74</v>
      </c>
      <c r="AO410" s="2" t="s">
        <v>695</v>
      </c>
      <c r="AP410" s="2" t="s">
        <v>981</v>
      </c>
      <c r="AQ410" s="2" t="s">
        <v>74</v>
      </c>
      <c r="AR410" s="2" t="s">
        <v>74</v>
      </c>
      <c r="AS410" s="2" t="s">
        <v>74</v>
      </c>
      <c r="AT410" s="2" t="s">
        <v>74</v>
      </c>
      <c r="AU410" s="2">
        <v>1985</v>
      </c>
      <c r="AV410" s="2">
        <v>34</v>
      </c>
      <c r="AW410" s="2">
        <v>3</v>
      </c>
      <c r="AX410" s="2" t="s">
        <v>74</v>
      </c>
      <c r="AY410" s="2" t="s">
        <v>74</v>
      </c>
      <c r="AZ410" s="2" t="s">
        <v>74</v>
      </c>
      <c r="BA410" s="2" t="s">
        <v>74</v>
      </c>
      <c r="BB410" s="2">
        <v>341</v>
      </c>
      <c r="BC410" s="2">
        <v>348</v>
      </c>
      <c r="BD410" s="2" t="s">
        <v>74</v>
      </c>
      <c r="BE410" s="2" t="s">
        <v>6397</v>
      </c>
      <c r="BF410" s="2" t="str">
        <f>HYPERLINK("http://dx.doi.org/10.1016/0031-9384(85)90193-3","http://dx.doi.org/10.1016/0031-9384(85)90193-3")</f>
        <v>http://dx.doi.org/10.1016/0031-9384(85)90193-3</v>
      </c>
      <c r="BG410" s="2" t="s">
        <v>74</v>
      </c>
      <c r="BH410" s="2" t="s">
        <v>74</v>
      </c>
      <c r="BI410" s="2" t="s">
        <v>74</v>
      </c>
      <c r="BJ410" s="2" t="s">
        <v>74</v>
      </c>
      <c r="BK410" s="2" t="s">
        <v>74</v>
      </c>
      <c r="BL410" s="2" t="s">
        <v>74</v>
      </c>
      <c r="BM410" s="2" t="s">
        <v>74</v>
      </c>
      <c r="BN410" s="2">
        <v>4040250</v>
      </c>
      <c r="BO410" s="2" t="s">
        <v>74</v>
      </c>
      <c r="BP410" s="2" t="s">
        <v>74</v>
      </c>
      <c r="BQ410" s="2" t="s">
        <v>74</v>
      </c>
      <c r="BR410" s="2" t="s">
        <v>74</v>
      </c>
      <c r="BS410" s="2" t="s">
        <v>6398</v>
      </c>
      <c r="BT410" s="2" t="str">
        <f>HYPERLINK("https%3A%2F%2Fwww.webofscience.com%2Fwos%2Fwoscc%2Ffull-record%2FWOS:A1985AFN3500003","View Full Record in Web of Science")</f>
        <v>View Full Record in Web of Science</v>
      </c>
    </row>
    <row r="411" spans="1:72" s="2" customFormat="1" x14ac:dyDescent="0.4">
      <c r="A411" s="2" t="s">
        <v>72</v>
      </c>
      <c r="B411" s="2" t="s">
        <v>1531</v>
      </c>
      <c r="C411" s="2" t="s">
        <v>74</v>
      </c>
      <c r="D411" s="2" t="s">
        <v>74</v>
      </c>
      <c r="E411" s="2" t="s">
        <v>74</v>
      </c>
      <c r="F411" s="2" t="s">
        <v>1531</v>
      </c>
      <c r="G411" s="2" t="s">
        <v>74</v>
      </c>
      <c r="H411" s="2" t="s">
        <v>74</v>
      </c>
      <c r="I411" s="2" t="s">
        <v>1532</v>
      </c>
      <c r="J411" s="2" t="s">
        <v>1533</v>
      </c>
      <c r="K411" s="2" t="s">
        <v>74</v>
      </c>
      <c r="L411" s="2" t="s">
        <v>74</v>
      </c>
      <c r="M411" s="2" t="s">
        <v>74</v>
      </c>
      <c r="N411" s="2" t="s">
        <v>74</v>
      </c>
      <c r="O411" s="2" t="s">
        <v>74</v>
      </c>
      <c r="P411" s="2" t="s">
        <v>74</v>
      </c>
      <c r="Q411" s="2" t="s">
        <v>74</v>
      </c>
      <c r="R411" s="2" t="s">
        <v>74</v>
      </c>
      <c r="S411" s="2" t="s">
        <v>74</v>
      </c>
      <c r="T411" s="2" t="s">
        <v>74</v>
      </c>
      <c r="U411" s="2" t="s">
        <v>74</v>
      </c>
      <c r="V411" s="5" t="s">
        <v>1534</v>
      </c>
      <c r="W411" s="2" t="s">
        <v>74</v>
      </c>
      <c r="X411" s="2" t="s">
        <v>74</v>
      </c>
      <c r="Y411" s="2" t="s">
        <v>74</v>
      </c>
      <c r="Z411" s="2" t="s">
        <v>74</v>
      </c>
      <c r="AA411" s="2" t="s">
        <v>74</v>
      </c>
      <c r="AB411" s="2" t="s">
        <v>74</v>
      </c>
      <c r="AC411" s="2" t="s">
        <v>74</v>
      </c>
      <c r="AD411" s="2" t="s">
        <v>74</v>
      </c>
      <c r="AE411" s="2" t="s">
        <v>74</v>
      </c>
      <c r="AF411" s="2" t="s">
        <v>74</v>
      </c>
      <c r="AG411" s="2" t="s">
        <v>74</v>
      </c>
      <c r="AH411" s="2" t="s">
        <v>74</v>
      </c>
      <c r="AI411" s="2" t="s">
        <v>74</v>
      </c>
      <c r="AJ411" s="2" t="s">
        <v>74</v>
      </c>
      <c r="AK411" s="2" t="s">
        <v>74</v>
      </c>
      <c r="AL411" s="2" t="s">
        <v>74</v>
      </c>
      <c r="AM411" s="2" t="s">
        <v>74</v>
      </c>
      <c r="AN411" s="2" t="s">
        <v>74</v>
      </c>
      <c r="AO411" s="2" t="s">
        <v>1535</v>
      </c>
      <c r="AP411" s="2" t="s">
        <v>1536</v>
      </c>
      <c r="AQ411" s="2" t="s">
        <v>74</v>
      </c>
      <c r="AR411" s="2" t="s">
        <v>74</v>
      </c>
      <c r="AS411" s="2" t="s">
        <v>74</v>
      </c>
      <c r="AT411" s="2" t="s">
        <v>74</v>
      </c>
      <c r="AU411" s="2">
        <v>1977</v>
      </c>
      <c r="AV411" s="2">
        <v>27</v>
      </c>
      <c r="AW411" s="2">
        <v>1</v>
      </c>
      <c r="AX411" s="2" t="s">
        <v>74</v>
      </c>
      <c r="AY411" s="2" t="s">
        <v>74</v>
      </c>
      <c r="AZ411" s="2" t="s">
        <v>74</v>
      </c>
      <c r="BA411" s="2" t="s">
        <v>74</v>
      </c>
      <c r="BB411" s="2">
        <v>5</v>
      </c>
      <c r="BC411" s="2">
        <v>15</v>
      </c>
      <c r="BD411" s="2" t="s">
        <v>74</v>
      </c>
      <c r="BE411" s="2" t="s">
        <v>1537</v>
      </c>
      <c r="BF411" s="2" t="str">
        <f>HYPERLINK("http://dx.doi.org/10.1901/jeab.1977.27-5","http://dx.doi.org/10.1901/jeab.1977.27-5")</f>
        <v>http://dx.doi.org/10.1901/jeab.1977.27-5</v>
      </c>
      <c r="BG411" s="2" t="s">
        <v>74</v>
      </c>
      <c r="BH411" s="2" t="s">
        <v>74</v>
      </c>
      <c r="BI411" s="2" t="s">
        <v>74</v>
      </c>
      <c r="BJ411" s="2" t="s">
        <v>74</v>
      </c>
      <c r="BK411" s="2" t="s">
        <v>74</v>
      </c>
      <c r="BL411" s="2" t="s">
        <v>74</v>
      </c>
      <c r="BM411" s="2" t="s">
        <v>74</v>
      </c>
      <c r="BN411" s="2">
        <v>556755</v>
      </c>
      <c r="BO411" s="2" t="s">
        <v>74</v>
      </c>
      <c r="BP411" s="2" t="s">
        <v>74</v>
      </c>
      <c r="BQ411" s="2" t="s">
        <v>74</v>
      </c>
      <c r="BR411" s="2" t="s">
        <v>74</v>
      </c>
      <c r="BS411" s="2" t="s">
        <v>1538</v>
      </c>
      <c r="BT411" s="2" t="str">
        <f>HYPERLINK("https%3A%2F%2Fwww.webofscience.com%2Fwos%2Fwoscc%2Ffull-record%2FWOS:A1977CV62300001","View Full Record in Web of Science")</f>
        <v>View Full Record in Web of Science</v>
      </c>
    </row>
    <row r="412" spans="1:72" s="2" customFormat="1" x14ac:dyDescent="0.4">
      <c r="A412" s="2" t="s">
        <v>72</v>
      </c>
      <c r="B412" s="2" t="s">
        <v>1875</v>
      </c>
      <c r="C412" s="2" t="s">
        <v>74</v>
      </c>
      <c r="D412" s="2" t="s">
        <v>74</v>
      </c>
      <c r="E412" s="2" t="s">
        <v>74</v>
      </c>
      <c r="F412" s="2" t="s">
        <v>1876</v>
      </c>
      <c r="G412" s="2" t="s">
        <v>74</v>
      </c>
      <c r="H412" s="2" t="s">
        <v>74</v>
      </c>
      <c r="I412" s="2" t="s">
        <v>1877</v>
      </c>
      <c r="J412" s="2" t="s">
        <v>1878</v>
      </c>
      <c r="K412" s="2" t="s">
        <v>74</v>
      </c>
      <c r="L412" s="2" t="s">
        <v>74</v>
      </c>
      <c r="M412" s="2" t="s">
        <v>74</v>
      </c>
      <c r="N412" s="2" t="s">
        <v>74</v>
      </c>
      <c r="O412" s="2" t="s">
        <v>74</v>
      </c>
      <c r="P412" s="2" t="s">
        <v>74</v>
      </c>
      <c r="Q412" s="2" t="s">
        <v>74</v>
      </c>
      <c r="R412" s="2" t="s">
        <v>74</v>
      </c>
      <c r="S412" s="2" t="s">
        <v>74</v>
      </c>
      <c r="T412" s="2" t="s">
        <v>74</v>
      </c>
      <c r="U412" s="2" t="s">
        <v>74</v>
      </c>
      <c r="V412" s="5" t="s">
        <v>1879</v>
      </c>
      <c r="W412" s="2" t="s">
        <v>74</v>
      </c>
      <c r="X412" s="2" t="s">
        <v>74</v>
      </c>
      <c r="Y412" s="2" t="s">
        <v>74</v>
      </c>
      <c r="Z412" s="2" t="s">
        <v>74</v>
      </c>
      <c r="AA412" s="2" t="s">
        <v>1880</v>
      </c>
      <c r="AB412" s="2" t="s">
        <v>1881</v>
      </c>
      <c r="AC412" s="2" t="s">
        <v>74</v>
      </c>
      <c r="AD412" s="2" t="s">
        <v>74</v>
      </c>
      <c r="AE412" s="2" t="s">
        <v>74</v>
      </c>
      <c r="AF412" s="2" t="s">
        <v>74</v>
      </c>
      <c r="AG412" s="2" t="s">
        <v>74</v>
      </c>
      <c r="AH412" s="2" t="s">
        <v>74</v>
      </c>
      <c r="AI412" s="2" t="s">
        <v>74</v>
      </c>
      <c r="AJ412" s="2" t="s">
        <v>74</v>
      </c>
      <c r="AK412" s="2" t="s">
        <v>74</v>
      </c>
      <c r="AL412" s="2" t="s">
        <v>74</v>
      </c>
      <c r="AM412" s="2" t="s">
        <v>74</v>
      </c>
      <c r="AN412" s="2" t="s">
        <v>74</v>
      </c>
      <c r="AO412" s="2" t="s">
        <v>1882</v>
      </c>
      <c r="AP412" s="2" t="s">
        <v>1883</v>
      </c>
      <c r="AQ412" s="2" t="s">
        <v>74</v>
      </c>
      <c r="AR412" s="2" t="s">
        <v>74</v>
      </c>
      <c r="AS412" s="2" t="s">
        <v>74</v>
      </c>
      <c r="AT412" s="2" t="s">
        <v>964</v>
      </c>
      <c r="AU412" s="2">
        <v>2016</v>
      </c>
      <c r="AV412" s="2">
        <v>141</v>
      </c>
      <c r="AW412" s="2" t="s">
        <v>74</v>
      </c>
      <c r="AX412" s="2" t="s">
        <v>74</v>
      </c>
      <c r="AY412" s="2" t="s">
        <v>74</v>
      </c>
      <c r="AZ412" s="2" t="s">
        <v>74</v>
      </c>
      <c r="BA412" s="2" t="s">
        <v>74</v>
      </c>
      <c r="BB412" s="2">
        <v>18</v>
      </c>
      <c r="BC412" s="2">
        <v>27</v>
      </c>
      <c r="BD412" s="2" t="s">
        <v>74</v>
      </c>
      <c r="BE412" s="2" t="s">
        <v>1884</v>
      </c>
      <c r="BF412" s="2" t="str">
        <f>HYPERLINK("http://dx.doi.org/10.1016/j.pbb.2015.11.011","http://dx.doi.org/10.1016/j.pbb.2015.11.011")</f>
        <v>http://dx.doi.org/10.1016/j.pbb.2015.11.011</v>
      </c>
      <c r="BG412" s="2" t="s">
        <v>74</v>
      </c>
      <c r="BH412" s="2" t="s">
        <v>74</v>
      </c>
      <c r="BI412" s="2" t="s">
        <v>74</v>
      </c>
      <c r="BJ412" s="2" t="s">
        <v>74</v>
      </c>
      <c r="BK412" s="2" t="s">
        <v>74</v>
      </c>
      <c r="BL412" s="2" t="s">
        <v>74</v>
      </c>
      <c r="BM412" s="2" t="s">
        <v>74</v>
      </c>
      <c r="BN412" s="2">
        <v>26631619</v>
      </c>
      <c r="BO412" s="2" t="s">
        <v>74</v>
      </c>
      <c r="BP412" s="2" t="s">
        <v>74</v>
      </c>
      <c r="BQ412" s="2" t="s">
        <v>74</v>
      </c>
      <c r="BR412" s="2" t="s">
        <v>74</v>
      </c>
      <c r="BS412" s="2" t="s">
        <v>1885</v>
      </c>
      <c r="BT412" s="2" t="str">
        <f>HYPERLINK("https%3A%2F%2Fwww.webofscience.com%2Fwos%2Fwoscc%2Ffull-record%2FWOS:000369466100003","View Full Record in Web of Science")</f>
        <v>View Full Record in Web of Science</v>
      </c>
    </row>
    <row r="413" spans="1:72" s="2" customFormat="1" x14ac:dyDescent="0.4">
      <c r="A413" s="2" t="s">
        <v>72</v>
      </c>
      <c r="B413" s="2" t="s">
        <v>6715</v>
      </c>
      <c r="C413" s="2" t="s">
        <v>74</v>
      </c>
      <c r="D413" s="2" t="s">
        <v>74</v>
      </c>
      <c r="E413" s="2" t="s">
        <v>74</v>
      </c>
      <c r="F413" s="2" t="s">
        <v>6715</v>
      </c>
      <c r="G413" s="2" t="s">
        <v>74</v>
      </c>
      <c r="H413" s="2" t="s">
        <v>74</v>
      </c>
      <c r="I413" s="2" t="s">
        <v>6716</v>
      </c>
      <c r="J413" s="2" t="s">
        <v>2087</v>
      </c>
      <c r="K413" s="2" t="s">
        <v>74</v>
      </c>
      <c r="L413" s="2" t="s">
        <v>74</v>
      </c>
      <c r="M413" s="2" t="s">
        <v>74</v>
      </c>
      <c r="N413" s="2" t="s">
        <v>74</v>
      </c>
      <c r="O413" s="2" t="s">
        <v>74</v>
      </c>
      <c r="P413" s="2" t="s">
        <v>74</v>
      </c>
      <c r="Q413" s="2" t="s">
        <v>74</v>
      </c>
      <c r="R413" s="2" t="s">
        <v>74</v>
      </c>
      <c r="S413" s="2" t="s">
        <v>74</v>
      </c>
      <c r="T413" s="2" t="s">
        <v>74</v>
      </c>
      <c r="U413" s="2" t="s">
        <v>74</v>
      </c>
      <c r="V413" s="5" t="s">
        <v>6717</v>
      </c>
      <c r="W413" s="2" t="s">
        <v>74</v>
      </c>
      <c r="X413" s="2" t="s">
        <v>74</v>
      </c>
      <c r="Y413" s="2" t="s">
        <v>74</v>
      </c>
      <c r="Z413" s="2" t="s">
        <v>74</v>
      </c>
      <c r="AA413" s="2" t="s">
        <v>6718</v>
      </c>
      <c r="AB413" s="2" t="s">
        <v>6719</v>
      </c>
      <c r="AC413" s="2" t="s">
        <v>74</v>
      </c>
      <c r="AD413" s="2" t="s">
        <v>74</v>
      </c>
      <c r="AE413" s="2" t="s">
        <v>74</v>
      </c>
      <c r="AF413" s="2" t="s">
        <v>74</v>
      </c>
      <c r="AG413" s="2" t="s">
        <v>74</v>
      </c>
      <c r="AH413" s="2" t="s">
        <v>74</v>
      </c>
      <c r="AI413" s="2" t="s">
        <v>74</v>
      </c>
      <c r="AJ413" s="2" t="s">
        <v>74</v>
      </c>
      <c r="AK413" s="2" t="s">
        <v>74</v>
      </c>
      <c r="AL413" s="2" t="s">
        <v>74</v>
      </c>
      <c r="AM413" s="2" t="s">
        <v>74</v>
      </c>
      <c r="AN413" s="2" t="s">
        <v>74</v>
      </c>
      <c r="AO413" s="2" t="s">
        <v>2089</v>
      </c>
      <c r="AP413" s="2" t="s">
        <v>6720</v>
      </c>
      <c r="AQ413" s="2" t="s">
        <v>74</v>
      </c>
      <c r="AR413" s="2" t="s">
        <v>74</v>
      </c>
      <c r="AS413" s="2" t="s">
        <v>74</v>
      </c>
      <c r="AT413" s="2" t="s">
        <v>74</v>
      </c>
      <c r="AU413" s="2">
        <v>1995</v>
      </c>
      <c r="AV413" s="2">
        <v>2</v>
      </c>
      <c r="AW413" s="2">
        <v>1</v>
      </c>
      <c r="AX413" s="2" t="s">
        <v>74</v>
      </c>
      <c r="AY413" s="2" t="s">
        <v>74</v>
      </c>
      <c r="AZ413" s="2" t="s">
        <v>74</v>
      </c>
      <c r="BA413" s="2" t="s">
        <v>74</v>
      </c>
      <c r="BB413" s="2">
        <v>28</v>
      </c>
      <c r="BC413" s="2">
        <v>33</v>
      </c>
      <c r="BD413" s="2" t="s">
        <v>74</v>
      </c>
      <c r="BE413" s="2" t="s">
        <v>6721</v>
      </c>
      <c r="BF413" s="2" t="str">
        <f>HYPERLINK("http://dx.doi.org/10.1080/11956860.1995.11682265","http://dx.doi.org/10.1080/11956860.1995.11682265")</f>
        <v>http://dx.doi.org/10.1080/11956860.1995.11682265</v>
      </c>
      <c r="BG413" s="2" t="s">
        <v>74</v>
      </c>
      <c r="BH413" s="2" t="s">
        <v>74</v>
      </c>
      <c r="BI413" s="2" t="s">
        <v>74</v>
      </c>
      <c r="BJ413" s="2" t="s">
        <v>74</v>
      </c>
      <c r="BK413" s="2" t="s">
        <v>74</v>
      </c>
      <c r="BL413" s="2" t="s">
        <v>74</v>
      </c>
      <c r="BM413" s="2" t="s">
        <v>74</v>
      </c>
      <c r="BN413" s="2" t="s">
        <v>74</v>
      </c>
      <c r="BO413" s="2" t="s">
        <v>74</v>
      </c>
      <c r="BP413" s="2" t="s">
        <v>74</v>
      </c>
      <c r="BQ413" s="2" t="s">
        <v>74</v>
      </c>
      <c r="BR413" s="2" t="s">
        <v>74</v>
      </c>
      <c r="BS413" s="2" t="s">
        <v>6722</v>
      </c>
      <c r="BT413" s="2" t="str">
        <f>HYPERLINK("https%3A%2F%2Fwww.webofscience.com%2Fwos%2Fwoscc%2Ffull-record%2FWOS:A1995TF50700003","View Full Record in Web of Science")</f>
        <v>View Full Record in Web of Science</v>
      </c>
    </row>
    <row r="414" spans="1:72" s="2" customFormat="1" x14ac:dyDescent="0.4">
      <c r="A414" s="2" t="s">
        <v>72</v>
      </c>
      <c r="B414" s="2" t="s">
        <v>8379</v>
      </c>
      <c r="C414" s="2" t="s">
        <v>74</v>
      </c>
      <c r="D414" s="2" t="s">
        <v>74</v>
      </c>
      <c r="E414" s="2" t="s">
        <v>74</v>
      </c>
      <c r="F414" s="2" t="s">
        <v>8380</v>
      </c>
      <c r="G414" s="2" t="s">
        <v>74</v>
      </c>
      <c r="H414" s="2" t="s">
        <v>74</v>
      </c>
      <c r="I414" s="2" t="s">
        <v>8381</v>
      </c>
      <c r="J414" s="2" t="s">
        <v>8382</v>
      </c>
      <c r="K414" s="2" t="s">
        <v>74</v>
      </c>
      <c r="L414" s="2" t="s">
        <v>74</v>
      </c>
      <c r="M414" s="2" t="s">
        <v>74</v>
      </c>
      <c r="N414" s="2" t="s">
        <v>74</v>
      </c>
      <c r="O414" s="2" t="s">
        <v>74</v>
      </c>
      <c r="P414" s="2" t="s">
        <v>74</v>
      </c>
      <c r="Q414" s="2" t="s">
        <v>74</v>
      </c>
      <c r="R414" s="2" t="s">
        <v>74</v>
      </c>
      <c r="S414" s="2" t="s">
        <v>74</v>
      </c>
      <c r="T414" s="2" t="s">
        <v>74</v>
      </c>
      <c r="U414" s="2" t="s">
        <v>74</v>
      </c>
      <c r="V414" s="5" t="s">
        <v>8383</v>
      </c>
      <c r="W414" s="2" t="s">
        <v>74</v>
      </c>
      <c r="X414" s="2" t="s">
        <v>74</v>
      </c>
      <c r="Y414" s="2" t="s">
        <v>74</v>
      </c>
      <c r="Z414" s="2" t="s">
        <v>74</v>
      </c>
      <c r="AA414" s="2" t="s">
        <v>8384</v>
      </c>
      <c r="AB414" s="2" t="s">
        <v>8385</v>
      </c>
      <c r="AC414" s="2" t="s">
        <v>74</v>
      </c>
      <c r="AD414" s="2" t="s">
        <v>74</v>
      </c>
      <c r="AE414" s="2" t="s">
        <v>74</v>
      </c>
      <c r="AF414" s="2" t="s">
        <v>74</v>
      </c>
      <c r="AG414" s="2" t="s">
        <v>74</v>
      </c>
      <c r="AH414" s="2" t="s">
        <v>74</v>
      </c>
      <c r="AI414" s="2" t="s">
        <v>74</v>
      </c>
      <c r="AJ414" s="2" t="s">
        <v>74</v>
      </c>
      <c r="AK414" s="2" t="s">
        <v>74</v>
      </c>
      <c r="AL414" s="2" t="s">
        <v>74</v>
      </c>
      <c r="AM414" s="2" t="s">
        <v>74</v>
      </c>
      <c r="AN414" s="2" t="s">
        <v>74</v>
      </c>
      <c r="AO414" s="2" t="s">
        <v>8386</v>
      </c>
      <c r="AP414" s="2" t="s">
        <v>8387</v>
      </c>
      <c r="AQ414" s="2" t="s">
        <v>74</v>
      </c>
      <c r="AR414" s="2" t="s">
        <v>74</v>
      </c>
      <c r="AS414" s="2" t="s">
        <v>74</v>
      </c>
      <c r="AT414" s="2" t="s">
        <v>352</v>
      </c>
      <c r="AU414" s="2">
        <v>2021</v>
      </c>
      <c r="AV414" s="2">
        <v>35</v>
      </c>
      <c r="AW414" s="2">
        <v>3</v>
      </c>
      <c r="AX414" s="2" t="s">
        <v>74</v>
      </c>
      <c r="AY414" s="2" t="s">
        <v>74</v>
      </c>
      <c r="AZ414" s="2" t="s">
        <v>74</v>
      </c>
      <c r="BA414" s="2" t="s">
        <v>74</v>
      </c>
      <c r="BB414" s="2">
        <v>313</v>
      </c>
      <c r="BC414" s="2">
        <v>324</v>
      </c>
      <c r="BD414" s="2" t="s">
        <v>74</v>
      </c>
      <c r="BE414" s="2" t="s">
        <v>8388</v>
      </c>
      <c r="BF414" s="2" t="str">
        <f>HYPERLINK("http://dx.doi.org/10.1647/20-00009","http://dx.doi.org/10.1647/20-00009")</f>
        <v>http://dx.doi.org/10.1647/20-00009</v>
      </c>
      <c r="BG414" s="2" t="s">
        <v>74</v>
      </c>
      <c r="BH414" s="2" t="s">
        <v>74</v>
      </c>
      <c r="BI414" s="2" t="s">
        <v>74</v>
      </c>
      <c r="BJ414" s="2" t="s">
        <v>74</v>
      </c>
      <c r="BK414" s="2" t="s">
        <v>74</v>
      </c>
      <c r="BL414" s="2" t="s">
        <v>74</v>
      </c>
      <c r="BM414" s="2" t="s">
        <v>74</v>
      </c>
      <c r="BN414" s="2">
        <v>34677030</v>
      </c>
      <c r="BO414" s="2" t="s">
        <v>74</v>
      </c>
      <c r="BP414" s="2" t="s">
        <v>74</v>
      </c>
      <c r="BQ414" s="2" t="s">
        <v>74</v>
      </c>
      <c r="BR414" s="2" t="s">
        <v>74</v>
      </c>
      <c r="BS414" s="2" t="s">
        <v>8389</v>
      </c>
      <c r="BT414" s="2" t="str">
        <f>HYPERLINK("https%3A%2F%2Fwww.webofscience.com%2Fwos%2Fwoscc%2Ffull-record%2FWOS:000704164200007","View Full Record in Web of Science")</f>
        <v>View Full Record in Web of Science</v>
      </c>
    </row>
    <row r="415" spans="1:72" s="2" customFormat="1" x14ac:dyDescent="0.4">
      <c r="A415" s="2" t="s">
        <v>72</v>
      </c>
      <c r="B415" s="2" t="s">
        <v>4084</v>
      </c>
      <c r="C415" s="2" t="s">
        <v>74</v>
      </c>
      <c r="D415" s="2" t="s">
        <v>74</v>
      </c>
      <c r="E415" s="2" t="s">
        <v>74</v>
      </c>
      <c r="F415" s="2" t="s">
        <v>4084</v>
      </c>
      <c r="G415" s="2" t="s">
        <v>74</v>
      </c>
      <c r="H415" s="2" t="s">
        <v>74</v>
      </c>
      <c r="I415" s="2" t="s">
        <v>4085</v>
      </c>
      <c r="J415" s="2" t="s">
        <v>3605</v>
      </c>
      <c r="K415" s="2" t="s">
        <v>74</v>
      </c>
      <c r="L415" s="2" t="s">
        <v>74</v>
      </c>
      <c r="M415" s="2" t="s">
        <v>74</v>
      </c>
      <c r="N415" s="2" t="s">
        <v>74</v>
      </c>
      <c r="O415" s="2" t="s">
        <v>74</v>
      </c>
      <c r="P415" s="2" t="s">
        <v>74</v>
      </c>
      <c r="Q415" s="2" t="s">
        <v>74</v>
      </c>
      <c r="R415" s="2" t="s">
        <v>74</v>
      </c>
      <c r="S415" s="2" t="s">
        <v>74</v>
      </c>
      <c r="T415" s="2" t="s">
        <v>74</v>
      </c>
      <c r="U415" s="2" t="s">
        <v>74</v>
      </c>
      <c r="V415" s="5" t="s">
        <v>4086</v>
      </c>
      <c r="W415" s="2" t="s">
        <v>74</v>
      </c>
      <c r="X415" s="2" t="s">
        <v>74</v>
      </c>
      <c r="Y415" s="2" t="s">
        <v>74</v>
      </c>
      <c r="Z415" s="2" t="s">
        <v>74</v>
      </c>
      <c r="AA415" s="2" t="s">
        <v>74</v>
      </c>
      <c r="AB415" s="2" t="s">
        <v>74</v>
      </c>
      <c r="AC415" s="2" t="s">
        <v>74</v>
      </c>
      <c r="AD415" s="2" t="s">
        <v>74</v>
      </c>
      <c r="AE415" s="2" t="s">
        <v>74</v>
      </c>
      <c r="AF415" s="2" t="s">
        <v>74</v>
      </c>
      <c r="AG415" s="2" t="s">
        <v>74</v>
      </c>
      <c r="AH415" s="2" t="s">
        <v>74</v>
      </c>
      <c r="AI415" s="2" t="s">
        <v>74</v>
      </c>
      <c r="AJ415" s="2" t="s">
        <v>74</v>
      </c>
      <c r="AK415" s="2" t="s">
        <v>74</v>
      </c>
      <c r="AL415" s="2" t="s">
        <v>74</v>
      </c>
      <c r="AM415" s="2" t="s">
        <v>74</v>
      </c>
      <c r="AN415" s="2" t="s">
        <v>74</v>
      </c>
      <c r="AO415" s="2" t="s">
        <v>3607</v>
      </c>
      <c r="AP415" s="2" t="s">
        <v>3608</v>
      </c>
      <c r="AQ415" s="2" t="s">
        <v>74</v>
      </c>
      <c r="AR415" s="2" t="s">
        <v>74</v>
      </c>
      <c r="AS415" s="2" t="s">
        <v>74</v>
      </c>
      <c r="AT415" s="2" t="s">
        <v>74</v>
      </c>
      <c r="AU415" s="2">
        <v>1965</v>
      </c>
      <c r="AV415" s="2">
        <v>45</v>
      </c>
      <c r="AW415" s="2">
        <v>3</v>
      </c>
      <c r="AX415" s="2" t="s">
        <v>74</v>
      </c>
      <c r="AY415" s="2" t="s">
        <v>74</v>
      </c>
      <c r="AZ415" s="2" t="s">
        <v>74</v>
      </c>
      <c r="BA415" s="2" t="s">
        <v>74</v>
      </c>
      <c r="BB415" s="2">
        <v>773</v>
      </c>
      <c r="BC415" s="2" t="s">
        <v>726</v>
      </c>
      <c r="BD415" s="2" t="s">
        <v>74</v>
      </c>
      <c r="BE415" s="2" t="s">
        <v>4087</v>
      </c>
      <c r="BF415" s="2" t="str">
        <f>HYPERLINK("http://dx.doi.org/10.1017/S0025315400016581","http://dx.doi.org/10.1017/S0025315400016581")</f>
        <v>http://dx.doi.org/10.1017/S0025315400016581</v>
      </c>
      <c r="BG415" s="2" t="s">
        <v>74</v>
      </c>
      <c r="BH415" s="2" t="s">
        <v>74</v>
      </c>
      <c r="BI415" s="2" t="s">
        <v>74</v>
      </c>
      <c r="BJ415" s="2" t="s">
        <v>74</v>
      </c>
      <c r="BK415" s="2" t="s">
        <v>74</v>
      </c>
      <c r="BL415" s="2" t="s">
        <v>74</v>
      </c>
      <c r="BM415" s="2" t="s">
        <v>74</v>
      </c>
      <c r="BN415" s="2" t="s">
        <v>74</v>
      </c>
      <c r="BO415" s="2" t="s">
        <v>74</v>
      </c>
      <c r="BP415" s="2" t="s">
        <v>74</v>
      </c>
      <c r="BQ415" s="2" t="s">
        <v>74</v>
      </c>
      <c r="BR415" s="2" t="s">
        <v>74</v>
      </c>
      <c r="BS415" s="2" t="s">
        <v>4088</v>
      </c>
      <c r="BT415" s="2" t="str">
        <f>HYPERLINK("https%3A%2F%2Fwww.webofscience.com%2Fwos%2Fwoscc%2Ffull-record%2FWOS:A19657014900017","View Full Record in Web of Science")</f>
        <v>View Full Record in Web of Science</v>
      </c>
    </row>
    <row r="416" spans="1:72" s="2" customFormat="1" x14ac:dyDescent="0.4">
      <c r="A416" s="2" t="s">
        <v>72</v>
      </c>
      <c r="B416" s="2" t="s">
        <v>6789</v>
      </c>
      <c r="C416" s="2" t="s">
        <v>74</v>
      </c>
      <c r="D416" s="2" t="s">
        <v>74</v>
      </c>
      <c r="E416" s="2" t="s">
        <v>74</v>
      </c>
      <c r="F416" s="2" t="s">
        <v>6789</v>
      </c>
      <c r="G416" s="2" t="s">
        <v>74</v>
      </c>
      <c r="H416" s="2" t="s">
        <v>74</v>
      </c>
      <c r="I416" s="2" t="s">
        <v>6790</v>
      </c>
      <c r="J416" s="2" t="s">
        <v>140</v>
      </c>
      <c r="K416" s="2" t="s">
        <v>74</v>
      </c>
      <c r="L416" s="2" t="s">
        <v>74</v>
      </c>
      <c r="M416" s="2" t="s">
        <v>74</v>
      </c>
      <c r="N416" s="2" t="s">
        <v>74</v>
      </c>
      <c r="O416" s="2" t="s">
        <v>74</v>
      </c>
      <c r="P416" s="2" t="s">
        <v>74</v>
      </c>
      <c r="Q416" s="2" t="s">
        <v>74</v>
      </c>
      <c r="R416" s="2" t="s">
        <v>74</v>
      </c>
      <c r="S416" s="2" t="s">
        <v>74</v>
      </c>
      <c r="T416" s="2" t="s">
        <v>74</v>
      </c>
      <c r="U416" s="2" t="s">
        <v>74</v>
      </c>
      <c r="V416" s="5" t="s">
        <v>6791</v>
      </c>
      <c r="W416" s="2" t="s">
        <v>74</v>
      </c>
      <c r="X416" s="2" t="s">
        <v>74</v>
      </c>
      <c r="Y416" s="2" t="s">
        <v>74</v>
      </c>
      <c r="Z416" s="2" t="s">
        <v>74</v>
      </c>
      <c r="AA416" s="2" t="s">
        <v>74</v>
      </c>
      <c r="AB416" s="2" t="s">
        <v>74</v>
      </c>
      <c r="AC416" s="2" t="s">
        <v>74</v>
      </c>
      <c r="AD416" s="2" t="s">
        <v>74</v>
      </c>
      <c r="AE416" s="2" t="s">
        <v>74</v>
      </c>
      <c r="AF416" s="2" t="s">
        <v>74</v>
      </c>
      <c r="AG416" s="2" t="s">
        <v>74</v>
      </c>
      <c r="AH416" s="2" t="s">
        <v>74</v>
      </c>
      <c r="AI416" s="2" t="s">
        <v>74</v>
      </c>
      <c r="AJ416" s="2" t="s">
        <v>74</v>
      </c>
      <c r="AK416" s="2" t="s">
        <v>74</v>
      </c>
      <c r="AL416" s="2" t="s">
        <v>74</v>
      </c>
      <c r="AM416" s="2" t="s">
        <v>74</v>
      </c>
      <c r="AN416" s="2" t="s">
        <v>74</v>
      </c>
      <c r="AO416" s="2" t="s">
        <v>143</v>
      </c>
      <c r="AP416" s="2" t="s">
        <v>144</v>
      </c>
      <c r="AQ416" s="2" t="s">
        <v>74</v>
      </c>
      <c r="AR416" s="2" t="s">
        <v>74</v>
      </c>
      <c r="AS416" s="2" t="s">
        <v>74</v>
      </c>
      <c r="AT416" s="2" t="s">
        <v>213</v>
      </c>
      <c r="AU416" s="2">
        <v>2004</v>
      </c>
      <c r="AV416" s="2">
        <v>68</v>
      </c>
      <c r="AW416" s="2" t="s">
        <v>74</v>
      </c>
      <c r="AX416" s="2">
        <v>5</v>
      </c>
      <c r="AY416" s="2" t="s">
        <v>74</v>
      </c>
      <c r="AZ416" s="2" t="s">
        <v>74</v>
      </c>
      <c r="BA416" s="2" t="s">
        <v>74</v>
      </c>
      <c r="BB416" s="2">
        <v>1005</v>
      </c>
      <c r="BC416" s="2">
        <v>1015</v>
      </c>
      <c r="BD416" s="2" t="s">
        <v>74</v>
      </c>
      <c r="BE416" s="2" t="s">
        <v>6792</v>
      </c>
      <c r="BF416" s="2" t="str">
        <f>HYPERLINK("http://dx.doi.org/10.1016/j.anbehav.2004.02.003","http://dx.doi.org/10.1016/j.anbehav.2004.02.003")</f>
        <v>http://dx.doi.org/10.1016/j.anbehav.2004.02.003</v>
      </c>
      <c r="BG416" s="2" t="s">
        <v>74</v>
      </c>
      <c r="BH416" s="2" t="s">
        <v>74</v>
      </c>
      <c r="BI416" s="2" t="s">
        <v>74</v>
      </c>
      <c r="BJ416" s="2" t="s">
        <v>74</v>
      </c>
      <c r="BK416" s="2" t="s">
        <v>74</v>
      </c>
      <c r="BL416" s="2" t="s">
        <v>74</v>
      </c>
      <c r="BM416" s="2" t="s">
        <v>74</v>
      </c>
      <c r="BN416" s="2" t="s">
        <v>74</v>
      </c>
      <c r="BO416" s="2" t="s">
        <v>74</v>
      </c>
      <c r="BP416" s="2" t="s">
        <v>74</v>
      </c>
      <c r="BQ416" s="2" t="s">
        <v>74</v>
      </c>
      <c r="BR416" s="2" t="s">
        <v>74</v>
      </c>
      <c r="BS416" s="2" t="s">
        <v>6793</v>
      </c>
      <c r="BT416" s="2" t="str">
        <f>HYPERLINK("https%3A%2F%2Fwww.webofscience.com%2Fwos%2Fwoscc%2Ffull-record%2FWOS:000225064400004","View Full Record in Web of Science")</f>
        <v>View Full Record in Web of Science</v>
      </c>
    </row>
    <row r="417" spans="1:72" s="2" customFormat="1" x14ac:dyDescent="0.4">
      <c r="A417" s="2" t="s">
        <v>72</v>
      </c>
      <c r="B417" s="2" t="s">
        <v>6822</v>
      </c>
      <c r="C417" s="2" t="s">
        <v>74</v>
      </c>
      <c r="D417" s="2" t="s">
        <v>74</v>
      </c>
      <c r="E417" s="2" t="s">
        <v>74</v>
      </c>
      <c r="F417" s="2" t="s">
        <v>6822</v>
      </c>
      <c r="G417" s="2" t="s">
        <v>74</v>
      </c>
      <c r="H417" s="2" t="s">
        <v>74</v>
      </c>
      <c r="I417" s="2" t="s">
        <v>6823</v>
      </c>
      <c r="J417" s="2" t="s">
        <v>1237</v>
      </c>
      <c r="K417" s="2" t="s">
        <v>74</v>
      </c>
      <c r="L417" s="2" t="s">
        <v>74</v>
      </c>
      <c r="M417" s="2" t="s">
        <v>74</v>
      </c>
      <c r="N417" s="2" t="s">
        <v>74</v>
      </c>
      <c r="O417" s="2" t="s">
        <v>74</v>
      </c>
      <c r="P417" s="2" t="s">
        <v>74</v>
      </c>
      <c r="Q417" s="2" t="s">
        <v>74</v>
      </c>
      <c r="R417" s="2" t="s">
        <v>74</v>
      </c>
      <c r="S417" s="2" t="s">
        <v>74</v>
      </c>
      <c r="T417" s="2" t="s">
        <v>74</v>
      </c>
      <c r="U417" s="2" t="s">
        <v>74</v>
      </c>
      <c r="V417" s="5" t="s">
        <v>6824</v>
      </c>
      <c r="W417" s="2" t="s">
        <v>74</v>
      </c>
      <c r="X417" s="2" t="s">
        <v>74</v>
      </c>
      <c r="Y417" s="2" t="s">
        <v>74</v>
      </c>
      <c r="Z417" s="2" t="s">
        <v>74</v>
      </c>
      <c r="AA417" s="2" t="s">
        <v>74</v>
      </c>
      <c r="AB417" s="2" t="s">
        <v>74</v>
      </c>
      <c r="AC417" s="2" t="s">
        <v>74</v>
      </c>
      <c r="AD417" s="2" t="s">
        <v>74</v>
      </c>
      <c r="AE417" s="2" t="s">
        <v>74</v>
      </c>
      <c r="AF417" s="2" t="s">
        <v>74</v>
      </c>
      <c r="AG417" s="2" t="s">
        <v>74</v>
      </c>
      <c r="AH417" s="2" t="s">
        <v>74</v>
      </c>
      <c r="AI417" s="2" t="s">
        <v>74</v>
      </c>
      <c r="AJ417" s="2" t="s">
        <v>74</v>
      </c>
      <c r="AK417" s="2" t="s">
        <v>74</v>
      </c>
      <c r="AL417" s="2" t="s">
        <v>74</v>
      </c>
      <c r="AM417" s="2" t="s">
        <v>74</v>
      </c>
      <c r="AN417" s="2" t="s">
        <v>74</v>
      </c>
      <c r="AO417" s="2" t="s">
        <v>1239</v>
      </c>
      <c r="AP417" s="2" t="s">
        <v>74</v>
      </c>
      <c r="AQ417" s="2" t="s">
        <v>74</v>
      </c>
      <c r="AR417" s="2" t="s">
        <v>74</v>
      </c>
      <c r="AS417" s="2" t="s">
        <v>74</v>
      </c>
      <c r="AT417" s="2" t="s">
        <v>134</v>
      </c>
      <c r="AU417" s="2">
        <v>1995</v>
      </c>
      <c r="AV417" s="2">
        <v>73</v>
      </c>
      <c r="AW417" s="2">
        <v>5</v>
      </c>
      <c r="AX417" s="2" t="s">
        <v>74</v>
      </c>
      <c r="AY417" s="2" t="s">
        <v>74</v>
      </c>
      <c r="AZ417" s="2" t="s">
        <v>74</v>
      </c>
      <c r="BA417" s="2" t="s">
        <v>74</v>
      </c>
      <c r="BB417" s="2">
        <v>858</v>
      </c>
      <c r="BC417" s="2">
        <v>868</v>
      </c>
      <c r="BD417" s="2" t="s">
        <v>74</v>
      </c>
      <c r="BE417" s="2" t="s">
        <v>6825</v>
      </c>
      <c r="BF417" s="2" t="str">
        <f>HYPERLINK("http://dx.doi.org/10.1139/z95-101","http://dx.doi.org/10.1139/z95-101")</f>
        <v>http://dx.doi.org/10.1139/z95-101</v>
      </c>
      <c r="BG417" s="2" t="s">
        <v>74</v>
      </c>
      <c r="BH417" s="2" t="s">
        <v>74</v>
      </c>
      <c r="BI417" s="2" t="s">
        <v>74</v>
      </c>
      <c r="BJ417" s="2" t="s">
        <v>74</v>
      </c>
      <c r="BK417" s="2" t="s">
        <v>74</v>
      </c>
      <c r="BL417" s="2" t="s">
        <v>74</v>
      </c>
      <c r="BM417" s="2" t="s">
        <v>74</v>
      </c>
      <c r="BN417" s="2" t="s">
        <v>74</v>
      </c>
      <c r="BO417" s="2" t="s">
        <v>74</v>
      </c>
      <c r="BP417" s="2" t="s">
        <v>74</v>
      </c>
      <c r="BQ417" s="2" t="s">
        <v>74</v>
      </c>
      <c r="BR417" s="2" t="s">
        <v>74</v>
      </c>
      <c r="BS417" s="2" t="s">
        <v>6826</v>
      </c>
      <c r="BT417" s="2" t="str">
        <f>HYPERLINK("https%3A%2F%2Fwww.webofscience.com%2Fwos%2Fwoscc%2Ffull-record%2FWOS:A1995RR09100006","View Full Record in Web of Science")</f>
        <v>View Full Record in Web of Science</v>
      </c>
    </row>
    <row r="418" spans="1:72" s="2" customFormat="1" x14ac:dyDescent="0.4">
      <c r="A418" s="2" t="s">
        <v>72</v>
      </c>
      <c r="B418" s="2" t="s">
        <v>6334</v>
      </c>
      <c r="C418" s="2" t="s">
        <v>74</v>
      </c>
      <c r="D418" s="2" t="s">
        <v>74</v>
      </c>
      <c r="E418" s="2" t="s">
        <v>74</v>
      </c>
      <c r="F418" s="2" t="s">
        <v>6335</v>
      </c>
      <c r="G418" s="2" t="s">
        <v>74</v>
      </c>
      <c r="H418" s="2" t="s">
        <v>74</v>
      </c>
      <c r="I418" s="2" t="s">
        <v>6336</v>
      </c>
      <c r="J418" s="2" t="s">
        <v>408</v>
      </c>
      <c r="K418" s="2" t="s">
        <v>74</v>
      </c>
      <c r="L418" s="2" t="s">
        <v>74</v>
      </c>
      <c r="M418" s="2" t="s">
        <v>74</v>
      </c>
      <c r="N418" s="2" t="s">
        <v>74</v>
      </c>
      <c r="O418" s="2" t="s">
        <v>74</v>
      </c>
      <c r="P418" s="2" t="s">
        <v>74</v>
      </c>
      <c r="Q418" s="2" t="s">
        <v>74</v>
      </c>
      <c r="R418" s="2" t="s">
        <v>74</v>
      </c>
      <c r="S418" s="2" t="s">
        <v>74</v>
      </c>
      <c r="T418" s="2" t="s">
        <v>74</v>
      </c>
      <c r="U418" s="2" t="s">
        <v>74</v>
      </c>
      <c r="V418" s="5" t="s">
        <v>6337</v>
      </c>
      <c r="W418" s="2" t="s">
        <v>74</v>
      </c>
      <c r="X418" s="2" t="s">
        <v>74</v>
      </c>
      <c r="Y418" s="2" t="s">
        <v>74</v>
      </c>
      <c r="Z418" s="2" t="s">
        <v>74</v>
      </c>
      <c r="AA418" s="2" t="s">
        <v>74</v>
      </c>
      <c r="AB418" s="2" t="s">
        <v>74</v>
      </c>
      <c r="AC418" s="2" t="s">
        <v>74</v>
      </c>
      <c r="AD418" s="2" t="s">
        <v>74</v>
      </c>
      <c r="AE418" s="2" t="s">
        <v>74</v>
      </c>
      <c r="AF418" s="2" t="s">
        <v>74</v>
      </c>
      <c r="AG418" s="2" t="s">
        <v>74</v>
      </c>
      <c r="AH418" s="2" t="s">
        <v>74</v>
      </c>
      <c r="AI418" s="2" t="s">
        <v>74</v>
      </c>
      <c r="AJ418" s="2" t="s">
        <v>74</v>
      </c>
      <c r="AK418" s="2" t="s">
        <v>74</v>
      </c>
      <c r="AL418" s="2" t="s">
        <v>74</v>
      </c>
      <c r="AM418" s="2" t="s">
        <v>74</v>
      </c>
      <c r="AN418" s="2" t="s">
        <v>74</v>
      </c>
      <c r="AO418" s="2" t="s">
        <v>412</v>
      </c>
      <c r="AP418" s="2" t="s">
        <v>413</v>
      </c>
      <c r="AQ418" s="2" t="s">
        <v>74</v>
      </c>
      <c r="AR418" s="2" t="s">
        <v>74</v>
      </c>
      <c r="AS418" s="2" t="s">
        <v>74</v>
      </c>
      <c r="AT418" s="2" t="s">
        <v>102</v>
      </c>
      <c r="AU418" s="2">
        <v>2020</v>
      </c>
      <c r="AV418" s="2">
        <v>130</v>
      </c>
      <c r="AW418" s="2">
        <v>2</v>
      </c>
      <c r="AX418" s="2" t="s">
        <v>74</v>
      </c>
      <c r="AY418" s="2" t="s">
        <v>74</v>
      </c>
      <c r="AZ418" s="2" t="s">
        <v>74</v>
      </c>
      <c r="BA418" s="2" t="s">
        <v>74</v>
      </c>
      <c r="BB418" s="2">
        <v>336</v>
      </c>
      <c r="BC418" s="2">
        <v>344</v>
      </c>
      <c r="BD418" s="2" t="s">
        <v>74</v>
      </c>
      <c r="BE418" s="2" t="s">
        <v>6338</v>
      </c>
      <c r="BF418" s="2" t="str">
        <f>HYPERLINK("http://dx.doi.org/10.1093/biolinnean/blaa045","http://dx.doi.org/10.1093/biolinnean/blaa045")</f>
        <v>http://dx.doi.org/10.1093/biolinnean/blaa045</v>
      </c>
      <c r="BG418" s="2" t="s">
        <v>74</v>
      </c>
      <c r="BH418" s="2" t="s">
        <v>74</v>
      </c>
      <c r="BI418" s="2" t="s">
        <v>74</v>
      </c>
      <c r="BJ418" s="2" t="s">
        <v>74</v>
      </c>
      <c r="BK418" s="2" t="s">
        <v>74</v>
      </c>
      <c r="BL418" s="2" t="s">
        <v>74</v>
      </c>
      <c r="BM418" s="2" t="s">
        <v>74</v>
      </c>
      <c r="BN418" s="2" t="s">
        <v>74</v>
      </c>
      <c r="BO418" s="2" t="s">
        <v>74</v>
      </c>
      <c r="BP418" s="2" t="s">
        <v>74</v>
      </c>
      <c r="BQ418" s="2" t="s">
        <v>74</v>
      </c>
      <c r="BR418" s="2" t="s">
        <v>74</v>
      </c>
      <c r="BS418" s="2" t="s">
        <v>6339</v>
      </c>
      <c r="BT418" s="2" t="str">
        <f>HYPERLINK("https%3A%2F%2Fwww.webofscience.com%2Fwos%2Fwoscc%2Ffull-record%2FWOS:000562378200007","View Full Record in Web of Science")</f>
        <v>View Full Record in Web of Science</v>
      </c>
    </row>
    <row r="419" spans="1:72" s="2" customFormat="1" x14ac:dyDescent="0.4">
      <c r="A419" s="2" t="s">
        <v>72</v>
      </c>
      <c r="B419" s="2" t="s">
        <v>7228</v>
      </c>
      <c r="C419" s="2" t="s">
        <v>74</v>
      </c>
      <c r="D419" s="2" t="s">
        <v>74</v>
      </c>
      <c r="E419" s="2" t="s">
        <v>74</v>
      </c>
      <c r="F419" s="2" t="s">
        <v>7229</v>
      </c>
      <c r="G419" s="2" t="s">
        <v>74</v>
      </c>
      <c r="H419" s="2" t="s">
        <v>74</v>
      </c>
      <c r="I419" s="2" t="s">
        <v>7230</v>
      </c>
      <c r="J419" s="2" t="s">
        <v>333</v>
      </c>
      <c r="K419" s="2" t="s">
        <v>74</v>
      </c>
      <c r="L419" s="2" t="s">
        <v>74</v>
      </c>
      <c r="M419" s="2" t="s">
        <v>74</v>
      </c>
      <c r="N419" s="2" t="s">
        <v>74</v>
      </c>
      <c r="O419" s="2" t="s">
        <v>74</v>
      </c>
      <c r="P419" s="2" t="s">
        <v>74</v>
      </c>
      <c r="Q419" s="2" t="s">
        <v>74</v>
      </c>
      <c r="R419" s="2" t="s">
        <v>74</v>
      </c>
      <c r="S419" s="2" t="s">
        <v>74</v>
      </c>
      <c r="T419" s="2" t="s">
        <v>74</v>
      </c>
      <c r="U419" s="2" t="s">
        <v>74</v>
      </c>
      <c r="V419" s="5" t="s">
        <v>7231</v>
      </c>
      <c r="W419" s="2" t="s">
        <v>74</v>
      </c>
      <c r="X419" s="2" t="s">
        <v>74</v>
      </c>
      <c r="Y419" s="2" t="s">
        <v>74</v>
      </c>
      <c r="Z419" s="2" t="s">
        <v>74</v>
      </c>
      <c r="AA419" s="2" t="s">
        <v>74</v>
      </c>
      <c r="AB419" s="2" t="s">
        <v>7232</v>
      </c>
      <c r="AC419" s="2" t="s">
        <v>74</v>
      </c>
      <c r="AD419" s="2" t="s">
        <v>74</v>
      </c>
      <c r="AE419" s="2" t="s">
        <v>74</v>
      </c>
      <c r="AF419" s="2" t="s">
        <v>74</v>
      </c>
      <c r="AG419" s="2" t="s">
        <v>74</v>
      </c>
      <c r="AH419" s="2" t="s">
        <v>74</v>
      </c>
      <c r="AI419" s="2" t="s">
        <v>74</v>
      </c>
      <c r="AJ419" s="2" t="s">
        <v>74</v>
      </c>
      <c r="AK419" s="2" t="s">
        <v>74</v>
      </c>
      <c r="AL419" s="2" t="s">
        <v>74</v>
      </c>
      <c r="AM419" s="2" t="s">
        <v>74</v>
      </c>
      <c r="AN419" s="2" t="s">
        <v>74</v>
      </c>
      <c r="AO419" s="2" t="s">
        <v>337</v>
      </c>
      <c r="AP419" s="2" t="s">
        <v>338</v>
      </c>
      <c r="AQ419" s="2" t="s">
        <v>74</v>
      </c>
      <c r="AR419" s="2" t="s">
        <v>74</v>
      </c>
      <c r="AS419" s="2" t="s">
        <v>74</v>
      </c>
      <c r="AT419" s="2" t="s">
        <v>1013</v>
      </c>
      <c r="AU419" s="2">
        <v>2017</v>
      </c>
      <c r="AV419" s="2">
        <v>28</v>
      </c>
      <c r="AW419" s="2">
        <v>5</v>
      </c>
      <c r="AX419" s="2" t="s">
        <v>74</v>
      </c>
      <c r="AY419" s="2" t="s">
        <v>74</v>
      </c>
      <c r="AZ419" s="2" t="s">
        <v>74</v>
      </c>
      <c r="BA419" s="2" t="s">
        <v>74</v>
      </c>
      <c r="BB419" s="2">
        <v>1329</v>
      </c>
      <c r="BC419" s="2">
        <v>1336</v>
      </c>
      <c r="BD419" s="2" t="s">
        <v>74</v>
      </c>
      <c r="BE419" s="2" t="s">
        <v>7233</v>
      </c>
      <c r="BF419" s="2" t="str">
        <f>HYPERLINK("http://dx.doi.org/10.1093/beheco/arx096","http://dx.doi.org/10.1093/beheco/arx096")</f>
        <v>http://dx.doi.org/10.1093/beheco/arx096</v>
      </c>
      <c r="BG419" s="2" t="s">
        <v>74</v>
      </c>
      <c r="BH419" s="2" t="s">
        <v>74</v>
      </c>
      <c r="BI419" s="2" t="s">
        <v>74</v>
      </c>
      <c r="BJ419" s="2" t="s">
        <v>74</v>
      </c>
      <c r="BK419" s="2" t="s">
        <v>74</v>
      </c>
      <c r="BL419" s="2" t="s">
        <v>74</v>
      </c>
      <c r="BM419" s="2" t="s">
        <v>74</v>
      </c>
      <c r="BN419" s="2" t="s">
        <v>74</v>
      </c>
      <c r="BO419" s="2" t="s">
        <v>74</v>
      </c>
      <c r="BP419" s="2" t="s">
        <v>74</v>
      </c>
      <c r="BQ419" s="2" t="s">
        <v>74</v>
      </c>
      <c r="BR419" s="2" t="s">
        <v>74</v>
      </c>
      <c r="BS419" s="2" t="s">
        <v>7234</v>
      </c>
      <c r="BT419" s="2" t="str">
        <f>HYPERLINK("https%3A%2F%2Fwww.webofscience.com%2Fwos%2Fwoscc%2Ffull-record%2FWOS:000412182400016","View Full Record in Web of Science")</f>
        <v>View Full Record in Web of Science</v>
      </c>
    </row>
    <row r="420" spans="1:72" s="2" customFormat="1" x14ac:dyDescent="0.4">
      <c r="A420" s="2" t="s">
        <v>72</v>
      </c>
      <c r="B420" s="2" t="s">
        <v>879</v>
      </c>
      <c r="C420" s="2" t="s">
        <v>74</v>
      </c>
      <c r="D420" s="2" t="s">
        <v>74</v>
      </c>
      <c r="E420" s="2" t="s">
        <v>74</v>
      </c>
      <c r="F420" s="2" t="s">
        <v>880</v>
      </c>
      <c r="G420" s="2" t="s">
        <v>74</v>
      </c>
      <c r="H420" s="2" t="s">
        <v>74</v>
      </c>
      <c r="I420" s="2" t="s">
        <v>881</v>
      </c>
      <c r="J420" s="2" t="s">
        <v>882</v>
      </c>
      <c r="K420" s="2" t="s">
        <v>74</v>
      </c>
      <c r="L420" s="2" t="s">
        <v>74</v>
      </c>
      <c r="M420" s="2" t="s">
        <v>74</v>
      </c>
      <c r="N420" s="2" t="s">
        <v>74</v>
      </c>
      <c r="O420" s="2" t="s">
        <v>74</v>
      </c>
      <c r="P420" s="2" t="s">
        <v>74</v>
      </c>
      <c r="Q420" s="2" t="s">
        <v>74</v>
      </c>
      <c r="R420" s="2" t="s">
        <v>74</v>
      </c>
      <c r="S420" s="2" t="s">
        <v>74</v>
      </c>
      <c r="T420" s="2" t="s">
        <v>74</v>
      </c>
      <c r="U420" s="2" t="s">
        <v>74</v>
      </c>
      <c r="V420" s="5" t="s">
        <v>883</v>
      </c>
      <c r="W420" s="2" t="s">
        <v>74</v>
      </c>
      <c r="X420" s="2" t="s">
        <v>74</v>
      </c>
      <c r="Y420" s="2" t="s">
        <v>74</v>
      </c>
      <c r="Z420" s="2" t="s">
        <v>74</v>
      </c>
      <c r="AA420" s="2" t="s">
        <v>884</v>
      </c>
      <c r="AB420" s="2" t="s">
        <v>885</v>
      </c>
      <c r="AC420" s="2" t="s">
        <v>74</v>
      </c>
      <c r="AD420" s="2" t="s">
        <v>74</v>
      </c>
      <c r="AE420" s="2" t="s">
        <v>74</v>
      </c>
      <c r="AF420" s="2" t="s">
        <v>74</v>
      </c>
      <c r="AG420" s="2" t="s">
        <v>74</v>
      </c>
      <c r="AH420" s="2" t="s">
        <v>74</v>
      </c>
      <c r="AI420" s="2" t="s">
        <v>74</v>
      </c>
      <c r="AJ420" s="2" t="s">
        <v>74</v>
      </c>
      <c r="AK420" s="2" t="s">
        <v>74</v>
      </c>
      <c r="AL420" s="2" t="s">
        <v>74</v>
      </c>
      <c r="AM420" s="2" t="s">
        <v>74</v>
      </c>
      <c r="AN420" s="2" t="s">
        <v>74</v>
      </c>
      <c r="AO420" s="2" t="s">
        <v>886</v>
      </c>
      <c r="AP420" s="2" t="s">
        <v>887</v>
      </c>
      <c r="AQ420" s="2" t="s">
        <v>74</v>
      </c>
      <c r="AR420" s="2" t="s">
        <v>74</v>
      </c>
      <c r="AS420" s="2" t="s">
        <v>74</v>
      </c>
      <c r="AT420" s="2" t="s">
        <v>74</v>
      </c>
      <c r="AU420" s="2">
        <v>2010</v>
      </c>
      <c r="AV420" s="2">
        <v>9</v>
      </c>
      <c r="AW420" s="2">
        <v>3</v>
      </c>
      <c r="AX420" s="2" t="s">
        <v>74</v>
      </c>
      <c r="AY420" s="2" t="s">
        <v>74</v>
      </c>
      <c r="AZ420" s="2" t="s">
        <v>74</v>
      </c>
      <c r="BA420" s="2" t="s">
        <v>74</v>
      </c>
      <c r="BB420" s="2">
        <v>271</v>
      </c>
      <c r="BC420" s="2">
        <v>277</v>
      </c>
      <c r="BD420" s="2" t="s">
        <v>74</v>
      </c>
      <c r="BE420" s="2" t="s">
        <v>888</v>
      </c>
      <c r="BF420" s="2" t="str">
        <f>HYPERLINK("http://dx.doi.org/10.3354/ab00257","http://dx.doi.org/10.3354/ab00257")</f>
        <v>http://dx.doi.org/10.3354/ab00257</v>
      </c>
      <c r="BG420" s="2" t="s">
        <v>74</v>
      </c>
      <c r="BH420" s="2" t="s">
        <v>74</v>
      </c>
      <c r="BI420" s="2" t="s">
        <v>74</v>
      </c>
      <c r="BJ420" s="2" t="s">
        <v>74</v>
      </c>
      <c r="BK420" s="2" t="s">
        <v>74</v>
      </c>
      <c r="BL420" s="2" t="s">
        <v>74</v>
      </c>
      <c r="BM420" s="2" t="s">
        <v>74</v>
      </c>
      <c r="BN420" s="2" t="s">
        <v>74</v>
      </c>
      <c r="BO420" s="2" t="s">
        <v>74</v>
      </c>
      <c r="BP420" s="2" t="s">
        <v>74</v>
      </c>
      <c r="BQ420" s="2" t="s">
        <v>74</v>
      </c>
      <c r="BR420" s="2" t="s">
        <v>74</v>
      </c>
      <c r="BS420" s="2" t="s">
        <v>889</v>
      </c>
      <c r="BT420" s="2" t="str">
        <f>HYPERLINK("https%3A%2F%2Fwww.webofscience.com%2Fwos%2Fwoscc%2Ffull-record%2FWOS:000278977700007","View Full Record in Web of Science")</f>
        <v>View Full Record in Web of Science</v>
      </c>
    </row>
    <row r="421" spans="1:72" s="2" customFormat="1" x14ac:dyDescent="0.4">
      <c r="A421" s="2" t="s">
        <v>72</v>
      </c>
      <c r="B421" s="2" t="s">
        <v>488</v>
      </c>
      <c r="C421" s="2" t="s">
        <v>74</v>
      </c>
      <c r="D421" s="2" t="s">
        <v>74</v>
      </c>
      <c r="E421" s="2" t="s">
        <v>74</v>
      </c>
      <c r="F421" s="2" t="s">
        <v>488</v>
      </c>
      <c r="G421" s="2" t="s">
        <v>74</v>
      </c>
      <c r="H421" s="2" t="s">
        <v>74</v>
      </c>
      <c r="I421" s="2" t="s">
        <v>489</v>
      </c>
      <c r="J421" s="2" t="s">
        <v>108</v>
      </c>
      <c r="K421" s="2" t="s">
        <v>74</v>
      </c>
      <c r="L421" s="2" t="s">
        <v>74</v>
      </c>
      <c r="M421" s="2" t="s">
        <v>74</v>
      </c>
      <c r="N421" s="2" t="s">
        <v>74</v>
      </c>
      <c r="O421" s="2" t="s">
        <v>74</v>
      </c>
      <c r="P421" s="2" t="s">
        <v>74</v>
      </c>
      <c r="Q421" s="2" t="s">
        <v>74</v>
      </c>
      <c r="R421" s="2" t="s">
        <v>74</v>
      </c>
      <c r="S421" s="2" t="s">
        <v>74</v>
      </c>
      <c r="T421" s="2" t="s">
        <v>74</v>
      </c>
      <c r="U421" s="2" t="s">
        <v>74</v>
      </c>
      <c r="V421" s="5" t="s">
        <v>490</v>
      </c>
      <c r="W421" s="2" t="s">
        <v>74</v>
      </c>
      <c r="X421" s="2" t="s">
        <v>74</v>
      </c>
      <c r="Y421" s="2" t="s">
        <v>74</v>
      </c>
      <c r="Z421" s="2" t="s">
        <v>74</v>
      </c>
      <c r="AA421" s="2" t="s">
        <v>491</v>
      </c>
      <c r="AB421" s="2" t="s">
        <v>492</v>
      </c>
      <c r="AC421" s="2" t="s">
        <v>74</v>
      </c>
      <c r="AD421" s="2" t="s">
        <v>74</v>
      </c>
      <c r="AE421" s="2" t="s">
        <v>74</v>
      </c>
      <c r="AF421" s="2" t="s">
        <v>74</v>
      </c>
      <c r="AG421" s="2" t="s">
        <v>74</v>
      </c>
      <c r="AH421" s="2" t="s">
        <v>74</v>
      </c>
      <c r="AI421" s="2" t="s">
        <v>74</v>
      </c>
      <c r="AJ421" s="2" t="s">
        <v>74</v>
      </c>
      <c r="AK421" s="2" t="s">
        <v>74</v>
      </c>
      <c r="AL421" s="2" t="s">
        <v>74</v>
      </c>
      <c r="AM421" s="2" t="s">
        <v>74</v>
      </c>
      <c r="AN421" s="2" t="s">
        <v>74</v>
      </c>
      <c r="AO421" s="2" t="s">
        <v>111</v>
      </c>
      <c r="AP421" s="2" t="s">
        <v>112</v>
      </c>
      <c r="AQ421" s="2" t="s">
        <v>74</v>
      </c>
      <c r="AR421" s="2" t="s">
        <v>74</v>
      </c>
      <c r="AS421" s="2" t="s">
        <v>74</v>
      </c>
      <c r="AT421" s="2" t="s">
        <v>493</v>
      </c>
      <c r="AU421" s="2">
        <v>2001</v>
      </c>
      <c r="AV421" s="2">
        <v>268</v>
      </c>
      <c r="AW421" s="2">
        <v>1475</v>
      </c>
      <c r="AX421" s="2" t="s">
        <v>74</v>
      </c>
      <c r="AY421" s="2" t="s">
        <v>74</v>
      </c>
      <c r="AZ421" s="2" t="s">
        <v>74</v>
      </c>
      <c r="BA421" s="2" t="s">
        <v>74</v>
      </c>
      <c r="BB421" s="2">
        <v>1519</v>
      </c>
      <c r="BC421" s="2">
        <v>1526</v>
      </c>
      <c r="BD421" s="2" t="s">
        <v>74</v>
      </c>
      <c r="BE421" s="2" t="s">
        <v>494</v>
      </c>
      <c r="BF421" s="2" t="str">
        <f>HYPERLINK("http://dx.doi.org/10.1098/rspb.2001.1701","http://dx.doi.org/10.1098/rspb.2001.1701")</f>
        <v>http://dx.doi.org/10.1098/rspb.2001.1701</v>
      </c>
      <c r="BG421" s="2" t="s">
        <v>74</v>
      </c>
      <c r="BH421" s="2" t="s">
        <v>74</v>
      </c>
      <c r="BI421" s="2" t="s">
        <v>74</v>
      </c>
      <c r="BJ421" s="2" t="s">
        <v>74</v>
      </c>
      <c r="BK421" s="2" t="s">
        <v>74</v>
      </c>
      <c r="BL421" s="2" t="s">
        <v>74</v>
      </c>
      <c r="BM421" s="2" t="s">
        <v>74</v>
      </c>
      <c r="BN421" s="2">
        <v>11454297</v>
      </c>
      <c r="BO421" s="2" t="s">
        <v>74</v>
      </c>
      <c r="BP421" s="2" t="s">
        <v>74</v>
      </c>
      <c r="BQ421" s="2" t="s">
        <v>74</v>
      </c>
      <c r="BR421" s="2" t="s">
        <v>74</v>
      </c>
      <c r="BS421" s="2" t="s">
        <v>495</v>
      </c>
      <c r="BT421" s="2" t="str">
        <f>HYPERLINK("https%3A%2F%2Fwww.webofscience.com%2Fwos%2Fwoscc%2Ffull-record%2FWOS:000170003600013","View Full Record in Web of Science")</f>
        <v>View Full Record in Web of Science</v>
      </c>
    </row>
    <row r="422" spans="1:72" s="2" customFormat="1" x14ac:dyDescent="0.4">
      <c r="A422" s="2" t="s">
        <v>72</v>
      </c>
      <c r="B422" s="2" t="s">
        <v>5024</v>
      </c>
      <c r="C422" s="2" t="s">
        <v>74</v>
      </c>
      <c r="D422" s="2" t="s">
        <v>74</v>
      </c>
      <c r="E422" s="2" t="s">
        <v>74</v>
      </c>
      <c r="F422" s="2" t="s">
        <v>5025</v>
      </c>
      <c r="G422" s="2" t="s">
        <v>74</v>
      </c>
      <c r="H422" s="2" t="s">
        <v>74</v>
      </c>
      <c r="I422" s="2" t="s">
        <v>5026</v>
      </c>
      <c r="J422" s="2" t="s">
        <v>2578</v>
      </c>
      <c r="K422" s="2" t="s">
        <v>74</v>
      </c>
      <c r="L422" s="2" t="s">
        <v>74</v>
      </c>
      <c r="M422" s="2" t="s">
        <v>74</v>
      </c>
      <c r="N422" s="2" t="s">
        <v>74</v>
      </c>
      <c r="O422" s="2" t="s">
        <v>74</v>
      </c>
      <c r="P422" s="2" t="s">
        <v>74</v>
      </c>
      <c r="Q422" s="2" t="s">
        <v>74</v>
      </c>
      <c r="R422" s="2" t="s">
        <v>74</v>
      </c>
      <c r="S422" s="2" t="s">
        <v>74</v>
      </c>
      <c r="T422" s="2" t="s">
        <v>74</v>
      </c>
      <c r="U422" s="2" t="s">
        <v>74</v>
      </c>
      <c r="V422" s="5" t="s">
        <v>5027</v>
      </c>
      <c r="W422" s="2" t="s">
        <v>74</v>
      </c>
      <c r="X422" s="2" t="s">
        <v>74</v>
      </c>
      <c r="Y422" s="2" t="s">
        <v>74</v>
      </c>
      <c r="Z422" s="2" t="s">
        <v>74</v>
      </c>
      <c r="AA422" s="2" t="s">
        <v>74</v>
      </c>
      <c r="AB422" s="2" t="s">
        <v>74</v>
      </c>
      <c r="AC422" s="2" t="s">
        <v>74</v>
      </c>
      <c r="AD422" s="2" t="s">
        <v>74</v>
      </c>
      <c r="AE422" s="2" t="s">
        <v>74</v>
      </c>
      <c r="AF422" s="2" t="s">
        <v>74</v>
      </c>
      <c r="AG422" s="2" t="s">
        <v>74</v>
      </c>
      <c r="AH422" s="2" t="s">
        <v>74</v>
      </c>
      <c r="AI422" s="2" t="s">
        <v>74</v>
      </c>
      <c r="AJ422" s="2" t="s">
        <v>74</v>
      </c>
      <c r="AK422" s="2" t="s">
        <v>74</v>
      </c>
      <c r="AL422" s="2" t="s">
        <v>74</v>
      </c>
      <c r="AM422" s="2" t="s">
        <v>74</v>
      </c>
      <c r="AN422" s="2" t="s">
        <v>74</v>
      </c>
      <c r="AO422" s="2" t="s">
        <v>2582</v>
      </c>
      <c r="AP422" s="2" t="s">
        <v>2583</v>
      </c>
      <c r="AQ422" s="2" t="s">
        <v>74</v>
      </c>
      <c r="AR422" s="2" t="s">
        <v>74</v>
      </c>
      <c r="AS422" s="2" t="s">
        <v>74</v>
      </c>
      <c r="AT422" s="2" t="s">
        <v>5028</v>
      </c>
      <c r="AU422" s="2">
        <v>2024</v>
      </c>
      <c r="AV422" s="2" t="s">
        <v>74</v>
      </c>
      <c r="AW422" s="2" t="s">
        <v>74</v>
      </c>
      <c r="AX422" s="2" t="s">
        <v>74</v>
      </c>
      <c r="AY422" s="2" t="s">
        <v>74</v>
      </c>
      <c r="AZ422" s="2" t="s">
        <v>74</v>
      </c>
      <c r="BA422" s="2" t="s">
        <v>74</v>
      </c>
      <c r="BB422" s="2" t="s">
        <v>74</v>
      </c>
      <c r="BC422" s="2" t="s">
        <v>74</v>
      </c>
      <c r="BD422" s="2" t="s">
        <v>74</v>
      </c>
      <c r="BE422" s="2" t="s">
        <v>5029</v>
      </c>
      <c r="BF422" s="2" t="str">
        <f>HYPERLINK("http://dx.doi.org/10.3758/s13420-024-00638-z","http://dx.doi.org/10.3758/s13420-024-00638-z")</f>
        <v>http://dx.doi.org/10.3758/s13420-024-00638-z</v>
      </c>
      <c r="BG422" s="2" t="s">
        <v>74</v>
      </c>
      <c r="BH422" s="2" t="s">
        <v>5030</v>
      </c>
      <c r="BI422" s="2" t="s">
        <v>74</v>
      </c>
      <c r="BJ422" s="2" t="s">
        <v>74</v>
      </c>
      <c r="BK422" s="2" t="s">
        <v>74</v>
      </c>
      <c r="BL422" s="2" t="s">
        <v>74</v>
      </c>
      <c r="BM422" s="2" t="s">
        <v>74</v>
      </c>
      <c r="BN422" s="2">
        <v>39150659</v>
      </c>
      <c r="BO422" s="2" t="s">
        <v>74</v>
      </c>
      <c r="BP422" s="2" t="s">
        <v>74</v>
      </c>
      <c r="BQ422" s="2" t="s">
        <v>74</v>
      </c>
      <c r="BR422" s="2" t="s">
        <v>74</v>
      </c>
      <c r="BS422" s="2" t="s">
        <v>5031</v>
      </c>
      <c r="BT422" s="2" t="str">
        <f>HYPERLINK("https%3A%2F%2Fwww.webofscience.com%2Fwos%2Fwoscc%2Ffull-record%2FWOS:001291940700001","View Full Record in Web of Science")</f>
        <v>View Full Record in Web of Science</v>
      </c>
    </row>
    <row r="423" spans="1:72" s="2" customFormat="1" x14ac:dyDescent="0.4">
      <c r="A423" s="2" t="s">
        <v>72</v>
      </c>
      <c r="B423" s="2" t="s">
        <v>7026</v>
      </c>
      <c r="C423" s="2" t="s">
        <v>74</v>
      </c>
      <c r="D423" s="2" t="s">
        <v>74</v>
      </c>
      <c r="E423" s="2" t="s">
        <v>74</v>
      </c>
      <c r="F423" s="2" t="s">
        <v>7027</v>
      </c>
      <c r="G423" s="2" t="s">
        <v>74</v>
      </c>
      <c r="H423" s="2" t="s">
        <v>74</v>
      </c>
      <c r="I423" s="2" t="s">
        <v>7028</v>
      </c>
      <c r="J423" s="2" t="s">
        <v>814</v>
      </c>
      <c r="K423" s="2" t="s">
        <v>74</v>
      </c>
      <c r="L423" s="2" t="s">
        <v>74</v>
      </c>
      <c r="M423" s="2" t="s">
        <v>74</v>
      </c>
      <c r="N423" s="2" t="s">
        <v>74</v>
      </c>
      <c r="O423" s="2" t="s">
        <v>74</v>
      </c>
      <c r="P423" s="2" t="s">
        <v>74</v>
      </c>
      <c r="Q423" s="2" t="s">
        <v>74</v>
      </c>
      <c r="R423" s="2" t="s">
        <v>74</v>
      </c>
      <c r="S423" s="2" t="s">
        <v>74</v>
      </c>
      <c r="T423" s="2" t="s">
        <v>74</v>
      </c>
      <c r="U423" s="2" t="s">
        <v>74</v>
      </c>
      <c r="V423" s="5" t="s">
        <v>7029</v>
      </c>
      <c r="W423" s="2" t="s">
        <v>74</v>
      </c>
      <c r="X423" s="2" t="s">
        <v>74</v>
      </c>
      <c r="Y423" s="2" t="s">
        <v>74</v>
      </c>
      <c r="Z423" s="2" t="s">
        <v>74</v>
      </c>
      <c r="AA423" s="2" t="s">
        <v>7030</v>
      </c>
      <c r="AB423" s="2" t="s">
        <v>7031</v>
      </c>
      <c r="AC423" s="2" t="s">
        <v>74</v>
      </c>
      <c r="AD423" s="2" t="s">
        <v>74</v>
      </c>
      <c r="AE423" s="2" t="s">
        <v>74</v>
      </c>
      <c r="AF423" s="2" t="s">
        <v>74</v>
      </c>
      <c r="AG423" s="2" t="s">
        <v>74</v>
      </c>
      <c r="AH423" s="2" t="s">
        <v>74</v>
      </c>
      <c r="AI423" s="2" t="s">
        <v>74</v>
      </c>
      <c r="AJ423" s="2" t="s">
        <v>74</v>
      </c>
      <c r="AK423" s="2" t="s">
        <v>74</v>
      </c>
      <c r="AL423" s="2" t="s">
        <v>74</v>
      </c>
      <c r="AM423" s="2" t="s">
        <v>74</v>
      </c>
      <c r="AN423" s="2" t="s">
        <v>74</v>
      </c>
      <c r="AO423" s="2" t="s">
        <v>818</v>
      </c>
      <c r="AP423" s="2" t="s">
        <v>1505</v>
      </c>
      <c r="AQ423" s="2" t="s">
        <v>74</v>
      </c>
      <c r="AR423" s="2" t="s">
        <v>74</v>
      </c>
      <c r="AS423" s="2" t="s">
        <v>74</v>
      </c>
      <c r="AT423" s="2" t="s">
        <v>102</v>
      </c>
      <c r="AU423" s="2">
        <v>2014</v>
      </c>
      <c r="AV423" s="2">
        <v>117</v>
      </c>
      <c r="AW423" s="2">
        <v>3</v>
      </c>
      <c r="AX423" s="2" t="s">
        <v>74</v>
      </c>
      <c r="AY423" s="2" t="s">
        <v>74</v>
      </c>
      <c r="AZ423" s="2" t="s">
        <v>74</v>
      </c>
      <c r="BA423" s="2" t="s">
        <v>74</v>
      </c>
      <c r="BB423" s="2">
        <v>179</v>
      </c>
      <c r="BC423" s="2">
        <v>184</v>
      </c>
      <c r="BD423" s="2" t="s">
        <v>74</v>
      </c>
      <c r="BE423" s="2" t="s">
        <v>7032</v>
      </c>
      <c r="BF423" s="2" t="str">
        <f>HYPERLINK("http://dx.doi.org/10.1016/j.zool.2013.09.005","http://dx.doi.org/10.1016/j.zool.2013.09.005")</f>
        <v>http://dx.doi.org/10.1016/j.zool.2013.09.005</v>
      </c>
      <c r="BG423" s="2" t="s">
        <v>74</v>
      </c>
      <c r="BH423" s="2" t="s">
        <v>74</v>
      </c>
      <c r="BI423" s="2" t="s">
        <v>74</v>
      </c>
      <c r="BJ423" s="2" t="s">
        <v>74</v>
      </c>
      <c r="BK423" s="2" t="s">
        <v>74</v>
      </c>
      <c r="BL423" s="2" t="s">
        <v>74</v>
      </c>
      <c r="BM423" s="2" t="s">
        <v>74</v>
      </c>
      <c r="BN423" s="2">
        <v>24783997</v>
      </c>
      <c r="BO423" s="2" t="s">
        <v>74</v>
      </c>
      <c r="BP423" s="2" t="s">
        <v>74</v>
      </c>
      <c r="BQ423" s="2" t="s">
        <v>74</v>
      </c>
      <c r="BR423" s="2" t="s">
        <v>74</v>
      </c>
      <c r="BS423" s="2" t="s">
        <v>7033</v>
      </c>
      <c r="BT423" s="2" t="str">
        <f>HYPERLINK("https%3A%2F%2Fwww.webofscience.com%2Fwos%2Fwoscc%2Ffull-record%2FWOS:000337884800004","View Full Record in Web of Science")</f>
        <v>View Full Record in Web of Science</v>
      </c>
    </row>
    <row r="424" spans="1:72" s="2" customFormat="1" x14ac:dyDescent="0.4">
      <c r="A424" s="2" t="s">
        <v>72</v>
      </c>
      <c r="B424" s="2" t="s">
        <v>912</v>
      </c>
      <c r="C424" s="2" t="s">
        <v>74</v>
      </c>
      <c r="D424" s="2" t="s">
        <v>74</v>
      </c>
      <c r="E424" s="2" t="s">
        <v>74</v>
      </c>
      <c r="F424" s="2" t="s">
        <v>913</v>
      </c>
      <c r="G424" s="2" t="s">
        <v>74</v>
      </c>
      <c r="H424" s="2" t="s">
        <v>74</v>
      </c>
      <c r="I424" s="2" t="s">
        <v>914</v>
      </c>
      <c r="J424" s="2" t="s">
        <v>140</v>
      </c>
      <c r="K424" s="2" t="s">
        <v>74</v>
      </c>
      <c r="L424" s="2" t="s">
        <v>74</v>
      </c>
      <c r="M424" s="2" t="s">
        <v>74</v>
      </c>
      <c r="N424" s="2" t="s">
        <v>74</v>
      </c>
      <c r="O424" s="2" t="s">
        <v>74</v>
      </c>
      <c r="P424" s="2" t="s">
        <v>74</v>
      </c>
      <c r="Q424" s="2" t="s">
        <v>74</v>
      </c>
      <c r="R424" s="2" t="s">
        <v>74</v>
      </c>
      <c r="S424" s="2" t="s">
        <v>74</v>
      </c>
      <c r="T424" s="2" t="s">
        <v>74</v>
      </c>
      <c r="U424" s="2" t="s">
        <v>74</v>
      </c>
      <c r="V424" s="5" t="s">
        <v>915</v>
      </c>
      <c r="W424" s="2" t="s">
        <v>74</v>
      </c>
      <c r="X424" s="2" t="s">
        <v>74</v>
      </c>
      <c r="Y424" s="2" t="s">
        <v>74</v>
      </c>
      <c r="Z424" s="2" t="s">
        <v>74</v>
      </c>
      <c r="AA424" s="2" t="s">
        <v>916</v>
      </c>
      <c r="AB424" s="2" t="s">
        <v>917</v>
      </c>
      <c r="AC424" s="2" t="s">
        <v>74</v>
      </c>
      <c r="AD424" s="2" t="s">
        <v>74</v>
      </c>
      <c r="AE424" s="2" t="s">
        <v>74</v>
      </c>
      <c r="AF424" s="2" t="s">
        <v>74</v>
      </c>
      <c r="AG424" s="2" t="s">
        <v>74</v>
      </c>
      <c r="AH424" s="2" t="s">
        <v>74</v>
      </c>
      <c r="AI424" s="2" t="s">
        <v>74</v>
      </c>
      <c r="AJ424" s="2" t="s">
        <v>74</v>
      </c>
      <c r="AK424" s="2" t="s">
        <v>74</v>
      </c>
      <c r="AL424" s="2" t="s">
        <v>74</v>
      </c>
      <c r="AM424" s="2" t="s">
        <v>74</v>
      </c>
      <c r="AN424" s="2" t="s">
        <v>74</v>
      </c>
      <c r="AO424" s="2" t="s">
        <v>143</v>
      </c>
      <c r="AP424" s="2" t="s">
        <v>144</v>
      </c>
      <c r="AQ424" s="2" t="s">
        <v>74</v>
      </c>
      <c r="AR424" s="2" t="s">
        <v>74</v>
      </c>
      <c r="AS424" s="2" t="s">
        <v>74</v>
      </c>
      <c r="AT424" s="2" t="s">
        <v>633</v>
      </c>
      <c r="AU424" s="2">
        <v>2015</v>
      </c>
      <c r="AV424" s="2">
        <v>102</v>
      </c>
      <c r="AW424" s="2" t="s">
        <v>74</v>
      </c>
      <c r="AX424" s="2" t="s">
        <v>74</v>
      </c>
      <c r="AY424" s="2" t="s">
        <v>74</v>
      </c>
      <c r="AZ424" s="2" t="s">
        <v>74</v>
      </c>
      <c r="BA424" s="2" t="s">
        <v>74</v>
      </c>
      <c r="BB424" s="2">
        <v>59</v>
      </c>
      <c r="BC424" s="2">
        <v>67</v>
      </c>
      <c r="BD424" s="2" t="s">
        <v>74</v>
      </c>
      <c r="BE424" s="2" t="s">
        <v>918</v>
      </c>
      <c r="BF424" s="2" t="str">
        <f>HYPERLINK("http://dx.doi.org/10.1016/j.anbehav.2015.01.004","http://dx.doi.org/10.1016/j.anbehav.2015.01.004")</f>
        <v>http://dx.doi.org/10.1016/j.anbehav.2015.01.004</v>
      </c>
      <c r="BG424" s="2" t="s">
        <v>74</v>
      </c>
      <c r="BH424" s="2" t="s">
        <v>74</v>
      </c>
      <c r="BI424" s="2" t="s">
        <v>74</v>
      </c>
      <c r="BJ424" s="2" t="s">
        <v>74</v>
      </c>
      <c r="BK424" s="2" t="s">
        <v>74</v>
      </c>
      <c r="BL424" s="2" t="s">
        <v>74</v>
      </c>
      <c r="BM424" s="2" t="s">
        <v>74</v>
      </c>
      <c r="BN424" s="2" t="s">
        <v>74</v>
      </c>
      <c r="BO424" s="2" t="s">
        <v>74</v>
      </c>
      <c r="BP424" s="2" t="s">
        <v>74</v>
      </c>
      <c r="BQ424" s="2" t="s">
        <v>74</v>
      </c>
      <c r="BR424" s="2" t="s">
        <v>74</v>
      </c>
      <c r="BS424" s="2" t="s">
        <v>919</v>
      </c>
      <c r="BT424" s="2" t="str">
        <f>HYPERLINK("https%3A%2F%2Fwww.webofscience.com%2Fwos%2Fwoscc%2Ffull-record%2FWOS:000351058700007","View Full Record in Web of Science")</f>
        <v>View Full Record in Web of Science</v>
      </c>
    </row>
    <row r="425" spans="1:72" s="2" customFormat="1" x14ac:dyDescent="0.4">
      <c r="A425" s="2" t="s">
        <v>72</v>
      </c>
      <c r="B425" s="2" t="s">
        <v>2853</v>
      </c>
      <c r="C425" s="2" t="s">
        <v>74</v>
      </c>
      <c r="D425" s="2" t="s">
        <v>74</v>
      </c>
      <c r="E425" s="2" t="s">
        <v>74</v>
      </c>
      <c r="F425" s="2" t="s">
        <v>2854</v>
      </c>
      <c r="G425" s="2" t="s">
        <v>74</v>
      </c>
      <c r="H425" s="2" t="s">
        <v>74</v>
      </c>
      <c r="I425" s="2" t="s">
        <v>2855</v>
      </c>
      <c r="J425" s="2" t="s">
        <v>2856</v>
      </c>
      <c r="K425" s="2" t="s">
        <v>74</v>
      </c>
      <c r="L425" s="2" t="s">
        <v>74</v>
      </c>
      <c r="M425" s="2" t="s">
        <v>74</v>
      </c>
      <c r="N425" s="2" t="s">
        <v>74</v>
      </c>
      <c r="O425" s="2" t="s">
        <v>2857</v>
      </c>
      <c r="P425" s="2" t="s">
        <v>2858</v>
      </c>
      <c r="Q425" s="2" t="s">
        <v>2859</v>
      </c>
      <c r="R425" s="2" t="s">
        <v>74</v>
      </c>
      <c r="S425" s="2" t="s">
        <v>74</v>
      </c>
      <c r="T425" s="2" t="s">
        <v>74</v>
      </c>
      <c r="U425" s="2" t="s">
        <v>74</v>
      </c>
      <c r="V425" s="5" t="s">
        <v>2860</v>
      </c>
      <c r="W425" s="2" t="s">
        <v>74</v>
      </c>
      <c r="X425" s="2" t="s">
        <v>74</v>
      </c>
      <c r="Y425" s="2" t="s">
        <v>74</v>
      </c>
      <c r="Z425" s="2" t="s">
        <v>74</v>
      </c>
      <c r="AA425" s="2" t="s">
        <v>74</v>
      </c>
      <c r="AB425" s="2" t="s">
        <v>74</v>
      </c>
      <c r="AC425" s="2" t="s">
        <v>74</v>
      </c>
      <c r="AD425" s="2" t="s">
        <v>74</v>
      </c>
      <c r="AE425" s="2" t="s">
        <v>74</v>
      </c>
      <c r="AF425" s="2" t="s">
        <v>74</v>
      </c>
      <c r="AG425" s="2" t="s">
        <v>74</v>
      </c>
      <c r="AH425" s="2" t="s">
        <v>74</v>
      </c>
      <c r="AI425" s="2" t="s">
        <v>74</v>
      </c>
      <c r="AJ425" s="2" t="s">
        <v>74</v>
      </c>
      <c r="AK425" s="2" t="s">
        <v>74</v>
      </c>
      <c r="AL425" s="2" t="s">
        <v>74</v>
      </c>
      <c r="AM425" s="2" t="s">
        <v>74</v>
      </c>
      <c r="AN425" s="2" t="s">
        <v>74</v>
      </c>
      <c r="AO425" s="2" t="s">
        <v>2861</v>
      </c>
      <c r="AP425" s="2" t="s">
        <v>2862</v>
      </c>
      <c r="AQ425" s="2" t="s">
        <v>74</v>
      </c>
      <c r="AR425" s="2" t="s">
        <v>74</v>
      </c>
      <c r="AS425" s="2" t="s">
        <v>74</v>
      </c>
      <c r="AT425" s="2" t="s">
        <v>123</v>
      </c>
      <c r="AU425" s="2">
        <v>2019</v>
      </c>
      <c r="AV425" s="2">
        <v>14</v>
      </c>
      <c r="AW425" s="2">
        <v>2</v>
      </c>
      <c r="AX425" s="2" t="s">
        <v>74</v>
      </c>
      <c r="AY425" s="2" t="s">
        <v>74</v>
      </c>
      <c r="AZ425" s="2" t="s">
        <v>848</v>
      </c>
      <c r="BA425" s="2" t="s">
        <v>74</v>
      </c>
      <c r="BB425" s="2">
        <v>214</v>
      </c>
      <c r="BC425" s="2">
        <v>222</v>
      </c>
      <c r="BD425" s="2" t="s">
        <v>74</v>
      </c>
      <c r="BE425" s="2" t="s">
        <v>2863</v>
      </c>
      <c r="BF425" s="2" t="str">
        <f>HYPERLINK("http://dx.doi.org/10.1111/1749-4877.12303","http://dx.doi.org/10.1111/1749-4877.12303")</f>
        <v>http://dx.doi.org/10.1111/1749-4877.12303</v>
      </c>
      <c r="BG425" s="2" t="s">
        <v>74</v>
      </c>
      <c r="BH425" s="2" t="s">
        <v>74</v>
      </c>
      <c r="BI425" s="2" t="s">
        <v>74</v>
      </c>
      <c r="BJ425" s="2" t="s">
        <v>74</v>
      </c>
      <c r="BK425" s="2" t="s">
        <v>74</v>
      </c>
      <c r="BL425" s="2" t="s">
        <v>74</v>
      </c>
      <c r="BM425" s="2" t="s">
        <v>74</v>
      </c>
      <c r="BN425" s="2">
        <v>29316228</v>
      </c>
      <c r="BO425" s="2" t="s">
        <v>74</v>
      </c>
      <c r="BP425" s="2" t="s">
        <v>74</v>
      </c>
      <c r="BQ425" s="2" t="s">
        <v>74</v>
      </c>
      <c r="BR425" s="2" t="s">
        <v>74</v>
      </c>
      <c r="BS425" s="2" t="s">
        <v>2864</v>
      </c>
      <c r="BT425" s="2" t="str">
        <f>HYPERLINK("https%3A%2F%2Fwww.webofscience.com%2Fwos%2Fwoscc%2Ffull-record%2FWOS:000462130200009","View Full Record in Web of Science")</f>
        <v>View Full Record in Web of Science</v>
      </c>
    </row>
    <row r="426" spans="1:72" s="2" customFormat="1" x14ac:dyDescent="0.4">
      <c r="A426" s="2" t="s">
        <v>72</v>
      </c>
      <c r="B426" s="2" t="s">
        <v>7280</v>
      </c>
      <c r="C426" s="2" t="s">
        <v>74</v>
      </c>
      <c r="D426" s="2" t="s">
        <v>74</v>
      </c>
      <c r="E426" s="2" t="s">
        <v>74</v>
      </c>
      <c r="F426" s="2" t="s">
        <v>7281</v>
      </c>
      <c r="G426" s="2" t="s">
        <v>74</v>
      </c>
      <c r="H426" s="2" t="s">
        <v>74</v>
      </c>
      <c r="I426" s="2" t="s">
        <v>7282</v>
      </c>
      <c r="J426" s="2" t="s">
        <v>77</v>
      </c>
      <c r="K426" s="2" t="s">
        <v>74</v>
      </c>
      <c r="L426" s="2" t="s">
        <v>74</v>
      </c>
      <c r="M426" s="2" t="s">
        <v>74</v>
      </c>
      <c r="N426" s="2" t="s">
        <v>74</v>
      </c>
      <c r="O426" s="2" t="s">
        <v>74</v>
      </c>
      <c r="P426" s="2" t="s">
        <v>74</v>
      </c>
      <c r="Q426" s="2" t="s">
        <v>74</v>
      </c>
      <c r="R426" s="2" t="s">
        <v>74</v>
      </c>
      <c r="S426" s="2" t="s">
        <v>74</v>
      </c>
      <c r="T426" s="2" t="s">
        <v>74</v>
      </c>
      <c r="U426" s="2" t="s">
        <v>74</v>
      </c>
      <c r="V426" s="5" t="s">
        <v>7283</v>
      </c>
      <c r="W426" s="2" t="s">
        <v>74</v>
      </c>
      <c r="X426" s="2" t="s">
        <v>74</v>
      </c>
      <c r="Y426" s="2" t="s">
        <v>74</v>
      </c>
      <c r="Z426" s="2" t="s">
        <v>74</v>
      </c>
      <c r="AA426" s="2" t="s">
        <v>7284</v>
      </c>
      <c r="AB426" s="2" t="s">
        <v>6078</v>
      </c>
      <c r="AC426" s="2" t="s">
        <v>74</v>
      </c>
      <c r="AD426" s="2" t="s">
        <v>74</v>
      </c>
      <c r="AE426" s="2" t="s">
        <v>74</v>
      </c>
      <c r="AF426" s="2" t="s">
        <v>74</v>
      </c>
      <c r="AG426" s="2" t="s">
        <v>74</v>
      </c>
      <c r="AH426" s="2" t="s">
        <v>74</v>
      </c>
      <c r="AI426" s="2" t="s">
        <v>74</v>
      </c>
      <c r="AJ426" s="2" t="s">
        <v>74</v>
      </c>
      <c r="AK426" s="2" t="s">
        <v>74</v>
      </c>
      <c r="AL426" s="2" t="s">
        <v>74</v>
      </c>
      <c r="AM426" s="2" t="s">
        <v>74</v>
      </c>
      <c r="AN426" s="2" t="s">
        <v>74</v>
      </c>
      <c r="AO426" s="2" t="s">
        <v>81</v>
      </c>
      <c r="AP426" s="2" t="s">
        <v>82</v>
      </c>
      <c r="AQ426" s="2" t="s">
        <v>74</v>
      </c>
      <c r="AR426" s="2" t="s">
        <v>74</v>
      </c>
      <c r="AS426" s="2" t="s">
        <v>74</v>
      </c>
      <c r="AT426" s="2" t="s">
        <v>74</v>
      </c>
      <c r="AU426" s="2">
        <v>2015</v>
      </c>
      <c r="AV426" s="2">
        <v>152</v>
      </c>
      <c r="AW426" s="2" t="s">
        <v>6362</v>
      </c>
      <c r="AX426" s="2" t="s">
        <v>74</v>
      </c>
      <c r="AY426" s="2" t="s">
        <v>74</v>
      </c>
      <c r="AZ426" s="2" t="s">
        <v>74</v>
      </c>
      <c r="BA426" s="2" t="s">
        <v>74</v>
      </c>
      <c r="BB426" s="2">
        <v>1769</v>
      </c>
      <c r="BC426" s="2">
        <v>1781</v>
      </c>
      <c r="BD426" s="2" t="s">
        <v>74</v>
      </c>
      <c r="BE426" s="2" t="s">
        <v>7285</v>
      </c>
      <c r="BF426" s="2" t="str">
        <f>HYPERLINK("http://dx.doi.org/10.1163/1568539X-00003303","http://dx.doi.org/10.1163/1568539X-00003303")</f>
        <v>http://dx.doi.org/10.1163/1568539X-00003303</v>
      </c>
      <c r="BG426" s="2" t="s">
        <v>74</v>
      </c>
      <c r="BH426" s="2" t="s">
        <v>74</v>
      </c>
      <c r="BI426" s="2" t="s">
        <v>74</v>
      </c>
      <c r="BJ426" s="2" t="s">
        <v>74</v>
      </c>
      <c r="BK426" s="2" t="s">
        <v>74</v>
      </c>
      <c r="BL426" s="2" t="s">
        <v>74</v>
      </c>
      <c r="BM426" s="2" t="s">
        <v>74</v>
      </c>
      <c r="BN426" s="2" t="s">
        <v>74</v>
      </c>
      <c r="BO426" s="2" t="s">
        <v>74</v>
      </c>
      <c r="BP426" s="2" t="s">
        <v>74</v>
      </c>
      <c r="BQ426" s="2" t="s">
        <v>74</v>
      </c>
      <c r="BR426" s="2" t="s">
        <v>74</v>
      </c>
      <c r="BS426" s="2" t="s">
        <v>7286</v>
      </c>
      <c r="BT426" s="2" t="str">
        <f>HYPERLINK("https%3A%2F%2Fwww.webofscience.com%2Fwos%2Fwoscc%2Ffull-record%2FWOS:000362911000009","View Full Record in Web of Science")</f>
        <v>View Full Record in Web of Science</v>
      </c>
    </row>
    <row r="427" spans="1:72" s="2" customFormat="1" x14ac:dyDescent="0.4">
      <c r="A427" s="2" t="s">
        <v>72</v>
      </c>
      <c r="B427" s="2" t="s">
        <v>3511</v>
      </c>
      <c r="C427" s="2" t="s">
        <v>74</v>
      </c>
      <c r="D427" s="2" t="s">
        <v>74</v>
      </c>
      <c r="E427" s="2" t="s">
        <v>74</v>
      </c>
      <c r="F427" s="2" t="s">
        <v>3511</v>
      </c>
      <c r="G427" s="2" t="s">
        <v>74</v>
      </c>
      <c r="H427" s="2" t="s">
        <v>74</v>
      </c>
      <c r="I427" s="2" t="s">
        <v>3512</v>
      </c>
      <c r="J427" s="2" t="s">
        <v>344</v>
      </c>
      <c r="K427" s="2" t="s">
        <v>74</v>
      </c>
      <c r="L427" s="2" t="s">
        <v>74</v>
      </c>
      <c r="M427" s="2" t="s">
        <v>74</v>
      </c>
      <c r="N427" s="2" t="s">
        <v>74</v>
      </c>
      <c r="O427" s="2" t="s">
        <v>74</v>
      </c>
      <c r="P427" s="2" t="s">
        <v>74</v>
      </c>
      <c r="Q427" s="2" t="s">
        <v>74</v>
      </c>
      <c r="R427" s="2" t="s">
        <v>74</v>
      </c>
      <c r="S427" s="2" t="s">
        <v>74</v>
      </c>
      <c r="T427" s="2" t="s">
        <v>74</v>
      </c>
      <c r="U427" s="2" t="s">
        <v>74</v>
      </c>
      <c r="V427" s="5" t="s">
        <v>3513</v>
      </c>
      <c r="W427" s="2" t="s">
        <v>74</v>
      </c>
      <c r="X427" s="2" t="s">
        <v>74</v>
      </c>
      <c r="Y427" s="2" t="s">
        <v>74</v>
      </c>
      <c r="Z427" s="2" t="s">
        <v>74</v>
      </c>
      <c r="AA427" s="2" t="s">
        <v>74</v>
      </c>
      <c r="AB427" s="2" t="s">
        <v>3514</v>
      </c>
      <c r="AC427" s="2" t="s">
        <v>74</v>
      </c>
      <c r="AD427" s="2" t="s">
        <v>74</v>
      </c>
      <c r="AE427" s="2" t="s">
        <v>74</v>
      </c>
      <c r="AF427" s="2" t="s">
        <v>74</v>
      </c>
      <c r="AG427" s="2" t="s">
        <v>74</v>
      </c>
      <c r="AH427" s="2" t="s">
        <v>74</v>
      </c>
      <c r="AI427" s="2" t="s">
        <v>74</v>
      </c>
      <c r="AJ427" s="2" t="s">
        <v>74</v>
      </c>
      <c r="AK427" s="2" t="s">
        <v>74</v>
      </c>
      <c r="AL427" s="2" t="s">
        <v>74</v>
      </c>
      <c r="AM427" s="2" t="s">
        <v>74</v>
      </c>
      <c r="AN427" s="2" t="s">
        <v>74</v>
      </c>
      <c r="AO427" s="2" t="s">
        <v>346</v>
      </c>
      <c r="AP427" s="2" t="s">
        <v>74</v>
      </c>
      <c r="AQ427" s="2" t="s">
        <v>74</v>
      </c>
      <c r="AR427" s="2" t="s">
        <v>74</v>
      </c>
      <c r="AS427" s="2" t="s">
        <v>74</v>
      </c>
      <c r="AT427" s="2" t="s">
        <v>145</v>
      </c>
      <c r="AU427" s="2">
        <v>2001</v>
      </c>
      <c r="AV427" s="2">
        <v>61</v>
      </c>
      <c r="AW427" s="2">
        <v>4</v>
      </c>
      <c r="AX427" s="2" t="s">
        <v>74</v>
      </c>
      <c r="AY427" s="2" t="s">
        <v>74</v>
      </c>
      <c r="AZ427" s="2" t="s">
        <v>74</v>
      </c>
      <c r="BA427" s="2" t="s">
        <v>74</v>
      </c>
      <c r="BB427" s="2">
        <v>419</v>
      </c>
      <c r="BC427" s="2">
        <v>426</v>
      </c>
      <c r="BD427" s="2" t="s">
        <v>74</v>
      </c>
      <c r="BE427" s="2" t="s">
        <v>3515</v>
      </c>
      <c r="BF427" s="2" t="str">
        <f>HYPERLINK("http://dx.doi.org/10.1023/A:1011658503017","http://dx.doi.org/10.1023/A:1011658503017")</f>
        <v>http://dx.doi.org/10.1023/A:1011658503017</v>
      </c>
      <c r="BG427" s="2" t="s">
        <v>74</v>
      </c>
      <c r="BH427" s="2" t="s">
        <v>74</v>
      </c>
      <c r="BI427" s="2" t="s">
        <v>74</v>
      </c>
      <c r="BJ427" s="2" t="s">
        <v>74</v>
      </c>
      <c r="BK427" s="2" t="s">
        <v>74</v>
      </c>
      <c r="BL427" s="2" t="s">
        <v>74</v>
      </c>
      <c r="BM427" s="2" t="s">
        <v>74</v>
      </c>
      <c r="BN427" s="2" t="s">
        <v>74</v>
      </c>
      <c r="BO427" s="2" t="s">
        <v>74</v>
      </c>
      <c r="BP427" s="2" t="s">
        <v>74</v>
      </c>
      <c r="BQ427" s="2" t="s">
        <v>74</v>
      </c>
      <c r="BR427" s="2" t="s">
        <v>74</v>
      </c>
      <c r="BS427" s="2" t="s">
        <v>3516</v>
      </c>
      <c r="BT427" s="2" t="str">
        <f>HYPERLINK("https%3A%2F%2Fwww.webofscience.com%2Fwos%2Fwoscc%2Ffull-record%2FWOS:000170725900008","View Full Record in Web of Science")</f>
        <v>View Full Record in Web of Science</v>
      </c>
    </row>
    <row r="428" spans="1:72" s="2" customFormat="1" x14ac:dyDescent="0.4">
      <c r="A428" s="2" t="s">
        <v>72</v>
      </c>
      <c r="B428" s="2" t="s">
        <v>2375</v>
      </c>
      <c r="C428" s="2" t="s">
        <v>74</v>
      </c>
      <c r="D428" s="2" t="s">
        <v>74</v>
      </c>
      <c r="E428" s="2" t="s">
        <v>74</v>
      </c>
      <c r="F428" s="2" t="s">
        <v>2376</v>
      </c>
      <c r="G428" s="2" t="s">
        <v>74</v>
      </c>
      <c r="H428" s="2" t="s">
        <v>74</v>
      </c>
      <c r="I428" s="2" t="s">
        <v>2377</v>
      </c>
      <c r="J428" s="2" t="s">
        <v>775</v>
      </c>
      <c r="K428" s="2" t="s">
        <v>74</v>
      </c>
      <c r="L428" s="2" t="s">
        <v>74</v>
      </c>
      <c r="M428" s="2" t="s">
        <v>74</v>
      </c>
      <c r="N428" s="2" t="s">
        <v>74</v>
      </c>
      <c r="O428" s="2" t="s">
        <v>74</v>
      </c>
      <c r="P428" s="2" t="s">
        <v>74</v>
      </c>
      <c r="Q428" s="2" t="s">
        <v>74</v>
      </c>
      <c r="R428" s="2" t="s">
        <v>74</v>
      </c>
      <c r="S428" s="2" t="s">
        <v>74</v>
      </c>
      <c r="T428" s="2" t="s">
        <v>74</v>
      </c>
      <c r="U428" s="2" t="s">
        <v>74</v>
      </c>
      <c r="V428" s="5" t="s">
        <v>2378</v>
      </c>
      <c r="W428" s="2" t="s">
        <v>74</v>
      </c>
      <c r="X428" s="2" t="s">
        <v>74</v>
      </c>
      <c r="Y428" s="2" t="s">
        <v>74</v>
      </c>
      <c r="Z428" s="2" t="s">
        <v>74</v>
      </c>
      <c r="AA428" s="2" t="s">
        <v>74</v>
      </c>
      <c r="AB428" s="2" t="s">
        <v>74</v>
      </c>
      <c r="AC428" s="2" t="s">
        <v>74</v>
      </c>
      <c r="AD428" s="2" t="s">
        <v>74</v>
      </c>
      <c r="AE428" s="2" t="s">
        <v>74</v>
      </c>
      <c r="AF428" s="2" t="s">
        <v>74</v>
      </c>
      <c r="AG428" s="2" t="s">
        <v>74</v>
      </c>
      <c r="AH428" s="2" t="s">
        <v>74</v>
      </c>
      <c r="AI428" s="2" t="s">
        <v>74</v>
      </c>
      <c r="AJ428" s="2" t="s">
        <v>74</v>
      </c>
      <c r="AK428" s="2" t="s">
        <v>74</v>
      </c>
      <c r="AL428" s="2" t="s">
        <v>74</v>
      </c>
      <c r="AM428" s="2" t="s">
        <v>74</v>
      </c>
      <c r="AN428" s="2" t="s">
        <v>74</v>
      </c>
      <c r="AO428" s="2" t="s">
        <v>778</v>
      </c>
      <c r="AP428" s="2" t="s">
        <v>779</v>
      </c>
      <c r="AQ428" s="2" t="s">
        <v>74</v>
      </c>
      <c r="AR428" s="2" t="s">
        <v>74</v>
      </c>
      <c r="AS428" s="2" t="s">
        <v>74</v>
      </c>
      <c r="AT428" s="2" t="s">
        <v>102</v>
      </c>
      <c r="AU428" s="2">
        <v>2019</v>
      </c>
      <c r="AV428" s="2">
        <v>65</v>
      </c>
      <c r="AW428" s="2">
        <v>3</v>
      </c>
      <c r="AX428" s="2" t="s">
        <v>74</v>
      </c>
      <c r="AY428" s="2" t="s">
        <v>74</v>
      </c>
      <c r="AZ428" s="2" t="s">
        <v>74</v>
      </c>
      <c r="BA428" s="2" t="s">
        <v>74</v>
      </c>
      <c r="BB428" s="2">
        <v>323</v>
      </c>
      <c r="BC428" s="2">
        <v>332</v>
      </c>
      <c r="BD428" s="2" t="s">
        <v>74</v>
      </c>
      <c r="BE428" s="2" t="s">
        <v>2379</v>
      </c>
      <c r="BF428" s="2" t="str">
        <f>HYPERLINK("http://dx.doi.org/10.1093/cz/zoz029","http://dx.doi.org/10.1093/cz/zoz029")</f>
        <v>http://dx.doi.org/10.1093/cz/zoz029</v>
      </c>
      <c r="BG428" s="2" t="s">
        <v>74</v>
      </c>
      <c r="BH428" s="2" t="s">
        <v>74</v>
      </c>
      <c r="BI428" s="2" t="s">
        <v>74</v>
      </c>
      <c r="BJ428" s="2" t="s">
        <v>74</v>
      </c>
      <c r="BK428" s="2" t="s">
        <v>74</v>
      </c>
      <c r="BL428" s="2" t="s">
        <v>74</v>
      </c>
      <c r="BM428" s="2" t="s">
        <v>74</v>
      </c>
      <c r="BN428" s="2">
        <v>31263491</v>
      </c>
      <c r="BO428" s="2" t="s">
        <v>74</v>
      </c>
      <c r="BP428" s="2" t="s">
        <v>74</v>
      </c>
      <c r="BQ428" s="2" t="s">
        <v>74</v>
      </c>
      <c r="BR428" s="2" t="s">
        <v>74</v>
      </c>
      <c r="BS428" s="2" t="s">
        <v>2380</v>
      </c>
      <c r="BT428" s="2" t="str">
        <f>HYPERLINK("https%3A%2F%2Fwww.webofscience.com%2Fwos%2Fwoscc%2Ffull-record%2FWOS:000475905500012","View Full Record in Web of Science")</f>
        <v>View Full Record in Web of Science</v>
      </c>
    </row>
    <row r="429" spans="1:72" s="2" customFormat="1" x14ac:dyDescent="0.4">
      <c r="A429" s="2" t="s">
        <v>72</v>
      </c>
      <c r="B429" s="2" t="s">
        <v>7445</v>
      </c>
      <c r="C429" s="2" t="s">
        <v>74</v>
      </c>
      <c r="D429" s="2" t="s">
        <v>74</v>
      </c>
      <c r="E429" s="2" t="s">
        <v>74</v>
      </c>
      <c r="F429" s="2" t="s">
        <v>7446</v>
      </c>
      <c r="G429" s="2" t="s">
        <v>74</v>
      </c>
      <c r="H429" s="2" t="s">
        <v>74</v>
      </c>
      <c r="I429" s="2" t="s">
        <v>7447</v>
      </c>
      <c r="J429" s="2" t="s">
        <v>6226</v>
      </c>
      <c r="K429" s="2" t="s">
        <v>74</v>
      </c>
      <c r="L429" s="2" t="s">
        <v>74</v>
      </c>
      <c r="M429" s="2" t="s">
        <v>74</v>
      </c>
      <c r="N429" s="2" t="s">
        <v>74</v>
      </c>
      <c r="O429" s="2" t="s">
        <v>74</v>
      </c>
      <c r="P429" s="2" t="s">
        <v>74</v>
      </c>
      <c r="Q429" s="2" t="s">
        <v>74</v>
      </c>
      <c r="R429" s="2" t="s">
        <v>74</v>
      </c>
      <c r="S429" s="2" t="s">
        <v>74</v>
      </c>
      <c r="T429" s="2" t="s">
        <v>74</v>
      </c>
      <c r="U429" s="2" t="s">
        <v>74</v>
      </c>
      <c r="V429" s="5" t="s">
        <v>7448</v>
      </c>
      <c r="W429" s="2" t="s">
        <v>74</v>
      </c>
      <c r="X429" s="2" t="s">
        <v>74</v>
      </c>
      <c r="Y429" s="2" t="s">
        <v>74</v>
      </c>
      <c r="Z429" s="2" t="s">
        <v>74</v>
      </c>
      <c r="AA429" s="2" t="s">
        <v>74</v>
      </c>
      <c r="AB429" s="2" t="s">
        <v>74</v>
      </c>
      <c r="AC429" s="2" t="s">
        <v>74</v>
      </c>
      <c r="AD429" s="2" t="s">
        <v>74</v>
      </c>
      <c r="AE429" s="2" t="s">
        <v>74</v>
      </c>
      <c r="AF429" s="2" t="s">
        <v>74</v>
      </c>
      <c r="AG429" s="2" t="s">
        <v>74</v>
      </c>
      <c r="AH429" s="2" t="s">
        <v>74</v>
      </c>
      <c r="AI429" s="2" t="s">
        <v>74</v>
      </c>
      <c r="AJ429" s="2" t="s">
        <v>74</v>
      </c>
      <c r="AK429" s="2" t="s">
        <v>74</v>
      </c>
      <c r="AL429" s="2" t="s">
        <v>74</v>
      </c>
      <c r="AM429" s="2" t="s">
        <v>74</v>
      </c>
      <c r="AN429" s="2" t="s">
        <v>74</v>
      </c>
      <c r="AO429" s="2" t="s">
        <v>6228</v>
      </c>
      <c r="AP429" s="2" t="s">
        <v>6229</v>
      </c>
      <c r="AQ429" s="2" t="s">
        <v>74</v>
      </c>
      <c r="AR429" s="2" t="s">
        <v>74</v>
      </c>
      <c r="AS429" s="2" t="s">
        <v>74</v>
      </c>
      <c r="AT429" s="2" t="s">
        <v>2177</v>
      </c>
      <c r="AU429" s="2">
        <v>2022</v>
      </c>
      <c r="AV429" s="2">
        <v>61</v>
      </c>
      <c r="AW429" s="2" t="s">
        <v>74</v>
      </c>
      <c r="AX429" s="2" t="s">
        <v>74</v>
      </c>
      <c r="AY429" s="2" t="s">
        <v>74</v>
      </c>
      <c r="AZ429" s="2" t="s">
        <v>74</v>
      </c>
      <c r="BA429" s="2" t="s">
        <v>74</v>
      </c>
      <c r="BB429" s="2" t="s">
        <v>74</v>
      </c>
      <c r="BC429" s="2" t="s">
        <v>74</v>
      </c>
      <c r="BD429" s="2">
        <v>76</v>
      </c>
      <c r="BE429" s="2" t="s">
        <v>7449</v>
      </c>
      <c r="BF429" s="2" t="str">
        <f>HYPERLINK("http://dx.doi.org/10.6620/ZS.2022.61-76","http://dx.doi.org/10.6620/ZS.2022.61-76")</f>
        <v>http://dx.doi.org/10.6620/ZS.2022.61-76</v>
      </c>
      <c r="BG429" s="2" t="s">
        <v>74</v>
      </c>
      <c r="BH429" s="2" t="s">
        <v>74</v>
      </c>
      <c r="BI429" s="2" t="s">
        <v>74</v>
      </c>
      <c r="BJ429" s="2" t="s">
        <v>74</v>
      </c>
      <c r="BK429" s="2" t="s">
        <v>74</v>
      </c>
      <c r="BL429" s="2" t="s">
        <v>74</v>
      </c>
      <c r="BM429" s="2" t="s">
        <v>74</v>
      </c>
      <c r="BN429" s="2">
        <v>37007821</v>
      </c>
      <c r="BO429" s="2" t="s">
        <v>74</v>
      </c>
      <c r="BP429" s="2" t="s">
        <v>74</v>
      </c>
      <c r="BQ429" s="2" t="s">
        <v>74</v>
      </c>
      <c r="BR429" s="2" t="s">
        <v>74</v>
      </c>
      <c r="BS429" s="2" t="s">
        <v>7450</v>
      </c>
      <c r="BT429" s="2" t="str">
        <f>HYPERLINK("https%3A%2F%2Fwww.webofscience.com%2Fwos%2Fwoscc%2Ffull-record%2FWOS:001026426500001","View Full Record in Web of Science")</f>
        <v>View Full Record in Web of Science</v>
      </c>
    </row>
    <row r="430" spans="1:72" s="2" customFormat="1" x14ac:dyDescent="0.4">
      <c r="A430" s="2" t="s">
        <v>72</v>
      </c>
      <c r="B430" s="2" t="s">
        <v>8149</v>
      </c>
      <c r="C430" s="2" t="s">
        <v>74</v>
      </c>
      <c r="D430" s="2" t="s">
        <v>74</v>
      </c>
      <c r="E430" s="2" t="s">
        <v>74</v>
      </c>
      <c r="F430" s="2" t="s">
        <v>8149</v>
      </c>
      <c r="G430" s="2" t="s">
        <v>74</v>
      </c>
      <c r="H430" s="2" t="s">
        <v>74</v>
      </c>
      <c r="I430" s="2" t="s">
        <v>8150</v>
      </c>
      <c r="J430" s="2" t="s">
        <v>129</v>
      </c>
      <c r="K430" s="2" t="s">
        <v>74</v>
      </c>
      <c r="L430" s="2" t="s">
        <v>74</v>
      </c>
      <c r="M430" s="2" t="s">
        <v>74</v>
      </c>
      <c r="N430" s="2" t="s">
        <v>74</v>
      </c>
      <c r="O430" s="2" t="s">
        <v>74</v>
      </c>
      <c r="P430" s="2" t="s">
        <v>74</v>
      </c>
      <c r="Q430" s="2" t="s">
        <v>74</v>
      </c>
      <c r="R430" s="2" t="s">
        <v>74</v>
      </c>
      <c r="S430" s="2" t="s">
        <v>74</v>
      </c>
      <c r="T430" s="2" t="s">
        <v>74</v>
      </c>
      <c r="U430" s="2" t="s">
        <v>74</v>
      </c>
      <c r="V430" s="5" t="s">
        <v>8151</v>
      </c>
      <c r="W430" s="2" t="s">
        <v>74</v>
      </c>
      <c r="X430" s="2" t="s">
        <v>74</v>
      </c>
      <c r="Y430" s="2" t="s">
        <v>74</v>
      </c>
      <c r="Z430" s="2" t="s">
        <v>74</v>
      </c>
      <c r="AA430" s="2" t="s">
        <v>8152</v>
      </c>
      <c r="AB430" s="2" t="s">
        <v>8153</v>
      </c>
      <c r="AC430" s="2" t="s">
        <v>74</v>
      </c>
      <c r="AD430" s="2" t="s">
        <v>74</v>
      </c>
      <c r="AE430" s="2" t="s">
        <v>74</v>
      </c>
      <c r="AF430" s="2" t="s">
        <v>74</v>
      </c>
      <c r="AG430" s="2" t="s">
        <v>74</v>
      </c>
      <c r="AH430" s="2" t="s">
        <v>74</v>
      </c>
      <c r="AI430" s="2" t="s">
        <v>74</v>
      </c>
      <c r="AJ430" s="2" t="s">
        <v>74</v>
      </c>
      <c r="AK430" s="2" t="s">
        <v>74</v>
      </c>
      <c r="AL430" s="2" t="s">
        <v>74</v>
      </c>
      <c r="AM430" s="2" t="s">
        <v>74</v>
      </c>
      <c r="AN430" s="2" t="s">
        <v>74</v>
      </c>
      <c r="AO430" s="2" t="s">
        <v>132</v>
      </c>
      <c r="AP430" s="2" t="s">
        <v>74</v>
      </c>
      <c r="AQ430" s="2" t="s">
        <v>74</v>
      </c>
      <c r="AR430" s="2" t="s">
        <v>74</v>
      </c>
      <c r="AS430" s="2" t="s">
        <v>74</v>
      </c>
      <c r="AT430" s="2" t="s">
        <v>175</v>
      </c>
      <c r="AU430" s="2">
        <v>1999</v>
      </c>
      <c r="AV430" s="2">
        <v>46</v>
      </c>
      <c r="AW430" s="2">
        <v>5</v>
      </c>
      <c r="AX430" s="2" t="s">
        <v>74</v>
      </c>
      <c r="AY430" s="2" t="s">
        <v>74</v>
      </c>
      <c r="AZ430" s="2" t="s">
        <v>74</v>
      </c>
      <c r="BA430" s="2" t="s">
        <v>74</v>
      </c>
      <c r="BB430" s="2">
        <v>333</v>
      </c>
      <c r="BC430" s="2">
        <v>340</v>
      </c>
      <c r="BD430" s="2" t="s">
        <v>74</v>
      </c>
      <c r="BE430" s="2" t="s">
        <v>8154</v>
      </c>
      <c r="BF430" s="2" t="str">
        <f>HYPERLINK("http://dx.doi.org/10.1007/s002650050627","http://dx.doi.org/10.1007/s002650050627")</f>
        <v>http://dx.doi.org/10.1007/s002650050627</v>
      </c>
      <c r="BG430" s="2" t="s">
        <v>74</v>
      </c>
      <c r="BH430" s="2" t="s">
        <v>74</v>
      </c>
      <c r="BI430" s="2" t="s">
        <v>74</v>
      </c>
      <c r="BJ430" s="2" t="s">
        <v>74</v>
      </c>
      <c r="BK430" s="2" t="s">
        <v>74</v>
      </c>
      <c r="BL430" s="2" t="s">
        <v>74</v>
      </c>
      <c r="BM430" s="2" t="s">
        <v>74</v>
      </c>
      <c r="BN430" s="2" t="s">
        <v>74</v>
      </c>
      <c r="BO430" s="2" t="s">
        <v>74</v>
      </c>
      <c r="BP430" s="2" t="s">
        <v>74</v>
      </c>
      <c r="BQ430" s="2" t="s">
        <v>74</v>
      </c>
      <c r="BR430" s="2" t="s">
        <v>74</v>
      </c>
      <c r="BS430" s="2" t="s">
        <v>8155</v>
      </c>
      <c r="BT430" s="2" t="str">
        <f>HYPERLINK("https%3A%2F%2Fwww.webofscience.com%2Fwos%2Fwoscc%2Ffull-record%2FWOS:000083089800006","View Full Record in Web of Science")</f>
        <v>View Full Record in Web of Science</v>
      </c>
    </row>
    <row r="431" spans="1:72" s="2" customFormat="1" x14ac:dyDescent="0.4">
      <c r="A431" s="2" t="s">
        <v>72</v>
      </c>
      <c r="B431" s="2" t="s">
        <v>1060</v>
      </c>
      <c r="C431" s="2" t="s">
        <v>74</v>
      </c>
      <c r="D431" s="2" t="s">
        <v>74</v>
      </c>
      <c r="E431" s="2" t="s">
        <v>74</v>
      </c>
      <c r="F431" s="2" t="s">
        <v>1061</v>
      </c>
      <c r="G431" s="2" t="s">
        <v>74</v>
      </c>
      <c r="H431" s="2" t="s">
        <v>74</v>
      </c>
      <c r="I431" s="2" t="s">
        <v>1062</v>
      </c>
      <c r="J431" s="2" t="s">
        <v>654</v>
      </c>
      <c r="K431" s="2" t="s">
        <v>74</v>
      </c>
      <c r="L431" s="2" t="s">
        <v>74</v>
      </c>
      <c r="M431" s="2" t="s">
        <v>74</v>
      </c>
      <c r="N431" s="2" t="s">
        <v>74</v>
      </c>
      <c r="O431" s="2" t="s">
        <v>74</v>
      </c>
      <c r="P431" s="2" t="s">
        <v>74</v>
      </c>
      <c r="Q431" s="2" t="s">
        <v>74</v>
      </c>
      <c r="R431" s="2" t="s">
        <v>74</v>
      </c>
      <c r="S431" s="2" t="s">
        <v>74</v>
      </c>
      <c r="T431" s="2" t="s">
        <v>74</v>
      </c>
      <c r="U431" s="2" t="s">
        <v>74</v>
      </c>
      <c r="V431" s="5" t="s">
        <v>1063</v>
      </c>
      <c r="W431" s="2" t="s">
        <v>74</v>
      </c>
      <c r="X431" s="2" t="s">
        <v>74</v>
      </c>
      <c r="Y431" s="2" t="s">
        <v>74</v>
      </c>
      <c r="Z431" s="2" t="s">
        <v>74</v>
      </c>
      <c r="AA431" s="2" t="s">
        <v>1064</v>
      </c>
      <c r="AB431" s="2" t="s">
        <v>1065</v>
      </c>
      <c r="AC431" s="2" t="s">
        <v>74</v>
      </c>
      <c r="AD431" s="2" t="s">
        <v>74</v>
      </c>
      <c r="AE431" s="2" t="s">
        <v>74</v>
      </c>
      <c r="AF431" s="2" t="s">
        <v>74</v>
      </c>
      <c r="AG431" s="2" t="s">
        <v>74</v>
      </c>
      <c r="AH431" s="2" t="s">
        <v>74</v>
      </c>
      <c r="AI431" s="2" t="s">
        <v>74</v>
      </c>
      <c r="AJ431" s="2" t="s">
        <v>74</v>
      </c>
      <c r="AK431" s="2" t="s">
        <v>74</v>
      </c>
      <c r="AL431" s="2" t="s">
        <v>74</v>
      </c>
      <c r="AM431" s="2" t="s">
        <v>74</v>
      </c>
      <c r="AN431" s="2" t="s">
        <v>74</v>
      </c>
      <c r="AO431" s="2" t="s">
        <v>658</v>
      </c>
      <c r="AP431" s="2" t="s">
        <v>74</v>
      </c>
      <c r="AQ431" s="2" t="s">
        <v>74</v>
      </c>
      <c r="AR431" s="2" t="s">
        <v>74</v>
      </c>
      <c r="AS431" s="2" t="s">
        <v>74</v>
      </c>
      <c r="AT431" s="2" t="s">
        <v>352</v>
      </c>
      <c r="AU431" s="2">
        <v>2020</v>
      </c>
      <c r="AV431" s="2">
        <v>10</v>
      </c>
      <c r="AW431" s="2">
        <v>18</v>
      </c>
      <c r="AX431" s="2" t="s">
        <v>74</v>
      </c>
      <c r="AY431" s="2" t="s">
        <v>74</v>
      </c>
      <c r="AZ431" s="2" t="s">
        <v>74</v>
      </c>
      <c r="BA431" s="2" t="s">
        <v>74</v>
      </c>
      <c r="BB431" s="2">
        <v>9663</v>
      </c>
      <c r="BC431" s="2">
        <v>9681</v>
      </c>
      <c r="BD431" s="2" t="s">
        <v>74</v>
      </c>
      <c r="BE431" s="2" t="s">
        <v>1066</v>
      </c>
      <c r="BF431" s="2" t="str">
        <f>HYPERLINK("http://dx.doi.org/10.1002/ece3.6566","http://dx.doi.org/10.1002/ece3.6566")</f>
        <v>http://dx.doi.org/10.1002/ece3.6566</v>
      </c>
      <c r="BG431" s="2" t="s">
        <v>74</v>
      </c>
      <c r="BH431" s="2" t="s">
        <v>1067</v>
      </c>
      <c r="BI431" s="2" t="s">
        <v>74</v>
      </c>
      <c r="BJ431" s="2" t="s">
        <v>74</v>
      </c>
      <c r="BK431" s="2" t="s">
        <v>74</v>
      </c>
      <c r="BL431" s="2" t="s">
        <v>74</v>
      </c>
      <c r="BM431" s="2" t="s">
        <v>74</v>
      </c>
      <c r="BN431" s="2">
        <v>33005338</v>
      </c>
      <c r="BO431" s="2" t="s">
        <v>74</v>
      </c>
      <c r="BP431" s="2" t="s">
        <v>74</v>
      </c>
      <c r="BQ431" s="2" t="s">
        <v>74</v>
      </c>
      <c r="BR431" s="2" t="s">
        <v>74</v>
      </c>
      <c r="BS431" s="2" t="s">
        <v>1068</v>
      </c>
      <c r="BT431" s="2" t="str">
        <f>HYPERLINK("https%3A%2F%2Fwww.webofscience.com%2Fwos%2Fwoscc%2Ffull-record%2FWOS:000565433500001","View Full Record in Web of Science")</f>
        <v>View Full Record in Web of Science</v>
      </c>
    </row>
    <row r="432" spans="1:72" s="2" customFormat="1" x14ac:dyDescent="0.4">
      <c r="A432" s="2" t="s">
        <v>72</v>
      </c>
      <c r="B432" s="2" t="s">
        <v>2712</v>
      </c>
      <c r="C432" s="2" t="s">
        <v>74</v>
      </c>
      <c r="D432" s="2" t="s">
        <v>74</v>
      </c>
      <c r="E432" s="2" t="s">
        <v>74</v>
      </c>
      <c r="F432" s="2" t="s">
        <v>2713</v>
      </c>
      <c r="G432" s="2" t="s">
        <v>74</v>
      </c>
      <c r="H432" s="2" t="s">
        <v>74</v>
      </c>
      <c r="I432" s="2" t="s">
        <v>2714</v>
      </c>
      <c r="J432" s="2" t="s">
        <v>129</v>
      </c>
      <c r="K432" s="2" t="s">
        <v>74</v>
      </c>
      <c r="L432" s="2" t="s">
        <v>74</v>
      </c>
      <c r="M432" s="2" t="s">
        <v>74</v>
      </c>
      <c r="N432" s="2" t="s">
        <v>74</v>
      </c>
      <c r="O432" s="2" t="s">
        <v>74</v>
      </c>
      <c r="P432" s="2" t="s">
        <v>74</v>
      </c>
      <c r="Q432" s="2" t="s">
        <v>74</v>
      </c>
      <c r="R432" s="2" t="s">
        <v>74</v>
      </c>
      <c r="S432" s="2" t="s">
        <v>74</v>
      </c>
      <c r="T432" s="2" t="s">
        <v>74</v>
      </c>
      <c r="U432" s="2" t="s">
        <v>74</v>
      </c>
      <c r="V432" s="5" t="s">
        <v>2715</v>
      </c>
      <c r="W432" s="2" t="s">
        <v>74</v>
      </c>
      <c r="X432" s="2" t="s">
        <v>74</v>
      </c>
      <c r="Y432" s="2" t="s">
        <v>74</v>
      </c>
      <c r="Z432" s="2" t="s">
        <v>74</v>
      </c>
      <c r="AA432" s="2" t="s">
        <v>2716</v>
      </c>
      <c r="AB432" s="2" t="s">
        <v>2717</v>
      </c>
      <c r="AC432" s="2" t="s">
        <v>74</v>
      </c>
      <c r="AD432" s="2" t="s">
        <v>74</v>
      </c>
      <c r="AE432" s="2" t="s">
        <v>74</v>
      </c>
      <c r="AF432" s="2" t="s">
        <v>74</v>
      </c>
      <c r="AG432" s="2" t="s">
        <v>74</v>
      </c>
      <c r="AH432" s="2" t="s">
        <v>74</v>
      </c>
      <c r="AI432" s="2" t="s">
        <v>74</v>
      </c>
      <c r="AJ432" s="2" t="s">
        <v>74</v>
      </c>
      <c r="AK432" s="2" t="s">
        <v>74</v>
      </c>
      <c r="AL432" s="2" t="s">
        <v>74</v>
      </c>
      <c r="AM432" s="2" t="s">
        <v>74</v>
      </c>
      <c r="AN432" s="2" t="s">
        <v>74</v>
      </c>
      <c r="AO432" s="2" t="s">
        <v>132</v>
      </c>
      <c r="AP432" s="2" t="s">
        <v>133</v>
      </c>
      <c r="AQ432" s="2" t="s">
        <v>74</v>
      </c>
      <c r="AR432" s="2" t="s">
        <v>74</v>
      </c>
      <c r="AS432" s="2" t="s">
        <v>74</v>
      </c>
      <c r="AT432" s="2" t="s">
        <v>255</v>
      </c>
      <c r="AU432" s="2">
        <v>2016</v>
      </c>
      <c r="AV432" s="2">
        <v>70</v>
      </c>
      <c r="AW432" s="2">
        <v>1</v>
      </c>
      <c r="AX432" s="2" t="s">
        <v>74</v>
      </c>
      <c r="AY432" s="2" t="s">
        <v>74</v>
      </c>
      <c r="AZ432" s="2" t="s">
        <v>74</v>
      </c>
      <c r="BA432" s="2" t="s">
        <v>74</v>
      </c>
      <c r="BB432" s="2">
        <v>83</v>
      </c>
      <c r="BC432" s="2">
        <v>97</v>
      </c>
      <c r="BD432" s="2" t="s">
        <v>74</v>
      </c>
      <c r="BE432" s="2" t="s">
        <v>2718</v>
      </c>
      <c r="BF432" s="2" t="str">
        <f>HYPERLINK("http://dx.doi.org/10.1007/s00265-015-2027-5","http://dx.doi.org/10.1007/s00265-015-2027-5")</f>
        <v>http://dx.doi.org/10.1007/s00265-015-2027-5</v>
      </c>
      <c r="BG432" s="2" t="s">
        <v>74</v>
      </c>
      <c r="BH432" s="2" t="s">
        <v>74</v>
      </c>
      <c r="BI432" s="2" t="s">
        <v>74</v>
      </c>
      <c r="BJ432" s="2" t="s">
        <v>74</v>
      </c>
      <c r="BK432" s="2" t="s">
        <v>74</v>
      </c>
      <c r="BL432" s="2" t="s">
        <v>74</v>
      </c>
      <c r="BM432" s="2" t="s">
        <v>74</v>
      </c>
      <c r="BN432" s="2" t="s">
        <v>74</v>
      </c>
      <c r="BO432" s="2" t="s">
        <v>74</v>
      </c>
      <c r="BP432" s="2" t="s">
        <v>74</v>
      </c>
      <c r="BQ432" s="2" t="s">
        <v>74</v>
      </c>
      <c r="BR432" s="2" t="s">
        <v>74</v>
      </c>
      <c r="BS432" s="2" t="s">
        <v>2719</v>
      </c>
      <c r="BT432" s="2" t="str">
        <f>HYPERLINK("https%3A%2F%2Fwww.webofscience.com%2Fwos%2Fwoscc%2Ffull-record%2FWOS:000367686200008","View Full Record in Web of Science")</f>
        <v>View Full Record in Web of Science</v>
      </c>
    </row>
    <row r="433" spans="1:72" s="2" customFormat="1" x14ac:dyDescent="0.4">
      <c r="A433" s="2" t="s">
        <v>72</v>
      </c>
      <c r="B433" s="2" t="s">
        <v>4361</v>
      </c>
      <c r="C433" s="2" t="s">
        <v>74</v>
      </c>
      <c r="D433" s="2" t="s">
        <v>74</v>
      </c>
      <c r="E433" s="2" t="s">
        <v>74</v>
      </c>
      <c r="F433" s="2" t="s">
        <v>4362</v>
      </c>
      <c r="G433" s="2" t="s">
        <v>74</v>
      </c>
      <c r="H433" s="2" t="s">
        <v>74</v>
      </c>
      <c r="I433" s="2" t="s">
        <v>4363</v>
      </c>
      <c r="J433" s="2" t="s">
        <v>4364</v>
      </c>
      <c r="K433" s="2" t="s">
        <v>74</v>
      </c>
      <c r="L433" s="2" t="s">
        <v>74</v>
      </c>
      <c r="M433" s="2" t="s">
        <v>74</v>
      </c>
      <c r="N433" s="2" t="s">
        <v>74</v>
      </c>
      <c r="O433" s="2" t="s">
        <v>74</v>
      </c>
      <c r="P433" s="2" t="s">
        <v>74</v>
      </c>
      <c r="Q433" s="2" t="s">
        <v>74</v>
      </c>
      <c r="R433" s="2" t="s">
        <v>74</v>
      </c>
      <c r="S433" s="2" t="s">
        <v>74</v>
      </c>
      <c r="T433" s="2" t="s">
        <v>74</v>
      </c>
      <c r="U433" s="2" t="s">
        <v>74</v>
      </c>
      <c r="V433" s="5" t="s">
        <v>4365</v>
      </c>
      <c r="W433" s="2" t="s">
        <v>74</v>
      </c>
      <c r="X433" s="2" t="s">
        <v>74</v>
      </c>
      <c r="Y433" s="2" t="s">
        <v>74</v>
      </c>
      <c r="Z433" s="2" t="s">
        <v>74</v>
      </c>
      <c r="AA433" s="2" t="s">
        <v>4366</v>
      </c>
      <c r="AB433" s="2" t="s">
        <v>4367</v>
      </c>
      <c r="AC433" s="2" t="s">
        <v>74</v>
      </c>
      <c r="AD433" s="2" t="s">
        <v>74</v>
      </c>
      <c r="AE433" s="2" t="s">
        <v>74</v>
      </c>
      <c r="AF433" s="2" t="s">
        <v>74</v>
      </c>
      <c r="AG433" s="2" t="s">
        <v>74</v>
      </c>
      <c r="AH433" s="2" t="s">
        <v>74</v>
      </c>
      <c r="AI433" s="2" t="s">
        <v>74</v>
      </c>
      <c r="AJ433" s="2" t="s">
        <v>74</v>
      </c>
      <c r="AK433" s="2" t="s">
        <v>74</v>
      </c>
      <c r="AL433" s="2" t="s">
        <v>74</v>
      </c>
      <c r="AM433" s="2" t="s">
        <v>74</v>
      </c>
      <c r="AN433" s="2" t="s">
        <v>74</v>
      </c>
      <c r="AO433" s="2" t="s">
        <v>4368</v>
      </c>
      <c r="AP433" s="2" t="s">
        <v>4369</v>
      </c>
      <c r="AQ433" s="2" t="s">
        <v>74</v>
      </c>
      <c r="AR433" s="2" t="s">
        <v>74</v>
      </c>
      <c r="AS433" s="2" t="s">
        <v>74</v>
      </c>
      <c r="AT433" s="2" t="s">
        <v>4370</v>
      </c>
      <c r="AU433" s="2">
        <v>2009</v>
      </c>
      <c r="AV433" s="2">
        <v>46</v>
      </c>
      <c r="AW433" s="2">
        <v>4</v>
      </c>
      <c r="AX433" s="2" t="s">
        <v>74</v>
      </c>
      <c r="AY433" s="2" t="s">
        <v>74</v>
      </c>
      <c r="AZ433" s="2" t="s">
        <v>74</v>
      </c>
      <c r="BA433" s="2" t="s">
        <v>74</v>
      </c>
      <c r="BB433" s="2">
        <v>271</v>
      </c>
      <c r="BC433" s="2">
        <v>282</v>
      </c>
      <c r="BD433" s="2" t="s">
        <v>74</v>
      </c>
      <c r="BE433" s="2" t="s">
        <v>4371</v>
      </c>
      <c r="BF433" s="2" t="str">
        <f>HYPERLINK("http://dx.doi.org/10.5735/086.046.0404","http://dx.doi.org/10.5735/086.046.0404")</f>
        <v>http://dx.doi.org/10.5735/086.046.0404</v>
      </c>
      <c r="BG433" s="2" t="s">
        <v>74</v>
      </c>
      <c r="BH433" s="2" t="s">
        <v>74</v>
      </c>
      <c r="BI433" s="2" t="s">
        <v>74</v>
      </c>
      <c r="BJ433" s="2" t="s">
        <v>74</v>
      </c>
      <c r="BK433" s="2" t="s">
        <v>74</v>
      </c>
      <c r="BL433" s="2" t="s">
        <v>74</v>
      </c>
      <c r="BM433" s="2" t="s">
        <v>74</v>
      </c>
      <c r="BN433" s="2" t="s">
        <v>74</v>
      </c>
      <c r="BO433" s="2" t="s">
        <v>74</v>
      </c>
      <c r="BP433" s="2" t="s">
        <v>74</v>
      </c>
      <c r="BQ433" s="2" t="s">
        <v>74</v>
      </c>
      <c r="BR433" s="2" t="s">
        <v>74</v>
      </c>
      <c r="BS433" s="2" t="s">
        <v>4372</v>
      </c>
      <c r="BT433" s="2" t="str">
        <f>HYPERLINK("https%3A%2F%2Fwww.webofscience.com%2Fwos%2Fwoscc%2Ffull-record%2FWOS:000269935900004","View Full Record in Web of Science")</f>
        <v>View Full Record in Web of Science</v>
      </c>
    </row>
    <row r="434" spans="1:72" s="2" customFormat="1" x14ac:dyDescent="0.4">
      <c r="A434" s="2" t="s">
        <v>72</v>
      </c>
      <c r="B434" s="2" t="s">
        <v>1256</v>
      </c>
      <c r="C434" s="2" t="s">
        <v>74</v>
      </c>
      <c r="D434" s="2" t="s">
        <v>74</v>
      </c>
      <c r="E434" s="2" t="s">
        <v>74</v>
      </c>
      <c r="F434" s="2" t="s">
        <v>1257</v>
      </c>
      <c r="G434" s="2" t="s">
        <v>74</v>
      </c>
      <c r="H434" s="2" t="s">
        <v>74</v>
      </c>
      <c r="I434" s="2" t="s">
        <v>1258</v>
      </c>
      <c r="J434" s="2" t="s">
        <v>333</v>
      </c>
      <c r="K434" s="2" t="s">
        <v>74</v>
      </c>
      <c r="L434" s="2" t="s">
        <v>74</v>
      </c>
      <c r="M434" s="2" t="s">
        <v>74</v>
      </c>
      <c r="N434" s="2" t="s">
        <v>74</v>
      </c>
      <c r="O434" s="2" t="s">
        <v>74</v>
      </c>
      <c r="P434" s="2" t="s">
        <v>74</v>
      </c>
      <c r="Q434" s="2" t="s">
        <v>74</v>
      </c>
      <c r="R434" s="2" t="s">
        <v>74</v>
      </c>
      <c r="S434" s="2" t="s">
        <v>74</v>
      </c>
      <c r="T434" s="2" t="s">
        <v>74</v>
      </c>
      <c r="U434" s="2" t="s">
        <v>74</v>
      </c>
      <c r="V434" s="5" t="s">
        <v>1259</v>
      </c>
      <c r="W434" s="2" t="s">
        <v>74</v>
      </c>
      <c r="X434" s="2" t="s">
        <v>74</v>
      </c>
      <c r="Y434" s="2" t="s">
        <v>74</v>
      </c>
      <c r="Z434" s="2" t="s">
        <v>74</v>
      </c>
      <c r="AA434" s="2" t="s">
        <v>1260</v>
      </c>
      <c r="AB434" s="2" t="s">
        <v>1261</v>
      </c>
      <c r="AC434" s="2" t="s">
        <v>74</v>
      </c>
      <c r="AD434" s="2" t="s">
        <v>74</v>
      </c>
      <c r="AE434" s="2" t="s">
        <v>74</v>
      </c>
      <c r="AF434" s="2" t="s">
        <v>74</v>
      </c>
      <c r="AG434" s="2" t="s">
        <v>74</v>
      </c>
      <c r="AH434" s="2" t="s">
        <v>74</v>
      </c>
      <c r="AI434" s="2" t="s">
        <v>74</v>
      </c>
      <c r="AJ434" s="2" t="s">
        <v>74</v>
      </c>
      <c r="AK434" s="2" t="s">
        <v>74</v>
      </c>
      <c r="AL434" s="2" t="s">
        <v>74</v>
      </c>
      <c r="AM434" s="2" t="s">
        <v>74</v>
      </c>
      <c r="AN434" s="2" t="s">
        <v>74</v>
      </c>
      <c r="AO434" s="2" t="s">
        <v>337</v>
      </c>
      <c r="AP434" s="2" t="s">
        <v>338</v>
      </c>
      <c r="AQ434" s="2" t="s">
        <v>74</v>
      </c>
      <c r="AR434" s="2" t="s">
        <v>74</v>
      </c>
      <c r="AS434" s="2" t="s">
        <v>74</v>
      </c>
      <c r="AT434" s="2" t="s">
        <v>1075</v>
      </c>
      <c r="AU434" s="2">
        <v>2018</v>
      </c>
      <c r="AV434" s="2">
        <v>29</v>
      </c>
      <c r="AW434" s="2">
        <v>6</v>
      </c>
      <c r="AX434" s="2" t="s">
        <v>74</v>
      </c>
      <c r="AY434" s="2" t="s">
        <v>74</v>
      </c>
      <c r="AZ434" s="2" t="s">
        <v>74</v>
      </c>
      <c r="BA434" s="2" t="s">
        <v>74</v>
      </c>
      <c r="BB434" s="2">
        <v>1286</v>
      </c>
      <c r="BC434" s="2">
        <v>1297</v>
      </c>
      <c r="BD434" s="2" t="s">
        <v>74</v>
      </c>
      <c r="BE434" s="2" t="s">
        <v>1262</v>
      </c>
      <c r="BF434" s="2" t="str">
        <f>HYPERLINK("http://dx.doi.org/10.1093/beheco/ary127","http://dx.doi.org/10.1093/beheco/ary127")</f>
        <v>http://dx.doi.org/10.1093/beheco/ary127</v>
      </c>
      <c r="BG434" s="2" t="s">
        <v>74</v>
      </c>
      <c r="BH434" s="2" t="s">
        <v>74</v>
      </c>
      <c r="BI434" s="2" t="s">
        <v>74</v>
      </c>
      <c r="BJ434" s="2" t="s">
        <v>74</v>
      </c>
      <c r="BK434" s="2" t="s">
        <v>74</v>
      </c>
      <c r="BL434" s="2" t="s">
        <v>74</v>
      </c>
      <c r="BM434" s="2" t="s">
        <v>74</v>
      </c>
      <c r="BN434" s="2" t="s">
        <v>74</v>
      </c>
      <c r="BO434" s="2" t="s">
        <v>74</v>
      </c>
      <c r="BP434" s="2" t="s">
        <v>74</v>
      </c>
      <c r="BQ434" s="2" t="s">
        <v>74</v>
      </c>
      <c r="BR434" s="2" t="s">
        <v>74</v>
      </c>
      <c r="BS434" s="2" t="s">
        <v>1263</v>
      </c>
      <c r="BT434" s="2" t="str">
        <f>HYPERLINK("https%3A%2F%2Fwww.webofscience.com%2Fwos%2Fwoscc%2Ffull-record%2FWOS:000453209600018","View Full Record in Web of Science")</f>
        <v>View Full Record in Web of Science</v>
      </c>
    </row>
    <row r="435" spans="1:72" s="2" customFormat="1" x14ac:dyDescent="0.4">
      <c r="A435" s="2" t="s">
        <v>72</v>
      </c>
      <c r="B435" s="2" t="s">
        <v>3419</v>
      </c>
      <c r="C435" s="2" t="s">
        <v>74</v>
      </c>
      <c r="D435" s="2" t="s">
        <v>74</v>
      </c>
      <c r="E435" s="2" t="s">
        <v>74</v>
      </c>
      <c r="F435" s="2" t="s">
        <v>3419</v>
      </c>
      <c r="G435" s="2" t="s">
        <v>74</v>
      </c>
      <c r="H435" s="2" t="s">
        <v>74</v>
      </c>
      <c r="I435" s="2" t="s">
        <v>3420</v>
      </c>
      <c r="J435" s="2" t="s">
        <v>2207</v>
      </c>
      <c r="K435" s="2" t="s">
        <v>74</v>
      </c>
      <c r="L435" s="2" t="s">
        <v>74</v>
      </c>
      <c r="M435" s="2" t="s">
        <v>74</v>
      </c>
      <c r="N435" s="2" t="s">
        <v>74</v>
      </c>
      <c r="O435" s="2" t="s">
        <v>74</v>
      </c>
      <c r="P435" s="2" t="s">
        <v>74</v>
      </c>
      <c r="Q435" s="2" t="s">
        <v>74</v>
      </c>
      <c r="R435" s="2" t="s">
        <v>74</v>
      </c>
      <c r="S435" s="2" t="s">
        <v>74</v>
      </c>
      <c r="T435" s="2" t="s">
        <v>74</v>
      </c>
      <c r="U435" s="2" t="s">
        <v>74</v>
      </c>
      <c r="V435" s="5" t="s">
        <v>3421</v>
      </c>
      <c r="W435" s="2" t="s">
        <v>74</v>
      </c>
      <c r="X435" s="2" t="s">
        <v>74</v>
      </c>
      <c r="Y435" s="2" t="s">
        <v>74</v>
      </c>
      <c r="Z435" s="2" t="s">
        <v>74</v>
      </c>
      <c r="AA435" s="2" t="s">
        <v>3422</v>
      </c>
      <c r="AB435" s="2" t="s">
        <v>3423</v>
      </c>
      <c r="AC435" s="2" t="s">
        <v>74</v>
      </c>
      <c r="AD435" s="2" t="s">
        <v>74</v>
      </c>
      <c r="AE435" s="2" t="s">
        <v>74</v>
      </c>
      <c r="AF435" s="2" t="s">
        <v>74</v>
      </c>
      <c r="AG435" s="2" t="s">
        <v>74</v>
      </c>
      <c r="AH435" s="2" t="s">
        <v>74</v>
      </c>
      <c r="AI435" s="2" t="s">
        <v>74</v>
      </c>
      <c r="AJ435" s="2" t="s">
        <v>74</v>
      </c>
      <c r="AK435" s="2" t="s">
        <v>74</v>
      </c>
      <c r="AL435" s="2" t="s">
        <v>74</v>
      </c>
      <c r="AM435" s="2" t="s">
        <v>74</v>
      </c>
      <c r="AN435" s="2" t="s">
        <v>74</v>
      </c>
      <c r="AO435" s="2" t="s">
        <v>2211</v>
      </c>
      <c r="AP435" s="2" t="s">
        <v>2461</v>
      </c>
      <c r="AQ435" s="2" t="s">
        <v>74</v>
      </c>
      <c r="AR435" s="2" t="s">
        <v>74</v>
      </c>
      <c r="AS435" s="2" t="s">
        <v>74</v>
      </c>
      <c r="AT435" s="2" t="s">
        <v>305</v>
      </c>
      <c r="AU435" s="2">
        <v>2003</v>
      </c>
      <c r="AV435" s="2">
        <v>34</v>
      </c>
      <c r="AW435" s="2">
        <v>4</v>
      </c>
      <c r="AX435" s="2" t="s">
        <v>74</v>
      </c>
      <c r="AY435" s="2" t="s">
        <v>74</v>
      </c>
      <c r="AZ435" s="2" t="s">
        <v>74</v>
      </c>
      <c r="BA435" s="2" t="s">
        <v>74</v>
      </c>
      <c r="BB435" s="2">
        <v>402</v>
      </c>
      <c r="BC435" s="2">
        <v>408</v>
      </c>
      <c r="BD435" s="2" t="s">
        <v>74</v>
      </c>
      <c r="BE435" s="2" t="s">
        <v>3424</v>
      </c>
      <c r="BF435" s="2" t="str">
        <f>HYPERLINK("http://dx.doi.org/10.1111/j.0908-8857.2003.03064.x","http://dx.doi.org/10.1111/j.0908-8857.2003.03064.x")</f>
        <v>http://dx.doi.org/10.1111/j.0908-8857.2003.03064.x</v>
      </c>
      <c r="BG435" s="2" t="s">
        <v>74</v>
      </c>
      <c r="BH435" s="2" t="s">
        <v>74</v>
      </c>
      <c r="BI435" s="2" t="s">
        <v>74</v>
      </c>
      <c r="BJ435" s="2" t="s">
        <v>74</v>
      </c>
      <c r="BK435" s="2" t="s">
        <v>74</v>
      </c>
      <c r="BL435" s="2" t="s">
        <v>74</v>
      </c>
      <c r="BM435" s="2" t="s">
        <v>74</v>
      </c>
      <c r="BN435" s="2" t="s">
        <v>74</v>
      </c>
      <c r="BO435" s="2" t="s">
        <v>74</v>
      </c>
      <c r="BP435" s="2" t="s">
        <v>74</v>
      </c>
      <c r="BQ435" s="2" t="s">
        <v>74</v>
      </c>
      <c r="BR435" s="2" t="s">
        <v>74</v>
      </c>
      <c r="BS435" s="2" t="s">
        <v>3425</v>
      </c>
      <c r="BT435" s="2" t="str">
        <f>HYPERLINK("https%3A%2F%2Fwww.webofscience.com%2Fwos%2Fwoscc%2Ffull-record%2FWOS:000187792000014","View Full Record in Web of Science")</f>
        <v>View Full Record in Web of Science</v>
      </c>
    </row>
    <row r="436" spans="1:72" s="2" customFormat="1" x14ac:dyDescent="0.4">
      <c r="A436" s="2" t="s">
        <v>72</v>
      </c>
      <c r="B436" s="2" t="s">
        <v>5008</v>
      </c>
      <c r="C436" s="2" t="s">
        <v>74</v>
      </c>
      <c r="D436" s="2" t="s">
        <v>74</v>
      </c>
      <c r="E436" s="2" t="s">
        <v>74</v>
      </c>
      <c r="F436" s="2" t="s">
        <v>5009</v>
      </c>
      <c r="G436" s="2" t="s">
        <v>74</v>
      </c>
      <c r="H436" s="2" t="s">
        <v>74</v>
      </c>
      <c r="I436" s="2" t="s">
        <v>5010</v>
      </c>
      <c r="J436" s="2" t="s">
        <v>545</v>
      </c>
      <c r="K436" s="2" t="s">
        <v>74</v>
      </c>
      <c r="L436" s="2" t="s">
        <v>74</v>
      </c>
      <c r="M436" s="2" t="s">
        <v>74</v>
      </c>
      <c r="N436" s="2" t="s">
        <v>74</v>
      </c>
      <c r="O436" s="2" t="s">
        <v>74</v>
      </c>
      <c r="P436" s="2" t="s">
        <v>74</v>
      </c>
      <c r="Q436" s="2" t="s">
        <v>74</v>
      </c>
      <c r="R436" s="2" t="s">
        <v>74</v>
      </c>
      <c r="S436" s="2" t="s">
        <v>74</v>
      </c>
      <c r="T436" s="2" t="s">
        <v>74</v>
      </c>
      <c r="U436" s="2" t="s">
        <v>74</v>
      </c>
      <c r="V436" s="5" t="s">
        <v>5011</v>
      </c>
      <c r="W436" s="2" t="s">
        <v>74</v>
      </c>
      <c r="X436" s="2" t="s">
        <v>74</v>
      </c>
      <c r="Y436" s="2" t="s">
        <v>74</v>
      </c>
      <c r="Z436" s="2" t="s">
        <v>74</v>
      </c>
      <c r="AA436" s="2" t="s">
        <v>5012</v>
      </c>
      <c r="AB436" s="2" t="s">
        <v>5013</v>
      </c>
      <c r="AC436" s="2" t="s">
        <v>74</v>
      </c>
      <c r="AD436" s="2" t="s">
        <v>74</v>
      </c>
      <c r="AE436" s="2" t="s">
        <v>74</v>
      </c>
      <c r="AF436" s="2" t="s">
        <v>74</v>
      </c>
      <c r="AG436" s="2" t="s">
        <v>74</v>
      </c>
      <c r="AH436" s="2" t="s">
        <v>74</v>
      </c>
      <c r="AI436" s="2" t="s">
        <v>74</v>
      </c>
      <c r="AJ436" s="2" t="s">
        <v>74</v>
      </c>
      <c r="AK436" s="2" t="s">
        <v>74</v>
      </c>
      <c r="AL436" s="2" t="s">
        <v>74</v>
      </c>
      <c r="AM436" s="2" t="s">
        <v>74</v>
      </c>
      <c r="AN436" s="2" t="s">
        <v>74</v>
      </c>
      <c r="AO436" s="2" t="s">
        <v>547</v>
      </c>
      <c r="AP436" s="2" t="s">
        <v>74</v>
      </c>
      <c r="AQ436" s="2" t="s">
        <v>74</v>
      </c>
      <c r="AR436" s="2" t="s">
        <v>74</v>
      </c>
      <c r="AS436" s="2" t="s">
        <v>74</v>
      </c>
      <c r="AT436" s="2" t="s">
        <v>74</v>
      </c>
      <c r="AU436" s="2">
        <v>2017</v>
      </c>
      <c r="AV436" s="2">
        <v>267</v>
      </c>
      <c r="AW436" s="2" t="s">
        <v>74</v>
      </c>
      <c r="AX436" s="2" t="s">
        <v>74</v>
      </c>
      <c r="AY436" s="2" t="s">
        <v>74</v>
      </c>
      <c r="AZ436" s="2" t="s">
        <v>74</v>
      </c>
      <c r="BA436" s="2" t="s">
        <v>74</v>
      </c>
      <c r="BB436" s="2">
        <v>21</v>
      </c>
      <c r="BC436" s="2">
        <v>30</v>
      </c>
      <c r="BD436" s="2" t="s">
        <v>74</v>
      </c>
      <c r="BE436" s="2" t="s">
        <v>5014</v>
      </c>
      <c r="BF436" s="2" t="str">
        <f>HYPERLINK("http://dx.doi.org/10.1016/j.jcz.2017.01.002","http://dx.doi.org/10.1016/j.jcz.2017.01.002")</f>
        <v>http://dx.doi.org/10.1016/j.jcz.2017.01.002</v>
      </c>
      <c r="BG436" s="2" t="s">
        <v>74</v>
      </c>
      <c r="BH436" s="2" t="s">
        <v>74</v>
      </c>
      <c r="BI436" s="2" t="s">
        <v>74</v>
      </c>
      <c r="BJ436" s="2" t="s">
        <v>74</v>
      </c>
      <c r="BK436" s="2" t="s">
        <v>74</v>
      </c>
      <c r="BL436" s="2" t="s">
        <v>74</v>
      </c>
      <c r="BM436" s="2" t="s">
        <v>74</v>
      </c>
      <c r="BN436" s="2" t="s">
        <v>74</v>
      </c>
      <c r="BO436" s="2" t="s">
        <v>74</v>
      </c>
      <c r="BP436" s="2" t="s">
        <v>74</v>
      </c>
      <c r="BQ436" s="2" t="s">
        <v>74</v>
      </c>
      <c r="BR436" s="2" t="s">
        <v>74</v>
      </c>
      <c r="BS436" s="2" t="s">
        <v>5015</v>
      </c>
      <c r="BT436" s="2" t="str">
        <f>HYPERLINK("https%3A%2F%2Fwww.webofscience.com%2Fwos%2Fwoscc%2Ffull-record%2FWOS:000403123700004","View Full Record in Web of Science")</f>
        <v>View Full Record in Web of Science</v>
      </c>
    </row>
    <row r="437" spans="1:72" s="2" customFormat="1" x14ac:dyDescent="0.4">
      <c r="A437" s="2" t="s">
        <v>72</v>
      </c>
      <c r="B437" s="2" t="s">
        <v>7510</v>
      </c>
      <c r="C437" s="2" t="s">
        <v>74</v>
      </c>
      <c r="D437" s="2" t="s">
        <v>74</v>
      </c>
      <c r="E437" s="2" t="s">
        <v>74</v>
      </c>
      <c r="F437" s="2" t="s">
        <v>7510</v>
      </c>
      <c r="G437" s="2" t="s">
        <v>74</v>
      </c>
      <c r="H437" s="2" t="s">
        <v>74</v>
      </c>
      <c r="I437" s="2" t="s">
        <v>7511</v>
      </c>
      <c r="J437" s="2" t="s">
        <v>140</v>
      </c>
      <c r="K437" s="2" t="s">
        <v>74</v>
      </c>
      <c r="L437" s="2" t="s">
        <v>74</v>
      </c>
      <c r="M437" s="2" t="s">
        <v>74</v>
      </c>
      <c r="N437" s="2" t="s">
        <v>74</v>
      </c>
      <c r="O437" s="2" t="s">
        <v>74</v>
      </c>
      <c r="P437" s="2" t="s">
        <v>74</v>
      </c>
      <c r="Q437" s="2" t="s">
        <v>74</v>
      </c>
      <c r="R437" s="2" t="s">
        <v>74</v>
      </c>
      <c r="S437" s="2" t="s">
        <v>74</v>
      </c>
      <c r="T437" s="2" t="s">
        <v>74</v>
      </c>
      <c r="U437" s="2" t="s">
        <v>74</v>
      </c>
      <c r="V437" s="5" t="s">
        <v>7512</v>
      </c>
      <c r="W437" s="2" t="s">
        <v>74</v>
      </c>
      <c r="X437" s="2" t="s">
        <v>74</v>
      </c>
      <c r="Y437" s="2" t="s">
        <v>74</v>
      </c>
      <c r="Z437" s="2" t="s">
        <v>74</v>
      </c>
      <c r="AA437" s="2" t="s">
        <v>7513</v>
      </c>
      <c r="AB437" s="2" t="s">
        <v>7514</v>
      </c>
      <c r="AC437" s="2" t="s">
        <v>74</v>
      </c>
      <c r="AD437" s="2" t="s">
        <v>74</v>
      </c>
      <c r="AE437" s="2" t="s">
        <v>74</v>
      </c>
      <c r="AF437" s="2" t="s">
        <v>74</v>
      </c>
      <c r="AG437" s="2" t="s">
        <v>74</v>
      </c>
      <c r="AH437" s="2" t="s">
        <v>74</v>
      </c>
      <c r="AI437" s="2" t="s">
        <v>74</v>
      </c>
      <c r="AJ437" s="2" t="s">
        <v>74</v>
      </c>
      <c r="AK437" s="2" t="s">
        <v>74</v>
      </c>
      <c r="AL437" s="2" t="s">
        <v>74</v>
      </c>
      <c r="AM437" s="2" t="s">
        <v>74</v>
      </c>
      <c r="AN437" s="2" t="s">
        <v>74</v>
      </c>
      <c r="AO437" s="2" t="s">
        <v>143</v>
      </c>
      <c r="AP437" s="2" t="s">
        <v>74</v>
      </c>
      <c r="AQ437" s="2" t="s">
        <v>74</v>
      </c>
      <c r="AR437" s="2" t="s">
        <v>74</v>
      </c>
      <c r="AS437" s="2" t="s">
        <v>74</v>
      </c>
      <c r="AT437" s="2" t="s">
        <v>352</v>
      </c>
      <c r="AU437" s="2">
        <v>2003</v>
      </c>
      <c r="AV437" s="2">
        <v>66</v>
      </c>
      <c r="AW437" s="2" t="s">
        <v>74</v>
      </c>
      <c r="AX437" s="2">
        <v>3</v>
      </c>
      <c r="AY437" s="2" t="s">
        <v>74</v>
      </c>
      <c r="AZ437" s="2" t="s">
        <v>74</v>
      </c>
      <c r="BA437" s="2" t="s">
        <v>74</v>
      </c>
      <c r="BB437" s="2">
        <v>521</v>
      </c>
      <c r="BC437" s="2">
        <v>530</v>
      </c>
      <c r="BD437" s="2" t="s">
        <v>74</v>
      </c>
      <c r="BE437" s="2" t="s">
        <v>7515</v>
      </c>
      <c r="BF437" s="2" t="str">
        <f>HYPERLINK("http://dx.doi.org/10.1006/anbe.2003.2206","http://dx.doi.org/10.1006/anbe.2003.2206")</f>
        <v>http://dx.doi.org/10.1006/anbe.2003.2206</v>
      </c>
      <c r="BG437" s="2" t="s">
        <v>74</v>
      </c>
      <c r="BH437" s="2" t="s">
        <v>74</v>
      </c>
      <c r="BI437" s="2" t="s">
        <v>74</v>
      </c>
      <c r="BJ437" s="2" t="s">
        <v>74</v>
      </c>
      <c r="BK437" s="2" t="s">
        <v>74</v>
      </c>
      <c r="BL437" s="2" t="s">
        <v>74</v>
      </c>
      <c r="BM437" s="2" t="s">
        <v>74</v>
      </c>
      <c r="BN437" s="2" t="s">
        <v>74</v>
      </c>
      <c r="BO437" s="2" t="s">
        <v>74</v>
      </c>
      <c r="BP437" s="2" t="s">
        <v>74</v>
      </c>
      <c r="BQ437" s="2" t="s">
        <v>74</v>
      </c>
      <c r="BR437" s="2" t="s">
        <v>74</v>
      </c>
      <c r="BS437" s="2" t="s">
        <v>7516</v>
      </c>
      <c r="BT437" s="2" t="str">
        <f>HYPERLINK("https%3A%2F%2Fwww.webofscience.com%2Fwos%2Fwoscc%2Ffull-record%2FWOS:000185477900013","View Full Record in Web of Science")</f>
        <v>View Full Record in Web of Science</v>
      </c>
    </row>
    <row r="438" spans="1:72" s="2" customFormat="1" x14ac:dyDescent="0.4">
      <c r="A438" s="2" t="s">
        <v>72</v>
      </c>
      <c r="B438" s="2" t="s">
        <v>1085</v>
      </c>
      <c r="C438" s="2" t="s">
        <v>74</v>
      </c>
      <c r="D438" s="2" t="s">
        <v>74</v>
      </c>
      <c r="E438" s="2" t="s">
        <v>74</v>
      </c>
      <c r="F438" s="2" t="s">
        <v>1086</v>
      </c>
      <c r="G438" s="2" t="s">
        <v>74</v>
      </c>
      <c r="H438" s="2" t="s">
        <v>74</v>
      </c>
      <c r="I438" s="2" t="s">
        <v>1087</v>
      </c>
      <c r="J438" s="2" t="s">
        <v>475</v>
      </c>
      <c r="K438" s="2" t="s">
        <v>74</v>
      </c>
      <c r="L438" s="2" t="s">
        <v>74</v>
      </c>
      <c r="M438" s="2" t="s">
        <v>74</v>
      </c>
      <c r="N438" s="2" t="s">
        <v>74</v>
      </c>
      <c r="O438" s="2" t="s">
        <v>74</v>
      </c>
      <c r="P438" s="2" t="s">
        <v>74</v>
      </c>
      <c r="Q438" s="2" t="s">
        <v>74</v>
      </c>
      <c r="R438" s="2" t="s">
        <v>74</v>
      </c>
      <c r="S438" s="2" t="s">
        <v>74</v>
      </c>
      <c r="T438" s="2" t="s">
        <v>74</v>
      </c>
      <c r="U438" s="2" t="s">
        <v>74</v>
      </c>
      <c r="V438" s="5" t="s">
        <v>1088</v>
      </c>
      <c r="W438" s="2" t="s">
        <v>74</v>
      </c>
      <c r="X438" s="2" t="s">
        <v>74</v>
      </c>
      <c r="Y438" s="2" t="s">
        <v>74</v>
      </c>
      <c r="Z438" s="2" t="s">
        <v>74</v>
      </c>
      <c r="AA438" s="2" t="s">
        <v>74</v>
      </c>
      <c r="AB438" s="2" t="s">
        <v>74</v>
      </c>
      <c r="AC438" s="2" t="s">
        <v>74</v>
      </c>
      <c r="AD438" s="2" t="s">
        <v>74</v>
      </c>
      <c r="AE438" s="2" t="s">
        <v>74</v>
      </c>
      <c r="AF438" s="2" t="s">
        <v>74</v>
      </c>
      <c r="AG438" s="2" t="s">
        <v>74</v>
      </c>
      <c r="AH438" s="2" t="s">
        <v>74</v>
      </c>
      <c r="AI438" s="2" t="s">
        <v>74</v>
      </c>
      <c r="AJ438" s="2" t="s">
        <v>74</v>
      </c>
      <c r="AK438" s="2" t="s">
        <v>74</v>
      </c>
      <c r="AL438" s="2" t="s">
        <v>74</v>
      </c>
      <c r="AM438" s="2" t="s">
        <v>74</v>
      </c>
      <c r="AN438" s="2" t="s">
        <v>74</v>
      </c>
      <c r="AO438" s="2" t="s">
        <v>477</v>
      </c>
      <c r="AP438" s="2" t="s">
        <v>1089</v>
      </c>
      <c r="AQ438" s="2" t="s">
        <v>74</v>
      </c>
      <c r="AR438" s="2" t="s">
        <v>74</v>
      </c>
      <c r="AS438" s="2" t="s">
        <v>74</v>
      </c>
      <c r="AT438" s="2" t="s">
        <v>1090</v>
      </c>
      <c r="AU438" s="2">
        <v>2020</v>
      </c>
      <c r="AV438" s="2">
        <v>285</v>
      </c>
      <c r="AW438" s="2" t="s">
        <v>74</v>
      </c>
      <c r="AX438" s="2" t="s">
        <v>74</v>
      </c>
      <c r="AY438" s="2" t="s">
        <v>74</v>
      </c>
      <c r="AZ438" s="2" t="s">
        <v>74</v>
      </c>
      <c r="BA438" s="2" t="s">
        <v>74</v>
      </c>
      <c r="BB438" s="2" t="s">
        <v>74</v>
      </c>
      <c r="BC438" s="2" t="s">
        <v>74</v>
      </c>
      <c r="BD438" s="2">
        <v>113292</v>
      </c>
      <c r="BE438" s="2" t="s">
        <v>1091</v>
      </c>
      <c r="BF438" s="2" t="str">
        <f>HYPERLINK("http://dx.doi.org/10.1016/j.ygcen.2019.113292","http://dx.doi.org/10.1016/j.ygcen.2019.113292")</f>
        <v>http://dx.doi.org/10.1016/j.ygcen.2019.113292</v>
      </c>
      <c r="BG438" s="2" t="s">
        <v>74</v>
      </c>
      <c r="BH438" s="2" t="s">
        <v>74</v>
      </c>
      <c r="BI438" s="2" t="s">
        <v>74</v>
      </c>
      <c r="BJ438" s="2" t="s">
        <v>74</v>
      </c>
      <c r="BK438" s="2" t="s">
        <v>74</v>
      </c>
      <c r="BL438" s="2" t="s">
        <v>74</v>
      </c>
      <c r="BM438" s="2" t="s">
        <v>74</v>
      </c>
      <c r="BN438" s="2">
        <v>31580882</v>
      </c>
      <c r="BO438" s="2" t="s">
        <v>74</v>
      </c>
      <c r="BP438" s="2" t="s">
        <v>74</v>
      </c>
      <c r="BQ438" s="2" t="s">
        <v>74</v>
      </c>
      <c r="BR438" s="2" t="s">
        <v>74</v>
      </c>
      <c r="BS438" s="2" t="s">
        <v>1092</v>
      </c>
      <c r="BT438" s="2" t="str">
        <f>HYPERLINK("https%3A%2F%2Fwww.webofscience.com%2Fwos%2Fwoscc%2Ffull-record%2FWOS:000504341800024","View Full Record in Web of Science")</f>
        <v>View Full Record in Web of Science</v>
      </c>
    </row>
    <row r="439" spans="1:72" s="2" customFormat="1" x14ac:dyDescent="0.4">
      <c r="A439" s="2" t="s">
        <v>72</v>
      </c>
      <c r="B439" s="2" t="s">
        <v>3383</v>
      </c>
      <c r="C439" s="2" t="s">
        <v>74</v>
      </c>
      <c r="D439" s="2" t="s">
        <v>74</v>
      </c>
      <c r="E439" s="2" t="s">
        <v>74</v>
      </c>
      <c r="F439" s="2" t="s">
        <v>3384</v>
      </c>
      <c r="G439" s="2" t="s">
        <v>74</v>
      </c>
      <c r="H439" s="2" t="s">
        <v>74</v>
      </c>
      <c r="I439" s="2" t="s">
        <v>3385</v>
      </c>
      <c r="J439" s="2" t="s">
        <v>610</v>
      </c>
      <c r="K439" s="2" t="s">
        <v>74</v>
      </c>
      <c r="L439" s="2" t="s">
        <v>74</v>
      </c>
      <c r="M439" s="2" t="s">
        <v>74</v>
      </c>
      <c r="N439" s="2" t="s">
        <v>74</v>
      </c>
      <c r="O439" s="2" t="s">
        <v>74</v>
      </c>
      <c r="P439" s="2" t="s">
        <v>74</v>
      </c>
      <c r="Q439" s="2" t="s">
        <v>74</v>
      </c>
      <c r="R439" s="2" t="s">
        <v>74</v>
      </c>
      <c r="S439" s="2" t="s">
        <v>74</v>
      </c>
      <c r="T439" s="2" t="s">
        <v>74</v>
      </c>
      <c r="U439" s="2" t="s">
        <v>74</v>
      </c>
      <c r="V439" s="5" t="s">
        <v>3386</v>
      </c>
      <c r="W439" s="2" t="s">
        <v>74</v>
      </c>
      <c r="X439" s="2" t="s">
        <v>74</v>
      </c>
      <c r="Y439" s="2" t="s">
        <v>74</v>
      </c>
      <c r="Z439" s="2" t="s">
        <v>74</v>
      </c>
      <c r="AA439" s="2" t="s">
        <v>74</v>
      </c>
      <c r="AB439" s="2" t="s">
        <v>3387</v>
      </c>
      <c r="AC439" s="2" t="s">
        <v>74</v>
      </c>
      <c r="AD439" s="2" t="s">
        <v>74</v>
      </c>
      <c r="AE439" s="2" t="s">
        <v>74</v>
      </c>
      <c r="AF439" s="2" t="s">
        <v>74</v>
      </c>
      <c r="AG439" s="2" t="s">
        <v>74</v>
      </c>
      <c r="AH439" s="2" t="s">
        <v>74</v>
      </c>
      <c r="AI439" s="2" t="s">
        <v>74</v>
      </c>
      <c r="AJ439" s="2" t="s">
        <v>74</v>
      </c>
      <c r="AK439" s="2" t="s">
        <v>74</v>
      </c>
      <c r="AL439" s="2" t="s">
        <v>74</v>
      </c>
      <c r="AM439" s="2" t="s">
        <v>74</v>
      </c>
      <c r="AN439" s="2" t="s">
        <v>74</v>
      </c>
      <c r="AO439" s="2" t="s">
        <v>614</v>
      </c>
      <c r="AP439" s="2" t="s">
        <v>615</v>
      </c>
      <c r="AQ439" s="2" t="s">
        <v>74</v>
      </c>
      <c r="AR439" s="2" t="s">
        <v>74</v>
      </c>
      <c r="AS439" s="2" t="s">
        <v>74</v>
      </c>
      <c r="AT439" s="2" t="s">
        <v>102</v>
      </c>
      <c r="AU439" s="2">
        <v>2021</v>
      </c>
      <c r="AV439" s="2">
        <v>127</v>
      </c>
      <c r="AW439" s="2">
        <v>6</v>
      </c>
      <c r="AX439" s="2" t="s">
        <v>74</v>
      </c>
      <c r="AY439" s="2" t="s">
        <v>74</v>
      </c>
      <c r="AZ439" s="2" t="s">
        <v>74</v>
      </c>
      <c r="BA439" s="2" t="s">
        <v>74</v>
      </c>
      <c r="BB439" s="2">
        <v>475</v>
      </c>
      <c r="BC439" s="2">
        <v>483</v>
      </c>
      <c r="BD439" s="2" t="s">
        <v>74</v>
      </c>
      <c r="BE439" s="2" t="s">
        <v>3388</v>
      </c>
      <c r="BF439" s="2" t="str">
        <f>HYPERLINK("http://dx.doi.org/10.1111/eth.13156","http://dx.doi.org/10.1111/eth.13156")</f>
        <v>http://dx.doi.org/10.1111/eth.13156</v>
      </c>
      <c r="BG439" s="2" t="s">
        <v>74</v>
      </c>
      <c r="BH439" s="2" t="s">
        <v>1051</v>
      </c>
      <c r="BI439" s="2" t="s">
        <v>74</v>
      </c>
      <c r="BJ439" s="2" t="s">
        <v>74</v>
      </c>
      <c r="BK439" s="2" t="s">
        <v>74</v>
      </c>
      <c r="BL439" s="2" t="s">
        <v>74</v>
      </c>
      <c r="BM439" s="2" t="s">
        <v>74</v>
      </c>
      <c r="BN439" s="2" t="s">
        <v>74</v>
      </c>
      <c r="BO439" s="2" t="s">
        <v>74</v>
      </c>
      <c r="BP439" s="2" t="s">
        <v>74</v>
      </c>
      <c r="BQ439" s="2" t="s">
        <v>74</v>
      </c>
      <c r="BR439" s="2" t="s">
        <v>74</v>
      </c>
      <c r="BS439" s="2" t="s">
        <v>3389</v>
      </c>
      <c r="BT439" s="2" t="str">
        <f>HYPERLINK("https%3A%2F%2Fwww.webofscience.com%2Fwos%2Fwoscc%2Ffull-record%2FWOS:000640929900001","View Full Record in Web of Science")</f>
        <v>View Full Record in Web of Science</v>
      </c>
    </row>
    <row r="440" spans="1:72" s="2" customFormat="1" x14ac:dyDescent="0.4">
      <c r="A440" s="2" t="s">
        <v>72</v>
      </c>
      <c r="B440" s="2" t="s">
        <v>7432</v>
      </c>
      <c r="C440" s="2" t="s">
        <v>74</v>
      </c>
      <c r="D440" s="2" t="s">
        <v>74</v>
      </c>
      <c r="E440" s="2" t="s">
        <v>74</v>
      </c>
      <c r="F440" s="2" t="s">
        <v>7433</v>
      </c>
      <c r="G440" s="2" t="s">
        <v>74</v>
      </c>
      <c r="H440" s="2" t="s">
        <v>74</v>
      </c>
      <c r="I440" s="2" t="s">
        <v>7434</v>
      </c>
      <c r="J440" s="2" t="s">
        <v>1995</v>
      </c>
      <c r="K440" s="2" t="s">
        <v>74</v>
      </c>
      <c r="L440" s="2" t="s">
        <v>74</v>
      </c>
      <c r="M440" s="2" t="s">
        <v>74</v>
      </c>
      <c r="N440" s="2" t="s">
        <v>74</v>
      </c>
      <c r="O440" s="2" t="s">
        <v>74</v>
      </c>
      <c r="P440" s="2" t="s">
        <v>74</v>
      </c>
      <c r="Q440" s="2" t="s">
        <v>74</v>
      </c>
      <c r="R440" s="2" t="s">
        <v>74</v>
      </c>
      <c r="S440" s="2" t="s">
        <v>74</v>
      </c>
      <c r="T440" s="2" t="s">
        <v>74</v>
      </c>
      <c r="U440" s="2" t="s">
        <v>74</v>
      </c>
      <c r="V440" s="5" t="s">
        <v>7435</v>
      </c>
      <c r="W440" s="2" t="s">
        <v>74</v>
      </c>
      <c r="X440" s="2" t="s">
        <v>74</v>
      </c>
      <c r="Y440" s="2" t="s">
        <v>74</v>
      </c>
      <c r="Z440" s="2" t="s">
        <v>74</v>
      </c>
      <c r="AA440" s="2" t="s">
        <v>74</v>
      </c>
      <c r="AB440" s="2" t="s">
        <v>7436</v>
      </c>
      <c r="AC440" s="2" t="s">
        <v>74</v>
      </c>
      <c r="AD440" s="2" t="s">
        <v>74</v>
      </c>
      <c r="AE440" s="2" t="s">
        <v>74</v>
      </c>
      <c r="AF440" s="2" t="s">
        <v>74</v>
      </c>
      <c r="AG440" s="2" t="s">
        <v>74</v>
      </c>
      <c r="AH440" s="2" t="s">
        <v>74</v>
      </c>
      <c r="AI440" s="2" t="s">
        <v>74</v>
      </c>
      <c r="AJ440" s="2" t="s">
        <v>74</v>
      </c>
      <c r="AK440" s="2" t="s">
        <v>74</v>
      </c>
      <c r="AL440" s="2" t="s">
        <v>74</v>
      </c>
      <c r="AM440" s="2" t="s">
        <v>74</v>
      </c>
      <c r="AN440" s="2" t="s">
        <v>74</v>
      </c>
      <c r="AO440" s="2" t="s">
        <v>1997</v>
      </c>
      <c r="AP440" s="2" t="s">
        <v>3917</v>
      </c>
      <c r="AQ440" s="2" t="s">
        <v>74</v>
      </c>
      <c r="AR440" s="2" t="s">
        <v>74</v>
      </c>
      <c r="AS440" s="2" t="s">
        <v>74</v>
      </c>
      <c r="AT440" s="2" t="s">
        <v>305</v>
      </c>
      <c r="AU440" s="2">
        <v>2021</v>
      </c>
      <c r="AV440" s="2">
        <v>92</v>
      </c>
      <c r="AW440" s="2">
        <v>4</v>
      </c>
      <c r="AX440" s="2" t="s">
        <v>74</v>
      </c>
      <c r="AY440" s="2" t="s">
        <v>74</v>
      </c>
      <c r="AZ440" s="2" t="s">
        <v>74</v>
      </c>
      <c r="BA440" s="2" t="s">
        <v>74</v>
      </c>
      <c r="BB440" s="2">
        <v>365</v>
      </c>
      <c r="BC440" s="2">
        <v>376</v>
      </c>
      <c r="BD440" s="2" t="s">
        <v>74</v>
      </c>
      <c r="BE440" s="2" t="s">
        <v>7437</v>
      </c>
      <c r="BF440" s="2" t="str">
        <f>HYPERLINK("http://dx.doi.org/10.1111/jofo.12395","http://dx.doi.org/10.1111/jofo.12395")</f>
        <v>http://dx.doi.org/10.1111/jofo.12395</v>
      </c>
      <c r="BG440" s="2" t="s">
        <v>74</v>
      </c>
      <c r="BH440" s="2" t="s">
        <v>7438</v>
      </c>
      <c r="BI440" s="2" t="s">
        <v>74</v>
      </c>
      <c r="BJ440" s="2" t="s">
        <v>74</v>
      </c>
      <c r="BK440" s="2" t="s">
        <v>74</v>
      </c>
      <c r="BL440" s="2" t="s">
        <v>74</v>
      </c>
      <c r="BM440" s="2" t="s">
        <v>74</v>
      </c>
      <c r="BN440" s="2" t="s">
        <v>74</v>
      </c>
      <c r="BO440" s="2" t="s">
        <v>74</v>
      </c>
      <c r="BP440" s="2" t="s">
        <v>74</v>
      </c>
      <c r="BQ440" s="2" t="s">
        <v>74</v>
      </c>
      <c r="BR440" s="2" t="s">
        <v>74</v>
      </c>
      <c r="BS440" s="2" t="s">
        <v>7439</v>
      </c>
      <c r="BT440" s="2" t="str">
        <f>HYPERLINK("https%3A%2F%2Fwww.webofscience.com%2Fwos%2Fwoscc%2Ffull-record%2FWOS:000751937600001","View Full Record in Web of Science")</f>
        <v>View Full Record in Web of Science</v>
      </c>
    </row>
    <row r="441" spans="1:72" s="2" customFormat="1" x14ac:dyDescent="0.4">
      <c r="A441" s="2" t="s">
        <v>72</v>
      </c>
      <c r="B441" s="2" t="s">
        <v>8324</v>
      </c>
      <c r="C441" s="2" t="s">
        <v>74</v>
      </c>
      <c r="D441" s="2" t="s">
        <v>74</v>
      </c>
      <c r="E441" s="2" t="s">
        <v>74</v>
      </c>
      <c r="F441" s="2" t="s">
        <v>8325</v>
      </c>
      <c r="G441" s="2" t="s">
        <v>74</v>
      </c>
      <c r="H441" s="2" t="s">
        <v>74</v>
      </c>
      <c r="I441" s="2" t="s">
        <v>8326</v>
      </c>
      <c r="J441" s="2" t="s">
        <v>408</v>
      </c>
      <c r="K441" s="2" t="s">
        <v>74</v>
      </c>
      <c r="L441" s="2" t="s">
        <v>74</v>
      </c>
      <c r="M441" s="2" t="s">
        <v>74</v>
      </c>
      <c r="N441" s="2" t="s">
        <v>74</v>
      </c>
      <c r="O441" s="2" t="s">
        <v>74</v>
      </c>
      <c r="P441" s="2" t="s">
        <v>74</v>
      </c>
      <c r="Q441" s="2" t="s">
        <v>74</v>
      </c>
      <c r="R441" s="2" t="s">
        <v>74</v>
      </c>
      <c r="S441" s="2" t="s">
        <v>74</v>
      </c>
      <c r="T441" s="2" t="s">
        <v>74</v>
      </c>
      <c r="U441" s="2" t="s">
        <v>74</v>
      </c>
      <c r="V441" s="5" t="s">
        <v>8327</v>
      </c>
      <c r="W441" s="2" t="s">
        <v>74</v>
      </c>
      <c r="X441" s="2" t="s">
        <v>74</v>
      </c>
      <c r="Y441" s="2" t="s">
        <v>74</v>
      </c>
      <c r="Z441" s="2" t="s">
        <v>74</v>
      </c>
      <c r="AA441" s="2" t="s">
        <v>8328</v>
      </c>
      <c r="AB441" s="2" t="s">
        <v>8329</v>
      </c>
      <c r="AC441" s="2" t="s">
        <v>74</v>
      </c>
      <c r="AD441" s="2" t="s">
        <v>74</v>
      </c>
      <c r="AE441" s="2" t="s">
        <v>74</v>
      </c>
      <c r="AF441" s="2" t="s">
        <v>74</v>
      </c>
      <c r="AG441" s="2" t="s">
        <v>74</v>
      </c>
      <c r="AH441" s="2" t="s">
        <v>74</v>
      </c>
      <c r="AI441" s="2" t="s">
        <v>74</v>
      </c>
      <c r="AJ441" s="2" t="s">
        <v>74</v>
      </c>
      <c r="AK441" s="2" t="s">
        <v>74</v>
      </c>
      <c r="AL441" s="2" t="s">
        <v>74</v>
      </c>
      <c r="AM441" s="2" t="s">
        <v>74</v>
      </c>
      <c r="AN441" s="2" t="s">
        <v>74</v>
      </c>
      <c r="AO441" s="2" t="s">
        <v>412</v>
      </c>
      <c r="AP441" s="2" t="s">
        <v>413</v>
      </c>
      <c r="AQ441" s="2" t="s">
        <v>74</v>
      </c>
      <c r="AR441" s="2" t="s">
        <v>74</v>
      </c>
      <c r="AS441" s="2" t="s">
        <v>74</v>
      </c>
      <c r="AT441" s="2" t="s">
        <v>175</v>
      </c>
      <c r="AU441" s="2">
        <v>2013</v>
      </c>
      <c r="AV441" s="2">
        <v>110</v>
      </c>
      <c r="AW441" s="2">
        <v>2</v>
      </c>
      <c r="AX441" s="2" t="s">
        <v>74</v>
      </c>
      <c r="AY441" s="2" t="s">
        <v>74</v>
      </c>
      <c r="AZ441" s="2" t="s">
        <v>74</v>
      </c>
      <c r="BA441" s="2" t="s">
        <v>74</v>
      </c>
      <c r="BB441" s="2">
        <v>409</v>
      </c>
      <c r="BC441" s="2">
        <v>426</v>
      </c>
      <c r="BD441" s="2" t="s">
        <v>74</v>
      </c>
      <c r="BE441" s="2" t="s">
        <v>8330</v>
      </c>
      <c r="BF441" s="2" t="str">
        <f>HYPERLINK("http://dx.doi.org/10.1111/bij.12131","http://dx.doi.org/10.1111/bij.12131")</f>
        <v>http://dx.doi.org/10.1111/bij.12131</v>
      </c>
      <c r="BG441" s="2" t="s">
        <v>74</v>
      </c>
      <c r="BH441" s="2" t="s">
        <v>74</v>
      </c>
      <c r="BI441" s="2" t="s">
        <v>74</v>
      </c>
      <c r="BJ441" s="2" t="s">
        <v>74</v>
      </c>
      <c r="BK441" s="2" t="s">
        <v>74</v>
      </c>
      <c r="BL441" s="2" t="s">
        <v>74</v>
      </c>
      <c r="BM441" s="2" t="s">
        <v>74</v>
      </c>
      <c r="BN441" s="2" t="s">
        <v>74</v>
      </c>
      <c r="BO441" s="2" t="s">
        <v>74</v>
      </c>
      <c r="BP441" s="2" t="s">
        <v>74</v>
      </c>
      <c r="BQ441" s="2" t="s">
        <v>74</v>
      </c>
      <c r="BR441" s="2" t="s">
        <v>74</v>
      </c>
      <c r="BS441" s="2" t="s">
        <v>8331</v>
      </c>
      <c r="BT441" s="2" t="str">
        <f>HYPERLINK("https%3A%2F%2Fwww.webofscience.com%2Fwos%2Fwoscc%2Ffull-record%2FWOS:000324302400012","View Full Record in Web of Science")</f>
        <v>View Full Record in Web of Science</v>
      </c>
    </row>
    <row r="442" spans="1:72" s="2" customFormat="1" x14ac:dyDescent="0.4">
      <c r="A442" s="2" t="s">
        <v>72</v>
      </c>
      <c r="B442" s="2" t="s">
        <v>7777</v>
      </c>
      <c r="C442" s="2" t="s">
        <v>74</v>
      </c>
      <c r="D442" s="2" t="s">
        <v>74</v>
      </c>
      <c r="E442" s="2" t="s">
        <v>74</v>
      </c>
      <c r="F442" s="2" t="s">
        <v>7777</v>
      </c>
      <c r="G442" s="2" t="s">
        <v>74</v>
      </c>
      <c r="H442" s="2" t="s">
        <v>74</v>
      </c>
      <c r="I442" s="2" t="s">
        <v>7778</v>
      </c>
      <c r="J442" s="2" t="s">
        <v>129</v>
      </c>
      <c r="K442" s="2" t="s">
        <v>74</v>
      </c>
      <c r="L442" s="2" t="s">
        <v>74</v>
      </c>
      <c r="M442" s="2" t="s">
        <v>74</v>
      </c>
      <c r="N442" s="2" t="s">
        <v>74</v>
      </c>
      <c r="O442" s="2" t="s">
        <v>74</v>
      </c>
      <c r="P442" s="2" t="s">
        <v>74</v>
      </c>
      <c r="Q442" s="2" t="s">
        <v>74</v>
      </c>
      <c r="R442" s="2" t="s">
        <v>74</v>
      </c>
      <c r="S442" s="2" t="s">
        <v>74</v>
      </c>
      <c r="T442" s="2" t="s">
        <v>74</v>
      </c>
      <c r="U442" s="2" t="s">
        <v>74</v>
      </c>
      <c r="V442" s="5" t="s">
        <v>7779</v>
      </c>
      <c r="W442" s="2" t="s">
        <v>74</v>
      </c>
      <c r="X442" s="2" t="s">
        <v>74</v>
      </c>
      <c r="Y442" s="2" t="s">
        <v>74</v>
      </c>
      <c r="Z442" s="2" t="s">
        <v>74</v>
      </c>
      <c r="AA442" s="2" t="s">
        <v>7780</v>
      </c>
      <c r="AB442" s="2" t="s">
        <v>7781</v>
      </c>
      <c r="AC442" s="2" t="s">
        <v>74</v>
      </c>
      <c r="AD442" s="2" t="s">
        <v>74</v>
      </c>
      <c r="AE442" s="2" t="s">
        <v>74</v>
      </c>
      <c r="AF442" s="2" t="s">
        <v>74</v>
      </c>
      <c r="AG442" s="2" t="s">
        <v>74</v>
      </c>
      <c r="AH442" s="2" t="s">
        <v>74</v>
      </c>
      <c r="AI442" s="2" t="s">
        <v>74</v>
      </c>
      <c r="AJ442" s="2" t="s">
        <v>74</v>
      </c>
      <c r="AK442" s="2" t="s">
        <v>74</v>
      </c>
      <c r="AL442" s="2" t="s">
        <v>74</v>
      </c>
      <c r="AM442" s="2" t="s">
        <v>74</v>
      </c>
      <c r="AN442" s="2" t="s">
        <v>74</v>
      </c>
      <c r="AO442" s="2" t="s">
        <v>132</v>
      </c>
      <c r="AP442" s="2" t="s">
        <v>74</v>
      </c>
      <c r="AQ442" s="2" t="s">
        <v>74</v>
      </c>
      <c r="AR442" s="2" t="s">
        <v>74</v>
      </c>
      <c r="AS442" s="2" t="s">
        <v>74</v>
      </c>
      <c r="AT442" s="2" t="s">
        <v>123</v>
      </c>
      <c r="AU442" s="2">
        <v>1994</v>
      </c>
      <c r="AV442" s="2">
        <v>34</v>
      </c>
      <c r="AW442" s="2">
        <v>3</v>
      </c>
      <c r="AX442" s="2" t="s">
        <v>74</v>
      </c>
      <c r="AY442" s="2" t="s">
        <v>74</v>
      </c>
      <c r="AZ442" s="2" t="s">
        <v>74</v>
      </c>
      <c r="BA442" s="2" t="s">
        <v>74</v>
      </c>
      <c r="BB442" s="2">
        <v>203</v>
      </c>
      <c r="BC442" s="2">
        <v>210</v>
      </c>
      <c r="BD442" s="2" t="s">
        <v>74</v>
      </c>
      <c r="BE442" s="2" t="s">
        <v>7782</v>
      </c>
      <c r="BF442" s="2" t="str">
        <f>HYPERLINK("http://dx.doi.org/10.1007/s002650050034","http://dx.doi.org/10.1007/s002650050034")</f>
        <v>http://dx.doi.org/10.1007/s002650050034</v>
      </c>
      <c r="BG442" s="2" t="s">
        <v>74</v>
      </c>
      <c r="BH442" s="2" t="s">
        <v>74</v>
      </c>
      <c r="BI442" s="2" t="s">
        <v>74</v>
      </c>
      <c r="BJ442" s="2" t="s">
        <v>74</v>
      </c>
      <c r="BK442" s="2" t="s">
        <v>74</v>
      </c>
      <c r="BL442" s="2" t="s">
        <v>74</v>
      </c>
      <c r="BM442" s="2" t="s">
        <v>74</v>
      </c>
      <c r="BN442" s="2" t="s">
        <v>74</v>
      </c>
      <c r="BO442" s="2" t="s">
        <v>74</v>
      </c>
      <c r="BP442" s="2" t="s">
        <v>74</v>
      </c>
      <c r="BQ442" s="2" t="s">
        <v>74</v>
      </c>
      <c r="BR442" s="2" t="s">
        <v>74</v>
      </c>
      <c r="BS442" s="2" t="s">
        <v>7783</v>
      </c>
      <c r="BT442" s="2" t="str">
        <f>HYPERLINK("https%3A%2F%2Fwww.webofscience.com%2Fwos%2Fwoscc%2Ffull-record%2FWOS:A1994NG04500006","View Full Record in Web of Science")</f>
        <v>View Full Record in Web of Science</v>
      </c>
    </row>
    <row r="443" spans="1:72" s="2" customFormat="1" x14ac:dyDescent="0.4">
      <c r="A443" s="2" t="s">
        <v>72</v>
      </c>
      <c r="B443" s="2" t="s">
        <v>5575</v>
      </c>
      <c r="C443" s="2" t="s">
        <v>74</v>
      </c>
      <c r="D443" s="2" t="s">
        <v>74</v>
      </c>
      <c r="E443" s="2" t="s">
        <v>74</v>
      </c>
      <c r="F443" s="2" t="s">
        <v>5575</v>
      </c>
      <c r="G443" s="2" t="s">
        <v>74</v>
      </c>
      <c r="H443" s="2" t="s">
        <v>74</v>
      </c>
      <c r="I443" s="2" t="s">
        <v>5576</v>
      </c>
      <c r="J443" s="2" t="s">
        <v>5577</v>
      </c>
      <c r="K443" s="2" t="s">
        <v>74</v>
      </c>
      <c r="L443" s="2" t="s">
        <v>74</v>
      </c>
      <c r="M443" s="2" t="s">
        <v>74</v>
      </c>
      <c r="N443" s="2" t="s">
        <v>74</v>
      </c>
      <c r="O443" s="2" t="s">
        <v>74</v>
      </c>
      <c r="P443" s="2" t="s">
        <v>74</v>
      </c>
      <c r="Q443" s="2" t="s">
        <v>74</v>
      </c>
      <c r="R443" s="2" t="s">
        <v>74</v>
      </c>
      <c r="S443" s="2" t="s">
        <v>74</v>
      </c>
      <c r="T443" s="2" t="s">
        <v>74</v>
      </c>
      <c r="U443" s="2" t="s">
        <v>74</v>
      </c>
      <c r="V443" s="5" t="s">
        <v>5578</v>
      </c>
      <c r="W443" s="2" t="s">
        <v>74</v>
      </c>
      <c r="X443" s="2" t="s">
        <v>74</v>
      </c>
      <c r="Y443" s="2" t="s">
        <v>74</v>
      </c>
      <c r="Z443" s="2" t="s">
        <v>74</v>
      </c>
      <c r="AA443" s="2" t="s">
        <v>74</v>
      </c>
      <c r="AB443" s="2" t="s">
        <v>74</v>
      </c>
      <c r="AC443" s="2" t="s">
        <v>74</v>
      </c>
      <c r="AD443" s="2" t="s">
        <v>74</v>
      </c>
      <c r="AE443" s="2" t="s">
        <v>74</v>
      </c>
      <c r="AF443" s="2" t="s">
        <v>74</v>
      </c>
      <c r="AG443" s="2" t="s">
        <v>74</v>
      </c>
      <c r="AH443" s="2" t="s">
        <v>74</v>
      </c>
      <c r="AI443" s="2" t="s">
        <v>74</v>
      </c>
      <c r="AJ443" s="2" t="s">
        <v>74</v>
      </c>
      <c r="AK443" s="2" t="s">
        <v>74</v>
      </c>
      <c r="AL443" s="2" t="s">
        <v>74</v>
      </c>
      <c r="AM443" s="2" t="s">
        <v>74</v>
      </c>
      <c r="AN443" s="2" t="s">
        <v>74</v>
      </c>
      <c r="AO443" s="2" t="s">
        <v>5579</v>
      </c>
      <c r="AP443" s="2" t="s">
        <v>74</v>
      </c>
      <c r="AQ443" s="2" t="s">
        <v>74</v>
      </c>
      <c r="AR443" s="2" t="s">
        <v>74</v>
      </c>
      <c r="AS443" s="2" t="s">
        <v>74</v>
      </c>
      <c r="AT443" s="2" t="s">
        <v>123</v>
      </c>
      <c r="AU443" s="2">
        <v>1989</v>
      </c>
      <c r="AV443" s="2">
        <v>68</v>
      </c>
      <c r="AW443" s="2">
        <v>3</v>
      </c>
      <c r="AX443" s="2" t="s">
        <v>74</v>
      </c>
      <c r="AY443" s="2" t="s">
        <v>74</v>
      </c>
      <c r="AZ443" s="2" t="s">
        <v>74</v>
      </c>
      <c r="BA443" s="2" t="s">
        <v>74</v>
      </c>
      <c r="BB443" s="2">
        <v>67</v>
      </c>
      <c r="BC443" s="2">
        <v>76</v>
      </c>
      <c r="BD443" s="2" t="s">
        <v>74</v>
      </c>
      <c r="BE443" s="2" t="s">
        <v>74</v>
      </c>
      <c r="BF443" s="2" t="s">
        <v>74</v>
      </c>
      <c r="BG443" s="2" t="s">
        <v>74</v>
      </c>
      <c r="BH443" s="2" t="s">
        <v>74</v>
      </c>
      <c r="BI443" s="2" t="s">
        <v>74</v>
      </c>
      <c r="BJ443" s="2" t="s">
        <v>74</v>
      </c>
      <c r="BK443" s="2" t="s">
        <v>74</v>
      </c>
      <c r="BL443" s="2" t="s">
        <v>74</v>
      </c>
      <c r="BM443" s="2" t="s">
        <v>74</v>
      </c>
      <c r="BN443" s="2" t="s">
        <v>74</v>
      </c>
      <c r="BO443" s="2" t="s">
        <v>74</v>
      </c>
      <c r="BP443" s="2" t="s">
        <v>74</v>
      </c>
      <c r="BQ443" s="2" t="s">
        <v>74</v>
      </c>
      <c r="BR443" s="2" t="s">
        <v>74</v>
      </c>
      <c r="BS443" s="2" t="s">
        <v>5580</v>
      </c>
      <c r="BT443" s="2" t="str">
        <f>HYPERLINK("https%3A%2F%2Fwww.webofscience.com%2Fwos%2Fwoscc%2Ffull-record%2FWOS:A1989U136200008","View Full Record in Web of Science")</f>
        <v>View Full Record in Web of Science</v>
      </c>
    </row>
    <row r="444" spans="1:72" s="2" customFormat="1" x14ac:dyDescent="0.4">
      <c r="A444" s="2" t="s">
        <v>72</v>
      </c>
      <c r="B444" s="2" t="s">
        <v>6932</v>
      </c>
      <c r="C444" s="2" t="s">
        <v>74</v>
      </c>
      <c r="D444" s="2" t="s">
        <v>74</v>
      </c>
      <c r="E444" s="2" t="s">
        <v>74</v>
      </c>
      <c r="F444" s="2" t="s">
        <v>6933</v>
      </c>
      <c r="G444" s="2" t="s">
        <v>74</v>
      </c>
      <c r="H444" s="2" t="s">
        <v>74</v>
      </c>
      <c r="I444" s="2" t="s">
        <v>6934</v>
      </c>
      <c r="J444" s="2" t="s">
        <v>129</v>
      </c>
      <c r="K444" s="2" t="s">
        <v>74</v>
      </c>
      <c r="L444" s="2" t="s">
        <v>74</v>
      </c>
      <c r="M444" s="2" t="s">
        <v>74</v>
      </c>
      <c r="N444" s="2" t="s">
        <v>74</v>
      </c>
      <c r="O444" s="2" t="s">
        <v>74</v>
      </c>
      <c r="P444" s="2" t="s">
        <v>74</v>
      </c>
      <c r="Q444" s="2" t="s">
        <v>74</v>
      </c>
      <c r="R444" s="2" t="s">
        <v>74</v>
      </c>
      <c r="S444" s="2" t="s">
        <v>74</v>
      </c>
      <c r="T444" s="2" t="s">
        <v>74</v>
      </c>
      <c r="U444" s="2" t="s">
        <v>74</v>
      </c>
      <c r="V444" s="5" t="s">
        <v>6935</v>
      </c>
      <c r="W444" s="2" t="s">
        <v>74</v>
      </c>
      <c r="X444" s="2" t="s">
        <v>74</v>
      </c>
      <c r="Y444" s="2" t="s">
        <v>74</v>
      </c>
      <c r="Z444" s="2" t="s">
        <v>74</v>
      </c>
      <c r="AA444" s="2" t="s">
        <v>6936</v>
      </c>
      <c r="AB444" s="2" t="s">
        <v>6937</v>
      </c>
      <c r="AC444" s="2" t="s">
        <v>74</v>
      </c>
      <c r="AD444" s="2" t="s">
        <v>74</v>
      </c>
      <c r="AE444" s="2" t="s">
        <v>74</v>
      </c>
      <c r="AF444" s="2" t="s">
        <v>74</v>
      </c>
      <c r="AG444" s="2" t="s">
        <v>74</v>
      </c>
      <c r="AH444" s="2" t="s">
        <v>74</v>
      </c>
      <c r="AI444" s="2" t="s">
        <v>74</v>
      </c>
      <c r="AJ444" s="2" t="s">
        <v>74</v>
      </c>
      <c r="AK444" s="2" t="s">
        <v>74</v>
      </c>
      <c r="AL444" s="2" t="s">
        <v>74</v>
      </c>
      <c r="AM444" s="2" t="s">
        <v>74</v>
      </c>
      <c r="AN444" s="2" t="s">
        <v>74</v>
      </c>
      <c r="AO444" s="2" t="s">
        <v>132</v>
      </c>
      <c r="AP444" s="2" t="s">
        <v>133</v>
      </c>
      <c r="AQ444" s="2" t="s">
        <v>74</v>
      </c>
      <c r="AR444" s="2" t="s">
        <v>74</v>
      </c>
      <c r="AS444" s="2" t="s">
        <v>74</v>
      </c>
      <c r="AT444" s="2" t="s">
        <v>255</v>
      </c>
      <c r="AU444" s="2">
        <v>2022</v>
      </c>
      <c r="AV444" s="2">
        <v>76</v>
      </c>
      <c r="AW444" s="2">
        <v>1</v>
      </c>
      <c r="AX444" s="2" t="s">
        <v>74</v>
      </c>
      <c r="AY444" s="2" t="s">
        <v>74</v>
      </c>
      <c r="AZ444" s="2" t="s">
        <v>74</v>
      </c>
      <c r="BA444" s="2" t="s">
        <v>74</v>
      </c>
      <c r="BB444" s="2" t="s">
        <v>74</v>
      </c>
      <c r="BC444" s="2" t="s">
        <v>74</v>
      </c>
      <c r="BD444" s="2">
        <v>5</v>
      </c>
      <c r="BE444" s="2" t="s">
        <v>6938</v>
      </c>
      <c r="BF444" s="2" t="str">
        <f>HYPERLINK("http://dx.doi.org/10.1007/s00265-021-03122-0","http://dx.doi.org/10.1007/s00265-021-03122-0")</f>
        <v>http://dx.doi.org/10.1007/s00265-021-03122-0</v>
      </c>
      <c r="BG444" s="2" t="s">
        <v>74</v>
      </c>
      <c r="BH444" s="2" t="s">
        <v>74</v>
      </c>
      <c r="BI444" s="2" t="s">
        <v>74</v>
      </c>
      <c r="BJ444" s="2" t="s">
        <v>74</v>
      </c>
      <c r="BK444" s="2" t="s">
        <v>74</v>
      </c>
      <c r="BL444" s="2" t="s">
        <v>74</v>
      </c>
      <c r="BM444" s="2" t="s">
        <v>74</v>
      </c>
      <c r="BN444" s="2" t="s">
        <v>74</v>
      </c>
      <c r="BO444" s="2" t="s">
        <v>74</v>
      </c>
      <c r="BP444" s="2" t="s">
        <v>74</v>
      </c>
      <c r="BQ444" s="2" t="s">
        <v>74</v>
      </c>
      <c r="BR444" s="2" t="s">
        <v>74</v>
      </c>
      <c r="BS444" s="2" t="s">
        <v>6939</v>
      </c>
      <c r="BT444" s="2" t="str">
        <f>HYPERLINK("https%3A%2F%2Fwww.webofscience.com%2Fwos%2Fwoscc%2Ffull-record%2FWOS:000736712500001","View Full Record in Web of Science")</f>
        <v>View Full Record in Web of Science</v>
      </c>
    </row>
    <row r="445" spans="1:72" s="2" customFormat="1" x14ac:dyDescent="0.4">
      <c r="A445" s="2" t="s">
        <v>72</v>
      </c>
      <c r="B445" s="2" t="s">
        <v>2507</v>
      </c>
      <c r="C445" s="2" t="s">
        <v>74</v>
      </c>
      <c r="D445" s="2" t="s">
        <v>74</v>
      </c>
      <c r="E445" s="2" t="s">
        <v>74</v>
      </c>
      <c r="F445" s="2" t="s">
        <v>2508</v>
      </c>
      <c r="G445" s="2" t="s">
        <v>74</v>
      </c>
      <c r="H445" s="2" t="s">
        <v>74</v>
      </c>
      <c r="I445" s="2" t="s">
        <v>2509</v>
      </c>
      <c r="J445" s="2" t="s">
        <v>509</v>
      </c>
      <c r="K445" s="2" t="s">
        <v>74</v>
      </c>
      <c r="L445" s="2" t="s">
        <v>74</v>
      </c>
      <c r="M445" s="2" t="s">
        <v>74</v>
      </c>
      <c r="N445" s="2" t="s">
        <v>74</v>
      </c>
      <c r="O445" s="2" t="s">
        <v>74</v>
      </c>
      <c r="P445" s="2" t="s">
        <v>74</v>
      </c>
      <c r="Q445" s="2" t="s">
        <v>74</v>
      </c>
      <c r="R445" s="2" t="s">
        <v>74</v>
      </c>
      <c r="S445" s="2" t="s">
        <v>74</v>
      </c>
      <c r="T445" s="2" t="s">
        <v>74</v>
      </c>
      <c r="U445" s="2" t="s">
        <v>74</v>
      </c>
      <c r="V445" s="5" t="s">
        <v>2510</v>
      </c>
      <c r="W445" s="2" t="s">
        <v>74</v>
      </c>
      <c r="X445" s="2" t="s">
        <v>74</v>
      </c>
      <c r="Y445" s="2" t="s">
        <v>74</v>
      </c>
      <c r="Z445" s="2" t="s">
        <v>74</v>
      </c>
      <c r="AA445" s="2" t="s">
        <v>2511</v>
      </c>
      <c r="AB445" s="2" t="s">
        <v>2512</v>
      </c>
      <c r="AC445" s="2" t="s">
        <v>74</v>
      </c>
      <c r="AD445" s="2" t="s">
        <v>74</v>
      </c>
      <c r="AE445" s="2" t="s">
        <v>74</v>
      </c>
      <c r="AF445" s="2" t="s">
        <v>74</v>
      </c>
      <c r="AG445" s="2" t="s">
        <v>74</v>
      </c>
      <c r="AH445" s="2" t="s">
        <v>74</v>
      </c>
      <c r="AI445" s="2" t="s">
        <v>74</v>
      </c>
      <c r="AJ445" s="2" t="s">
        <v>74</v>
      </c>
      <c r="AK445" s="2" t="s">
        <v>74</v>
      </c>
      <c r="AL445" s="2" t="s">
        <v>74</v>
      </c>
      <c r="AM445" s="2" t="s">
        <v>74</v>
      </c>
      <c r="AN445" s="2" t="s">
        <v>74</v>
      </c>
      <c r="AO445" s="2" t="s">
        <v>511</v>
      </c>
      <c r="AP445" s="2" t="s">
        <v>512</v>
      </c>
      <c r="AQ445" s="2" t="s">
        <v>74</v>
      </c>
      <c r="AR445" s="2" t="s">
        <v>74</v>
      </c>
      <c r="AS445" s="2" t="s">
        <v>74</v>
      </c>
      <c r="AT445" s="2" t="s">
        <v>204</v>
      </c>
      <c r="AU445" s="2">
        <v>2018</v>
      </c>
      <c r="AV445" s="2">
        <v>103</v>
      </c>
      <c r="AW445" s="2" t="s">
        <v>74</v>
      </c>
      <c r="AX445" s="2" t="s">
        <v>74</v>
      </c>
      <c r="AY445" s="2" t="s">
        <v>74</v>
      </c>
      <c r="AZ445" s="2" t="s">
        <v>74</v>
      </c>
      <c r="BA445" s="2" t="s">
        <v>74</v>
      </c>
      <c r="BB445" s="2">
        <v>28</v>
      </c>
      <c r="BC445" s="2">
        <v>35</v>
      </c>
      <c r="BD445" s="2" t="s">
        <v>74</v>
      </c>
      <c r="BE445" s="2" t="s">
        <v>2513</v>
      </c>
      <c r="BF445" s="2" t="str">
        <f>HYPERLINK("http://dx.doi.org/10.1016/j.yhbeh.2018.05.015","http://dx.doi.org/10.1016/j.yhbeh.2018.05.015")</f>
        <v>http://dx.doi.org/10.1016/j.yhbeh.2018.05.015</v>
      </c>
      <c r="BG445" s="2" t="s">
        <v>74</v>
      </c>
      <c r="BH445" s="2" t="s">
        <v>74</v>
      </c>
      <c r="BI445" s="2" t="s">
        <v>74</v>
      </c>
      <c r="BJ445" s="2" t="s">
        <v>74</v>
      </c>
      <c r="BK445" s="2" t="s">
        <v>74</v>
      </c>
      <c r="BL445" s="2" t="s">
        <v>74</v>
      </c>
      <c r="BM445" s="2" t="s">
        <v>74</v>
      </c>
      <c r="BN445" s="2">
        <v>29807035</v>
      </c>
      <c r="BO445" s="2" t="s">
        <v>74</v>
      </c>
      <c r="BP445" s="2" t="s">
        <v>74</v>
      </c>
      <c r="BQ445" s="2" t="s">
        <v>74</v>
      </c>
      <c r="BR445" s="2" t="s">
        <v>74</v>
      </c>
      <c r="BS445" s="2" t="s">
        <v>2514</v>
      </c>
      <c r="BT445" s="2" t="str">
        <f>HYPERLINK("https%3A%2F%2Fwww.webofscience.com%2Fwos%2Fwoscc%2Ffull-record%2FWOS:000441368400004","View Full Record in Web of Science")</f>
        <v>View Full Record in Web of Science</v>
      </c>
    </row>
    <row r="446" spans="1:72" s="2" customFormat="1" x14ac:dyDescent="0.4">
      <c r="A446" s="2" t="s">
        <v>72</v>
      </c>
      <c r="B446" s="2" t="s">
        <v>5095</v>
      </c>
      <c r="C446" s="2" t="s">
        <v>74</v>
      </c>
      <c r="D446" s="2" t="s">
        <v>74</v>
      </c>
      <c r="E446" s="2" t="s">
        <v>74</v>
      </c>
      <c r="F446" s="2" t="s">
        <v>5096</v>
      </c>
      <c r="G446" s="2" t="s">
        <v>74</v>
      </c>
      <c r="H446" s="2" t="s">
        <v>74</v>
      </c>
      <c r="I446" s="2" t="s">
        <v>5097</v>
      </c>
      <c r="J446" s="2" t="s">
        <v>333</v>
      </c>
      <c r="K446" s="2" t="s">
        <v>74</v>
      </c>
      <c r="L446" s="2" t="s">
        <v>74</v>
      </c>
      <c r="M446" s="2" t="s">
        <v>74</v>
      </c>
      <c r="N446" s="2" t="s">
        <v>74</v>
      </c>
      <c r="O446" s="2" t="s">
        <v>74</v>
      </c>
      <c r="P446" s="2" t="s">
        <v>74</v>
      </c>
      <c r="Q446" s="2" t="s">
        <v>74</v>
      </c>
      <c r="R446" s="2" t="s">
        <v>74</v>
      </c>
      <c r="S446" s="2" t="s">
        <v>74</v>
      </c>
      <c r="T446" s="2" t="s">
        <v>74</v>
      </c>
      <c r="U446" s="2" t="s">
        <v>74</v>
      </c>
      <c r="V446" s="5" t="s">
        <v>5098</v>
      </c>
      <c r="W446" s="2" t="s">
        <v>74</v>
      </c>
      <c r="X446" s="2" t="s">
        <v>74</v>
      </c>
      <c r="Y446" s="2" t="s">
        <v>74</v>
      </c>
      <c r="Z446" s="2" t="s">
        <v>74</v>
      </c>
      <c r="AA446" s="2" t="s">
        <v>2511</v>
      </c>
      <c r="AB446" s="2" t="s">
        <v>5099</v>
      </c>
      <c r="AC446" s="2" t="s">
        <v>74</v>
      </c>
      <c r="AD446" s="2" t="s">
        <v>74</v>
      </c>
      <c r="AE446" s="2" t="s">
        <v>74</v>
      </c>
      <c r="AF446" s="2" t="s">
        <v>74</v>
      </c>
      <c r="AG446" s="2" t="s">
        <v>74</v>
      </c>
      <c r="AH446" s="2" t="s">
        <v>74</v>
      </c>
      <c r="AI446" s="2" t="s">
        <v>74</v>
      </c>
      <c r="AJ446" s="2" t="s">
        <v>74</v>
      </c>
      <c r="AK446" s="2" t="s">
        <v>74</v>
      </c>
      <c r="AL446" s="2" t="s">
        <v>74</v>
      </c>
      <c r="AM446" s="2" t="s">
        <v>74</v>
      </c>
      <c r="AN446" s="2" t="s">
        <v>74</v>
      </c>
      <c r="AO446" s="2" t="s">
        <v>337</v>
      </c>
      <c r="AP446" s="2" t="s">
        <v>338</v>
      </c>
      <c r="AQ446" s="2" t="s">
        <v>74</v>
      </c>
      <c r="AR446" s="2" t="s">
        <v>74</v>
      </c>
      <c r="AS446" s="2" t="s">
        <v>74</v>
      </c>
      <c r="AT446" s="2" t="s">
        <v>5100</v>
      </c>
      <c r="AU446" s="2">
        <v>2022</v>
      </c>
      <c r="AV446" s="2">
        <v>33</v>
      </c>
      <c r="AW446" s="2">
        <v>1</v>
      </c>
      <c r="AX446" s="2" t="s">
        <v>74</v>
      </c>
      <c r="AY446" s="2" t="s">
        <v>74</v>
      </c>
      <c r="AZ446" s="2" t="s">
        <v>74</v>
      </c>
      <c r="BA446" s="2" t="s">
        <v>74</v>
      </c>
      <c r="BB446" s="2">
        <v>233</v>
      </c>
      <c r="BC446" s="2">
        <v>244</v>
      </c>
      <c r="BD446" s="2" t="s">
        <v>5101</v>
      </c>
      <c r="BE446" s="2" t="s">
        <v>5102</v>
      </c>
      <c r="BF446" s="2" t="str">
        <f>HYPERLINK("http://dx.doi.org/10.1093/beheco/arab129","http://dx.doi.org/10.1093/beheco/arab129")</f>
        <v>http://dx.doi.org/10.1093/beheco/arab129</v>
      </c>
      <c r="BG446" s="2" t="s">
        <v>74</v>
      </c>
      <c r="BH446" s="2" t="s">
        <v>5103</v>
      </c>
      <c r="BI446" s="2" t="s">
        <v>74</v>
      </c>
      <c r="BJ446" s="2" t="s">
        <v>74</v>
      </c>
      <c r="BK446" s="2" t="s">
        <v>74</v>
      </c>
      <c r="BL446" s="2" t="s">
        <v>74</v>
      </c>
      <c r="BM446" s="2" t="s">
        <v>74</v>
      </c>
      <c r="BN446" s="2">
        <v>35210941</v>
      </c>
      <c r="BO446" s="2" t="s">
        <v>74</v>
      </c>
      <c r="BP446" s="2" t="s">
        <v>74</v>
      </c>
      <c r="BQ446" s="2" t="s">
        <v>74</v>
      </c>
      <c r="BR446" s="2" t="s">
        <v>74</v>
      </c>
      <c r="BS446" s="2" t="s">
        <v>5104</v>
      </c>
      <c r="BT446" s="2" t="str">
        <f>HYPERLINK("https%3A%2F%2Fwww.webofscience.com%2Fwos%2Fwoscc%2Ffull-record%2FWOS:000757960400024","View Full Record in Web of Science")</f>
        <v>View Full Record in Web of Science</v>
      </c>
    </row>
    <row r="447" spans="1:72" s="2" customFormat="1" x14ac:dyDescent="0.4">
      <c r="A447" s="2" t="s">
        <v>72</v>
      </c>
      <c r="B447" s="2" t="s">
        <v>7619</v>
      </c>
      <c r="C447" s="2" t="s">
        <v>74</v>
      </c>
      <c r="D447" s="2" t="s">
        <v>74</v>
      </c>
      <c r="E447" s="2" t="s">
        <v>74</v>
      </c>
      <c r="F447" s="2" t="s">
        <v>7620</v>
      </c>
      <c r="G447" s="2" t="s">
        <v>74</v>
      </c>
      <c r="H447" s="2" t="s">
        <v>74</v>
      </c>
      <c r="I447" s="2" t="s">
        <v>7621</v>
      </c>
      <c r="J447" s="2" t="s">
        <v>7622</v>
      </c>
      <c r="K447" s="2" t="s">
        <v>74</v>
      </c>
      <c r="L447" s="2" t="s">
        <v>74</v>
      </c>
      <c r="M447" s="2" t="s">
        <v>74</v>
      </c>
      <c r="N447" s="2" t="s">
        <v>74</v>
      </c>
      <c r="O447" s="2" t="s">
        <v>74</v>
      </c>
      <c r="P447" s="2" t="s">
        <v>74</v>
      </c>
      <c r="Q447" s="2" t="s">
        <v>74</v>
      </c>
      <c r="R447" s="2" t="s">
        <v>74</v>
      </c>
      <c r="S447" s="2" t="s">
        <v>74</v>
      </c>
      <c r="T447" s="2" t="s">
        <v>74</v>
      </c>
      <c r="U447" s="2" t="s">
        <v>74</v>
      </c>
      <c r="V447" s="5" t="s">
        <v>7623</v>
      </c>
      <c r="W447" s="2" t="s">
        <v>74</v>
      </c>
      <c r="X447" s="2" t="s">
        <v>74</v>
      </c>
      <c r="Y447" s="2" t="s">
        <v>74</v>
      </c>
      <c r="Z447" s="2" t="s">
        <v>74</v>
      </c>
      <c r="AA447" s="2" t="s">
        <v>74</v>
      </c>
      <c r="AB447" s="2" t="s">
        <v>74</v>
      </c>
      <c r="AC447" s="2" t="s">
        <v>74</v>
      </c>
      <c r="AD447" s="2" t="s">
        <v>74</v>
      </c>
      <c r="AE447" s="2" t="s">
        <v>74</v>
      </c>
      <c r="AF447" s="2" t="s">
        <v>74</v>
      </c>
      <c r="AG447" s="2" t="s">
        <v>74</v>
      </c>
      <c r="AH447" s="2" t="s">
        <v>74</v>
      </c>
      <c r="AI447" s="2" t="s">
        <v>74</v>
      </c>
      <c r="AJ447" s="2" t="s">
        <v>74</v>
      </c>
      <c r="AK447" s="2" t="s">
        <v>74</v>
      </c>
      <c r="AL447" s="2" t="s">
        <v>74</v>
      </c>
      <c r="AM447" s="2" t="s">
        <v>74</v>
      </c>
      <c r="AN447" s="2" t="s">
        <v>74</v>
      </c>
      <c r="AO447" s="2" t="s">
        <v>7624</v>
      </c>
      <c r="AP447" s="2" t="s">
        <v>74</v>
      </c>
      <c r="AQ447" s="2" t="s">
        <v>74</v>
      </c>
      <c r="AR447" s="2" t="s">
        <v>74</v>
      </c>
      <c r="AS447" s="2" t="s">
        <v>74</v>
      </c>
      <c r="AT447" s="2" t="s">
        <v>305</v>
      </c>
      <c r="AU447" s="2">
        <v>2007</v>
      </c>
      <c r="AV447" s="2">
        <v>36</v>
      </c>
      <c r="AW447" s="2">
        <v>6</v>
      </c>
      <c r="AX447" s="2" t="s">
        <v>74</v>
      </c>
      <c r="AY447" s="2" t="s">
        <v>74</v>
      </c>
      <c r="AZ447" s="2" t="s">
        <v>74</v>
      </c>
      <c r="BA447" s="2" t="s">
        <v>74</v>
      </c>
      <c r="BB447" s="2">
        <v>348</v>
      </c>
      <c r="BC447" s="2">
        <v>354</v>
      </c>
      <c r="BD447" s="2" t="s">
        <v>74</v>
      </c>
      <c r="BE447" s="2" t="s">
        <v>7625</v>
      </c>
      <c r="BF447" s="2" t="str">
        <f>HYPERLINK("http://dx.doi.org/10.1111/j.1600-0684.2007.00227.x","http://dx.doi.org/10.1111/j.1600-0684.2007.00227.x")</f>
        <v>http://dx.doi.org/10.1111/j.1600-0684.2007.00227.x</v>
      </c>
      <c r="BG447" s="2" t="s">
        <v>74</v>
      </c>
      <c r="BH447" s="2" t="s">
        <v>74</v>
      </c>
      <c r="BI447" s="2" t="s">
        <v>74</v>
      </c>
      <c r="BJ447" s="2" t="s">
        <v>74</v>
      </c>
      <c r="BK447" s="2" t="s">
        <v>74</v>
      </c>
      <c r="BL447" s="2" t="s">
        <v>74</v>
      </c>
      <c r="BM447" s="2" t="s">
        <v>74</v>
      </c>
      <c r="BN447" s="2">
        <v>17976039</v>
      </c>
      <c r="BO447" s="2" t="s">
        <v>74</v>
      </c>
      <c r="BP447" s="2" t="s">
        <v>74</v>
      </c>
      <c r="BQ447" s="2" t="s">
        <v>74</v>
      </c>
      <c r="BR447" s="2" t="s">
        <v>74</v>
      </c>
      <c r="BS447" s="2" t="s">
        <v>7626</v>
      </c>
      <c r="BT447" s="2" t="str">
        <f>HYPERLINK("https%3A%2F%2Fwww.webofscience.com%2Fwos%2Fwoscc%2Ffull-record%2FWOS:000250553200003","View Full Record in Web of Science")</f>
        <v>View Full Record in Web of Science</v>
      </c>
    </row>
    <row r="448" spans="1:72" s="2" customFormat="1" x14ac:dyDescent="0.4">
      <c r="A448" s="2" t="s">
        <v>72</v>
      </c>
      <c r="B448" s="2" t="s">
        <v>207</v>
      </c>
      <c r="C448" s="2" t="s">
        <v>74</v>
      </c>
      <c r="D448" s="2" t="s">
        <v>74</v>
      </c>
      <c r="E448" s="2" t="s">
        <v>74</v>
      </c>
      <c r="F448" s="2" t="s">
        <v>208</v>
      </c>
      <c r="G448" s="2" t="s">
        <v>74</v>
      </c>
      <c r="H448" s="2" t="s">
        <v>74</v>
      </c>
      <c r="I448" s="2" t="s">
        <v>209</v>
      </c>
      <c r="J448" s="2" t="s">
        <v>210</v>
      </c>
      <c r="K448" s="2" t="s">
        <v>74</v>
      </c>
      <c r="L448" s="2" t="s">
        <v>74</v>
      </c>
      <c r="M448" s="2" t="s">
        <v>74</v>
      </c>
      <c r="N448" s="2" t="s">
        <v>74</v>
      </c>
      <c r="O448" s="2" t="s">
        <v>74</v>
      </c>
      <c r="P448" s="2" t="s">
        <v>74</v>
      </c>
      <c r="Q448" s="2" t="s">
        <v>74</v>
      </c>
      <c r="R448" s="2" t="s">
        <v>74</v>
      </c>
      <c r="S448" s="2" t="s">
        <v>74</v>
      </c>
      <c r="T448" s="2" t="s">
        <v>74</v>
      </c>
      <c r="U448" s="2" t="s">
        <v>74</v>
      </c>
      <c r="V448" s="5" t="s">
        <v>211</v>
      </c>
      <c r="W448" s="2" t="s">
        <v>74</v>
      </c>
      <c r="X448" s="2" t="s">
        <v>74</v>
      </c>
      <c r="Y448" s="2" t="s">
        <v>74</v>
      </c>
      <c r="Z448" s="2" t="s">
        <v>74</v>
      </c>
      <c r="AA448" s="2" t="s">
        <v>74</v>
      </c>
      <c r="AB448" s="2" t="s">
        <v>74</v>
      </c>
      <c r="AC448" s="2" t="s">
        <v>74</v>
      </c>
      <c r="AD448" s="2" t="s">
        <v>74</v>
      </c>
      <c r="AE448" s="2" t="s">
        <v>74</v>
      </c>
      <c r="AF448" s="2" t="s">
        <v>74</v>
      </c>
      <c r="AG448" s="2" t="s">
        <v>74</v>
      </c>
      <c r="AH448" s="2" t="s">
        <v>74</v>
      </c>
      <c r="AI448" s="2" t="s">
        <v>74</v>
      </c>
      <c r="AJ448" s="2" t="s">
        <v>74</v>
      </c>
      <c r="AK448" s="2" t="s">
        <v>74</v>
      </c>
      <c r="AL448" s="2" t="s">
        <v>74</v>
      </c>
      <c r="AM448" s="2" t="s">
        <v>74</v>
      </c>
      <c r="AN448" s="2" t="s">
        <v>74</v>
      </c>
      <c r="AO448" s="2" t="s">
        <v>212</v>
      </c>
      <c r="AP448" s="2" t="s">
        <v>74</v>
      </c>
      <c r="AQ448" s="2" t="s">
        <v>74</v>
      </c>
      <c r="AR448" s="2" t="s">
        <v>74</v>
      </c>
      <c r="AS448" s="2" t="s">
        <v>74</v>
      </c>
      <c r="AT448" s="2" t="s">
        <v>213</v>
      </c>
      <c r="AU448" s="2">
        <v>2006</v>
      </c>
      <c r="AV448" s="2">
        <v>15</v>
      </c>
      <c r="AW448" s="2">
        <v>4</v>
      </c>
      <c r="AX448" s="2" t="s">
        <v>74</v>
      </c>
      <c r="AY448" s="2" t="s">
        <v>74</v>
      </c>
      <c r="AZ448" s="2" t="s">
        <v>74</v>
      </c>
      <c r="BA448" s="2" t="s">
        <v>74</v>
      </c>
      <c r="BB448" s="2">
        <v>363</v>
      </c>
      <c r="BC448" s="2">
        <v>369</v>
      </c>
      <c r="BD448" s="2" t="s">
        <v>74</v>
      </c>
      <c r="BE448" s="2" t="s">
        <v>74</v>
      </c>
      <c r="BF448" s="2" t="s">
        <v>74</v>
      </c>
      <c r="BG448" s="2" t="s">
        <v>74</v>
      </c>
      <c r="BH448" s="2" t="s">
        <v>74</v>
      </c>
      <c r="BI448" s="2" t="s">
        <v>74</v>
      </c>
      <c r="BJ448" s="2" t="s">
        <v>74</v>
      </c>
      <c r="BK448" s="2" t="s">
        <v>74</v>
      </c>
      <c r="BL448" s="2" t="s">
        <v>74</v>
      </c>
      <c r="BM448" s="2" t="s">
        <v>74</v>
      </c>
      <c r="BN448" s="2" t="s">
        <v>74</v>
      </c>
      <c r="BO448" s="2" t="s">
        <v>74</v>
      </c>
      <c r="BP448" s="2" t="s">
        <v>74</v>
      </c>
      <c r="BQ448" s="2" t="s">
        <v>74</v>
      </c>
      <c r="BR448" s="2" t="s">
        <v>74</v>
      </c>
      <c r="BS448" s="2" t="s">
        <v>214</v>
      </c>
      <c r="BT448" s="2" t="str">
        <f>HYPERLINK("https%3A%2F%2Fwww.webofscience.com%2Fwos%2Fwoscc%2Ffull-record%2FWOS:000241770100007","View Full Record in Web of Science")</f>
        <v>View Full Record in Web of Science</v>
      </c>
    </row>
    <row r="449" spans="1:72" s="2" customFormat="1" x14ac:dyDescent="0.4">
      <c r="A449" s="2" t="s">
        <v>72</v>
      </c>
      <c r="B449" s="2" t="s">
        <v>3316</v>
      </c>
      <c r="C449" s="2" t="s">
        <v>74</v>
      </c>
      <c r="D449" s="2" t="s">
        <v>74</v>
      </c>
      <c r="E449" s="2" t="s">
        <v>74</v>
      </c>
      <c r="F449" s="2" t="s">
        <v>3317</v>
      </c>
      <c r="G449" s="2" t="s">
        <v>74</v>
      </c>
      <c r="H449" s="2" t="s">
        <v>74</v>
      </c>
      <c r="I449" s="2" t="s">
        <v>3318</v>
      </c>
      <c r="J449" s="2" t="s">
        <v>119</v>
      </c>
      <c r="K449" s="2" t="s">
        <v>74</v>
      </c>
      <c r="L449" s="2" t="s">
        <v>74</v>
      </c>
      <c r="M449" s="2" t="s">
        <v>74</v>
      </c>
      <c r="N449" s="2" t="s">
        <v>74</v>
      </c>
      <c r="O449" s="2" t="s">
        <v>74</v>
      </c>
      <c r="P449" s="2" t="s">
        <v>74</v>
      </c>
      <c r="Q449" s="2" t="s">
        <v>74</v>
      </c>
      <c r="R449" s="2" t="s">
        <v>74</v>
      </c>
      <c r="S449" s="2" t="s">
        <v>74</v>
      </c>
      <c r="T449" s="2" t="s">
        <v>74</v>
      </c>
      <c r="U449" s="2" t="s">
        <v>74</v>
      </c>
      <c r="V449" s="5" t="s">
        <v>3319</v>
      </c>
      <c r="W449" s="2" t="s">
        <v>74</v>
      </c>
      <c r="X449" s="2" t="s">
        <v>74</v>
      </c>
      <c r="Y449" s="2" t="s">
        <v>74</v>
      </c>
      <c r="Z449" s="2" t="s">
        <v>74</v>
      </c>
      <c r="AA449" s="2" t="s">
        <v>1028</v>
      </c>
      <c r="AB449" s="2" t="s">
        <v>1029</v>
      </c>
      <c r="AC449" s="2" t="s">
        <v>74</v>
      </c>
      <c r="AD449" s="2" t="s">
        <v>74</v>
      </c>
      <c r="AE449" s="2" t="s">
        <v>74</v>
      </c>
      <c r="AF449" s="2" t="s">
        <v>74</v>
      </c>
      <c r="AG449" s="2" t="s">
        <v>74</v>
      </c>
      <c r="AH449" s="2" t="s">
        <v>74</v>
      </c>
      <c r="AI449" s="2" t="s">
        <v>74</v>
      </c>
      <c r="AJ449" s="2" t="s">
        <v>74</v>
      </c>
      <c r="AK449" s="2" t="s">
        <v>74</v>
      </c>
      <c r="AL449" s="2" t="s">
        <v>74</v>
      </c>
      <c r="AM449" s="2" t="s">
        <v>74</v>
      </c>
      <c r="AN449" s="2" t="s">
        <v>74</v>
      </c>
      <c r="AO449" s="2" t="s">
        <v>121</v>
      </c>
      <c r="AP449" s="2" t="s">
        <v>74</v>
      </c>
      <c r="AQ449" s="2" t="s">
        <v>74</v>
      </c>
      <c r="AR449" s="2" t="s">
        <v>74</v>
      </c>
      <c r="AS449" s="2" t="s">
        <v>74</v>
      </c>
      <c r="AT449" s="2" t="s">
        <v>255</v>
      </c>
      <c r="AU449" s="2">
        <v>2009</v>
      </c>
      <c r="AV449" s="2">
        <v>80</v>
      </c>
      <c r="AW449" s="2">
        <v>1</v>
      </c>
      <c r="AX449" s="2" t="s">
        <v>74</v>
      </c>
      <c r="AY449" s="2" t="s">
        <v>74</v>
      </c>
      <c r="AZ449" s="2" t="s">
        <v>74</v>
      </c>
      <c r="BA449" s="2" t="s">
        <v>74</v>
      </c>
      <c r="BB449" s="2">
        <v>7</v>
      </c>
      <c r="BC449" s="2">
        <v>11</v>
      </c>
      <c r="BD449" s="2" t="s">
        <v>74</v>
      </c>
      <c r="BE449" s="2" t="s">
        <v>3320</v>
      </c>
      <c r="BF449" s="2" t="str">
        <f>HYPERLINK("http://dx.doi.org/10.1016/j.beproc.2008.08.001","http://dx.doi.org/10.1016/j.beproc.2008.08.001")</f>
        <v>http://dx.doi.org/10.1016/j.beproc.2008.08.001</v>
      </c>
      <c r="BG449" s="2" t="s">
        <v>74</v>
      </c>
      <c r="BH449" s="2" t="s">
        <v>74</v>
      </c>
      <c r="BI449" s="2" t="s">
        <v>74</v>
      </c>
      <c r="BJ449" s="2" t="s">
        <v>74</v>
      </c>
      <c r="BK449" s="2" t="s">
        <v>74</v>
      </c>
      <c r="BL449" s="2" t="s">
        <v>74</v>
      </c>
      <c r="BM449" s="2" t="s">
        <v>74</v>
      </c>
      <c r="BN449" s="2">
        <v>18761061</v>
      </c>
      <c r="BO449" s="2" t="s">
        <v>74</v>
      </c>
      <c r="BP449" s="2" t="s">
        <v>74</v>
      </c>
      <c r="BQ449" s="2" t="s">
        <v>74</v>
      </c>
      <c r="BR449" s="2" t="s">
        <v>74</v>
      </c>
      <c r="BS449" s="2" t="s">
        <v>3321</v>
      </c>
      <c r="BT449" s="2" t="str">
        <f>HYPERLINK("https%3A%2F%2Fwww.webofscience.com%2Fwos%2Fwoscc%2Ffull-record%2FWOS:000262546900002","View Full Record in Web of Science")</f>
        <v>View Full Record in Web of Science</v>
      </c>
    </row>
    <row r="450" spans="1:72" s="2" customFormat="1" x14ac:dyDescent="0.4">
      <c r="A450" s="2" t="s">
        <v>72</v>
      </c>
      <c r="B450" s="2" t="s">
        <v>1023</v>
      </c>
      <c r="C450" s="2" t="s">
        <v>74</v>
      </c>
      <c r="D450" s="2" t="s">
        <v>74</v>
      </c>
      <c r="E450" s="2" t="s">
        <v>74</v>
      </c>
      <c r="F450" s="2" t="s">
        <v>1024</v>
      </c>
      <c r="G450" s="2" t="s">
        <v>74</v>
      </c>
      <c r="H450" s="2" t="s">
        <v>74</v>
      </c>
      <c r="I450" s="2" t="s">
        <v>1025</v>
      </c>
      <c r="J450" s="2" t="s">
        <v>1026</v>
      </c>
      <c r="K450" s="2" t="s">
        <v>74</v>
      </c>
      <c r="L450" s="2" t="s">
        <v>74</v>
      </c>
      <c r="M450" s="2" t="s">
        <v>74</v>
      </c>
      <c r="N450" s="2" t="s">
        <v>74</v>
      </c>
      <c r="O450" s="2" t="s">
        <v>74</v>
      </c>
      <c r="P450" s="2" t="s">
        <v>74</v>
      </c>
      <c r="Q450" s="2" t="s">
        <v>74</v>
      </c>
      <c r="R450" s="2" t="s">
        <v>74</v>
      </c>
      <c r="S450" s="2" t="s">
        <v>74</v>
      </c>
      <c r="T450" s="2" t="s">
        <v>74</v>
      </c>
      <c r="U450" s="2" t="s">
        <v>74</v>
      </c>
      <c r="V450" s="5" t="s">
        <v>1027</v>
      </c>
      <c r="W450" s="2" t="s">
        <v>74</v>
      </c>
      <c r="X450" s="2" t="s">
        <v>74</v>
      </c>
      <c r="Y450" s="2" t="s">
        <v>74</v>
      </c>
      <c r="Z450" s="2" t="s">
        <v>74</v>
      </c>
      <c r="AA450" s="2" t="s">
        <v>1028</v>
      </c>
      <c r="AB450" s="2" t="s">
        <v>1029</v>
      </c>
      <c r="AC450" s="2" t="s">
        <v>74</v>
      </c>
      <c r="AD450" s="2" t="s">
        <v>74</v>
      </c>
      <c r="AE450" s="2" t="s">
        <v>74</v>
      </c>
      <c r="AF450" s="2" t="s">
        <v>74</v>
      </c>
      <c r="AG450" s="2" t="s">
        <v>74</v>
      </c>
      <c r="AH450" s="2" t="s">
        <v>74</v>
      </c>
      <c r="AI450" s="2" t="s">
        <v>74</v>
      </c>
      <c r="AJ450" s="2" t="s">
        <v>74</v>
      </c>
      <c r="AK450" s="2" t="s">
        <v>74</v>
      </c>
      <c r="AL450" s="2" t="s">
        <v>74</v>
      </c>
      <c r="AM450" s="2" t="s">
        <v>74</v>
      </c>
      <c r="AN450" s="2" t="s">
        <v>74</v>
      </c>
      <c r="AO450" s="2" t="s">
        <v>1030</v>
      </c>
      <c r="AP450" s="2" t="s">
        <v>1031</v>
      </c>
      <c r="AQ450" s="2" t="s">
        <v>74</v>
      </c>
      <c r="AR450" s="2" t="s">
        <v>74</v>
      </c>
      <c r="AS450" s="2" t="s">
        <v>74</v>
      </c>
      <c r="AT450" s="2" t="s">
        <v>964</v>
      </c>
      <c r="AU450" s="2">
        <v>2007</v>
      </c>
      <c r="AV450" s="2">
        <v>28</v>
      </c>
      <c r="AW450" s="2">
        <v>1</v>
      </c>
      <c r="AX450" s="2" t="s">
        <v>74</v>
      </c>
      <c r="AY450" s="2" t="s">
        <v>74</v>
      </c>
      <c r="AZ450" s="2" t="s">
        <v>74</v>
      </c>
      <c r="BA450" s="2" t="s">
        <v>74</v>
      </c>
      <c r="BB450" s="2">
        <v>1</v>
      </c>
      <c r="BC450" s="2">
        <v>7</v>
      </c>
      <c r="BD450" s="2" t="s">
        <v>74</v>
      </c>
      <c r="BE450" s="2" t="s">
        <v>1032</v>
      </c>
      <c r="BF450" s="2" t="str">
        <f>HYPERLINK("http://dx.doi.org/10.1007/s10764-006-9110-8","http://dx.doi.org/10.1007/s10764-006-9110-8")</f>
        <v>http://dx.doi.org/10.1007/s10764-006-9110-8</v>
      </c>
      <c r="BG450" s="2" t="s">
        <v>74</v>
      </c>
      <c r="BH450" s="2" t="s">
        <v>74</v>
      </c>
      <c r="BI450" s="2" t="s">
        <v>74</v>
      </c>
      <c r="BJ450" s="2" t="s">
        <v>74</v>
      </c>
      <c r="BK450" s="2" t="s">
        <v>74</v>
      </c>
      <c r="BL450" s="2" t="s">
        <v>74</v>
      </c>
      <c r="BM450" s="2" t="s">
        <v>74</v>
      </c>
      <c r="BN450" s="2" t="s">
        <v>74</v>
      </c>
      <c r="BO450" s="2" t="s">
        <v>74</v>
      </c>
      <c r="BP450" s="2" t="s">
        <v>74</v>
      </c>
      <c r="BQ450" s="2" t="s">
        <v>74</v>
      </c>
      <c r="BR450" s="2" t="s">
        <v>74</v>
      </c>
      <c r="BS450" s="2" t="s">
        <v>1033</v>
      </c>
      <c r="BT450" s="2" t="str">
        <f>HYPERLINK("https%3A%2F%2Fwww.webofscience.com%2Fwos%2Fwoscc%2Ffull-record%2FWOS:000246843800001","View Full Record in Web of Science")</f>
        <v>View Full Record in Web of Science</v>
      </c>
    </row>
    <row r="451" spans="1:72" s="2" customFormat="1" x14ac:dyDescent="0.4">
      <c r="A451" s="2" t="s">
        <v>72</v>
      </c>
      <c r="B451" s="2" t="s">
        <v>7627</v>
      </c>
      <c r="C451" s="2" t="s">
        <v>74</v>
      </c>
      <c r="D451" s="2" t="s">
        <v>74</v>
      </c>
      <c r="E451" s="2" t="s">
        <v>74</v>
      </c>
      <c r="F451" s="2" t="s">
        <v>7628</v>
      </c>
      <c r="G451" s="2" t="s">
        <v>74</v>
      </c>
      <c r="H451" s="2" t="s">
        <v>74</v>
      </c>
      <c r="I451" s="2" t="s">
        <v>7629</v>
      </c>
      <c r="J451" s="2" t="s">
        <v>1526</v>
      </c>
      <c r="K451" s="2" t="s">
        <v>74</v>
      </c>
      <c r="L451" s="2" t="s">
        <v>74</v>
      </c>
      <c r="M451" s="2" t="s">
        <v>74</v>
      </c>
      <c r="N451" s="2" t="s">
        <v>74</v>
      </c>
      <c r="O451" s="2" t="s">
        <v>74</v>
      </c>
      <c r="P451" s="2" t="s">
        <v>74</v>
      </c>
      <c r="Q451" s="2" t="s">
        <v>74</v>
      </c>
      <c r="R451" s="2" t="s">
        <v>74</v>
      </c>
      <c r="S451" s="2" t="s">
        <v>74</v>
      </c>
      <c r="T451" s="2" t="s">
        <v>74</v>
      </c>
      <c r="U451" s="2" t="s">
        <v>74</v>
      </c>
      <c r="V451" s="5" t="s">
        <v>7630</v>
      </c>
      <c r="W451" s="2" t="s">
        <v>74</v>
      </c>
      <c r="X451" s="2" t="s">
        <v>74</v>
      </c>
      <c r="Y451" s="2" t="s">
        <v>74</v>
      </c>
      <c r="Z451" s="2" t="s">
        <v>74</v>
      </c>
      <c r="AA451" s="2" t="s">
        <v>7631</v>
      </c>
      <c r="AB451" s="2" t="s">
        <v>7632</v>
      </c>
      <c r="AC451" s="2" t="s">
        <v>74</v>
      </c>
      <c r="AD451" s="2" t="s">
        <v>74</v>
      </c>
      <c r="AE451" s="2" t="s">
        <v>74</v>
      </c>
      <c r="AF451" s="2" t="s">
        <v>74</v>
      </c>
      <c r="AG451" s="2" t="s">
        <v>74</v>
      </c>
      <c r="AH451" s="2" t="s">
        <v>74</v>
      </c>
      <c r="AI451" s="2" t="s">
        <v>74</v>
      </c>
      <c r="AJ451" s="2" t="s">
        <v>74</v>
      </c>
      <c r="AK451" s="2" t="s">
        <v>74</v>
      </c>
      <c r="AL451" s="2" t="s">
        <v>74</v>
      </c>
      <c r="AM451" s="2" t="s">
        <v>74</v>
      </c>
      <c r="AN451" s="2" t="s">
        <v>74</v>
      </c>
      <c r="AO451" s="2" t="s">
        <v>1528</v>
      </c>
      <c r="AP451" s="2" t="s">
        <v>74</v>
      </c>
      <c r="AQ451" s="2" t="s">
        <v>74</v>
      </c>
      <c r="AR451" s="2" t="s">
        <v>74</v>
      </c>
      <c r="AS451" s="2" t="s">
        <v>74</v>
      </c>
      <c r="AT451" s="2" t="s">
        <v>213</v>
      </c>
      <c r="AU451" s="2">
        <v>2010</v>
      </c>
      <c r="AV451" s="2">
        <v>112</v>
      </c>
      <c r="AW451" s="2">
        <v>4</v>
      </c>
      <c r="AX451" s="2" t="s">
        <v>74</v>
      </c>
      <c r="AY451" s="2" t="s">
        <v>74</v>
      </c>
      <c r="AZ451" s="2" t="s">
        <v>74</v>
      </c>
      <c r="BA451" s="2" t="s">
        <v>74</v>
      </c>
      <c r="BB451" s="2">
        <v>676</v>
      </c>
      <c r="BC451" s="2">
        <v>682</v>
      </c>
      <c r="BD451" s="2" t="s">
        <v>74</v>
      </c>
      <c r="BE451" s="2" t="s">
        <v>7633</v>
      </c>
      <c r="BF451" s="2" t="str">
        <f>HYPERLINK("http://dx.doi.org/10.1525/cond.2010.090193","http://dx.doi.org/10.1525/cond.2010.090193")</f>
        <v>http://dx.doi.org/10.1525/cond.2010.090193</v>
      </c>
      <c r="BG451" s="2" t="s">
        <v>74</v>
      </c>
      <c r="BH451" s="2" t="s">
        <v>74</v>
      </c>
      <c r="BI451" s="2" t="s">
        <v>74</v>
      </c>
      <c r="BJ451" s="2" t="s">
        <v>74</v>
      </c>
      <c r="BK451" s="2" t="s">
        <v>74</v>
      </c>
      <c r="BL451" s="2" t="s">
        <v>74</v>
      </c>
      <c r="BM451" s="2" t="s">
        <v>74</v>
      </c>
      <c r="BN451" s="2" t="s">
        <v>74</v>
      </c>
      <c r="BO451" s="2" t="s">
        <v>74</v>
      </c>
      <c r="BP451" s="2" t="s">
        <v>74</v>
      </c>
      <c r="BQ451" s="2" t="s">
        <v>74</v>
      </c>
      <c r="BR451" s="2" t="s">
        <v>74</v>
      </c>
      <c r="BS451" s="2" t="s">
        <v>7634</v>
      </c>
      <c r="BT451" s="2" t="str">
        <f>HYPERLINK("https%3A%2F%2Fwww.webofscience.com%2Fwos%2Fwoscc%2Ffull-record%2FWOS:000285727700006","View Full Record in Web of Science")</f>
        <v>View Full Record in Web of Science</v>
      </c>
    </row>
    <row r="452" spans="1:72" s="2" customFormat="1" x14ac:dyDescent="0.4">
      <c r="A452" s="2" t="s">
        <v>72</v>
      </c>
      <c r="B452" s="2" t="s">
        <v>4659</v>
      </c>
      <c r="C452" s="2" t="s">
        <v>74</v>
      </c>
      <c r="D452" s="2" t="s">
        <v>74</v>
      </c>
      <c r="E452" s="2" t="s">
        <v>74</v>
      </c>
      <c r="F452" s="2" t="s">
        <v>4659</v>
      </c>
      <c r="G452" s="2" t="s">
        <v>74</v>
      </c>
      <c r="H452" s="2" t="s">
        <v>74</v>
      </c>
      <c r="I452" s="2" t="s">
        <v>4660</v>
      </c>
      <c r="J452" s="2" t="s">
        <v>4661</v>
      </c>
      <c r="K452" s="2" t="s">
        <v>74</v>
      </c>
      <c r="L452" s="2" t="s">
        <v>74</v>
      </c>
      <c r="M452" s="2" t="s">
        <v>74</v>
      </c>
      <c r="N452" s="2" t="s">
        <v>74</v>
      </c>
      <c r="O452" s="2" t="s">
        <v>74</v>
      </c>
      <c r="P452" s="2" t="s">
        <v>74</v>
      </c>
      <c r="Q452" s="2" t="s">
        <v>74</v>
      </c>
      <c r="R452" s="2" t="s">
        <v>74</v>
      </c>
      <c r="S452" s="2" t="s">
        <v>74</v>
      </c>
      <c r="T452" s="2" t="s">
        <v>74</v>
      </c>
      <c r="U452" s="2" t="s">
        <v>74</v>
      </c>
      <c r="V452" s="5" t="s">
        <v>4662</v>
      </c>
      <c r="W452" s="2" t="s">
        <v>74</v>
      </c>
      <c r="X452" s="2" t="s">
        <v>74</v>
      </c>
      <c r="Y452" s="2" t="s">
        <v>74</v>
      </c>
      <c r="Z452" s="2" t="s">
        <v>74</v>
      </c>
      <c r="AA452" s="2" t="s">
        <v>74</v>
      </c>
      <c r="AB452" s="2" t="s">
        <v>74</v>
      </c>
      <c r="AC452" s="2" t="s">
        <v>74</v>
      </c>
      <c r="AD452" s="2" t="s">
        <v>74</v>
      </c>
      <c r="AE452" s="2" t="s">
        <v>74</v>
      </c>
      <c r="AF452" s="2" t="s">
        <v>74</v>
      </c>
      <c r="AG452" s="2" t="s">
        <v>74</v>
      </c>
      <c r="AH452" s="2" t="s">
        <v>74</v>
      </c>
      <c r="AI452" s="2" t="s">
        <v>74</v>
      </c>
      <c r="AJ452" s="2" t="s">
        <v>74</v>
      </c>
      <c r="AK452" s="2" t="s">
        <v>74</v>
      </c>
      <c r="AL452" s="2" t="s">
        <v>74</v>
      </c>
      <c r="AM452" s="2" t="s">
        <v>74</v>
      </c>
      <c r="AN452" s="2" t="s">
        <v>74</v>
      </c>
      <c r="AO452" s="2" t="s">
        <v>4663</v>
      </c>
      <c r="AP452" s="2" t="s">
        <v>74</v>
      </c>
      <c r="AQ452" s="2" t="s">
        <v>74</v>
      </c>
      <c r="AR452" s="2" t="s">
        <v>74</v>
      </c>
      <c r="AS452" s="2" t="s">
        <v>74</v>
      </c>
      <c r="AT452" s="2" t="s">
        <v>74</v>
      </c>
      <c r="AU452" s="2">
        <v>1996</v>
      </c>
      <c r="AV452" s="2">
        <v>24</v>
      </c>
      <c r="AW452" s="2">
        <v>2</v>
      </c>
      <c r="AX452" s="2" t="s">
        <v>74</v>
      </c>
      <c r="AY452" s="2" t="s">
        <v>74</v>
      </c>
      <c r="AZ452" s="2" t="s">
        <v>74</v>
      </c>
      <c r="BA452" s="2" t="s">
        <v>74</v>
      </c>
      <c r="BB452" s="2">
        <v>93</v>
      </c>
      <c r="BC452" s="2">
        <v>100</v>
      </c>
      <c r="BD452" s="2" t="s">
        <v>74</v>
      </c>
      <c r="BE452" s="2" t="s">
        <v>74</v>
      </c>
      <c r="BF452" s="2" t="s">
        <v>74</v>
      </c>
      <c r="BG452" s="2" t="s">
        <v>74</v>
      </c>
      <c r="BH452" s="2" t="s">
        <v>74</v>
      </c>
      <c r="BI452" s="2" t="s">
        <v>74</v>
      </c>
      <c r="BJ452" s="2" t="s">
        <v>74</v>
      </c>
      <c r="BK452" s="2" t="s">
        <v>74</v>
      </c>
      <c r="BL452" s="2" t="s">
        <v>74</v>
      </c>
      <c r="BM452" s="2" t="s">
        <v>74</v>
      </c>
      <c r="BN452" s="2" t="s">
        <v>74</v>
      </c>
      <c r="BO452" s="2" t="s">
        <v>74</v>
      </c>
      <c r="BP452" s="2" t="s">
        <v>74</v>
      </c>
      <c r="BQ452" s="2" t="s">
        <v>74</v>
      </c>
      <c r="BR452" s="2" t="s">
        <v>74</v>
      </c>
      <c r="BS452" s="2" t="s">
        <v>4664</v>
      </c>
      <c r="BT452" s="2" t="str">
        <f>HYPERLINK("https%3A%2F%2Fwww.webofscience.com%2Fwos%2Fwoscc%2Ffull-record%2FWOS:A1996VW78600003","View Full Record in Web of Science")</f>
        <v>View Full Record in Web of Science</v>
      </c>
    </row>
    <row r="453" spans="1:72" s="2" customFormat="1" x14ac:dyDescent="0.4">
      <c r="A453" s="2" t="s">
        <v>72</v>
      </c>
      <c r="B453" s="2" t="s">
        <v>7730</v>
      </c>
      <c r="C453" s="2" t="s">
        <v>74</v>
      </c>
      <c r="D453" s="2" t="s">
        <v>74</v>
      </c>
      <c r="E453" s="2" t="s">
        <v>74</v>
      </c>
      <c r="F453" s="2" t="s">
        <v>7731</v>
      </c>
      <c r="G453" s="2" t="s">
        <v>74</v>
      </c>
      <c r="H453" s="2" t="s">
        <v>74</v>
      </c>
      <c r="I453" s="2" t="s">
        <v>7732</v>
      </c>
      <c r="J453" s="2" t="s">
        <v>1656</v>
      </c>
      <c r="K453" s="2" t="s">
        <v>74</v>
      </c>
      <c r="L453" s="2" t="s">
        <v>74</v>
      </c>
      <c r="M453" s="2" t="s">
        <v>74</v>
      </c>
      <c r="N453" s="2" t="s">
        <v>74</v>
      </c>
      <c r="O453" s="2" t="s">
        <v>74</v>
      </c>
      <c r="P453" s="2" t="s">
        <v>74</v>
      </c>
      <c r="Q453" s="2" t="s">
        <v>74</v>
      </c>
      <c r="R453" s="2" t="s">
        <v>74</v>
      </c>
      <c r="S453" s="2" t="s">
        <v>74</v>
      </c>
      <c r="T453" s="2" t="s">
        <v>74</v>
      </c>
      <c r="U453" s="2" t="s">
        <v>74</v>
      </c>
      <c r="V453" s="5" t="s">
        <v>7733</v>
      </c>
      <c r="W453" s="2" t="s">
        <v>74</v>
      </c>
      <c r="X453" s="2" t="s">
        <v>74</v>
      </c>
      <c r="Y453" s="2" t="s">
        <v>74</v>
      </c>
      <c r="Z453" s="2" t="s">
        <v>74</v>
      </c>
      <c r="AA453" s="2" t="s">
        <v>7734</v>
      </c>
      <c r="AB453" s="2" t="s">
        <v>7735</v>
      </c>
      <c r="AC453" s="2" t="s">
        <v>74</v>
      </c>
      <c r="AD453" s="2" t="s">
        <v>74</v>
      </c>
      <c r="AE453" s="2" t="s">
        <v>74</v>
      </c>
      <c r="AF453" s="2" t="s">
        <v>74</v>
      </c>
      <c r="AG453" s="2" t="s">
        <v>74</v>
      </c>
      <c r="AH453" s="2" t="s">
        <v>74</v>
      </c>
      <c r="AI453" s="2" t="s">
        <v>74</v>
      </c>
      <c r="AJ453" s="2" t="s">
        <v>74</v>
      </c>
      <c r="AK453" s="2" t="s">
        <v>74</v>
      </c>
      <c r="AL453" s="2" t="s">
        <v>74</v>
      </c>
      <c r="AM453" s="2" t="s">
        <v>74</v>
      </c>
      <c r="AN453" s="2" t="s">
        <v>74</v>
      </c>
      <c r="AO453" s="2" t="s">
        <v>1658</v>
      </c>
      <c r="AP453" s="2" t="s">
        <v>1659</v>
      </c>
      <c r="AQ453" s="2" t="s">
        <v>74</v>
      </c>
      <c r="AR453" s="2" t="s">
        <v>74</v>
      </c>
      <c r="AS453" s="2" t="s">
        <v>74</v>
      </c>
      <c r="AT453" s="2" t="s">
        <v>275</v>
      </c>
      <c r="AU453" s="2">
        <v>2022</v>
      </c>
      <c r="AV453" s="2">
        <v>5128</v>
      </c>
      <c r="AW453" s="2">
        <v>4</v>
      </c>
      <c r="AX453" s="2" t="s">
        <v>74</v>
      </c>
      <c r="AY453" s="2" t="s">
        <v>74</v>
      </c>
      <c r="AZ453" s="2" t="s">
        <v>74</v>
      </c>
      <c r="BA453" s="2" t="s">
        <v>74</v>
      </c>
      <c r="BB453" s="2">
        <v>486</v>
      </c>
      <c r="BC453" s="2">
        <v>502</v>
      </c>
      <c r="BD453" s="2" t="s">
        <v>74</v>
      </c>
      <c r="BE453" s="2" t="s">
        <v>7736</v>
      </c>
      <c r="BF453" s="2" t="str">
        <f>HYPERLINK("http://dx.doi.org/10.11646/zootaxa.5128.4.2","http://dx.doi.org/10.11646/zootaxa.5128.4.2")</f>
        <v>http://dx.doi.org/10.11646/zootaxa.5128.4.2</v>
      </c>
      <c r="BG453" s="2" t="s">
        <v>74</v>
      </c>
      <c r="BH453" s="2" t="s">
        <v>74</v>
      </c>
      <c r="BI453" s="2" t="s">
        <v>74</v>
      </c>
      <c r="BJ453" s="2" t="s">
        <v>74</v>
      </c>
      <c r="BK453" s="2" t="s">
        <v>74</v>
      </c>
      <c r="BL453" s="2" t="s">
        <v>74</v>
      </c>
      <c r="BM453" s="2" t="s">
        <v>74</v>
      </c>
      <c r="BN453" s="2">
        <v>36101160</v>
      </c>
      <c r="BO453" s="2" t="s">
        <v>74</v>
      </c>
      <c r="BP453" s="2" t="s">
        <v>74</v>
      </c>
      <c r="BQ453" s="2" t="s">
        <v>74</v>
      </c>
      <c r="BR453" s="2" t="s">
        <v>74</v>
      </c>
      <c r="BS453" s="2" t="s">
        <v>7737</v>
      </c>
      <c r="BT453" s="2" t="str">
        <f>HYPERLINK("https%3A%2F%2Fwww.webofscience.com%2Fwos%2Fwoscc%2Ffull-record%2FWOS:000792772900002","View Full Record in Web of Science")</f>
        <v>View Full Record in Web of Science</v>
      </c>
    </row>
    <row r="454" spans="1:72" s="2" customFormat="1" x14ac:dyDescent="0.4">
      <c r="A454" s="2" t="s">
        <v>72</v>
      </c>
      <c r="B454" s="2" t="s">
        <v>6811</v>
      </c>
      <c r="C454" s="2" t="s">
        <v>74</v>
      </c>
      <c r="D454" s="2" t="s">
        <v>74</v>
      </c>
      <c r="E454" s="2" t="s">
        <v>74</v>
      </c>
      <c r="F454" s="2" t="s">
        <v>6812</v>
      </c>
      <c r="G454" s="2" t="s">
        <v>74</v>
      </c>
      <c r="H454" s="2" t="s">
        <v>74</v>
      </c>
      <c r="I454" s="2" t="s">
        <v>6813</v>
      </c>
      <c r="J454" s="2" t="s">
        <v>6814</v>
      </c>
      <c r="K454" s="2" t="s">
        <v>74</v>
      </c>
      <c r="L454" s="2" t="s">
        <v>74</v>
      </c>
      <c r="M454" s="2" t="s">
        <v>74</v>
      </c>
      <c r="N454" s="2" t="s">
        <v>74</v>
      </c>
      <c r="O454" s="2" t="s">
        <v>74</v>
      </c>
      <c r="P454" s="2" t="s">
        <v>74</v>
      </c>
      <c r="Q454" s="2" t="s">
        <v>74</v>
      </c>
      <c r="R454" s="2" t="s">
        <v>74</v>
      </c>
      <c r="S454" s="2" t="s">
        <v>74</v>
      </c>
      <c r="T454" s="2" t="s">
        <v>74</v>
      </c>
      <c r="U454" s="2" t="s">
        <v>74</v>
      </c>
      <c r="V454" s="5" t="s">
        <v>6815</v>
      </c>
      <c r="W454" s="2" t="s">
        <v>74</v>
      </c>
      <c r="X454" s="2" t="s">
        <v>74</v>
      </c>
      <c r="Y454" s="2" t="s">
        <v>74</v>
      </c>
      <c r="Z454" s="2" t="s">
        <v>74</v>
      </c>
      <c r="AA454" s="2" t="s">
        <v>6816</v>
      </c>
      <c r="AB454" s="2" t="s">
        <v>6817</v>
      </c>
      <c r="AC454" s="2" t="s">
        <v>74</v>
      </c>
      <c r="AD454" s="2" t="s">
        <v>74</v>
      </c>
      <c r="AE454" s="2" t="s">
        <v>74</v>
      </c>
      <c r="AF454" s="2" t="s">
        <v>74</v>
      </c>
      <c r="AG454" s="2" t="s">
        <v>74</v>
      </c>
      <c r="AH454" s="2" t="s">
        <v>74</v>
      </c>
      <c r="AI454" s="2" t="s">
        <v>74</v>
      </c>
      <c r="AJ454" s="2" t="s">
        <v>74</v>
      </c>
      <c r="AK454" s="2" t="s">
        <v>74</v>
      </c>
      <c r="AL454" s="2" t="s">
        <v>74</v>
      </c>
      <c r="AM454" s="2" t="s">
        <v>74</v>
      </c>
      <c r="AN454" s="2" t="s">
        <v>74</v>
      </c>
      <c r="AO454" s="2" t="s">
        <v>6818</v>
      </c>
      <c r="AP454" s="2" t="s">
        <v>6819</v>
      </c>
      <c r="AQ454" s="2" t="s">
        <v>74</v>
      </c>
      <c r="AR454" s="2" t="s">
        <v>74</v>
      </c>
      <c r="AS454" s="2" t="s">
        <v>74</v>
      </c>
      <c r="AT454" s="2" t="s">
        <v>352</v>
      </c>
      <c r="AU454" s="2">
        <v>2021</v>
      </c>
      <c r="AV454" s="2">
        <v>14</v>
      </c>
      <c r="AW454" s="2">
        <v>5</v>
      </c>
      <c r="AX454" s="2" t="s">
        <v>74</v>
      </c>
      <c r="AY454" s="2" t="s">
        <v>74</v>
      </c>
      <c r="AZ454" s="2" t="s">
        <v>74</v>
      </c>
      <c r="BA454" s="2" t="s">
        <v>74</v>
      </c>
      <c r="BB454" s="2">
        <v>661</v>
      </c>
      <c r="BC454" s="2">
        <v>674</v>
      </c>
      <c r="BD454" s="2" t="s">
        <v>74</v>
      </c>
      <c r="BE454" s="2" t="s">
        <v>6820</v>
      </c>
      <c r="BF454" s="2" t="str">
        <f>HYPERLINK("http://dx.doi.org/10.1111/icad.12500","http://dx.doi.org/10.1111/icad.12500")</f>
        <v>http://dx.doi.org/10.1111/icad.12500</v>
      </c>
      <c r="BG454" s="2" t="s">
        <v>74</v>
      </c>
      <c r="BH454" s="2" t="s">
        <v>571</v>
      </c>
      <c r="BI454" s="2" t="s">
        <v>74</v>
      </c>
      <c r="BJ454" s="2" t="s">
        <v>74</v>
      </c>
      <c r="BK454" s="2" t="s">
        <v>74</v>
      </c>
      <c r="BL454" s="2" t="s">
        <v>74</v>
      </c>
      <c r="BM454" s="2" t="s">
        <v>74</v>
      </c>
      <c r="BN454" s="2" t="s">
        <v>74</v>
      </c>
      <c r="BO454" s="2" t="s">
        <v>74</v>
      </c>
      <c r="BP454" s="2" t="s">
        <v>74</v>
      </c>
      <c r="BQ454" s="2" t="s">
        <v>74</v>
      </c>
      <c r="BR454" s="2" t="s">
        <v>74</v>
      </c>
      <c r="BS454" s="2" t="s">
        <v>6821</v>
      </c>
      <c r="BT454" s="2" t="str">
        <f>HYPERLINK("https%3A%2F%2Fwww.webofscience.com%2Fwos%2Fwoscc%2Ffull-record%2FWOS:000653231000001","View Full Record in Web of Science")</f>
        <v>View Full Record in Web of Science</v>
      </c>
    </row>
    <row r="455" spans="1:72" s="2" customFormat="1" x14ac:dyDescent="0.4">
      <c r="A455" s="2" t="s">
        <v>72</v>
      </c>
      <c r="B455" s="2" t="s">
        <v>7206</v>
      </c>
      <c r="C455" s="2" t="s">
        <v>74</v>
      </c>
      <c r="D455" s="2" t="s">
        <v>74</v>
      </c>
      <c r="E455" s="2" t="s">
        <v>74</v>
      </c>
      <c r="F455" s="2" t="s">
        <v>7207</v>
      </c>
      <c r="G455" s="2" t="s">
        <v>74</v>
      </c>
      <c r="H455" s="2" t="s">
        <v>74</v>
      </c>
      <c r="I455" s="2" t="s">
        <v>7208</v>
      </c>
      <c r="J455" s="2" t="s">
        <v>1237</v>
      </c>
      <c r="K455" s="2" t="s">
        <v>74</v>
      </c>
      <c r="L455" s="2" t="s">
        <v>74</v>
      </c>
      <c r="M455" s="2" t="s">
        <v>74</v>
      </c>
      <c r="N455" s="2" t="s">
        <v>74</v>
      </c>
      <c r="O455" s="2" t="s">
        <v>74</v>
      </c>
      <c r="P455" s="2" t="s">
        <v>74</v>
      </c>
      <c r="Q455" s="2" t="s">
        <v>74</v>
      </c>
      <c r="R455" s="2" t="s">
        <v>74</v>
      </c>
      <c r="S455" s="2" t="s">
        <v>74</v>
      </c>
      <c r="T455" s="2" t="s">
        <v>74</v>
      </c>
      <c r="U455" s="2" t="s">
        <v>74</v>
      </c>
      <c r="V455" s="5" t="s">
        <v>7209</v>
      </c>
      <c r="W455" s="2" t="s">
        <v>74</v>
      </c>
      <c r="X455" s="2" t="s">
        <v>74</v>
      </c>
      <c r="Y455" s="2" t="s">
        <v>74</v>
      </c>
      <c r="Z455" s="2" t="s">
        <v>74</v>
      </c>
      <c r="AA455" s="2" t="s">
        <v>74</v>
      </c>
      <c r="AB455" s="2" t="s">
        <v>74</v>
      </c>
      <c r="AC455" s="2" t="s">
        <v>74</v>
      </c>
      <c r="AD455" s="2" t="s">
        <v>74</v>
      </c>
      <c r="AE455" s="2" t="s">
        <v>74</v>
      </c>
      <c r="AF455" s="2" t="s">
        <v>74</v>
      </c>
      <c r="AG455" s="2" t="s">
        <v>74</v>
      </c>
      <c r="AH455" s="2" t="s">
        <v>74</v>
      </c>
      <c r="AI455" s="2" t="s">
        <v>74</v>
      </c>
      <c r="AJ455" s="2" t="s">
        <v>74</v>
      </c>
      <c r="AK455" s="2" t="s">
        <v>74</v>
      </c>
      <c r="AL455" s="2" t="s">
        <v>74</v>
      </c>
      <c r="AM455" s="2" t="s">
        <v>74</v>
      </c>
      <c r="AN455" s="2" t="s">
        <v>74</v>
      </c>
      <c r="AO455" s="2" t="s">
        <v>1239</v>
      </c>
      <c r="AP455" s="2" t="s">
        <v>74</v>
      </c>
      <c r="AQ455" s="2" t="s">
        <v>74</v>
      </c>
      <c r="AR455" s="2" t="s">
        <v>74</v>
      </c>
      <c r="AS455" s="2" t="s">
        <v>74</v>
      </c>
      <c r="AT455" s="2" t="s">
        <v>102</v>
      </c>
      <c r="AU455" s="2">
        <v>2009</v>
      </c>
      <c r="AV455" s="2">
        <v>87</v>
      </c>
      <c r="AW455" s="2">
        <v>6</v>
      </c>
      <c r="AX455" s="2" t="s">
        <v>74</v>
      </c>
      <c r="AY455" s="2" t="s">
        <v>74</v>
      </c>
      <c r="AZ455" s="2" t="s">
        <v>74</v>
      </c>
      <c r="BA455" s="2" t="s">
        <v>74</v>
      </c>
      <c r="BB455" s="2">
        <v>529</v>
      </c>
      <c r="BC455" s="2">
        <v>536</v>
      </c>
      <c r="BD455" s="2" t="s">
        <v>74</v>
      </c>
      <c r="BE455" s="2" t="s">
        <v>7210</v>
      </c>
      <c r="BF455" s="2" t="str">
        <f>HYPERLINK("http://dx.doi.org/10.1139/Z09-039","http://dx.doi.org/10.1139/Z09-039")</f>
        <v>http://dx.doi.org/10.1139/Z09-039</v>
      </c>
      <c r="BG455" s="2" t="s">
        <v>74</v>
      </c>
      <c r="BH455" s="2" t="s">
        <v>74</v>
      </c>
      <c r="BI455" s="2" t="s">
        <v>74</v>
      </c>
      <c r="BJ455" s="2" t="s">
        <v>74</v>
      </c>
      <c r="BK455" s="2" t="s">
        <v>74</v>
      </c>
      <c r="BL455" s="2" t="s">
        <v>74</v>
      </c>
      <c r="BM455" s="2" t="s">
        <v>74</v>
      </c>
      <c r="BN455" s="2" t="s">
        <v>74</v>
      </c>
      <c r="BO455" s="2" t="s">
        <v>74</v>
      </c>
      <c r="BP455" s="2" t="s">
        <v>74</v>
      </c>
      <c r="BQ455" s="2" t="s">
        <v>74</v>
      </c>
      <c r="BR455" s="2" t="s">
        <v>74</v>
      </c>
      <c r="BS455" s="2" t="s">
        <v>7211</v>
      </c>
      <c r="BT455" s="2" t="str">
        <f>HYPERLINK("https%3A%2F%2Fwww.webofscience.com%2Fwos%2Fwoscc%2Ffull-record%2FWOS:000267075500008","View Full Record in Web of Science")</f>
        <v>View Full Record in Web of Science</v>
      </c>
    </row>
    <row r="456" spans="1:72" s="2" customFormat="1" x14ac:dyDescent="0.4">
      <c r="A456" s="2" t="s">
        <v>72</v>
      </c>
      <c r="B456" s="2" t="s">
        <v>4257</v>
      </c>
      <c r="C456" s="2" t="s">
        <v>74</v>
      </c>
      <c r="D456" s="2" t="s">
        <v>74</v>
      </c>
      <c r="E456" s="2" t="s">
        <v>74</v>
      </c>
      <c r="F456" s="2" t="s">
        <v>4257</v>
      </c>
      <c r="G456" s="2" t="s">
        <v>74</v>
      </c>
      <c r="H456" s="2" t="s">
        <v>74</v>
      </c>
      <c r="I456" s="2" t="s">
        <v>4258</v>
      </c>
      <c r="J456" s="2" t="s">
        <v>431</v>
      </c>
      <c r="K456" s="2" t="s">
        <v>74</v>
      </c>
      <c r="L456" s="2" t="s">
        <v>74</v>
      </c>
      <c r="M456" s="2" t="s">
        <v>74</v>
      </c>
      <c r="N456" s="2" t="s">
        <v>74</v>
      </c>
      <c r="O456" s="2" t="s">
        <v>74</v>
      </c>
      <c r="P456" s="2" t="s">
        <v>74</v>
      </c>
      <c r="Q456" s="2" t="s">
        <v>74</v>
      </c>
      <c r="R456" s="2" t="s">
        <v>74</v>
      </c>
      <c r="S456" s="2" t="s">
        <v>74</v>
      </c>
      <c r="T456" s="2" t="s">
        <v>74</v>
      </c>
      <c r="U456" s="2" t="s">
        <v>74</v>
      </c>
      <c r="V456" s="5" t="s">
        <v>4259</v>
      </c>
      <c r="W456" s="2" t="s">
        <v>74</v>
      </c>
      <c r="X456" s="2" t="s">
        <v>74</v>
      </c>
      <c r="Y456" s="2" t="s">
        <v>74</v>
      </c>
      <c r="Z456" s="2" t="s">
        <v>74</v>
      </c>
      <c r="AA456" s="2" t="s">
        <v>74</v>
      </c>
      <c r="AB456" s="2" t="s">
        <v>74</v>
      </c>
      <c r="AC456" s="2" t="s">
        <v>74</v>
      </c>
      <c r="AD456" s="2" t="s">
        <v>74</v>
      </c>
      <c r="AE456" s="2" t="s">
        <v>74</v>
      </c>
      <c r="AF456" s="2" t="s">
        <v>74</v>
      </c>
      <c r="AG456" s="2" t="s">
        <v>74</v>
      </c>
      <c r="AH456" s="2" t="s">
        <v>74</v>
      </c>
      <c r="AI456" s="2" t="s">
        <v>74</v>
      </c>
      <c r="AJ456" s="2" t="s">
        <v>74</v>
      </c>
      <c r="AK456" s="2" t="s">
        <v>74</v>
      </c>
      <c r="AL456" s="2" t="s">
        <v>74</v>
      </c>
      <c r="AM456" s="2" t="s">
        <v>74</v>
      </c>
      <c r="AN456" s="2" t="s">
        <v>74</v>
      </c>
      <c r="AO456" s="2" t="s">
        <v>74</v>
      </c>
      <c r="AP456" s="2" t="s">
        <v>435</v>
      </c>
      <c r="AQ456" s="2" t="s">
        <v>74</v>
      </c>
      <c r="AR456" s="2" t="s">
        <v>74</v>
      </c>
      <c r="AS456" s="2" t="s">
        <v>74</v>
      </c>
      <c r="AT456" s="2" t="s">
        <v>204</v>
      </c>
      <c r="AU456" s="2">
        <v>1987</v>
      </c>
      <c r="AV456" s="2">
        <v>104</v>
      </c>
      <c r="AW456" s="2">
        <v>3</v>
      </c>
      <c r="AX456" s="2" t="s">
        <v>74</v>
      </c>
      <c r="AY456" s="2" t="s">
        <v>74</v>
      </c>
      <c r="AZ456" s="2" t="s">
        <v>74</v>
      </c>
      <c r="BA456" s="2" t="s">
        <v>74</v>
      </c>
      <c r="BB456" s="2">
        <v>444</v>
      </c>
      <c r="BC456" s="2">
        <v>449</v>
      </c>
      <c r="BD456" s="2" t="s">
        <v>74</v>
      </c>
      <c r="BE456" s="2" t="s">
        <v>4260</v>
      </c>
      <c r="BF456" s="2" t="str">
        <f>HYPERLINK("http://dx.doi.org/10.2307/4087543","http://dx.doi.org/10.2307/4087543")</f>
        <v>http://dx.doi.org/10.2307/4087543</v>
      </c>
      <c r="BG456" s="2" t="s">
        <v>74</v>
      </c>
      <c r="BH456" s="2" t="s">
        <v>74</v>
      </c>
      <c r="BI456" s="2" t="s">
        <v>74</v>
      </c>
      <c r="BJ456" s="2" t="s">
        <v>74</v>
      </c>
      <c r="BK456" s="2" t="s">
        <v>74</v>
      </c>
      <c r="BL456" s="2" t="s">
        <v>74</v>
      </c>
      <c r="BM456" s="2" t="s">
        <v>74</v>
      </c>
      <c r="BN456" s="2" t="s">
        <v>74</v>
      </c>
      <c r="BO456" s="2" t="s">
        <v>74</v>
      </c>
      <c r="BP456" s="2" t="s">
        <v>74</v>
      </c>
      <c r="BQ456" s="2" t="s">
        <v>74</v>
      </c>
      <c r="BR456" s="2" t="s">
        <v>74</v>
      </c>
      <c r="BS456" s="2" t="s">
        <v>4261</v>
      </c>
      <c r="BT456" s="2" t="str">
        <f>HYPERLINK("https%3A%2F%2Fwww.webofscience.com%2Fwos%2Fwoscc%2Ffull-record%2FWOS:A1987J266100010","View Full Record in Web of Science")</f>
        <v>View Full Record in Web of Science</v>
      </c>
    </row>
    <row r="457" spans="1:72" s="2" customFormat="1" x14ac:dyDescent="0.4">
      <c r="A457" s="2" t="s">
        <v>72</v>
      </c>
      <c r="B457" s="2" t="s">
        <v>2794</v>
      </c>
      <c r="C457" s="2" t="s">
        <v>74</v>
      </c>
      <c r="D457" s="2" t="s">
        <v>74</v>
      </c>
      <c r="E457" s="2" t="s">
        <v>74</v>
      </c>
      <c r="F457" s="2" t="s">
        <v>2795</v>
      </c>
      <c r="G457" s="2" t="s">
        <v>74</v>
      </c>
      <c r="H457" s="2" t="s">
        <v>74</v>
      </c>
      <c r="I457" s="2" t="s">
        <v>2796</v>
      </c>
      <c r="J457" s="2" t="s">
        <v>1656</v>
      </c>
      <c r="K457" s="2" t="s">
        <v>74</v>
      </c>
      <c r="L457" s="2" t="s">
        <v>74</v>
      </c>
      <c r="M457" s="2" t="s">
        <v>74</v>
      </c>
      <c r="N457" s="2" t="s">
        <v>74</v>
      </c>
      <c r="O457" s="2" t="s">
        <v>74</v>
      </c>
      <c r="P457" s="2" t="s">
        <v>74</v>
      </c>
      <c r="Q457" s="2" t="s">
        <v>74</v>
      </c>
      <c r="R457" s="2" t="s">
        <v>74</v>
      </c>
      <c r="S457" s="2" t="s">
        <v>74</v>
      </c>
      <c r="T457" s="2" t="s">
        <v>74</v>
      </c>
      <c r="U457" s="2" t="s">
        <v>74</v>
      </c>
      <c r="V457" s="5" t="s">
        <v>2797</v>
      </c>
      <c r="W457" s="2" t="s">
        <v>74</v>
      </c>
      <c r="X457" s="2" t="s">
        <v>74</v>
      </c>
      <c r="Y457" s="2" t="s">
        <v>74</v>
      </c>
      <c r="Z457" s="2" t="s">
        <v>74</v>
      </c>
      <c r="AA457" s="2" t="s">
        <v>2798</v>
      </c>
      <c r="AB457" s="2" t="s">
        <v>2799</v>
      </c>
      <c r="AC457" s="2" t="s">
        <v>74</v>
      </c>
      <c r="AD457" s="2" t="s">
        <v>74</v>
      </c>
      <c r="AE457" s="2" t="s">
        <v>74</v>
      </c>
      <c r="AF457" s="2" t="s">
        <v>74</v>
      </c>
      <c r="AG457" s="2" t="s">
        <v>74</v>
      </c>
      <c r="AH457" s="2" t="s">
        <v>74</v>
      </c>
      <c r="AI457" s="2" t="s">
        <v>74</v>
      </c>
      <c r="AJ457" s="2" t="s">
        <v>74</v>
      </c>
      <c r="AK457" s="2" t="s">
        <v>74</v>
      </c>
      <c r="AL457" s="2" t="s">
        <v>74</v>
      </c>
      <c r="AM457" s="2" t="s">
        <v>74</v>
      </c>
      <c r="AN457" s="2" t="s">
        <v>74</v>
      </c>
      <c r="AO457" s="2" t="s">
        <v>1658</v>
      </c>
      <c r="AP457" s="2" t="s">
        <v>1659</v>
      </c>
      <c r="AQ457" s="2" t="s">
        <v>74</v>
      </c>
      <c r="AR457" s="2" t="s">
        <v>74</v>
      </c>
      <c r="AS457" s="2" t="s">
        <v>74</v>
      </c>
      <c r="AT457" s="2" t="s">
        <v>2800</v>
      </c>
      <c r="AU457" s="2">
        <v>2013</v>
      </c>
      <c r="AV457" s="2">
        <v>3700</v>
      </c>
      <c r="AW457" s="2">
        <v>3</v>
      </c>
      <c r="AX457" s="2" t="s">
        <v>74</v>
      </c>
      <c r="AY457" s="2" t="s">
        <v>74</v>
      </c>
      <c r="AZ457" s="2" t="s">
        <v>74</v>
      </c>
      <c r="BA457" s="2" t="s">
        <v>74</v>
      </c>
      <c r="BB457" s="2">
        <v>348</v>
      </c>
      <c r="BC457" s="2">
        <v>360</v>
      </c>
      <c r="BD457" s="2" t="s">
        <v>74</v>
      </c>
      <c r="BE457" s="2" t="s">
        <v>2801</v>
      </c>
      <c r="BF457" s="2" t="str">
        <f>HYPERLINK("http://dx.doi.org/10.11646/zootaxa.3700.3.2","http://dx.doi.org/10.11646/zootaxa.3700.3.2")</f>
        <v>http://dx.doi.org/10.11646/zootaxa.3700.3.2</v>
      </c>
      <c r="BG457" s="2" t="s">
        <v>74</v>
      </c>
      <c r="BH457" s="2" t="s">
        <v>74</v>
      </c>
      <c r="BI457" s="2" t="s">
        <v>74</v>
      </c>
      <c r="BJ457" s="2" t="s">
        <v>74</v>
      </c>
      <c r="BK457" s="2" t="s">
        <v>74</v>
      </c>
      <c r="BL457" s="2" t="s">
        <v>74</v>
      </c>
      <c r="BM457" s="2" t="s">
        <v>74</v>
      </c>
      <c r="BN457" s="2">
        <v>26106731</v>
      </c>
      <c r="BO457" s="2" t="s">
        <v>74</v>
      </c>
      <c r="BP457" s="2" t="s">
        <v>74</v>
      </c>
      <c r="BQ457" s="2" t="s">
        <v>74</v>
      </c>
      <c r="BR457" s="2" t="s">
        <v>74</v>
      </c>
      <c r="BS457" s="2" t="s">
        <v>2802</v>
      </c>
      <c r="BT457" s="2" t="str">
        <f>HYPERLINK("https%3A%2F%2Fwww.webofscience.com%2Fwos%2Fwoscc%2Ffull-record%2FWOS:000323105800002","View Full Record in Web of Science")</f>
        <v>View Full Record in Web of Science</v>
      </c>
    </row>
    <row r="458" spans="1:72" s="2" customFormat="1" x14ac:dyDescent="0.4">
      <c r="A458" s="2" t="s">
        <v>72</v>
      </c>
      <c r="B458" s="2" t="s">
        <v>6424</v>
      </c>
      <c r="C458" s="2" t="s">
        <v>74</v>
      </c>
      <c r="D458" s="2" t="s">
        <v>74</v>
      </c>
      <c r="E458" s="2" t="s">
        <v>74</v>
      </c>
      <c r="F458" s="2" t="s">
        <v>6425</v>
      </c>
      <c r="G458" s="2" t="s">
        <v>74</v>
      </c>
      <c r="H458" s="2" t="s">
        <v>74</v>
      </c>
      <c r="I458" s="2" t="s">
        <v>6426</v>
      </c>
      <c r="J458" s="2" t="s">
        <v>6427</v>
      </c>
      <c r="K458" s="2" t="s">
        <v>74</v>
      </c>
      <c r="L458" s="2" t="s">
        <v>74</v>
      </c>
      <c r="M458" s="2" t="s">
        <v>74</v>
      </c>
      <c r="N458" s="2" t="s">
        <v>74</v>
      </c>
      <c r="O458" s="2" t="s">
        <v>74</v>
      </c>
      <c r="P458" s="2" t="s">
        <v>74</v>
      </c>
      <c r="Q458" s="2" t="s">
        <v>74</v>
      </c>
      <c r="R458" s="2" t="s">
        <v>74</v>
      </c>
      <c r="S458" s="2" t="s">
        <v>74</v>
      </c>
      <c r="T458" s="2" t="s">
        <v>74</v>
      </c>
      <c r="U458" s="2" t="s">
        <v>74</v>
      </c>
      <c r="V458" s="5" t="s">
        <v>6428</v>
      </c>
      <c r="W458" s="2" t="s">
        <v>74</v>
      </c>
      <c r="X458" s="2" t="s">
        <v>74</v>
      </c>
      <c r="Y458" s="2" t="s">
        <v>74</v>
      </c>
      <c r="Z458" s="2" t="s">
        <v>74</v>
      </c>
      <c r="AA458" s="2" t="s">
        <v>6429</v>
      </c>
      <c r="AB458" s="2" t="s">
        <v>6430</v>
      </c>
      <c r="AC458" s="2" t="s">
        <v>74</v>
      </c>
      <c r="AD458" s="2" t="s">
        <v>74</v>
      </c>
      <c r="AE458" s="2" t="s">
        <v>74</v>
      </c>
      <c r="AF458" s="2" t="s">
        <v>74</v>
      </c>
      <c r="AG458" s="2" t="s">
        <v>74</v>
      </c>
      <c r="AH458" s="2" t="s">
        <v>74</v>
      </c>
      <c r="AI458" s="2" t="s">
        <v>74</v>
      </c>
      <c r="AJ458" s="2" t="s">
        <v>74</v>
      </c>
      <c r="AK458" s="2" t="s">
        <v>74</v>
      </c>
      <c r="AL458" s="2" t="s">
        <v>74</v>
      </c>
      <c r="AM458" s="2" t="s">
        <v>74</v>
      </c>
      <c r="AN458" s="2" t="s">
        <v>74</v>
      </c>
      <c r="AO458" s="2" t="s">
        <v>6431</v>
      </c>
      <c r="AP458" s="2" t="s">
        <v>74</v>
      </c>
      <c r="AQ458" s="2" t="s">
        <v>74</v>
      </c>
      <c r="AR458" s="2" t="s">
        <v>74</v>
      </c>
      <c r="AS458" s="2" t="s">
        <v>74</v>
      </c>
      <c r="AT458" s="2" t="s">
        <v>113</v>
      </c>
      <c r="AU458" s="2">
        <v>2023</v>
      </c>
      <c r="AV458" s="2">
        <v>59</v>
      </c>
      <c r="AW458" s="2">
        <v>3</v>
      </c>
      <c r="AX458" s="2" t="s">
        <v>74</v>
      </c>
      <c r="AY458" s="2" t="s">
        <v>74</v>
      </c>
      <c r="AZ458" s="2" t="s">
        <v>74</v>
      </c>
      <c r="BA458" s="2" t="s">
        <v>74</v>
      </c>
      <c r="BB458" s="2">
        <v>239</v>
      </c>
      <c r="BC458" s="2">
        <v>261</v>
      </c>
      <c r="BD458" s="2" t="s">
        <v>74</v>
      </c>
      <c r="BE458" s="2" t="s">
        <v>74</v>
      </c>
      <c r="BF458" s="2" t="s">
        <v>74</v>
      </c>
      <c r="BG458" s="2" t="s">
        <v>74</v>
      </c>
      <c r="BH458" s="2" t="s">
        <v>74</v>
      </c>
      <c r="BI458" s="2" t="s">
        <v>74</v>
      </c>
      <c r="BJ458" s="2" t="s">
        <v>74</v>
      </c>
      <c r="BK458" s="2" t="s">
        <v>74</v>
      </c>
      <c r="BL458" s="2" t="s">
        <v>74</v>
      </c>
      <c r="BM458" s="2" t="s">
        <v>74</v>
      </c>
      <c r="BN458" s="2" t="s">
        <v>74</v>
      </c>
      <c r="BO458" s="2" t="s">
        <v>74</v>
      </c>
      <c r="BP458" s="2" t="s">
        <v>74</v>
      </c>
      <c r="BQ458" s="2" t="s">
        <v>74</v>
      </c>
      <c r="BR458" s="2" t="s">
        <v>74</v>
      </c>
      <c r="BS458" s="2" t="s">
        <v>6432</v>
      </c>
      <c r="BT458" s="2" t="str">
        <f>HYPERLINK("https%3A%2F%2Fwww.webofscience.com%2Fwos%2Fwoscc%2Ffull-record%2FWOS:001051428100001","View Full Record in Web of Science")</f>
        <v>View Full Record in Web of Science</v>
      </c>
    </row>
    <row r="459" spans="1:72" s="2" customFormat="1" x14ac:dyDescent="0.4">
      <c r="A459" s="2" t="s">
        <v>72</v>
      </c>
      <c r="B459" s="2" t="s">
        <v>7841</v>
      </c>
      <c r="C459" s="2" t="s">
        <v>74</v>
      </c>
      <c r="D459" s="2" t="s">
        <v>74</v>
      </c>
      <c r="E459" s="2" t="s">
        <v>74</v>
      </c>
      <c r="F459" s="2" t="s">
        <v>7842</v>
      </c>
      <c r="G459" s="2" t="s">
        <v>74</v>
      </c>
      <c r="H459" s="2" t="s">
        <v>74</v>
      </c>
      <c r="I459" s="2" t="s">
        <v>7843</v>
      </c>
      <c r="J459" s="2" t="s">
        <v>7612</v>
      </c>
      <c r="K459" s="2" t="s">
        <v>74</v>
      </c>
      <c r="L459" s="2" t="s">
        <v>74</v>
      </c>
      <c r="M459" s="2" t="s">
        <v>74</v>
      </c>
      <c r="N459" s="2" t="s">
        <v>74</v>
      </c>
      <c r="O459" s="2" t="s">
        <v>74</v>
      </c>
      <c r="P459" s="2" t="s">
        <v>74</v>
      </c>
      <c r="Q459" s="2" t="s">
        <v>74</v>
      </c>
      <c r="R459" s="2" t="s">
        <v>74</v>
      </c>
      <c r="S459" s="2" t="s">
        <v>74</v>
      </c>
      <c r="T459" s="2" t="s">
        <v>74</v>
      </c>
      <c r="U459" s="2" t="s">
        <v>74</v>
      </c>
      <c r="V459" s="5" t="s">
        <v>7844</v>
      </c>
      <c r="W459" s="2" t="s">
        <v>74</v>
      </c>
      <c r="X459" s="2" t="s">
        <v>74</v>
      </c>
      <c r="Y459" s="2" t="s">
        <v>74</v>
      </c>
      <c r="Z459" s="2" t="s">
        <v>74</v>
      </c>
      <c r="AA459" s="2" t="s">
        <v>74</v>
      </c>
      <c r="AB459" s="2" t="s">
        <v>7845</v>
      </c>
      <c r="AC459" s="2" t="s">
        <v>74</v>
      </c>
      <c r="AD459" s="2" t="s">
        <v>74</v>
      </c>
      <c r="AE459" s="2" t="s">
        <v>74</v>
      </c>
      <c r="AF459" s="2" t="s">
        <v>74</v>
      </c>
      <c r="AG459" s="2" t="s">
        <v>74</v>
      </c>
      <c r="AH459" s="2" t="s">
        <v>74</v>
      </c>
      <c r="AI459" s="2" t="s">
        <v>74</v>
      </c>
      <c r="AJ459" s="2" t="s">
        <v>74</v>
      </c>
      <c r="AK459" s="2" t="s">
        <v>74</v>
      </c>
      <c r="AL459" s="2" t="s">
        <v>74</v>
      </c>
      <c r="AM459" s="2" t="s">
        <v>74</v>
      </c>
      <c r="AN459" s="2" t="s">
        <v>74</v>
      </c>
      <c r="AO459" s="2" t="s">
        <v>7615</v>
      </c>
      <c r="AP459" s="2" t="s">
        <v>7616</v>
      </c>
      <c r="AQ459" s="2" t="s">
        <v>74</v>
      </c>
      <c r="AR459" s="2" t="s">
        <v>74</v>
      </c>
      <c r="AS459" s="2" t="s">
        <v>74</v>
      </c>
      <c r="AT459" s="2" t="s">
        <v>7846</v>
      </c>
      <c r="AU459" s="2">
        <v>2023</v>
      </c>
      <c r="AV459" s="2">
        <v>2023</v>
      </c>
      <c r="AW459" s="2" t="s">
        <v>74</v>
      </c>
      <c r="AX459" s="2" t="s">
        <v>74</v>
      </c>
      <c r="AY459" s="2" t="s">
        <v>74</v>
      </c>
      <c r="AZ459" s="2" t="s">
        <v>74</v>
      </c>
      <c r="BA459" s="2" t="s">
        <v>74</v>
      </c>
      <c r="BB459" s="2" t="s">
        <v>74</v>
      </c>
      <c r="BC459" s="2" t="s">
        <v>74</v>
      </c>
      <c r="BD459" s="2">
        <v>8868453</v>
      </c>
      <c r="BE459" s="2" t="s">
        <v>7847</v>
      </c>
      <c r="BF459" s="2" t="str">
        <f>HYPERLINK("http://dx.doi.org/10.1155/2023/8868453","http://dx.doi.org/10.1155/2023/8868453")</f>
        <v>http://dx.doi.org/10.1155/2023/8868453</v>
      </c>
      <c r="BG459" s="2" t="s">
        <v>74</v>
      </c>
      <c r="BH459" s="2" t="s">
        <v>74</v>
      </c>
      <c r="BI459" s="2" t="s">
        <v>74</v>
      </c>
      <c r="BJ459" s="2" t="s">
        <v>74</v>
      </c>
      <c r="BK459" s="2" t="s">
        <v>74</v>
      </c>
      <c r="BL459" s="2" t="s">
        <v>74</v>
      </c>
      <c r="BM459" s="2" t="s">
        <v>74</v>
      </c>
      <c r="BN459" s="2" t="s">
        <v>74</v>
      </c>
      <c r="BO459" s="2" t="s">
        <v>74</v>
      </c>
      <c r="BP459" s="2" t="s">
        <v>74</v>
      </c>
      <c r="BQ459" s="2" t="s">
        <v>74</v>
      </c>
      <c r="BR459" s="2" t="s">
        <v>74</v>
      </c>
      <c r="BS459" s="2" t="s">
        <v>7848</v>
      </c>
      <c r="BT459" s="2" t="str">
        <f>HYPERLINK("https%3A%2F%2Fwww.webofscience.com%2Fwos%2Fwoscc%2Ffull-record%2FWOS:000982639500001","View Full Record in Web of Science")</f>
        <v>View Full Record in Web of Science</v>
      </c>
    </row>
    <row r="460" spans="1:72" s="2" customFormat="1" x14ac:dyDescent="0.4">
      <c r="A460" s="2" t="s">
        <v>72</v>
      </c>
      <c r="B460" s="2" t="s">
        <v>7002</v>
      </c>
      <c r="C460" s="2" t="s">
        <v>74</v>
      </c>
      <c r="D460" s="2" t="s">
        <v>74</v>
      </c>
      <c r="E460" s="2" t="s">
        <v>74</v>
      </c>
      <c r="F460" s="2" t="s">
        <v>7002</v>
      </c>
      <c r="G460" s="2" t="s">
        <v>74</v>
      </c>
      <c r="H460" s="2" t="s">
        <v>74</v>
      </c>
      <c r="I460" s="2" t="s">
        <v>7003</v>
      </c>
      <c r="J460" s="2" t="s">
        <v>140</v>
      </c>
      <c r="K460" s="2" t="s">
        <v>74</v>
      </c>
      <c r="L460" s="2" t="s">
        <v>74</v>
      </c>
      <c r="M460" s="2" t="s">
        <v>74</v>
      </c>
      <c r="N460" s="2" t="s">
        <v>74</v>
      </c>
      <c r="O460" s="2" t="s">
        <v>74</v>
      </c>
      <c r="P460" s="2" t="s">
        <v>74</v>
      </c>
      <c r="Q460" s="2" t="s">
        <v>74</v>
      </c>
      <c r="R460" s="2" t="s">
        <v>74</v>
      </c>
      <c r="S460" s="2" t="s">
        <v>74</v>
      </c>
      <c r="T460" s="2" t="s">
        <v>74</v>
      </c>
      <c r="U460" s="2" t="s">
        <v>74</v>
      </c>
      <c r="V460" s="5" t="s">
        <v>7004</v>
      </c>
      <c r="W460" s="2" t="s">
        <v>74</v>
      </c>
      <c r="X460" s="2" t="s">
        <v>74</v>
      </c>
      <c r="Y460" s="2" t="s">
        <v>74</v>
      </c>
      <c r="Z460" s="2" t="s">
        <v>74</v>
      </c>
      <c r="AA460" s="2" t="s">
        <v>74</v>
      </c>
      <c r="AB460" s="2" t="s">
        <v>74</v>
      </c>
      <c r="AC460" s="2" t="s">
        <v>74</v>
      </c>
      <c r="AD460" s="2" t="s">
        <v>74</v>
      </c>
      <c r="AE460" s="2" t="s">
        <v>74</v>
      </c>
      <c r="AF460" s="2" t="s">
        <v>74</v>
      </c>
      <c r="AG460" s="2" t="s">
        <v>74</v>
      </c>
      <c r="AH460" s="2" t="s">
        <v>74</v>
      </c>
      <c r="AI460" s="2" t="s">
        <v>74</v>
      </c>
      <c r="AJ460" s="2" t="s">
        <v>74</v>
      </c>
      <c r="AK460" s="2" t="s">
        <v>74</v>
      </c>
      <c r="AL460" s="2" t="s">
        <v>74</v>
      </c>
      <c r="AM460" s="2" t="s">
        <v>74</v>
      </c>
      <c r="AN460" s="2" t="s">
        <v>74</v>
      </c>
      <c r="AO460" s="2" t="s">
        <v>143</v>
      </c>
      <c r="AP460" s="2" t="s">
        <v>144</v>
      </c>
      <c r="AQ460" s="2" t="s">
        <v>74</v>
      </c>
      <c r="AR460" s="2" t="s">
        <v>74</v>
      </c>
      <c r="AS460" s="2" t="s">
        <v>74</v>
      </c>
      <c r="AT460" s="2" t="s">
        <v>633</v>
      </c>
      <c r="AU460" s="2">
        <v>2005</v>
      </c>
      <c r="AV460" s="2">
        <v>69</v>
      </c>
      <c r="AW460" s="2" t="s">
        <v>74</v>
      </c>
      <c r="AX460" s="2">
        <v>4</v>
      </c>
      <c r="AY460" s="2" t="s">
        <v>74</v>
      </c>
      <c r="AZ460" s="2" t="s">
        <v>74</v>
      </c>
      <c r="BA460" s="2" t="s">
        <v>74</v>
      </c>
      <c r="BB460" s="2">
        <v>999</v>
      </c>
      <c r="BC460" s="2">
        <v>1005</v>
      </c>
      <c r="BD460" s="2" t="s">
        <v>74</v>
      </c>
      <c r="BE460" s="2" t="s">
        <v>7005</v>
      </c>
      <c r="BF460" s="2" t="str">
        <f>HYPERLINK("http://dx.doi.org/10.1016/j.anbehav.2004.07.016","http://dx.doi.org/10.1016/j.anbehav.2004.07.016")</f>
        <v>http://dx.doi.org/10.1016/j.anbehav.2004.07.016</v>
      </c>
      <c r="BG460" s="2" t="s">
        <v>74</v>
      </c>
      <c r="BH460" s="2" t="s">
        <v>74</v>
      </c>
      <c r="BI460" s="2" t="s">
        <v>74</v>
      </c>
      <c r="BJ460" s="2" t="s">
        <v>74</v>
      </c>
      <c r="BK460" s="2" t="s">
        <v>74</v>
      </c>
      <c r="BL460" s="2" t="s">
        <v>74</v>
      </c>
      <c r="BM460" s="2" t="s">
        <v>74</v>
      </c>
      <c r="BN460" s="2" t="s">
        <v>74</v>
      </c>
      <c r="BO460" s="2" t="s">
        <v>74</v>
      </c>
      <c r="BP460" s="2" t="s">
        <v>74</v>
      </c>
      <c r="BQ460" s="2" t="s">
        <v>74</v>
      </c>
      <c r="BR460" s="2" t="s">
        <v>74</v>
      </c>
      <c r="BS460" s="2" t="s">
        <v>7006</v>
      </c>
      <c r="BT460" s="2" t="str">
        <f>HYPERLINK("https%3A%2F%2Fwww.webofscience.com%2Fwos%2Fwoscc%2Ffull-record%2FWOS:000228511900028","View Full Record in Web of Science")</f>
        <v>View Full Record in Web of Science</v>
      </c>
    </row>
    <row r="461" spans="1:72" s="2" customFormat="1" x14ac:dyDescent="0.4">
      <c r="A461" s="2" t="s">
        <v>72</v>
      </c>
      <c r="B461" s="2" t="s">
        <v>4143</v>
      </c>
      <c r="C461" s="2" t="s">
        <v>74</v>
      </c>
      <c r="D461" s="2" t="s">
        <v>74</v>
      </c>
      <c r="E461" s="2" t="s">
        <v>74</v>
      </c>
      <c r="F461" s="2" t="s">
        <v>4143</v>
      </c>
      <c r="G461" s="2" t="s">
        <v>74</v>
      </c>
      <c r="H461" s="2" t="s">
        <v>74</v>
      </c>
      <c r="I461" s="2" t="s">
        <v>4144</v>
      </c>
      <c r="J461" s="2" t="s">
        <v>4145</v>
      </c>
      <c r="K461" s="2" t="s">
        <v>74</v>
      </c>
      <c r="L461" s="2" t="s">
        <v>74</v>
      </c>
      <c r="M461" s="2" t="s">
        <v>74</v>
      </c>
      <c r="N461" s="2" t="s">
        <v>74</v>
      </c>
      <c r="O461" s="2" t="s">
        <v>74</v>
      </c>
      <c r="P461" s="2" t="s">
        <v>74</v>
      </c>
      <c r="Q461" s="2" t="s">
        <v>74</v>
      </c>
      <c r="R461" s="2" t="s">
        <v>74</v>
      </c>
      <c r="S461" s="2" t="s">
        <v>74</v>
      </c>
      <c r="T461" s="2" t="s">
        <v>74</v>
      </c>
      <c r="U461" s="2" t="s">
        <v>74</v>
      </c>
      <c r="V461" s="5" t="s">
        <v>4146</v>
      </c>
      <c r="W461" s="2" t="s">
        <v>74</v>
      </c>
      <c r="X461" s="2" t="s">
        <v>74</v>
      </c>
      <c r="Y461" s="2" t="s">
        <v>74</v>
      </c>
      <c r="Z461" s="2" t="s">
        <v>74</v>
      </c>
      <c r="AA461" s="2" t="s">
        <v>74</v>
      </c>
      <c r="AB461" s="2" t="s">
        <v>74</v>
      </c>
      <c r="AC461" s="2" t="s">
        <v>74</v>
      </c>
      <c r="AD461" s="2" t="s">
        <v>74</v>
      </c>
      <c r="AE461" s="2" t="s">
        <v>74</v>
      </c>
      <c r="AF461" s="2" t="s">
        <v>74</v>
      </c>
      <c r="AG461" s="2" t="s">
        <v>74</v>
      </c>
      <c r="AH461" s="2" t="s">
        <v>74</v>
      </c>
      <c r="AI461" s="2" t="s">
        <v>74</v>
      </c>
      <c r="AJ461" s="2" t="s">
        <v>74</v>
      </c>
      <c r="AK461" s="2" t="s">
        <v>74</v>
      </c>
      <c r="AL461" s="2" t="s">
        <v>74</v>
      </c>
      <c r="AM461" s="2" t="s">
        <v>74</v>
      </c>
      <c r="AN461" s="2" t="s">
        <v>74</v>
      </c>
      <c r="AO461" s="2" t="s">
        <v>4147</v>
      </c>
      <c r="AP461" s="2" t="s">
        <v>74</v>
      </c>
      <c r="AQ461" s="2" t="s">
        <v>74</v>
      </c>
      <c r="AR461" s="2" t="s">
        <v>74</v>
      </c>
      <c r="AS461" s="2" t="s">
        <v>74</v>
      </c>
      <c r="AT461" s="2" t="s">
        <v>964</v>
      </c>
      <c r="AU461" s="2">
        <v>2003</v>
      </c>
      <c r="AV461" s="2">
        <v>189</v>
      </c>
      <c r="AW461" s="2">
        <v>2</v>
      </c>
      <c r="AX461" s="2" t="s">
        <v>74</v>
      </c>
      <c r="AY461" s="2" t="s">
        <v>74</v>
      </c>
      <c r="AZ461" s="2" t="s">
        <v>74</v>
      </c>
      <c r="BA461" s="2" t="s">
        <v>74</v>
      </c>
      <c r="BB461" s="2">
        <v>135</v>
      </c>
      <c r="BC461" s="2">
        <v>142</v>
      </c>
      <c r="BD461" s="2" t="s">
        <v>74</v>
      </c>
      <c r="BE461" s="2" t="s">
        <v>4148</v>
      </c>
      <c r="BF461" s="2" t="str">
        <f>HYPERLINK("http://dx.doi.org/10.1007/s00359-002-0385-8","http://dx.doi.org/10.1007/s00359-002-0385-8")</f>
        <v>http://dx.doi.org/10.1007/s00359-002-0385-8</v>
      </c>
      <c r="BG461" s="2" t="s">
        <v>74</v>
      </c>
      <c r="BH461" s="2" t="s">
        <v>74</v>
      </c>
      <c r="BI461" s="2" t="s">
        <v>74</v>
      </c>
      <c r="BJ461" s="2" t="s">
        <v>74</v>
      </c>
      <c r="BK461" s="2" t="s">
        <v>74</v>
      </c>
      <c r="BL461" s="2" t="s">
        <v>74</v>
      </c>
      <c r="BM461" s="2" t="s">
        <v>74</v>
      </c>
      <c r="BN461" s="2">
        <v>12607042</v>
      </c>
      <c r="BO461" s="2" t="s">
        <v>74</v>
      </c>
      <c r="BP461" s="2" t="s">
        <v>74</v>
      </c>
      <c r="BQ461" s="2" t="s">
        <v>74</v>
      </c>
      <c r="BR461" s="2" t="s">
        <v>74</v>
      </c>
      <c r="BS461" s="2" t="s">
        <v>4149</v>
      </c>
      <c r="BT461" s="2" t="str">
        <f>HYPERLINK("https%3A%2F%2Fwww.webofscience.com%2Fwos%2Fwoscc%2Ffull-record%2FWOS:000181896800007","View Full Record in Web of Science")</f>
        <v>View Full Record in Web of Science</v>
      </c>
    </row>
    <row r="462" spans="1:72" s="2" customFormat="1" x14ac:dyDescent="0.4">
      <c r="A462" s="2" t="s">
        <v>72</v>
      </c>
      <c r="B462" s="2" t="s">
        <v>7768</v>
      </c>
      <c r="C462" s="2" t="s">
        <v>74</v>
      </c>
      <c r="D462" s="2" t="s">
        <v>74</v>
      </c>
      <c r="E462" s="2" t="s">
        <v>74</v>
      </c>
      <c r="F462" s="2" t="s">
        <v>7769</v>
      </c>
      <c r="G462" s="2" t="s">
        <v>74</v>
      </c>
      <c r="H462" s="2" t="s">
        <v>74</v>
      </c>
      <c r="I462" s="2" t="s">
        <v>7770</v>
      </c>
      <c r="J462" s="2" t="s">
        <v>1656</v>
      </c>
      <c r="K462" s="2" t="s">
        <v>74</v>
      </c>
      <c r="L462" s="2" t="s">
        <v>74</v>
      </c>
      <c r="M462" s="2" t="s">
        <v>74</v>
      </c>
      <c r="N462" s="2" t="s">
        <v>74</v>
      </c>
      <c r="O462" s="2" t="s">
        <v>74</v>
      </c>
      <c r="P462" s="2" t="s">
        <v>74</v>
      </c>
      <c r="Q462" s="2" t="s">
        <v>74</v>
      </c>
      <c r="R462" s="2" t="s">
        <v>74</v>
      </c>
      <c r="S462" s="2" t="s">
        <v>74</v>
      </c>
      <c r="T462" s="2" t="s">
        <v>74</v>
      </c>
      <c r="U462" s="2" t="s">
        <v>74</v>
      </c>
      <c r="V462" s="5" t="s">
        <v>7771</v>
      </c>
      <c r="W462" s="2" t="s">
        <v>74</v>
      </c>
      <c r="X462" s="2" t="s">
        <v>74</v>
      </c>
      <c r="Y462" s="2" t="s">
        <v>74</v>
      </c>
      <c r="Z462" s="2" t="s">
        <v>74</v>
      </c>
      <c r="AA462" s="2" t="s">
        <v>7772</v>
      </c>
      <c r="AB462" s="2" t="s">
        <v>7773</v>
      </c>
      <c r="AC462" s="2" t="s">
        <v>74</v>
      </c>
      <c r="AD462" s="2" t="s">
        <v>74</v>
      </c>
      <c r="AE462" s="2" t="s">
        <v>74</v>
      </c>
      <c r="AF462" s="2" t="s">
        <v>74</v>
      </c>
      <c r="AG462" s="2" t="s">
        <v>74</v>
      </c>
      <c r="AH462" s="2" t="s">
        <v>74</v>
      </c>
      <c r="AI462" s="2" t="s">
        <v>74</v>
      </c>
      <c r="AJ462" s="2" t="s">
        <v>74</v>
      </c>
      <c r="AK462" s="2" t="s">
        <v>74</v>
      </c>
      <c r="AL462" s="2" t="s">
        <v>74</v>
      </c>
      <c r="AM462" s="2" t="s">
        <v>74</v>
      </c>
      <c r="AN462" s="2" t="s">
        <v>74</v>
      </c>
      <c r="AO462" s="2" t="s">
        <v>1658</v>
      </c>
      <c r="AP462" s="2" t="s">
        <v>1659</v>
      </c>
      <c r="AQ462" s="2" t="s">
        <v>74</v>
      </c>
      <c r="AR462" s="2" t="s">
        <v>74</v>
      </c>
      <c r="AS462" s="2" t="s">
        <v>74</v>
      </c>
      <c r="AT462" s="2" t="s">
        <v>7774</v>
      </c>
      <c r="AU462" s="2">
        <v>2020</v>
      </c>
      <c r="AV462" s="2">
        <v>4819</v>
      </c>
      <c r="AW462" s="2">
        <v>2</v>
      </c>
      <c r="AX462" s="2" t="s">
        <v>74</v>
      </c>
      <c r="AY462" s="2" t="s">
        <v>74</v>
      </c>
      <c r="AZ462" s="2" t="s">
        <v>74</v>
      </c>
      <c r="BA462" s="2" t="s">
        <v>74</v>
      </c>
      <c r="BB462" s="2">
        <v>316</v>
      </c>
      <c r="BC462" s="2">
        <v>334</v>
      </c>
      <c r="BD462" s="2" t="s">
        <v>74</v>
      </c>
      <c r="BE462" s="2" t="s">
        <v>7775</v>
      </c>
      <c r="BF462" s="2" t="str">
        <f>HYPERLINK("http://dx.doi.org/10.11646/zootaxa.4819.2.5","http://dx.doi.org/10.11646/zootaxa.4819.2.5")</f>
        <v>http://dx.doi.org/10.11646/zootaxa.4819.2.5</v>
      </c>
      <c r="BG462" s="2" t="s">
        <v>74</v>
      </c>
      <c r="BH462" s="2" t="s">
        <v>74</v>
      </c>
      <c r="BI462" s="2" t="s">
        <v>74</v>
      </c>
      <c r="BJ462" s="2" t="s">
        <v>74</v>
      </c>
      <c r="BK462" s="2" t="s">
        <v>74</v>
      </c>
      <c r="BL462" s="2" t="s">
        <v>74</v>
      </c>
      <c r="BM462" s="2" t="s">
        <v>74</v>
      </c>
      <c r="BN462" s="2">
        <v>33055661</v>
      </c>
      <c r="BO462" s="2" t="s">
        <v>74</v>
      </c>
      <c r="BP462" s="2" t="s">
        <v>74</v>
      </c>
      <c r="BQ462" s="2" t="s">
        <v>74</v>
      </c>
      <c r="BR462" s="2" t="s">
        <v>74</v>
      </c>
      <c r="BS462" s="2" t="s">
        <v>7776</v>
      </c>
      <c r="BT462" s="2" t="str">
        <f>HYPERLINK("https%3A%2F%2Fwww.webofscience.com%2Fwos%2Fwoscc%2Ffull-record%2FWOS:000552250100005","View Full Record in Web of Science")</f>
        <v>View Full Record in Web of Science</v>
      </c>
    </row>
    <row r="463" spans="1:72" s="2" customFormat="1" x14ac:dyDescent="0.4">
      <c r="A463" s="2" t="s">
        <v>72</v>
      </c>
      <c r="B463" s="2" t="s">
        <v>8259</v>
      </c>
      <c r="C463" s="2" t="s">
        <v>74</v>
      </c>
      <c r="D463" s="2" t="s">
        <v>74</v>
      </c>
      <c r="E463" s="2" t="s">
        <v>74</v>
      </c>
      <c r="F463" s="2" t="s">
        <v>8259</v>
      </c>
      <c r="G463" s="2" t="s">
        <v>74</v>
      </c>
      <c r="H463" s="2" t="s">
        <v>74</v>
      </c>
      <c r="I463" s="2" t="s">
        <v>8260</v>
      </c>
      <c r="J463" s="2" t="s">
        <v>77</v>
      </c>
      <c r="K463" s="2" t="s">
        <v>74</v>
      </c>
      <c r="L463" s="2" t="s">
        <v>74</v>
      </c>
      <c r="M463" s="2" t="s">
        <v>74</v>
      </c>
      <c r="N463" s="2" t="s">
        <v>74</v>
      </c>
      <c r="O463" s="2" t="s">
        <v>74</v>
      </c>
      <c r="P463" s="2" t="s">
        <v>74</v>
      </c>
      <c r="Q463" s="2" t="s">
        <v>74</v>
      </c>
      <c r="R463" s="2" t="s">
        <v>74</v>
      </c>
      <c r="S463" s="2" t="s">
        <v>74</v>
      </c>
      <c r="T463" s="2" t="s">
        <v>74</v>
      </c>
      <c r="U463" s="2" t="s">
        <v>74</v>
      </c>
      <c r="V463" s="5" t="s">
        <v>8261</v>
      </c>
      <c r="W463" s="2" t="s">
        <v>74</v>
      </c>
      <c r="X463" s="2" t="s">
        <v>74</v>
      </c>
      <c r="Y463" s="2" t="s">
        <v>74</v>
      </c>
      <c r="Z463" s="2" t="s">
        <v>74</v>
      </c>
      <c r="AA463" s="2" t="s">
        <v>8262</v>
      </c>
      <c r="AB463" s="2" t="s">
        <v>8263</v>
      </c>
      <c r="AC463" s="2" t="s">
        <v>74</v>
      </c>
      <c r="AD463" s="2" t="s">
        <v>74</v>
      </c>
      <c r="AE463" s="2" t="s">
        <v>74</v>
      </c>
      <c r="AF463" s="2" t="s">
        <v>74</v>
      </c>
      <c r="AG463" s="2" t="s">
        <v>74</v>
      </c>
      <c r="AH463" s="2" t="s">
        <v>74</v>
      </c>
      <c r="AI463" s="2" t="s">
        <v>74</v>
      </c>
      <c r="AJ463" s="2" t="s">
        <v>74</v>
      </c>
      <c r="AK463" s="2" t="s">
        <v>74</v>
      </c>
      <c r="AL463" s="2" t="s">
        <v>74</v>
      </c>
      <c r="AM463" s="2" t="s">
        <v>74</v>
      </c>
      <c r="AN463" s="2" t="s">
        <v>74</v>
      </c>
      <c r="AO463" s="2" t="s">
        <v>81</v>
      </c>
      <c r="AP463" s="2" t="s">
        <v>82</v>
      </c>
      <c r="AQ463" s="2" t="s">
        <v>74</v>
      </c>
      <c r="AR463" s="2" t="s">
        <v>74</v>
      </c>
      <c r="AS463" s="2" t="s">
        <v>74</v>
      </c>
      <c r="AT463" s="2" t="s">
        <v>102</v>
      </c>
      <c r="AU463" s="2">
        <v>2005</v>
      </c>
      <c r="AV463" s="2">
        <v>142</v>
      </c>
      <c r="AW463" s="2" t="s">
        <v>74</v>
      </c>
      <c r="AX463" s="2">
        <v>6</v>
      </c>
      <c r="AY463" s="2" t="s">
        <v>74</v>
      </c>
      <c r="AZ463" s="2" t="s">
        <v>74</v>
      </c>
      <c r="BA463" s="2" t="s">
        <v>74</v>
      </c>
      <c r="BB463" s="2">
        <v>827</v>
      </c>
      <c r="BC463" s="2">
        <v>844</v>
      </c>
      <c r="BD463" s="2" t="s">
        <v>74</v>
      </c>
      <c r="BE463" s="2" t="s">
        <v>8264</v>
      </c>
      <c r="BF463" s="2" t="str">
        <f>HYPERLINK("http://dx.doi.org/10.1163/1568539054729141","http://dx.doi.org/10.1163/1568539054729141")</f>
        <v>http://dx.doi.org/10.1163/1568539054729141</v>
      </c>
      <c r="BG463" s="2" t="s">
        <v>74</v>
      </c>
      <c r="BH463" s="2" t="s">
        <v>74</v>
      </c>
      <c r="BI463" s="2" t="s">
        <v>74</v>
      </c>
      <c r="BJ463" s="2" t="s">
        <v>74</v>
      </c>
      <c r="BK463" s="2" t="s">
        <v>74</v>
      </c>
      <c r="BL463" s="2" t="s">
        <v>74</v>
      </c>
      <c r="BM463" s="2" t="s">
        <v>74</v>
      </c>
      <c r="BN463" s="2" t="s">
        <v>74</v>
      </c>
      <c r="BO463" s="2" t="s">
        <v>74</v>
      </c>
      <c r="BP463" s="2" t="s">
        <v>74</v>
      </c>
      <c r="BQ463" s="2" t="s">
        <v>74</v>
      </c>
      <c r="BR463" s="2" t="s">
        <v>74</v>
      </c>
      <c r="BS463" s="2" t="s">
        <v>8265</v>
      </c>
      <c r="BT463" s="2" t="str">
        <f>HYPERLINK("https%3A%2F%2Fwww.webofscience.com%2Fwos%2Fwoscc%2Ffull-record%2FWOS:000231869400008","View Full Record in Web of Science")</f>
        <v>View Full Record in Web of Science</v>
      </c>
    </row>
    <row r="464" spans="1:72" s="2" customFormat="1" x14ac:dyDescent="0.4">
      <c r="A464" s="2" t="s">
        <v>72</v>
      </c>
      <c r="B464" s="2" t="s">
        <v>5504</v>
      </c>
      <c r="C464" s="2" t="s">
        <v>74</v>
      </c>
      <c r="D464" s="2" t="s">
        <v>74</v>
      </c>
      <c r="E464" s="2" t="s">
        <v>74</v>
      </c>
      <c r="F464" s="2" t="s">
        <v>5505</v>
      </c>
      <c r="G464" s="2" t="s">
        <v>74</v>
      </c>
      <c r="H464" s="2" t="s">
        <v>74</v>
      </c>
      <c r="I464" s="2" t="s">
        <v>5506</v>
      </c>
      <c r="J464" s="2" t="s">
        <v>545</v>
      </c>
      <c r="K464" s="2" t="s">
        <v>74</v>
      </c>
      <c r="L464" s="2" t="s">
        <v>74</v>
      </c>
      <c r="M464" s="2" t="s">
        <v>74</v>
      </c>
      <c r="N464" s="2" t="s">
        <v>74</v>
      </c>
      <c r="O464" s="2" t="s">
        <v>74</v>
      </c>
      <c r="P464" s="2" t="s">
        <v>74</v>
      </c>
      <c r="Q464" s="2" t="s">
        <v>74</v>
      </c>
      <c r="R464" s="2" t="s">
        <v>74</v>
      </c>
      <c r="S464" s="2" t="s">
        <v>74</v>
      </c>
      <c r="T464" s="2" t="s">
        <v>74</v>
      </c>
      <c r="U464" s="2" t="s">
        <v>74</v>
      </c>
      <c r="V464" s="5" t="s">
        <v>5507</v>
      </c>
      <c r="W464" s="2" t="s">
        <v>74</v>
      </c>
      <c r="X464" s="2" t="s">
        <v>74</v>
      </c>
      <c r="Y464" s="2" t="s">
        <v>74</v>
      </c>
      <c r="Z464" s="2" t="s">
        <v>74</v>
      </c>
      <c r="AA464" s="2" t="s">
        <v>5508</v>
      </c>
      <c r="AB464" s="2" t="s">
        <v>5509</v>
      </c>
      <c r="AC464" s="2" t="s">
        <v>74</v>
      </c>
      <c r="AD464" s="2" t="s">
        <v>74</v>
      </c>
      <c r="AE464" s="2" t="s">
        <v>74</v>
      </c>
      <c r="AF464" s="2" t="s">
        <v>74</v>
      </c>
      <c r="AG464" s="2" t="s">
        <v>74</v>
      </c>
      <c r="AH464" s="2" t="s">
        <v>74</v>
      </c>
      <c r="AI464" s="2" t="s">
        <v>74</v>
      </c>
      <c r="AJ464" s="2" t="s">
        <v>74</v>
      </c>
      <c r="AK464" s="2" t="s">
        <v>74</v>
      </c>
      <c r="AL464" s="2" t="s">
        <v>74</v>
      </c>
      <c r="AM464" s="2" t="s">
        <v>74</v>
      </c>
      <c r="AN464" s="2" t="s">
        <v>74</v>
      </c>
      <c r="AO464" s="2" t="s">
        <v>547</v>
      </c>
      <c r="AP464" s="2" t="s">
        <v>74</v>
      </c>
      <c r="AQ464" s="2" t="s">
        <v>74</v>
      </c>
      <c r="AR464" s="2" t="s">
        <v>74</v>
      </c>
      <c r="AS464" s="2" t="s">
        <v>74</v>
      </c>
      <c r="AT464" s="2" t="s">
        <v>213</v>
      </c>
      <c r="AU464" s="2">
        <v>2021</v>
      </c>
      <c r="AV464" s="2">
        <v>295</v>
      </c>
      <c r="AW464" s="2" t="s">
        <v>74</v>
      </c>
      <c r="AX464" s="2" t="s">
        <v>74</v>
      </c>
      <c r="AY464" s="2" t="s">
        <v>74</v>
      </c>
      <c r="AZ464" s="2" t="s">
        <v>74</v>
      </c>
      <c r="BA464" s="2" t="s">
        <v>74</v>
      </c>
      <c r="BB464" s="2">
        <v>1</v>
      </c>
      <c r="BC464" s="2">
        <v>11</v>
      </c>
      <c r="BD464" s="2" t="s">
        <v>74</v>
      </c>
      <c r="BE464" s="2" t="s">
        <v>5510</v>
      </c>
      <c r="BF464" s="2" t="str">
        <f>HYPERLINK("http://dx.doi.org/10.1016/j.jcz.2021.08.009","http://dx.doi.org/10.1016/j.jcz.2021.08.009")</f>
        <v>http://dx.doi.org/10.1016/j.jcz.2021.08.009</v>
      </c>
      <c r="BG464" s="2" t="s">
        <v>74</v>
      </c>
      <c r="BH464" s="2" t="s">
        <v>675</v>
      </c>
      <c r="BI464" s="2" t="s">
        <v>74</v>
      </c>
      <c r="BJ464" s="2" t="s">
        <v>74</v>
      </c>
      <c r="BK464" s="2" t="s">
        <v>74</v>
      </c>
      <c r="BL464" s="2" t="s">
        <v>74</v>
      </c>
      <c r="BM464" s="2" t="s">
        <v>74</v>
      </c>
      <c r="BN464" s="2" t="s">
        <v>74</v>
      </c>
      <c r="BO464" s="2" t="s">
        <v>74</v>
      </c>
      <c r="BP464" s="2" t="s">
        <v>74</v>
      </c>
      <c r="BQ464" s="2" t="s">
        <v>74</v>
      </c>
      <c r="BR464" s="2" t="s">
        <v>74</v>
      </c>
      <c r="BS464" s="2" t="s">
        <v>5511</v>
      </c>
      <c r="BT464" s="2" t="str">
        <f>HYPERLINK("https%3A%2F%2Fwww.webofscience.com%2Fwos%2Fwoscc%2Ffull-record%2FWOS:000697574600001","View Full Record in Web of Science")</f>
        <v>View Full Record in Web of Science</v>
      </c>
    </row>
    <row r="465" spans="1:72" s="2" customFormat="1" x14ac:dyDescent="0.4">
      <c r="A465" s="2" t="s">
        <v>72</v>
      </c>
      <c r="B465" s="2" t="s">
        <v>5202</v>
      </c>
      <c r="C465" s="2" t="s">
        <v>74</v>
      </c>
      <c r="D465" s="2" t="s">
        <v>74</v>
      </c>
      <c r="E465" s="2" t="s">
        <v>74</v>
      </c>
      <c r="F465" s="2" t="s">
        <v>5203</v>
      </c>
      <c r="G465" s="2" t="s">
        <v>74</v>
      </c>
      <c r="H465" s="2" t="s">
        <v>74</v>
      </c>
      <c r="I465" s="2" t="s">
        <v>5204</v>
      </c>
      <c r="J465" s="2" t="s">
        <v>108</v>
      </c>
      <c r="K465" s="2" t="s">
        <v>74</v>
      </c>
      <c r="L465" s="2" t="s">
        <v>74</v>
      </c>
      <c r="M465" s="2" t="s">
        <v>74</v>
      </c>
      <c r="N465" s="2" t="s">
        <v>74</v>
      </c>
      <c r="O465" s="2" t="s">
        <v>74</v>
      </c>
      <c r="P465" s="2" t="s">
        <v>74</v>
      </c>
      <c r="Q465" s="2" t="s">
        <v>74</v>
      </c>
      <c r="R465" s="2" t="s">
        <v>74</v>
      </c>
      <c r="S465" s="2" t="s">
        <v>74</v>
      </c>
      <c r="T465" s="2" t="s">
        <v>74</v>
      </c>
      <c r="U465" s="2" t="s">
        <v>74</v>
      </c>
      <c r="V465" s="5" t="s">
        <v>5205</v>
      </c>
      <c r="W465" s="2" t="s">
        <v>74</v>
      </c>
      <c r="X465" s="2" t="s">
        <v>74</v>
      </c>
      <c r="Y465" s="2" t="s">
        <v>74</v>
      </c>
      <c r="Z465" s="2" t="s">
        <v>74</v>
      </c>
      <c r="AA465" s="2" t="s">
        <v>5206</v>
      </c>
      <c r="AB465" s="2" t="s">
        <v>5207</v>
      </c>
      <c r="AC465" s="2" t="s">
        <v>74</v>
      </c>
      <c r="AD465" s="2" t="s">
        <v>74</v>
      </c>
      <c r="AE465" s="2" t="s">
        <v>74</v>
      </c>
      <c r="AF465" s="2" t="s">
        <v>74</v>
      </c>
      <c r="AG465" s="2" t="s">
        <v>74</v>
      </c>
      <c r="AH465" s="2" t="s">
        <v>74</v>
      </c>
      <c r="AI465" s="2" t="s">
        <v>74</v>
      </c>
      <c r="AJ465" s="2" t="s">
        <v>74</v>
      </c>
      <c r="AK465" s="2" t="s">
        <v>74</v>
      </c>
      <c r="AL465" s="2" t="s">
        <v>74</v>
      </c>
      <c r="AM465" s="2" t="s">
        <v>74</v>
      </c>
      <c r="AN465" s="2" t="s">
        <v>74</v>
      </c>
      <c r="AO465" s="2" t="s">
        <v>111</v>
      </c>
      <c r="AP465" s="2" t="s">
        <v>112</v>
      </c>
      <c r="AQ465" s="2" t="s">
        <v>74</v>
      </c>
      <c r="AR465" s="2" t="s">
        <v>74</v>
      </c>
      <c r="AS465" s="2" t="s">
        <v>74</v>
      </c>
      <c r="AT465" s="2" t="s">
        <v>5208</v>
      </c>
      <c r="AU465" s="2">
        <v>2020</v>
      </c>
      <c r="AV465" s="2">
        <v>287</v>
      </c>
      <c r="AW465" s="2">
        <v>1926</v>
      </c>
      <c r="AX465" s="2" t="s">
        <v>74</v>
      </c>
      <c r="AY465" s="2" t="s">
        <v>74</v>
      </c>
      <c r="AZ465" s="2" t="s">
        <v>74</v>
      </c>
      <c r="BA465" s="2" t="s">
        <v>74</v>
      </c>
      <c r="BB465" s="2" t="s">
        <v>74</v>
      </c>
      <c r="BC465" s="2" t="s">
        <v>74</v>
      </c>
      <c r="BD465" s="2" t="s">
        <v>74</v>
      </c>
      <c r="BE465" s="2" t="s">
        <v>5209</v>
      </c>
      <c r="BF465" s="2" t="str">
        <f>HYPERLINK("http://dx.doi.org/10.1098/rspb.2020.0587","http://dx.doi.org/10.1098/rspb.2020.0587")</f>
        <v>http://dx.doi.org/10.1098/rspb.2020.0587</v>
      </c>
      <c r="BG465" s="2" t="s">
        <v>74</v>
      </c>
      <c r="BH465" s="2" t="s">
        <v>74</v>
      </c>
      <c r="BI465" s="2" t="s">
        <v>74</v>
      </c>
      <c r="BJ465" s="2" t="s">
        <v>74</v>
      </c>
      <c r="BK465" s="2" t="s">
        <v>74</v>
      </c>
      <c r="BL465" s="2" t="s">
        <v>74</v>
      </c>
      <c r="BM465" s="2" t="s">
        <v>74</v>
      </c>
      <c r="BN465" s="2">
        <v>32370676</v>
      </c>
      <c r="BO465" s="2" t="s">
        <v>74</v>
      </c>
      <c r="BP465" s="2" t="s">
        <v>74</v>
      </c>
      <c r="BQ465" s="2" t="s">
        <v>74</v>
      </c>
      <c r="BR465" s="2" t="s">
        <v>74</v>
      </c>
      <c r="BS465" s="2" t="s">
        <v>5210</v>
      </c>
      <c r="BT465" s="2" t="str">
        <f>HYPERLINK("https%3A%2F%2Fwww.webofscience.com%2Fwos%2Fwoscc%2Ffull-record%2FWOS:000540446700001","View Full Record in Web of Science")</f>
        <v>View Full Record in Web of Science</v>
      </c>
    </row>
    <row r="466" spans="1:72" s="2" customFormat="1" x14ac:dyDescent="0.4">
      <c r="A466" s="2" t="s">
        <v>72</v>
      </c>
      <c r="B466" s="2" t="s">
        <v>6198</v>
      </c>
      <c r="C466" s="2" t="s">
        <v>74</v>
      </c>
      <c r="D466" s="2" t="s">
        <v>74</v>
      </c>
      <c r="E466" s="2" t="s">
        <v>74</v>
      </c>
      <c r="F466" s="2" t="s">
        <v>6198</v>
      </c>
      <c r="G466" s="2" t="s">
        <v>74</v>
      </c>
      <c r="H466" s="2" t="s">
        <v>74</v>
      </c>
      <c r="I466" s="2" t="s">
        <v>6199</v>
      </c>
      <c r="J466" s="2" t="s">
        <v>6200</v>
      </c>
      <c r="K466" s="2" t="s">
        <v>74</v>
      </c>
      <c r="L466" s="2" t="s">
        <v>74</v>
      </c>
      <c r="M466" s="2" t="s">
        <v>74</v>
      </c>
      <c r="N466" s="2" t="s">
        <v>74</v>
      </c>
      <c r="O466" s="2" t="s">
        <v>74</v>
      </c>
      <c r="P466" s="2" t="s">
        <v>74</v>
      </c>
      <c r="Q466" s="2" t="s">
        <v>74</v>
      </c>
      <c r="R466" s="2" t="s">
        <v>74</v>
      </c>
      <c r="S466" s="2" t="s">
        <v>74</v>
      </c>
      <c r="T466" s="2" t="s">
        <v>74</v>
      </c>
      <c r="U466" s="2" t="s">
        <v>74</v>
      </c>
      <c r="V466" s="5" t="s">
        <v>6201</v>
      </c>
      <c r="W466" s="2" t="s">
        <v>74</v>
      </c>
      <c r="X466" s="2" t="s">
        <v>74</v>
      </c>
      <c r="Y466" s="2" t="s">
        <v>74</v>
      </c>
      <c r="Z466" s="2" t="s">
        <v>74</v>
      </c>
      <c r="AA466" s="2" t="s">
        <v>74</v>
      </c>
      <c r="AB466" s="2" t="s">
        <v>74</v>
      </c>
      <c r="AC466" s="2" t="s">
        <v>74</v>
      </c>
      <c r="AD466" s="2" t="s">
        <v>74</v>
      </c>
      <c r="AE466" s="2" t="s">
        <v>74</v>
      </c>
      <c r="AF466" s="2" t="s">
        <v>74</v>
      </c>
      <c r="AG466" s="2" t="s">
        <v>74</v>
      </c>
      <c r="AH466" s="2" t="s">
        <v>74</v>
      </c>
      <c r="AI466" s="2" t="s">
        <v>74</v>
      </c>
      <c r="AJ466" s="2" t="s">
        <v>74</v>
      </c>
      <c r="AK466" s="2" t="s">
        <v>74</v>
      </c>
      <c r="AL466" s="2" t="s">
        <v>74</v>
      </c>
      <c r="AM466" s="2" t="s">
        <v>74</v>
      </c>
      <c r="AN466" s="2" t="s">
        <v>74</v>
      </c>
      <c r="AO466" s="2" t="s">
        <v>6202</v>
      </c>
      <c r="AP466" s="2" t="s">
        <v>74</v>
      </c>
      <c r="AQ466" s="2" t="s">
        <v>74</v>
      </c>
      <c r="AR466" s="2" t="s">
        <v>74</v>
      </c>
      <c r="AS466" s="2" t="s">
        <v>74</v>
      </c>
      <c r="AT466" s="2" t="s">
        <v>1620</v>
      </c>
      <c r="AU466" s="2">
        <v>1999</v>
      </c>
      <c r="AV466" s="2">
        <v>42</v>
      </c>
      <c r="AW466" s="2">
        <v>3</v>
      </c>
      <c r="AX466" s="2" t="s">
        <v>74</v>
      </c>
      <c r="AY466" s="2" t="s">
        <v>74</v>
      </c>
      <c r="AZ466" s="2" t="s">
        <v>74</v>
      </c>
      <c r="BA466" s="2" t="s">
        <v>74</v>
      </c>
      <c r="BB466" s="2">
        <v>201</v>
      </c>
      <c r="BC466" s="2">
        <v>210</v>
      </c>
      <c r="BD466" s="2" t="s">
        <v>74</v>
      </c>
      <c r="BE466" s="2" t="s">
        <v>74</v>
      </c>
      <c r="BF466" s="2" t="s">
        <v>74</v>
      </c>
      <c r="BG466" s="2" t="s">
        <v>74</v>
      </c>
      <c r="BH466" s="2" t="s">
        <v>74</v>
      </c>
      <c r="BI466" s="2" t="s">
        <v>74</v>
      </c>
      <c r="BJ466" s="2" t="s">
        <v>74</v>
      </c>
      <c r="BK466" s="2" t="s">
        <v>74</v>
      </c>
      <c r="BL466" s="2" t="s">
        <v>74</v>
      </c>
      <c r="BM466" s="2" t="s">
        <v>74</v>
      </c>
      <c r="BN466" s="2" t="s">
        <v>74</v>
      </c>
      <c r="BO466" s="2" t="s">
        <v>74</v>
      </c>
      <c r="BP466" s="2" t="s">
        <v>74</v>
      </c>
      <c r="BQ466" s="2" t="s">
        <v>74</v>
      </c>
      <c r="BR466" s="2" t="s">
        <v>74</v>
      </c>
      <c r="BS466" s="2" t="s">
        <v>6203</v>
      </c>
      <c r="BT466" s="2" t="str">
        <f>HYPERLINK("https%3A%2F%2Fwww.webofscience.com%2Fwos%2Fwoscc%2Ffull-record%2FWOS:000081353100001","View Full Record in Web of Science")</f>
        <v>View Full Record in Web of Science</v>
      </c>
    </row>
    <row r="467" spans="1:72" s="2" customFormat="1" x14ac:dyDescent="0.4">
      <c r="A467" s="2" t="s">
        <v>72</v>
      </c>
      <c r="B467" s="2" t="s">
        <v>8723</v>
      </c>
      <c r="C467" s="2" t="s">
        <v>74</v>
      </c>
      <c r="D467" s="2" t="s">
        <v>74</v>
      </c>
      <c r="E467" s="2" t="s">
        <v>74</v>
      </c>
      <c r="F467" s="2" t="s">
        <v>8724</v>
      </c>
      <c r="G467" s="2" t="s">
        <v>74</v>
      </c>
      <c r="H467" s="2" t="s">
        <v>74</v>
      </c>
      <c r="I467" s="2" t="s">
        <v>8725</v>
      </c>
      <c r="J467" s="2" t="s">
        <v>397</v>
      </c>
      <c r="K467" s="2" t="s">
        <v>74</v>
      </c>
      <c r="L467" s="2" t="s">
        <v>74</v>
      </c>
      <c r="M467" s="2" t="s">
        <v>74</v>
      </c>
      <c r="N467" s="2" t="s">
        <v>74</v>
      </c>
      <c r="O467" s="2" t="s">
        <v>74</v>
      </c>
      <c r="P467" s="2" t="s">
        <v>74</v>
      </c>
      <c r="Q467" s="2" t="s">
        <v>74</v>
      </c>
      <c r="R467" s="2" t="s">
        <v>74</v>
      </c>
      <c r="S467" s="2" t="s">
        <v>74</v>
      </c>
      <c r="T467" s="2" t="s">
        <v>74</v>
      </c>
      <c r="U467" s="2" t="s">
        <v>74</v>
      </c>
      <c r="V467" s="5" t="s">
        <v>8726</v>
      </c>
      <c r="W467" s="2" t="s">
        <v>74</v>
      </c>
      <c r="X467" s="2" t="s">
        <v>74</v>
      </c>
      <c r="Y467" s="2" t="s">
        <v>74</v>
      </c>
      <c r="Z467" s="2" t="s">
        <v>74</v>
      </c>
      <c r="AA467" s="2" t="s">
        <v>8727</v>
      </c>
      <c r="AB467" s="2" t="s">
        <v>8728</v>
      </c>
      <c r="AC467" s="2" t="s">
        <v>74</v>
      </c>
      <c r="AD467" s="2" t="s">
        <v>74</v>
      </c>
      <c r="AE467" s="2" t="s">
        <v>74</v>
      </c>
      <c r="AF467" s="2" t="s">
        <v>74</v>
      </c>
      <c r="AG467" s="2" t="s">
        <v>74</v>
      </c>
      <c r="AH467" s="2" t="s">
        <v>74</v>
      </c>
      <c r="AI467" s="2" t="s">
        <v>74</v>
      </c>
      <c r="AJ467" s="2" t="s">
        <v>74</v>
      </c>
      <c r="AK467" s="2" t="s">
        <v>74</v>
      </c>
      <c r="AL467" s="2" t="s">
        <v>74</v>
      </c>
      <c r="AM467" s="2" t="s">
        <v>74</v>
      </c>
      <c r="AN467" s="2" t="s">
        <v>74</v>
      </c>
      <c r="AO467" s="2" t="s">
        <v>401</v>
      </c>
      <c r="AP467" s="2" t="s">
        <v>402</v>
      </c>
      <c r="AQ467" s="2" t="s">
        <v>74</v>
      </c>
      <c r="AR467" s="2" t="s">
        <v>74</v>
      </c>
      <c r="AS467" s="2" t="s">
        <v>74</v>
      </c>
      <c r="AT467" s="2" t="s">
        <v>213</v>
      </c>
      <c r="AU467" s="2">
        <v>2013</v>
      </c>
      <c r="AV467" s="2">
        <v>12</v>
      </c>
      <c r="AW467" s="2">
        <v>8</v>
      </c>
      <c r="AX467" s="2" t="s">
        <v>74</v>
      </c>
      <c r="AY467" s="2" t="s">
        <v>74</v>
      </c>
      <c r="AZ467" s="2" t="s">
        <v>74</v>
      </c>
      <c r="BA467" s="2" t="s">
        <v>74</v>
      </c>
      <c r="BB467" s="2">
        <v>760</v>
      </c>
      <c r="BC467" s="2">
        <v>770</v>
      </c>
      <c r="BD467" s="2" t="s">
        <v>74</v>
      </c>
      <c r="BE467" s="2" t="s">
        <v>8729</v>
      </c>
      <c r="BF467" s="2" t="str">
        <f>HYPERLINK("http://dx.doi.org/10.1111/gbb.12088","http://dx.doi.org/10.1111/gbb.12088")</f>
        <v>http://dx.doi.org/10.1111/gbb.12088</v>
      </c>
      <c r="BG467" s="2" t="s">
        <v>74</v>
      </c>
      <c r="BH467" s="2" t="s">
        <v>74</v>
      </c>
      <c r="BI467" s="2" t="s">
        <v>74</v>
      </c>
      <c r="BJ467" s="2" t="s">
        <v>74</v>
      </c>
      <c r="BK467" s="2" t="s">
        <v>74</v>
      </c>
      <c r="BL467" s="2" t="s">
        <v>74</v>
      </c>
      <c r="BM467" s="2" t="s">
        <v>74</v>
      </c>
      <c r="BN467" s="2">
        <v>24034605</v>
      </c>
      <c r="BO467" s="2" t="s">
        <v>74</v>
      </c>
      <c r="BP467" s="2" t="s">
        <v>74</v>
      </c>
      <c r="BQ467" s="2" t="s">
        <v>74</v>
      </c>
      <c r="BR467" s="2" t="s">
        <v>74</v>
      </c>
      <c r="BS467" s="2" t="s">
        <v>8730</v>
      </c>
      <c r="BT467" s="2" t="str">
        <f>HYPERLINK("https%3A%2F%2Fwww.webofscience.com%2Fwos%2Fwoscc%2Ffull-record%2FWOS:000330101600002","View Full Record in Web of Science")</f>
        <v>View Full Record in Web of Science</v>
      </c>
    </row>
    <row r="468" spans="1:72" s="2" customFormat="1" x14ac:dyDescent="0.4">
      <c r="A468" s="2" t="s">
        <v>72</v>
      </c>
      <c r="B468" s="2" t="s">
        <v>6739</v>
      </c>
      <c r="C468" s="2" t="s">
        <v>74</v>
      </c>
      <c r="D468" s="2" t="s">
        <v>74</v>
      </c>
      <c r="E468" s="2" t="s">
        <v>74</v>
      </c>
      <c r="F468" s="2" t="s">
        <v>6739</v>
      </c>
      <c r="G468" s="2" t="s">
        <v>74</v>
      </c>
      <c r="H468" s="2" t="s">
        <v>74</v>
      </c>
      <c r="I468" s="2" t="s">
        <v>6740</v>
      </c>
      <c r="J468" s="2" t="s">
        <v>201</v>
      </c>
      <c r="K468" s="2" t="s">
        <v>74</v>
      </c>
      <c r="L468" s="2" t="s">
        <v>74</v>
      </c>
      <c r="M468" s="2" t="s">
        <v>74</v>
      </c>
      <c r="N468" s="2" t="s">
        <v>74</v>
      </c>
      <c r="O468" s="2" t="s">
        <v>6741</v>
      </c>
      <c r="P468" s="2" t="s">
        <v>6742</v>
      </c>
      <c r="Q468" s="2" t="s">
        <v>6743</v>
      </c>
      <c r="R468" s="2" t="s">
        <v>6744</v>
      </c>
      <c r="S468" s="2" t="s">
        <v>74</v>
      </c>
      <c r="T468" s="2" t="s">
        <v>74</v>
      </c>
      <c r="U468" s="2" t="s">
        <v>74</v>
      </c>
      <c r="V468" s="5" t="s">
        <v>6745</v>
      </c>
      <c r="W468" s="2" t="s">
        <v>74</v>
      </c>
      <c r="X468" s="2" t="s">
        <v>74</v>
      </c>
      <c r="Y468" s="2" t="s">
        <v>74</v>
      </c>
      <c r="Z468" s="2" t="s">
        <v>74</v>
      </c>
      <c r="AA468" s="2" t="s">
        <v>6746</v>
      </c>
      <c r="AB468" s="2" t="s">
        <v>74</v>
      </c>
      <c r="AC468" s="2" t="s">
        <v>74</v>
      </c>
      <c r="AD468" s="2" t="s">
        <v>74</v>
      </c>
      <c r="AE468" s="2" t="s">
        <v>74</v>
      </c>
      <c r="AF468" s="2" t="s">
        <v>74</v>
      </c>
      <c r="AG468" s="2" t="s">
        <v>74</v>
      </c>
      <c r="AH468" s="2" t="s">
        <v>74</v>
      </c>
      <c r="AI468" s="2" t="s">
        <v>74</v>
      </c>
      <c r="AJ468" s="2" t="s">
        <v>74</v>
      </c>
      <c r="AK468" s="2" t="s">
        <v>74</v>
      </c>
      <c r="AL468" s="2" t="s">
        <v>74</v>
      </c>
      <c r="AM468" s="2" t="s">
        <v>74</v>
      </c>
      <c r="AN468" s="2" t="s">
        <v>74</v>
      </c>
      <c r="AO468" s="2" t="s">
        <v>203</v>
      </c>
      <c r="AP468" s="2" t="s">
        <v>1192</v>
      </c>
      <c r="AQ468" s="2" t="s">
        <v>74</v>
      </c>
      <c r="AR468" s="2" t="s">
        <v>74</v>
      </c>
      <c r="AS468" s="2" t="s">
        <v>74</v>
      </c>
      <c r="AT468" s="2" t="s">
        <v>305</v>
      </c>
      <c r="AU468" s="2">
        <v>2003</v>
      </c>
      <c r="AV468" s="2">
        <v>63</v>
      </c>
      <c r="AW468" s="2" t="s">
        <v>74</v>
      </c>
      <c r="AX468" s="2" t="s">
        <v>74</v>
      </c>
      <c r="AY468" s="2" t="s">
        <v>6747</v>
      </c>
      <c r="AZ468" s="2" t="s">
        <v>74</v>
      </c>
      <c r="BA468" s="2" t="s">
        <v>74</v>
      </c>
      <c r="BB468" s="2">
        <v>131</v>
      </c>
      <c r="BC468" s="2">
        <v>143</v>
      </c>
      <c r="BD468" s="2" t="s">
        <v>74</v>
      </c>
      <c r="BE468" s="2" t="s">
        <v>6748</v>
      </c>
      <c r="BF468" s="2" t="str">
        <f>HYPERLINK("http://dx.doi.org/10.1111/j.1095-8649.2003.00210.x","http://dx.doi.org/10.1111/j.1095-8649.2003.00210.x")</f>
        <v>http://dx.doi.org/10.1111/j.1095-8649.2003.00210.x</v>
      </c>
      <c r="BG468" s="2" t="s">
        <v>74</v>
      </c>
      <c r="BH468" s="2" t="s">
        <v>74</v>
      </c>
      <c r="BI468" s="2" t="s">
        <v>74</v>
      </c>
      <c r="BJ468" s="2" t="s">
        <v>74</v>
      </c>
      <c r="BK468" s="2" t="s">
        <v>74</v>
      </c>
      <c r="BL468" s="2" t="s">
        <v>74</v>
      </c>
      <c r="BM468" s="2" t="s">
        <v>74</v>
      </c>
      <c r="BN468" s="2" t="s">
        <v>74</v>
      </c>
      <c r="BO468" s="2" t="s">
        <v>74</v>
      </c>
      <c r="BP468" s="2" t="s">
        <v>74</v>
      </c>
      <c r="BQ468" s="2" t="s">
        <v>74</v>
      </c>
      <c r="BR468" s="2" t="s">
        <v>74</v>
      </c>
      <c r="BS468" s="2" t="s">
        <v>6749</v>
      </c>
      <c r="BT468" s="2" t="str">
        <f>HYPERLINK("https%3A%2F%2Fwww.webofscience.com%2Fwos%2Fwoscc%2Ffull-record%2FWOS:000187879700008","View Full Record in Web of Science")</f>
        <v>View Full Record in Web of Science</v>
      </c>
    </row>
    <row r="469" spans="1:72" s="2" customFormat="1" x14ac:dyDescent="0.4">
      <c r="A469" s="2" t="s">
        <v>72</v>
      </c>
      <c r="B469" s="2" t="s">
        <v>8101</v>
      </c>
      <c r="C469" s="2" t="s">
        <v>74</v>
      </c>
      <c r="D469" s="2" t="s">
        <v>74</v>
      </c>
      <c r="E469" s="2" t="s">
        <v>74</v>
      </c>
      <c r="F469" s="2" t="s">
        <v>8101</v>
      </c>
      <c r="G469" s="2" t="s">
        <v>74</v>
      </c>
      <c r="H469" s="2" t="s">
        <v>74</v>
      </c>
      <c r="I469" s="2" t="s">
        <v>8102</v>
      </c>
      <c r="J469" s="2" t="s">
        <v>8103</v>
      </c>
      <c r="K469" s="2" t="s">
        <v>74</v>
      </c>
      <c r="L469" s="2" t="s">
        <v>74</v>
      </c>
      <c r="M469" s="2" t="s">
        <v>74</v>
      </c>
      <c r="N469" s="2" t="s">
        <v>74</v>
      </c>
      <c r="O469" s="2" t="s">
        <v>74</v>
      </c>
      <c r="P469" s="2" t="s">
        <v>74</v>
      </c>
      <c r="Q469" s="2" t="s">
        <v>74</v>
      </c>
      <c r="R469" s="2" t="s">
        <v>74</v>
      </c>
      <c r="S469" s="2" t="s">
        <v>74</v>
      </c>
      <c r="T469" s="2" t="s">
        <v>74</v>
      </c>
      <c r="U469" s="2" t="s">
        <v>74</v>
      </c>
      <c r="V469" s="5" t="s">
        <v>8104</v>
      </c>
      <c r="W469" s="2" t="s">
        <v>74</v>
      </c>
      <c r="X469" s="2" t="s">
        <v>74</v>
      </c>
      <c r="Y469" s="2" t="s">
        <v>74</v>
      </c>
      <c r="Z469" s="2" t="s">
        <v>74</v>
      </c>
      <c r="AA469" s="2" t="s">
        <v>74</v>
      </c>
      <c r="AB469" s="2" t="s">
        <v>74</v>
      </c>
      <c r="AC469" s="2" t="s">
        <v>74</v>
      </c>
      <c r="AD469" s="2" t="s">
        <v>74</v>
      </c>
      <c r="AE469" s="2" t="s">
        <v>74</v>
      </c>
      <c r="AF469" s="2" t="s">
        <v>74</v>
      </c>
      <c r="AG469" s="2" t="s">
        <v>74</v>
      </c>
      <c r="AH469" s="2" t="s">
        <v>74</v>
      </c>
      <c r="AI469" s="2" t="s">
        <v>74</v>
      </c>
      <c r="AJ469" s="2" t="s">
        <v>74</v>
      </c>
      <c r="AK469" s="2" t="s">
        <v>74</v>
      </c>
      <c r="AL469" s="2" t="s">
        <v>74</v>
      </c>
      <c r="AM469" s="2" t="s">
        <v>74</v>
      </c>
      <c r="AN469" s="2" t="s">
        <v>74</v>
      </c>
      <c r="AO469" s="2" t="s">
        <v>8105</v>
      </c>
      <c r="AP469" s="2" t="s">
        <v>74</v>
      </c>
      <c r="AQ469" s="2" t="s">
        <v>74</v>
      </c>
      <c r="AR469" s="2" t="s">
        <v>74</v>
      </c>
      <c r="AS469" s="2" t="s">
        <v>74</v>
      </c>
      <c r="AT469" s="2" t="s">
        <v>74</v>
      </c>
      <c r="AU469" s="2">
        <v>2006</v>
      </c>
      <c r="AV469" s="2">
        <v>47</v>
      </c>
      <c r="AW469" s="2">
        <v>2</v>
      </c>
      <c r="AX469" s="2" t="s">
        <v>74</v>
      </c>
      <c r="AY469" s="2" t="s">
        <v>74</v>
      </c>
      <c r="AZ469" s="2" t="s">
        <v>74</v>
      </c>
      <c r="BA469" s="2" t="s">
        <v>74</v>
      </c>
      <c r="BB469" s="2">
        <v>315</v>
      </c>
      <c r="BC469" s="2">
        <v>327</v>
      </c>
      <c r="BD469" s="2" t="s">
        <v>74</v>
      </c>
      <c r="BE469" s="2" t="s">
        <v>74</v>
      </c>
      <c r="BF469" s="2" t="s">
        <v>74</v>
      </c>
      <c r="BG469" s="2" t="s">
        <v>74</v>
      </c>
      <c r="BH469" s="2" t="s">
        <v>74</v>
      </c>
      <c r="BI469" s="2" t="s">
        <v>74</v>
      </c>
      <c r="BJ469" s="2" t="s">
        <v>74</v>
      </c>
      <c r="BK469" s="2" t="s">
        <v>74</v>
      </c>
      <c r="BL469" s="2" t="s">
        <v>74</v>
      </c>
      <c r="BM469" s="2" t="s">
        <v>74</v>
      </c>
      <c r="BN469" s="2" t="s">
        <v>74</v>
      </c>
      <c r="BO469" s="2" t="s">
        <v>74</v>
      </c>
      <c r="BP469" s="2" t="s">
        <v>74</v>
      </c>
      <c r="BQ469" s="2" t="s">
        <v>74</v>
      </c>
      <c r="BR469" s="2" t="s">
        <v>74</v>
      </c>
      <c r="BS469" s="2" t="s">
        <v>8106</v>
      </c>
      <c r="BT469" s="2" t="str">
        <f>HYPERLINK("https%3A%2F%2Fwww.webofscience.com%2Fwos%2Fwoscc%2Ffull-record%2FWOS:000236117900003","View Full Record in Web of Science")</f>
        <v>View Full Record in Web of Science</v>
      </c>
    </row>
    <row r="470" spans="1:72" s="1" customFormat="1" x14ac:dyDescent="0.4">
      <c r="A470" s="2" t="s">
        <v>72</v>
      </c>
      <c r="B470" s="2" t="s">
        <v>5219</v>
      </c>
      <c r="C470" s="2" t="s">
        <v>74</v>
      </c>
      <c r="D470" s="2" t="s">
        <v>74</v>
      </c>
      <c r="E470" s="2" t="s">
        <v>74</v>
      </c>
      <c r="F470" s="2" t="s">
        <v>5220</v>
      </c>
      <c r="G470" s="2" t="s">
        <v>74</v>
      </c>
      <c r="H470" s="2" t="s">
        <v>74</v>
      </c>
      <c r="I470" s="2" t="s">
        <v>5221</v>
      </c>
      <c r="J470" s="2" t="s">
        <v>475</v>
      </c>
      <c r="K470" s="2" t="s">
        <v>74</v>
      </c>
      <c r="L470" s="2" t="s">
        <v>74</v>
      </c>
      <c r="M470" s="2" t="s">
        <v>74</v>
      </c>
      <c r="N470" s="2" t="s">
        <v>74</v>
      </c>
      <c r="O470" s="2" t="s">
        <v>74</v>
      </c>
      <c r="P470" s="2" t="s">
        <v>74</v>
      </c>
      <c r="Q470" s="2" t="s">
        <v>74</v>
      </c>
      <c r="R470" s="2" t="s">
        <v>74</v>
      </c>
      <c r="S470" s="2" t="s">
        <v>74</v>
      </c>
      <c r="T470" s="2" t="s">
        <v>74</v>
      </c>
      <c r="U470" s="2" t="s">
        <v>74</v>
      </c>
      <c r="V470" s="5" t="s">
        <v>5222</v>
      </c>
      <c r="W470" s="2" t="s">
        <v>74</v>
      </c>
      <c r="X470" s="2" t="s">
        <v>74</v>
      </c>
      <c r="Y470" s="2" t="s">
        <v>74</v>
      </c>
      <c r="Z470" s="2" t="s">
        <v>74</v>
      </c>
      <c r="AA470" s="2" t="s">
        <v>74</v>
      </c>
      <c r="AB470" s="2" t="s">
        <v>5223</v>
      </c>
      <c r="AC470" s="2" t="s">
        <v>74</v>
      </c>
      <c r="AD470" s="2" t="s">
        <v>74</v>
      </c>
      <c r="AE470" s="2" t="s">
        <v>74</v>
      </c>
      <c r="AF470" s="2" t="s">
        <v>74</v>
      </c>
      <c r="AG470" s="2" t="s">
        <v>74</v>
      </c>
      <c r="AH470" s="2" t="s">
        <v>74</v>
      </c>
      <c r="AI470" s="2" t="s">
        <v>74</v>
      </c>
      <c r="AJ470" s="2" t="s">
        <v>74</v>
      </c>
      <c r="AK470" s="2" t="s">
        <v>74</v>
      </c>
      <c r="AL470" s="2" t="s">
        <v>74</v>
      </c>
      <c r="AM470" s="2" t="s">
        <v>74</v>
      </c>
      <c r="AN470" s="2" t="s">
        <v>74</v>
      </c>
      <c r="AO470" s="2" t="s">
        <v>477</v>
      </c>
      <c r="AP470" s="2" t="s">
        <v>1089</v>
      </c>
      <c r="AQ470" s="2" t="s">
        <v>74</v>
      </c>
      <c r="AR470" s="2" t="s">
        <v>74</v>
      </c>
      <c r="AS470" s="2" t="s">
        <v>74</v>
      </c>
      <c r="AT470" s="2" t="s">
        <v>3671</v>
      </c>
      <c r="AU470" s="2">
        <v>2022</v>
      </c>
      <c r="AV470" s="2">
        <v>316</v>
      </c>
      <c r="AW470" s="2" t="s">
        <v>74</v>
      </c>
      <c r="AX470" s="2" t="s">
        <v>74</v>
      </c>
      <c r="AY470" s="2" t="s">
        <v>74</v>
      </c>
      <c r="AZ470" s="2" t="s">
        <v>74</v>
      </c>
      <c r="BA470" s="2" t="s">
        <v>74</v>
      </c>
      <c r="BB470" s="2" t="s">
        <v>74</v>
      </c>
      <c r="BC470" s="2" t="s">
        <v>74</v>
      </c>
      <c r="BD470" s="2">
        <v>113948</v>
      </c>
      <c r="BE470" s="2" t="s">
        <v>5224</v>
      </c>
      <c r="BF470" s="2" t="str">
        <f>HYPERLINK("http://dx.doi.org/10.1016/j.ygcen.2021.113948","http://dx.doi.org/10.1016/j.ygcen.2021.113948")</f>
        <v>http://dx.doi.org/10.1016/j.ygcen.2021.113948</v>
      </c>
      <c r="BG470" s="2" t="s">
        <v>74</v>
      </c>
      <c r="BH470" s="2" t="s">
        <v>74</v>
      </c>
      <c r="BI470" s="2" t="s">
        <v>74</v>
      </c>
      <c r="BJ470" s="2" t="s">
        <v>74</v>
      </c>
      <c r="BK470" s="2" t="s">
        <v>74</v>
      </c>
      <c r="BL470" s="2" t="s">
        <v>74</v>
      </c>
      <c r="BM470" s="2" t="s">
        <v>74</v>
      </c>
      <c r="BN470" s="2">
        <v>34826430</v>
      </c>
      <c r="BO470" s="2" t="s">
        <v>74</v>
      </c>
      <c r="BP470" s="2" t="s">
        <v>74</v>
      </c>
      <c r="BQ470" s="2" t="s">
        <v>74</v>
      </c>
      <c r="BR470" s="2" t="s">
        <v>74</v>
      </c>
      <c r="BS470" s="2" t="s">
        <v>5225</v>
      </c>
      <c r="BT470" s="2" t="str">
        <f>HYPERLINK("https%3A%2F%2Fwww.webofscience.com%2Fwos%2Fwoscc%2Ffull-record%2FWOS:000784337800003","View Full Record in Web of Science")</f>
        <v>View Full Record in Web of Science</v>
      </c>
    </row>
    <row r="471" spans="1:72" s="2" customFormat="1" x14ac:dyDescent="0.4">
      <c r="A471" s="2" t="s">
        <v>72</v>
      </c>
      <c r="B471" s="2" t="s">
        <v>6600</v>
      </c>
      <c r="C471" s="2" t="s">
        <v>74</v>
      </c>
      <c r="D471" s="2" t="s">
        <v>74</v>
      </c>
      <c r="E471" s="2" t="s">
        <v>74</v>
      </c>
      <c r="F471" s="2" t="s">
        <v>6600</v>
      </c>
      <c r="G471" s="2" t="s">
        <v>74</v>
      </c>
      <c r="H471" s="2" t="s">
        <v>74</v>
      </c>
      <c r="I471" s="2" t="s">
        <v>6601</v>
      </c>
      <c r="J471" s="2" t="s">
        <v>691</v>
      </c>
      <c r="K471" s="2" t="s">
        <v>74</v>
      </c>
      <c r="L471" s="2" t="s">
        <v>74</v>
      </c>
      <c r="M471" s="2" t="s">
        <v>74</v>
      </c>
      <c r="N471" s="2" t="s">
        <v>74</v>
      </c>
      <c r="O471" s="2" t="s">
        <v>6602</v>
      </c>
      <c r="P471" s="2" t="s">
        <v>6603</v>
      </c>
      <c r="Q471" s="2" t="s">
        <v>6604</v>
      </c>
      <c r="R471" s="2" t="s">
        <v>6605</v>
      </c>
      <c r="S471" s="2" t="s">
        <v>74</v>
      </c>
      <c r="T471" s="2" t="s">
        <v>74</v>
      </c>
      <c r="U471" s="2" t="s">
        <v>74</v>
      </c>
      <c r="V471" s="5" t="s">
        <v>6606</v>
      </c>
      <c r="W471" s="2" t="s">
        <v>74</v>
      </c>
      <c r="X471" s="2" t="s">
        <v>74</v>
      </c>
      <c r="Y471" s="2" t="s">
        <v>74</v>
      </c>
      <c r="Z471" s="2" t="s">
        <v>74</v>
      </c>
      <c r="AA471" s="2" t="s">
        <v>74</v>
      </c>
      <c r="AB471" s="2" t="s">
        <v>74</v>
      </c>
      <c r="AC471" s="2" t="s">
        <v>74</v>
      </c>
      <c r="AD471" s="2" t="s">
        <v>74</v>
      </c>
      <c r="AE471" s="2" t="s">
        <v>74</v>
      </c>
      <c r="AF471" s="2" t="s">
        <v>74</v>
      </c>
      <c r="AG471" s="2" t="s">
        <v>74</v>
      </c>
      <c r="AH471" s="2" t="s">
        <v>74</v>
      </c>
      <c r="AI471" s="2" t="s">
        <v>74</v>
      </c>
      <c r="AJ471" s="2" t="s">
        <v>74</v>
      </c>
      <c r="AK471" s="2" t="s">
        <v>74</v>
      </c>
      <c r="AL471" s="2" t="s">
        <v>74</v>
      </c>
      <c r="AM471" s="2" t="s">
        <v>74</v>
      </c>
      <c r="AN471" s="2" t="s">
        <v>74</v>
      </c>
      <c r="AO471" s="2" t="s">
        <v>695</v>
      </c>
      <c r="AP471" s="2" t="s">
        <v>74</v>
      </c>
      <c r="AQ471" s="2" t="s">
        <v>74</v>
      </c>
      <c r="AR471" s="2" t="s">
        <v>74</v>
      </c>
      <c r="AS471" s="2" t="s">
        <v>74</v>
      </c>
      <c r="AT471" s="2" t="s">
        <v>145</v>
      </c>
      <c r="AU471" s="2">
        <v>2003</v>
      </c>
      <c r="AV471" s="2">
        <v>79</v>
      </c>
      <c r="AW471" s="2">
        <v>3</v>
      </c>
      <c r="AX471" s="2" t="s">
        <v>74</v>
      </c>
      <c r="AY471" s="2" t="s">
        <v>74</v>
      </c>
      <c r="AZ471" s="2" t="s">
        <v>74</v>
      </c>
      <c r="BA471" s="2" t="s">
        <v>74</v>
      </c>
      <c r="BB471" s="2">
        <v>429</v>
      </c>
      <c r="BC471" s="2">
        <v>440</v>
      </c>
      <c r="BD471" s="2" t="s">
        <v>74</v>
      </c>
      <c r="BE471" s="2" t="s">
        <v>6607</v>
      </c>
      <c r="BF471" s="2" t="str">
        <f>HYPERLINK("http://dx.doi.org/10.1016/S0031-9384(03)00162-8","http://dx.doi.org/10.1016/S0031-9384(03)00162-8")</f>
        <v>http://dx.doi.org/10.1016/S0031-9384(03)00162-8</v>
      </c>
      <c r="BG471" s="2" t="s">
        <v>74</v>
      </c>
      <c r="BH471" s="2" t="s">
        <v>74</v>
      </c>
      <c r="BI471" s="2" t="s">
        <v>74</v>
      </c>
      <c r="BJ471" s="2" t="s">
        <v>74</v>
      </c>
      <c r="BK471" s="2" t="s">
        <v>74</v>
      </c>
      <c r="BL471" s="2" t="s">
        <v>74</v>
      </c>
      <c r="BM471" s="2" t="s">
        <v>74</v>
      </c>
      <c r="BN471" s="2">
        <v>12954437</v>
      </c>
      <c r="BO471" s="2" t="s">
        <v>74</v>
      </c>
      <c r="BP471" s="2" t="s">
        <v>74</v>
      </c>
      <c r="BQ471" s="2" t="s">
        <v>74</v>
      </c>
      <c r="BR471" s="2" t="s">
        <v>74</v>
      </c>
      <c r="BS471" s="2" t="s">
        <v>6608</v>
      </c>
      <c r="BT471" s="2" t="str">
        <f>HYPERLINK("https%3A%2F%2Fwww.webofscience.com%2Fwos%2Fwoscc%2Ffull-record%2FWOS:000185291300010","View Full Record in Web of Science")</f>
        <v>View Full Record in Web of Science</v>
      </c>
    </row>
    <row r="472" spans="1:72" s="1" customFormat="1" x14ac:dyDescent="0.4">
      <c r="A472" s="2" t="s">
        <v>72</v>
      </c>
      <c r="B472" s="2" t="s">
        <v>5164</v>
      </c>
      <c r="C472" s="2" t="s">
        <v>74</v>
      </c>
      <c r="D472" s="2" t="s">
        <v>74</v>
      </c>
      <c r="E472" s="2" t="s">
        <v>74</v>
      </c>
      <c r="F472" s="2" t="s">
        <v>5164</v>
      </c>
      <c r="G472" s="2" t="s">
        <v>74</v>
      </c>
      <c r="H472" s="2" t="s">
        <v>74</v>
      </c>
      <c r="I472" s="2" t="s">
        <v>5165</v>
      </c>
      <c r="J472" s="2" t="s">
        <v>509</v>
      </c>
      <c r="K472" s="2" t="s">
        <v>74</v>
      </c>
      <c r="L472" s="2" t="s">
        <v>74</v>
      </c>
      <c r="M472" s="2" t="s">
        <v>74</v>
      </c>
      <c r="N472" s="2" t="s">
        <v>74</v>
      </c>
      <c r="O472" s="2" t="s">
        <v>74</v>
      </c>
      <c r="P472" s="2" t="s">
        <v>74</v>
      </c>
      <c r="Q472" s="2" t="s">
        <v>74</v>
      </c>
      <c r="R472" s="2" t="s">
        <v>74</v>
      </c>
      <c r="S472" s="2" t="s">
        <v>74</v>
      </c>
      <c r="T472" s="2" t="s">
        <v>74</v>
      </c>
      <c r="U472" s="2" t="s">
        <v>74</v>
      </c>
      <c r="V472" s="5" t="s">
        <v>5166</v>
      </c>
      <c r="W472" s="2" t="s">
        <v>74</v>
      </c>
      <c r="X472" s="2" t="s">
        <v>74</v>
      </c>
      <c r="Y472" s="2" t="s">
        <v>74</v>
      </c>
      <c r="Z472" s="2" t="s">
        <v>74</v>
      </c>
      <c r="AA472" s="2" t="s">
        <v>74</v>
      </c>
      <c r="AB472" s="2" t="s">
        <v>74</v>
      </c>
      <c r="AC472" s="2" t="s">
        <v>74</v>
      </c>
      <c r="AD472" s="2" t="s">
        <v>74</v>
      </c>
      <c r="AE472" s="2" t="s">
        <v>74</v>
      </c>
      <c r="AF472" s="2" t="s">
        <v>74</v>
      </c>
      <c r="AG472" s="2" t="s">
        <v>74</v>
      </c>
      <c r="AH472" s="2" t="s">
        <v>74</v>
      </c>
      <c r="AI472" s="2" t="s">
        <v>74</v>
      </c>
      <c r="AJ472" s="2" t="s">
        <v>74</v>
      </c>
      <c r="AK472" s="2" t="s">
        <v>74</v>
      </c>
      <c r="AL472" s="2" t="s">
        <v>74</v>
      </c>
      <c r="AM472" s="2" t="s">
        <v>74</v>
      </c>
      <c r="AN472" s="2" t="s">
        <v>74</v>
      </c>
      <c r="AO472" s="2" t="s">
        <v>511</v>
      </c>
      <c r="AP472" s="2" t="s">
        <v>512</v>
      </c>
      <c r="AQ472" s="2" t="s">
        <v>74</v>
      </c>
      <c r="AR472" s="2" t="s">
        <v>74</v>
      </c>
      <c r="AS472" s="2" t="s">
        <v>74</v>
      </c>
      <c r="AT472" s="2" t="s">
        <v>74</v>
      </c>
      <c r="AU472" s="2">
        <v>1984</v>
      </c>
      <c r="AV472" s="2">
        <v>18</v>
      </c>
      <c r="AW472" s="2">
        <v>1</v>
      </c>
      <c r="AX472" s="2" t="s">
        <v>74</v>
      </c>
      <c r="AY472" s="2" t="s">
        <v>74</v>
      </c>
      <c r="AZ472" s="2" t="s">
        <v>74</v>
      </c>
      <c r="BA472" s="2" t="s">
        <v>74</v>
      </c>
      <c r="BB472" s="2">
        <v>1</v>
      </c>
      <c r="BC472" s="2">
        <v>11</v>
      </c>
      <c r="BD472" s="2" t="s">
        <v>74</v>
      </c>
      <c r="BE472" s="2" t="s">
        <v>5167</v>
      </c>
      <c r="BF472" s="2" t="str">
        <f>HYPERLINK("http://dx.doi.org/10.1016/0018-506X(84)90045-X","http://dx.doi.org/10.1016/0018-506X(84)90045-X")</f>
        <v>http://dx.doi.org/10.1016/0018-506X(84)90045-X</v>
      </c>
      <c r="BG472" s="2" t="s">
        <v>74</v>
      </c>
      <c r="BH472" s="2" t="s">
        <v>74</v>
      </c>
      <c r="BI472" s="2" t="s">
        <v>74</v>
      </c>
      <c r="BJ472" s="2" t="s">
        <v>74</v>
      </c>
      <c r="BK472" s="2" t="s">
        <v>74</v>
      </c>
      <c r="BL472" s="2" t="s">
        <v>74</v>
      </c>
      <c r="BM472" s="2" t="s">
        <v>74</v>
      </c>
      <c r="BN472" s="2">
        <v>6706316</v>
      </c>
      <c r="BO472" s="2" t="s">
        <v>74</v>
      </c>
      <c r="BP472" s="2" t="s">
        <v>74</v>
      </c>
      <c r="BQ472" s="2" t="s">
        <v>74</v>
      </c>
      <c r="BR472" s="2" t="s">
        <v>74</v>
      </c>
      <c r="BS472" s="2" t="s">
        <v>5168</v>
      </c>
      <c r="BT472" s="2" t="str">
        <f>HYPERLINK("https%3A%2F%2Fwww.webofscience.com%2Fwos%2Fwoscc%2Ffull-record%2FWOS:A1984SG50600001","View Full Record in Web of Science")</f>
        <v>View Full Record in Web of Science</v>
      </c>
    </row>
    <row r="473" spans="1:72" s="2" customFormat="1" x14ac:dyDescent="0.4">
      <c r="A473" s="2" t="s">
        <v>72</v>
      </c>
      <c r="B473" s="2" t="s">
        <v>3660</v>
      </c>
      <c r="C473" s="2" t="s">
        <v>74</v>
      </c>
      <c r="D473" s="2" t="s">
        <v>74</v>
      </c>
      <c r="E473" s="2" t="s">
        <v>74</v>
      </c>
      <c r="F473" s="2" t="s">
        <v>3660</v>
      </c>
      <c r="G473" s="2" t="s">
        <v>74</v>
      </c>
      <c r="H473" s="2" t="s">
        <v>74</v>
      </c>
      <c r="I473" s="2" t="s">
        <v>3661</v>
      </c>
      <c r="J473" s="2" t="s">
        <v>475</v>
      </c>
      <c r="K473" s="2" t="s">
        <v>74</v>
      </c>
      <c r="L473" s="2" t="s">
        <v>74</v>
      </c>
      <c r="M473" s="2" t="s">
        <v>74</v>
      </c>
      <c r="N473" s="2" t="s">
        <v>74</v>
      </c>
      <c r="O473" s="2" t="s">
        <v>74</v>
      </c>
      <c r="P473" s="2" t="s">
        <v>74</v>
      </c>
      <c r="Q473" s="2" t="s">
        <v>74</v>
      </c>
      <c r="R473" s="2" t="s">
        <v>74</v>
      </c>
      <c r="S473" s="2" t="s">
        <v>74</v>
      </c>
      <c r="T473" s="2" t="s">
        <v>74</v>
      </c>
      <c r="U473" s="2" t="s">
        <v>74</v>
      </c>
      <c r="V473" s="5" t="s">
        <v>3662</v>
      </c>
      <c r="W473" s="2" t="s">
        <v>74</v>
      </c>
      <c r="X473" s="2" t="s">
        <v>74</v>
      </c>
      <c r="Y473" s="2" t="s">
        <v>74</v>
      </c>
      <c r="Z473" s="2" t="s">
        <v>74</v>
      </c>
      <c r="AA473" s="2" t="s">
        <v>74</v>
      </c>
      <c r="AB473" s="2" t="s">
        <v>74</v>
      </c>
      <c r="AC473" s="2" t="s">
        <v>74</v>
      </c>
      <c r="AD473" s="2" t="s">
        <v>74</v>
      </c>
      <c r="AE473" s="2" t="s">
        <v>74</v>
      </c>
      <c r="AF473" s="2" t="s">
        <v>74</v>
      </c>
      <c r="AG473" s="2" t="s">
        <v>74</v>
      </c>
      <c r="AH473" s="2" t="s">
        <v>74</v>
      </c>
      <c r="AI473" s="2" t="s">
        <v>74</v>
      </c>
      <c r="AJ473" s="2" t="s">
        <v>74</v>
      </c>
      <c r="AK473" s="2" t="s">
        <v>74</v>
      </c>
      <c r="AL473" s="2" t="s">
        <v>74</v>
      </c>
      <c r="AM473" s="2" t="s">
        <v>74</v>
      </c>
      <c r="AN473" s="2" t="s">
        <v>74</v>
      </c>
      <c r="AO473" s="2" t="s">
        <v>477</v>
      </c>
      <c r="AP473" s="2" t="s">
        <v>1089</v>
      </c>
      <c r="AQ473" s="2" t="s">
        <v>74</v>
      </c>
      <c r="AR473" s="2" t="s">
        <v>74</v>
      </c>
      <c r="AS473" s="2" t="s">
        <v>74</v>
      </c>
      <c r="AT473" s="2" t="s">
        <v>964</v>
      </c>
      <c r="AU473" s="2">
        <v>1990</v>
      </c>
      <c r="AV473" s="2">
        <v>77</v>
      </c>
      <c r="AW473" s="2">
        <v>2</v>
      </c>
      <c r="AX473" s="2" t="s">
        <v>74</v>
      </c>
      <c r="AY473" s="2" t="s">
        <v>74</v>
      </c>
      <c r="AZ473" s="2" t="s">
        <v>74</v>
      </c>
      <c r="BA473" s="2" t="s">
        <v>74</v>
      </c>
      <c r="BB473" s="2">
        <v>246</v>
      </c>
      <c r="BC473" s="2">
        <v>255</v>
      </c>
      <c r="BD473" s="2" t="s">
        <v>74</v>
      </c>
      <c r="BE473" s="2" t="s">
        <v>3663</v>
      </c>
      <c r="BF473" s="2" t="str">
        <f>HYPERLINK("http://dx.doi.org/10.1016/0016-6480(90)90309-A","http://dx.doi.org/10.1016/0016-6480(90)90309-A")</f>
        <v>http://dx.doi.org/10.1016/0016-6480(90)90309-A</v>
      </c>
      <c r="BG473" s="2" t="s">
        <v>74</v>
      </c>
      <c r="BH473" s="2" t="s">
        <v>74</v>
      </c>
      <c r="BI473" s="2" t="s">
        <v>74</v>
      </c>
      <c r="BJ473" s="2" t="s">
        <v>74</v>
      </c>
      <c r="BK473" s="2" t="s">
        <v>74</v>
      </c>
      <c r="BL473" s="2" t="s">
        <v>74</v>
      </c>
      <c r="BM473" s="2" t="s">
        <v>74</v>
      </c>
      <c r="BN473" s="2">
        <v>2307346</v>
      </c>
      <c r="BO473" s="2" t="s">
        <v>74</v>
      </c>
      <c r="BP473" s="2" t="s">
        <v>74</v>
      </c>
      <c r="BQ473" s="2" t="s">
        <v>74</v>
      </c>
      <c r="BR473" s="2" t="s">
        <v>74</v>
      </c>
      <c r="BS473" s="2" t="s">
        <v>3664</v>
      </c>
      <c r="BT473" s="2" t="str">
        <f>HYPERLINK("https%3A%2F%2Fwww.webofscience.com%2Fwos%2Fwoscc%2Ffull-record%2FWOS:A1990CN99400009","View Full Record in Web of Science")</f>
        <v>View Full Record in Web of Science</v>
      </c>
    </row>
    <row r="474" spans="1:72" s="2" customFormat="1" x14ac:dyDescent="0.4">
      <c r="A474" s="2" t="s">
        <v>72</v>
      </c>
      <c r="B474" s="2" t="s">
        <v>6913</v>
      </c>
      <c r="C474" s="2" t="s">
        <v>74</v>
      </c>
      <c r="D474" s="2" t="s">
        <v>74</v>
      </c>
      <c r="E474" s="2" t="s">
        <v>74</v>
      </c>
      <c r="F474" s="2" t="s">
        <v>6914</v>
      </c>
      <c r="G474" s="2" t="s">
        <v>74</v>
      </c>
      <c r="H474" s="2" t="s">
        <v>74</v>
      </c>
      <c r="I474" s="2" t="s">
        <v>6915</v>
      </c>
      <c r="J474" s="2" t="s">
        <v>171</v>
      </c>
      <c r="K474" s="2" t="s">
        <v>74</v>
      </c>
      <c r="L474" s="2" t="s">
        <v>74</v>
      </c>
      <c r="M474" s="2" t="s">
        <v>74</v>
      </c>
      <c r="N474" s="2" t="s">
        <v>74</v>
      </c>
      <c r="O474" s="2" t="s">
        <v>74</v>
      </c>
      <c r="P474" s="2" t="s">
        <v>74</v>
      </c>
      <c r="Q474" s="2" t="s">
        <v>74</v>
      </c>
      <c r="R474" s="2" t="s">
        <v>74</v>
      </c>
      <c r="S474" s="2" t="s">
        <v>74</v>
      </c>
      <c r="T474" s="2" t="s">
        <v>74</v>
      </c>
      <c r="U474" s="2" t="s">
        <v>74</v>
      </c>
      <c r="V474" s="5" t="s">
        <v>6916</v>
      </c>
      <c r="W474" s="2" t="s">
        <v>74</v>
      </c>
      <c r="X474" s="2" t="s">
        <v>74</v>
      </c>
      <c r="Y474" s="2" t="s">
        <v>74</v>
      </c>
      <c r="Z474" s="2" t="s">
        <v>74</v>
      </c>
      <c r="AA474" s="2" t="s">
        <v>4216</v>
      </c>
      <c r="AB474" s="2" t="s">
        <v>4217</v>
      </c>
      <c r="AC474" s="2" t="s">
        <v>74</v>
      </c>
      <c r="AD474" s="2" t="s">
        <v>74</v>
      </c>
      <c r="AE474" s="2" t="s">
        <v>74</v>
      </c>
      <c r="AF474" s="2" t="s">
        <v>74</v>
      </c>
      <c r="AG474" s="2" t="s">
        <v>74</v>
      </c>
      <c r="AH474" s="2" t="s">
        <v>74</v>
      </c>
      <c r="AI474" s="2" t="s">
        <v>74</v>
      </c>
      <c r="AJ474" s="2" t="s">
        <v>74</v>
      </c>
      <c r="AK474" s="2" t="s">
        <v>74</v>
      </c>
      <c r="AL474" s="2" t="s">
        <v>74</v>
      </c>
      <c r="AM474" s="2" t="s">
        <v>74</v>
      </c>
      <c r="AN474" s="2" t="s">
        <v>74</v>
      </c>
      <c r="AO474" s="2" t="s">
        <v>173</v>
      </c>
      <c r="AP474" s="2" t="s">
        <v>174</v>
      </c>
      <c r="AQ474" s="2" t="s">
        <v>74</v>
      </c>
      <c r="AR474" s="2" t="s">
        <v>74</v>
      </c>
      <c r="AS474" s="2" t="s">
        <v>74</v>
      </c>
      <c r="AT474" s="2" t="s">
        <v>175</v>
      </c>
      <c r="AU474" s="2">
        <v>2015</v>
      </c>
      <c r="AV474" s="2">
        <v>69</v>
      </c>
      <c r="AW474" s="2">
        <v>10</v>
      </c>
      <c r="AX474" s="2" t="s">
        <v>74</v>
      </c>
      <c r="AY474" s="2" t="s">
        <v>74</v>
      </c>
      <c r="AZ474" s="2" t="s">
        <v>74</v>
      </c>
      <c r="BA474" s="2" t="s">
        <v>74</v>
      </c>
      <c r="BB474" s="2">
        <v>2602</v>
      </c>
      <c r="BC474" s="2">
        <v>2612</v>
      </c>
      <c r="BD474" s="2" t="s">
        <v>74</v>
      </c>
      <c r="BE474" s="2" t="s">
        <v>6917</v>
      </c>
      <c r="BF474" s="2" t="str">
        <f>HYPERLINK("http://dx.doi.org/10.1111/evo.12756","http://dx.doi.org/10.1111/evo.12756")</f>
        <v>http://dx.doi.org/10.1111/evo.12756</v>
      </c>
      <c r="BG474" s="2" t="s">
        <v>74</v>
      </c>
      <c r="BH474" s="2" t="s">
        <v>74</v>
      </c>
      <c r="BI474" s="2" t="s">
        <v>74</v>
      </c>
      <c r="BJ474" s="2" t="s">
        <v>74</v>
      </c>
      <c r="BK474" s="2" t="s">
        <v>74</v>
      </c>
      <c r="BL474" s="2" t="s">
        <v>74</v>
      </c>
      <c r="BM474" s="2" t="s">
        <v>74</v>
      </c>
      <c r="BN474" s="2">
        <v>26292844</v>
      </c>
      <c r="BO474" s="2" t="s">
        <v>74</v>
      </c>
      <c r="BP474" s="2" t="s">
        <v>74</v>
      </c>
      <c r="BQ474" s="2" t="s">
        <v>74</v>
      </c>
      <c r="BR474" s="2" t="s">
        <v>74</v>
      </c>
      <c r="BS474" s="2" t="s">
        <v>6918</v>
      </c>
      <c r="BT474" s="2" t="str">
        <f>HYPERLINK("https%3A%2F%2Fwww.webofscience.com%2Fwos%2Fwoscc%2Ffull-record%2FWOS:000362970600006","View Full Record in Web of Science")</f>
        <v>View Full Record in Web of Science</v>
      </c>
    </row>
    <row r="475" spans="1:72" s="1" customFormat="1" x14ac:dyDescent="0.4">
      <c r="A475" s="2" t="s">
        <v>72</v>
      </c>
      <c r="B475" s="2" t="s">
        <v>6630</v>
      </c>
      <c r="C475" s="2" t="s">
        <v>74</v>
      </c>
      <c r="D475" s="2" t="s">
        <v>74</v>
      </c>
      <c r="E475" s="2" t="s">
        <v>74</v>
      </c>
      <c r="F475" s="2" t="s">
        <v>6631</v>
      </c>
      <c r="G475" s="2" t="s">
        <v>74</v>
      </c>
      <c r="H475" s="2" t="s">
        <v>74</v>
      </c>
      <c r="I475" s="2" t="s">
        <v>6632</v>
      </c>
      <c r="J475" s="2" t="s">
        <v>6633</v>
      </c>
      <c r="K475" s="2" t="s">
        <v>74</v>
      </c>
      <c r="L475" s="2" t="s">
        <v>74</v>
      </c>
      <c r="M475" s="2" t="s">
        <v>74</v>
      </c>
      <c r="N475" s="2" t="s">
        <v>74</v>
      </c>
      <c r="O475" s="2" t="s">
        <v>6634</v>
      </c>
      <c r="P475" s="2" t="s">
        <v>6635</v>
      </c>
      <c r="Q475" s="2" t="s">
        <v>6636</v>
      </c>
      <c r="R475" s="2" t="s">
        <v>6637</v>
      </c>
      <c r="S475" s="2" t="s">
        <v>74</v>
      </c>
      <c r="T475" s="2" t="s">
        <v>74</v>
      </c>
      <c r="U475" s="2" t="s">
        <v>74</v>
      </c>
      <c r="V475" s="5" t="s">
        <v>6638</v>
      </c>
      <c r="W475" s="2" t="s">
        <v>74</v>
      </c>
      <c r="X475" s="2" t="s">
        <v>74</v>
      </c>
      <c r="Y475" s="2" t="s">
        <v>74</v>
      </c>
      <c r="Z475" s="2" t="s">
        <v>74</v>
      </c>
      <c r="AA475" s="2" t="s">
        <v>74</v>
      </c>
      <c r="AB475" s="2" t="s">
        <v>624</v>
      </c>
      <c r="AC475" s="2" t="s">
        <v>74</v>
      </c>
      <c r="AD475" s="2" t="s">
        <v>74</v>
      </c>
      <c r="AE475" s="2" t="s">
        <v>74</v>
      </c>
      <c r="AF475" s="2" t="s">
        <v>74</v>
      </c>
      <c r="AG475" s="2" t="s">
        <v>74</v>
      </c>
      <c r="AH475" s="2" t="s">
        <v>74</v>
      </c>
      <c r="AI475" s="2" t="s">
        <v>74</v>
      </c>
      <c r="AJ475" s="2" t="s">
        <v>74</v>
      </c>
      <c r="AK475" s="2" t="s">
        <v>74</v>
      </c>
      <c r="AL475" s="2" t="s">
        <v>74</v>
      </c>
      <c r="AM475" s="2" t="s">
        <v>74</v>
      </c>
      <c r="AN475" s="2" t="s">
        <v>74</v>
      </c>
      <c r="AO475" s="2" t="s">
        <v>6639</v>
      </c>
      <c r="AP475" s="2" t="s">
        <v>6640</v>
      </c>
      <c r="AQ475" s="2" t="s">
        <v>74</v>
      </c>
      <c r="AR475" s="2" t="s">
        <v>74</v>
      </c>
      <c r="AS475" s="2" t="s">
        <v>74</v>
      </c>
      <c r="AT475" s="2" t="s">
        <v>213</v>
      </c>
      <c r="AU475" s="2">
        <v>2011</v>
      </c>
      <c r="AV475" s="2">
        <v>51</v>
      </c>
      <c r="AW475" s="2">
        <v>5</v>
      </c>
      <c r="AX475" s="2" t="s">
        <v>74</v>
      </c>
      <c r="AY475" s="2" t="s">
        <v>74</v>
      </c>
      <c r="AZ475" s="2" t="s">
        <v>74</v>
      </c>
      <c r="BA475" s="2" t="s">
        <v>74</v>
      </c>
      <c r="BB475" s="2">
        <v>807</v>
      </c>
      <c r="BC475" s="2">
        <v>818</v>
      </c>
      <c r="BD475" s="2" t="s">
        <v>74</v>
      </c>
      <c r="BE475" s="2" t="s">
        <v>6641</v>
      </c>
      <c r="BF475" s="2" t="str">
        <f>HYPERLINK("http://dx.doi.org/10.1093/icb/icr060","http://dx.doi.org/10.1093/icb/icr060")</f>
        <v>http://dx.doi.org/10.1093/icb/icr060</v>
      </c>
      <c r="BG475" s="2" t="s">
        <v>74</v>
      </c>
      <c r="BH475" s="2" t="s">
        <v>74</v>
      </c>
      <c r="BI475" s="2" t="s">
        <v>74</v>
      </c>
      <c r="BJ475" s="2" t="s">
        <v>74</v>
      </c>
      <c r="BK475" s="2" t="s">
        <v>74</v>
      </c>
      <c r="BL475" s="2" t="s">
        <v>74</v>
      </c>
      <c r="BM475" s="2" t="s">
        <v>74</v>
      </c>
      <c r="BN475" s="2">
        <v>21700572</v>
      </c>
      <c r="BO475" s="2" t="s">
        <v>74</v>
      </c>
      <c r="BP475" s="2" t="s">
        <v>74</v>
      </c>
      <c r="BQ475" s="2" t="s">
        <v>74</v>
      </c>
      <c r="BR475" s="2" t="s">
        <v>74</v>
      </c>
      <c r="BS475" s="2" t="s">
        <v>6642</v>
      </c>
      <c r="BT475" s="2" t="str">
        <f>HYPERLINK("https%3A%2F%2Fwww.webofscience.com%2Fwos%2Fwoscc%2Ffull-record%2FWOS:000296101600014","View Full Record in Web of Science")</f>
        <v>View Full Record in Web of Science</v>
      </c>
    </row>
    <row r="476" spans="1:72" s="2" customFormat="1" x14ac:dyDescent="0.4">
      <c r="A476" s="2" t="s">
        <v>72</v>
      </c>
      <c r="B476" s="2" t="s">
        <v>7804</v>
      </c>
      <c r="C476" s="2" t="s">
        <v>74</v>
      </c>
      <c r="D476" s="2" t="s">
        <v>74</v>
      </c>
      <c r="E476" s="2" t="s">
        <v>74</v>
      </c>
      <c r="F476" s="2" t="s">
        <v>7805</v>
      </c>
      <c r="G476" s="2" t="s">
        <v>74</v>
      </c>
      <c r="H476" s="2" t="s">
        <v>74</v>
      </c>
      <c r="I476" s="2" t="s">
        <v>7806</v>
      </c>
      <c r="J476" s="2" t="s">
        <v>333</v>
      </c>
      <c r="K476" s="2" t="s">
        <v>74</v>
      </c>
      <c r="L476" s="2" t="s">
        <v>74</v>
      </c>
      <c r="M476" s="2" t="s">
        <v>74</v>
      </c>
      <c r="N476" s="2" t="s">
        <v>74</v>
      </c>
      <c r="O476" s="2" t="s">
        <v>74</v>
      </c>
      <c r="P476" s="2" t="s">
        <v>74</v>
      </c>
      <c r="Q476" s="2" t="s">
        <v>74</v>
      </c>
      <c r="R476" s="2" t="s">
        <v>74</v>
      </c>
      <c r="S476" s="2" t="s">
        <v>74</v>
      </c>
      <c r="T476" s="2" t="s">
        <v>74</v>
      </c>
      <c r="U476" s="2" t="s">
        <v>74</v>
      </c>
      <c r="V476" s="5" t="s">
        <v>7807</v>
      </c>
      <c r="W476" s="2" t="s">
        <v>74</v>
      </c>
      <c r="X476" s="2" t="s">
        <v>74</v>
      </c>
      <c r="Y476" s="2" t="s">
        <v>74</v>
      </c>
      <c r="Z476" s="2" t="s">
        <v>74</v>
      </c>
      <c r="AA476" s="2" t="s">
        <v>7808</v>
      </c>
      <c r="AB476" s="2" t="s">
        <v>7809</v>
      </c>
      <c r="AC476" s="2" t="s">
        <v>74</v>
      </c>
      <c r="AD476" s="2" t="s">
        <v>74</v>
      </c>
      <c r="AE476" s="2" t="s">
        <v>74</v>
      </c>
      <c r="AF476" s="2" t="s">
        <v>74</v>
      </c>
      <c r="AG476" s="2" t="s">
        <v>74</v>
      </c>
      <c r="AH476" s="2" t="s">
        <v>74</v>
      </c>
      <c r="AI476" s="2" t="s">
        <v>74</v>
      </c>
      <c r="AJ476" s="2" t="s">
        <v>74</v>
      </c>
      <c r="AK476" s="2" t="s">
        <v>74</v>
      </c>
      <c r="AL476" s="2" t="s">
        <v>74</v>
      </c>
      <c r="AM476" s="2" t="s">
        <v>74</v>
      </c>
      <c r="AN476" s="2" t="s">
        <v>74</v>
      </c>
      <c r="AO476" s="2" t="s">
        <v>337</v>
      </c>
      <c r="AP476" s="2" t="s">
        <v>338</v>
      </c>
      <c r="AQ476" s="2" t="s">
        <v>74</v>
      </c>
      <c r="AR476" s="2" t="s">
        <v>74</v>
      </c>
      <c r="AS476" s="2" t="s">
        <v>74</v>
      </c>
      <c r="AT476" s="2" t="s">
        <v>1013</v>
      </c>
      <c r="AU476" s="2">
        <v>2009</v>
      </c>
      <c r="AV476" s="2">
        <v>20</v>
      </c>
      <c r="AW476" s="2">
        <v>5</v>
      </c>
      <c r="AX476" s="2" t="s">
        <v>74</v>
      </c>
      <c r="AY476" s="2" t="s">
        <v>74</v>
      </c>
      <c r="AZ476" s="2" t="s">
        <v>74</v>
      </c>
      <c r="BA476" s="2" t="s">
        <v>74</v>
      </c>
      <c r="BB476" s="2">
        <v>1072</v>
      </c>
      <c r="BC476" s="2">
        <v>1078</v>
      </c>
      <c r="BD476" s="2" t="s">
        <v>74</v>
      </c>
      <c r="BE476" s="2" t="s">
        <v>7810</v>
      </c>
      <c r="BF476" s="2" t="str">
        <f>HYPERLINK("http://dx.doi.org/10.1093/beheco/arp099","http://dx.doi.org/10.1093/beheco/arp099")</f>
        <v>http://dx.doi.org/10.1093/beheco/arp099</v>
      </c>
      <c r="BG476" s="2" t="s">
        <v>74</v>
      </c>
      <c r="BH476" s="2" t="s">
        <v>74</v>
      </c>
      <c r="BI476" s="2" t="s">
        <v>74</v>
      </c>
      <c r="BJ476" s="2" t="s">
        <v>74</v>
      </c>
      <c r="BK476" s="2" t="s">
        <v>74</v>
      </c>
      <c r="BL476" s="2" t="s">
        <v>74</v>
      </c>
      <c r="BM476" s="2" t="s">
        <v>74</v>
      </c>
      <c r="BN476" s="2" t="s">
        <v>74</v>
      </c>
      <c r="BO476" s="2" t="s">
        <v>74</v>
      </c>
      <c r="BP476" s="2" t="s">
        <v>74</v>
      </c>
      <c r="BQ476" s="2" t="s">
        <v>74</v>
      </c>
      <c r="BR476" s="2" t="s">
        <v>74</v>
      </c>
      <c r="BS476" s="2" t="s">
        <v>7811</v>
      </c>
      <c r="BT476" s="2" t="str">
        <f>HYPERLINK("https%3A%2F%2Fwww.webofscience.com%2Fwos%2Fwoscc%2Ffull-record%2FWOS:000269956400023","View Full Record in Web of Science")</f>
        <v>View Full Record in Web of Science</v>
      </c>
    </row>
    <row r="477" spans="1:72" s="2" customFormat="1" x14ac:dyDescent="0.4">
      <c r="A477" s="2" t="s">
        <v>72</v>
      </c>
      <c r="B477" s="2" t="s">
        <v>5032</v>
      </c>
      <c r="C477" s="2" t="s">
        <v>74</v>
      </c>
      <c r="D477" s="2" t="s">
        <v>74</v>
      </c>
      <c r="E477" s="2" t="s">
        <v>74</v>
      </c>
      <c r="F477" s="2" t="s">
        <v>5033</v>
      </c>
      <c r="G477" s="2" t="s">
        <v>74</v>
      </c>
      <c r="H477" s="2" t="s">
        <v>74</v>
      </c>
      <c r="I477" s="2" t="s">
        <v>5034</v>
      </c>
      <c r="J477" s="2" t="s">
        <v>1656</v>
      </c>
      <c r="K477" s="2" t="s">
        <v>74</v>
      </c>
      <c r="L477" s="2" t="s">
        <v>74</v>
      </c>
      <c r="M477" s="2" t="s">
        <v>74</v>
      </c>
      <c r="N477" s="2" t="s">
        <v>74</v>
      </c>
      <c r="O477" s="2" t="s">
        <v>74</v>
      </c>
      <c r="P477" s="2" t="s">
        <v>74</v>
      </c>
      <c r="Q477" s="2" t="s">
        <v>74</v>
      </c>
      <c r="R477" s="2" t="s">
        <v>74</v>
      </c>
      <c r="S477" s="2" t="s">
        <v>74</v>
      </c>
      <c r="T477" s="2" t="s">
        <v>74</v>
      </c>
      <c r="U477" s="2" t="s">
        <v>74</v>
      </c>
      <c r="V477" s="5" t="s">
        <v>5035</v>
      </c>
      <c r="W477" s="2" t="s">
        <v>74</v>
      </c>
      <c r="X477" s="2" t="s">
        <v>74</v>
      </c>
      <c r="Y477" s="2" t="s">
        <v>74</v>
      </c>
      <c r="Z477" s="2" t="s">
        <v>74</v>
      </c>
      <c r="AA477" s="2" t="s">
        <v>74</v>
      </c>
      <c r="AB477" s="2" t="s">
        <v>74</v>
      </c>
      <c r="AC477" s="2" t="s">
        <v>74</v>
      </c>
      <c r="AD477" s="2" t="s">
        <v>74</v>
      </c>
      <c r="AE477" s="2" t="s">
        <v>74</v>
      </c>
      <c r="AF477" s="2" t="s">
        <v>74</v>
      </c>
      <c r="AG477" s="2" t="s">
        <v>74</v>
      </c>
      <c r="AH477" s="2" t="s">
        <v>74</v>
      </c>
      <c r="AI477" s="2" t="s">
        <v>74</v>
      </c>
      <c r="AJ477" s="2" t="s">
        <v>74</v>
      </c>
      <c r="AK477" s="2" t="s">
        <v>74</v>
      </c>
      <c r="AL477" s="2" t="s">
        <v>74</v>
      </c>
      <c r="AM477" s="2" t="s">
        <v>74</v>
      </c>
      <c r="AN477" s="2" t="s">
        <v>74</v>
      </c>
      <c r="AO477" s="2" t="s">
        <v>1658</v>
      </c>
      <c r="AP477" s="2" t="s">
        <v>1659</v>
      </c>
      <c r="AQ477" s="2" t="s">
        <v>74</v>
      </c>
      <c r="AR477" s="2" t="s">
        <v>74</v>
      </c>
      <c r="AS477" s="2" t="s">
        <v>74</v>
      </c>
      <c r="AT477" s="2" t="s">
        <v>5036</v>
      </c>
      <c r="AU477" s="2">
        <v>2006</v>
      </c>
      <c r="AV477" s="2" t="s">
        <v>74</v>
      </c>
      <c r="AW477" s="2">
        <v>1327</v>
      </c>
      <c r="AX477" s="2" t="s">
        <v>74</v>
      </c>
      <c r="AY477" s="2" t="s">
        <v>74</v>
      </c>
      <c r="AZ477" s="2" t="s">
        <v>74</v>
      </c>
      <c r="BA477" s="2" t="s">
        <v>74</v>
      </c>
      <c r="BB477" s="2">
        <v>1</v>
      </c>
      <c r="BC477" s="2">
        <v>21</v>
      </c>
      <c r="BD477" s="2" t="s">
        <v>74</v>
      </c>
      <c r="BE477" s="2" t="s">
        <v>74</v>
      </c>
      <c r="BF477" s="2" t="s">
        <v>74</v>
      </c>
      <c r="BG477" s="2" t="s">
        <v>74</v>
      </c>
      <c r="BH477" s="2" t="s">
        <v>74</v>
      </c>
      <c r="BI477" s="2" t="s">
        <v>74</v>
      </c>
      <c r="BJ477" s="2" t="s">
        <v>74</v>
      </c>
      <c r="BK477" s="2" t="s">
        <v>74</v>
      </c>
      <c r="BL477" s="2" t="s">
        <v>74</v>
      </c>
      <c r="BM477" s="2" t="s">
        <v>74</v>
      </c>
      <c r="BN477" s="2" t="s">
        <v>74</v>
      </c>
      <c r="BO477" s="2" t="s">
        <v>74</v>
      </c>
      <c r="BP477" s="2" t="s">
        <v>74</v>
      </c>
      <c r="BQ477" s="2" t="s">
        <v>74</v>
      </c>
      <c r="BR477" s="2" t="s">
        <v>74</v>
      </c>
      <c r="BS477" s="2" t="s">
        <v>5037</v>
      </c>
      <c r="BT477" s="2" t="str">
        <f>HYPERLINK("https%3A%2F%2Fwww.webofscience.com%2Fwos%2Fwoscc%2Ffull-record%2FWOS:000240866100001","View Full Record in Web of Science")</f>
        <v>View Full Record in Web of Science</v>
      </c>
    </row>
    <row r="478" spans="1:72" s="2" customFormat="1" x14ac:dyDescent="0.4">
      <c r="A478" s="2" t="s">
        <v>72</v>
      </c>
      <c r="B478" s="2" t="s">
        <v>5322</v>
      </c>
      <c r="C478" s="2" t="s">
        <v>74</v>
      </c>
      <c r="D478" s="2" t="s">
        <v>74</v>
      </c>
      <c r="E478" s="2" t="s">
        <v>74</v>
      </c>
      <c r="F478" s="2" t="s">
        <v>5323</v>
      </c>
      <c r="G478" s="2" t="s">
        <v>74</v>
      </c>
      <c r="H478" s="2" t="s">
        <v>74</v>
      </c>
      <c r="I478" s="2" t="s">
        <v>5324</v>
      </c>
      <c r="J478" s="2" t="s">
        <v>1656</v>
      </c>
      <c r="K478" s="2" t="s">
        <v>74</v>
      </c>
      <c r="L478" s="2" t="s">
        <v>74</v>
      </c>
      <c r="M478" s="2" t="s">
        <v>74</v>
      </c>
      <c r="N478" s="2" t="s">
        <v>74</v>
      </c>
      <c r="O478" s="2" t="s">
        <v>74</v>
      </c>
      <c r="P478" s="2" t="s">
        <v>74</v>
      </c>
      <c r="Q478" s="2" t="s">
        <v>74</v>
      </c>
      <c r="R478" s="2" t="s">
        <v>74</v>
      </c>
      <c r="S478" s="2" t="s">
        <v>74</v>
      </c>
      <c r="T478" s="2" t="s">
        <v>74</v>
      </c>
      <c r="U478" s="2" t="s">
        <v>74</v>
      </c>
      <c r="V478" s="5" t="s">
        <v>5325</v>
      </c>
      <c r="W478" s="2" t="s">
        <v>74</v>
      </c>
      <c r="X478" s="2" t="s">
        <v>74</v>
      </c>
      <c r="Y478" s="2" t="s">
        <v>74</v>
      </c>
      <c r="Z478" s="2" t="s">
        <v>74</v>
      </c>
      <c r="AA478" s="2" t="s">
        <v>5326</v>
      </c>
      <c r="AB478" s="2" t="s">
        <v>5327</v>
      </c>
      <c r="AC478" s="2" t="s">
        <v>74</v>
      </c>
      <c r="AD478" s="2" t="s">
        <v>74</v>
      </c>
      <c r="AE478" s="2" t="s">
        <v>74</v>
      </c>
      <c r="AF478" s="2" t="s">
        <v>74</v>
      </c>
      <c r="AG478" s="2" t="s">
        <v>74</v>
      </c>
      <c r="AH478" s="2" t="s">
        <v>74</v>
      </c>
      <c r="AI478" s="2" t="s">
        <v>74</v>
      </c>
      <c r="AJ478" s="2" t="s">
        <v>74</v>
      </c>
      <c r="AK478" s="2" t="s">
        <v>74</v>
      </c>
      <c r="AL478" s="2" t="s">
        <v>74</v>
      </c>
      <c r="AM478" s="2" t="s">
        <v>74</v>
      </c>
      <c r="AN478" s="2" t="s">
        <v>74</v>
      </c>
      <c r="AO478" s="2" t="s">
        <v>1658</v>
      </c>
      <c r="AP478" s="2" t="s">
        <v>1659</v>
      </c>
      <c r="AQ478" s="2" t="s">
        <v>74</v>
      </c>
      <c r="AR478" s="2" t="s">
        <v>74</v>
      </c>
      <c r="AS478" s="2" t="s">
        <v>74</v>
      </c>
      <c r="AT478" s="2" t="s">
        <v>5328</v>
      </c>
      <c r="AU478" s="2">
        <v>2016</v>
      </c>
      <c r="AV478" s="2">
        <v>4105</v>
      </c>
      <c r="AW478" s="2">
        <v>5</v>
      </c>
      <c r="AX478" s="2" t="s">
        <v>74</v>
      </c>
      <c r="AY478" s="2" t="s">
        <v>74</v>
      </c>
      <c r="AZ478" s="2" t="s">
        <v>74</v>
      </c>
      <c r="BA478" s="2" t="s">
        <v>74</v>
      </c>
      <c r="BB478" s="2">
        <v>401</v>
      </c>
      <c r="BC478" s="2">
        <v>429</v>
      </c>
      <c r="BD478" s="2" t="s">
        <v>74</v>
      </c>
      <c r="BE478" s="2" t="s">
        <v>5329</v>
      </c>
      <c r="BF478" s="2" t="str">
        <f>HYPERLINK("http://dx.doi.org/10.11646/zootaxa.4105.5.1","http://dx.doi.org/10.11646/zootaxa.4105.5.1")</f>
        <v>http://dx.doi.org/10.11646/zootaxa.4105.5.1</v>
      </c>
      <c r="BG478" s="2" t="s">
        <v>74</v>
      </c>
      <c r="BH478" s="2" t="s">
        <v>74</v>
      </c>
      <c r="BI478" s="2" t="s">
        <v>74</v>
      </c>
      <c r="BJ478" s="2" t="s">
        <v>74</v>
      </c>
      <c r="BK478" s="2" t="s">
        <v>74</v>
      </c>
      <c r="BL478" s="2" t="s">
        <v>74</v>
      </c>
      <c r="BM478" s="2" t="s">
        <v>74</v>
      </c>
      <c r="BN478" s="2">
        <v>27394789</v>
      </c>
      <c r="BO478" s="2" t="s">
        <v>74</v>
      </c>
      <c r="BP478" s="2" t="s">
        <v>74</v>
      </c>
      <c r="BQ478" s="2" t="s">
        <v>74</v>
      </c>
      <c r="BR478" s="2" t="s">
        <v>74</v>
      </c>
      <c r="BS478" s="2" t="s">
        <v>5330</v>
      </c>
      <c r="BT478" s="2" t="str">
        <f>HYPERLINK("https%3A%2F%2Fwww.webofscience.com%2Fwos%2Fwoscc%2Ffull-record%2FWOS:000375273900001","View Full Record in Web of Science")</f>
        <v>View Full Record in Web of Science</v>
      </c>
    </row>
    <row r="479" spans="1:72" s="2" customFormat="1" x14ac:dyDescent="0.4">
      <c r="A479" s="2" t="s">
        <v>72</v>
      </c>
      <c r="B479" s="2" t="s">
        <v>7754</v>
      </c>
      <c r="C479" s="2" t="s">
        <v>74</v>
      </c>
      <c r="D479" s="2" t="s">
        <v>74</v>
      </c>
      <c r="E479" s="2" t="s">
        <v>74</v>
      </c>
      <c r="F479" s="2" t="s">
        <v>7755</v>
      </c>
      <c r="G479" s="2" t="s">
        <v>74</v>
      </c>
      <c r="H479" s="2" t="s">
        <v>74</v>
      </c>
      <c r="I479" s="2" t="s">
        <v>7756</v>
      </c>
      <c r="J479" s="2" t="s">
        <v>1574</v>
      </c>
      <c r="K479" s="2" t="s">
        <v>74</v>
      </c>
      <c r="L479" s="2" t="s">
        <v>74</v>
      </c>
      <c r="M479" s="2" t="s">
        <v>74</v>
      </c>
      <c r="N479" s="2" t="s">
        <v>74</v>
      </c>
      <c r="O479" s="2" t="s">
        <v>74</v>
      </c>
      <c r="P479" s="2" t="s">
        <v>74</v>
      </c>
      <c r="Q479" s="2" t="s">
        <v>74</v>
      </c>
      <c r="R479" s="2" t="s">
        <v>74</v>
      </c>
      <c r="S479" s="2" t="s">
        <v>74</v>
      </c>
      <c r="T479" s="2" t="s">
        <v>74</v>
      </c>
      <c r="U479" s="2" t="s">
        <v>74</v>
      </c>
      <c r="V479" s="5" t="s">
        <v>7757</v>
      </c>
      <c r="W479" s="2" t="s">
        <v>74</v>
      </c>
      <c r="X479" s="2" t="s">
        <v>74</v>
      </c>
      <c r="Y479" s="2" t="s">
        <v>74</v>
      </c>
      <c r="Z479" s="2" t="s">
        <v>74</v>
      </c>
      <c r="AA479" s="2" t="s">
        <v>74</v>
      </c>
      <c r="AB479" s="2" t="s">
        <v>7758</v>
      </c>
      <c r="AC479" s="2" t="s">
        <v>74</v>
      </c>
      <c r="AD479" s="2" t="s">
        <v>74</v>
      </c>
      <c r="AE479" s="2" t="s">
        <v>74</v>
      </c>
      <c r="AF479" s="2" t="s">
        <v>74</v>
      </c>
      <c r="AG479" s="2" t="s">
        <v>74</v>
      </c>
      <c r="AH479" s="2" t="s">
        <v>74</v>
      </c>
      <c r="AI479" s="2" t="s">
        <v>74</v>
      </c>
      <c r="AJ479" s="2" t="s">
        <v>74</v>
      </c>
      <c r="AK479" s="2" t="s">
        <v>74</v>
      </c>
      <c r="AL479" s="2" t="s">
        <v>74</v>
      </c>
      <c r="AM479" s="2" t="s">
        <v>74</v>
      </c>
      <c r="AN479" s="2" t="s">
        <v>74</v>
      </c>
      <c r="AO479" s="2" t="s">
        <v>1576</v>
      </c>
      <c r="AP479" s="2" t="s">
        <v>1577</v>
      </c>
      <c r="AQ479" s="2" t="s">
        <v>74</v>
      </c>
      <c r="AR479" s="2" t="s">
        <v>74</v>
      </c>
      <c r="AS479" s="2" t="s">
        <v>74</v>
      </c>
      <c r="AT479" s="2" t="s">
        <v>74</v>
      </c>
      <c r="AU479" s="2">
        <v>2008</v>
      </c>
      <c r="AV479" s="2">
        <v>71</v>
      </c>
      <c r="AW479" s="2">
        <v>1</v>
      </c>
      <c r="AX479" s="2" t="s">
        <v>74</v>
      </c>
      <c r="AY479" s="2" t="s">
        <v>74</v>
      </c>
      <c r="AZ479" s="2" t="s">
        <v>74</v>
      </c>
      <c r="BA479" s="2" t="s">
        <v>74</v>
      </c>
      <c r="BB479" s="2">
        <v>1</v>
      </c>
      <c r="BC479" s="2">
        <v>14</v>
      </c>
      <c r="BD479" s="2" t="s">
        <v>74</v>
      </c>
      <c r="BE479" s="2" t="s">
        <v>7759</v>
      </c>
      <c r="BF479" s="2" t="str">
        <f>HYPERLINK("http://dx.doi.org/10.1159/000108607","http://dx.doi.org/10.1159/000108607")</f>
        <v>http://dx.doi.org/10.1159/000108607</v>
      </c>
      <c r="BG479" s="2" t="s">
        <v>74</v>
      </c>
      <c r="BH479" s="2" t="s">
        <v>74</v>
      </c>
      <c r="BI479" s="2" t="s">
        <v>74</v>
      </c>
      <c r="BJ479" s="2" t="s">
        <v>74</v>
      </c>
      <c r="BK479" s="2" t="s">
        <v>74</v>
      </c>
      <c r="BL479" s="2" t="s">
        <v>74</v>
      </c>
      <c r="BM479" s="2" t="s">
        <v>74</v>
      </c>
      <c r="BN479" s="2">
        <v>17878714</v>
      </c>
      <c r="BO479" s="2" t="s">
        <v>74</v>
      </c>
      <c r="BP479" s="2" t="s">
        <v>74</v>
      </c>
      <c r="BQ479" s="2" t="s">
        <v>74</v>
      </c>
      <c r="BR479" s="2" t="s">
        <v>74</v>
      </c>
      <c r="BS479" s="2" t="s">
        <v>7760</v>
      </c>
      <c r="BT479" s="2" t="str">
        <f>HYPERLINK("https%3A%2F%2Fwww.webofscience.com%2Fwos%2Fwoscc%2Ffull-record%2FWOS:000251137800001","View Full Record in Web of Science")</f>
        <v>View Full Record in Web of Science</v>
      </c>
    </row>
    <row r="480" spans="1:72" s="2" customFormat="1" x14ac:dyDescent="0.4">
      <c r="A480" s="2" t="s">
        <v>72</v>
      </c>
      <c r="B480" s="2" t="s">
        <v>3791</v>
      </c>
      <c r="C480" s="2" t="s">
        <v>74</v>
      </c>
      <c r="D480" s="2" t="s">
        <v>74</v>
      </c>
      <c r="E480" s="2" t="s">
        <v>74</v>
      </c>
      <c r="F480" s="2" t="s">
        <v>3792</v>
      </c>
      <c r="G480" s="2" t="s">
        <v>74</v>
      </c>
      <c r="H480" s="2" t="s">
        <v>74</v>
      </c>
      <c r="I480" s="2" t="s">
        <v>3793</v>
      </c>
      <c r="J480" s="2" t="s">
        <v>1755</v>
      </c>
      <c r="K480" s="2" t="s">
        <v>74</v>
      </c>
      <c r="L480" s="2" t="s">
        <v>74</v>
      </c>
      <c r="M480" s="2" t="s">
        <v>74</v>
      </c>
      <c r="N480" s="2" t="s">
        <v>74</v>
      </c>
      <c r="O480" s="2" t="s">
        <v>74</v>
      </c>
      <c r="P480" s="2" t="s">
        <v>74</v>
      </c>
      <c r="Q480" s="2" t="s">
        <v>74</v>
      </c>
      <c r="R480" s="2" t="s">
        <v>74</v>
      </c>
      <c r="S480" s="2" t="s">
        <v>74</v>
      </c>
      <c r="T480" s="2" t="s">
        <v>74</v>
      </c>
      <c r="U480" s="2" t="s">
        <v>74</v>
      </c>
      <c r="V480" s="5" t="s">
        <v>3794</v>
      </c>
      <c r="W480" s="2" t="s">
        <v>74</v>
      </c>
      <c r="X480" s="2" t="s">
        <v>74</v>
      </c>
      <c r="Y480" s="2" t="s">
        <v>74</v>
      </c>
      <c r="Z480" s="2" t="s">
        <v>74</v>
      </c>
      <c r="AA480" s="2" t="s">
        <v>3795</v>
      </c>
      <c r="AB480" s="2" t="s">
        <v>3796</v>
      </c>
      <c r="AC480" s="2" t="s">
        <v>74</v>
      </c>
      <c r="AD480" s="2" t="s">
        <v>74</v>
      </c>
      <c r="AE480" s="2" t="s">
        <v>74</v>
      </c>
      <c r="AF480" s="2" t="s">
        <v>74</v>
      </c>
      <c r="AG480" s="2" t="s">
        <v>74</v>
      </c>
      <c r="AH480" s="2" t="s">
        <v>74</v>
      </c>
      <c r="AI480" s="2" t="s">
        <v>74</v>
      </c>
      <c r="AJ480" s="2" t="s">
        <v>74</v>
      </c>
      <c r="AK480" s="2" t="s">
        <v>74</v>
      </c>
      <c r="AL480" s="2" t="s">
        <v>74</v>
      </c>
      <c r="AM480" s="2" t="s">
        <v>74</v>
      </c>
      <c r="AN480" s="2" t="s">
        <v>74</v>
      </c>
      <c r="AO480" s="2" t="s">
        <v>1759</v>
      </c>
      <c r="AP480" s="2" t="s">
        <v>1760</v>
      </c>
      <c r="AQ480" s="2" t="s">
        <v>74</v>
      </c>
      <c r="AR480" s="2" t="s">
        <v>74</v>
      </c>
      <c r="AS480" s="2" t="s">
        <v>74</v>
      </c>
      <c r="AT480" s="2" t="s">
        <v>255</v>
      </c>
      <c r="AU480" s="2">
        <v>2014</v>
      </c>
      <c r="AV480" s="2">
        <v>27</v>
      </c>
      <c r="AW480" s="2">
        <v>1</v>
      </c>
      <c r="AX480" s="2" t="s">
        <v>74</v>
      </c>
      <c r="AY480" s="2" t="s">
        <v>74</v>
      </c>
      <c r="AZ480" s="2" t="s">
        <v>74</v>
      </c>
      <c r="BA480" s="2" t="s">
        <v>74</v>
      </c>
      <c r="BB480" s="2">
        <v>67</v>
      </c>
      <c r="BC480" s="2">
        <v>80</v>
      </c>
      <c r="BD480" s="2" t="s">
        <v>74</v>
      </c>
      <c r="BE480" s="2" t="s">
        <v>3797</v>
      </c>
      <c r="BF480" s="2" t="str">
        <f>HYPERLINK("http://dx.doi.org/10.1007/s10905-013-9406-4","http://dx.doi.org/10.1007/s10905-013-9406-4")</f>
        <v>http://dx.doi.org/10.1007/s10905-013-9406-4</v>
      </c>
      <c r="BG480" s="2" t="s">
        <v>74</v>
      </c>
      <c r="BH480" s="2" t="s">
        <v>74</v>
      </c>
      <c r="BI480" s="2" t="s">
        <v>74</v>
      </c>
      <c r="BJ480" s="2" t="s">
        <v>74</v>
      </c>
      <c r="BK480" s="2" t="s">
        <v>74</v>
      </c>
      <c r="BL480" s="2" t="s">
        <v>74</v>
      </c>
      <c r="BM480" s="2" t="s">
        <v>74</v>
      </c>
      <c r="BN480" s="2" t="s">
        <v>74</v>
      </c>
      <c r="BO480" s="2" t="s">
        <v>74</v>
      </c>
      <c r="BP480" s="2" t="s">
        <v>74</v>
      </c>
      <c r="BQ480" s="2" t="s">
        <v>74</v>
      </c>
      <c r="BR480" s="2" t="s">
        <v>74</v>
      </c>
      <c r="BS480" s="2" t="s">
        <v>3798</v>
      </c>
      <c r="BT480" s="2" t="str">
        <f>HYPERLINK("https%3A%2F%2Fwww.webofscience.com%2Fwos%2Fwoscc%2Ffull-record%2FWOS:000329237700006","View Full Record in Web of Science")</f>
        <v>View Full Record in Web of Science</v>
      </c>
    </row>
    <row r="481" spans="1:72" s="2" customFormat="1" x14ac:dyDescent="0.4">
      <c r="A481" s="2" t="s">
        <v>72</v>
      </c>
      <c r="B481" s="2" t="s">
        <v>3390</v>
      </c>
      <c r="C481" s="2" t="s">
        <v>74</v>
      </c>
      <c r="D481" s="2" t="s">
        <v>74</v>
      </c>
      <c r="E481" s="2" t="s">
        <v>74</v>
      </c>
      <c r="F481" s="2" t="s">
        <v>3391</v>
      </c>
      <c r="G481" s="2" t="s">
        <v>74</v>
      </c>
      <c r="H481" s="2" t="s">
        <v>74</v>
      </c>
      <c r="I481" s="2" t="s">
        <v>3392</v>
      </c>
      <c r="J481" s="2" t="s">
        <v>119</v>
      </c>
      <c r="K481" s="2" t="s">
        <v>74</v>
      </c>
      <c r="L481" s="2" t="s">
        <v>74</v>
      </c>
      <c r="M481" s="2" t="s">
        <v>74</v>
      </c>
      <c r="N481" s="2" t="s">
        <v>74</v>
      </c>
      <c r="O481" s="2" t="s">
        <v>74</v>
      </c>
      <c r="P481" s="2" t="s">
        <v>74</v>
      </c>
      <c r="Q481" s="2" t="s">
        <v>74</v>
      </c>
      <c r="R481" s="2" t="s">
        <v>74</v>
      </c>
      <c r="S481" s="2" t="s">
        <v>74</v>
      </c>
      <c r="T481" s="2" t="s">
        <v>74</v>
      </c>
      <c r="U481" s="2" t="s">
        <v>74</v>
      </c>
      <c r="V481" s="5" t="s">
        <v>3393</v>
      </c>
      <c r="W481" s="2" t="s">
        <v>74</v>
      </c>
      <c r="X481" s="2" t="s">
        <v>74</v>
      </c>
      <c r="Y481" s="2" t="s">
        <v>74</v>
      </c>
      <c r="Z481" s="2" t="s">
        <v>74</v>
      </c>
      <c r="AA481" s="2" t="s">
        <v>2838</v>
      </c>
      <c r="AB481" s="2" t="s">
        <v>3394</v>
      </c>
      <c r="AC481" s="2" t="s">
        <v>74</v>
      </c>
      <c r="AD481" s="2" t="s">
        <v>74</v>
      </c>
      <c r="AE481" s="2" t="s">
        <v>74</v>
      </c>
      <c r="AF481" s="2" t="s">
        <v>74</v>
      </c>
      <c r="AG481" s="2" t="s">
        <v>74</v>
      </c>
      <c r="AH481" s="2" t="s">
        <v>74</v>
      </c>
      <c r="AI481" s="2" t="s">
        <v>74</v>
      </c>
      <c r="AJ481" s="2" t="s">
        <v>74</v>
      </c>
      <c r="AK481" s="2" t="s">
        <v>74</v>
      </c>
      <c r="AL481" s="2" t="s">
        <v>74</v>
      </c>
      <c r="AM481" s="2" t="s">
        <v>74</v>
      </c>
      <c r="AN481" s="2" t="s">
        <v>74</v>
      </c>
      <c r="AO481" s="2" t="s">
        <v>121</v>
      </c>
      <c r="AP481" s="2" t="s">
        <v>122</v>
      </c>
      <c r="AQ481" s="2" t="s">
        <v>74</v>
      </c>
      <c r="AR481" s="2" t="s">
        <v>74</v>
      </c>
      <c r="AS481" s="2" t="s">
        <v>74</v>
      </c>
      <c r="AT481" s="2" t="s">
        <v>213</v>
      </c>
      <c r="AU481" s="2">
        <v>2014</v>
      </c>
      <c r="AV481" s="2">
        <v>109</v>
      </c>
      <c r="AW481" s="2" t="s">
        <v>74</v>
      </c>
      <c r="AX481" s="2" t="s">
        <v>3395</v>
      </c>
      <c r="AY481" s="2" t="s">
        <v>74</v>
      </c>
      <c r="AZ481" s="2" t="s">
        <v>848</v>
      </c>
      <c r="BA481" s="2" t="s">
        <v>74</v>
      </c>
      <c r="BB481" s="2">
        <v>145</v>
      </c>
      <c r="BC481" s="2">
        <v>150</v>
      </c>
      <c r="BD481" s="2" t="s">
        <v>74</v>
      </c>
      <c r="BE481" s="2" t="s">
        <v>3396</v>
      </c>
      <c r="BF481" s="2" t="str">
        <f>HYPERLINK("http://dx.doi.org/10.1016/j.beproc.2014.04.013","http://dx.doi.org/10.1016/j.beproc.2014.04.013")</f>
        <v>http://dx.doi.org/10.1016/j.beproc.2014.04.013</v>
      </c>
      <c r="BG481" s="2" t="s">
        <v>74</v>
      </c>
      <c r="BH481" s="2" t="s">
        <v>74</v>
      </c>
      <c r="BI481" s="2" t="s">
        <v>74</v>
      </c>
      <c r="BJ481" s="2" t="s">
        <v>74</v>
      </c>
      <c r="BK481" s="2" t="s">
        <v>74</v>
      </c>
      <c r="BL481" s="2" t="s">
        <v>74</v>
      </c>
      <c r="BM481" s="2" t="s">
        <v>74</v>
      </c>
      <c r="BN481" s="2">
        <v>24797456</v>
      </c>
      <c r="BO481" s="2" t="s">
        <v>74</v>
      </c>
      <c r="BP481" s="2" t="s">
        <v>74</v>
      </c>
      <c r="BQ481" s="2" t="s">
        <v>74</v>
      </c>
      <c r="BR481" s="2" t="s">
        <v>74</v>
      </c>
      <c r="BS481" s="2" t="s">
        <v>3397</v>
      </c>
      <c r="BT481" s="2" t="str">
        <f>HYPERLINK("https%3A%2F%2Fwww.webofscience.com%2Fwos%2Fwoscc%2Ffull-record%2FWOS:000347742900006","View Full Record in Web of Science")</f>
        <v>View Full Record in Web of Science</v>
      </c>
    </row>
    <row r="482" spans="1:72" s="2" customFormat="1" x14ac:dyDescent="0.4">
      <c r="A482" s="2" t="s">
        <v>72</v>
      </c>
      <c r="B482" s="2" t="s">
        <v>5870</v>
      </c>
      <c r="C482" s="2" t="s">
        <v>74</v>
      </c>
      <c r="D482" s="2" t="s">
        <v>74</v>
      </c>
      <c r="E482" s="2" t="s">
        <v>74</v>
      </c>
      <c r="F482" s="2" t="s">
        <v>5871</v>
      </c>
      <c r="G482" s="2" t="s">
        <v>74</v>
      </c>
      <c r="H482" s="2" t="s">
        <v>74</v>
      </c>
      <c r="I482" s="2" t="s">
        <v>5872</v>
      </c>
      <c r="J482" s="2" t="s">
        <v>108</v>
      </c>
      <c r="K482" s="2" t="s">
        <v>74</v>
      </c>
      <c r="L482" s="2" t="s">
        <v>74</v>
      </c>
      <c r="M482" s="2" t="s">
        <v>74</v>
      </c>
      <c r="N482" s="2" t="s">
        <v>74</v>
      </c>
      <c r="O482" s="2" t="s">
        <v>74</v>
      </c>
      <c r="P482" s="2" t="s">
        <v>74</v>
      </c>
      <c r="Q482" s="2" t="s">
        <v>74</v>
      </c>
      <c r="R482" s="2" t="s">
        <v>74</v>
      </c>
      <c r="S482" s="2" t="s">
        <v>74</v>
      </c>
      <c r="T482" s="2" t="s">
        <v>74</v>
      </c>
      <c r="U482" s="2" t="s">
        <v>74</v>
      </c>
      <c r="V482" s="5" t="s">
        <v>5873</v>
      </c>
      <c r="W482" s="2" t="s">
        <v>74</v>
      </c>
      <c r="X482" s="2" t="s">
        <v>74</v>
      </c>
      <c r="Y482" s="2" t="s">
        <v>74</v>
      </c>
      <c r="Z482" s="2" t="s">
        <v>74</v>
      </c>
      <c r="AA482" s="2" t="s">
        <v>2838</v>
      </c>
      <c r="AB482" s="2" t="s">
        <v>5874</v>
      </c>
      <c r="AC482" s="2" t="s">
        <v>74</v>
      </c>
      <c r="AD482" s="2" t="s">
        <v>74</v>
      </c>
      <c r="AE482" s="2" t="s">
        <v>74</v>
      </c>
      <c r="AF482" s="2" t="s">
        <v>74</v>
      </c>
      <c r="AG482" s="2" t="s">
        <v>74</v>
      </c>
      <c r="AH482" s="2" t="s">
        <v>74</v>
      </c>
      <c r="AI482" s="2" t="s">
        <v>74</v>
      </c>
      <c r="AJ482" s="2" t="s">
        <v>74</v>
      </c>
      <c r="AK482" s="2" t="s">
        <v>74</v>
      </c>
      <c r="AL482" s="2" t="s">
        <v>74</v>
      </c>
      <c r="AM482" s="2" t="s">
        <v>74</v>
      </c>
      <c r="AN482" s="2" t="s">
        <v>74</v>
      </c>
      <c r="AO482" s="2" t="s">
        <v>111</v>
      </c>
      <c r="AP482" s="2" t="s">
        <v>112</v>
      </c>
      <c r="AQ482" s="2" t="s">
        <v>74</v>
      </c>
      <c r="AR482" s="2" t="s">
        <v>74</v>
      </c>
      <c r="AS482" s="2" t="s">
        <v>74</v>
      </c>
      <c r="AT482" s="2" t="s">
        <v>5875</v>
      </c>
      <c r="AU482" s="2">
        <v>2016</v>
      </c>
      <c r="AV482" s="2">
        <v>283</v>
      </c>
      <c r="AW482" s="2">
        <v>1827</v>
      </c>
      <c r="AX482" s="2" t="s">
        <v>74</v>
      </c>
      <c r="AY482" s="2" t="s">
        <v>74</v>
      </c>
      <c r="AZ482" s="2" t="s">
        <v>74</v>
      </c>
      <c r="BA482" s="2" t="s">
        <v>74</v>
      </c>
      <c r="BB482" s="2" t="s">
        <v>74</v>
      </c>
      <c r="BC482" s="2" t="s">
        <v>74</v>
      </c>
      <c r="BD482" s="2">
        <v>20152685</v>
      </c>
      <c r="BE482" s="2" t="s">
        <v>5876</v>
      </c>
      <c r="BF482" s="2" t="str">
        <f>HYPERLINK("http://dx.doi.org/10.1098/rspb.2015.2685","http://dx.doi.org/10.1098/rspb.2015.2685")</f>
        <v>http://dx.doi.org/10.1098/rspb.2015.2685</v>
      </c>
      <c r="BG482" s="2" t="s">
        <v>74</v>
      </c>
      <c r="BH482" s="2" t="s">
        <v>74</v>
      </c>
      <c r="BI482" s="2" t="s">
        <v>74</v>
      </c>
      <c r="BJ482" s="2" t="s">
        <v>74</v>
      </c>
      <c r="BK482" s="2" t="s">
        <v>74</v>
      </c>
      <c r="BL482" s="2" t="s">
        <v>74</v>
      </c>
      <c r="BM482" s="2" t="s">
        <v>74</v>
      </c>
      <c r="BN482" s="2">
        <v>27009230</v>
      </c>
      <c r="BO482" s="2" t="s">
        <v>74</v>
      </c>
      <c r="BP482" s="2" t="s">
        <v>74</v>
      </c>
      <c r="BQ482" s="2" t="s">
        <v>74</v>
      </c>
      <c r="BR482" s="2" t="s">
        <v>74</v>
      </c>
      <c r="BS482" s="2" t="s">
        <v>5877</v>
      </c>
      <c r="BT482" s="2" t="str">
        <f>HYPERLINK("https%3A%2F%2Fwww.webofscience.com%2Fwos%2Fwoscc%2Ffull-record%2FWOS:000375732500019","View Full Record in Web of Science")</f>
        <v>View Full Record in Web of Science</v>
      </c>
    </row>
    <row r="483" spans="1:72" s="2" customFormat="1" x14ac:dyDescent="0.4">
      <c r="A483" s="2" t="s">
        <v>72</v>
      </c>
      <c r="B483" s="2" t="s">
        <v>6883</v>
      </c>
      <c r="C483" s="2" t="s">
        <v>74</v>
      </c>
      <c r="D483" s="2" t="s">
        <v>74</v>
      </c>
      <c r="E483" s="2" t="s">
        <v>74</v>
      </c>
      <c r="F483" s="2" t="s">
        <v>6883</v>
      </c>
      <c r="G483" s="2" t="s">
        <v>74</v>
      </c>
      <c r="H483" s="2" t="s">
        <v>74</v>
      </c>
      <c r="I483" s="2" t="s">
        <v>6884</v>
      </c>
      <c r="J483" s="2" t="s">
        <v>4235</v>
      </c>
      <c r="K483" s="2" t="s">
        <v>74</v>
      </c>
      <c r="L483" s="2" t="s">
        <v>74</v>
      </c>
      <c r="M483" s="2" t="s">
        <v>74</v>
      </c>
      <c r="N483" s="2" t="s">
        <v>74</v>
      </c>
      <c r="O483" s="2" t="s">
        <v>74</v>
      </c>
      <c r="P483" s="2" t="s">
        <v>74</v>
      </c>
      <c r="Q483" s="2" t="s">
        <v>74</v>
      </c>
      <c r="R483" s="2" t="s">
        <v>74</v>
      </c>
      <c r="S483" s="2" t="s">
        <v>74</v>
      </c>
      <c r="T483" s="2" t="s">
        <v>74</v>
      </c>
      <c r="U483" s="2" t="s">
        <v>74</v>
      </c>
      <c r="V483" s="5" t="s">
        <v>6885</v>
      </c>
      <c r="W483" s="2" t="s">
        <v>74</v>
      </c>
      <c r="X483" s="2" t="s">
        <v>74</v>
      </c>
      <c r="Y483" s="2" t="s">
        <v>74</v>
      </c>
      <c r="Z483" s="2" t="s">
        <v>74</v>
      </c>
      <c r="AA483" s="2" t="s">
        <v>74</v>
      </c>
      <c r="AB483" s="2" t="s">
        <v>6886</v>
      </c>
      <c r="AC483" s="2" t="s">
        <v>74</v>
      </c>
      <c r="AD483" s="2" t="s">
        <v>74</v>
      </c>
      <c r="AE483" s="2" t="s">
        <v>74</v>
      </c>
      <c r="AF483" s="2" t="s">
        <v>74</v>
      </c>
      <c r="AG483" s="2" t="s">
        <v>74</v>
      </c>
      <c r="AH483" s="2" t="s">
        <v>74</v>
      </c>
      <c r="AI483" s="2" t="s">
        <v>74</v>
      </c>
      <c r="AJ483" s="2" t="s">
        <v>74</v>
      </c>
      <c r="AK483" s="2" t="s">
        <v>74</v>
      </c>
      <c r="AL483" s="2" t="s">
        <v>74</v>
      </c>
      <c r="AM483" s="2" t="s">
        <v>74</v>
      </c>
      <c r="AN483" s="2" t="s">
        <v>74</v>
      </c>
      <c r="AO483" s="2" t="s">
        <v>4239</v>
      </c>
      <c r="AP483" s="2" t="s">
        <v>4240</v>
      </c>
      <c r="AQ483" s="2" t="s">
        <v>74</v>
      </c>
      <c r="AR483" s="2" t="s">
        <v>74</v>
      </c>
      <c r="AS483" s="2" t="s">
        <v>74</v>
      </c>
      <c r="AT483" s="2" t="s">
        <v>305</v>
      </c>
      <c r="AU483" s="2">
        <v>2005</v>
      </c>
      <c r="AV483" s="2">
        <v>37</v>
      </c>
      <c r="AW483" s="2">
        <v>3</v>
      </c>
      <c r="AX483" s="2" t="s">
        <v>74</v>
      </c>
      <c r="AY483" s="2" t="s">
        <v>74</v>
      </c>
      <c r="AZ483" s="2" t="s">
        <v>74</v>
      </c>
      <c r="BA483" s="2" t="s">
        <v>74</v>
      </c>
      <c r="BB483" s="2">
        <v>644</v>
      </c>
      <c r="BC483" s="2">
        <v>660</v>
      </c>
      <c r="BD483" s="2" t="s">
        <v>74</v>
      </c>
      <c r="BE483" s="2" t="s">
        <v>6887</v>
      </c>
      <c r="BF483" s="2" t="str">
        <f>HYPERLINK("http://dx.doi.org/10.1016/j.ympev.2005.04.026","http://dx.doi.org/10.1016/j.ympev.2005.04.026")</f>
        <v>http://dx.doi.org/10.1016/j.ympev.2005.04.026</v>
      </c>
      <c r="BG483" s="2" t="s">
        <v>74</v>
      </c>
      <c r="BH483" s="2" t="s">
        <v>74</v>
      </c>
      <c r="BI483" s="2" t="s">
        <v>74</v>
      </c>
      <c r="BJ483" s="2" t="s">
        <v>74</v>
      </c>
      <c r="BK483" s="2" t="s">
        <v>74</v>
      </c>
      <c r="BL483" s="2" t="s">
        <v>74</v>
      </c>
      <c r="BM483" s="2" t="s">
        <v>74</v>
      </c>
      <c r="BN483" s="2">
        <v>16055353</v>
      </c>
      <c r="BO483" s="2" t="s">
        <v>74</v>
      </c>
      <c r="BP483" s="2" t="s">
        <v>74</v>
      </c>
      <c r="BQ483" s="2" t="s">
        <v>74</v>
      </c>
      <c r="BR483" s="2" t="s">
        <v>74</v>
      </c>
      <c r="BS483" s="2" t="s">
        <v>6888</v>
      </c>
      <c r="BT483" s="2" t="str">
        <f>HYPERLINK("https%3A%2F%2Fwww.webofscience.com%2Fwos%2Fwoscc%2Ffull-record%2FWOS:000233658100002","View Full Record in Web of Science")</f>
        <v>View Full Record in Web of Science</v>
      </c>
    </row>
    <row r="484" spans="1:72" s="1" customFormat="1" x14ac:dyDescent="0.4">
      <c r="A484" s="2" t="s">
        <v>72</v>
      </c>
      <c r="B484" s="2" t="s">
        <v>4796</v>
      </c>
      <c r="C484" s="2" t="s">
        <v>74</v>
      </c>
      <c r="D484" s="2" t="s">
        <v>74</v>
      </c>
      <c r="E484" s="2" t="s">
        <v>74</v>
      </c>
      <c r="F484" s="2" t="s">
        <v>4796</v>
      </c>
      <c r="G484" s="2" t="s">
        <v>74</v>
      </c>
      <c r="H484" s="2" t="s">
        <v>74</v>
      </c>
      <c r="I484" s="2" t="s">
        <v>4797</v>
      </c>
      <c r="J484" s="2" t="s">
        <v>691</v>
      </c>
      <c r="K484" s="2" t="s">
        <v>74</v>
      </c>
      <c r="L484" s="2" t="s">
        <v>74</v>
      </c>
      <c r="M484" s="2" t="s">
        <v>74</v>
      </c>
      <c r="N484" s="2" t="s">
        <v>74</v>
      </c>
      <c r="O484" s="2" t="s">
        <v>74</v>
      </c>
      <c r="P484" s="2" t="s">
        <v>74</v>
      </c>
      <c r="Q484" s="2" t="s">
        <v>74</v>
      </c>
      <c r="R484" s="2" t="s">
        <v>74</v>
      </c>
      <c r="S484" s="2" t="s">
        <v>74</v>
      </c>
      <c r="T484" s="2" t="s">
        <v>74</v>
      </c>
      <c r="U484" s="2" t="s">
        <v>74</v>
      </c>
      <c r="V484" s="5" t="s">
        <v>4798</v>
      </c>
      <c r="W484" s="2" t="s">
        <v>74</v>
      </c>
      <c r="X484" s="2" t="s">
        <v>74</v>
      </c>
      <c r="Y484" s="2" t="s">
        <v>74</v>
      </c>
      <c r="Z484" s="2" t="s">
        <v>74</v>
      </c>
      <c r="AA484" s="2" t="s">
        <v>4799</v>
      </c>
      <c r="AB484" s="2" t="s">
        <v>4800</v>
      </c>
      <c r="AC484" s="2" t="s">
        <v>74</v>
      </c>
      <c r="AD484" s="2" t="s">
        <v>74</v>
      </c>
      <c r="AE484" s="2" t="s">
        <v>74</v>
      </c>
      <c r="AF484" s="2" t="s">
        <v>74</v>
      </c>
      <c r="AG484" s="2" t="s">
        <v>74</v>
      </c>
      <c r="AH484" s="2" t="s">
        <v>74</v>
      </c>
      <c r="AI484" s="2" t="s">
        <v>74</v>
      </c>
      <c r="AJ484" s="2" t="s">
        <v>74</v>
      </c>
      <c r="AK484" s="2" t="s">
        <v>74</v>
      </c>
      <c r="AL484" s="2" t="s">
        <v>74</v>
      </c>
      <c r="AM484" s="2" t="s">
        <v>74</v>
      </c>
      <c r="AN484" s="2" t="s">
        <v>74</v>
      </c>
      <c r="AO484" s="2" t="s">
        <v>695</v>
      </c>
      <c r="AP484" s="2" t="s">
        <v>74</v>
      </c>
      <c r="AQ484" s="2" t="s">
        <v>74</v>
      </c>
      <c r="AR484" s="2" t="s">
        <v>74</v>
      </c>
      <c r="AS484" s="2" t="s">
        <v>74</v>
      </c>
      <c r="AT484" s="2" t="s">
        <v>964</v>
      </c>
      <c r="AU484" s="2">
        <v>1994</v>
      </c>
      <c r="AV484" s="2">
        <v>55</v>
      </c>
      <c r="AW484" s="2">
        <v>2</v>
      </c>
      <c r="AX484" s="2" t="s">
        <v>74</v>
      </c>
      <c r="AY484" s="2" t="s">
        <v>74</v>
      </c>
      <c r="AZ484" s="2" t="s">
        <v>74</v>
      </c>
      <c r="BA484" s="2" t="s">
        <v>74</v>
      </c>
      <c r="BB484" s="2">
        <v>313</v>
      </c>
      <c r="BC484" s="2">
        <v>316</v>
      </c>
      <c r="BD484" s="2" t="s">
        <v>74</v>
      </c>
      <c r="BE484" s="2" t="s">
        <v>4801</v>
      </c>
      <c r="BF484" s="2" t="str">
        <f>HYPERLINK("http://dx.doi.org/10.1016/0031-9384(94)90139-2","http://dx.doi.org/10.1016/0031-9384(94)90139-2")</f>
        <v>http://dx.doi.org/10.1016/0031-9384(94)90139-2</v>
      </c>
      <c r="BG484" s="2" t="s">
        <v>74</v>
      </c>
      <c r="BH484" s="2" t="s">
        <v>74</v>
      </c>
      <c r="BI484" s="2" t="s">
        <v>74</v>
      </c>
      <c r="BJ484" s="2" t="s">
        <v>74</v>
      </c>
      <c r="BK484" s="2" t="s">
        <v>74</v>
      </c>
      <c r="BL484" s="2" t="s">
        <v>74</v>
      </c>
      <c r="BM484" s="2" t="s">
        <v>74</v>
      </c>
      <c r="BN484" s="2">
        <v>8153171</v>
      </c>
      <c r="BO484" s="2" t="s">
        <v>74</v>
      </c>
      <c r="BP484" s="2" t="s">
        <v>74</v>
      </c>
      <c r="BQ484" s="2" t="s">
        <v>74</v>
      </c>
      <c r="BR484" s="2" t="s">
        <v>74</v>
      </c>
      <c r="BS484" s="2" t="s">
        <v>4802</v>
      </c>
      <c r="BT484" s="2" t="str">
        <f>HYPERLINK("https%3A%2F%2Fwww.webofscience.com%2Fwos%2Fwoscc%2Ffull-record%2FWOS:A1994MV64200016","View Full Record in Web of Science")</f>
        <v>View Full Record in Web of Science</v>
      </c>
    </row>
    <row r="485" spans="1:72" s="2" customFormat="1" x14ac:dyDescent="0.4">
      <c r="A485" s="2" t="s">
        <v>72</v>
      </c>
      <c r="B485" s="2" t="s">
        <v>5151</v>
      </c>
      <c r="C485" s="2" t="s">
        <v>74</v>
      </c>
      <c r="D485" s="2" t="s">
        <v>74</v>
      </c>
      <c r="E485" s="2" t="s">
        <v>74</v>
      </c>
      <c r="F485" s="2" t="s">
        <v>5152</v>
      </c>
      <c r="G485" s="2" t="s">
        <v>74</v>
      </c>
      <c r="H485" s="2" t="s">
        <v>74</v>
      </c>
      <c r="I485" s="2" t="s">
        <v>5153</v>
      </c>
      <c r="J485" s="2" t="s">
        <v>1673</v>
      </c>
      <c r="K485" s="2" t="s">
        <v>74</v>
      </c>
      <c r="L485" s="2" t="s">
        <v>74</v>
      </c>
      <c r="M485" s="2" t="s">
        <v>74</v>
      </c>
      <c r="N485" s="2" t="s">
        <v>74</v>
      </c>
      <c r="O485" s="2" t="s">
        <v>74</v>
      </c>
      <c r="P485" s="2" t="s">
        <v>74</v>
      </c>
      <c r="Q485" s="2" t="s">
        <v>74</v>
      </c>
      <c r="R485" s="2" t="s">
        <v>74</v>
      </c>
      <c r="S485" s="2" t="s">
        <v>74</v>
      </c>
      <c r="T485" s="2" t="s">
        <v>74</v>
      </c>
      <c r="U485" s="2" t="s">
        <v>74</v>
      </c>
      <c r="V485" s="5" t="s">
        <v>5154</v>
      </c>
      <c r="W485" s="2" t="s">
        <v>74</v>
      </c>
      <c r="X485" s="2" t="s">
        <v>74</v>
      </c>
      <c r="Y485" s="2" t="s">
        <v>74</v>
      </c>
      <c r="Z485" s="2" t="s">
        <v>74</v>
      </c>
      <c r="AA485" s="2" t="s">
        <v>5155</v>
      </c>
      <c r="AB485" s="2" t="s">
        <v>5156</v>
      </c>
      <c r="AC485" s="2" t="s">
        <v>74</v>
      </c>
      <c r="AD485" s="2" t="s">
        <v>74</v>
      </c>
      <c r="AE485" s="2" t="s">
        <v>74</v>
      </c>
      <c r="AF485" s="2" t="s">
        <v>74</v>
      </c>
      <c r="AG485" s="2" t="s">
        <v>74</v>
      </c>
      <c r="AH485" s="2" t="s">
        <v>74</v>
      </c>
      <c r="AI485" s="2" t="s">
        <v>74</v>
      </c>
      <c r="AJ485" s="2" t="s">
        <v>74</v>
      </c>
      <c r="AK485" s="2" t="s">
        <v>74</v>
      </c>
      <c r="AL485" s="2" t="s">
        <v>74</v>
      </c>
      <c r="AM485" s="2" t="s">
        <v>74</v>
      </c>
      <c r="AN485" s="2" t="s">
        <v>74</v>
      </c>
      <c r="AO485" s="2" t="s">
        <v>1239</v>
      </c>
      <c r="AP485" s="2" t="s">
        <v>1675</v>
      </c>
      <c r="AQ485" s="2" t="s">
        <v>74</v>
      </c>
      <c r="AR485" s="2" t="s">
        <v>74</v>
      </c>
      <c r="AS485" s="2" t="s">
        <v>74</v>
      </c>
      <c r="AT485" s="2" t="s">
        <v>305</v>
      </c>
      <c r="AU485" s="2">
        <v>2014</v>
      </c>
      <c r="AV485" s="2">
        <v>92</v>
      </c>
      <c r="AW485" s="2">
        <v>12</v>
      </c>
      <c r="AX485" s="2" t="s">
        <v>74</v>
      </c>
      <c r="AY485" s="2" t="s">
        <v>74</v>
      </c>
      <c r="AZ485" s="2" t="s">
        <v>74</v>
      </c>
      <c r="BA485" s="2" t="s">
        <v>74</v>
      </c>
      <c r="BB485" s="2">
        <v>1075</v>
      </c>
      <c r="BC485" s="2">
        <v>1082</v>
      </c>
      <c r="BD485" s="2" t="s">
        <v>74</v>
      </c>
      <c r="BE485" s="2" t="s">
        <v>5157</v>
      </c>
      <c r="BF485" s="2" t="str">
        <f>HYPERLINK("http://dx.doi.org/10.1139/cjz-2014-0256","http://dx.doi.org/10.1139/cjz-2014-0256")</f>
        <v>http://dx.doi.org/10.1139/cjz-2014-0256</v>
      </c>
      <c r="BG485" s="2" t="s">
        <v>74</v>
      </c>
      <c r="BH485" s="2" t="s">
        <v>74</v>
      </c>
      <c r="BI485" s="2" t="s">
        <v>74</v>
      </c>
      <c r="BJ485" s="2" t="s">
        <v>74</v>
      </c>
      <c r="BK485" s="2" t="s">
        <v>74</v>
      </c>
      <c r="BL485" s="2" t="s">
        <v>74</v>
      </c>
      <c r="BM485" s="2" t="s">
        <v>74</v>
      </c>
      <c r="BN485" s="2" t="s">
        <v>74</v>
      </c>
      <c r="BO485" s="2" t="s">
        <v>74</v>
      </c>
      <c r="BP485" s="2" t="s">
        <v>74</v>
      </c>
      <c r="BQ485" s="2" t="s">
        <v>74</v>
      </c>
      <c r="BR485" s="2" t="s">
        <v>74</v>
      </c>
      <c r="BS485" s="2" t="s">
        <v>5158</v>
      </c>
      <c r="BT485" s="2" t="str">
        <f>HYPERLINK("https%3A%2F%2Fwww.webofscience.com%2Fwos%2Fwoscc%2Ffull-record%2FWOS:000345617300010","View Full Record in Web of Science")</f>
        <v>View Full Record in Web of Science</v>
      </c>
    </row>
    <row r="486" spans="1:72" s="2" customFormat="1" x14ac:dyDescent="0.4">
      <c r="A486" s="2" t="s">
        <v>72</v>
      </c>
      <c r="B486" s="2" t="s">
        <v>3143</v>
      </c>
      <c r="C486" s="2" t="s">
        <v>74</v>
      </c>
      <c r="D486" s="2" t="s">
        <v>74</v>
      </c>
      <c r="E486" s="2" t="s">
        <v>74</v>
      </c>
      <c r="F486" s="2" t="s">
        <v>3144</v>
      </c>
      <c r="G486" s="2" t="s">
        <v>74</v>
      </c>
      <c r="H486" s="2" t="s">
        <v>74</v>
      </c>
      <c r="I486" s="2" t="s">
        <v>3145</v>
      </c>
      <c r="J486" s="2" t="s">
        <v>456</v>
      </c>
      <c r="K486" s="2" t="s">
        <v>74</v>
      </c>
      <c r="L486" s="2" t="s">
        <v>74</v>
      </c>
      <c r="M486" s="2" t="s">
        <v>74</v>
      </c>
      <c r="N486" s="2" t="s">
        <v>74</v>
      </c>
      <c r="O486" s="2" t="s">
        <v>74</v>
      </c>
      <c r="P486" s="2" t="s">
        <v>74</v>
      </c>
      <c r="Q486" s="2" t="s">
        <v>74</v>
      </c>
      <c r="R486" s="2" t="s">
        <v>74</v>
      </c>
      <c r="S486" s="2" t="s">
        <v>74</v>
      </c>
      <c r="T486" s="2" t="s">
        <v>74</v>
      </c>
      <c r="U486" s="2" t="s">
        <v>74</v>
      </c>
      <c r="V486" s="5" t="s">
        <v>3146</v>
      </c>
      <c r="W486" s="2" t="s">
        <v>74</v>
      </c>
      <c r="X486" s="2" t="s">
        <v>74</v>
      </c>
      <c r="Y486" s="2" t="s">
        <v>74</v>
      </c>
      <c r="Z486" s="2" t="s">
        <v>74</v>
      </c>
      <c r="AA486" s="2" t="s">
        <v>3147</v>
      </c>
      <c r="AB486" s="2" t="s">
        <v>3148</v>
      </c>
      <c r="AC486" s="2" t="s">
        <v>74</v>
      </c>
      <c r="AD486" s="2" t="s">
        <v>74</v>
      </c>
      <c r="AE486" s="2" t="s">
        <v>74</v>
      </c>
      <c r="AF486" s="2" t="s">
        <v>74</v>
      </c>
      <c r="AG486" s="2" t="s">
        <v>74</v>
      </c>
      <c r="AH486" s="2" t="s">
        <v>74</v>
      </c>
      <c r="AI486" s="2" t="s">
        <v>74</v>
      </c>
      <c r="AJ486" s="2" t="s">
        <v>74</v>
      </c>
      <c r="AK486" s="2" t="s">
        <v>74</v>
      </c>
      <c r="AL486" s="2" t="s">
        <v>74</v>
      </c>
      <c r="AM486" s="2" t="s">
        <v>74</v>
      </c>
      <c r="AN486" s="2" t="s">
        <v>74</v>
      </c>
      <c r="AO486" s="2" t="s">
        <v>460</v>
      </c>
      <c r="AP486" s="2" t="s">
        <v>461</v>
      </c>
      <c r="AQ486" s="2" t="s">
        <v>74</v>
      </c>
      <c r="AR486" s="2" t="s">
        <v>74</v>
      </c>
      <c r="AS486" s="2" t="s">
        <v>74</v>
      </c>
      <c r="AT486" s="2" t="s">
        <v>123</v>
      </c>
      <c r="AU486" s="2">
        <v>2020</v>
      </c>
      <c r="AV486" s="2">
        <v>310</v>
      </c>
      <c r="AW486" s="2">
        <v>3</v>
      </c>
      <c r="AX486" s="2" t="s">
        <v>74</v>
      </c>
      <c r="AY486" s="2" t="s">
        <v>74</v>
      </c>
      <c r="AZ486" s="2" t="s">
        <v>74</v>
      </c>
      <c r="BA486" s="2" t="s">
        <v>74</v>
      </c>
      <c r="BB486" s="2">
        <v>246</v>
      </c>
      <c r="BC486" s="2">
        <v>253</v>
      </c>
      <c r="BD486" s="2" t="s">
        <v>74</v>
      </c>
      <c r="BE486" s="2" t="s">
        <v>3149</v>
      </c>
      <c r="BF486" s="2" t="str">
        <f>HYPERLINK("http://dx.doi.org/10.1111/jzo.12738","http://dx.doi.org/10.1111/jzo.12738")</f>
        <v>http://dx.doi.org/10.1111/jzo.12738</v>
      </c>
      <c r="BG486" s="2" t="s">
        <v>74</v>
      </c>
      <c r="BH486" s="2" t="s">
        <v>74</v>
      </c>
      <c r="BI486" s="2" t="s">
        <v>74</v>
      </c>
      <c r="BJ486" s="2" t="s">
        <v>74</v>
      </c>
      <c r="BK486" s="2" t="s">
        <v>74</v>
      </c>
      <c r="BL486" s="2" t="s">
        <v>74</v>
      </c>
      <c r="BM486" s="2" t="s">
        <v>74</v>
      </c>
      <c r="BN486" s="2" t="s">
        <v>74</v>
      </c>
      <c r="BO486" s="2" t="s">
        <v>74</v>
      </c>
      <c r="BP486" s="2" t="s">
        <v>74</v>
      </c>
      <c r="BQ486" s="2" t="s">
        <v>74</v>
      </c>
      <c r="BR486" s="2" t="s">
        <v>74</v>
      </c>
      <c r="BS486" s="2" t="s">
        <v>3150</v>
      </c>
      <c r="BT486" s="2" t="str">
        <f>HYPERLINK("https%3A%2F%2Fwww.webofscience.com%2Fwos%2Fwoscc%2Ffull-record%2FWOS:000517127100008","View Full Record in Web of Science")</f>
        <v>View Full Record in Web of Science</v>
      </c>
    </row>
    <row r="487" spans="1:72" s="2" customFormat="1" x14ac:dyDescent="0.4">
      <c r="A487" s="2" t="s">
        <v>72</v>
      </c>
      <c r="B487" s="2" t="s">
        <v>6365</v>
      </c>
      <c r="C487" s="2" t="s">
        <v>74</v>
      </c>
      <c r="D487" s="2" t="s">
        <v>74</v>
      </c>
      <c r="E487" s="2" t="s">
        <v>74</v>
      </c>
      <c r="F487" s="2" t="s">
        <v>6366</v>
      </c>
      <c r="G487" s="2" t="s">
        <v>74</v>
      </c>
      <c r="H487" s="2" t="s">
        <v>74</v>
      </c>
      <c r="I487" s="2" t="s">
        <v>6367</v>
      </c>
      <c r="J487" s="2" t="s">
        <v>140</v>
      </c>
      <c r="K487" s="2" t="s">
        <v>74</v>
      </c>
      <c r="L487" s="2" t="s">
        <v>74</v>
      </c>
      <c r="M487" s="2" t="s">
        <v>74</v>
      </c>
      <c r="N487" s="2" t="s">
        <v>74</v>
      </c>
      <c r="O487" s="2" t="s">
        <v>74</v>
      </c>
      <c r="P487" s="2" t="s">
        <v>74</v>
      </c>
      <c r="Q487" s="2" t="s">
        <v>74</v>
      </c>
      <c r="R487" s="2" t="s">
        <v>74</v>
      </c>
      <c r="S487" s="2" t="s">
        <v>74</v>
      </c>
      <c r="T487" s="2" t="s">
        <v>74</v>
      </c>
      <c r="U487" s="2" t="s">
        <v>74</v>
      </c>
      <c r="V487" s="5" t="s">
        <v>6368</v>
      </c>
      <c r="W487" s="2" t="s">
        <v>74</v>
      </c>
      <c r="X487" s="2" t="s">
        <v>74</v>
      </c>
      <c r="Y487" s="2" t="s">
        <v>74</v>
      </c>
      <c r="Z487" s="2" t="s">
        <v>74</v>
      </c>
      <c r="AA487" s="2" t="s">
        <v>74</v>
      </c>
      <c r="AB487" s="2" t="s">
        <v>74</v>
      </c>
      <c r="AC487" s="2" t="s">
        <v>74</v>
      </c>
      <c r="AD487" s="2" t="s">
        <v>74</v>
      </c>
      <c r="AE487" s="2" t="s">
        <v>74</v>
      </c>
      <c r="AF487" s="2" t="s">
        <v>74</v>
      </c>
      <c r="AG487" s="2" t="s">
        <v>74</v>
      </c>
      <c r="AH487" s="2" t="s">
        <v>74</v>
      </c>
      <c r="AI487" s="2" t="s">
        <v>74</v>
      </c>
      <c r="AJ487" s="2" t="s">
        <v>74</v>
      </c>
      <c r="AK487" s="2" t="s">
        <v>74</v>
      </c>
      <c r="AL487" s="2" t="s">
        <v>74</v>
      </c>
      <c r="AM487" s="2" t="s">
        <v>74</v>
      </c>
      <c r="AN487" s="2" t="s">
        <v>74</v>
      </c>
      <c r="AO487" s="2" t="s">
        <v>143</v>
      </c>
      <c r="AP487" s="2" t="s">
        <v>74</v>
      </c>
      <c r="AQ487" s="2" t="s">
        <v>74</v>
      </c>
      <c r="AR487" s="2" t="s">
        <v>74</v>
      </c>
      <c r="AS487" s="2" t="s">
        <v>74</v>
      </c>
      <c r="AT487" s="2" t="s">
        <v>175</v>
      </c>
      <c r="AU487" s="2">
        <v>2008</v>
      </c>
      <c r="AV487" s="2">
        <v>76</v>
      </c>
      <c r="AW487" s="2" t="s">
        <v>74</v>
      </c>
      <c r="AX487" s="2">
        <v>4</v>
      </c>
      <c r="AY487" s="2" t="s">
        <v>74</v>
      </c>
      <c r="AZ487" s="2" t="s">
        <v>74</v>
      </c>
      <c r="BA487" s="2" t="s">
        <v>74</v>
      </c>
      <c r="BB487" s="2">
        <v>1403</v>
      </c>
      <c r="BC487" s="2">
        <v>1410</v>
      </c>
      <c r="BD487" s="2" t="s">
        <v>74</v>
      </c>
      <c r="BE487" s="2" t="s">
        <v>6369</v>
      </c>
      <c r="BF487" s="2" t="str">
        <f>HYPERLINK("http://dx.doi.org/10.1016/j.anbehav.2008.06.021","http://dx.doi.org/10.1016/j.anbehav.2008.06.021")</f>
        <v>http://dx.doi.org/10.1016/j.anbehav.2008.06.021</v>
      </c>
      <c r="BG487" s="2" t="s">
        <v>74</v>
      </c>
      <c r="BH487" s="2" t="s">
        <v>74</v>
      </c>
      <c r="BI487" s="2" t="s">
        <v>74</v>
      </c>
      <c r="BJ487" s="2" t="s">
        <v>74</v>
      </c>
      <c r="BK487" s="2" t="s">
        <v>74</v>
      </c>
      <c r="BL487" s="2" t="s">
        <v>74</v>
      </c>
      <c r="BM487" s="2" t="s">
        <v>74</v>
      </c>
      <c r="BN487" s="2" t="s">
        <v>74</v>
      </c>
      <c r="BO487" s="2" t="s">
        <v>74</v>
      </c>
      <c r="BP487" s="2" t="s">
        <v>74</v>
      </c>
      <c r="BQ487" s="2" t="s">
        <v>74</v>
      </c>
      <c r="BR487" s="2" t="s">
        <v>74</v>
      </c>
      <c r="BS487" s="2" t="s">
        <v>6370</v>
      </c>
      <c r="BT487" s="2" t="str">
        <f>HYPERLINK("https%3A%2F%2Fwww.webofscience.com%2Fwos%2Fwoscc%2Ffull-record%2FWOS:000260118000031","View Full Record in Web of Science")</f>
        <v>View Full Record in Web of Science</v>
      </c>
    </row>
    <row r="488" spans="1:72" s="2" customFormat="1" x14ac:dyDescent="0.4">
      <c r="A488" s="2" t="s">
        <v>72</v>
      </c>
      <c r="B488" s="2" t="s">
        <v>2674</v>
      </c>
      <c r="C488" s="2" t="s">
        <v>74</v>
      </c>
      <c r="D488" s="2" t="s">
        <v>74</v>
      </c>
      <c r="E488" s="2" t="s">
        <v>74</v>
      </c>
      <c r="F488" s="2" t="s">
        <v>2675</v>
      </c>
      <c r="G488" s="2" t="s">
        <v>74</v>
      </c>
      <c r="H488" s="2" t="s">
        <v>74</v>
      </c>
      <c r="I488" s="2" t="s">
        <v>2676</v>
      </c>
      <c r="J488" s="2" t="s">
        <v>2677</v>
      </c>
      <c r="K488" s="2" t="s">
        <v>74</v>
      </c>
      <c r="L488" s="2" t="s">
        <v>74</v>
      </c>
      <c r="M488" s="2" t="s">
        <v>74</v>
      </c>
      <c r="N488" s="2" t="s">
        <v>74</v>
      </c>
      <c r="O488" s="2" t="s">
        <v>74</v>
      </c>
      <c r="P488" s="2" t="s">
        <v>74</v>
      </c>
      <c r="Q488" s="2" t="s">
        <v>74</v>
      </c>
      <c r="R488" s="2" t="s">
        <v>74</v>
      </c>
      <c r="S488" s="2" t="s">
        <v>74</v>
      </c>
      <c r="T488" s="2" t="s">
        <v>74</v>
      </c>
      <c r="U488" s="2" t="s">
        <v>74</v>
      </c>
      <c r="V488" s="5" t="s">
        <v>2678</v>
      </c>
      <c r="W488" s="2" t="s">
        <v>74</v>
      </c>
      <c r="X488" s="2" t="s">
        <v>74</v>
      </c>
      <c r="Y488" s="2" t="s">
        <v>74</v>
      </c>
      <c r="Z488" s="2" t="s">
        <v>74</v>
      </c>
      <c r="AA488" s="2" t="s">
        <v>2679</v>
      </c>
      <c r="AB488" s="2" t="s">
        <v>2680</v>
      </c>
      <c r="AC488" s="2" t="s">
        <v>74</v>
      </c>
      <c r="AD488" s="2" t="s">
        <v>74</v>
      </c>
      <c r="AE488" s="2" t="s">
        <v>74</v>
      </c>
      <c r="AF488" s="2" t="s">
        <v>74</v>
      </c>
      <c r="AG488" s="2" t="s">
        <v>74</v>
      </c>
      <c r="AH488" s="2" t="s">
        <v>74</v>
      </c>
      <c r="AI488" s="2" t="s">
        <v>74</v>
      </c>
      <c r="AJ488" s="2" t="s">
        <v>74</v>
      </c>
      <c r="AK488" s="2" t="s">
        <v>74</v>
      </c>
      <c r="AL488" s="2" t="s">
        <v>74</v>
      </c>
      <c r="AM488" s="2" t="s">
        <v>74</v>
      </c>
      <c r="AN488" s="2" t="s">
        <v>74</v>
      </c>
      <c r="AO488" s="2" t="s">
        <v>2681</v>
      </c>
      <c r="AP488" s="2" t="s">
        <v>2682</v>
      </c>
      <c r="AQ488" s="2" t="s">
        <v>74</v>
      </c>
      <c r="AR488" s="2" t="s">
        <v>74</v>
      </c>
      <c r="AS488" s="2" t="s">
        <v>74</v>
      </c>
      <c r="AT488" s="2" t="s">
        <v>74</v>
      </c>
      <c r="AU488" s="2">
        <v>2013</v>
      </c>
      <c r="AV488" s="2">
        <v>6</v>
      </c>
      <c r="AW488" s="2">
        <v>2</v>
      </c>
      <c r="AX488" s="2" t="s">
        <v>74</v>
      </c>
      <c r="AY488" s="2" t="s">
        <v>74</v>
      </c>
      <c r="AZ488" s="2" t="s">
        <v>74</v>
      </c>
      <c r="BA488" s="2" t="s">
        <v>74</v>
      </c>
      <c r="BB488" s="2">
        <v>147</v>
      </c>
      <c r="BC488" s="2">
        <v>156</v>
      </c>
      <c r="BD488" s="2" t="s">
        <v>74</v>
      </c>
      <c r="BE488" s="2" t="s">
        <v>2683</v>
      </c>
      <c r="BF488" s="2" t="str">
        <f>HYPERLINK("http://dx.doi.org/10.3184/175815513X13617279883973","http://dx.doi.org/10.3184/175815513X13617279883973")</f>
        <v>http://dx.doi.org/10.3184/175815513X13617279883973</v>
      </c>
      <c r="BG488" s="2" t="s">
        <v>74</v>
      </c>
      <c r="BH488" s="2" t="s">
        <v>74</v>
      </c>
      <c r="BI488" s="2" t="s">
        <v>74</v>
      </c>
      <c r="BJ488" s="2" t="s">
        <v>74</v>
      </c>
      <c r="BK488" s="2" t="s">
        <v>74</v>
      </c>
      <c r="BL488" s="2" t="s">
        <v>74</v>
      </c>
      <c r="BM488" s="2" t="s">
        <v>74</v>
      </c>
      <c r="BN488" s="2" t="s">
        <v>74</v>
      </c>
      <c r="BO488" s="2" t="s">
        <v>74</v>
      </c>
      <c r="BP488" s="2" t="s">
        <v>74</v>
      </c>
      <c r="BQ488" s="2" t="s">
        <v>74</v>
      </c>
      <c r="BR488" s="2" t="s">
        <v>74</v>
      </c>
      <c r="BS488" s="2" t="s">
        <v>2684</v>
      </c>
      <c r="BT488" s="2" t="str">
        <f>HYPERLINK("https%3A%2F%2Fwww.webofscience.com%2Fwos%2Fwoscc%2Ffull-record%2FWOS:000318967100007","View Full Record in Web of Science")</f>
        <v>View Full Record in Web of Science</v>
      </c>
    </row>
    <row r="489" spans="1:72" s="2" customFormat="1" x14ac:dyDescent="0.4">
      <c r="A489" s="2" t="s">
        <v>72</v>
      </c>
      <c r="B489" s="2" t="s">
        <v>3627</v>
      </c>
      <c r="C489" s="2" t="s">
        <v>74</v>
      </c>
      <c r="D489" s="2" t="s">
        <v>74</v>
      </c>
      <c r="E489" s="2" t="s">
        <v>74</v>
      </c>
      <c r="F489" s="2" t="s">
        <v>3628</v>
      </c>
      <c r="G489" s="2" t="s">
        <v>74</v>
      </c>
      <c r="H489" s="2" t="s">
        <v>74</v>
      </c>
      <c r="I489" s="2" t="s">
        <v>3629</v>
      </c>
      <c r="J489" s="2" t="s">
        <v>2901</v>
      </c>
      <c r="K489" s="2" t="s">
        <v>74</v>
      </c>
      <c r="L489" s="2" t="s">
        <v>74</v>
      </c>
      <c r="M489" s="2" t="s">
        <v>74</v>
      </c>
      <c r="N489" s="2" t="s">
        <v>74</v>
      </c>
      <c r="O489" s="2" t="s">
        <v>74</v>
      </c>
      <c r="P489" s="2" t="s">
        <v>74</v>
      </c>
      <c r="Q489" s="2" t="s">
        <v>74</v>
      </c>
      <c r="R489" s="2" t="s">
        <v>74</v>
      </c>
      <c r="S489" s="2" t="s">
        <v>74</v>
      </c>
      <c r="T489" s="2" t="s">
        <v>74</v>
      </c>
      <c r="U489" s="2" t="s">
        <v>74</v>
      </c>
      <c r="V489" s="5" t="s">
        <v>3630</v>
      </c>
      <c r="W489" s="2" t="s">
        <v>74</v>
      </c>
      <c r="X489" s="2" t="s">
        <v>74</v>
      </c>
      <c r="Y489" s="2" t="s">
        <v>74</v>
      </c>
      <c r="Z489" s="2" t="s">
        <v>74</v>
      </c>
      <c r="AA489" s="2" t="s">
        <v>74</v>
      </c>
      <c r="AB489" s="2" t="s">
        <v>2504</v>
      </c>
      <c r="AC489" s="2" t="s">
        <v>74</v>
      </c>
      <c r="AD489" s="2" t="s">
        <v>74</v>
      </c>
      <c r="AE489" s="2" t="s">
        <v>74</v>
      </c>
      <c r="AF489" s="2" t="s">
        <v>74</v>
      </c>
      <c r="AG489" s="2" t="s">
        <v>74</v>
      </c>
      <c r="AH489" s="2" t="s">
        <v>74</v>
      </c>
      <c r="AI489" s="2" t="s">
        <v>74</v>
      </c>
      <c r="AJ489" s="2" t="s">
        <v>74</v>
      </c>
      <c r="AK489" s="2" t="s">
        <v>74</v>
      </c>
      <c r="AL489" s="2" t="s">
        <v>74</v>
      </c>
      <c r="AM489" s="2" t="s">
        <v>74</v>
      </c>
      <c r="AN489" s="2" t="s">
        <v>74</v>
      </c>
      <c r="AO489" s="2" t="s">
        <v>2903</v>
      </c>
      <c r="AP489" s="2" t="s">
        <v>2904</v>
      </c>
      <c r="AQ489" s="2" t="s">
        <v>74</v>
      </c>
      <c r="AR489" s="2" t="s">
        <v>74</v>
      </c>
      <c r="AS489" s="2" t="s">
        <v>74</v>
      </c>
      <c r="AT489" s="2" t="s">
        <v>3631</v>
      </c>
      <c r="AU489" s="2">
        <v>2013</v>
      </c>
      <c r="AV489" s="2">
        <v>25</v>
      </c>
      <c r="AW489" s="2">
        <v>2</v>
      </c>
      <c r="AX489" s="2" t="s">
        <v>74</v>
      </c>
      <c r="AY489" s="2" t="s">
        <v>74</v>
      </c>
      <c r="AZ489" s="2" t="s">
        <v>74</v>
      </c>
      <c r="BA489" s="2" t="s">
        <v>74</v>
      </c>
      <c r="BB489" s="2">
        <v>161</v>
      </c>
      <c r="BC489" s="2">
        <v>173</v>
      </c>
      <c r="BD489" s="2" t="s">
        <v>74</v>
      </c>
      <c r="BE489" s="2" t="s">
        <v>3632</v>
      </c>
      <c r="BF489" s="2" t="str">
        <f>HYPERLINK("http://dx.doi.org/10.1080/03949370.2012.742464","http://dx.doi.org/10.1080/03949370.2012.742464")</f>
        <v>http://dx.doi.org/10.1080/03949370.2012.742464</v>
      </c>
      <c r="BG489" s="2" t="s">
        <v>74</v>
      </c>
      <c r="BH489" s="2" t="s">
        <v>74</v>
      </c>
      <c r="BI489" s="2" t="s">
        <v>74</v>
      </c>
      <c r="BJ489" s="2" t="s">
        <v>74</v>
      </c>
      <c r="BK489" s="2" t="s">
        <v>74</v>
      </c>
      <c r="BL489" s="2" t="s">
        <v>74</v>
      </c>
      <c r="BM489" s="2" t="s">
        <v>74</v>
      </c>
      <c r="BN489" s="2" t="s">
        <v>74</v>
      </c>
      <c r="BO489" s="2" t="s">
        <v>74</v>
      </c>
      <c r="BP489" s="2" t="s">
        <v>74</v>
      </c>
      <c r="BQ489" s="2" t="s">
        <v>74</v>
      </c>
      <c r="BR489" s="2" t="s">
        <v>74</v>
      </c>
      <c r="BS489" s="2" t="s">
        <v>3633</v>
      </c>
      <c r="BT489" s="2" t="str">
        <f>HYPERLINK("https%3A%2F%2Fwww.webofscience.com%2Fwos%2Fwoscc%2Ffull-record%2FWOS:000317742200005","View Full Record in Web of Science")</f>
        <v>View Full Record in Web of Science</v>
      </c>
    </row>
    <row r="490" spans="1:72" s="2" customFormat="1" x14ac:dyDescent="0.4">
      <c r="A490" s="2" t="s">
        <v>72</v>
      </c>
      <c r="B490" s="2" t="s">
        <v>2500</v>
      </c>
      <c r="C490" s="2" t="s">
        <v>74</v>
      </c>
      <c r="D490" s="2" t="s">
        <v>74</v>
      </c>
      <c r="E490" s="2" t="s">
        <v>74</v>
      </c>
      <c r="F490" s="2" t="s">
        <v>2500</v>
      </c>
      <c r="G490" s="2" t="s">
        <v>74</v>
      </c>
      <c r="H490" s="2" t="s">
        <v>74</v>
      </c>
      <c r="I490" s="2" t="s">
        <v>2501</v>
      </c>
      <c r="J490" s="2" t="s">
        <v>140</v>
      </c>
      <c r="K490" s="2" t="s">
        <v>74</v>
      </c>
      <c r="L490" s="2" t="s">
        <v>74</v>
      </c>
      <c r="M490" s="2" t="s">
        <v>74</v>
      </c>
      <c r="N490" s="2" t="s">
        <v>74</v>
      </c>
      <c r="O490" s="2" t="s">
        <v>74</v>
      </c>
      <c r="P490" s="2" t="s">
        <v>74</v>
      </c>
      <c r="Q490" s="2" t="s">
        <v>74</v>
      </c>
      <c r="R490" s="2" t="s">
        <v>74</v>
      </c>
      <c r="S490" s="2" t="s">
        <v>74</v>
      </c>
      <c r="T490" s="2" t="s">
        <v>74</v>
      </c>
      <c r="U490" s="2" t="s">
        <v>74</v>
      </c>
      <c r="V490" s="5" t="s">
        <v>2502</v>
      </c>
      <c r="W490" s="2" t="s">
        <v>74</v>
      </c>
      <c r="X490" s="2" t="s">
        <v>74</v>
      </c>
      <c r="Y490" s="2" t="s">
        <v>74</v>
      </c>
      <c r="Z490" s="2" t="s">
        <v>74</v>
      </c>
      <c r="AA490" s="2" t="s">
        <v>2503</v>
      </c>
      <c r="AB490" s="2" t="s">
        <v>2504</v>
      </c>
      <c r="AC490" s="2" t="s">
        <v>74</v>
      </c>
      <c r="AD490" s="2" t="s">
        <v>74</v>
      </c>
      <c r="AE490" s="2" t="s">
        <v>74</v>
      </c>
      <c r="AF490" s="2" t="s">
        <v>74</v>
      </c>
      <c r="AG490" s="2" t="s">
        <v>74</v>
      </c>
      <c r="AH490" s="2" t="s">
        <v>74</v>
      </c>
      <c r="AI490" s="2" t="s">
        <v>74</v>
      </c>
      <c r="AJ490" s="2" t="s">
        <v>74</v>
      </c>
      <c r="AK490" s="2" t="s">
        <v>74</v>
      </c>
      <c r="AL490" s="2" t="s">
        <v>74</v>
      </c>
      <c r="AM490" s="2" t="s">
        <v>74</v>
      </c>
      <c r="AN490" s="2" t="s">
        <v>74</v>
      </c>
      <c r="AO490" s="2" t="s">
        <v>143</v>
      </c>
      <c r="AP490" s="2" t="s">
        <v>74</v>
      </c>
      <c r="AQ490" s="2" t="s">
        <v>74</v>
      </c>
      <c r="AR490" s="2" t="s">
        <v>74</v>
      </c>
      <c r="AS490" s="2" t="s">
        <v>74</v>
      </c>
      <c r="AT490" s="2" t="s">
        <v>255</v>
      </c>
      <c r="AU490" s="2">
        <v>1995</v>
      </c>
      <c r="AV490" s="2">
        <v>49</v>
      </c>
      <c r="AW490" s="2">
        <v>1</v>
      </c>
      <c r="AX490" s="2" t="s">
        <v>74</v>
      </c>
      <c r="AY490" s="2" t="s">
        <v>74</v>
      </c>
      <c r="AZ490" s="2" t="s">
        <v>74</v>
      </c>
      <c r="BA490" s="2" t="s">
        <v>74</v>
      </c>
      <c r="BB490" s="2">
        <v>53</v>
      </c>
      <c r="BC490" s="2">
        <v>62</v>
      </c>
      <c r="BD490" s="2" t="s">
        <v>74</v>
      </c>
      <c r="BE490" s="2" t="s">
        <v>2505</v>
      </c>
      <c r="BF490" s="2" t="str">
        <f>HYPERLINK("http://dx.doi.org/10.1016/0003-3472(95)80153-7","http://dx.doi.org/10.1016/0003-3472(95)80153-7")</f>
        <v>http://dx.doi.org/10.1016/0003-3472(95)80153-7</v>
      </c>
      <c r="BG490" s="2" t="s">
        <v>74</v>
      </c>
      <c r="BH490" s="2" t="s">
        <v>74</v>
      </c>
      <c r="BI490" s="2" t="s">
        <v>74</v>
      </c>
      <c r="BJ490" s="2" t="s">
        <v>74</v>
      </c>
      <c r="BK490" s="2" t="s">
        <v>74</v>
      </c>
      <c r="BL490" s="2" t="s">
        <v>74</v>
      </c>
      <c r="BM490" s="2" t="s">
        <v>74</v>
      </c>
      <c r="BN490" s="2" t="s">
        <v>74</v>
      </c>
      <c r="BO490" s="2" t="s">
        <v>74</v>
      </c>
      <c r="BP490" s="2" t="s">
        <v>74</v>
      </c>
      <c r="BQ490" s="2" t="s">
        <v>74</v>
      </c>
      <c r="BR490" s="2" t="s">
        <v>74</v>
      </c>
      <c r="BS490" s="2" t="s">
        <v>2506</v>
      </c>
      <c r="BT490" s="2" t="str">
        <f>HYPERLINK("https%3A%2F%2Fwww.webofscience.com%2Fwos%2Fwoscc%2Ffull-record%2FWOS:A1995QC44700006","View Full Record in Web of Science")</f>
        <v>View Full Record in Web of Science</v>
      </c>
    </row>
    <row r="491" spans="1:72" s="2" customFormat="1" x14ac:dyDescent="0.4">
      <c r="A491" s="2" t="s">
        <v>72</v>
      </c>
      <c r="B491" s="2" t="s">
        <v>6492</v>
      </c>
      <c r="C491" s="2" t="s">
        <v>74</v>
      </c>
      <c r="D491" s="2" t="s">
        <v>74</v>
      </c>
      <c r="E491" s="2" t="s">
        <v>74</v>
      </c>
      <c r="F491" s="2" t="s">
        <v>6492</v>
      </c>
      <c r="G491" s="2" t="s">
        <v>74</v>
      </c>
      <c r="H491" s="2" t="s">
        <v>74</v>
      </c>
      <c r="I491" s="2" t="s">
        <v>6493</v>
      </c>
      <c r="J491" s="2" t="s">
        <v>140</v>
      </c>
      <c r="K491" s="2" t="s">
        <v>74</v>
      </c>
      <c r="L491" s="2" t="s">
        <v>74</v>
      </c>
      <c r="M491" s="2" t="s">
        <v>74</v>
      </c>
      <c r="N491" s="2" t="s">
        <v>74</v>
      </c>
      <c r="O491" s="2" t="s">
        <v>74</v>
      </c>
      <c r="P491" s="2" t="s">
        <v>74</v>
      </c>
      <c r="Q491" s="2" t="s">
        <v>74</v>
      </c>
      <c r="R491" s="2" t="s">
        <v>74</v>
      </c>
      <c r="S491" s="2" t="s">
        <v>74</v>
      </c>
      <c r="T491" s="2" t="s">
        <v>74</v>
      </c>
      <c r="U491" s="2" t="s">
        <v>74</v>
      </c>
      <c r="V491" s="5" t="s">
        <v>6494</v>
      </c>
      <c r="W491" s="2" t="s">
        <v>74</v>
      </c>
      <c r="X491" s="2" t="s">
        <v>74</v>
      </c>
      <c r="Y491" s="2" t="s">
        <v>74</v>
      </c>
      <c r="Z491" s="2" t="s">
        <v>74</v>
      </c>
      <c r="AA491" s="2" t="s">
        <v>74</v>
      </c>
      <c r="AB491" s="2" t="s">
        <v>74</v>
      </c>
      <c r="AC491" s="2" t="s">
        <v>74</v>
      </c>
      <c r="AD491" s="2" t="s">
        <v>74</v>
      </c>
      <c r="AE491" s="2" t="s">
        <v>74</v>
      </c>
      <c r="AF491" s="2" t="s">
        <v>74</v>
      </c>
      <c r="AG491" s="2" t="s">
        <v>74</v>
      </c>
      <c r="AH491" s="2" t="s">
        <v>74</v>
      </c>
      <c r="AI491" s="2" t="s">
        <v>74</v>
      </c>
      <c r="AJ491" s="2" t="s">
        <v>74</v>
      </c>
      <c r="AK491" s="2" t="s">
        <v>74</v>
      </c>
      <c r="AL491" s="2" t="s">
        <v>74</v>
      </c>
      <c r="AM491" s="2" t="s">
        <v>74</v>
      </c>
      <c r="AN491" s="2" t="s">
        <v>74</v>
      </c>
      <c r="AO491" s="2" t="s">
        <v>143</v>
      </c>
      <c r="AP491" s="2" t="s">
        <v>144</v>
      </c>
      <c r="AQ491" s="2" t="s">
        <v>74</v>
      </c>
      <c r="AR491" s="2" t="s">
        <v>74</v>
      </c>
      <c r="AS491" s="2" t="s">
        <v>74</v>
      </c>
      <c r="AT491" s="2" t="s">
        <v>964</v>
      </c>
      <c r="AU491" s="2">
        <v>1986</v>
      </c>
      <c r="AV491" s="2">
        <v>34</v>
      </c>
      <c r="AW491" s="2" t="s">
        <v>74</v>
      </c>
      <c r="AX491" s="2">
        <v>1</v>
      </c>
      <c r="AY491" s="2" t="s">
        <v>74</v>
      </c>
      <c r="AZ491" s="2" t="s">
        <v>74</v>
      </c>
      <c r="BA491" s="2" t="s">
        <v>74</v>
      </c>
      <c r="BB491" s="2">
        <v>69</v>
      </c>
      <c r="BC491" s="2">
        <v>76</v>
      </c>
      <c r="BD491" s="2" t="s">
        <v>74</v>
      </c>
      <c r="BE491" s="2" t="s">
        <v>6495</v>
      </c>
      <c r="BF491" s="2" t="str">
        <f>HYPERLINK("http://dx.doi.org/10.1016/0003-3472(86)90007-2","http://dx.doi.org/10.1016/0003-3472(86)90007-2")</f>
        <v>http://dx.doi.org/10.1016/0003-3472(86)90007-2</v>
      </c>
      <c r="BG491" s="2" t="s">
        <v>74</v>
      </c>
      <c r="BH491" s="2" t="s">
        <v>74</v>
      </c>
      <c r="BI491" s="2" t="s">
        <v>74</v>
      </c>
      <c r="BJ491" s="2" t="s">
        <v>74</v>
      </c>
      <c r="BK491" s="2" t="s">
        <v>74</v>
      </c>
      <c r="BL491" s="2" t="s">
        <v>74</v>
      </c>
      <c r="BM491" s="2" t="s">
        <v>74</v>
      </c>
      <c r="BN491" s="2" t="s">
        <v>74</v>
      </c>
      <c r="BO491" s="2" t="s">
        <v>74</v>
      </c>
      <c r="BP491" s="2" t="s">
        <v>74</v>
      </c>
      <c r="BQ491" s="2" t="s">
        <v>74</v>
      </c>
      <c r="BR491" s="2" t="s">
        <v>74</v>
      </c>
      <c r="BS491" s="2" t="s">
        <v>6496</v>
      </c>
      <c r="BT491" s="2" t="str">
        <f>HYPERLINK("https%3A%2F%2Fwww.webofscience.com%2Fwos%2Fwoscc%2Ffull-record%2FWOS:A1986AZF6400007","View Full Record in Web of Science")</f>
        <v>View Full Record in Web of Science</v>
      </c>
    </row>
    <row r="492" spans="1:72" s="2" customFormat="1" x14ac:dyDescent="0.4">
      <c r="A492" s="2" t="s">
        <v>72</v>
      </c>
      <c r="B492" s="2" t="s">
        <v>3225</v>
      </c>
      <c r="C492" s="2" t="s">
        <v>74</v>
      </c>
      <c r="D492" s="2" t="s">
        <v>74</v>
      </c>
      <c r="E492" s="2" t="s">
        <v>74</v>
      </c>
      <c r="F492" s="2" t="s">
        <v>3226</v>
      </c>
      <c r="G492" s="2" t="s">
        <v>74</v>
      </c>
      <c r="H492" s="2" t="s">
        <v>74</v>
      </c>
      <c r="I492" s="2" t="s">
        <v>3227</v>
      </c>
      <c r="J492" s="2" t="s">
        <v>1112</v>
      </c>
      <c r="K492" s="2" t="s">
        <v>74</v>
      </c>
      <c r="L492" s="2" t="s">
        <v>74</v>
      </c>
      <c r="M492" s="2" t="s">
        <v>74</v>
      </c>
      <c r="N492" s="2" t="s">
        <v>74</v>
      </c>
      <c r="O492" s="2" t="s">
        <v>74</v>
      </c>
      <c r="P492" s="2" t="s">
        <v>74</v>
      </c>
      <c r="Q492" s="2" t="s">
        <v>74</v>
      </c>
      <c r="R492" s="2" t="s">
        <v>74</v>
      </c>
      <c r="S492" s="2" t="s">
        <v>74</v>
      </c>
      <c r="T492" s="2" t="s">
        <v>74</v>
      </c>
      <c r="U492" s="2" t="s">
        <v>74</v>
      </c>
      <c r="V492" s="5" t="s">
        <v>3228</v>
      </c>
      <c r="W492" s="2" t="s">
        <v>74</v>
      </c>
      <c r="X492" s="2" t="s">
        <v>74</v>
      </c>
      <c r="Y492" s="2" t="s">
        <v>74</v>
      </c>
      <c r="Z492" s="2" t="s">
        <v>74</v>
      </c>
      <c r="AA492" s="2" t="s">
        <v>74</v>
      </c>
      <c r="AB492" s="2" t="s">
        <v>3229</v>
      </c>
      <c r="AC492" s="2" t="s">
        <v>74</v>
      </c>
      <c r="AD492" s="2" t="s">
        <v>74</v>
      </c>
      <c r="AE492" s="2" t="s">
        <v>74</v>
      </c>
      <c r="AF492" s="2" t="s">
        <v>74</v>
      </c>
      <c r="AG492" s="2" t="s">
        <v>74</v>
      </c>
      <c r="AH492" s="2" t="s">
        <v>74</v>
      </c>
      <c r="AI492" s="2" t="s">
        <v>74</v>
      </c>
      <c r="AJ492" s="2" t="s">
        <v>74</v>
      </c>
      <c r="AK492" s="2" t="s">
        <v>74</v>
      </c>
      <c r="AL492" s="2" t="s">
        <v>74</v>
      </c>
      <c r="AM492" s="2" t="s">
        <v>74</v>
      </c>
      <c r="AN492" s="2" t="s">
        <v>74</v>
      </c>
      <c r="AO492" s="2" t="s">
        <v>1114</v>
      </c>
      <c r="AP492" s="2" t="s">
        <v>1115</v>
      </c>
      <c r="AQ492" s="2" t="s">
        <v>74</v>
      </c>
      <c r="AR492" s="2" t="s">
        <v>74</v>
      </c>
      <c r="AS492" s="2" t="s">
        <v>74</v>
      </c>
      <c r="AT492" s="2" t="s">
        <v>352</v>
      </c>
      <c r="AU492" s="2">
        <v>2014</v>
      </c>
      <c r="AV492" s="2">
        <v>158</v>
      </c>
      <c r="AW492" s="2" t="s">
        <v>74</v>
      </c>
      <c r="AX492" s="2" t="s">
        <v>74</v>
      </c>
      <c r="AY492" s="2" t="s">
        <v>74</v>
      </c>
      <c r="AZ492" s="2" t="s">
        <v>74</v>
      </c>
      <c r="BA492" s="2" t="s">
        <v>74</v>
      </c>
      <c r="BB492" s="2">
        <v>76</v>
      </c>
      <c r="BC492" s="2">
        <v>85</v>
      </c>
      <c r="BD492" s="2" t="s">
        <v>74</v>
      </c>
      <c r="BE492" s="2" t="s">
        <v>3230</v>
      </c>
      <c r="BF492" s="2" t="str">
        <f>HYPERLINK("http://dx.doi.org/10.1016/j.applanim.2014.06.008","http://dx.doi.org/10.1016/j.applanim.2014.06.008")</f>
        <v>http://dx.doi.org/10.1016/j.applanim.2014.06.008</v>
      </c>
      <c r="BG492" s="2" t="s">
        <v>74</v>
      </c>
      <c r="BH492" s="2" t="s">
        <v>74</v>
      </c>
      <c r="BI492" s="2" t="s">
        <v>74</v>
      </c>
      <c r="BJ492" s="2" t="s">
        <v>74</v>
      </c>
      <c r="BK492" s="2" t="s">
        <v>74</v>
      </c>
      <c r="BL492" s="2" t="s">
        <v>74</v>
      </c>
      <c r="BM492" s="2" t="s">
        <v>74</v>
      </c>
      <c r="BN492" s="2" t="s">
        <v>74</v>
      </c>
      <c r="BO492" s="2" t="s">
        <v>74</v>
      </c>
      <c r="BP492" s="2" t="s">
        <v>74</v>
      </c>
      <c r="BQ492" s="2" t="s">
        <v>74</v>
      </c>
      <c r="BR492" s="2" t="s">
        <v>74</v>
      </c>
      <c r="BS492" s="2" t="s">
        <v>3231</v>
      </c>
      <c r="BT492" s="2" t="str">
        <f>HYPERLINK("https%3A%2F%2Fwww.webofscience.com%2Fwos%2Fwoscc%2Ffull-record%2FWOS:000341480200009","View Full Record in Web of Science")</f>
        <v>View Full Record in Web of Science</v>
      </c>
    </row>
    <row r="493" spans="1:72" s="1" customFormat="1" x14ac:dyDescent="0.4">
      <c r="A493" s="2" t="s">
        <v>72</v>
      </c>
      <c r="B493" s="2" t="s">
        <v>4129</v>
      </c>
      <c r="C493" s="2" t="s">
        <v>74</v>
      </c>
      <c r="D493" s="2" t="s">
        <v>74</v>
      </c>
      <c r="E493" s="2" t="s">
        <v>74</v>
      </c>
      <c r="F493" s="2" t="s">
        <v>4130</v>
      </c>
      <c r="G493" s="2" t="s">
        <v>74</v>
      </c>
      <c r="H493" s="2" t="s">
        <v>74</v>
      </c>
      <c r="I493" s="2" t="s">
        <v>4131</v>
      </c>
      <c r="J493" s="2" t="s">
        <v>610</v>
      </c>
      <c r="K493" s="2" t="s">
        <v>74</v>
      </c>
      <c r="L493" s="2" t="s">
        <v>74</v>
      </c>
      <c r="M493" s="2" t="s">
        <v>74</v>
      </c>
      <c r="N493" s="2" t="s">
        <v>74</v>
      </c>
      <c r="O493" s="2" t="s">
        <v>74</v>
      </c>
      <c r="P493" s="2" t="s">
        <v>74</v>
      </c>
      <c r="Q493" s="2" t="s">
        <v>74</v>
      </c>
      <c r="R493" s="2" t="s">
        <v>74</v>
      </c>
      <c r="S493" s="2" t="s">
        <v>74</v>
      </c>
      <c r="T493" s="2" t="s">
        <v>74</v>
      </c>
      <c r="U493" s="2" t="s">
        <v>74</v>
      </c>
      <c r="V493" s="5" t="s">
        <v>4132</v>
      </c>
      <c r="W493" s="2" t="s">
        <v>74</v>
      </c>
      <c r="X493" s="2" t="s">
        <v>74</v>
      </c>
      <c r="Y493" s="2" t="s">
        <v>74</v>
      </c>
      <c r="Z493" s="2" t="s">
        <v>74</v>
      </c>
      <c r="AA493" s="2" t="s">
        <v>4133</v>
      </c>
      <c r="AB493" s="2" t="s">
        <v>4134</v>
      </c>
      <c r="AC493" s="2" t="s">
        <v>74</v>
      </c>
      <c r="AD493" s="2" t="s">
        <v>74</v>
      </c>
      <c r="AE493" s="2" t="s">
        <v>74</v>
      </c>
      <c r="AF493" s="2" t="s">
        <v>74</v>
      </c>
      <c r="AG493" s="2" t="s">
        <v>74</v>
      </c>
      <c r="AH493" s="2" t="s">
        <v>74</v>
      </c>
      <c r="AI493" s="2" t="s">
        <v>74</v>
      </c>
      <c r="AJ493" s="2" t="s">
        <v>74</v>
      </c>
      <c r="AK493" s="2" t="s">
        <v>74</v>
      </c>
      <c r="AL493" s="2" t="s">
        <v>74</v>
      </c>
      <c r="AM493" s="2" t="s">
        <v>74</v>
      </c>
      <c r="AN493" s="2" t="s">
        <v>74</v>
      </c>
      <c r="AO493" s="2" t="s">
        <v>614</v>
      </c>
      <c r="AP493" s="2" t="s">
        <v>615</v>
      </c>
      <c r="AQ493" s="2" t="s">
        <v>74</v>
      </c>
      <c r="AR493" s="2" t="s">
        <v>74</v>
      </c>
      <c r="AS493" s="2" t="s">
        <v>74</v>
      </c>
      <c r="AT493" s="2" t="s">
        <v>213</v>
      </c>
      <c r="AU493" s="2">
        <v>2017</v>
      </c>
      <c r="AV493" s="2">
        <v>123</v>
      </c>
      <c r="AW493" s="2">
        <v>11</v>
      </c>
      <c r="AX493" s="2" t="s">
        <v>74</v>
      </c>
      <c r="AY493" s="2" t="s">
        <v>74</v>
      </c>
      <c r="AZ493" s="2" t="s">
        <v>74</v>
      </c>
      <c r="BA493" s="2" t="s">
        <v>74</v>
      </c>
      <c r="BB493" s="2">
        <v>875</v>
      </c>
      <c r="BC493" s="2">
        <v>884</v>
      </c>
      <c r="BD493" s="2" t="s">
        <v>74</v>
      </c>
      <c r="BE493" s="2" t="s">
        <v>4135</v>
      </c>
      <c r="BF493" s="2" t="str">
        <f>HYPERLINK("http://dx.doi.org/10.1111/eth.12664","http://dx.doi.org/10.1111/eth.12664")</f>
        <v>http://dx.doi.org/10.1111/eth.12664</v>
      </c>
      <c r="BG493" s="2" t="s">
        <v>74</v>
      </c>
      <c r="BH493" s="2" t="s">
        <v>74</v>
      </c>
      <c r="BI493" s="2" t="s">
        <v>74</v>
      </c>
      <c r="BJ493" s="2" t="s">
        <v>74</v>
      </c>
      <c r="BK493" s="2" t="s">
        <v>74</v>
      </c>
      <c r="BL493" s="2" t="s">
        <v>74</v>
      </c>
      <c r="BM493" s="2" t="s">
        <v>74</v>
      </c>
      <c r="BN493" s="2" t="s">
        <v>74</v>
      </c>
      <c r="BO493" s="2" t="s">
        <v>74</v>
      </c>
      <c r="BP493" s="2" t="s">
        <v>74</v>
      </c>
      <c r="BQ493" s="2" t="s">
        <v>74</v>
      </c>
      <c r="BR493" s="2" t="s">
        <v>74</v>
      </c>
      <c r="BS493" s="2" t="s">
        <v>4136</v>
      </c>
      <c r="BT493" s="2" t="str">
        <f>HYPERLINK("https%3A%2F%2Fwww.webofscience.com%2Fwos%2Fwoscc%2Ffull-record%2FWOS:000414036700013","View Full Record in Web of Science")</f>
        <v>View Full Record in Web of Science</v>
      </c>
    </row>
    <row r="494" spans="1:72" s="2" customFormat="1" x14ac:dyDescent="0.4">
      <c r="A494" s="2" t="s">
        <v>72</v>
      </c>
      <c r="B494" s="2" t="s">
        <v>342</v>
      </c>
      <c r="C494" s="2" t="s">
        <v>74</v>
      </c>
      <c r="D494" s="2" t="s">
        <v>74</v>
      </c>
      <c r="E494" s="2" t="s">
        <v>74</v>
      </c>
      <c r="F494" s="2" t="s">
        <v>342</v>
      </c>
      <c r="G494" s="2" t="s">
        <v>74</v>
      </c>
      <c r="H494" s="2" t="s">
        <v>74</v>
      </c>
      <c r="I494" s="2" t="s">
        <v>343</v>
      </c>
      <c r="J494" s="2" t="s">
        <v>344</v>
      </c>
      <c r="K494" s="2" t="s">
        <v>74</v>
      </c>
      <c r="L494" s="2" t="s">
        <v>74</v>
      </c>
      <c r="M494" s="2" t="s">
        <v>74</v>
      </c>
      <c r="N494" s="2" t="s">
        <v>74</v>
      </c>
      <c r="O494" s="2" t="s">
        <v>74</v>
      </c>
      <c r="P494" s="2" t="s">
        <v>74</v>
      </c>
      <c r="Q494" s="2" t="s">
        <v>74</v>
      </c>
      <c r="R494" s="2" t="s">
        <v>74</v>
      </c>
      <c r="S494" s="2" t="s">
        <v>74</v>
      </c>
      <c r="T494" s="2" t="s">
        <v>74</v>
      </c>
      <c r="U494" s="2" t="s">
        <v>74</v>
      </c>
      <c r="V494" s="5" t="s">
        <v>345</v>
      </c>
      <c r="W494" s="2" t="s">
        <v>74</v>
      </c>
      <c r="X494" s="2" t="s">
        <v>74</v>
      </c>
      <c r="Y494" s="2" t="s">
        <v>74</v>
      </c>
      <c r="Z494" s="2" t="s">
        <v>74</v>
      </c>
      <c r="AA494" s="2" t="s">
        <v>74</v>
      </c>
      <c r="AB494" s="2" t="s">
        <v>74</v>
      </c>
      <c r="AC494" s="2" t="s">
        <v>74</v>
      </c>
      <c r="AD494" s="2" t="s">
        <v>74</v>
      </c>
      <c r="AE494" s="2" t="s">
        <v>74</v>
      </c>
      <c r="AF494" s="2" t="s">
        <v>74</v>
      </c>
      <c r="AG494" s="2" t="s">
        <v>74</v>
      </c>
      <c r="AH494" s="2" t="s">
        <v>74</v>
      </c>
      <c r="AI494" s="2" t="s">
        <v>74</v>
      </c>
      <c r="AJ494" s="2" t="s">
        <v>74</v>
      </c>
      <c r="AK494" s="2" t="s">
        <v>74</v>
      </c>
      <c r="AL494" s="2" t="s">
        <v>74</v>
      </c>
      <c r="AM494" s="2" t="s">
        <v>74</v>
      </c>
      <c r="AN494" s="2" t="s">
        <v>74</v>
      </c>
      <c r="AO494" s="2" t="s">
        <v>346</v>
      </c>
      <c r="AP494" s="2" t="s">
        <v>74</v>
      </c>
      <c r="AQ494" s="2" t="s">
        <v>74</v>
      </c>
      <c r="AR494" s="2" t="s">
        <v>74</v>
      </c>
      <c r="AS494" s="2" t="s">
        <v>74</v>
      </c>
      <c r="AT494" s="2" t="s">
        <v>255</v>
      </c>
      <c r="AU494" s="2">
        <v>1995</v>
      </c>
      <c r="AV494" s="2">
        <v>42</v>
      </c>
      <c r="AW494" s="2">
        <v>1</v>
      </c>
      <c r="AX494" s="2" t="s">
        <v>74</v>
      </c>
      <c r="AY494" s="2" t="s">
        <v>74</v>
      </c>
      <c r="AZ494" s="2" t="s">
        <v>74</v>
      </c>
      <c r="BA494" s="2" t="s">
        <v>74</v>
      </c>
      <c r="BB494" s="2">
        <v>25</v>
      </c>
      <c r="BC494" s="2">
        <v>35</v>
      </c>
      <c r="BD494" s="2" t="s">
        <v>74</v>
      </c>
      <c r="BE494" s="2" t="s">
        <v>347</v>
      </c>
      <c r="BF494" s="2" t="str">
        <f>HYPERLINK("http://dx.doi.org/10.1007/BF00002348","http://dx.doi.org/10.1007/BF00002348")</f>
        <v>http://dx.doi.org/10.1007/BF00002348</v>
      </c>
      <c r="BG494" s="2" t="s">
        <v>74</v>
      </c>
      <c r="BH494" s="2" t="s">
        <v>74</v>
      </c>
      <c r="BI494" s="2" t="s">
        <v>74</v>
      </c>
      <c r="BJ494" s="2" t="s">
        <v>74</v>
      </c>
      <c r="BK494" s="2" t="s">
        <v>74</v>
      </c>
      <c r="BL494" s="2" t="s">
        <v>74</v>
      </c>
      <c r="BM494" s="2" t="s">
        <v>74</v>
      </c>
      <c r="BN494" s="2" t="s">
        <v>74</v>
      </c>
      <c r="BO494" s="2" t="s">
        <v>74</v>
      </c>
      <c r="BP494" s="2" t="s">
        <v>74</v>
      </c>
      <c r="BQ494" s="2" t="s">
        <v>74</v>
      </c>
      <c r="BR494" s="2" t="s">
        <v>74</v>
      </c>
      <c r="BS494" s="2" t="s">
        <v>348</v>
      </c>
      <c r="BT494" s="2" t="str">
        <f>HYPERLINK("https%3A%2F%2Fwww.webofscience.com%2Fwos%2Fwoscc%2Ffull-record%2FWOS:A1995QG52700004","View Full Record in Web of Science")</f>
        <v>View Full Record in Web of Science</v>
      </c>
    </row>
    <row r="495" spans="1:72" s="2" customFormat="1" x14ac:dyDescent="0.4">
      <c r="A495" s="2" t="s">
        <v>72</v>
      </c>
      <c r="B495" s="2" t="s">
        <v>342</v>
      </c>
      <c r="C495" s="2" t="s">
        <v>74</v>
      </c>
      <c r="D495" s="2" t="s">
        <v>74</v>
      </c>
      <c r="E495" s="2" t="s">
        <v>74</v>
      </c>
      <c r="F495" s="2" t="s">
        <v>342</v>
      </c>
      <c r="G495" s="2" t="s">
        <v>74</v>
      </c>
      <c r="H495" s="2" t="s">
        <v>74</v>
      </c>
      <c r="I495" s="2" t="s">
        <v>1125</v>
      </c>
      <c r="J495" s="2" t="s">
        <v>1126</v>
      </c>
      <c r="K495" s="2" t="s">
        <v>74</v>
      </c>
      <c r="L495" s="2" t="s">
        <v>74</v>
      </c>
      <c r="M495" s="2" t="s">
        <v>74</v>
      </c>
      <c r="N495" s="2" t="s">
        <v>74</v>
      </c>
      <c r="O495" s="2" t="s">
        <v>74</v>
      </c>
      <c r="P495" s="2" t="s">
        <v>74</v>
      </c>
      <c r="Q495" s="2" t="s">
        <v>74</v>
      </c>
      <c r="R495" s="2" t="s">
        <v>74</v>
      </c>
      <c r="S495" s="2" t="s">
        <v>74</v>
      </c>
      <c r="T495" s="2" t="s">
        <v>74</v>
      </c>
      <c r="U495" s="2" t="s">
        <v>74</v>
      </c>
      <c r="V495" s="5" t="s">
        <v>1127</v>
      </c>
      <c r="W495" s="2" t="s">
        <v>74</v>
      </c>
      <c r="X495" s="2" t="s">
        <v>74</v>
      </c>
      <c r="Y495" s="2" t="s">
        <v>74</v>
      </c>
      <c r="Z495" s="2" t="s">
        <v>74</v>
      </c>
      <c r="AA495" s="2" t="s">
        <v>74</v>
      </c>
      <c r="AB495" s="2" t="s">
        <v>74</v>
      </c>
      <c r="AC495" s="2" t="s">
        <v>74</v>
      </c>
      <c r="AD495" s="2" t="s">
        <v>74</v>
      </c>
      <c r="AE495" s="2" t="s">
        <v>74</v>
      </c>
      <c r="AF495" s="2" t="s">
        <v>74</v>
      </c>
      <c r="AG495" s="2" t="s">
        <v>74</v>
      </c>
      <c r="AH495" s="2" t="s">
        <v>74</v>
      </c>
      <c r="AI495" s="2" t="s">
        <v>74</v>
      </c>
      <c r="AJ495" s="2" t="s">
        <v>74</v>
      </c>
      <c r="AK495" s="2" t="s">
        <v>74</v>
      </c>
      <c r="AL495" s="2" t="s">
        <v>74</v>
      </c>
      <c r="AM495" s="2" t="s">
        <v>74</v>
      </c>
      <c r="AN495" s="2" t="s">
        <v>74</v>
      </c>
      <c r="AO495" s="2" t="s">
        <v>1128</v>
      </c>
      <c r="AP495" s="2" t="s">
        <v>1129</v>
      </c>
      <c r="AQ495" s="2" t="s">
        <v>74</v>
      </c>
      <c r="AR495" s="2" t="s">
        <v>74</v>
      </c>
      <c r="AS495" s="2" t="s">
        <v>74</v>
      </c>
      <c r="AT495" s="2" t="s">
        <v>1130</v>
      </c>
      <c r="AU495" s="2">
        <v>1993</v>
      </c>
      <c r="AV495" s="2" t="s">
        <v>74</v>
      </c>
      <c r="AW495" s="2">
        <v>1</v>
      </c>
      <c r="AX495" s="2" t="s">
        <v>74</v>
      </c>
      <c r="AY495" s="2" t="s">
        <v>74</v>
      </c>
      <c r="AZ495" s="2" t="s">
        <v>74</v>
      </c>
      <c r="BA495" s="2" t="s">
        <v>74</v>
      </c>
      <c r="BB495" s="2">
        <v>67</v>
      </c>
      <c r="BC495" s="2">
        <v>74</v>
      </c>
      <c r="BD495" s="2" t="s">
        <v>74</v>
      </c>
      <c r="BE495" s="2" t="s">
        <v>1131</v>
      </c>
      <c r="BF495" s="2" t="str">
        <f>HYPERLINK("http://dx.doi.org/10.2307/1446296","http://dx.doi.org/10.2307/1446296")</f>
        <v>http://dx.doi.org/10.2307/1446296</v>
      </c>
      <c r="BG495" s="2" t="s">
        <v>74</v>
      </c>
      <c r="BH495" s="2" t="s">
        <v>74</v>
      </c>
      <c r="BI495" s="2" t="s">
        <v>74</v>
      </c>
      <c r="BJ495" s="2" t="s">
        <v>74</v>
      </c>
      <c r="BK495" s="2" t="s">
        <v>74</v>
      </c>
      <c r="BL495" s="2" t="s">
        <v>74</v>
      </c>
      <c r="BM495" s="2" t="s">
        <v>74</v>
      </c>
      <c r="BN495" s="2" t="s">
        <v>74</v>
      </c>
      <c r="BO495" s="2" t="s">
        <v>74</v>
      </c>
      <c r="BP495" s="2" t="s">
        <v>74</v>
      </c>
      <c r="BQ495" s="2" t="s">
        <v>74</v>
      </c>
      <c r="BR495" s="2" t="s">
        <v>74</v>
      </c>
      <c r="BS495" s="2" t="s">
        <v>1132</v>
      </c>
      <c r="BT495" s="2" t="str">
        <f>HYPERLINK("https%3A%2F%2Fwww.webofscience.com%2Fwos%2Fwoscc%2Ffull-record%2FWOS:A1993KN22000006","View Full Record in Web of Science")</f>
        <v>View Full Record in Web of Science</v>
      </c>
    </row>
    <row r="496" spans="1:72" s="2" customFormat="1" x14ac:dyDescent="0.4">
      <c r="A496" s="2" t="s">
        <v>72</v>
      </c>
      <c r="B496" s="2" t="s">
        <v>6025</v>
      </c>
      <c r="C496" s="2" t="s">
        <v>74</v>
      </c>
      <c r="D496" s="2" t="s">
        <v>74</v>
      </c>
      <c r="E496" s="2" t="s">
        <v>74</v>
      </c>
      <c r="F496" s="2" t="s">
        <v>6026</v>
      </c>
      <c r="G496" s="2" t="s">
        <v>74</v>
      </c>
      <c r="H496" s="2" t="s">
        <v>74</v>
      </c>
      <c r="I496" s="2" t="s">
        <v>6027</v>
      </c>
      <c r="J496" s="2" t="s">
        <v>4727</v>
      </c>
      <c r="K496" s="2" t="s">
        <v>74</v>
      </c>
      <c r="L496" s="2" t="s">
        <v>74</v>
      </c>
      <c r="M496" s="2" t="s">
        <v>74</v>
      </c>
      <c r="N496" s="2" t="s">
        <v>74</v>
      </c>
      <c r="O496" s="2" t="s">
        <v>74</v>
      </c>
      <c r="P496" s="2" t="s">
        <v>74</v>
      </c>
      <c r="Q496" s="2" t="s">
        <v>74</v>
      </c>
      <c r="R496" s="2" t="s">
        <v>74</v>
      </c>
      <c r="S496" s="2" t="s">
        <v>74</v>
      </c>
      <c r="T496" s="2" t="s">
        <v>74</v>
      </c>
      <c r="U496" s="2" t="s">
        <v>74</v>
      </c>
      <c r="V496" s="5" t="s">
        <v>6028</v>
      </c>
      <c r="W496" s="2" t="s">
        <v>74</v>
      </c>
      <c r="X496" s="2" t="s">
        <v>74</v>
      </c>
      <c r="Y496" s="2" t="s">
        <v>74</v>
      </c>
      <c r="Z496" s="2" t="s">
        <v>74</v>
      </c>
      <c r="AA496" s="2" t="s">
        <v>74</v>
      </c>
      <c r="AB496" s="2" t="s">
        <v>6029</v>
      </c>
      <c r="AC496" s="2" t="s">
        <v>74</v>
      </c>
      <c r="AD496" s="2" t="s">
        <v>74</v>
      </c>
      <c r="AE496" s="2" t="s">
        <v>74</v>
      </c>
      <c r="AF496" s="2" t="s">
        <v>74</v>
      </c>
      <c r="AG496" s="2" t="s">
        <v>74</v>
      </c>
      <c r="AH496" s="2" t="s">
        <v>74</v>
      </c>
      <c r="AI496" s="2" t="s">
        <v>74</v>
      </c>
      <c r="AJ496" s="2" t="s">
        <v>74</v>
      </c>
      <c r="AK496" s="2" t="s">
        <v>74</v>
      </c>
      <c r="AL496" s="2" t="s">
        <v>74</v>
      </c>
      <c r="AM496" s="2" t="s">
        <v>74</v>
      </c>
      <c r="AN496" s="2" t="s">
        <v>74</v>
      </c>
      <c r="AO496" s="2" t="s">
        <v>74</v>
      </c>
      <c r="AP496" s="2" t="s">
        <v>4730</v>
      </c>
      <c r="AQ496" s="2" t="s">
        <v>74</v>
      </c>
      <c r="AR496" s="2" t="s">
        <v>74</v>
      </c>
      <c r="AS496" s="2" t="s">
        <v>74</v>
      </c>
      <c r="AT496" s="2" t="s">
        <v>123</v>
      </c>
      <c r="AU496" s="2">
        <v>2024</v>
      </c>
      <c r="AV496" s="2">
        <v>5</v>
      </c>
      <c r="AW496" s="2">
        <v>1</v>
      </c>
      <c r="AX496" s="2" t="s">
        <v>74</v>
      </c>
      <c r="AY496" s="2" t="s">
        <v>74</v>
      </c>
      <c r="AZ496" s="2" t="s">
        <v>74</v>
      </c>
      <c r="BA496" s="2" t="s">
        <v>74</v>
      </c>
      <c r="BB496" s="2">
        <v>173</v>
      </c>
      <c r="BC496" s="2">
        <v>189</v>
      </c>
      <c r="BD496" s="2" t="s">
        <v>74</v>
      </c>
      <c r="BE496" s="2" t="s">
        <v>6030</v>
      </c>
      <c r="BF496" s="2" t="str">
        <f>HYPERLINK("http://dx.doi.org/10.3390/birds5010012","http://dx.doi.org/10.3390/birds5010012")</f>
        <v>http://dx.doi.org/10.3390/birds5010012</v>
      </c>
      <c r="BG496" s="2" t="s">
        <v>74</v>
      </c>
      <c r="BH496" s="2" t="s">
        <v>74</v>
      </c>
      <c r="BI496" s="2" t="s">
        <v>74</v>
      </c>
      <c r="BJ496" s="2" t="s">
        <v>74</v>
      </c>
      <c r="BK496" s="2" t="s">
        <v>74</v>
      </c>
      <c r="BL496" s="2" t="s">
        <v>74</v>
      </c>
      <c r="BM496" s="2" t="s">
        <v>74</v>
      </c>
      <c r="BN496" s="2" t="s">
        <v>74</v>
      </c>
      <c r="BO496" s="2" t="s">
        <v>74</v>
      </c>
      <c r="BP496" s="2" t="s">
        <v>74</v>
      </c>
      <c r="BQ496" s="2" t="s">
        <v>74</v>
      </c>
      <c r="BR496" s="2" t="s">
        <v>74</v>
      </c>
      <c r="BS496" s="2" t="s">
        <v>6031</v>
      </c>
      <c r="BT496" s="2" t="str">
        <f>HYPERLINK("https%3A%2F%2Fwww.webofscience.com%2Fwos%2Fwoscc%2Ffull-record%2FWOS:001191523100001","View Full Record in Web of Science")</f>
        <v>View Full Record in Web of Science</v>
      </c>
    </row>
    <row r="497" spans="1:72" s="2" customFormat="1" x14ac:dyDescent="0.4">
      <c r="A497" s="2" t="s">
        <v>72</v>
      </c>
      <c r="B497" s="2" t="s">
        <v>6099</v>
      </c>
      <c r="C497" s="2" t="s">
        <v>74</v>
      </c>
      <c r="D497" s="2" t="s">
        <v>74</v>
      </c>
      <c r="E497" s="2" t="s">
        <v>74</v>
      </c>
      <c r="F497" s="2" t="s">
        <v>6100</v>
      </c>
      <c r="G497" s="2" t="s">
        <v>74</v>
      </c>
      <c r="H497" s="2" t="s">
        <v>74</v>
      </c>
      <c r="I497" s="2" t="s">
        <v>6101</v>
      </c>
      <c r="J497" s="2" t="s">
        <v>333</v>
      </c>
      <c r="K497" s="2" t="s">
        <v>74</v>
      </c>
      <c r="L497" s="2" t="s">
        <v>74</v>
      </c>
      <c r="M497" s="2" t="s">
        <v>74</v>
      </c>
      <c r="N497" s="2" t="s">
        <v>74</v>
      </c>
      <c r="O497" s="2" t="s">
        <v>74</v>
      </c>
      <c r="P497" s="2" t="s">
        <v>74</v>
      </c>
      <c r="Q497" s="2" t="s">
        <v>74</v>
      </c>
      <c r="R497" s="2" t="s">
        <v>74</v>
      </c>
      <c r="S497" s="2" t="s">
        <v>74</v>
      </c>
      <c r="T497" s="2" t="s">
        <v>74</v>
      </c>
      <c r="U497" s="2" t="s">
        <v>74</v>
      </c>
      <c r="V497" s="5" t="s">
        <v>6102</v>
      </c>
      <c r="W497" s="2" t="s">
        <v>74</v>
      </c>
      <c r="X497" s="2" t="s">
        <v>74</v>
      </c>
      <c r="Y497" s="2" t="s">
        <v>74</v>
      </c>
      <c r="Z497" s="2" t="s">
        <v>74</v>
      </c>
      <c r="AA497" s="2" t="s">
        <v>6103</v>
      </c>
      <c r="AB497" s="2" t="s">
        <v>1012</v>
      </c>
      <c r="AC497" s="2" t="s">
        <v>74</v>
      </c>
      <c r="AD497" s="2" t="s">
        <v>74</v>
      </c>
      <c r="AE497" s="2" t="s">
        <v>74</v>
      </c>
      <c r="AF497" s="2" t="s">
        <v>74</v>
      </c>
      <c r="AG497" s="2" t="s">
        <v>74</v>
      </c>
      <c r="AH497" s="2" t="s">
        <v>74</v>
      </c>
      <c r="AI497" s="2" t="s">
        <v>74</v>
      </c>
      <c r="AJ497" s="2" t="s">
        <v>74</v>
      </c>
      <c r="AK497" s="2" t="s">
        <v>74</v>
      </c>
      <c r="AL497" s="2" t="s">
        <v>74</v>
      </c>
      <c r="AM497" s="2" t="s">
        <v>74</v>
      </c>
      <c r="AN497" s="2" t="s">
        <v>74</v>
      </c>
      <c r="AO497" s="2" t="s">
        <v>337</v>
      </c>
      <c r="AP497" s="2" t="s">
        <v>338</v>
      </c>
      <c r="AQ497" s="2" t="s">
        <v>74</v>
      </c>
      <c r="AR497" s="2" t="s">
        <v>74</v>
      </c>
      <c r="AS497" s="2" t="s">
        <v>74</v>
      </c>
      <c r="AT497" s="2" t="s">
        <v>808</v>
      </c>
      <c r="AU497" s="2">
        <v>2014</v>
      </c>
      <c r="AV497" s="2">
        <v>25</v>
      </c>
      <c r="AW497" s="2">
        <v>3</v>
      </c>
      <c r="AX497" s="2" t="s">
        <v>74</v>
      </c>
      <c r="AY497" s="2" t="s">
        <v>74</v>
      </c>
      <c r="AZ497" s="2" t="s">
        <v>74</v>
      </c>
      <c r="BA497" s="2" t="s">
        <v>74</v>
      </c>
      <c r="BB497" s="2" t="s">
        <v>74</v>
      </c>
      <c r="BC497" s="2" t="s">
        <v>74</v>
      </c>
      <c r="BD497" s="2" t="s">
        <v>74</v>
      </c>
      <c r="BE497" s="2" t="s">
        <v>6104</v>
      </c>
      <c r="BF497" s="2" t="str">
        <f>HYPERLINK("http://dx.doi.org/10.1093/beheco/aru034","http://dx.doi.org/10.1093/beheco/aru034")</f>
        <v>http://dx.doi.org/10.1093/beheco/aru034</v>
      </c>
      <c r="BG497" s="2" t="s">
        <v>74</v>
      </c>
      <c r="BH497" s="2" t="s">
        <v>74</v>
      </c>
      <c r="BI497" s="2" t="s">
        <v>74</v>
      </c>
      <c r="BJ497" s="2" t="s">
        <v>74</v>
      </c>
      <c r="BK497" s="2" t="s">
        <v>74</v>
      </c>
      <c r="BL497" s="2" t="s">
        <v>74</v>
      </c>
      <c r="BM497" s="2" t="s">
        <v>74</v>
      </c>
      <c r="BN497" s="2" t="s">
        <v>74</v>
      </c>
      <c r="BO497" s="2" t="s">
        <v>74</v>
      </c>
      <c r="BP497" s="2" t="s">
        <v>74</v>
      </c>
      <c r="BQ497" s="2" t="s">
        <v>74</v>
      </c>
      <c r="BR497" s="2" t="s">
        <v>74</v>
      </c>
      <c r="BS497" s="2" t="s">
        <v>6105</v>
      </c>
      <c r="BT497" s="2" t="str">
        <f>HYPERLINK("https%3A%2F%2Fwww.webofscience.com%2Fwos%2Fwoscc%2Ffull-record%2FWOS:000336486100029","View Full Record in Web of Science")</f>
        <v>View Full Record in Web of Science</v>
      </c>
    </row>
    <row r="498" spans="1:72" s="7" customFormat="1" x14ac:dyDescent="0.4">
      <c r="A498" s="2" t="s">
        <v>72</v>
      </c>
      <c r="B498" s="2" t="s">
        <v>3023</v>
      </c>
      <c r="C498" s="2" t="s">
        <v>74</v>
      </c>
      <c r="D498" s="2" t="s">
        <v>74</v>
      </c>
      <c r="E498" s="2" t="s">
        <v>74</v>
      </c>
      <c r="F498" s="2" t="s">
        <v>3024</v>
      </c>
      <c r="G498" s="2" t="s">
        <v>74</v>
      </c>
      <c r="H498" s="2" t="s">
        <v>74</v>
      </c>
      <c r="I498" s="2" t="s">
        <v>3025</v>
      </c>
      <c r="J498" s="2" t="s">
        <v>3026</v>
      </c>
      <c r="K498" s="2" t="s">
        <v>74</v>
      </c>
      <c r="L498" s="2" t="s">
        <v>74</v>
      </c>
      <c r="M498" s="2" t="s">
        <v>74</v>
      </c>
      <c r="N498" s="2" t="s">
        <v>74</v>
      </c>
      <c r="O498" s="2" t="s">
        <v>74</v>
      </c>
      <c r="P498" s="2" t="s">
        <v>74</v>
      </c>
      <c r="Q498" s="2" t="s">
        <v>74</v>
      </c>
      <c r="R498" s="2" t="s">
        <v>74</v>
      </c>
      <c r="S498" s="2" t="s">
        <v>74</v>
      </c>
      <c r="T498" s="2" t="s">
        <v>74</v>
      </c>
      <c r="U498" s="2" t="s">
        <v>74</v>
      </c>
      <c r="V498" s="5" t="s">
        <v>3027</v>
      </c>
      <c r="W498" s="2" t="s">
        <v>74</v>
      </c>
      <c r="X498" s="2" t="s">
        <v>74</v>
      </c>
      <c r="Y498" s="2" t="s">
        <v>74</v>
      </c>
      <c r="Z498" s="2" t="s">
        <v>74</v>
      </c>
      <c r="AA498" s="2" t="s">
        <v>3028</v>
      </c>
      <c r="AB498" s="2" t="s">
        <v>3029</v>
      </c>
      <c r="AC498" s="2" t="s">
        <v>74</v>
      </c>
      <c r="AD498" s="2" t="s">
        <v>74</v>
      </c>
      <c r="AE498" s="2" t="s">
        <v>74</v>
      </c>
      <c r="AF498" s="2" t="s">
        <v>74</v>
      </c>
      <c r="AG498" s="2" t="s">
        <v>74</v>
      </c>
      <c r="AH498" s="2" t="s">
        <v>74</v>
      </c>
      <c r="AI498" s="2" t="s">
        <v>74</v>
      </c>
      <c r="AJ498" s="2" t="s">
        <v>74</v>
      </c>
      <c r="AK498" s="2" t="s">
        <v>74</v>
      </c>
      <c r="AL498" s="2" t="s">
        <v>74</v>
      </c>
      <c r="AM498" s="2" t="s">
        <v>74</v>
      </c>
      <c r="AN498" s="2" t="s">
        <v>74</v>
      </c>
      <c r="AO498" s="2" t="s">
        <v>3030</v>
      </c>
      <c r="AP498" s="2" t="s">
        <v>74</v>
      </c>
      <c r="AQ498" s="2" t="s">
        <v>74</v>
      </c>
      <c r="AR498" s="2" t="s">
        <v>74</v>
      </c>
      <c r="AS498" s="2" t="s">
        <v>74</v>
      </c>
      <c r="AT498" s="2" t="s">
        <v>175</v>
      </c>
      <c r="AU498" s="2">
        <v>2023</v>
      </c>
      <c r="AV498" s="2">
        <v>12</v>
      </c>
      <c r="AW498" s="2">
        <v>10</v>
      </c>
      <c r="AX498" s="2" t="s">
        <v>74</v>
      </c>
      <c r="AY498" s="2" t="s">
        <v>74</v>
      </c>
      <c r="AZ498" s="2" t="s">
        <v>74</v>
      </c>
      <c r="BA498" s="2" t="s">
        <v>74</v>
      </c>
      <c r="BB498" s="2" t="s">
        <v>74</v>
      </c>
      <c r="BC498" s="2" t="s">
        <v>74</v>
      </c>
      <c r="BD498" s="2" t="s">
        <v>3031</v>
      </c>
      <c r="BE498" s="2" t="s">
        <v>3032</v>
      </c>
      <c r="BF498" s="2" t="str">
        <f>HYPERLINK("http://dx.doi.org/10.1242/bio.060114","http://dx.doi.org/10.1242/bio.060114")</f>
        <v>http://dx.doi.org/10.1242/bio.060114</v>
      </c>
      <c r="BG498" s="2" t="s">
        <v>74</v>
      </c>
      <c r="BH498" s="2" t="s">
        <v>74</v>
      </c>
      <c r="BI498" s="2" t="s">
        <v>74</v>
      </c>
      <c r="BJ498" s="2" t="s">
        <v>74</v>
      </c>
      <c r="BK498" s="2" t="s">
        <v>74</v>
      </c>
      <c r="BL498" s="2" t="s">
        <v>74</v>
      </c>
      <c r="BM498" s="2" t="s">
        <v>74</v>
      </c>
      <c r="BN498" s="2">
        <v>37756597</v>
      </c>
      <c r="BO498" s="2" t="s">
        <v>74</v>
      </c>
      <c r="BP498" s="2" t="s">
        <v>74</v>
      </c>
      <c r="BQ498" s="2" t="s">
        <v>74</v>
      </c>
      <c r="BR498" s="2" t="s">
        <v>74</v>
      </c>
      <c r="BS498" s="2" t="s">
        <v>3033</v>
      </c>
      <c r="BT498" s="2" t="str">
        <f>HYPERLINK("https%3A%2F%2Fwww.webofscience.com%2Fwos%2Fwoscc%2Ffull-record%2FWOS:001108722600005","View Full Record in Web of Science")</f>
        <v>View Full Record in Web of Science</v>
      </c>
    </row>
    <row r="499" spans="1:72" s="2" customFormat="1" x14ac:dyDescent="0.4">
      <c r="A499" s="2" t="s">
        <v>72</v>
      </c>
      <c r="B499" s="2" t="s">
        <v>3946</v>
      </c>
      <c r="C499" s="2" t="s">
        <v>74</v>
      </c>
      <c r="D499" s="2" t="s">
        <v>74</v>
      </c>
      <c r="E499" s="2" t="s">
        <v>74</v>
      </c>
      <c r="F499" s="2" t="s">
        <v>3947</v>
      </c>
      <c r="G499" s="2" t="s">
        <v>74</v>
      </c>
      <c r="H499" s="2" t="s">
        <v>74</v>
      </c>
      <c r="I499" s="2" t="s">
        <v>3948</v>
      </c>
      <c r="J499" s="2" t="s">
        <v>88</v>
      </c>
      <c r="K499" s="2" t="s">
        <v>74</v>
      </c>
      <c r="L499" s="2" t="s">
        <v>74</v>
      </c>
      <c r="M499" s="2" t="s">
        <v>74</v>
      </c>
      <c r="N499" s="2" t="s">
        <v>74</v>
      </c>
      <c r="O499" s="2" t="s">
        <v>74</v>
      </c>
      <c r="P499" s="2" t="s">
        <v>74</v>
      </c>
      <c r="Q499" s="2" t="s">
        <v>74</v>
      </c>
      <c r="R499" s="2" t="s">
        <v>74</v>
      </c>
      <c r="S499" s="2" t="s">
        <v>74</v>
      </c>
      <c r="T499" s="2" t="s">
        <v>74</v>
      </c>
      <c r="U499" s="2" t="s">
        <v>74</v>
      </c>
      <c r="V499" s="5" t="s">
        <v>3949</v>
      </c>
      <c r="W499" s="2" t="s">
        <v>74</v>
      </c>
      <c r="X499" s="2" t="s">
        <v>74</v>
      </c>
      <c r="Y499" s="2" t="s">
        <v>74</v>
      </c>
      <c r="Z499" s="2" t="s">
        <v>74</v>
      </c>
      <c r="AA499" s="2" t="s">
        <v>74</v>
      </c>
      <c r="AB499" s="2" t="s">
        <v>74</v>
      </c>
      <c r="AC499" s="2" t="s">
        <v>74</v>
      </c>
      <c r="AD499" s="2" t="s">
        <v>74</v>
      </c>
      <c r="AE499" s="2" t="s">
        <v>74</v>
      </c>
      <c r="AF499" s="2" t="s">
        <v>74</v>
      </c>
      <c r="AG499" s="2" t="s">
        <v>74</v>
      </c>
      <c r="AH499" s="2" t="s">
        <v>74</v>
      </c>
      <c r="AI499" s="2" t="s">
        <v>74</v>
      </c>
      <c r="AJ499" s="2" t="s">
        <v>74</v>
      </c>
      <c r="AK499" s="2" t="s">
        <v>74</v>
      </c>
      <c r="AL499" s="2" t="s">
        <v>74</v>
      </c>
      <c r="AM499" s="2" t="s">
        <v>74</v>
      </c>
      <c r="AN499" s="2" t="s">
        <v>74</v>
      </c>
      <c r="AO499" s="2" t="s">
        <v>91</v>
      </c>
      <c r="AP499" s="2" t="s">
        <v>92</v>
      </c>
      <c r="AQ499" s="2" t="s">
        <v>74</v>
      </c>
      <c r="AR499" s="2" t="s">
        <v>74</v>
      </c>
      <c r="AS499" s="2" t="s">
        <v>74</v>
      </c>
      <c r="AT499" s="2" t="s">
        <v>3950</v>
      </c>
      <c r="AU499" s="2">
        <v>2006</v>
      </c>
      <c r="AV499" s="2">
        <v>2</v>
      </c>
      <c r="AW499" s="2">
        <v>2</v>
      </c>
      <c r="AX499" s="2" t="s">
        <v>74</v>
      </c>
      <c r="AY499" s="2" t="s">
        <v>74</v>
      </c>
      <c r="AZ499" s="2" t="s">
        <v>74</v>
      </c>
      <c r="BA499" s="2" t="s">
        <v>74</v>
      </c>
      <c r="BB499" s="2">
        <v>177</v>
      </c>
      <c r="BC499" s="2">
        <v>180</v>
      </c>
      <c r="BD499" s="2" t="s">
        <v>74</v>
      </c>
      <c r="BE499" s="2" t="s">
        <v>3951</v>
      </c>
      <c r="BF499" s="2" t="str">
        <f>HYPERLINK("http://dx.doi.org/10.1098/rsbl.2005.0438","http://dx.doi.org/10.1098/rsbl.2005.0438")</f>
        <v>http://dx.doi.org/10.1098/rsbl.2005.0438</v>
      </c>
      <c r="BG499" s="2" t="s">
        <v>74</v>
      </c>
      <c r="BH499" s="2" t="s">
        <v>74</v>
      </c>
      <c r="BI499" s="2" t="s">
        <v>74</v>
      </c>
      <c r="BJ499" s="2" t="s">
        <v>74</v>
      </c>
      <c r="BK499" s="2" t="s">
        <v>74</v>
      </c>
      <c r="BL499" s="2" t="s">
        <v>74</v>
      </c>
      <c r="BM499" s="2" t="s">
        <v>74</v>
      </c>
      <c r="BN499" s="2">
        <v>17148357</v>
      </c>
      <c r="BO499" s="2" t="s">
        <v>74</v>
      </c>
      <c r="BP499" s="2" t="s">
        <v>74</v>
      </c>
      <c r="BQ499" s="2" t="s">
        <v>74</v>
      </c>
      <c r="BR499" s="2" t="s">
        <v>74</v>
      </c>
      <c r="BS499" s="2" t="s">
        <v>3952</v>
      </c>
      <c r="BT499" s="2" t="str">
        <f>HYPERLINK("https%3A%2F%2Fwww.webofscience.com%2Fwos%2Fwoscc%2Ffull-record%2FWOS:000241862500005","View Full Record in Web of Science")</f>
        <v>View Full Record in Web of Science</v>
      </c>
    </row>
    <row r="500" spans="1:72" s="2" customFormat="1" x14ac:dyDescent="0.4">
      <c r="A500" s="2" t="s">
        <v>72</v>
      </c>
      <c r="B500" s="2" t="s">
        <v>7849</v>
      </c>
      <c r="C500" s="2" t="s">
        <v>74</v>
      </c>
      <c r="D500" s="2" t="s">
        <v>74</v>
      </c>
      <c r="E500" s="2" t="s">
        <v>74</v>
      </c>
      <c r="F500" s="2" t="s">
        <v>7850</v>
      </c>
      <c r="G500" s="2" t="s">
        <v>74</v>
      </c>
      <c r="H500" s="2" t="s">
        <v>74</v>
      </c>
      <c r="I500" s="2" t="s">
        <v>7851</v>
      </c>
      <c r="J500" s="2" t="s">
        <v>218</v>
      </c>
      <c r="K500" s="2" t="s">
        <v>74</v>
      </c>
      <c r="L500" s="2" t="s">
        <v>74</v>
      </c>
      <c r="M500" s="2" t="s">
        <v>74</v>
      </c>
      <c r="N500" s="2" t="s">
        <v>74</v>
      </c>
      <c r="O500" s="2" t="s">
        <v>74</v>
      </c>
      <c r="P500" s="2" t="s">
        <v>74</v>
      </c>
      <c r="Q500" s="2" t="s">
        <v>74</v>
      </c>
      <c r="R500" s="2" t="s">
        <v>74</v>
      </c>
      <c r="S500" s="2" t="s">
        <v>74</v>
      </c>
      <c r="T500" s="2" t="s">
        <v>74</v>
      </c>
      <c r="U500" s="2" t="s">
        <v>74</v>
      </c>
      <c r="V500" s="5" t="s">
        <v>7852</v>
      </c>
      <c r="W500" s="2" t="s">
        <v>74</v>
      </c>
      <c r="X500" s="2" t="s">
        <v>74</v>
      </c>
      <c r="Y500" s="2" t="s">
        <v>74</v>
      </c>
      <c r="Z500" s="2" t="s">
        <v>74</v>
      </c>
      <c r="AA500" s="2" t="s">
        <v>7853</v>
      </c>
      <c r="AB500" s="2" t="s">
        <v>7854</v>
      </c>
      <c r="AC500" s="2" t="s">
        <v>74</v>
      </c>
      <c r="AD500" s="2" t="s">
        <v>74</v>
      </c>
      <c r="AE500" s="2" t="s">
        <v>74</v>
      </c>
      <c r="AF500" s="2" t="s">
        <v>74</v>
      </c>
      <c r="AG500" s="2" t="s">
        <v>74</v>
      </c>
      <c r="AH500" s="2" t="s">
        <v>74</v>
      </c>
      <c r="AI500" s="2" t="s">
        <v>74</v>
      </c>
      <c r="AJ500" s="2" t="s">
        <v>74</v>
      </c>
      <c r="AK500" s="2" t="s">
        <v>74</v>
      </c>
      <c r="AL500" s="2" t="s">
        <v>74</v>
      </c>
      <c r="AM500" s="2" t="s">
        <v>74</v>
      </c>
      <c r="AN500" s="2" t="s">
        <v>74</v>
      </c>
      <c r="AO500" s="2" t="s">
        <v>221</v>
      </c>
      <c r="AP500" s="2" t="s">
        <v>222</v>
      </c>
      <c r="AQ500" s="2" t="s">
        <v>74</v>
      </c>
      <c r="AR500" s="2" t="s">
        <v>74</v>
      </c>
      <c r="AS500" s="2" t="s">
        <v>74</v>
      </c>
      <c r="AT500" s="2" t="s">
        <v>123</v>
      </c>
      <c r="AU500" s="2">
        <v>2023</v>
      </c>
      <c r="AV500" s="2">
        <v>36</v>
      </c>
      <c r="AW500" s="2">
        <v>3</v>
      </c>
      <c r="AX500" s="2" t="s">
        <v>74</v>
      </c>
      <c r="AY500" s="2" t="s">
        <v>74</v>
      </c>
      <c r="AZ500" s="2" t="s">
        <v>74</v>
      </c>
      <c r="BA500" s="2" t="s">
        <v>74</v>
      </c>
      <c r="BB500" s="2">
        <v>563</v>
      </c>
      <c r="BC500" s="2">
        <v>578</v>
      </c>
      <c r="BD500" s="2" t="s">
        <v>74</v>
      </c>
      <c r="BE500" s="2" t="s">
        <v>7855</v>
      </c>
      <c r="BF500" s="2" t="str">
        <f>HYPERLINK("http://dx.doi.org/10.1111/jeb.14151","http://dx.doi.org/10.1111/jeb.14151")</f>
        <v>http://dx.doi.org/10.1111/jeb.14151</v>
      </c>
      <c r="BG500" s="2" t="s">
        <v>74</v>
      </c>
      <c r="BH500" s="2" t="s">
        <v>3048</v>
      </c>
      <c r="BI500" s="2" t="s">
        <v>74</v>
      </c>
      <c r="BJ500" s="2" t="s">
        <v>74</v>
      </c>
      <c r="BK500" s="2" t="s">
        <v>74</v>
      </c>
      <c r="BL500" s="2" t="s">
        <v>74</v>
      </c>
      <c r="BM500" s="2" t="s">
        <v>74</v>
      </c>
      <c r="BN500" s="2">
        <v>36702779</v>
      </c>
      <c r="BO500" s="2" t="s">
        <v>74</v>
      </c>
      <c r="BP500" s="2" t="s">
        <v>74</v>
      </c>
      <c r="BQ500" s="2" t="s">
        <v>74</v>
      </c>
      <c r="BR500" s="2" t="s">
        <v>74</v>
      </c>
      <c r="BS500" s="2" t="s">
        <v>7856</v>
      </c>
      <c r="BT500" s="2" t="str">
        <f>HYPERLINK("https%3A%2F%2Fwww.webofscience.com%2Fwos%2Fwoscc%2Ffull-record%2FWOS:000922981900001","View Full Record in Web of Science")</f>
        <v>View Full Record in Web of Science</v>
      </c>
    </row>
    <row r="501" spans="1:72" s="2" customFormat="1" x14ac:dyDescent="0.4">
      <c r="A501" s="2" t="s">
        <v>72</v>
      </c>
      <c r="B501" s="2" t="s">
        <v>7529</v>
      </c>
      <c r="C501" s="2" t="s">
        <v>74</v>
      </c>
      <c r="D501" s="2" t="s">
        <v>74</v>
      </c>
      <c r="E501" s="2" t="s">
        <v>74</v>
      </c>
      <c r="F501" s="2" t="s">
        <v>7529</v>
      </c>
      <c r="G501" s="2" t="s">
        <v>74</v>
      </c>
      <c r="H501" s="2" t="s">
        <v>74</v>
      </c>
      <c r="I501" s="2" t="s">
        <v>7530</v>
      </c>
      <c r="J501" s="2" t="s">
        <v>4145</v>
      </c>
      <c r="K501" s="2" t="s">
        <v>74</v>
      </c>
      <c r="L501" s="2" t="s">
        <v>74</v>
      </c>
      <c r="M501" s="2" t="s">
        <v>74</v>
      </c>
      <c r="N501" s="2" t="s">
        <v>74</v>
      </c>
      <c r="O501" s="2" t="s">
        <v>74</v>
      </c>
      <c r="P501" s="2" t="s">
        <v>74</v>
      </c>
      <c r="Q501" s="2" t="s">
        <v>74</v>
      </c>
      <c r="R501" s="2" t="s">
        <v>74</v>
      </c>
      <c r="S501" s="2" t="s">
        <v>74</v>
      </c>
      <c r="T501" s="2" t="s">
        <v>74</v>
      </c>
      <c r="U501" s="2" t="s">
        <v>74</v>
      </c>
      <c r="V501" s="5" t="s">
        <v>7531</v>
      </c>
      <c r="W501" s="2" t="s">
        <v>74</v>
      </c>
      <c r="X501" s="2" t="s">
        <v>74</v>
      </c>
      <c r="Y501" s="2" t="s">
        <v>74</v>
      </c>
      <c r="Z501" s="2" t="s">
        <v>74</v>
      </c>
      <c r="AA501" s="2" t="s">
        <v>7532</v>
      </c>
      <c r="AB501" s="2" t="s">
        <v>7533</v>
      </c>
      <c r="AC501" s="2" t="s">
        <v>74</v>
      </c>
      <c r="AD501" s="2" t="s">
        <v>74</v>
      </c>
      <c r="AE501" s="2" t="s">
        <v>74</v>
      </c>
      <c r="AF501" s="2" t="s">
        <v>74</v>
      </c>
      <c r="AG501" s="2" t="s">
        <v>74</v>
      </c>
      <c r="AH501" s="2" t="s">
        <v>74</v>
      </c>
      <c r="AI501" s="2" t="s">
        <v>74</v>
      </c>
      <c r="AJ501" s="2" t="s">
        <v>74</v>
      </c>
      <c r="AK501" s="2" t="s">
        <v>74</v>
      </c>
      <c r="AL501" s="2" t="s">
        <v>74</v>
      </c>
      <c r="AM501" s="2" t="s">
        <v>74</v>
      </c>
      <c r="AN501" s="2" t="s">
        <v>74</v>
      </c>
      <c r="AO501" s="2" t="s">
        <v>4147</v>
      </c>
      <c r="AP501" s="2" t="s">
        <v>7534</v>
      </c>
      <c r="AQ501" s="2" t="s">
        <v>74</v>
      </c>
      <c r="AR501" s="2" t="s">
        <v>74</v>
      </c>
      <c r="AS501" s="2" t="s">
        <v>74</v>
      </c>
      <c r="AT501" s="2" t="s">
        <v>123</v>
      </c>
      <c r="AU501" s="2">
        <v>2003</v>
      </c>
      <c r="AV501" s="2">
        <v>189</v>
      </c>
      <c r="AW501" s="2">
        <v>3</v>
      </c>
      <c r="AX501" s="2" t="s">
        <v>74</v>
      </c>
      <c r="AY501" s="2" t="s">
        <v>74</v>
      </c>
      <c r="AZ501" s="2" t="s">
        <v>74</v>
      </c>
      <c r="BA501" s="2" t="s">
        <v>74</v>
      </c>
      <c r="BB501" s="2">
        <v>213</v>
      </c>
      <c r="BC501" s="2">
        <v>220</v>
      </c>
      <c r="BD501" s="2" t="s">
        <v>74</v>
      </c>
      <c r="BE501" s="2" t="s">
        <v>7535</v>
      </c>
      <c r="BF501" s="2" t="str">
        <f>HYPERLINK("http://dx.doi.org/10.1007/s00359-003-0392-4","http://dx.doi.org/10.1007/s00359-003-0392-4")</f>
        <v>http://dx.doi.org/10.1007/s00359-003-0392-4</v>
      </c>
      <c r="BG501" s="2" t="s">
        <v>74</v>
      </c>
      <c r="BH501" s="2" t="s">
        <v>74</v>
      </c>
      <c r="BI501" s="2" t="s">
        <v>74</v>
      </c>
      <c r="BJ501" s="2" t="s">
        <v>74</v>
      </c>
      <c r="BK501" s="2" t="s">
        <v>74</v>
      </c>
      <c r="BL501" s="2" t="s">
        <v>74</v>
      </c>
      <c r="BM501" s="2" t="s">
        <v>74</v>
      </c>
      <c r="BN501" s="2">
        <v>12664097</v>
      </c>
      <c r="BO501" s="2" t="s">
        <v>74</v>
      </c>
      <c r="BP501" s="2" t="s">
        <v>74</v>
      </c>
      <c r="BQ501" s="2" t="s">
        <v>74</v>
      </c>
      <c r="BR501" s="2" t="s">
        <v>74</v>
      </c>
      <c r="BS501" s="2" t="s">
        <v>7536</v>
      </c>
      <c r="BT501" s="2" t="str">
        <f>HYPERLINK("https%3A%2F%2Fwww.webofscience.com%2Fwos%2Fwoscc%2Ffull-record%2FWOS:000182652100007","View Full Record in Web of Science")</f>
        <v>View Full Record in Web of Science</v>
      </c>
    </row>
    <row r="502" spans="1:72" s="2" customFormat="1" x14ac:dyDescent="0.4">
      <c r="A502" s="2" t="s">
        <v>72</v>
      </c>
      <c r="B502" s="2" t="s">
        <v>7018</v>
      </c>
      <c r="C502" s="2" t="s">
        <v>74</v>
      </c>
      <c r="D502" s="2" t="s">
        <v>74</v>
      </c>
      <c r="E502" s="2" t="s">
        <v>74</v>
      </c>
      <c r="F502" s="2" t="s">
        <v>7018</v>
      </c>
      <c r="G502" s="2" t="s">
        <v>74</v>
      </c>
      <c r="H502" s="2" t="s">
        <v>74</v>
      </c>
      <c r="I502" s="2" t="s">
        <v>7019</v>
      </c>
      <c r="J502" s="2" t="s">
        <v>7020</v>
      </c>
      <c r="K502" s="2" t="s">
        <v>74</v>
      </c>
      <c r="L502" s="2" t="s">
        <v>74</v>
      </c>
      <c r="M502" s="2" t="s">
        <v>74</v>
      </c>
      <c r="N502" s="2" t="s">
        <v>74</v>
      </c>
      <c r="O502" s="2" t="s">
        <v>74</v>
      </c>
      <c r="P502" s="2" t="s">
        <v>74</v>
      </c>
      <c r="Q502" s="2" t="s">
        <v>74</v>
      </c>
      <c r="R502" s="2" t="s">
        <v>74</v>
      </c>
      <c r="S502" s="2" t="s">
        <v>74</v>
      </c>
      <c r="T502" s="2" t="s">
        <v>74</v>
      </c>
      <c r="U502" s="2" t="s">
        <v>74</v>
      </c>
      <c r="V502" s="5" t="s">
        <v>7021</v>
      </c>
      <c r="W502" s="2" t="s">
        <v>74</v>
      </c>
      <c r="X502" s="2" t="s">
        <v>74</v>
      </c>
      <c r="Y502" s="2" t="s">
        <v>74</v>
      </c>
      <c r="Z502" s="2" t="s">
        <v>74</v>
      </c>
      <c r="AA502" s="2" t="s">
        <v>74</v>
      </c>
      <c r="AB502" s="2" t="s">
        <v>7022</v>
      </c>
      <c r="AC502" s="2" t="s">
        <v>74</v>
      </c>
      <c r="AD502" s="2" t="s">
        <v>74</v>
      </c>
      <c r="AE502" s="2" t="s">
        <v>74</v>
      </c>
      <c r="AF502" s="2" t="s">
        <v>74</v>
      </c>
      <c r="AG502" s="2" t="s">
        <v>74</v>
      </c>
      <c r="AH502" s="2" t="s">
        <v>74</v>
      </c>
      <c r="AI502" s="2" t="s">
        <v>74</v>
      </c>
      <c r="AJ502" s="2" t="s">
        <v>74</v>
      </c>
      <c r="AK502" s="2" t="s">
        <v>74</v>
      </c>
      <c r="AL502" s="2" t="s">
        <v>74</v>
      </c>
      <c r="AM502" s="2" t="s">
        <v>74</v>
      </c>
      <c r="AN502" s="2" t="s">
        <v>74</v>
      </c>
      <c r="AO502" s="2" t="s">
        <v>7023</v>
      </c>
      <c r="AP502" s="2" t="s">
        <v>74</v>
      </c>
      <c r="AQ502" s="2" t="s">
        <v>74</v>
      </c>
      <c r="AR502" s="2" t="s">
        <v>74</v>
      </c>
      <c r="AS502" s="2" t="s">
        <v>74</v>
      </c>
      <c r="AT502" s="2" t="s">
        <v>175</v>
      </c>
      <c r="AU502" s="2">
        <v>2000</v>
      </c>
      <c r="AV502" s="2">
        <v>73</v>
      </c>
      <c r="AW502" s="2" t="s">
        <v>74</v>
      </c>
      <c r="AX502" s="2">
        <v>8</v>
      </c>
      <c r="AY502" s="2" t="s">
        <v>74</v>
      </c>
      <c r="AZ502" s="2" t="s">
        <v>74</v>
      </c>
      <c r="BA502" s="2" t="s">
        <v>74</v>
      </c>
      <c r="BB502" s="2">
        <v>899</v>
      </c>
      <c r="BC502" s="2">
        <v>912</v>
      </c>
      <c r="BD502" s="2" t="s">
        <v>74</v>
      </c>
      <c r="BE502" s="2" t="s">
        <v>7024</v>
      </c>
      <c r="BF502" s="2" t="str">
        <f>HYPERLINK("http://dx.doi.org/10.1163/156854000504903","http://dx.doi.org/10.1163/156854000504903")</f>
        <v>http://dx.doi.org/10.1163/156854000504903</v>
      </c>
      <c r="BG502" s="2" t="s">
        <v>74</v>
      </c>
      <c r="BH502" s="2" t="s">
        <v>74</v>
      </c>
      <c r="BI502" s="2" t="s">
        <v>74</v>
      </c>
      <c r="BJ502" s="2" t="s">
        <v>74</v>
      </c>
      <c r="BK502" s="2" t="s">
        <v>74</v>
      </c>
      <c r="BL502" s="2" t="s">
        <v>74</v>
      </c>
      <c r="BM502" s="2" t="s">
        <v>74</v>
      </c>
      <c r="BN502" s="2" t="s">
        <v>74</v>
      </c>
      <c r="BO502" s="2" t="s">
        <v>74</v>
      </c>
      <c r="BP502" s="2" t="s">
        <v>74</v>
      </c>
      <c r="BQ502" s="2" t="s">
        <v>74</v>
      </c>
      <c r="BR502" s="2" t="s">
        <v>74</v>
      </c>
      <c r="BS502" s="2" t="s">
        <v>7025</v>
      </c>
      <c r="BT502" s="2" t="str">
        <f>HYPERLINK("https%3A%2F%2Fwww.webofscience.com%2Fwos%2Fwoscc%2Ffull-record%2FWOS:000165977200001","View Full Record in Web of Science")</f>
        <v>View Full Record in Web of Science</v>
      </c>
    </row>
    <row r="503" spans="1:72" s="2" customFormat="1" x14ac:dyDescent="0.4">
      <c r="A503" s="2" t="s">
        <v>72</v>
      </c>
      <c r="B503" s="2" t="s">
        <v>3350</v>
      </c>
      <c r="C503" s="2" t="s">
        <v>74</v>
      </c>
      <c r="D503" s="2" t="s">
        <v>74</v>
      </c>
      <c r="E503" s="2" t="s">
        <v>74</v>
      </c>
      <c r="F503" s="2" t="s">
        <v>3351</v>
      </c>
      <c r="G503" s="2" t="s">
        <v>74</v>
      </c>
      <c r="H503" s="2" t="s">
        <v>74</v>
      </c>
      <c r="I503" s="2" t="s">
        <v>3352</v>
      </c>
      <c r="J503" s="2" t="s">
        <v>3353</v>
      </c>
      <c r="K503" s="2" t="s">
        <v>74</v>
      </c>
      <c r="L503" s="2" t="s">
        <v>74</v>
      </c>
      <c r="M503" s="2" t="s">
        <v>74</v>
      </c>
      <c r="N503" s="2" t="s">
        <v>74</v>
      </c>
      <c r="O503" s="2" t="s">
        <v>74</v>
      </c>
      <c r="P503" s="2" t="s">
        <v>74</v>
      </c>
      <c r="Q503" s="2" t="s">
        <v>74</v>
      </c>
      <c r="R503" s="2" t="s">
        <v>74</v>
      </c>
      <c r="S503" s="2" t="s">
        <v>74</v>
      </c>
      <c r="T503" s="2" t="s">
        <v>74</v>
      </c>
      <c r="U503" s="2" t="s">
        <v>74</v>
      </c>
      <c r="V503" s="5" t="s">
        <v>3354</v>
      </c>
      <c r="W503" s="2" t="s">
        <v>74</v>
      </c>
      <c r="X503" s="2" t="s">
        <v>74</v>
      </c>
      <c r="Y503" s="2" t="s">
        <v>74</v>
      </c>
      <c r="Z503" s="2" t="s">
        <v>74</v>
      </c>
      <c r="AA503" s="2" t="s">
        <v>3355</v>
      </c>
      <c r="AB503" s="2" t="s">
        <v>3356</v>
      </c>
      <c r="AC503" s="2" t="s">
        <v>74</v>
      </c>
      <c r="AD503" s="2" t="s">
        <v>74</v>
      </c>
      <c r="AE503" s="2" t="s">
        <v>74</v>
      </c>
      <c r="AF503" s="2" t="s">
        <v>74</v>
      </c>
      <c r="AG503" s="2" t="s">
        <v>74</v>
      </c>
      <c r="AH503" s="2" t="s">
        <v>74</v>
      </c>
      <c r="AI503" s="2" t="s">
        <v>74</v>
      </c>
      <c r="AJ503" s="2" t="s">
        <v>74</v>
      </c>
      <c r="AK503" s="2" t="s">
        <v>74</v>
      </c>
      <c r="AL503" s="2" t="s">
        <v>74</v>
      </c>
      <c r="AM503" s="2" t="s">
        <v>74</v>
      </c>
      <c r="AN503" s="2" t="s">
        <v>74</v>
      </c>
      <c r="AO503" s="2" t="s">
        <v>3357</v>
      </c>
      <c r="AP503" s="2" t="s">
        <v>3358</v>
      </c>
      <c r="AQ503" s="2" t="s">
        <v>74</v>
      </c>
      <c r="AR503" s="2" t="s">
        <v>74</v>
      </c>
      <c r="AS503" s="2" t="s">
        <v>74</v>
      </c>
      <c r="AT503" s="2" t="s">
        <v>352</v>
      </c>
      <c r="AU503" s="2">
        <v>2009</v>
      </c>
      <c r="AV503" s="2">
        <v>34</v>
      </c>
      <c r="AW503" s="2">
        <v>6</v>
      </c>
      <c r="AX503" s="2" t="s">
        <v>74</v>
      </c>
      <c r="AY503" s="2" t="s">
        <v>74</v>
      </c>
      <c r="AZ503" s="2" t="s">
        <v>74</v>
      </c>
      <c r="BA503" s="2" t="s">
        <v>74</v>
      </c>
      <c r="BB503" s="2">
        <v>636</v>
      </c>
      <c r="BC503" s="2">
        <v>640</v>
      </c>
      <c r="BD503" s="2" t="s">
        <v>74</v>
      </c>
      <c r="BE503" s="2" t="s">
        <v>3359</v>
      </c>
      <c r="BF503" s="2" t="str">
        <f>HYPERLINK("http://dx.doi.org/10.1111/j.1442-9993.2009.01968.x","http://dx.doi.org/10.1111/j.1442-9993.2009.01968.x")</f>
        <v>http://dx.doi.org/10.1111/j.1442-9993.2009.01968.x</v>
      </c>
      <c r="BG503" s="2" t="s">
        <v>74</v>
      </c>
      <c r="BH503" s="2" t="s">
        <v>74</v>
      </c>
      <c r="BI503" s="2" t="s">
        <v>74</v>
      </c>
      <c r="BJ503" s="2" t="s">
        <v>74</v>
      </c>
      <c r="BK503" s="2" t="s">
        <v>74</v>
      </c>
      <c r="BL503" s="2" t="s">
        <v>74</v>
      </c>
      <c r="BM503" s="2" t="s">
        <v>74</v>
      </c>
      <c r="BN503" s="2" t="s">
        <v>74</v>
      </c>
      <c r="BO503" s="2" t="s">
        <v>74</v>
      </c>
      <c r="BP503" s="2" t="s">
        <v>74</v>
      </c>
      <c r="BQ503" s="2" t="s">
        <v>74</v>
      </c>
      <c r="BR503" s="2" t="s">
        <v>74</v>
      </c>
      <c r="BS503" s="2" t="s">
        <v>3360</v>
      </c>
      <c r="BT503" s="2" t="str">
        <f>HYPERLINK("https%3A%2F%2Fwww.webofscience.com%2Fwos%2Fwoscc%2Ffull-record%2FWOS:000269675600004","View Full Record in Web of Science")</f>
        <v>View Full Record in Web of Science</v>
      </c>
    </row>
    <row r="504" spans="1:72" s="2" customFormat="1" x14ac:dyDescent="0.4">
      <c r="A504" s="2" t="s">
        <v>72</v>
      </c>
      <c r="B504" s="2" t="s">
        <v>5724</v>
      </c>
      <c r="C504" s="2" t="s">
        <v>74</v>
      </c>
      <c r="D504" s="2" t="s">
        <v>74</v>
      </c>
      <c r="E504" s="2" t="s">
        <v>74</v>
      </c>
      <c r="F504" s="2" t="s">
        <v>5724</v>
      </c>
      <c r="G504" s="2" t="s">
        <v>74</v>
      </c>
      <c r="H504" s="2" t="s">
        <v>74</v>
      </c>
      <c r="I504" s="2" t="s">
        <v>5725</v>
      </c>
      <c r="J504" s="2" t="s">
        <v>1755</v>
      </c>
      <c r="K504" s="2" t="s">
        <v>74</v>
      </c>
      <c r="L504" s="2" t="s">
        <v>74</v>
      </c>
      <c r="M504" s="2" t="s">
        <v>74</v>
      </c>
      <c r="N504" s="2" t="s">
        <v>74</v>
      </c>
      <c r="O504" s="2" t="s">
        <v>74</v>
      </c>
      <c r="P504" s="2" t="s">
        <v>74</v>
      </c>
      <c r="Q504" s="2" t="s">
        <v>74</v>
      </c>
      <c r="R504" s="2" t="s">
        <v>74</v>
      </c>
      <c r="S504" s="2" t="s">
        <v>74</v>
      </c>
      <c r="T504" s="2" t="s">
        <v>74</v>
      </c>
      <c r="U504" s="2" t="s">
        <v>74</v>
      </c>
      <c r="V504" s="5" t="s">
        <v>5726</v>
      </c>
      <c r="W504" s="2" t="s">
        <v>74</v>
      </c>
      <c r="X504" s="2" t="s">
        <v>74</v>
      </c>
      <c r="Y504" s="2" t="s">
        <v>74</v>
      </c>
      <c r="Z504" s="2" t="s">
        <v>74</v>
      </c>
      <c r="AA504" s="2" t="s">
        <v>5727</v>
      </c>
      <c r="AB504" s="2" t="s">
        <v>74</v>
      </c>
      <c r="AC504" s="2" t="s">
        <v>74</v>
      </c>
      <c r="AD504" s="2" t="s">
        <v>74</v>
      </c>
      <c r="AE504" s="2" t="s">
        <v>74</v>
      </c>
      <c r="AF504" s="2" t="s">
        <v>74</v>
      </c>
      <c r="AG504" s="2" t="s">
        <v>74</v>
      </c>
      <c r="AH504" s="2" t="s">
        <v>74</v>
      </c>
      <c r="AI504" s="2" t="s">
        <v>74</v>
      </c>
      <c r="AJ504" s="2" t="s">
        <v>74</v>
      </c>
      <c r="AK504" s="2" t="s">
        <v>74</v>
      </c>
      <c r="AL504" s="2" t="s">
        <v>74</v>
      </c>
      <c r="AM504" s="2" t="s">
        <v>74</v>
      </c>
      <c r="AN504" s="2" t="s">
        <v>74</v>
      </c>
      <c r="AO504" s="2" t="s">
        <v>1759</v>
      </c>
      <c r="AP504" s="2" t="s">
        <v>1760</v>
      </c>
      <c r="AQ504" s="2" t="s">
        <v>74</v>
      </c>
      <c r="AR504" s="2" t="s">
        <v>74</v>
      </c>
      <c r="AS504" s="2" t="s">
        <v>74</v>
      </c>
      <c r="AT504" s="2" t="s">
        <v>352</v>
      </c>
      <c r="AU504" s="2">
        <v>1996</v>
      </c>
      <c r="AV504" s="2">
        <v>9</v>
      </c>
      <c r="AW504" s="2">
        <v>5</v>
      </c>
      <c r="AX504" s="2" t="s">
        <v>74</v>
      </c>
      <c r="AY504" s="2" t="s">
        <v>74</v>
      </c>
      <c r="AZ504" s="2" t="s">
        <v>74</v>
      </c>
      <c r="BA504" s="2" t="s">
        <v>74</v>
      </c>
      <c r="BB504" s="2">
        <v>709</v>
      </c>
      <c r="BC504" s="2">
        <v>717</v>
      </c>
      <c r="BD504" s="2" t="s">
        <v>74</v>
      </c>
      <c r="BE504" s="2" t="s">
        <v>5728</v>
      </c>
      <c r="BF504" s="2" t="str">
        <f>HYPERLINK("http://dx.doi.org/10.1007/BF02213551","http://dx.doi.org/10.1007/BF02213551")</f>
        <v>http://dx.doi.org/10.1007/BF02213551</v>
      </c>
      <c r="BG504" s="2" t="s">
        <v>74</v>
      </c>
      <c r="BH504" s="2" t="s">
        <v>74</v>
      </c>
      <c r="BI504" s="2" t="s">
        <v>74</v>
      </c>
      <c r="BJ504" s="2" t="s">
        <v>74</v>
      </c>
      <c r="BK504" s="2" t="s">
        <v>74</v>
      </c>
      <c r="BL504" s="2" t="s">
        <v>74</v>
      </c>
      <c r="BM504" s="2" t="s">
        <v>74</v>
      </c>
      <c r="BN504" s="2" t="s">
        <v>74</v>
      </c>
      <c r="BO504" s="2" t="s">
        <v>74</v>
      </c>
      <c r="BP504" s="2" t="s">
        <v>74</v>
      </c>
      <c r="BQ504" s="2" t="s">
        <v>74</v>
      </c>
      <c r="BR504" s="2" t="s">
        <v>74</v>
      </c>
      <c r="BS504" s="2" t="s">
        <v>5729</v>
      </c>
      <c r="BT504" s="2" t="str">
        <f>HYPERLINK("https%3A%2F%2Fwww.webofscience.com%2Fwos%2Fwoscc%2Ffull-record%2FWOS:A1996VX87000005","View Full Record in Web of Science")</f>
        <v>View Full Record in Web of Science</v>
      </c>
    </row>
    <row r="505" spans="1:72" s="2" customFormat="1" x14ac:dyDescent="0.4">
      <c r="A505" s="2" t="s">
        <v>72</v>
      </c>
      <c r="B505" s="2" t="s">
        <v>6204</v>
      </c>
      <c r="C505" s="2" t="s">
        <v>74</v>
      </c>
      <c r="D505" s="2" t="s">
        <v>74</v>
      </c>
      <c r="E505" s="2" t="s">
        <v>74</v>
      </c>
      <c r="F505" s="2" t="s">
        <v>6205</v>
      </c>
      <c r="G505" s="2" t="s">
        <v>74</v>
      </c>
      <c r="H505" s="2" t="s">
        <v>74</v>
      </c>
      <c r="I505" s="2" t="s">
        <v>6206</v>
      </c>
      <c r="J505" s="2" t="s">
        <v>3238</v>
      </c>
      <c r="K505" s="2" t="s">
        <v>74</v>
      </c>
      <c r="L505" s="2" t="s">
        <v>74</v>
      </c>
      <c r="M505" s="2" t="s">
        <v>74</v>
      </c>
      <c r="N505" s="2" t="s">
        <v>74</v>
      </c>
      <c r="O505" s="2" t="s">
        <v>74</v>
      </c>
      <c r="P505" s="2" t="s">
        <v>74</v>
      </c>
      <c r="Q505" s="2" t="s">
        <v>74</v>
      </c>
      <c r="R505" s="2" t="s">
        <v>74</v>
      </c>
      <c r="S505" s="2" t="s">
        <v>74</v>
      </c>
      <c r="T505" s="2" t="s">
        <v>74</v>
      </c>
      <c r="U505" s="2" t="s">
        <v>74</v>
      </c>
      <c r="V505" s="5" t="s">
        <v>6207</v>
      </c>
      <c r="W505" s="2" t="s">
        <v>74</v>
      </c>
      <c r="X505" s="2" t="s">
        <v>74</v>
      </c>
      <c r="Y505" s="2" t="s">
        <v>74</v>
      </c>
      <c r="Z505" s="2" t="s">
        <v>74</v>
      </c>
      <c r="AA505" s="2" t="s">
        <v>74</v>
      </c>
      <c r="AB505" s="2" t="s">
        <v>74</v>
      </c>
      <c r="AC505" s="2" t="s">
        <v>74</v>
      </c>
      <c r="AD505" s="2" t="s">
        <v>74</v>
      </c>
      <c r="AE505" s="2" t="s">
        <v>74</v>
      </c>
      <c r="AF505" s="2" t="s">
        <v>74</v>
      </c>
      <c r="AG505" s="2" t="s">
        <v>74</v>
      </c>
      <c r="AH505" s="2" t="s">
        <v>74</v>
      </c>
      <c r="AI505" s="2" t="s">
        <v>74</v>
      </c>
      <c r="AJ505" s="2" t="s">
        <v>74</v>
      </c>
      <c r="AK505" s="2" t="s">
        <v>74</v>
      </c>
      <c r="AL505" s="2" t="s">
        <v>74</v>
      </c>
      <c r="AM505" s="2" t="s">
        <v>74</v>
      </c>
      <c r="AN505" s="2" t="s">
        <v>74</v>
      </c>
      <c r="AO505" s="2" t="s">
        <v>3240</v>
      </c>
      <c r="AP505" s="2" t="s">
        <v>3241</v>
      </c>
      <c r="AQ505" s="2" t="s">
        <v>74</v>
      </c>
      <c r="AR505" s="2" t="s">
        <v>74</v>
      </c>
      <c r="AS505" s="2" t="s">
        <v>74</v>
      </c>
      <c r="AT505" s="2" t="s">
        <v>255</v>
      </c>
      <c r="AU505" s="2">
        <v>2019</v>
      </c>
      <c r="AV505" s="2">
        <v>112</v>
      </c>
      <c r="AW505" s="2">
        <v>1</v>
      </c>
      <c r="AX505" s="2" t="s">
        <v>74</v>
      </c>
      <c r="AY505" s="2" t="s">
        <v>74</v>
      </c>
      <c r="AZ505" s="2" t="s">
        <v>74</v>
      </c>
      <c r="BA505" s="2" t="s">
        <v>74</v>
      </c>
      <c r="BB505" s="2">
        <v>33</v>
      </c>
      <c r="BC505" s="2">
        <v>43</v>
      </c>
      <c r="BD505" s="2" t="s">
        <v>74</v>
      </c>
      <c r="BE505" s="2" t="s">
        <v>6208</v>
      </c>
      <c r="BF505" s="2" t="str">
        <f>HYPERLINK("http://dx.doi.org/10.1093/aesa/say045","http://dx.doi.org/10.1093/aesa/say045")</f>
        <v>http://dx.doi.org/10.1093/aesa/say045</v>
      </c>
      <c r="BG505" s="2" t="s">
        <v>74</v>
      </c>
      <c r="BH505" s="2" t="s">
        <v>74</v>
      </c>
      <c r="BI505" s="2" t="s">
        <v>74</v>
      </c>
      <c r="BJ505" s="2" t="s">
        <v>74</v>
      </c>
      <c r="BK505" s="2" t="s">
        <v>74</v>
      </c>
      <c r="BL505" s="2" t="s">
        <v>74</v>
      </c>
      <c r="BM505" s="2" t="s">
        <v>74</v>
      </c>
      <c r="BN505" s="2" t="s">
        <v>74</v>
      </c>
      <c r="BO505" s="2" t="s">
        <v>74</v>
      </c>
      <c r="BP505" s="2" t="s">
        <v>74</v>
      </c>
      <c r="BQ505" s="2" t="s">
        <v>74</v>
      </c>
      <c r="BR505" s="2" t="s">
        <v>74</v>
      </c>
      <c r="BS505" s="2" t="s">
        <v>6209</v>
      </c>
      <c r="BT505" s="2" t="str">
        <f>HYPERLINK("https%3A%2F%2Fwww.webofscience.com%2Fwos%2Fwoscc%2Ffull-record%2FWOS:000467951400004","View Full Record in Web of Science")</f>
        <v>View Full Record in Web of Science</v>
      </c>
    </row>
    <row r="506" spans="1:72" s="2" customFormat="1" x14ac:dyDescent="0.4">
      <c r="A506" s="2" t="s">
        <v>72</v>
      </c>
      <c r="B506" s="2" t="s">
        <v>2752</v>
      </c>
      <c r="C506" s="2" t="s">
        <v>74</v>
      </c>
      <c r="D506" s="2" t="s">
        <v>74</v>
      </c>
      <c r="E506" s="2" t="s">
        <v>74</v>
      </c>
      <c r="F506" s="2" t="s">
        <v>2752</v>
      </c>
      <c r="G506" s="2" t="s">
        <v>74</v>
      </c>
      <c r="H506" s="2" t="s">
        <v>74</v>
      </c>
      <c r="I506" s="2" t="s">
        <v>2753</v>
      </c>
      <c r="J506" s="2" t="s">
        <v>408</v>
      </c>
      <c r="K506" s="2" t="s">
        <v>74</v>
      </c>
      <c r="L506" s="2" t="s">
        <v>74</v>
      </c>
      <c r="M506" s="2" t="s">
        <v>74</v>
      </c>
      <c r="N506" s="2" t="s">
        <v>74</v>
      </c>
      <c r="O506" s="2" t="s">
        <v>74</v>
      </c>
      <c r="P506" s="2" t="s">
        <v>74</v>
      </c>
      <c r="Q506" s="2" t="s">
        <v>74</v>
      </c>
      <c r="R506" s="2" t="s">
        <v>74</v>
      </c>
      <c r="S506" s="2" t="s">
        <v>74</v>
      </c>
      <c r="T506" s="2" t="s">
        <v>74</v>
      </c>
      <c r="U506" s="2" t="s">
        <v>74</v>
      </c>
      <c r="V506" s="5" t="s">
        <v>2754</v>
      </c>
      <c r="W506" s="2" t="s">
        <v>74</v>
      </c>
      <c r="X506" s="2" t="s">
        <v>74</v>
      </c>
      <c r="Y506" s="2" t="s">
        <v>74</v>
      </c>
      <c r="Z506" s="2" t="s">
        <v>74</v>
      </c>
      <c r="AA506" s="2" t="s">
        <v>74</v>
      </c>
      <c r="AB506" s="2" t="s">
        <v>74</v>
      </c>
      <c r="AC506" s="2" t="s">
        <v>74</v>
      </c>
      <c r="AD506" s="2" t="s">
        <v>74</v>
      </c>
      <c r="AE506" s="2" t="s">
        <v>74</v>
      </c>
      <c r="AF506" s="2" t="s">
        <v>74</v>
      </c>
      <c r="AG506" s="2" t="s">
        <v>74</v>
      </c>
      <c r="AH506" s="2" t="s">
        <v>74</v>
      </c>
      <c r="AI506" s="2" t="s">
        <v>74</v>
      </c>
      <c r="AJ506" s="2" t="s">
        <v>74</v>
      </c>
      <c r="AK506" s="2" t="s">
        <v>74</v>
      </c>
      <c r="AL506" s="2" t="s">
        <v>74</v>
      </c>
      <c r="AM506" s="2" t="s">
        <v>74</v>
      </c>
      <c r="AN506" s="2" t="s">
        <v>74</v>
      </c>
      <c r="AO506" s="2" t="s">
        <v>412</v>
      </c>
      <c r="AP506" s="2" t="s">
        <v>413</v>
      </c>
      <c r="AQ506" s="2" t="s">
        <v>74</v>
      </c>
      <c r="AR506" s="2" t="s">
        <v>74</v>
      </c>
      <c r="AS506" s="2" t="s">
        <v>74</v>
      </c>
      <c r="AT506" s="2" t="s">
        <v>305</v>
      </c>
      <c r="AU506" s="2">
        <v>2003</v>
      </c>
      <c r="AV506" s="2">
        <v>80</v>
      </c>
      <c r="AW506" s="2">
        <v>4</v>
      </c>
      <c r="AX506" s="2" t="s">
        <v>74</v>
      </c>
      <c r="AY506" s="2" t="s">
        <v>74</v>
      </c>
      <c r="AZ506" s="2" t="s">
        <v>74</v>
      </c>
      <c r="BA506" s="2" t="s">
        <v>74</v>
      </c>
      <c r="BB506" s="2">
        <v>647</v>
      </c>
      <c r="BC506" s="2">
        <v>658</v>
      </c>
      <c r="BD506" s="2" t="s">
        <v>74</v>
      </c>
      <c r="BE506" s="2" t="s">
        <v>2755</v>
      </c>
      <c r="BF506" s="2" t="str">
        <f>HYPERLINK("http://dx.doi.org/10.1111/j.1095-8312.2003.00264.x","http://dx.doi.org/10.1111/j.1095-8312.2003.00264.x")</f>
        <v>http://dx.doi.org/10.1111/j.1095-8312.2003.00264.x</v>
      </c>
      <c r="BG506" s="2" t="s">
        <v>74</v>
      </c>
      <c r="BH506" s="2" t="s">
        <v>74</v>
      </c>
      <c r="BI506" s="2" t="s">
        <v>74</v>
      </c>
      <c r="BJ506" s="2" t="s">
        <v>74</v>
      </c>
      <c r="BK506" s="2" t="s">
        <v>74</v>
      </c>
      <c r="BL506" s="2" t="s">
        <v>74</v>
      </c>
      <c r="BM506" s="2" t="s">
        <v>74</v>
      </c>
      <c r="BN506" s="2" t="s">
        <v>74</v>
      </c>
      <c r="BO506" s="2" t="s">
        <v>74</v>
      </c>
      <c r="BP506" s="2" t="s">
        <v>74</v>
      </c>
      <c r="BQ506" s="2" t="s">
        <v>74</v>
      </c>
      <c r="BR506" s="2" t="s">
        <v>74</v>
      </c>
      <c r="BS506" s="2" t="s">
        <v>2756</v>
      </c>
      <c r="BT506" s="2" t="str">
        <f>HYPERLINK("https%3A%2F%2Fwww.webofscience.com%2Fwos%2Fwoscc%2Ffull-record%2FWOS:000187247200007","View Full Record in Web of Science")</f>
        <v>View Full Record in Web of Science</v>
      </c>
    </row>
    <row r="507" spans="1:72" s="2" customFormat="1" x14ac:dyDescent="0.4">
      <c r="A507" s="2" t="s">
        <v>72</v>
      </c>
      <c r="B507" s="2" t="s">
        <v>8254</v>
      </c>
      <c r="C507" s="2" t="s">
        <v>74</v>
      </c>
      <c r="D507" s="2" t="s">
        <v>74</v>
      </c>
      <c r="E507" s="2" t="s">
        <v>74</v>
      </c>
      <c r="F507" s="2" t="s">
        <v>8254</v>
      </c>
      <c r="G507" s="2" t="s">
        <v>74</v>
      </c>
      <c r="H507" s="2" t="s">
        <v>74</v>
      </c>
      <c r="I507" s="2" t="s">
        <v>8255</v>
      </c>
      <c r="J507" s="2" t="s">
        <v>4278</v>
      </c>
      <c r="K507" s="2" t="s">
        <v>74</v>
      </c>
      <c r="L507" s="2" t="s">
        <v>74</v>
      </c>
      <c r="M507" s="2" t="s">
        <v>74</v>
      </c>
      <c r="N507" s="2" t="s">
        <v>74</v>
      </c>
      <c r="O507" s="2" t="s">
        <v>74</v>
      </c>
      <c r="P507" s="2" t="s">
        <v>74</v>
      </c>
      <c r="Q507" s="2" t="s">
        <v>74</v>
      </c>
      <c r="R507" s="2" t="s">
        <v>74</v>
      </c>
      <c r="S507" s="2" t="s">
        <v>74</v>
      </c>
      <c r="T507" s="2" t="s">
        <v>74</v>
      </c>
      <c r="U507" s="2" t="s">
        <v>74</v>
      </c>
      <c r="V507" s="5" t="s">
        <v>8256</v>
      </c>
      <c r="W507" s="2" t="s">
        <v>74</v>
      </c>
      <c r="X507" s="2" t="s">
        <v>74</v>
      </c>
      <c r="Y507" s="2" t="s">
        <v>74</v>
      </c>
      <c r="Z507" s="2" t="s">
        <v>74</v>
      </c>
      <c r="AA507" s="2" t="s">
        <v>74</v>
      </c>
      <c r="AB507" s="2" t="s">
        <v>74</v>
      </c>
      <c r="AC507" s="2" t="s">
        <v>74</v>
      </c>
      <c r="AD507" s="2" t="s">
        <v>74</v>
      </c>
      <c r="AE507" s="2" t="s">
        <v>74</v>
      </c>
      <c r="AF507" s="2" t="s">
        <v>74</v>
      </c>
      <c r="AG507" s="2" t="s">
        <v>74</v>
      </c>
      <c r="AH507" s="2" t="s">
        <v>74</v>
      </c>
      <c r="AI507" s="2" t="s">
        <v>74</v>
      </c>
      <c r="AJ507" s="2" t="s">
        <v>74</v>
      </c>
      <c r="AK507" s="2" t="s">
        <v>74</v>
      </c>
      <c r="AL507" s="2" t="s">
        <v>74</v>
      </c>
      <c r="AM507" s="2" t="s">
        <v>74</v>
      </c>
      <c r="AN507" s="2" t="s">
        <v>74</v>
      </c>
      <c r="AO507" s="2" t="s">
        <v>4282</v>
      </c>
      <c r="AP507" s="2" t="s">
        <v>74</v>
      </c>
      <c r="AQ507" s="2" t="s">
        <v>74</v>
      </c>
      <c r="AR507" s="2" t="s">
        <v>74</v>
      </c>
      <c r="AS507" s="2" t="s">
        <v>74</v>
      </c>
      <c r="AT507" s="2" t="s">
        <v>204</v>
      </c>
      <c r="AU507" s="2">
        <v>1999</v>
      </c>
      <c r="AV507" s="2">
        <v>25</v>
      </c>
      <c r="AW507" s="2">
        <v>7</v>
      </c>
      <c r="AX507" s="2" t="s">
        <v>74</v>
      </c>
      <c r="AY507" s="2" t="s">
        <v>74</v>
      </c>
      <c r="AZ507" s="2" t="s">
        <v>74</v>
      </c>
      <c r="BA507" s="2" t="s">
        <v>74</v>
      </c>
      <c r="BB507" s="2">
        <v>1671</v>
      </c>
      <c r="BC507" s="2">
        <v>1685</v>
      </c>
      <c r="BD507" s="2" t="s">
        <v>74</v>
      </c>
      <c r="BE507" s="2" t="s">
        <v>8257</v>
      </c>
      <c r="BF507" s="2" t="str">
        <f>HYPERLINK("http://dx.doi.org/10.1023/A:1020853303321","http://dx.doi.org/10.1023/A:1020853303321")</f>
        <v>http://dx.doi.org/10.1023/A:1020853303321</v>
      </c>
      <c r="BG507" s="2" t="s">
        <v>74</v>
      </c>
      <c r="BH507" s="2" t="s">
        <v>74</v>
      </c>
      <c r="BI507" s="2" t="s">
        <v>74</v>
      </c>
      <c r="BJ507" s="2" t="s">
        <v>74</v>
      </c>
      <c r="BK507" s="2" t="s">
        <v>74</v>
      </c>
      <c r="BL507" s="2" t="s">
        <v>74</v>
      </c>
      <c r="BM507" s="2" t="s">
        <v>74</v>
      </c>
      <c r="BN507" s="2" t="s">
        <v>74</v>
      </c>
      <c r="BO507" s="2" t="s">
        <v>74</v>
      </c>
      <c r="BP507" s="2" t="s">
        <v>74</v>
      </c>
      <c r="BQ507" s="2" t="s">
        <v>74</v>
      </c>
      <c r="BR507" s="2" t="s">
        <v>74</v>
      </c>
      <c r="BS507" s="2" t="s">
        <v>8258</v>
      </c>
      <c r="BT507" s="2" t="str">
        <f>HYPERLINK("https%3A%2F%2Fwww.webofscience.com%2Fwos%2Fwoscc%2Ffull-record%2FWOS:000081611500016","View Full Record in Web of Science")</f>
        <v>View Full Record in Web of Science</v>
      </c>
    </row>
    <row r="508" spans="1:72" s="2" customFormat="1" x14ac:dyDescent="0.4">
      <c r="A508" s="2" t="s">
        <v>72</v>
      </c>
      <c r="B508" s="2" t="s">
        <v>2150</v>
      </c>
      <c r="C508" s="2" t="s">
        <v>74</v>
      </c>
      <c r="D508" s="2" t="s">
        <v>74</v>
      </c>
      <c r="E508" s="2" t="s">
        <v>74</v>
      </c>
      <c r="F508" s="2" t="s">
        <v>2150</v>
      </c>
      <c r="G508" s="2" t="s">
        <v>74</v>
      </c>
      <c r="H508" s="2" t="s">
        <v>74</v>
      </c>
      <c r="I508" s="2" t="s">
        <v>2151</v>
      </c>
      <c r="J508" s="2" t="s">
        <v>2152</v>
      </c>
      <c r="K508" s="2" t="s">
        <v>74</v>
      </c>
      <c r="L508" s="2" t="s">
        <v>74</v>
      </c>
      <c r="M508" s="2" t="s">
        <v>74</v>
      </c>
      <c r="N508" s="2" t="s">
        <v>74</v>
      </c>
      <c r="O508" s="2" t="s">
        <v>74</v>
      </c>
      <c r="P508" s="2" t="s">
        <v>74</v>
      </c>
      <c r="Q508" s="2" t="s">
        <v>74</v>
      </c>
      <c r="R508" s="2" t="s">
        <v>74</v>
      </c>
      <c r="S508" s="2" t="s">
        <v>74</v>
      </c>
      <c r="T508" s="2" t="s">
        <v>74</v>
      </c>
      <c r="U508" s="2" t="s">
        <v>74</v>
      </c>
      <c r="V508" s="5" t="s">
        <v>74</v>
      </c>
      <c r="W508" s="2" t="s">
        <v>74</v>
      </c>
      <c r="X508" s="2" t="s">
        <v>74</v>
      </c>
      <c r="Y508" s="2" t="s">
        <v>74</v>
      </c>
      <c r="Z508" s="2" t="s">
        <v>74</v>
      </c>
      <c r="AA508" s="2" t="s">
        <v>74</v>
      </c>
      <c r="AB508" s="2" t="s">
        <v>74</v>
      </c>
      <c r="AC508" s="2" t="s">
        <v>74</v>
      </c>
      <c r="AD508" s="2" t="s">
        <v>74</v>
      </c>
      <c r="AE508" s="2" t="s">
        <v>74</v>
      </c>
      <c r="AF508" s="2" t="s">
        <v>74</v>
      </c>
      <c r="AG508" s="2" t="s">
        <v>74</v>
      </c>
      <c r="AH508" s="2" t="s">
        <v>74</v>
      </c>
      <c r="AI508" s="2" t="s">
        <v>74</v>
      </c>
      <c r="AJ508" s="2" t="s">
        <v>74</v>
      </c>
      <c r="AK508" s="2" t="s">
        <v>74</v>
      </c>
      <c r="AL508" s="2" t="s">
        <v>74</v>
      </c>
      <c r="AM508" s="2" t="s">
        <v>74</v>
      </c>
      <c r="AN508" s="2" t="s">
        <v>74</v>
      </c>
      <c r="AO508" s="2" t="s">
        <v>2153</v>
      </c>
      <c r="AP508" s="2" t="s">
        <v>74</v>
      </c>
      <c r="AQ508" s="2" t="s">
        <v>74</v>
      </c>
      <c r="AR508" s="2" t="s">
        <v>74</v>
      </c>
      <c r="AS508" s="2" t="s">
        <v>74</v>
      </c>
      <c r="AT508" s="2" t="s">
        <v>74</v>
      </c>
      <c r="AU508" s="2">
        <v>1981</v>
      </c>
      <c r="AV508" s="2">
        <v>30</v>
      </c>
      <c r="AW508" s="2" t="s">
        <v>548</v>
      </c>
      <c r="AX508" s="2" t="s">
        <v>74</v>
      </c>
      <c r="AY508" s="2" t="s">
        <v>74</v>
      </c>
      <c r="AZ508" s="2" t="s">
        <v>74</v>
      </c>
      <c r="BA508" s="2" t="s">
        <v>74</v>
      </c>
      <c r="BB508" s="2">
        <v>88</v>
      </c>
      <c r="BC508" s="2">
        <v>91</v>
      </c>
      <c r="BD508" s="2" t="s">
        <v>74</v>
      </c>
      <c r="BE508" s="2" t="s">
        <v>74</v>
      </c>
      <c r="BF508" s="2" t="s">
        <v>74</v>
      </c>
      <c r="BG508" s="2" t="s">
        <v>74</v>
      </c>
      <c r="BH508" s="2" t="s">
        <v>74</v>
      </c>
      <c r="BI508" s="2" t="s">
        <v>74</v>
      </c>
      <c r="BJ508" s="2" t="s">
        <v>74</v>
      </c>
      <c r="BK508" s="2" t="s">
        <v>74</v>
      </c>
      <c r="BL508" s="2" t="s">
        <v>74</v>
      </c>
      <c r="BM508" s="2" t="s">
        <v>74</v>
      </c>
      <c r="BN508" s="2" t="s">
        <v>74</v>
      </c>
      <c r="BO508" s="2" t="s">
        <v>74</v>
      </c>
      <c r="BP508" s="2" t="s">
        <v>74</v>
      </c>
      <c r="BQ508" s="2" t="s">
        <v>74</v>
      </c>
      <c r="BR508" s="2" t="s">
        <v>74</v>
      </c>
      <c r="BS508" s="2" t="s">
        <v>2154</v>
      </c>
      <c r="BT508" s="2" t="str">
        <f>HYPERLINK("https%3A%2F%2Fwww.webofscience.com%2Fwos%2Fwoscc%2Ffull-record%2FWOS:A1981MW98300007","View Full Record in Web of Science")</f>
        <v>View Full Record in Web of Science</v>
      </c>
    </row>
    <row r="509" spans="1:72" s="2" customFormat="1" x14ac:dyDescent="0.4">
      <c r="A509" s="2" t="s">
        <v>72</v>
      </c>
      <c r="B509" s="2" t="s">
        <v>5192</v>
      </c>
      <c r="C509" s="2" t="s">
        <v>74</v>
      </c>
      <c r="D509" s="2" t="s">
        <v>74</v>
      </c>
      <c r="E509" s="2" t="s">
        <v>74</v>
      </c>
      <c r="F509" s="2" t="s">
        <v>5192</v>
      </c>
      <c r="G509" s="2" t="s">
        <v>74</v>
      </c>
      <c r="H509" s="2" t="s">
        <v>74</v>
      </c>
      <c r="I509" s="2" t="s">
        <v>5193</v>
      </c>
      <c r="J509" s="2" t="s">
        <v>5194</v>
      </c>
      <c r="K509" s="2" t="s">
        <v>74</v>
      </c>
      <c r="L509" s="2" t="s">
        <v>74</v>
      </c>
      <c r="M509" s="2" t="s">
        <v>74</v>
      </c>
      <c r="N509" s="2" t="s">
        <v>74</v>
      </c>
      <c r="O509" s="2" t="s">
        <v>74</v>
      </c>
      <c r="P509" s="2" t="s">
        <v>74</v>
      </c>
      <c r="Q509" s="2" t="s">
        <v>74</v>
      </c>
      <c r="R509" s="2" t="s">
        <v>74</v>
      </c>
      <c r="S509" s="2" t="s">
        <v>74</v>
      </c>
      <c r="T509" s="2" t="s">
        <v>74</v>
      </c>
      <c r="U509" s="2" t="s">
        <v>74</v>
      </c>
      <c r="V509" s="5" t="s">
        <v>5195</v>
      </c>
      <c r="W509" s="2" t="s">
        <v>74</v>
      </c>
      <c r="X509" s="2" t="s">
        <v>74</v>
      </c>
      <c r="Y509" s="2" t="s">
        <v>74</v>
      </c>
      <c r="Z509" s="2" t="s">
        <v>74</v>
      </c>
      <c r="AA509" s="2" t="s">
        <v>5196</v>
      </c>
      <c r="AB509" s="2" t="s">
        <v>5197</v>
      </c>
      <c r="AC509" s="2" t="s">
        <v>74</v>
      </c>
      <c r="AD509" s="2" t="s">
        <v>74</v>
      </c>
      <c r="AE509" s="2" t="s">
        <v>74</v>
      </c>
      <c r="AF509" s="2" t="s">
        <v>74</v>
      </c>
      <c r="AG509" s="2" t="s">
        <v>74</v>
      </c>
      <c r="AH509" s="2" t="s">
        <v>74</v>
      </c>
      <c r="AI509" s="2" t="s">
        <v>74</v>
      </c>
      <c r="AJ509" s="2" t="s">
        <v>74</v>
      </c>
      <c r="AK509" s="2" t="s">
        <v>74</v>
      </c>
      <c r="AL509" s="2" t="s">
        <v>74</v>
      </c>
      <c r="AM509" s="2" t="s">
        <v>74</v>
      </c>
      <c r="AN509" s="2" t="s">
        <v>74</v>
      </c>
      <c r="AO509" s="2" t="s">
        <v>5198</v>
      </c>
      <c r="AP509" s="2" t="s">
        <v>5199</v>
      </c>
      <c r="AQ509" s="2" t="s">
        <v>74</v>
      </c>
      <c r="AR509" s="2" t="s">
        <v>74</v>
      </c>
      <c r="AS509" s="2" t="s">
        <v>74</v>
      </c>
      <c r="AT509" s="2" t="s">
        <v>74</v>
      </c>
      <c r="AU509" s="2">
        <v>1985</v>
      </c>
      <c r="AV509" s="2">
        <v>20</v>
      </c>
      <c r="AW509" s="2">
        <v>3</v>
      </c>
      <c r="AX509" s="2" t="s">
        <v>74</v>
      </c>
      <c r="AY509" s="2" t="s">
        <v>74</v>
      </c>
      <c r="AZ509" s="2" t="s">
        <v>74</v>
      </c>
      <c r="BA509" s="2" t="s">
        <v>74</v>
      </c>
      <c r="BB509" s="2">
        <v>167</v>
      </c>
      <c r="BC509" s="2">
        <v>173</v>
      </c>
      <c r="BD509" s="2" t="s">
        <v>74</v>
      </c>
      <c r="BE509" s="2" t="s">
        <v>5200</v>
      </c>
      <c r="BF509" s="2" t="str">
        <f>HYPERLINK("http://dx.doi.org/10.1080/01650528509360685","http://dx.doi.org/10.1080/01650528509360685")</f>
        <v>http://dx.doi.org/10.1080/01650528509360685</v>
      </c>
      <c r="BG509" s="2" t="s">
        <v>74</v>
      </c>
      <c r="BH509" s="2" t="s">
        <v>74</v>
      </c>
      <c r="BI509" s="2" t="s">
        <v>74</v>
      </c>
      <c r="BJ509" s="2" t="s">
        <v>74</v>
      </c>
      <c r="BK509" s="2" t="s">
        <v>74</v>
      </c>
      <c r="BL509" s="2" t="s">
        <v>74</v>
      </c>
      <c r="BM509" s="2" t="s">
        <v>74</v>
      </c>
      <c r="BN509" s="2" t="s">
        <v>74</v>
      </c>
      <c r="BO509" s="2" t="s">
        <v>74</v>
      </c>
      <c r="BP509" s="2" t="s">
        <v>74</v>
      </c>
      <c r="BQ509" s="2" t="s">
        <v>74</v>
      </c>
      <c r="BR509" s="2" t="s">
        <v>74</v>
      </c>
      <c r="BS509" s="2" t="s">
        <v>5201</v>
      </c>
      <c r="BT509" s="2" t="str">
        <f>HYPERLINK("https%3A%2F%2Fwww.webofscience.com%2Fwos%2Fwoscc%2Ffull-record%2FWOS:A1985C168200004","View Full Record in Web of Science")</f>
        <v>View Full Record in Web of Science</v>
      </c>
    </row>
    <row r="510" spans="1:72" s="2" customFormat="1" x14ac:dyDescent="0.4">
      <c r="A510" s="2" t="s">
        <v>72</v>
      </c>
      <c r="B510" s="2" t="s">
        <v>8692</v>
      </c>
      <c r="C510" s="2" t="s">
        <v>74</v>
      </c>
      <c r="D510" s="2" t="s">
        <v>74</v>
      </c>
      <c r="E510" s="2" t="s">
        <v>74</v>
      </c>
      <c r="F510" s="2" t="s">
        <v>8693</v>
      </c>
      <c r="G510" s="2" t="s">
        <v>74</v>
      </c>
      <c r="H510" s="2" t="s">
        <v>74</v>
      </c>
      <c r="I510" s="2" t="s">
        <v>8694</v>
      </c>
      <c r="J510" s="2" t="s">
        <v>1656</v>
      </c>
      <c r="K510" s="2" t="s">
        <v>74</v>
      </c>
      <c r="L510" s="2" t="s">
        <v>74</v>
      </c>
      <c r="M510" s="2" t="s">
        <v>74</v>
      </c>
      <c r="N510" s="2" t="s">
        <v>74</v>
      </c>
      <c r="O510" s="2" t="s">
        <v>74</v>
      </c>
      <c r="P510" s="2" t="s">
        <v>74</v>
      </c>
      <c r="Q510" s="2" t="s">
        <v>74</v>
      </c>
      <c r="R510" s="2" t="s">
        <v>74</v>
      </c>
      <c r="S510" s="2" t="s">
        <v>74</v>
      </c>
      <c r="T510" s="2" t="s">
        <v>74</v>
      </c>
      <c r="U510" s="2" t="s">
        <v>74</v>
      </c>
      <c r="V510" s="5" t="s">
        <v>8695</v>
      </c>
      <c r="W510" s="2" t="s">
        <v>74</v>
      </c>
      <c r="X510" s="2" t="s">
        <v>74</v>
      </c>
      <c r="Y510" s="2" t="s">
        <v>74</v>
      </c>
      <c r="Z510" s="2" t="s">
        <v>74</v>
      </c>
      <c r="AA510" s="2" t="s">
        <v>8696</v>
      </c>
      <c r="AB510" s="2" t="s">
        <v>8697</v>
      </c>
      <c r="AC510" s="2" t="s">
        <v>74</v>
      </c>
      <c r="AD510" s="2" t="s">
        <v>74</v>
      </c>
      <c r="AE510" s="2" t="s">
        <v>74</v>
      </c>
      <c r="AF510" s="2" t="s">
        <v>74</v>
      </c>
      <c r="AG510" s="2" t="s">
        <v>74</v>
      </c>
      <c r="AH510" s="2" t="s">
        <v>74</v>
      </c>
      <c r="AI510" s="2" t="s">
        <v>74</v>
      </c>
      <c r="AJ510" s="2" t="s">
        <v>74</v>
      </c>
      <c r="AK510" s="2" t="s">
        <v>74</v>
      </c>
      <c r="AL510" s="2" t="s">
        <v>74</v>
      </c>
      <c r="AM510" s="2" t="s">
        <v>74</v>
      </c>
      <c r="AN510" s="2" t="s">
        <v>74</v>
      </c>
      <c r="AO510" s="2" t="s">
        <v>1658</v>
      </c>
      <c r="AP510" s="2" t="s">
        <v>1659</v>
      </c>
      <c r="AQ510" s="2" t="s">
        <v>74</v>
      </c>
      <c r="AR510" s="2" t="s">
        <v>74</v>
      </c>
      <c r="AS510" s="2" t="s">
        <v>74</v>
      </c>
      <c r="AT510" s="2" t="s">
        <v>4744</v>
      </c>
      <c r="AU510" s="2">
        <v>2016</v>
      </c>
      <c r="AV510" s="2">
        <v>4159</v>
      </c>
      <c r="AW510" s="2">
        <v>1</v>
      </c>
      <c r="AX510" s="2" t="s">
        <v>74</v>
      </c>
      <c r="AY510" s="2" t="s">
        <v>74</v>
      </c>
      <c r="AZ510" s="2" t="s">
        <v>74</v>
      </c>
      <c r="BA510" s="2" t="s">
        <v>74</v>
      </c>
      <c r="BB510" s="2">
        <v>1</v>
      </c>
      <c r="BC510" s="2">
        <v>219</v>
      </c>
      <c r="BD510" s="2" t="s">
        <v>74</v>
      </c>
      <c r="BE510" s="2" t="s">
        <v>8698</v>
      </c>
      <c r="BF510" s="2" t="str">
        <f>HYPERLINK("http://dx.doi.org/10.11646/zootaxa.4159.1.1","http://dx.doi.org/10.11646/zootaxa.4159.1.1")</f>
        <v>http://dx.doi.org/10.11646/zootaxa.4159.1.1</v>
      </c>
      <c r="BG510" s="2" t="s">
        <v>74</v>
      </c>
      <c r="BH510" s="2" t="s">
        <v>74</v>
      </c>
      <c r="BI510" s="2" t="s">
        <v>74</v>
      </c>
      <c r="BJ510" s="2" t="s">
        <v>74</v>
      </c>
      <c r="BK510" s="2" t="s">
        <v>74</v>
      </c>
      <c r="BL510" s="2" t="s">
        <v>74</v>
      </c>
      <c r="BM510" s="2" t="s">
        <v>74</v>
      </c>
      <c r="BN510" s="2">
        <v>27615907</v>
      </c>
      <c r="BO510" s="2" t="s">
        <v>74</v>
      </c>
      <c r="BP510" s="2" t="s">
        <v>74</v>
      </c>
      <c r="BQ510" s="2" t="s">
        <v>74</v>
      </c>
      <c r="BR510" s="2" t="s">
        <v>74</v>
      </c>
      <c r="BS510" s="2" t="s">
        <v>8699</v>
      </c>
      <c r="BT510" s="2" t="str">
        <f>HYPERLINK("https%3A%2F%2Fwww.webofscience.com%2Fwos%2Fwoscc%2Ffull-record%2FWOS:000382724900001","View Full Record in Web of Science")</f>
        <v>View Full Record in Web of Science</v>
      </c>
    </row>
    <row r="511" spans="1:72" s="2" customFormat="1" x14ac:dyDescent="0.4">
      <c r="A511" s="2" t="s">
        <v>72</v>
      </c>
      <c r="B511" s="2" t="s">
        <v>7169</v>
      </c>
      <c r="C511" s="2" t="s">
        <v>74</v>
      </c>
      <c r="D511" s="2" t="s">
        <v>74</v>
      </c>
      <c r="E511" s="2" t="s">
        <v>74</v>
      </c>
      <c r="F511" s="2" t="s">
        <v>7169</v>
      </c>
      <c r="G511" s="2" t="s">
        <v>74</v>
      </c>
      <c r="H511" s="2" t="s">
        <v>74</v>
      </c>
      <c r="I511" s="2" t="s">
        <v>7170</v>
      </c>
      <c r="J511" s="2" t="s">
        <v>3238</v>
      </c>
      <c r="K511" s="2" t="s">
        <v>74</v>
      </c>
      <c r="L511" s="2" t="s">
        <v>74</v>
      </c>
      <c r="M511" s="2" t="s">
        <v>74</v>
      </c>
      <c r="N511" s="2" t="s">
        <v>74</v>
      </c>
      <c r="O511" s="2" t="s">
        <v>74</v>
      </c>
      <c r="P511" s="2" t="s">
        <v>74</v>
      </c>
      <c r="Q511" s="2" t="s">
        <v>74</v>
      </c>
      <c r="R511" s="2" t="s">
        <v>74</v>
      </c>
      <c r="S511" s="2" t="s">
        <v>74</v>
      </c>
      <c r="T511" s="2" t="s">
        <v>74</v>
      </c>
      <c r="U511" s="2" t="s">
        <v>74</v>
      </c>
      <c r="V511" s="5" t="s">
        <v>7171</v>
      </c>
      <c r="W511" s="2" t="s">
        <v>74</v>
      </c>
      <c r="X511" s="2" t="s">
        <v>74</v>
      </c>
      <c r="Y511" s="2" t="s">
        <v>74</v>
      </c>
      <c r="Z511" s="2" t="s">
        <v>74</v>
      </c>
      <c r="AA511" s="2" t="s">
        <v>74</v>
      </c>
      <c r="AB511" s="2" t="s">
        <v>7172</v>
      </c>
      <c r="AC511" s="2" t="s">
        <v>74</v>
      </c>
      <c r="AD511" s="2" t="s">
        <v>74</v>
      </c>
      <c r="AE511" s="2" t="s">
        <v>74</v>
      </c>
      <c r="AF511" s="2" t="s">
        <v>74</v>
      </c>
      <c r="AG511" s="2" t="s">
        <v>74</v>
      </c>
      <c r="AH511" s="2" t="s">
        <v>74</v>
      </c>
      <c r="AI511" s="2" t="s">
        <v>74</v>
      </c>
      <c r="AJ511" s="2" t="s">
        <v>74</v>
      </c>
      <c r="AK511" s="2" t="s">
        <v>74</v>
      </c>
      <c r="AL511" s="2" t="s">
        <v>74</v>
      </c>
      <c r="AM511" s="2" t="s">
        <v>74</v>
      </c>
      <c r="AN511" s="2" t="s">
        <v>74</v>
      </c>
      <c r="AO511" s="2" t="s">
        <v>3240</v>
      </c>
      <c r="AP511" s="2" t="s">
        <v>74</v>
      </c>
      <c r="AQ511" s="2" t="s">
        <v>74</v>
      </c>
      <c r="AR511" s="2" t="s">
        <v>74</v>
      </c>
      <c r="AS511" s="2" t="s">
        <v>74</v>
      </c>
      <c r="AT511" s="2" t="s">
        <v>123</v>
      </c>
      <c r="AU511" s="2">
        <v>2002</v>
      </c>
      <c r="AV511" s="2">
        <v>95</v>
      </c>
      <c r="AW511" s="2">
        <v>2</v>
      </c>
      <c r="AX511" s="2" t="s">
        <v>74</v>
      </c>
      <c r="AY511" s="2" t="s">
        <v>74</v>
      </c>
      <c r="AZ511" s="2" t="s">
        <v>74</v>
      </c>
      <c r="BA511" s="2" t="s">
        <v>74</v>
      </c>
      <c r="BB511" s="2">
        <v>172</v>
      </c>
      <c r="BC511" s="2">
        <v>191</v>
      </c>
      <c r="BD511" s="2" t="s">
        <v>74</v>
      </c>
      <c r="BE511" s="2" t="s">
        <v>7173</v>
      </c>
      <c r="BF511" s="2" t="str">
        <f>HYPERLINK("http://dx.doi.org/10.1603/0013-8746(2002)095[0172:DTTCCI]2.0.CO;2","http://dx.doi.org/10.1603/0013-8746(2002)095[0172:DTTCCI]2.0.CO;2")</f>
        <v>http://dx.doi.org/10.1603/0013-8746(2002)095[0172:DTTCCI]2.0.CO;2</v>
      </c>
      <c r="BG511" s="2" t="s">
        <v>74</v>
      </c>
      <c r="BH511" s="2" t="s">
        <v>74</v>
      </c>
      <c r="BI511" s="2" t="s">
        <v>74</v>
      </c>
      <c r="BJ511" s="2" t="s">
        <v>74</v>
      </c>
      <c r="BK511" s="2" t="s">
        <v>74</v>
      </c>
      <c r="BL511" s="2" t="s">
        <v>74</v>
      </c>
      <c r="BM511" s="2" t="s">
        <v>74</v>
      </c>
      <c r="BN511" s="2" t="s">
        <v>74</v>
      </c>
      <c r="BO511" s="2" t="s">
        <v>74</v>
      </c>
      <c r="BP511" s="2" t="s">
        <v>74</v>
      </c>
      <c r="BQ511" s="2" t="s">
        <v>74</v>
      </c>
      <c r="BR511" s="2" t="s">
        <v>74</v>
      </c>
      <c r="BS511" s="2" t="s">
        <v>7174</v>
      </c>
      <c r="BT511" s="2" t="str">
        <f>HYPERLINK("https%3A%2F%2Fwww.webofscience.com%2Fwos%2Fwoscc%2Ffull-record%2FWOS:000178373100006","View Full Record in Web of Science")</f>
        <v>View Full Record in Web of Science</v>
      </c>
    </row>
    <row r="512" spans="1:72" s="2" customFormat="1" x14ac:dyDescent="0.4">
      <c r="A512" s="2" t="s">
        <v>72</v>
      </c>
      <c r="B512" s="2" t="s">
        <v>8504</v>
      </c>
      <c r="C512" s="2" t="s">
        <v>74</v>
      </c>
      <c r="D512" s="2" t="s">
        <v>74</v>
      </c>
      <c r="E512" s="2" t="s">
        <v>74</v>
      </c>
      <c r="F512" s="2" t="s">
        <v>8505</v>
      </c>
      <c r="G512" s="2" t="s">
        <v>74</v>
      </c>
      <c r="H512" s="2" t="s">
        <v>74</v>
      </c>
      <c r="I512" s="2" t="s">
        <v>8506</v>
      </c>
      <c r="J512" s="2" t="s">
        <v>2847</v>
      </c>
      <c r="K512" s="2" t="s">
        <v>74</v>
      </c>
      <c r="L512" s="2" t="s">
        <v>74</v>
      </c>
      <c r="M512" s="2" t="s">
        <v>74</v>
      </c>
      <c r="N512" s="2" t="s">
        <v>74</v>
      </c>
      <c r="O512" s="2" t="s">
        <v>74</v>
      </c>
      <c r="P512" s="2" t="s">
        <v>74</v>
      </c>
      <c r="Q512" s="2" t="s">
        <v>74</v>
      </c>
      <c r="R512" s="2" t="s">
        <v>74</v>
      </c>
      <c r="S512" s="2" t="s">
        <v>74</v>
      </c>
      <c r="T512" s="2" t="s">
        <v>74</v>
      </c>
      <c r="U512" s="2" t="s">
        <v>74</v>
      </c>
      <c r="V512" s="5" t="s">
        <v>8507</v>
      </c>
      <c r="W512" s="2" t="s">
        <v>74</v>
      </c>
      <c r="X512" s="2" t="s">
        <v>74</v>
      </c>
      <c r="Y512" s="2" t="s">
        <v>74</v>
      </c>
      <c r="Z512" s="2" t="s">
        <v>74</v>
      </c>
      <c r="AA512" s="2" t="s">
        <v>8508</v>
      </c>
      <c r="AB512" s="2" t="s">
        <v>8509</v>
      </c>
      <c r="AC512" s="2" t="s">
        <v>74</v>
      </c>
      <c r="AD512" s="2" t="s">
        <v>74</v>
      </c>
      <c r="AE512" s="2" t="s">
        <v>74</v>
      </c>
      <c r="AF512" s="2" t="s">
        <v>74</v>
      </c>
      <c r="AG512" s="2" t="s">
        <v>74</v>
      </c>
      <c r="AH512" s="2" t="s">
        <v>74</v>
      </c>
      <c r="AI512" s="2" t="s">
        <v>74</v>
      </c>
      <c r="AJ512" s="2" t="s">
        <v>74</v>
      </c>
      <c r="AK512" s="2" t="s">
        <v>74</v>
      </c>
      <c r="AL512" s="2" t="s">
        <v>74</v>
      </c>
      <c r="AM512" s="2" t="s">
        <v>74</v>
      </c>
      <c r="AN512" s="2" t="s">
        <v>74</v>
      </c>
      <c r="AO512" s="2" t="s">
        <v>2849</v>
      </c>
      <c r="AP512" s="2" t="s">
        <v>2850</v>
      </c>
      <c r="AQ512" s="2" t="s">
        <v>74</v>
      </c>
      <c r="AR512" s="2" t="s">
        <v>74</v>
      </c>
      <c r="AS512" s="2" t="s">
        <v>74</v>
      </c>
      <c r="AT512" s="2" t="s">
        <v>4744</v>
      </c>
      <c r="AU512" s="2">
        <v>2012</v>
      </c>
      <c r="AV512" s="2">
        <v>426</v>
      </c>
      <c r="AW512" s="2" t="s">
        <v>74</v>
      </c>
      <c r="AX512" s="2" t="s">
        <v>74</v>
      </c>
      <c r="AY512" s="2" t="s">
        <v>74</v>
      </c>
      <c r="AZ512" s="2" t="s">
        <v>74</v>
      </c>
      <c r="BA512" s="2" t="s">
        <v>74</v>
      </c>
      <c r="BB512" s="2">
        <v>1</v>
      </c>
      <c r="BC512" s="2">
        <v>4</v>
      </c>
      <c r="BD512" s="2" t="s">
        <v>74</v>
      </c>
      <c r="BE512" s="2" t="s">
        <v>8510</v>
      </c>
      <c r="BF512" s="2" t="str">
        <f>HYPERLINK("http://dx.doi.org/10.1016/j.jembe.2012.05.011","http://dx.doi.org/10.1016/j.jembe.2012.05.011")</f>
        <v>http://dx.doi.org/10.1016/j.jembe.2012.05.011</v>
      </c>
      <c r="BG512" s="2" t="s">
        <v>74</v>
      </c>
      <c r="BH512" s="2" t="s">
        <v>74</v>
      </c>
      <c r="BI512" s="2" t="s">
        <v>74</v>
      </c>
      <c r="BJ512" s="2" t="s">
        <v>74</v>
      </c>
      <c r="BK512" s="2" t="s">
        <v>74</v>
      </c>
      <c r="BL512" s="2" t="s">
        <v>74</v>
      </c>
      <c r="BM512" s="2" t="s">
        <v>74</v>
      </c>
      <c r="BN512" s="2" t="s">
        <v>74</v>
      </c>
      <c r="BO512" s="2" t="s">
        <v>74</v>
      </c>
      <c r="BP512" s="2" t="s">
        <v>74</v>
      </c>
      <c r="BQ512" s="2" t="s">
        <v>74</v>
      </c>
      <c r="BR512" s="2" t="s">
        <v>74</v>
      </c>
      <c r="BS512" s="2" t="s">
        <v>8511</v>
      </c>
      <c r="BT512" s="2" t="str">
        <f>HYPERLINK("https%3A%2F%2Fwww.webofscience.com%2Fwos%2Fwoscc%2Ffull-record%2FWOS:000306623700001","View Full Record in Web of Science")</f>
        <v>View Full Record in Web of Science</v>
      </c>
    </row>
    <row r="513" spans="1:72" s="2" customFormat="1" x14ac:dyDescent="0.4">
      <c r="A513" s="2" t="s">
        <v>72</v>
      </c>
      <c r="B513" s="2" t="s">
        <v>1644</v>
      </c>
      <c r="C513" s="2" t="s">
        <v>74</v>
      </c>
      <c r="D513" s="2" t="s">
        <v>74</v>
      </c>
      <c r="E513" s="2" t="s">
        <v>74</v>
      </c>
      <c r="F513" s="2" t="s">
        <v>1645</v>
      </c>
      <c r="G513" s="2" t="s">
        <v>74</v>
      </c>
      <c r="H513" s="2" t="s">
        <v>74</v>
      </c>
      <c r="I513" s="2" t="s">
        <v>1646</v>
      </c>
      <c r="J513" s="2" t="s">
        <v>1647</v>
      </c>
      <c r="K513" s="2" t="s">
        <v>74</v>
      </c>
      <c r="L513" s="2" t="s">
        <v>74</v>
      </c>
      <c r="M513" s="2" t="s">
        <v>74</v>
      </c>
      <c r="N513" s="2" t="s">
        <v>74</v>
      </c>
      <c r="O513" s="2" t="s">
        <v>74</v>
      </c>
      <c r="P513" s="2" t="s">
        <v>74</v>
      </c>
      <c r="Q513" s="2" t="s">
        <v>74</v>
      </c>
      <c r="R513" s="2" t="s">
        <v>74</v>
      </c>
      <c r="S513" s="2" t="s">
        <v>74</v>
      </c>
      <c r="T513" s="2" t="s">
        <v>74</v>
      </c>
      <c r="U513" s="2" t="s">
        <v>74</v>
      </c>
      <c r="V513" s="5" t="s">
        <v>1648</v>
      </c>
      <c r="W513" s="2" t="s">
        <v>74</v>
      </c>
      <c r="X513" s="2" t="s">
        <v>74</v>
      </c>
      <c r="Y513" s="2" t="s">
        <v>74</v>
      </c>
      <c r="Z513" s="2" t="s">
        <v>74</v>
      </c>
      <c r="AA513" s="2" t="s">
        <v>74</v>
      </c>
      <c r="AB513" s="2" t="s">
        <v>74</v>
      </c>
      <c r="AC513" s="2" t="s">
        <v>74</v>
      </c>
      <c r="AD513" s="2" t="s">
        <v>74</v>
      </c>
      <c r="AE513" s="2" t="s">
        <v>74</v>
      </c>
      <c r="AF513" s="2" t="s">
        <v>74</v>
      </c>
      <c r="AG513" s="2" t="s">
        <v>74</v>
      </c>
      <c r="AH513" s="2" t="s">
        <v>74</v>
      </c>
      <c r="AI513" s="2" t="s">
        <v>74</v>
      </c>
      <c r="AJ513" s="2" t="s">
        <v>74</v>
      </c>
      <c r="AK513" s="2" t="s">
        <v>74</v>
      </c>
      <c r="AL513" s="2" t="s">
        <v>74</v>
      </c>
      <c r="AM513" s="2" t="s">
        <v>74</v>
      </c>
      <c r="AN513" s="2" t="s">
        <v>74</v>
      </c>
      <c r="AO513" s="2" t="s">
        <v>1649</v>
      </c>
      <c r="AP513" s="2" t="s">
        <v>74</v>
      </c>
      <c r="AQ513" s="2" t="s">
        <v>74</v>
      </c>
      <c r="AR513" s="2" t="s">
        <v>74</v>
      </c>
      <c r="AS513" s="2" t="s">
        <v>74</v>
      </c>
      <c r="AT513" s="2" t="s">
        <v>1650</v>
      </c>
      <c r="AU513" s="2">
        <v>2018</v>
      </c>
      <c r="AV513" s="2">
        <v>69</v>
      </c>
      <c r="AW513" s="2">
        <v>2</v>
      </c>
      <c r="AX513" s="2" t="s">
        <v>74</v>
      </c>
      <c r="AY513" s="2" t="s">
        <v>74</v>
      </c>
      <c r="AZ513" s="2" t="s">
        <v>74</v>
      </c>
      <c r="BA513" s="2" t="s">
        <v>74</v>
      </c>
      <c r="BB513" s="2">
        <v>951</v>
      </c>
      <c r="BC513" s="2">
        <v>958</v>
      </c>
      <c r="BD513" s="2" t="s">
        <v>74</v>
      </c>
      <c r="BE513" s="2" t="s">
        <v>1651</v>
      </c>
      <c r="BF513" s="2" t="str">
        <f>HYPERLINK("http://dx.doi.org/10.12681/jhvms.18017","http://dx.doi.org/10.12681/jhvms.18017")</f>
        <v>http://dx.doi.org/10.12681/jhvms.18017</v>
      </c>
      <c r="BG513" s="2" t="s">
        <v>74</v>
      </c>
      <c r="BH513" s="2" t="s">
        <v>74</v>
      </c>
      <c r="BI513" s="2" t="s">
        <v>74</v>
      </c>
      <c r="BJ513" s="2" t="s">
        <v>74</v>
      </c>
      <c r="BK513" s="2" t="s">
        <v>74</v>
      </c>
      <c r="BL513" s="2" t="s">
        <v>74</v>
      </c>
      <c r="BM513" s="2" t="s">
        <v>74</v>
      </c>
      <c r="BN513" s="2" t="s">
        <v>74</v>
      </c>
      <c r="BO513" s="2" t="s">
        <v>74</v>
      </c>
      <c r="BP513" s="2" t="s">
        <v>74</v>
      </c>
      <c r="BQ513" s="2" t="s">
        <v>74</v>
      </c>
      <c r="BR513" s="2" t="s">
        <v>74</v>
      </c>
      <c r="BS513" s="2" t="s">
        <v>1652</v>
      </c>
      <c r="BT513" s="2" t="str">
        <f>HYPERLINK("https%3A%2F%2Fwww.webofscience.com%2Fwos%2Fwoscc%2Ffull-record%2FWOS:000439066300006","View Full Record in Web of Science")</f>
        <v>View Full Record in Web of Science</v>
      </c>
    </row>
    <row r="514" spans="1:72" s="2" customFormat="1" x14ac:dyDescent="0.4">
      <c r="A514" s="2" t="s">
        <v>72</v>
      </c>
      <c r="B514" s="2" t="s">
        <v>6168</v>
      </c>
      <c r="C514" s="2" t="s">
        <v>74</v>
      </c>
      <c r="D514" s="2" t="s">
        <v>74</v>
      </c>
      <c r="E514" s="2" t="s">
        <v>74</v>
      </c>
      <c r="F514" s="2" t="s">
        <v>6168</v>
      </c>
      <c r="G514" s="2" t="s">
        <v>74</v>
      </c>
      <c r="H514" s="2" t="s">
        <v>74</v>
      </c>
      <c r="I514" s="2" t="s">
        <v>6169</v>
      </c>
      <c r="J514" s="2" t="s">
        <v>201</v>
      </c>
      <c r="K514" s="2" t="s">
        <v>74</v>
      </c>
      <c r="L514" s="2" t="s">
        <v>74</v>
      </c>
      <c r="M514" s="2" t="s">
        <v>74</v>
      </c>
      <c r="N514" s="2" t="s">
        <v>74</v>
      </c>
      <c r="O514" s="2" t="s">
        <v>74</v>
      </c>
      <c r="P514" s="2" t="s">
        <v>74</v>
      </c>
      <c r="Q514" s="2" t="s">
        <v>74</v>
      </c>
      <c r="R514" s="2" t="s">
        <v>74</v>
      </c>
      <c r="S514" s="2" t="s">
        <v>74</v>
      </c>
      <c r="T514" s="2" t="s">
        <v>74</v>
      </c>
      <c r="U514" s="2" t="s">
        <v>74</v>
      </c>
      <c r="V514" s="5" t="s">
        <v>6170</v>
      </c>
      <c r="W514" s="2" t="s">
        <v>74</v>
      </c>
      <c r="X514" s="2" t="s">
        <v>74</v>
      </c>
      <c r="Y514" s="2" t="s">
        <v>74</v>
      </c>
      <c r="Z514" s="2" t="s">
        <v>74</v>
      </c>
      <c r="AA514" s="2" t="s">
        <v>6171</v>
      </c>
      <c r="AB514" s="2" t="s">
        <v>6172</v>
      </c>
      <c r="AC514" s="2" t="s">
        <v>74</v>
      </c>
      <c r="AD514" s="2" t="s">
        <v>74</v>
      </c>
      <c r="AE514" s="2" t="s">
        <v>74</v>
      </c>
      <c r="AF514" s="2" t="s">
        <v>74</v>
      </c>
      <c r="AG514" s="2" t="s">
        <v>74</v>
      </c>
      <c r="AH514" s="2" t="s">
        <v>74</v>
      </c>
      <c r="AI514" s="2" t="s">
        <v>74</v>
      </c>
      <c r="AJ514" s="2" t="s">
        <v>74</v>
      </c>
      <c r="AK514" s="2" t="s">
        <v>74</v>
      </c>
      <c r="AL514" s="2" t="s">
        <v>74</v>
      </c>
      <c r="AM514" s="2" t="s">
        <v>74</v>
      </c>
      <c r="AN514" s="2" t="s">
        <v>74</v>
      </c>
      <c r="AO514" s="2" t="s">
        <v>203</v>
      </c>
      <c r="AP514" s="2" t="s">
        <v>1192</v>
      </c>
      <c r="AQ514" s="2" t="s">
        <v>74</v>
      </c>
      <c r="AR514" s="2" t="s">
        <v>74</v>
      </c>
      <c r="AS514" s="2" t="s">
        <v>74</v>
      </c>
      <c r="AT514" s="2" t="s">
        <v>964</v>
      </c>
      <c r="AU514" s="2">
        <v>2006</v>
      </c>
      <c r="AV514" s="2">
        <v>68</v>
      </c>
      <c r="AW514" s="2">
        <v>2</v>
      </c>
      <c r="AX514" s="2" t="s">
        <v>74</v>
      </c>
      <c r="AY514" s="2" t="s">
        <v>74</v>
      </c>
      <c r="AZ514" s="2" t="s">
        <v>74</v>
      </c>
      <c r="BA514" s="2" t="s">
        <v>74</v>
      </c>
      <c r="BB514" s="2">
        <v>555</v>
      </c>
      <c r="BC514" s="2">
        <v>568</v>
      </c>
      <c r="BD514" s="2" t="s">
        <v>74</v>
      </c>
      <c r="BE514" s="2" t="s">
        <v>6173</v>
      </c>
      <c r="BF514" s="2" t="str">
        <f>HYPERLINK("http://dx.doi.org/10.1111/j.0022-1112.2006.00941.x","http://dx.doi.org/10.1111/j.0022-1112.2006.00941.x")</f>
        <v>http://dx.doi.org/10.1111/j.0022-1112.2006.00941.x</v>
      </c>
      <c r="BG514" s="2" t="s">
        <v>74</v>
      </c>
      <c r="BH514" s="2" t="s">
        <v>74</v>
      </c>
      <c r="BI514" s="2" t="s">
        <v>74</v>
      </c>
      <c r="BJ514" s="2" t="s">
        <v>74</v>
      </c>
      <c r="BK514" s="2" t="s">
        <v>74</v>
      </c>
      <c r="BL514" s="2" t="s">
        <v>74</v>
      </c>
      <c r="BM514" s="2" t="s">
        <v>74</v>
      </c>
      <c r="BN514" s="2" t="s">
        <v>74</v>
      </c>
      <c r="BO514" s="2" t="s">
        <v>74</v>
      </c>
      <c r="BP514" s="2" t="s">
        <v>74</v>
      </c>
      <c r="BQ514" s="2" t="s">
        <v>74</v>
      </c>
      <c r="BR514" s="2" t="s">
        <v>74</v>
      </c>
      <c r="BS514" s="2" t="s">
        <v>6174</v>
      </c>
      <c r="BT514" s="2" t="str">
        <f>HYPERLINK("https%3A%2F%2Fwww.webofscience.com%2Fwos%2Fwoscc%2Ffull-record%2FWOS:000235469400016","View Full Record in Web of Science")</f>
        <v>View Full Record in Web of Science</v>
      </c>
    </row>
    <row r="515" spans="1:72" s="2" customFormat="1" x14ac:dyDescent="0.4">
      <c r="A515" s="2" t="s">
        <v>72</v>
      </c>
      <c r="B515" s="2" t="s">
        <v>1229</v>
      </c>
      <c r="C515" s="2" t="s">
        <v>74</v>
      </c>
      <c r="D515" s="2" t="s">
        <v>74</v>
      </c>
      <c r="E515" s="2" t="s">
        <v>74</v>
      </c>
      <c r="F515" s="2" t="s">
        <v>1229</v>
      </c>
      <c r="G515" s="2" t="s">
        <v>74</v>
      </c>
      <c r="H515" s="2" t="s">
        <v>74</v>
      </c>
      <c r="I515" s="2" t="s">
        <v>1230</v>
      </c>
      <c r="J515" s="2" t="s">
        <v>119</v>
      </c>
      <c r="K515" s="2" t="s">
        <v>74</v>
      </c>
      <c r="L515" s="2" t="s">
        <v>74</v>
      </c>
      <c r="M515" s="2" t="s">
        <v>74</v>
      </c>
      <c r="N515" s="2" t="s">
        <v>74</v>
      </c>
      <c r="O515" s="2" t="s">
        <v>74</v>
      </c>
      <c r="P515" s="2" t="s">
        <v>74</v>
      </c>
      <c r="Q515" s="2" t="s">
        <v>74</v>
      </c>
      <c r="R515" s="2" t="s">
        <v>74</v>
      </c>
      <c r="S515" s="2" t="s">
        <v>74</v>
      </c>
      <c r="T515" s="2" t="s">
        <v>74</v>
      </c>
      <c r="U515" s="2" t="s">
        <v>74</v>
      </c>
      <c r="V515" s="5" t="s">
        <v>1231</v>
      </c>
      <c r="W515" s="2" t="s">
        <v>74</v>
      </c>
      <c r="X515" s="2" t="s">
        <v>74</v>
      </c>
      <c r="Y515" s="2" t="s">
        <v>74</v>
      </c>
      <c r="Z515" s="2" t="s">
        <v>74</v>
      </c>
      <c r="AA515" s="2" t="s">
        <v>1232</v>
      </c>
      <c r="AB515" s="2" t="s">
        <v>74</v>
      </c>
      <c r="AC515" s="2" t="s">
        <v>74</v>
      </c>
      <c r="AD515" s="2" t="s">
        <v>74</v>
      </c>
      <c r="AE515" s="2" t="s">
        <v>74</v>
      </c>
      <c r="AF515" s="2" t="s">
        <v>74</v>
      </c>
      <c r="AG515" s="2" t="s">
        <v>74</v>
      </c>
      <c r="AH515" s="2" t="s">
        <v>74</v>
      </c>
      <c r="AI515" s="2" t="s">
        <v>74</v>
      </c>
      <c r="AJ515" s="2" t="s">
        <v>74</v>
      </c>
      <c r="AK515" s="2" t="s">
        <v>74</v>
      </c>
      <c r="AL515" s="2" t="s">
        <v>74</v>
      </c>
      <c r="AM515" s="2" t="s">
        <v>74</v>
      </c>
      <c r="AN515" s="2" t="s">
        <v>74</v>
      </c>
      <c r="AO515" s="2" t="s">
        <v>121</v>
      </c>
      <c r="AP515" s="2" t="s">
        <v>74</v>
      </c>
      <c r="AQ515" s="2" t="s">
        <v>74</v>
      </c>
      <c r="AR515" s="2" t="s">
        <v>74</v>
      </c>
      <c r="AS515" s="2" t="s">
        <v>74</v>
      </c>
      <c r="AT515" s="2" t="s">
        <v>102</v>
      </c>
      <c r="AU515" s="2">
        <v>1998</v>
      </c>
      <c r="AV515" s="2">
        <v>43</v>
      </c>
      <c r="AW515" s="2">
        <v>3</v>
      </c>
      <c r="AX515" s="2" t="s">
        <v>74</v>
      </c>
      <c r="AY515" s="2" t="s">
        <v>74</v>
      </c>
      <c r="AZ515" s="2" t="s">
        <v>74</v>
      </c>
      <c r="BA515" s="2" t="s">
        <v>74</v>
      </c>
      <c r="BB515" s="2">
        <v>251</v>
      </c>
      <c r="BC515" s="2">
        <v>255</v>
      </c>
      <c r="BD515" s="2" t="s">
        <v>74</v>
      </c>
      <c r="BE515" s="2" t="s">
        <v>1233</v>
      </c>
      <c r="BF515" s="2" t="str">
        <f>HYPERLINK("http://dx.doi.org/10.1016/S0376-6357(98)00006-0","http://dx.doi.org/10.1016/S0376-6357(98)00006-0")</f>
        <v>http://dx.doi.org/10.1016/S0376-6357(98)00006-0</v>
      </c>
      <c r="BG515" s="2" t="s">
        <v>74</v>
      </c>
      <c r="BH515" s="2" t="s">
        <v>74</v>
      </c>
      <c r="BI515" s="2" t="s">
        <v>74</v>
      </c>
      <c r="BJ515" s="2" t="s">
        <v>74</v>
      </c>
      <c r="BK515" s="2" t="s">
        <v>74</v>
      </c>
      <c r="BL515" s="2" t="s">
        <v>74</v>
      </c>
      <c r="BM515" s="2" t="s">
        <v>74</v>
      </c>
      <c r="BN515" s="2">
        <v>24896492</v>
      </c>
      <c r="BO515" s="2" t="s">
        <v>74</v>
      </c>
      <c r="BP515" s="2" t="s">
        <v>74</v>
      </c>
      <c r="BQ515" s="2" t="s">
        <v>74</v>
      </c>
      <c r="BR515" s="2" t="s">
        <v>74</v>
      </c>
      <c r="BS515" s="2" t="s">
        <v>1234</v>
      </c>
      <c r="BT515" s="2" t="str">
        <f>HYPERLINK("https%3A%2F%2Fwww.webofscience.com%2Fwos%2Fwoscc%2Ffull-record%2FWOS:000075498300002","View Full Record in Web of Science")</f>
        <v>View Full Record in Web of Science</v>
      </c>
    </row>
    <row r="516" spans="1:72" s="2" customFormat="1" x14ac:dyDescent="0.4">
      <c r="A516" s="2" t="s">
        <v>72</v>
      </c>
      <c r="B516" s="2" t="s">
        <v>3905</v>
      </c>
      <c r="C516" s="2" t="s">
        <v>74</v>
      </c>
      <c r="D516" s="2" t="s">
        <v>74</v>
      </c>
      <c r="E516" s="2" t="s">
        <v>74</v>
      </c>
      <c r="F516" s="2" t="s">
        <v>3906</v>
      </c>
      <c r="G516" s="2" t="s">
        <v>74</v>
      </c>
      <c r="H516" s="2" t="s">
        <v>74</v>
      </c>
      <c r="I516" s="2" t="s">
        <v>3907</v>
      </c>
      <c r="J516" s="2" t="s">
        <v>129</v>
      </c>
      <c r="K516" s="2" t="s">
        <v>74</v>
      </c>
      <c r="L516" s="2" t="s">
        <v>74</v>
      </c>
      <c r="M516" s="2" t="s">
        <v>74</v>
      </c>
      <c r="N516" s="2" t="s">
        <v>74</v>
      </c>
      <c r="O516" s="2" t="s">
        <v>74</v>
      </c>
      <c r="P516" s="2" t="s">
        <v>74</v>
      </c>
      <c r="Q516" s="2" t="s">
        <v>74</v>
      </c>
      <c r="R516" s="2" t="s">
        <v>74</v>
      </c>
      <c r="S516" s="2" t="s">
        <v>74</v>
      </c>
      <c r="T516" s="2" t="s">
        <v>74</v>
      </c>
      <c r="U516" s="2" t="s">
        <v>74</v>
      </c>
      <c r="V516" s="5" t="s">
        <v>3908</v>
      </c>
      <c r="W516" s="2" t="s">
        <v>74</v>
      </c>
      <c r="X516" s="2" t="s">
        <v>74</v>
      </c>
      <c r="Y516" s="2" t="s">
        <v>74</v>
      </c>
      <c r="Z516" s="2" t="s">
        <v>74</v>
      </c>
      <c r="AA516" s="2" t="s">
        <v>3909</v>
      </c>
      <c r="AB516" s="2" t="s">
        <v>3910</v>
      </c>
      <c r="AC516" s="2" t="s">
        <v>74</v>
      </c>
      <c r="AD516" s="2" t="s">
        <v>74</v>
      </c>
      <c r="AE516" s="2" t="s">
        <v>74</v>
      </c>
      <c r="AF516" s="2" t="s">
        <v>74</v>
      </c>
      <c r="AG516" s="2" t="s">
        <v>74</v>
      </c>
      <c r="AH516" s="2" t="s">
        <v>74</v>
      </c>
      <c r="AI516" s="2" t="s">
        <v>74</v>
      </c>
      <c r="AJ516" s="2" t="s">
        <v>74</v>
      </c>
      <c r="AK516" s="2" t="s">
        <v>74</v>
      </c>
      <c r="AL516" s="2" t="s">
        <v>74</v>
      </c>
      <c r="AM516" s="2" t="s">
        <v>74</v>
      </c>
      <c r="AN516" s="2" t="s">
        <v>74</v>
      </c>
      <c r="AO516" s="2" t="s">
        <v>132</v>
      </c>
      <c r="AP516" s="2" t="s">
        <v>74</v>
      </c>
      <c r="AQ516" s="2" t="s">
        <v>74</v>
      </c>
      <c r="AR516" s="2" t="s">
        <v>74</v>
      </c>
      <c r="AS516" s="2" t="s">
        <v>74</v>
      </c>
      <c r="AT516" s="2" t="s">
        <v>204</v>
      </c>
      <c r="AU516" s="2">
        <v>2011</v>
      </c>
      <c r="AV516" s="2">
        <v>65</v>
      </c>
      <c r="AW516" s="2">
        <v>7</v>
      </c>
      <c r="AX516" s="2" t="s">
        <v>74</v>
      </c>
      <c r="AY516" s="2" t="s">
        <v>74</v>
      </c>
      <c r="AZ516" s="2" t="s">
        <v>74</v>
      </c>
      <c r="BA516" s="2" t="s">
        <v>74</v>
      </c>
      <c r="BB516" s="2">
        <v>1403</v>
      </c>
      <c r="BC516" s="2">
        <v>1410</v>
      </c>
      <c r="BD516" s="2" t="s">
        <v>74</v>
      </c>
      <c r="BE516" s="2" t="s">
        <v>3911</v>
      </c>
      <c r="BF516" s="2" t="str">
        <f>HYPERLINK("http://dx.doi.org/10.1007/s00265-011-1150-1","http://dx.doi.org/10.1007/s00265-011-1150-1")</f>
        <v>http://dx.doi.org/10.1007/s00265-011-1150-1</v>
      </c>
      <c r="BG516" s="2" t="s">
        <v>74</v>
      </c>
      <c r="BH516" s="2" t="s">
        <v>74</v>
      </c>
      <c r="BI516" s="2" t="s">
        <v>74</v>
      </c>
      <c r="BJ516" s="2" t="s">
        <v>74</v>
      </c>
      <c r="BK516" s="2" t="s">
        <v>74</v>
      </c>
      <c r="BL516" s="2" t="s">
        <v>74</v>
      </c>
      <c r="BM516" s="2" t="s">
        <v>74</v>
      </c>
      <c r="BN516" s="2" t="s">
        <v>74</v>
      </c>
      <c r="BO516" s="2" t="s">
        <v>74</v>
      </c>
      <c r="BP516" s="2" t="s">
        <v>74</v>
      </c>
      <c r="BQ516" s="2" t="s">
        <v>74</v>
      </c>
      <c r="BR516" s="2" t="s">
        <v>74</v>
      </c>
      <c r="BS516" s="2" t="s">
        <v>3912</v>
      </c>
      <c r="BT516" s="2" t="str">
        <f>HYPERLINK("https%3A%2F%2Fwww.webofscience.com%2Fwos%2Fwoscc%2Ffull-record%2FWOS:000291654000006","View Full Record in Web of Science")</f>
        <v>View Full Record in Web of Science</v>
      </c>
    </row>
    <row r="517" spans="1:72" s="2" customFormat="1" x14ac:dyDescent="0.4">
      <c r="A517" s="2" t="s">
        <v>72</v>
      </c>
      <c r="B517" s="2" t="s">
        <v>472</v>
      </c>
      <c r="C517" s="2" t="s">
        <v>74</v>
      </c>
      <c r="D517" s="2" t="s">
        <v>74</v>
      </c>
      <c r="E517" s="2" t="s">
        <v>74</v>
      </c>
      <c r="F517" s="2" t="s">
        <v>473</v>
      </c>
      <c r="G517" s="2" t="s">
        <v>74</v>
      </c>
      <c r="H517" s="2" t="s">
        <v>74</v>
      </c>
      <c r="I517" s="2" t="s">
        <v>474</v>
      </c>
      <c r="J517" s="2" t="s">
        <v>475</v>
      </c>
      <c r="K517" s="2" t="s">
        <v>74</v>
      </c>
      <c r="L517" s="2" t="s">
        <v>74</v>
      </c>
      <c r="M517" s="2" t="s">
        <v>74</v>
      </c>
      <c r="N517" s="2" t="s">
        <v>74</v>
      </c>
      <c r="O517" s="2" t="s">
        <v>74</v>
      </c>
      <c r="P517" s="2" t="s">
        <v>74</v>
      </c>
      <c r="Q517" s="2" t="s">
        <v>74</v>
      </c>
      <c r="R517" s="2" t="s">
        <v>74</v>
      </c>
      <c r="S517" s="2" t="s">
        <v>74</v>
      </c>
      <c r="T517" s="2" t="s">
        <v>74</v>
      </c>
      <c r="U517" s="2" t="s">
        <v>74</v>
      </c>
      <c r="V517" s="5" t="s">
        <v>476</v>
      </c>
      <c r="W517" s="2" t="s">
        <v>74</v>
      </c>
      <c r="X517" s="2" t="s">
        <v>74</v>
      </c>
      <c r="Y517" s="2" t="s">
        <v>74</v>
      </c>
      <c r="Z517" s="2" t="s">
        <v>74</v>
      </c>
      <c r="AA517" s="2" t="s">
        <v>74</v>
      </c>
      <c r="AB517" s="2" t="s">
        <v>274</v>
      </c>
      <c r="AC517" s="2" t="s">
        <v>74</v>
      </c>
      <c r="AD517" s="2" t="s">
        <v>74</v>
      </c>
      <c r="AE517" s="2" t="s">
        <v>74</v>
      </c>
      <c r="AF517" s="2" t="s">
        <v>74</v>
      </c>
      <c r="AG517" s="2" t="s">
        <v>74</v>
      </c>
      <c r="AH517" s="2" t="s">
        <v>74</v>
      </c>
      <c r="AI517" s="2" t="s">
        <v>74</v>
      </c>
      <c r="AJ517" s="2" t="s">
        <v>74</v>
      </c>
      <c r="AK517" s="2" t="s">
        <v>74</v>
      </c>
      <c r="AL517" s="2" t="s">
        <v>74</v>
      </c>
      <c r="AM517" s="2" t="s">
        <v>74</v>
      </c>
      <c r="AN517" s="2" t="s">
        <v>74</v>
      </c>
      <c r="AO517" s="2" t="s">
        <v>477</v>
      </c>
      <c r="AP517" s="2" t="s">
        <v>74</v>
      </c>
      <c r="AQ517" s="2" t="s">
        <v>74</v>
      </c>
      <c r="AR517" s="2" t="s">
        <v>74</v>
      </c>
      <c r="AS517" s="2" t="s">
        <v>74</v>
      </c>
      <c r="AT517" s="2" t="s">
        <v>361</v>
      </c>
      <c r="AU517" s="2">
        <v>2012</v>
      </c>
      <c r="AV517" s="2">
        <v>176</v>
      </c>
      <c r="AW517" s="2">
        <v>3</v>
      </c>
      <c r="AX517" s="2" t="s">
        <v>74</v>
      </c>
      <c r="AY517" s="2" t="s">
        <v>74</v>
      </c>
      <c r="AZ517" s="2" t="s">
        <v>74</v>
      </c>
      <c r="BA517" s="2" t="s">
        <v>74</v>
      </c>
      <c r="BB517" s="2">
        <v>493</v>
      </c>
      <c r="BC517" s="2">
        <v>499</v>
      </c>
      <c r="BD517" s="2" t="s">
        <v>74</v>
      </c>
      <c r="BE517" s="2" t="s">
        <v>478</v>
      </c>
      <c r="BF517" s="2" t="str">
        <f>HYPERLINK("http://dx.doi.org/10.1016/j.ygcen.2011.12.028","http://dx.doi.org/10.1016/j.ygcen.2011.12.028")</f>
        <v>http://dx.doi.org/10.1016/j.ygcen.2011.12.028</v>
      </c>
      <c r="BG517" s="2" t="s">
        <v>74</v>
      </c>
      <c r="BH517" s="2" t="s">
        <v>74</v>
      </c>
      <c r="BI517" s="2" t="s">
        <v>74</v>
      </c>
      <c r="BJ517" s="2" t="s">
        <v>74</v>
      </c>
      <c r="BK517" s="2" t="s">
        <v>74</v>
      </c>
      <c r="BL517" s="2" t="s">
        <v>74</v>
      </c>
      <c r="BM517" s="2" t="s">
        <v>74</v>
      </c>
      <c r="BN517" s="2">
        <v>22230767</v>
      </c>
      <c r="BO517" s="2" t="s">
        <v>74</v>
      </c>
      <c r="BP517" s="2" t="s">
        <v>74</v>
      </c>
      <c r="BQ517" s="2" t="s">
        <v>74</v>
      </c>
      <c r="BR517" s="2" t="s">
        <v>74</v>
      </c>
      <c r="BS517" s="2" t="s">
        <v>479</v>
      </c>
      <c r="BT517" s="2" t="str">
        <f>HYPERLINK("https%3A%2F%2Fwww.webofscience.com%2Fwos%2Fwoscc%2Ffull-record%2FWOS:000303700900032","View Full Record in Web of Science")</f>
        <v>View Full Record in Web of Science</v>
      </c>
    </row>
    <row r="518" spans="1:72" s="2" customFormat="1" x14ac:dyDescent="0.4">
      <c r="A518" s="2" t="s">
        <v>72</v>
      </c>
      <c r="B518" s="2" t="s">
        <v>4567</v>
      </c>
      <c r="C518" s="2" t="s">
        <v>74</v>
      </c>
      <c r="D518" s="2" t="s">
        <v>74</v>
      </c>
      <c r="E518" s="2" t="s">
        <v>74</v>
      </c>
      <c r="F518" s="2" t="s">
        <v>4567</v>
      </c>
      <c r="G518" s="2" t="s">
        <v>74</v>
      </c>
      <c r="H518" s="2" t="s">
        <v>74</v>
      </c>
      <c r="I518" s="2" t="s">
        <v>4568</v>
      </c>
      <c r="J518" s="2" t="s">
        <v>610</v>
      </c>
      <c r="K518" s="2" t="s">
        <v>74</v>
      </c>
      <c r="L518" s="2" t="s">
        <v>74</v>
      </c>
      <c r="M518" s="2" t="s">
        <v>74</v>
      </c>
      <c r="N518" s="2" t="s">
        <v>74</v>
      </c>
      <c r="O518" s="2" t="s">
        <v>74</v>
      </c>
      <c r="P518" s="2" t="s">
        <v>74</v>
      </c>
      <c r="Q518" s="2" t="s">
        <v>74</v>
      </c>
      <c r="R518" s="2" t="s">
        <v>74</v>
      </c>
      <c r="S518" s="2" t="s">
        <v>74</v>
      </c>
      <c r="T518" s="2" t="s">
        <v>74</v>
      </c>
      <c r="U518" s="2" t="s">
        <v>74</v>
      </c>
      <c r="V518" s="5" t="s">
        <v>4569</v>
      </c>
      <c r="W518" s="2" t="s">
        <v>74</v>
      </c>
      <c r="X518" s="2" t="s">
        <v>74</v>
      </c>
      <c r="Y518" s="2" t="s">
        <v>74</v>
      </c>
      <c r="Z518" s="2" t="s">
        <v>74</v>
      </c>
      <c r="AA518" s="2" t="s">
        <v>74</v>
      </c>
      <c r="AB518" s="2" t="s">
        <v>4570</v>
      </c>
      <c r="AC518" s="2" t="s">
        <v>74</v>
      </c>
      <c r="AD518" s="2" t="s">
        <v>74</v>
      </c>
      <c r="AE518" s="2" t="s">
        <v>74</v>
      </c>
      <c r="AF518" s="2" t="s">
        <v>74</v>
      </c>
      <c r="AG518" s="2" t="s">
        <v>74</v>
      </c>
      <c r="AH518" s="2" t="s">
        <v>74</v>
      </c>
      <c r="AI518" s="2" t="s">
        <v>74</v>
      </c>
      <c r="AJ518" s="2" t="s">
        <v>74</v>
      </c>
      <c r="AK518" s="2" t="s">
        <v>74</v>
      </c>
      <c r="AL518" s="2" t="s">
        <v>74</v>
      </c>
      <c r="AM518" s="2" t="s">
        <v>74</v>
      </c>
      <c r="AN518" s="2" t="s">
        <v>74</v>
      </c>
      <c r="AO518" s="2" t="s">
        <v>614</v>
      </c>
      <c r="AP518" s="2" t="s">
        <v>615</v>
      </c>
      <c r="AQ518" s="2" t="s">
        <v>74</v>
      </c>
      <c r="AR518" s="2" t="s">
        <v>74</v>
      </c>
      <c r="AS518" s="2" t="s">
        <v>74</v>
      </c>
      <c r="AT518" s="2" t="s">
        <v>352</v>
      </c>
      <c r="AU518" s="2">
        <v>2001</v>
      </c>
      <c r="AV518" s="2">
        <v>107</v>
      </c>
      <c r="AW518" s="2">
        <v>9</v>
      </c>
      <c r="AX518" s="2" t="s">
        <v>74</v>
      </c>
      <c r="AY518" s="2" t="s">
        <v>74</v>
      </c>
      <c r="AZ518" s="2" t="s">
        <v>74</v>
      </c>
      <c r="BA518" s="2" t="s">
        <v>74</v>
      </c>
      <c r="BB518" s="2">
        <v>839</v>
      </c>
      <c r="BC518" s="2">
        <v>850</v>
      </c>
      <c r="BD518" s="2" t="s">
        <v>74</v>
      </c>
      <c r="BE518" s="2" t="s">
        <v>4571</v>
      </c>
      <c r="BF518" s="2" t="str">
        <f>HYPERLINK("http://dx.doi.org/10.1046/j.1439-0310.2001.00712.x","http://dx.doi.org/10.1046/j.1439-0310.2001.00712.x")</f>
        <v>http://dx.doi.org/10.1046/j.1439-0310.2001.00712.x</v>
      </c>
      <c r="BG518" s="2" t="s">
        <v>74</v>
      </c>
      <c r="BH518" s="2" t="s">
        <v>74</v>
      </c>
      <c r="BI518" s="2" t="s">
        <v>74</v>
      </c>
      <c r="BJ518" s="2" t="s">
        <v>74</v>
      </c>
      <c r="BK518" s="2" t="s">
        <v>74</v>
      </c>
      <c r="BL518" s="2" t="s">
        <v>74</v>
      </c>
      <c r="BM518" s="2" t="s">
        <v>74</v>
      </c>
      <c r="BN518" s="2" t="s">
        <v>74</v>
      </c>
      <c r="BO518" s="2" t="s">
        <v>74</v>
      </c>
      <c r="BP518" s="2" t="s">
        <v>74</v>
      </c>
      <c r="BQ518" s="2" t="s">
        <v>74</v>
      </c>
      <c r="BR518" s="2" t="s">
        <v>74</v>
      </c>
      <c r="BS518" s="2" t="s">
        <v>4572</v>
      </c>
      <c r="BT518" s="2" t="str">
        <f>HYPERLINK("https%3A%2F%2Fwww.webofscience.com%2Fwos%2Fwoscc%2Ffull-record%2FWOS:000171378500006","View Full Record in Web of Science")</f>
        <v>View Full Record in Web of Science</v>
      </c>
    </row>
    <row r="519" spans="1:72" s="2" customFormat="1" x14ac:dyDescent="0.4">
      <c r="A519" s="2" t="s">
        <v>72</v>
      </c>
      <c r="B519" s="2" t="s">
        <v>4299</v>
      </c>
      <c r="C519" s="2" t="s">
        <v>74</v>
      </c>
      <c r="D519" s="2" t="s">
        <v>74</v>
      </c>
      <c r="E519" s="2" t="s">
        <v>74</v>
      </c>
      <c r="F519" s="2" t="s">
        <v>4299</v>
      </c>
      <c r="G519" s="2" t="s">
        <v>74</v>
      </c>
      <c r="H519" s="2" t="s">
        <v>74</v>
      </c>
      <c r="I519" s="2" t="s">
        <v>4300</v>
      </c>
      <c r="J519" s="2" t="s">
        <v>140</v>
      </c>
      <c r="K519" s="2" t="s">
        <v>74</v>
      </c>
      <c r="L519" s="2" t="s">
        <v>74</v>
      </c>
      <c r="M519" s="2" t="s">
        <v>74</v>
      </c>
      <c r="N519" s="2" t="s">
        <v>74</v>
      </c>
      <c r="O519" s="2" t="s">
        <v>74</v>
      </c>
      <c r="P519" s="2" t="s">
        <v>74</v>
      </c>
      <c r="Q519" s="2" t="s">
        <v>74</v>
      </c>
      <c r="R519" s="2" t="s">
        <v>74</v>
      </c>
      <c r="S519" s="2" t="s">
        <v>74</v>
      </c>
      <c r="T519" s="2" t="s">
        <v>74</v>
      </c>
      <c r="U519" s="2" t="s">
        <v>74</v>
      </c>
      <c r="V519" s="5" t="s">
        <v>4301</v>
      </c>
      <c r="W519" s="2" t="s">
        <v>74</v>
      </c>
      <c r="X519" s="2" t="s">
        <v>74</v>
      </c>
      <c r="Y519" s="2" t="s">
        <v>74</v>
      </c>
      <c r="Z519" s="2" t="s">
        <v>74</v>
      </c>
      <c r="AA519" s="2" t="s">
        <v>74</v>
      </c>
      <c r="AB519" s="2" t="s">
        <v>74</v>
      </c>
      <c r="AC519" s="2" t="s">
        <v>74</v>
      </c>
      <c r="AD519" s="2" t="s">
        <v>74</v>
      </c>
      <c r="AE519" s="2" t="s">
        <v>74</v>
      </c>
      <c r="AF519" s="2" t="s">
        <v>74</v>
      </c>
      <c r="AG519" s="2" t="s">
        <v>74</v>
      </c>
      <c r="AH519" s="2" t="s">
        <v>74</v>
      </c>
      <c r="AI519" s="2" t="s">
        <v>74</v>
      </c>
      <c r="AJ519" s="2" t="s">
        <v>74</v>
      </c>
      <c r="AK519" s="2" t="s">
        <v>74</v>
      </c>
      <c r="AL519" s="2" t="s">
        <v>74</v>
      </c>
      <c r="AM519" s="2" t="s">
        <v>74</v>
      </c>
      <c r="AN519" s="2" t="s">
        <v>74</v>
      </c>
      <c r="AO519" s="2" t="s">
        <v>143</v>
      </c>
      <c r="AP519" s="2" t="s">
        <v>144</v>
      </c>
      <c r="AQ519" s="2" t="s">
        <v>74</v>
      </c>
      <c r="AR519" s="2" t="s">
        <v>74</v>
      </c>
      <c r="AS519" s="2" t="s">
        <v>74</v>
      </c>
      <c r="AT519" s="2" t="s">
        <v>305</v>
      </c>
      <c r="AU519" s="2">
        <v>2002</v>
      </c>
      <c r="AV519" s="2">
        <v>64</v>
      </c>
      <c r="AW519" s="2" t="s">
        <v>74</v>
      </c>
      <c r="AX519" s="2">
        <v>6</v>
      </c>
      <c r="AY519" s="2" t="s">
        <v>74</v>
      </c>
      <c r="AZ519" s="2" t="s">
        <v>74</v>
      </c>
      <c r="BA519" s="2" t="s">
        <v>74</v>
      </c>
      <c r="BB519" s="2">
        <v>851</v>
      </c>
      <c r="BC519" s="2">
        <v>859</v>
      </c>
      <c r="BD519" s="2" t="s">
        <v>74</v>
      </c>
      <c r="BE519" s="2" t="s">
        <v>4302</v>
      </c>
      <c r="BF519" s="2" t="str">
        <f>HYPERLINK("http://dx.doi.org/10.1006/anbe.2003.2002","http://dx.doi.org/10.1006/anbe.2003.2002")</f>
        <v>http://dx.doi.org/10.1006/anbe.2003.2002</v>
      </c>
      <c r="BG519" s="2" t="s">
        <v>74</v>
      </c>
      <c r="BH519" s="2" t="s">
        <v>74</v>
      </c>
      <c r="BI519" s="2" t="s">
        <v>74</v>
      </c>
      <c r="BJ519" s="2" t="s">
        <v>74</v>
      </c>
      <c r="BK519" s="2" t="s">
        <v>74</v>
      </c>
      <c r="BL519" s="2" t="s">
        <v>74</v>
      </c>
      <c r="BM519" s="2" t="s">
        <v>74</v>
      </c>
      <c r="BN519" s="2" t="s">
        <v>74</v>
      </c>
      <c r="BO519" s="2" t="s">
        <v>74</v>
      </c>
      <c r="BP519" s="2" t="s">
        <v>74</v>
      </c>
      <c r="BQ519" s="2" t="s">
        <v>74</v>
      </c>
      <c r="BR519" s="2" t="s">
        <v>74</v>
      </c>
      <c r="BS519" s="2" t="s">
        <v>4303</v>
      </c>
      <c r="BT519" s="2" t="str">
        <f>HYPERLINK("https%3A%2F%2Fwww.webofscience.com%2Fwos%2Fwoscc%2Ffull-record%2FWOS:000180910400003","View Full Record in Web of Science")</f>
        <v>View Full Record in Web of Science</v>
      </c>
    </row>
    <row r="520" spans="1:72" s="2" customFormat="1" x14ac:dyDescent="0.4">
      <c r="A520" s="2" t="s">
        <v>72</v>
      </c>
      <c r="B520" s="2" t="s">
        <v>7566</v>
      </c>
      <c r="C520" s="2" t="s">
        <v>74</v>
      </c>
      <c r="D520" s="2" t="s">
        <v>74</v>
      </c>
      <c r="E520" s="2" t="s">
        <v>74</v>
      </c>
      <c r="F520" s="2" t="s">
        <v>7566</v>
      </c>
      <c r="G520" s="2" t="s">
        <v>74</v>
      </c>
      <c r="H520" s="2" t="s">
        <v>74</v>
      </c>
      <c r="I520" s="2" t="s">
        <v>7567</v>
      </c>
      <c r="J520" s="2" t="s">
        <v>140</v>
      </c>
      <c r="K520" s="2" t="s">
        <v>74</v>
      </c>
      <c r="L520" s="2" t="s">
        <v>74</v>
      </c>
      <c r="M520" s="2" t="s">
        <v>74</v>
      </c>
      <c r="N520" s="2" t="s">
        <v>74</v>
      </c>
      <c r="O520" s="2" t="s">
        <v>74</v>
      </c>
      <c r="P520" s="2" t="s">
        <v>74</v>
      </c>
      <c r="Q520" s="2" t="s">
        <v>74</v>
      </c>
      <c r="R520" s="2" t="s">
        <v>74</v>
      </c>
      <c r="S520" s="2" t="s">
        <v>74</v>
      </c>
      <c r="T520" s="2" t="s">
        <v>74</v>
      </c>
      <c r="U520" s="2" t="s">
        <v>74</v>
      </c>
      <c r="V520" s="5" t="s">
        <v>7568</v>
      </c>
      <c r="W520" s="2" t="s">
        <v>74</v>
      </c>
      <c r="X520" s="2" t="s">
        <v>74</v>
      </c>
      <c r="Y520" s="2" t="s">
        <v>74</v>
      </c>
      <c r="Z520" s="2" t="s">
        <v>74</v>
      </c>
      <c r="AA520" s="2" t="s">
        <v>74</v>
      </c>
      <c r="AB520" s="2" t="s">
        <v>74</v>
      </c>
      <c r="AC520" s="2" t="s">
        <v>74</v>
      </c>
      <c r="AD520" s="2" t="s">
        <v>74</v>
      </c>
      <c r="AE520" s="2" t="s">
        <v>74</v>
      </c>
      <c r="AF520" s="2" t="s">
        <v>74</v>
      </c>
      <c r="AG520" s="2" t="s">
        <v>74</v>
      </c>
      <c r="AH520" s="2" t="s">
        <v>74</v>
      </c>
      <c r="AI520" s="2" t="s">
        <v>74</v>
      </c>
      <c r="AJ520" s="2" t="s">
        <v>74</v>
      </c>
      <c r="AK520" s="2" t="s">
        <v>74</v>
      </c>
      <c r="AL520" s="2" t="s">
        <v>74</v>
      </c>
      <c r="AM520" s="2" t="s">
        <v>74</v>
      </c>
      <c r="AN520" s="2" t="s">
        <v>74</v>
      </c>
      <c r="AO520" s="2" t="s">
        <v>143</v>
      </c>
      <c r="AP520" s="2" t="s">
        <v>144</v>
      </c>
      <c r="AQ520" s="2" t="s">
        <v>74</v>
      </c>
      <c r="AR520" s="2" t="s">
        <v>74</v>
      </c>
      <c r="AS520" s="2" t="s">
        <v>74</v>
      </c>
      <c r="AT520" s="2" t="s">
        <v>123</v>
      </c>
      <c r="AU520" s="2">
        <v>2001</v>
      </c>
      <c r="AV520" s="2">
        <v>61</v>
      </c>
      <c r="AW520" s="2" t="s">
        <v>74</v>
      </c>
      <c r="AX520" s="2">
        <v>3</v>
      </c>
      <c r="AY520" s="2" t="s">
        <v>74</v>
      </c>
      <c r="AZ520" s="2" t="s">
        <v>74</v>
      </c>
      <c r="BA520" s="2" t="s">
        <v>74</v>
      </c>
      <c r="BB520" s="2">
        <v>567</v>
      </c>
      <c r="BC520" s="2">
        <v>577</v>
      </c>
      <c r="BD520" s="2" t="s">
        <v>74</v>
      </c>
      <c r="BE520" s="2" t="s">
        <v>7569</v>
      </c>
      <c r="BF520" s="2" t="str">
        <f>HYPERLINK("http://dx.doi.org/10.1006/anbe.2000.1642","http://dx.doi.org/10.1006/anbe.2000.1642")</f>
        <v>http://dx.doi.org/10.1006/anbe.2000.1642</v>
      </c>
      <c r="BG520" s="2" t="s">
        <v>74</v>
      </c>
      <c r="BH520" s="2" t="s">
        <v>74</v>
      </c>
      <c r="BI520" s="2" t="s">
        <v>74</v>
      </c>
      <c r="BJ520" s="2" t="s">
        <v>74</v>
      </c>
      <c r="BK520" s="2" t="s">
        <v>74</v>
      </c>
      <c r="BL520" s="2" t="s">
        <v>74</v>
      </c>
      <c r="BM520" s="2" t="s">
        <v>74</v>
      </c>
      <c r="BN520" s="2" t="s">
        <v>74</v>
      </c>
      <c r="BO520" s="2" t="s">
        <v>74</v>
      </c>
      <c r="BP520" s="2" t="s">
        <v>74</v>
      </c>
      <c r="BQ520" s="2" t="s">
        <v>74</v>
      </c>
      <c r="BR520" s="2" t="s">
        <v>74</v>
      </c>
      <c r="BS520" s="2" t="s">
        <v>7570</v>
      </c>
      <c r="BT520" s="2" t="str">
        <f>HYPERLINK("https%3A%2F%2Fwww.webofscience.com%2Fwos%2Fwoscc%2Ffull-record%2FWOS:000167990100006","View Full Record in Web of Science")</f>
        <v>View Full Record in Web of Science</v>
      </c>
    </row>
    <row r="521" spans="1:72" s="2" customFormat="1" x14ac:dyDescent="0.4">
      <c r="A521" s="2" t="s">
        <v>72</v>
      </c>
      <c r="B521" s="2" t="s">
        <v>1763</v>
      </c>
      <c r="C521" s="2" t="s">
        <v>74</v>
      </c>
      <c r="D521" s="2" t="s">
        <v>74</v>
      </c>
      <c r="E521" s="2" t="s">
        <v>74</v>
      </c>
      <c r="F521" s="2" t="s">
        <v>1764</v>
      </c>
      <c r="G521" s="2" t="s">
        <v>74</v>
      </c>
      <c r="H521" s="2" t="s">
        <v>74</v>
      </c>
      <c r="I521" s="2" t="s">
        <v>1765</v>
      </c>
      <c r="J521" s="2" t="s">
        <v>775</v>
      </c>
      <c r="K521" s="2" t="s">
        <v>74</v>
      </c>
      <c r="L521" s="2" t="s">
        <v>74</v>
      </c>
      <c r="M521" s="2" t="s">
        <v>74</v>
      </c>
      <c r="N521" s="2" t="s">
        <v>74</v>
      </c>
      <c r="O521" s="2" t="s">
        <v>74</v>
      </c>
      <c r="P521" s="2" t="s">
        <v>74</v>
      </c>
      <c r="Q521" s="2" t="s">
        <v>74</v>
      </c>
      <c r="R521" s="2" t="s">
        <v>74</v>
      </c>
      <c r="S521" s="2" t="s">
        <v>74</v>
      </c>
      <c r="T521" s="2" t="s">
        <v>74</v>
      </c>
      <c r="U521" s="2" t="s">
        <v>74</v>
      </c>
      <c r="V521" s="5" t="s">
        <v>1766</v>
      </c>
      <c r="W521" s="2" t="s">
        <v>74</v>
      </c>
      <c r="X521" s="2" t="s">
        <v>74</v>
      </c>
      <c r="Y521" s="2" t="s">
        <v>74</v>
      </c>
      <c r="Z521" s="2" t="s">
        <v>74</v>
      </c>
      <c r="AA521" s="2" t="s">
        <v>1767</v>
      </c>
      <c r="AB521" s="2" t="s">
        <v>1768</v>
      </c>
      <c r="AC521" s="2" t="s">
        <v>74</v>
      </c>
      <c r="AD521" s="2" t="s">
        <v>74</v>
      </c>
      <c r="AE521" s="2" t="s">
        <v>74</v>
      </c>
      <c r="AF521" s="2" t="s">
        <v>74</v>
      </c>
      <c r="AG521" s="2" t="s">
        <v>74</v>
      </c>
      <c r="AH521" s="2" t="s">
        <v>74</v>
      </c>
      <c r="AI521" s="2" t="s">
        <v>74</v>
      </c>
      <c r="AJ521" s="2" t="s">
        <v>74</v>
      </c>
      <c r="AK521" s="2" t="s">
        <v>74</v>
      </c>
      <c r="AL521" s="2" t="s">
        <v>74</v>
      </c>
      <c r="AM521" s="2" t="s">
        <v>74</v>
      </c>
      <c r="AN521" s="2" t="s">
        <v>74</v>
      </c>
      <c r="AO521" s="2" t="s">
        <v>778</v>
      </c>
      <c r="AP521" s="2" t="s">
        <v>779</v>
      </c>
      <c r="AQ521" s="2" t="s">
        <v>74</v>
      </c>
      <c r="AR521" s="2" t="s">
        <v>74</v>
      </c>
      <c r="AS521" s="2" t="s">
        <v>74</v>
      </c>
      <c r="AT521" s="2" t="s">
        <v>964</v>
      </c>
      <c r="AU521" s="2">
        <v>2016</v>
      </c>
      <c r="AV521" s="2">
        <v>62</v>
      </c>
      <c r="AW521" s="2">
        <v>1</v>
      </c>
      <c r="AX521" s="2" t="s">
        <v>74</v>
      </c>
      <c r="AY521" s="2" t="s">
        <v>74</v>
      </c>
      <c r="AZ521" s="2" t="s">
        <v>74</v>
      </c>
      <c r="BA521" s="2" t="s">
        <v>74</v>
      </c>
      <c r="BB521" s="2">
        <v>23</v>
      </c>
      <c r="BC521" s="2">
        <v>31</v>
      </c>
      <c r="BD521" s="2" t="s">
        <v>74</v>
      </c>
      <c r="BE521" s="2" t="s">
        <v>1769</v>
      </c>
      <c r="BF521" s="2" t="str">
        <f>HYPERLINK("http://dx.doi.org/10.1093/cz/zov009","http://dx.doi.org/10.1093/cz/zov009")</f>
        <v>http://dx.doi.org/10.1093/cz/zov009</v>
      </c>
      <c r="BG521" s="2" t="s">
        <v>74</v>
      </c>
      <c r="BH521" s="2" t="s">
        <v>74</v>
      </c>
      <c r="BI521" s="2" t="s">
        <v>74</v>
      </c>
      <c r="BJ521" s="2" t="s">
        <v>74</v>
      </c>
      <c r="BK521" s="2" t="s">
        <v>74</v>
      </c>
      <c r="BL521" s="2" t="s">
        <v>74</v>
      </c>
      <c r="BM521" s="2" t="s">
        <v>74</v>
      </c>
      <c r="BN521" s="2">
        <v>29491887</v>
      </c>
      <c r="BO521" s="2" t="s">
        <v>74</v>
      </c>
      <c r="BP521" s="2" t="s">
        <v>74</v>
      </c>
      <c r="BQ521" s="2" t="s">
        <v>74</v>
      </c>
      <c r="BR521" s="2" t="s">
        <v>74</v>
      </c>
      <c r="BS521" s="2" t="s">
        <v>1770</v>
      </c>
      <c r="BT521" s="2" t="str">
        <f>HYPERLINK("https%3A%2F%2Fwww.webofscience.com%2Fwos%2Fwoscc%2Ffull-record%2FWOS:000374258900004","View Full Record in Web of Science")</f>
        <v>View Full Record in Web of Science</v>
      </c>
    </row>
    <row r="522" spans="1:72" s="1" customFormat="1" x14ac:dyDescent="0.4">
      <c r="A522" s="2" t="s">
        <v>72</v>
      </c>
      <c r="B522" s="2" t="s">
        <v>7706</v>
      </c>
      <c r="C522" s="2" t="s">
        <v>74</v>
      </c>
      <c r="D522" s="2" t="s">
        <v>74</v>
      </c>
      <c r="E522" s="2" t="s">
        <v>74</v>
      </c>
      <c r="F522" s="2" t="s">
        <v>7706</v>
      </c>
      <c r="G522" s="2" t="s">
        <v>74</v>
      </c>
      <c r="H522" s="2" t="s">
        <v>74</v>
      </c>
      <c r="I522" s="2" t="s">
        <v>7707</v>
      </c>
      <c r="J522" s="2" t="s">
        <v>1526</v>
      </c>
      <c r="K522" s="2" t="s">
        <v>74</v>
      </c>
      <c r="L522" s="2" t="s">
        <v>74</v>
      </c>
      <c r="M522" s="2" t="s">
        <v>74</v>
      </c>
      <c r="N522" s="2" t="s">
        <v>74</v>
      </c>
      <c r="O522" s="2" t="s">
        <v>74</v>
      </c>
      <c r="P522" s="2" t="s">
        <v>74</v>
      </c>
      <c r="Q522" s="2" t="s">
        <v>74</v>
      </c>
      <c r="R522" s="2" t="s">
        <v>74</v>
      </c>
      <c r="S522" s="2" t="s">
        <v>74</v>
      </c>
      <c r="T522" s="2" t="s">
        <v>74</v>
      </c>
      <c r="U522" s="2" t="s">
        <v>74</v>
      </c>
      <c r="V522" s="5" t="s">
        <v>7708</v>
      </c>
      <c r="W522" s="2" t="s">
        <v>74</v>
      </c>
      <c r="X522" s="2" t="s">
        <v>74</v>
      </c>
      <c r="Y522" s="2" t="s">
        <v>74</v>
      </c>
      <c r="Z522" s="2" t="s">
        <v>74</v>
      </c>
      <c r="AA522" s="2" t="s">
        <v>5351</v>
      </c>
      <c r="AB522" s="2" t="s">
        <v>6109</v>
      </c>
      <c r="AC522" s="2" t="s">
        <v>74</v>
      </c>
      <c r="AD522" s="2" t="s">
        <v>74</v>
      </c>
      <c r="AE522" s="2" t="s">
        <v>74</v>
      </c>
      <c r="AF522" s="2" t="s">
        <v>74</v>
      </c>
      <c r="AG522" s="2" t="s">
        <v>74</v>
      </c>
      <c r="AH522" s="2" t="s">
        <v>74</v>
      </c>
      <c r="AI522" s="2" t="s">
        <v>74</v>
      </c>
      <c r="AJ522" s="2" t="s">
        <v>74</v>
      </c>
      <c r="AK522" s="2" t="s">
        <v>74</v>
      </c>
      <c r="AL522" s="2" t="s">
        <v>74</v>
      </c>
      <c r="AM522" s="2" t="s">
        <v>74</v>
      </c>
      <c r="AN522" s="2" t="s">
        <v>74</v>
      </c>
      <c r="AO522" s="2" t="s">
        <v>1528</v>
      </c>
      <c r="AP522" s="2" t="s">
        <v>2131</v>
      </c>
      <c r="AQ522" s="2" t="s">
        <v>74</v>
      </c>
      <c r="AR522" s="2" t="s">
        <v>74</v>
      </c>
      <c r="AS522" s="2" t="s">
        <v>74</v>
      </c>
      <c r="AT522" s="2" t="s">
        <v>145</v>
      </c>
      <c r="AU522" s="2">
        <v>1994</v>
      </c>
      <c r="AV522" s="2">
        <v>96</v>
      </c>
      <c r="AW522" s="2">
        <v>3</v>
      </c>
      <c r="AX522" s="2" t="s">
        <v>74</v>
      </c>
      <c r="AY522" s="2" t="s">
        <v>74</v>
      </c>
      <c r="AZ522" s="2" t="s">
        <v>74</v>
      </c>
      <c r="BA522" s="2" t="s">
        <v>74</v>
      </c>
      <c r="BB522" s="2">
        <v>626</v>
      </c>
      <c r="BC522" s="2">
        <v>630</v>
      </c>
      <c r="BD522" s="2" t="s">
        <v>74</v>
      </c>
      <c r="BE522" s="2" t="s">
        <v>7709</v>
      </c>
      <c r="BF522" s="2" t="str">
        <f>HYPERLINK("http://dx.doi.org/10.2307/1369465","http://dx.doi.org/10.2307/1369465")</f>
        <v>http://dx.doi.org/10.2307/1369465</v>
      </c>
      <c r="BG522" s="2" t="s">
        <v>74</v>
      </c>
      <c r="BH522" s="2" t="s">
        <v>74</v>
      </c>
      <c r="BI522" s="2" t="s">
        <v>74</v>
      </c>
      <c r="BJ522" s="2" t="s">
        <v>74</v>
      </c>
      <c r="BK522" s="2" t="s">
        <v>74</v>
      </c>
      <c r="BL522" s="2" t="s">
        <v>74</v>
      </c>
      <c r="BM522" s="2" t="s">
        <v>74</v>
      </c>
      <c r="BN522" s="2" t="s">
        <v>74</v>
      </c>
      <c r="BO522" s="2" t="s">
        <v>74</v>
      </c>
      <c r="BP522" s="2" t="s">
        <v>74</v>
      </c>
      <c r="BQ522" s="2" t="s">
        <v>74</v>
      </c>
      <c r="BR522" s="2" t="s">
        <v>74</v>
      </c>
      <c r="BS522" s="2" t="s">
        <v>7710</v>
      </c>
      <c r="BT522" s="2" t="str">
        <f>HYPERLINK("https%3A%2F%2Fwww.webofscience.com%2Fwos%2Fwoscc%2Ffull-record%2FWOS:A1994PE53800006","View Full Record in Web of Science")</f>
        <v>View Full Record in Web of Science</v>
      </c>
    </row>
    <row r="523" spans="1:72" s="2" customFormat="1" x14ac:dyDescent="0.4">
      <c r="A523" s="2" t="s">
        <v>72</v>
      </c>
      <c r="B523" s="2" t="s">
        <v>1937</v>
      </c>
      <c r="C523" s="2" t="s">
        <v>74</v>
      </c>
      <c r="D523" s="2" t="s">
        <v>74</v>
      </c>
      <c r="E523" s="2" t="s">
        <v>74</v>
      </c>
      <c r="F523" s="2" t="s">
        <v>1938</v>
      </c>
      <c r="G523" s="2" t="s">
        <v>74</v>
      </c>
      <c r="H523" s="2" t="s">
        <v>74</v>
      </c>
      <c r="I523" s="2" t="s">
        <v>1939</v>
      </c>
      <c r="J523" s="2" t="s">
        <v>1044</v>
      </c>
      <c r="K523" s="2" t="s">
        <v>74</v>
      </c>
      <c r="L523" s="2" t="s">
        <v>74</v>
      </c>
      <c r="M523" s="2" t="s">
        <v>74</v>
      </c>
      <c r="N523" s="2" t="s">
        <v>74</v>
      </c>
      <c r="O523" s="2" t="s">
        <v>74</v>
      </c>
      <c r="P523" s="2" t="s">
        <v>74</v>
      </c>
      <c r="Q523" s="2" t="s">
        <v>74</v>
      </c>
      <c r="R523" s="2" t="s">
        <v>74</v>
      </c>
      <c r="S523" s="2" t="s">
        <v>74</v>
      </c>
      <c r="T523" s="2" t="s">
        <v>74</v>
      </c>
      <c r="U523" s="2" t="s">
        <v>74</v>
      </c>
      <c r="V523" s="5" t="s">
        <v>1940</v>
      </c>
      <c r="W523" s="2" t="s">
        <v>74</v>
      </c>
      <c r="X523" s="2" t="s">
        <v>74</v>
      </c>
      <c r="Y523" s="2" t="s">
        <v>74</v>
      </c>
      <c r="Z523" s="2" t="s">
        <v>74</v>
      </c>
      <c r="AA523" s="2" t="s">
        <v>1941</v>
      </c>
      <c r="AB523" s="2" t="s">
        <v>1942</v>
      </c>
      <c r="AC523" s="2" t="s">
        <v>74</v>
      </c>
      <c r="AD523" s="2" t="s">
        <v>74</v>
      </c>
      <c r="AE523" s="2" t="s">
        <v>74</v>
      </c>
      <c r="AF523" s="2" t="s">
        <v>74</v>
      </c>
      <c r="AG523" s="2" t="s">
        <v>74</v>
      </c>
      <c r="AH523" s="2" t="s">
        <v>74</v>
      </c>
      <c r="AI523" s="2" t="s">
        <v>74</v>
      </c>
      <c r="AJ523" s="2" t="s">
        <v>74</v>
      </c>
      <c r="AK523" s="2" t="s">
        <v>74</v>
      </c>
      <c r="AL523" s="2" t="s">
        <v>74</v>
      </c>
      <c r="AM523" s="2" t="s">
        <v>74</v>
      </c>
      <c r="AN523" s="2" t="s">
        <v>74</v>
      </c>
      <c r="AO523" s="2" t="s">
        <v>1048</v>
      </c>
      <c r="AP523" s="2" t="s">
        <v>1049</v>
      </c>
      <c r="AQ523" s="2" t="s">
        <v>74</v>
      </c>
      <c r="AR523" s="2" t="s">
        <v>74</v>
      </c>
      <c r="AS523" s="2" t="s">
        <v>74</v>
      </c>
      <c r="AT523" s="2" t="s">
        <v>305</v>
      </c>
      <c r="AU523" s="2">
        <v>2020</v>
      </c>
      <c r="AV523" s="2">
        <v>29</v>
      </c>
      <c r="AW523" s="2">
        <v>24</v>
      </c>
      <c r="AX523" s="2" t="s">
        <v>74</v>
      </c>
      <c r="AY523" s="2" t="s">
        <v>74</v>
      </c>
      <c r="AZ523" s="2" t="s">
        <v>74</v>
      </c>
      <c r="BA523" s="2" t="s">
        <v>74</v>
      </c>
      <c r="BB523" s="2">
        <v>4942</v>
      </c>
      <c r="BC523" s="2">
        <v>4955</v>
      </c>
      <c r="BD523" s="2" t="s">
        <v>74</v>
      </c>
      <c r="BE523" s="2" t="s">
        <v>1943</v>
      </c>
      <c r="BF523" s="2" t="str">
        <f>HYPERLINK("http://dx.doi.org/10.1111/mec.15682","http://dx.doi.org/10.1111/mec.15682")</f>
        <v>http://dx.doi.org/10.1111/mec.15682</v>
      </c>
      <c r="BG523" s="2" t="s">
        <v>74</v>
      </c>
      <c r="BH523" s="2" t="s">
        <v>1944</v>
      </c>
      <c r="BI523" s="2" t="s">
        <v>74</v>
      </c>
      <c r="BJ523" s="2" t="s">
        <v>74</v>
      </c>
      <c r="BK523" s="2" t="s">
        <v>74</v>
      </c>
      <c r="BL523" s="2" t="s">
        <v>74</v>
      </c>
      <c r="BM523" s="2" t="s">
        <v>74</v>
      </c>
      <c r="BN523" s="2">
        <v>33051915</v>
      </c>
      <c r="BO523" s="2" t="s">
        <v>74</v>
      </c>
      <c r="BP523" s="2" t="s">
        <v>74</v>
      </c>
      <c r="BQ523" s="2" t="s">
        <v>74</v>
      </c>
      <c r="BR523" s="2" t="s">
        <v>74</v>
      </c>
      <c r="BS523" s="2" t="s">
        <v>1945</v>
      </c>
      <c r="BT523" s="2" t="str">
        <f>HYPERLINK("https%3A%2F%2Fwww.webofscience.com%2Fwos%2Fwoscc%2Ffull-record%2FWOS:000586619500001","View Full Record in Web of Science")</f>
        <v>View Full Record in Web of Science</v>
      </c>
    </row>
    <row r="524" spans="1:72" s="2" customFormat="1" x14ac:dyDescent="0.4">
      <c r="A524" s="2" t="s">
        <v>72</v>
      </c>
      <c r="B524" s="2" t="s">
        <v>4970</v>
      </c>
      <c r="C524" s="2" t="s">
        <v>74</v>
      </c>
      <c r="D524" s="2" t="s">
        <v>74</v>
      </c>
      <c r="E524" s="2" t="s">
        <v>74</v>
      </c>
      <c r="F524" s="2" t="s">
        <v>4970</v>
      </c>
      <c r="G524" s="2" t="s">
        <v>74</v>
      </c>
      <c r="H524" s="2" t="s">
        <v>74</v>
      </c>
      <c r="I524" s="2" t="s">
        <v>4971</v>
      </c>
      <c r="J524" s="2" t="s">
        <v>281</v>
      </c>
      <c r="K524" s="2" t="s">
        <v>74</v>
      </c>
      <c r="L524" s="2" t="s">
        <v>74</v>
      </c>
      <c r="M524" s="2" t="s">
        <v>74</v>
      </c>
      <c r="N524" s="2" t="s">
        <v>74</v>
      </c>
      <c r="O524" s="2" t="s">
        <v>74</v>
      </c>
      <c r="P524" s="2" t="s">
        <v>74</v>
      </c>
      <c r="Q524" s="2" t="s">
        <v>74</v>
      </c>
      <c r="R524" s="2" t="s">
        <v>74</v>
      </c>
      <c r="S524" s="2" t="s">
        <v>74</v>
      </c>
      <c r="T524" s="2" t="s">
        <v>74</v>
      </c>
      <c r="U524" s="2" t="s">
        <v>74</v>
      </c>
      <c r="V524" s="5" t="s">
        <v>4972</v>
      </c>
      <c r="W524" s="2" t="s">
        <v>74</v>
      </c>
      <c r="X524" s="2" t="s">
        <v>74</v>
      </c>
      <c r="Y524" s="2" t="s">
        <v>74</v>
      </c>
      <c r="Z524" s="2" t="s">
        <v>74</v>
      </c>
      <c r="AA524" s="2" t="s">
        <v>74</v>
      </c>
      <c r="AB524" s="2" t="s">
        <v>4973</v>
      </c>
      <c r="AC524" s="2" t="s">
        <v>74</v>
      </c>
      <c r="AD524" s="2" t="s">
        <v>74</v>
      </c>
      <c r="AE524" s="2" t="s">
        <v>74</v>
      </c>
      <c r="AF524" s="2" t="s">
        <v>74</v>
      </c>
      <c r="AG524" s="2" t="s">
        <v>74</v>
      </c>
      <c r="AH524" s="2" t="s">
        <v>74</v>
      </c>
      <c r="AI524" s="2" t="s">
        <v>74</v>
      </c>
      <c r="AJ524" s="2" t="s">
        <v>74</v>
      </c>
      <c r="AK524" s="2" t="s">
        <v>74</v>
      </c>
      <c r="AL524" s="2" t="s">
        <v>74</v>
      </c>
      <c r="AM524" s="2" t="s">
        <v>74</v>
      </c>
      <c r="AN524" s="2" t="s">
        <v>74</v>
      </c>
      <c r="AO524" s="2" t="s">
        <v>285</v>
      </c>
      <c r="AP524" s="2" t="s">
        <v>286</v>
      </c>
      <c r="AQ524" s="2" t="s">
        <v>74</v>
      </c>
      <c r="AR524" s="2" t="s">
        <v>74</v>
      </c>
      <c r="AS524" s="2" t="s">
        <v>74</v>
      </c>
      <c r="AT524" s="2" t="s">
        <v>204</v>
      </c>
      <c r="AU524" s="2">
        <v>2005</v>
      </c>
      <c r="AV524" s="2">
        <v>8</v>
      </c>
      <c r="AW524" s="2">
        <v>3</v>
      </c>
      <c r="AX524" s="2" t="s">
        <v>74</v>
      </c>
      <c r="AY524" s="2" t="s">
        <v>74</v>
      </c>
      <c r="AZ524" s="2" t="s">
        <v>74</v>
      </c>
      <c r="BA524" s="2" t="s">
        <v>74</v>
      </c>
      <c r="BB524" s="2">
        <v>211</v>
      </c>
      <c r="BC524" s="2">
        <v>214</v>
      </c>
      <c r="BD524" s="2" t="s">
        <v>74</v>
      </c>
      <c r="BE524" s="2" t="s">
        <v>4974</v>
      </c>
      <c r="BF524" s="2" t="str">
        <f>HYPERLINK("http://dx.doi.org/10.1007/s10071-004-0249-4","http://dx.doi.org/10.1007/s10071-004-0249-4")</f>
        <v>http://dx.doi.org/10.1007/s10071-004-0249-4</v>
      </c>
      <c r="BG524" s="2" t="s">
        <v>74</v>
      </c>
      <c r="BH524" s="2" t="s">
        <v>74</v>
      </c>
      <c r="BI524" s="2" t="s">
        <v>74</v>
      </c>
      <c r="BJ524" s="2" t="s">
        <v>74</v>
      </c>
      <c r="BK524" s="2" t="s">
        <v>74</v>
      </c>
      <c r="BL524" s="2" t="s">
        <v>74</v>
      </c>
      <c r="BM524" s="2" t="s">
        <v>74</v>
      </c>
      <c r="BN524" s="2">
        <v>15611879</v>
      </c>
      <c r="BO524" s="2" t="s">
        <v>74</v>
      </c>
      <c r="BP524" s="2" t="s">
        <v>74</v>
      </c>
      <c r="BQ524" s="2" t="s">
        <v>74</v>
      </c>
      <c r="BR524" s="2" t="s">
        <v>74</v>
      </c>
      <c r="BS524" s="2" t="s">
        <v>4975</v>
      </c>
      <c r="BT524" s="2" t="str">
        <f>HYPERLINK("https%3A%2F%2Fwww.webofscience.com%2Fwos%2Fwoscc%2Ffull-record%2FWOS:000231236200007","View Full Record in Web of Science")</f>
        <v>View Full Record in Web of Science</v>
      </c>
    </row>
    <row r="525" spans="1:72" s="2" customFormat="1" x14ac:dyDescent="0.4">
      <c r="A525" s="2" t="s">
        <v>72</v>
      </c>
      <c r="B525" s="2" t="s">
        <v>4310</v>
      </c>
      <c r="C525" s="2" t="s">
        <v>74</v>
      </c>
      <c r="D525" s="2" t="s">
        <v>74</v>
      </c>
      <c r="E525" s="2" t="s">
        <v>74</v>
      </c>
      <c r="F525" s="2" t="s">
        <v>4310</v>
      </c>
      <c r="G525" s="2" t="s">
        <v>74</v>
      </c>
      <c r="H525" s="2" t="s">
        <v>74</v>
      </c>
      <c r="I525" s="2" t="s">
        <v>4311</v>
      </c>
      <c r="J525" s="2" t="s">
        <v>610</v>
      </c>
      <c r="K525" s="2" t="s">
        <v>74</v>
      </c>
      <c r="L525" s="2" t="s">
        <v>74</v>
      </c>
      <c r="M525" s="2" t="s">
        <v>74</v>
      </c>
      <c r="N525" s="2" t="s">
        <v>74</v>
      </c>
      <c r="O525" s="2" t="s">
        <v>74</v>
      </c>
      <c r="P525" s="2" t="s">
        <v>74</v>
      </c>
      <c r="Q525" s="2" t="s">
        <v>74</v>
      </c>
      <c r="R525" s="2" t="s">
        <v>74</v>
      </c>
      <c r="S525" s="2" t="s">
        <v>74</v>
      </c>
      <c r="T525" s="2" t="s">
        <v>74</v>
      </c>
      <c r="U525" s="2" t="s">
        <v>74</v>
      </c>
      <c r="V525" s="5" t="s">
        <v>4312</v>
      </c>
      <c r="W525" s="2" t="s">
        <v>74</v>
      </c>
      <c r="X525" s="2" t="s">
        <v>74</v>
      </c>
      <c r="Y525" s="2" t="s">
        <v>74</v>
      </c>
      <c r="Z525" s="2" t="s">
        <v>74</v>
      </c>
      <c r="AA525" s="2" t="s">
        <v>74</v>
      </c>
      <c r="AB525" s="2" t="s">
        <v>3979</v>
      </c>
      <c r="AC525" s="2" t="s">
        <v>74</v>
      </c>
      <c r="AD525" s="2" t="s">
        <v>74</v>
      </c>
      <c r="AE525" s="2" t="s">
        <v>74</v>
      </c>
      <c r="AF525" s="2" t="s">
        <v>74</v>
      </c>
      <c r="AG525" s="2" t="s">
        <v>74</v>
      </c>
      <c r="AH525" s="2" t="s">
        <v>74</v>
      </c>
      <c r="AI525" s="2" t="s">
        <v>74</v>
      </c>
      <c r="AJ525" s="2" t="s">
        <v>74</v>
      </c>
      <c r="AK525" s="2" t="s">
        <v>74</v>
      </c>
      <c r="AL525" s="2" t="s">
        <v>74</v>
      </c>
      <c r="AM525" s="2" t="s">
        <v>74</v>
      </c>
      <c r="AN525" s="2" t="s">
        <v>74</v>
      </c>
      <c r="AO525" s="2" t="s">
        <v>614</v>
      </c>
      <c r="AP525" s="2" t="s">
        <v>615</v>
      </c>
      <c r="AQ525" s="2" t="s">
        <v>74</v>
      </c>
      <c r="AR525" s="2" t="s">
        <v>74</v>
      </c>
      <c r="AS525" s="2" t="s">
        <v>74</v>
      </c>
      <c r="AT525" s="2" t="s">
        <v>134</v>
      </c>
      <c r="AU525" s="2">
        <v>1999</v>
      </c>
      <c r="AV525" s="2">
        <v>105</v>
      </c>
      <c r="AW525" s="2">
        <v>5</v>
      </c>
      <c r="AX525" s="2" t="s">
        <v>74</v>
      </c>
      <c r="AY525" s="2" t="s">
        <v>74</v>
      </c>
      <c r="AZ525" s="2" t="s">
        <v>74</v>
      </c>
      <c r="BA525" s="2" t="s">
        <v>74</v>
      </c>
      <c r="BB525" s="2">
        <v>431</v>
      </c>
      <c r="BC525" s="2">
        <v>438</v>
      </c>
      <c r="BD525" s="2" t="s">
        <v>74</v>
      </c>
      <c r="BE525" s="2" t="s">
        <v>4313</v>
      </c>
      <c r="BF525" s="2" t="str">
        <f>HYPERLINK("http://dx.doi.org/10.1046/j.1439-0310.1999.00400.x","http://dx.doi.org/10.1046/j.1439-0310.1999.00400.x")</f>
        <v>http://dx.doi.org/10.1046/j.1439-0310.1999.00400.x</v>
      </c>
      <c r="BG525" s="2" t="s">
        <v>74</v>
      </c>
      <c r="BH525" s="2" t="s">
        <v>74</v>
      </c>
      <c r="BI525" s="2" t="s">
        <v>74</v>
      </c>
      <c r="BJ525" s="2" t="s">
        <v>74</v>
      </c>
      <c r="BK525" s="2" t="s">
        <v>74</v>
      </c>
      <c r="BL525" s="2" t="s">
        <v>74</v>
      </c>
      <c r="BM525" s="2" t="s">
        <v>74</v>
      </c>
      <c r="BN525" s="2" t="s">
        <v>74</v>
      </c>
      <c r="BO525" s="2" t="s">
        <v>74</v>
      </c>
      <c r="BP525" s="2" t="s">
        <v>74</v>
      </c>
      <c r="BQ525" s="2" t="s">
        <v>74</v>
      </c>
      <c r="BR525" s="2" t="s">
        <v>74</v>
      </c>
      <c r="BS525" s="2" t="s">
        <v>4314</v>
      </c>
      <c r="BT525" s="2" t="str">
        <f>HYPERLINK("https%3A%2F%2Fwww.webofscience.com%2Fwos%2Fwoscc%2Ffull-record%2FWOS:000080438000006","View Full Record in Web of Science")</f>
        <v>View Full Record in Web of Science</v>
      </c>
    </row>
    <row r="526" spans="1:72" s="2" customFormat="1" x14ac:dyDescent="0.4">
      <c r="A526" s="2" t="s">
        <v>72</v>
      </c>
      <c r="B526" s="2" t="s">
        <v>1599</v>
      </c>
      <c r="C526" s="2" t="s">
        <v>74</v>
      </c>
      <c r="D526" s="2" t="s">
        <v>74</v>
      </c>
      <c r="E526" s="2" t="s">
        <v>74</v>
      </c>
      <c r="F526" s="2" t="s">
        <v>1599</v>
      </c>
      <c r="G526" s="2" t="s">
        <v>74</v>
      </c>
      <c r="H526" s="2" t="s">
        <v>74</v>
      </c>
      <c r="I526" s="2" t="s">
        <v>1600</v>
      </c>
      <c r="J526" s="2" t="s">
        <v>1601</v>
      </c>
      <c r="K526" s="2" t="s">
        <v>74</v>
      </c>
      <c r="L526" s="2" t="s">
        <v>74</v>
      </c>
      <c r="M526" s="2" t="s">
        <v>74</v>
      </c>
      <c r="N526" s="2" t="s">
        <v>74</v>
      </c>
      <c r="O526" s="2" t="s">
        <v>74</v>
      </c>
      <c r="P526" s="2" t="s">
        <v>74</v>
      </c>
      <c r="Q526" s="2" t="s">
        <v>74</v>
      </c>
      <c r="R526" s="2" t="s">
        <v>74</v>
      </c>
      <c r="S526" s="2" t="s">
        <v>74</v>
      </c>
      <c r="T526" s="2" t="s">
        <v>74</v>
      </c>
      <c r="U526" s="2" t="s">
        <v>74</v>
      </c>
      <c r="V526" s="5" t="s">
        <v>1602</v>
      </c>
      <c r="W526" s="2" t="s">
        <v>74</v>
      </c>
      <c r="X526" s="2" t="s">
        <v>74</v>
      </c>
      <c r="Y526" s="2" t="s">
        <v>74</v>
      </c>
      <c r="Z526" s="2" t="s">
        <v>74</v>
      </c>
      <c r="AA526" s="2" t="s">
        <v>74</v>
      </c>
      <c r="AB526" s="2" t="s">
        <v>74</v>
      </c>
      <c r="AC526" s="2" t="s">
        <v>74</v>
      </c>
      <c r="AD526" s="2" t="s">
        <v>74</v>
      </c>
      <c r="AE526" s="2" t="s">
        <v>74</v>
      </c>
      <c r="AF526" s="2" t="s">
        <v>74</v>
      </c>
      <c r="AG526" s="2" t="s">
        <v>74</v>
      </c>
      <c r="AH526" s="2" t="s">
        <v>74</v>
      </c>
      <c r="AI526" s="2" t="s">
        <v>74</v>
      </c>
      <c r="AJ526" s="2" t="s">
        <v>74</v>
      </c>
      <c r="AK526" s="2" t="s">
        <v>74</v>
      </c>
      <c r="AL526" s="2" t="s">
        <v>74</v>
      </c>
      <c r="AM526" s="2" t="s">
        <v>74</v>
      </c>
      <c r="AN526" s="2" t="s">
        <v>74</v>
      </c>
      <c r="AO526" s="2" t="s">
        <v>1603</v>
      </c>
      <c r="AP526" s="2" t="s">
        <v>74</v>
      </c>
      <c r="AQ526" s="2" t="s">
        <v>74</v>
      </c>
      <c r="AR526" s="2" t="s">
        <v>74</v>
      </c>
      <c r="AS526" s="2" t="s">
        <v>74</v>
      </c>
      <c r="AT526" s="2" t="s">
        <v>352</v>
      </c>
      <c r="AU526" s="2">
        <v>1999</v>
      </c>
      <c r="AV526" s="2">
        <v>106</v>
      </c>
      <c r="AW526" s="2">
        <v>3</v>
      </c>
      <c r="AX526" s="2" t="s">
        <v>74</v>
      </c>
      <c r="AY526" s="2" t="s">
        <v>74</v>
      </c>
      <c r="AZ526" s="2" t="s">
        <v>74</v>
      </c>
      <c r="BA526" s="2" t="s">
        <v>74</v>
      </c>
      <c r="BB526" s="2">
        <v>643</v>
      </c>
      <c r="BC526" s="2">
        <v>661</v>
      </c>
      <c r="BD526" s="2" t="s">
        <v>74</v>
      </c>
      <c r="BE526" s="2" t="s">
        <v>1604</v>
      </c>
      <c r="BF526" s="2" t="str">
        <f>HYPERLINK("http://dx.doi.org/10.5962/bhl.part.80100","http://dx.doi.org/10.5962/bhl.part.80100")</f>
        <v>http://dx.doi.org/10.5962/bhl.part.80100</v>
      </c>
      <c r="BG526" s="2" t="s">
        <v>74</v>
      </c>
      <c r="BH526" s="2" t="s">
        <v>74</v>
      </c>
      <c r="BI526" s="2" t="s">
        <v>74</v>
      </c>
      <c r="BJ526" s="2" t="s">
        <v>74</v>
      </c>
      <c r="BK526" s="2" t="s">
        <v>74</v>
      </c>
      <c r="BL526" s="2" t="s">
        <v>74</v>
      </c>
      <c r="BM526" s="2" t="s">
        <v>74</v>
      </c>
      <c r="BN526" s="2" t="s">
        <v>74</v>
      </c>
      <c r="BO526" s="2" t="s">
        <v>74</v>
      </c>
      <c r="BP526" s="2" t="s">
        <v>74</v>
      </c>
      <c r="BQ526" s="2" t="s">
        <v>74</v>
      </c>
      <c r="BR526" s="2" t="s">
        <v>74</v>
      </c>
      <c r="BS526" s="2" t="s">
        <v>1605</v>
      </c>
      <c r="BT526" s="2" t="str">
        <f>HYPERLINK("https%3A%2F%2Fwww.webofscience.com%2Fwos%2Fwoscc%2Ffull-record%2FWOS:000082969900010","View Full Record in Web of Science")</f>
        <v>View Full Record in Web of Science</v>
      </c>
    </row>
    <row r="527" spans="1:72" s="2" customFormat="1" x14ac:dyDescent="0.4">
      <c r="A527" s="2" t="s">
        <v>72</v>
      </c>
      <c r="B527" s="2" t="s">
        <v>3709</v>
      </c>
      <c r="C527" s="2" t="s">
        <v>74</v>
      </c>
      <c r="D527" s="2" t="s">
        <v>74</v>
      </c>
      <c r="E527" s="2" t="s">
        <v>74</v>
      </c>
      <c r="F527" s="2" t="s">
        <v>3710</v>
      </c>
      <c r="G527" s="2" t="s">
        <v>74</v>
      </c>
      <c r="H527" s="2" t="s">
        <v>74</v>
      </c>
      <c r="I527" s="2" t="s">
        <v>3711</v>
      </c>
      <c r="J527" s="2" t="s">
        <v>1656</v>
      </c>
      <c r="K527" s="2" t="s">
        <v>74</v>
      </c>
      <c r="L527" s="2" t="s">
        <v>74</v>
      </c>
      <c r="M527" s="2" t="s">
        <v>74</v>
      </c>
      <c r="N527" s="2" t="s">
        <v>74</v>
      </c>
      <c r="O527" s="2" t="s">
        <v>74</v>
      </c>
      <c r="P527" s="2" t="s">
        <v>74</v>
      </c>
      <c r="Q527" s="2" t="s">
        <v>74</v>
      </c>
      <c r="R527" s="2" t="s">
        <v>74</v>
      </c>
      <c r="S527" s="2" t="s">
        <v>74</v>
      </c>
      <c r="T527" s="2" t="s">
        <v>74</v>
      </c>
      <c r="U527" s="2" t="s">
        <v>74</v>
      </c>
      <c r="V527" s="5" t="s">
        <v>3712</v>
      </c>
      <c r="W527" s="2" t="s">
        <v>74</v>
      </c>
      <c r="X527" s="2" t="s">
        <v>74</v>
      </c>
      <c r="Y527" s="2" t="s">
        <v>74</v>
      </c>
      <c r="Z527" s="2" t="s">
        <v>74</v>
      </c>
      <c r="AA527" s="2" t="s">
        <v>3713</v>
      </c>
      <c r="AB527" s="2" t="s">
        <v>3714</v>
      </c>
      <c r="AC527" s="2" t="s">
        <v>74</v>
      </c>
      <c r="AD527" s="2" t="s">
        <v>74</v>
      </c>
      <c r="AE527" s="2" t="s">
        <v>74</v>
      </c>
      <c r="AF527" s="2" t="s">
        <v>74</v>
      </c>
      <c r="AG527" s="2" t="s">
        <v>74</v>
      </c>
      <c r="AH527" s="2" t="s">
        <v>74</v>
      </c>
      <c r="AI527" s="2" t="s">
        <v>74</v>
      </c>
      <c r="AJ527" s="2" t="s">
        <v>74</v>
      </c>
      <c r="AK527" s="2" t="s">
        <v>74</v>
      </c>
      <c r="AL527" s="2" t="s">
        <v>74</v>
      </c>
      <c r="AM527" s="2" t="s">
        <v>74</v>
      </c>
      <c r="AN527" s="2" t="s">
        <v>74</v>
      </c>
      <c r="AO527" s="2" t="s">
        <v>1658</v>
      </c>
      <c r="AP527" s="2" t="s">
        <v>1659</v>
      </c>
      <c r="AQ527" s="2" t="s">
        <v>74</v>
      </c>
      <c r="AR527" s="2" t="s">
        <v>74</v>
      </c>
      <c r="AS527" s="2" t="s">
        <v>74</v>
      </c>
      <c r="AT527" s="2" t="s">
        <v>1629</v>
      </c>
      <c r="AU527" s="2">
        <v>2018</v>
      </c>
      <c r="AV527" s="2">
        <v>4471</v>
      </c>
      <c r="AW527" s="2">
        <v>1</v>
      </c>
      <c r="AX527" s="2" t="s">
        <v>74</v>
      </c>
      <c r="AY527" s="2" t="s">
        <v>74</v>
      </c>
      <c r="AZ527" s="2" t="s">
        <v>74</v>
      </c>
      <c r="BA527" s="2" t="s">
        <v>74</v>
      </c>
      <c r="BB527" s="2">
        <v>137</v>
      </c>
      <c r="BC527" s="2">
        <v>153</v>
      </c>
      <c r="BD527" s="2" t="s">
        <v>74</v>
      </c>
      <c r="BE527" s="2" t="s">
        <v>3715</v>
      </c>
      <c r="BF527" s="2" t="str">
        <f>HYPERLINK("http://dx.doi.org/10.11646/zootaxa.4471.1.6","http://dx.doi.org/10.11646/zootaxa.4471.1.6")</f>
        <v>http://dx.doi.org/10.11646/zootaxa.4471.1.6</v>
      </c>
      <c r="BG527" s="2" t="s">
        <v>74</v>
      </c>
      <c r="BH527" s="2" t="s">
        <v>74</v>
      </c>
      <c r="BI527" s="2" t="s">
        <v>74</v>
      </c>
      <c r="BJ527" s="2" t="s">
        <v>74</v>
      </c>
      <c r="BK527" s="2" t="s">
        <v>74</v>
      </c>
      <c r="BL527" s="2" t="s">
        <v>74</v>
      </c>
      <c r="BM527" s="2" t="s">
        <v>74</v>
      </c>
      <c r="BN527" s="2">
        <v>30313421</v>
      </c>
      <c r="BO527" s="2" t="s">
        <v>74</v>
      </c>
      <c r="BP527" s="2" t="s">
        <v>74</v>
      </c>
      <c r="BQ527" s="2" t="s">
        <v>74</v>
      </c>
      <c r="BR527" s="2" t="s">
        <v>74</v>
      </c>
      <c r="BS527" s="2" t="s">
        <v>3716</v>
      </c>
      <c r="BT527" s="2" t="str">
        <f>HYPERLINK("https%3A%2F%2Fwww.webofscience.com%2Fwos%2Fwoscc%2Ffull-record%2FWOS:000443458800006","View Full Record in Web of Science")</f>
        <v>View Full Record in Web of Science</v>
      </c>
    </row>
    <row r="528" spans="1:72" s="2" customFormat="1" x14ac:dyDescent="0.4">
      <c r="A528" s="2" t="s">
        <v>72</v>
      </c>
      <c r="B528" s="2" t="s">
        <v>3703</v>
      </c>
      <c r="C528" s="2" t="s">
        <v>74</v>
      </c>
      <c r="D528" s="2" t="s">
        <v>74</v>
      </c>
      <c r="E528" s="2" t="s">
        <v>74</v>
      </c>
      <c r="F528" s="2" t="s">
        <v>3703</v>
      </c>
      <c r="G528" s="2" t="s">
        <v>74</v>
      </c>
      <c r="H528" s="2" t="s">
        <v>74</v>
      </c>
      <c r="I528" s="2" t="s">
        <v>3704</v>
      </c>
      <c r="J528" s="2" t="s">
        <v>763</v>
      </c>
      <c r="K528" s="2" t="s">
        <v>74</v>
      </c>
      <c r="L528" s="2" t="s">
        <v>74</v>
      </c>
      <c r="M528" s="2" t="s">
        <v>74</v>
      </c>
      <c r="N528" s="2" t="s">
        <v>74</v>
      </c>
      <c r="O528" s="2" t="s">
        <v>74</v>
      </c>
      <c r="P528" s="2" t="s">
        <v>74</v>
      </c>
      <c r="Q528" s="2" t="s">
        <v>74</v>
      </c>
      <c r="R528" s="2" t="s">
        <v>74</v>
      </c>
      <c r="S528" s="2" t="s">
        <v>74</v>
      </c>
      <c r="T528" s="2" t="s">
        <v>74</v>
      </c>
      <c r="U528" s="2" t="s">
        <v>74</v>
      </c>
      <c r="V528" s="5" t="s">
        <v>3705</v>
      </c>
      <c r="W528" s="2" t="s">
        <v>74</v>
      </c>
      <c r="X528" s="2" t="s">
        <v>74</v>
      </c>
      <c r="Y528" s="2" t="s">
        <v>74</v>
      </c>
      <c r="Z528" s="2" t="s">
        <v>74</v>
      </c>
      <c r="AA528" s="2" t="s">
        <v>3706</v>
      </c>
      <c r="AB528" s="2" t="s">
        <v>3707</v>
      </c>
      <c r="AC528" s="2" t="s">
        <v>74</v>
      </c>
      <c r="AD528" s="2" t="s">
        <v>74</v>
      </c>
      <c r="AE528" s="2" t="s">
        <v>74</v>
      </c>
      <c r="AF528" s="2" t="s">
        <v>74</v>
      </c>
      <c r="AG528" s="2" t="s">
        <v>74</v>
      </c>
      <c r="AH528" s="2" t="s">
        <v>74</v>
      </c>
      <c r="AI528" s="2" t="s">
        <v>74</v>
      </c>
      <c r="AJ528" s="2" t="s">
        <v>74</v>
      </c>
      <c r="AK528" s="2" t="s">
        <v>74</v>
      </c>
      <c r="AL528" s="2" t="s">
        <v>74</v>
      </c>
      <c r="AM528" s="2" t="s">
        <v>74</v>
      </c>
      <c r="AN528" s="2" t="s">
        <v>74</v>
      </c>
      <c r="AO528" s="2" t="s">
        <v>767</v>
      </c>
      <c r="AP528" s="2" t="s">
        <v>74</v>
      </c>
      <c r="AQ528" s="2" t="s">
        <v>74</v>
      </c>
      <c r="AR528" s="2" t="s">
        <v>74</v>
      </c>
      <c r="AS528" s="2" t="s">
        <v>74</v>
      </c>
      <c r="AT528" s="2" t="s">
        <v>145</v>
      </c>
      <c r="AU528" s="2">
        <v>2002</v>
      </c>
      <c r="AV528" s="2">
        <v>205</v>
      </c>
      <c r="AW528" s="2">
        <v>16</v>
      </c>
      <c r="AX528" s="2" t="s">
        <v>74</v>
      </c>
      <c r="AY528" s="2" t="s">
        <v>74</v>
      </c>
      <c r="AZ528" s="2" t="s">
        <v>74</v>
      </c>
      <c r="BA528" s="2" t="s">
        <v>74</v>
      </c>
      <c r="BB528" s="2">
        <v>2535</v>
      </c>
      <c r="BC528" s="2">
        <v>2543</v>
      </c>
      <c r="BD528" s="2" t="s">
        <v>74</v>
      </c>
      <c r="BE528" s="2" t="s">
        <v>74</v>
      </c>
      <c r="BF528" s="2" t="s">
        <v>74</v>
      </c>
      <c r="BG528" s="2" t="s">
        <v>74</v>
      </c>
      <c r="BH528" s="2" t="s">
        <v>74</v>
      </c>
      <c r="BI528" s="2" t="s">
        <v>74</v>
      </c>
      <c r="BJ528" s="2" t="s">
        <v>74</v>
      </c>
      <c r="BK528" s="2" t="s">
        <v>74</v>
      </c>
      <c r="BL528" s="2" t="s">
        <v>74</v>
      </c>
      <c r="BM528" s="2" t="s">
        <v>74</v>
      </c>
      <c r="BN528" s="2">
        <v>12124377</v>
      </c>
      <c r="BO528" s="2" t="s">
        <v>74</v>
      </c>
      <c r="BP528" s="2" t="s">
        <v>74</v>
      </c>
      <c r="BQ528" s="2" t="s">
        <v>74</v>
      </c>
      <c r="BR528" s="2" t="s">
        <v>74</v>
      </c>
      <c r="BS528" s="2" t="s">
        <v>3708</v>
      </c>
      <c r="BT528" s="2" t="str">
        <f>HYPERLINK("https%3A%2F%2Fwww.webofscience.com%2Fwos%2Fwoscc%2Ffull-record%2FWOS:000177855700019","View Full Record in Web of Science")</f>
        <v>View Full Record in Web of Science</v>
      </c>
    </row>
    <row r="529" spans="1:72" s="2" customFormat="1" x14ac:dyDescent="0.4">
      <c r="A529" s="2" t="s">
        <v>72</v>
      </c>
      <c r="B529" s="2" t="s">
        <v>2515</v>
      </c>
      <c r="C529" s="2" t="s">
        <v>74</v>
      </c>
      <c r="D529" s="2" t="s">
        <v>74</v>
      </c>
      <c r="E529" s="2" t="s">
        <v>74</v>
      </c>
      <c r="F529" s="2" t="s">
        <v>2515</v>
      </c>
      <c r="G529" s="2" t="s">
        <v>74</v>
      </c>
      <c r="H529" s="2" t="s">
        <v>74</v>
      </c>
      <c r="I529" s="2" t="s">
        <v>2516</v>
      </c>
      <c r="J529" s="2" t="s">
        <v>1135</v>
      </c>
      <c r="K529" s="2" t="s">
        <v>74</v>
      </c>
      <c r="L529" s="2" t="s">
        <v>74</v>
      </c>
      <c r="M529" s="2" t="s">
        <v>74</v>
      </c>
      <c r="N529" s="2" t="s">
        <v>74</v>
      </c>
      <c r="O529" s="2" t="s">
        <v>74</v>
      </c>
      <c r="P529" s="2" t="s">
        <v>74</v>
      </c>
      <c r="Q529" s="2" t="s">
        <v>74</v>
      </c>
      <c r="R529" s="2" t="s">
        <v>74</v>
      </c>
      <c r="S529" s="2" t="s">
        <v>74</v>
      </c>
      <c r="T529" s="2" t="s">
        <v>74</v>
      </c>
      <c r="U529" s="2" t="s">
        <v>74</v>
      </c>
      <c r="V529" s="5" t="s">
        <v>2517</v>
      </c>
      <c r="W529" s="2" t="s">
        <v>74</v>
      </c>
      <c r="X529" s="2" t="s">
        <v>74</v>
      </c>
      <c r="Y529" s="2" t="s">
        <v>74</v>
      </c>
      <c r="Z529" s="2" t="s">
        <v>74</v>
      </c>
      <c r="AA529" s="2" t="s">
        <v>2518</v>
      </c>
      <c r="AB529" s="2" t="s">
        <v>2519</v>
      </c>
      <c r="AC529" s="2" t="s">
        <v>74</v>
      </c>
      <c r="AD529" s="2" t="s">
        <v>74</v>
      </c>
      <c r="AE529" s="2" t="s">
        <v>74</v>
      </c>
      <c r="AF529" s="2" t="s">
        <v>74</v>
      </c>
      <c r="AG529" s="2" t="s">
        <v>74</v>
      </c>
      <c r="AH529" s="2" t="s">
        <v>74</v>
      </c>
      <c r="AI529" s="2" t="s">
        <v>74</v>
      </c>
      <c r="AJ529" s="2" t="s">
        <v>74</v>
      </c>
      <c r="AK529" s="2" t="s">
        <v>74</v>
      </c>
      <c r="AL529" s="2" t="s">
        <v>74</v>
      </c>
      <c r="AM529" s="2" t="s">
        <v>74</v>
      </c>
      <c r="AN529" s="2" t="s">
        <v>74</v>
      </c>
      <c r="AO529" s="2" t="s">
        <v>1137</v>
      </c>
      <c r="AP529" s="2" t="s">
        <v>74</v>
      </c>
      <c r="AQ529" s="2" t="s">
        <v>74</v>
      </c>
      <c r="AR529" s="2" t="s">
        <v>74</v>
      </c>
      <c r="AS529" s="2" t="s">
        <v>74</v>
      </c>
      <c r="AT529" s="2" t="s">
        <v>1611</v>
      </c>
      <c r="AU529" s="2">
        <v>1993</v>
      </c>
      <c r="AV529" s="2">
        <v>24</v>
      </c>
      <c r="AW529" s="2">
        <v>1</v>
      </c>
      <c r="AX529" s="2" t="s">
        <v>74</v>
      </c>
      <c r="AY529" s="2" t="s">
        <v>74</v>
      </c>
      <c r="AZ529" s="2" t="s">
        <v>74</v>
      </c>
      <c r="BA529" s="2" t="s">
        <v>74</v>
      </c>
      <c r="BB529" s="2">
        <v>53</v>
      </c>
      <c r="BC529" s="2">
        <v>58</v>
      </c>
      <c r="BD529" s="2" t="s">
        <v>74</v>
      </c>
      <c r="BE529" s="2" t="s">
        <v>2520</v>
      </c>
      <c r="BF529" s="2" t="str">
        <f>HYPERLINK("http://dx.doi.org/10.2307/3676410","http://dx.doi.org/10.2307/3676410")</f>
        <v>http://dx.doi.org/10.2307/3676410</v>
      </c>
      <c r="BG529" s="2" t="s">
        <v>74</v>
      </c>
      <c r="BH529" s="2" t="s">
        <v>74</v>
      </c>
      <c r="BI529" s="2" t="s">
        <v>74</v>
      </c>
      <c r="BJ529" s="2" t="s">
        <v>74</v>
      </c>
      <c r="BK529" s="2" t="s">
        <v>74</v>
      </c>
      <c r="BL529" s="2" t="s">
        <v>74</v>
      </c>
      <c r="BM529" s="2" t="s">
        <v>74</v>
      </c>
      <c r="BN529" s="2" t="s">
        <v>74</v>
      </c>
      <c r="BO529" s="2" t="s">
        <v>74</v>
      </c>
      <c r="BP529" s="2" t="s">
        <v>74</v>
      </c>
      <c r="BQ529" s="2" t="s">
        <v>74</v>
      </c>
      <c r="BR529" s="2" t="s">
        <v>74</v>
      </c>
      <c r="BS529" s="2" t="s">
        <v>2521</v>
      </c>
      <c r="BT529" s="2" t="str">
        <f>HYPERLINK("https%3A%2F%2Fwww.webofscience.com%2Fwos%2Fwoscc%2Ffull-record%2FWOS:A1993KP96900009","View Full Record in Web of Science")</f>
        <v>View Full Record in Web of Science</v>
      </c>
    </row>
    <row r="530" spans="1:72" s="2" customFormat="1" x14ac:dyDescent="0.4">
      <c r="A530" s="2" t="s">
        <v>72</v>
      </c>
      <c r="B530" s="2" t="s">
        <v>6371</v>
      </c>
      <c r="C530" s="2" t="s">
        <v>74</v>
      </c>
      <c r="D530" s="2" t="s">
        <v>74</v>
      </c>
      <c r="E530" s="2" t="s">
        <v>74</v>
      </c>
      <c r="F530" s="2" t="s">
        <v>6371</v>
      </c>
      <c r="G530" s="2" t="s">
        <v>74</v>
      </c>
      <c r="H530" s="2" t="s">
        <v>74</v>
      </c>
      <c r="I530" s="2" t="s">
        <v>6372</v>
      </c>
      <c r="J530" s="2" t="s">
        <v>6373</v>
      </c>
      <c r="K530" s="2" t="s">
        <v>74</v>
      </c>
      <c r="L530" s="2" t="s">
        <v>74</v>
      </c>
      <c r="M530" s="2" t="s">
        <v>74</v>
      </c>
      <c r="N530" s="2" t="s">
        <v>74</v>
      </c>
      <c r="O530" s="2" t="s">
        <v>6374</v>
      </c>
      <c r="P530" s="2" t="s">
        <v>6375</v>
      </c>
      <c r="Q530" s="2" t="s">
        <v>6376</v>
      </c>
      <c r="R530" s="2" t="s">
        <v>74</v>
      </c>
      <c r="S530" s="2" t="s">
        <v>74</v>
      </c>
      <c r="T530" s="2" t="s">
        <v>74</v>
      </c>
      <c r="U530" s="2" t="s">
        <v>74</v>
      </c>
      <c r="V530" s="5" t="s">
        <v>6377</v>
      </c>
      <c r="W530" s="2" t="s">
        <v>74</v>
      </c>
      <c r="X530" s="2" t="s">
        <v>74</v>
      </c>
      <c r="Y530" s="2" t="s">
        <v>74</v>
      </c>
      <c r="Z530" s="2" t="s">
        <v>74</v>
      </c>
      <c r="AA530" s="2" t="s">
        <v>74</v>
      </c>
      <c r="AB530" s="2" t="s">
        <v>74</v>
      </c>
      <c r="AC530" s="2" t="s">
        <v>74</v>
      </c>
      <c r="AD530" s="2" t="s">
        <v>74</v>
      </c>
      <c r="AE530" s="2" t="s">
        <v>74</v>
      </c>
      <c r="AF530" s="2" t="s">
        <v>74</v>
      </c>
      <c r="AG530" s="2" t="s">
        <v>74</v>
      </c>
      <c r="AH530" s="2" t="s">
        <v>74</v>
      </c>
      <c r="AI530" s="2" t="s">
        <v>74</v>
      </c>
      <c r="AJ530" s="2" t="s">
        <v>74</v>
      </c>
      <c r="AK530" s="2" t="s">
        <v>74</v>
      </c>
      <c r="AL530" s="2" t="s">
        <v>74</v>
      </c>
      <c r="AM530" s="2" t="s">
        <v>74</v>
      </c>
      <c r="AN530" s="2" t="s">
        <v>74</v>
      </c>
      <c r="AO530" s="2" t="s">
        <v>6378</v>
      </c>
      <c r="AP530" s="2" t="s">
        <v>74</v>
      </c>
      <c r="AQ530" s="2" t="s">
        <v>74</v>
      </c>
      <c r="AR530" s="2" t="s">
        <v>74</v>
      </c>
      <c r="AS530" s="2" t="s">
        <v>74</v>
      </c>
      <c r="AT530" s="2" t="s">
        <v>134</v>
      </c>
      <c r="AU530" s="2">
        <v>1997</v>
      </c>
      <c r="AV530" s="2">
        <v>25</v>
      </c>
      <c r="AW530" s="2">
        <v>3</v>
      </c>
      <c r="AX530" s="2" t="s">
        <v>74</v>
      </c>
      <c r="AY530" s="2" t="s">
        <v>74</v>
      </c>
      <c r="AZ530" s="2" t="s">
        <v>74</v>
      </c>
      <c r="BA530" s="2" t="s">
        <v>74</v>
      </c>
      <c r="BB530" s="2">
        <v>233</v>
      </c>
      <c r="BC530" s="2">
        <v>240</v>
      </c>
      <c r="BD530" s="2" t="s">
        <v>74</v>
      </c>
      <c r="BE530" s="2" t="s">
        <v>74</v>
      </c>
      <c r="BF530" s="2" t="s">
        <v>74</v>
      </c>
      <c r="BG530" s="2" t="s">
        <v>74</v>
      </c>
      <c r="BH530" s="2" t="s">
        <v>74</v>
      </c>
      <c r="BI530" s="2" t="s">
        <v>74</v>
      </c>
      <c r="BJ530" s="2" t="s">
        <v>74</v>
      </c>
      <c r="BK530" s="2" t="s">
        <v>74</v>
      </c>
      <c r="BL530" s="2" t="s">
        <v>74</v>
      </c>
      <c r="BM530" s="2" t="s">
        <v>74</v>
      </c>
      <c r="BN530" s="2">
        <v>9289882</v>
      </c>
      <c r="BO530" s="2" t="s">
        <v>74</v>
      </c>
      <c r="BP530" s="2" t="s">
        <v>74</v>
      </c>
      <c r="BQ530" s="2" t="s">
        <v>74</v>
      </c>
      <c r="BR530" s="2" t="s">
        <v>74</v>
      </c>
      <c r="BS530" s="2" t="s">
        <v>6379</v>
      </c>
      <c r="BT530" s="2" t="str">
        <f>HYPERLINK("https%3A%2F%2Fwww.webofscience.com%2Fwos%2Fwoscc%2Ffull-record%2FWOS:A1997XB94300007","View Full Record in Web of Science")</f>
        <v>View Full Record in Web of Science</v>
      </c>
    </row>
    <row r="531" spans="1:72" s="2" customFormat="1" x14ac:dyDescent="0.4">
      <c r="A531" s="2" t="s">
        <v>72</v>
      </c>
      <c r="B531" s="2" t="s">
        <v>2230</v>
      </c>
      <c r="C531" s="2" t="s">
        <v>74</v>
      </c>
      <c r="D531" s="2" t="s">
        <v>74</v>
      </c>
      <c r="E531" s="2" t="s">
        <v>74</v>
      </c>
      <c r="F531" s="2" t="s">
        <v>2230</v>
      </c>
      <c r="G531" s="2" t="s">
        <v>74</v>
      </c>
      <c r="H531" s="2" t="s">
        <v>74</v>
      </c>
      <c r="I531" s="2" t="s">
        <v>2231</v>
      </c>
      <c r="J531" s="2" t="s">
        <v>2232</v>
      </c>
      <c r="K531" s="2" t="s">
        <v>74</v>
      </c>
      <c r="L531" s="2" t="s">
        <v>74</v>
      </c>
      <c r="M531" s="2" t="s">
        <v>74</v>
      </c>
      <c r="N531" s="2" t="s">
        <v>74</v>
      </c>
      <c r="O531" s="2" t="s">
        <v>74</v>
      </c>
      <c r="P531" s="2" t="s">
        <v>74</v>
      </c>
      <c r="Q531" s="2" t="s">
        <v>74</v>
      </c>
      <c r="R531" s="2" t="s">
        <v>74</v>
      </c>
      <c r="S531" s="2" t="s">
        <v>74</v>
      </c>
      <c r="T531" s="2" t="s">
        <v>74</v>
      </c>
      <c r="U531" s="2" t="s">
        <v>74</v>
      </c>
      <c r="V531" s="5" t="s">
        <v>2233</v>
      </c>
      <c r="W531" s="2" t="s">
        <v>74</v>
      </c>
      <c r="X531" s="2" t="s">
        <v>74</v>
      </c>
      <c r="Y531" s="2" t="s">
        <v>74</v>
      </c>
      <c r="Z531" s="2" t="s">
        <v>74</v>
      </c>
      <c r="AA531" s="2" t="s">
        <v>2234</v>
      </c>
      <c r="AB531" s="2" t="s">
        <v>2235</v>
      </c>
      <c r="AC531" s="2" t="s">
        <v>74</v>
      </c>
      <c r="AD531" s="2" t="s">
        <v>74</v>
      </c>
      <c r="AE531" s="2" t="s">
        <v>74</v>
      </c>
      <c r="AF531" s="2" t="s">
        <v>74</v>
      </c>
      <c r="AG531" s="2" t="s">
        <v>74</v>
      </c>
      <c r="AH531" s="2" t="s">
        <v>74</v>
      </c>
      <c r="AI531" s="2" t="s">
        <v>74</v>
      </c>
      <c r="AJ531" s="2" t="s">
        <v>74</v>
      </c>
      <c r="AK531" s="2" t="s">
        <v>74</v>
      </c>
      <c r="AL531" s="2" t="s">
        <v>74</v>
      </c>
      <c r="AM531" s="2" t="s">
        <v>74</v>
      </c>
      <c r="AN531" s="2" t="s">
        <v>74</v>
      </c>
      <c r="AO531" s="2" t="s">
        <v>2236</v>
      </c>
      <c r="AP531" s="2" t="s">
        <v>2237</v>
      </c>
      <c r="AQ531" s="2" t="s">
        <v>74</v>
      </c>
      <c r="AR531" s="2" t="s">
        <v>74</v>
      </c>
      <c r="AS531" s="2" t="s">
        <v>74</v>
      </c>
      <c r="AT531" s="2" t="s">
        <v>175</v>
      </c>
      <c r="AU531" s="2">
        <v>2002</v>
      </c>
      <c r="AV531" s="2">
        <v>99</v>
      </c>
      <c r="AW531" s="2">
        <v>1</v>
      </c>
      <c r="AX531" s="2" t="s">
        <v>74</v>
      </c>
      <c r="AY531" s="2" t="s">
        <v>74</v>
      </c>
      <c r="AZ531" s="2" t="s">
        <v>74</v>
      </c>
      <c r="BA531" s="2" t="s">
        <v>74</v>
      </c>
      <c r="BB531" s="2">
        <v>184</v>
      </c>
      <c r="BC531" s="2">
        <v>188</v>
      </c>
      <c r="BD531" s="2" t="s">
        <v>74</v>
      </c>
      <c r="BE531" s="2" t="s">
        <v>2238</v>
      </c>
      <c r="BF531" s="2" t="str">
        <f>HYPERLINK("http://dx.doi.org/10.1034/j.1600-0706.2002.990119.x","http://dx.doi.org/10.1034/j.1600-0706.2002.990119.x")</f>
        <v>http://dx.doi.org/10.1034/j.1600-0706.2002.990119.x</v>
      </c>
      <c r="BG531" s="2" t="s">
        <v>74</v>
      </c>
      <c r="BH531" s="2" t="s">
        <v>74</v>
      </c>
      <c r="BI531" s="2" t="s">
        <v>74</v>
      </c>
      <c r="BJ531" s="2" t="s">
        <v>74</v>
      </c>
      <c r="BK531" s="2" t="s">
        <v>74</v>
      </c>
      <c r="BL531" s="2" t="s">
        <v>74</v>
      </c>
      <c r="BM531" s="2" t="s">
        <v>74</v>
      </c>
      <c r="BN531" s="2" t="s">
        <v>74</v>
      </c>
      <c r="BO531" s="2" t="s">
        <v>74</v>
      </c>
      <c r="BP531" s="2" t="s">
        <v>74</v>
      </c>
      <c r="BQ531" s="2" t="s">
        <v>74</v>
      </c>
      <c r="BR531" s="2" t="s">
        <v>74</v>
      </c>
      <c r="BS531" s="2" t="s">
        <v>2239</v>
      </c>
      <c r="BT531" s="2" t="str">
        <f>HYPERLINK("https%3A%2F%2Fwww.webofscience.com%2Fwos%2Fwoscc%2Ffull-record%2FWOS:000178883100019","View Full Record in Web of Science")</f>
        <v>View Full Record in Web of Science</v>
      </c>
    </row>
    <row r="532" spans="1:72" s="2" customFormat="1" x14ac:dyDescent="0.4">
      <c r="A532" s="2" t="s">
        <v>72</v>
      </c>
      <c r="B532" s="2" t="s">
        <v>6327</v>
      </c>
      <c r="C532" s="2" t="s">
        <v>74</v>
      </c>
      <c r="D532" s="2" t="s">
        <v>74</v>
      </c>
      <c r="E532" s="2" t="s">
        <v>74</v>
      </c>
      <c r="F532" s="2" t="s">
        <v>6328</v>
      </c>
      <c r="G532" s="2" t="s">
        <v>74</v>
      </c>
      <c r="H532" s="2" t="s">
        <v>74</v>
      </c>
      <c r="I532" s="2" t="s">
        <v>6329</v>
      </c>
      <c r="J532" s="2" t="s">
        <v>763</v>
      </c>
      <c r="K532" s="2" t="s">
        <v>74</v>
      </c>
      <c r="L532" s="2" t="s">
        <v>74</v>
      </c>
      <c r="M532" s="2" t="s">
        <v>74</v>
      </c>
      <c r="N532" s="2" t="s">
        <v>74</v>
      </c>
      <c r="O532" s="2" t="s">
        <v>74</v>
      </c>
      <c r="P532" s="2" t="s">
        <v>74</v>
      </c>
      <c r="Q532" s="2" t="s">
        <v>74</v>
      </c>
      <c r="R532" s="2" t="s">
        <v>74</v>
      </c>
      <c r="S532" s="2" t="s">
        <v>74</v>
      </c>
      <c r="T532" s="2" t="s">
        <v>74</v>
      </c>
      <c r="U532" s="2" t="s">
        <v>74</v>
      </c>
      <c r="V532" s="5" t="s">
        <v>6330</v>
      </c>
      <c r="W532" s="2" t="s">
        <v>74</v>
      </c>
      <c r="X532" s="2" t="s">
        <v>74</v>
      </c>
      <c r="Y532" s="2" t="s">
        <v>74</v>
      </c>
      <c r="Z532" s="2" t="s">
        <v>74</v>
      </c>
      <c r="AA532" s="2" t="s">
        <v>6331</v>
      </c>
      <c r="AB532" s="2" t="s">
        <v>74</v>
      </c>
      <c r="AC532" s="2" t="s">
        <v>74</v>
      </c>
      <c r="AD532" s="2" t="s">
        <v>74</v>
      </c>
      <c r="AE532" s="2" t="s">
        <v>74</v>
      </c>
      <c r="AF532" s="2" t="s">
        <v>74</v>
      </c>
      <c r="AG532" s="2" t="s">
        <v>74</v>
      </c>
      <c r="AH532" s="2" t="s">
        <v>74</v>
      </c>
      <c r="AI532" s="2" t="s">
        <v>74</v>
      </c>
      <c r="AJ532" s="2" t="s">
        <v>74</v>
      </c>
      <c r="AK532" s="2" t="s">
        <v>74</v>
      </c>
      <c r="AL532" s="2" t="s">
        <v>74</v>
      </c>
      <c r="AM532" s="2" t="s">
        <v>74</v>
      </c>
      <c r="AN532" s="2" t="s">
        <v>74</v>
      </c>
      <c r="AO532" s="2" t="s">
        <v>767</v>
      </c>
      <c r="AP532" s="2" t="s">
        <v>768</v>
      </c>
      <c r="AQ532" s="2" t="s">
        <v>74</v>
      </c>
      <c r="AR532" s="2" t="s">
        <v>74</v>
      </c>
      <c r="AS532" s="2" t="s">
        <v>74</v>
      </c>
      <c r="AT532" s="2" t="s">
        <v>1146</v>
      </c>
      <c r="AU532" s="2">
        <v>2008</v>
      </c>
      <c r="AV532" s="2">
        <v>211</v>
      </c>
      <c r="AW532" s="2">
        <v>15</v>
      </c>
      <c r="AX532" s="2" t="s">
        <v>74</v>
      </c>
      <c r="AY532" s="2" t="s">
        <v>74</v>
      </c>
      <c r="AZ532" s="2" t="s">
        <v>74</v>
      </c>
      <c r="BA532" s="2" t="s">
        <v>74</v>
      </c>
      <c r="BB532" s="2">
        <v>2519</v>
      </c>
      <c r="BC532" s="2">
        <v>2523</v>
      </c>
      <c r="BD532" s="2" t="s">
        <v>74</v>
      </c>
      <c r="BE532" s="2" t="s">
        <v>6332</v>
      </c>
      <c r="BF532" s="2" t="str">
        <f>HYPERLINK("http://dx.doi.org/10.1242/jeb.017327","http://dx.doi.org/10.1242/jeb.017327")</f>
        <v>http://dx.doi.org/10.1242/jeb.017327</v>
      </c>
      <c r="BG532" s="2" t="s">
        <v>74</v>
      </c>
      <c r="BH532" s="2" t="s">
        <v>74</v>
      </c>
      <c r="BI532" s="2" t="s">
        <v>74</v>
      </c>
      <c r="BJ532" s="2" t="s">
        <v>74</v>
      </c>
      <c r="BK532" s="2" t="s">
        <v>74</v>
      </c>
      <c r="BL532" s="2" t="s">
        <v>74</v>
      </c>
      <c r="BM532" s="2" t="s">
        <v>74</v>
      </c>
      <c r="BN532" s="2">
        <v>18626087</v>
      </c>
      <c r="BO532" s="2" t="s">
        <v>74</v>
      </c>
      <c r="BP532" s="2" t="s">
        <v>74</v>
      </c>
      <c r="BQ532" s="2" t="s">
        <v>74</v>
      </c>
      <c r="BR532" s="2" t="s">
        <v>74</v>
      </c>
      <c r="BS532" s="2" t="s">
        <v>6333</v>
      </c>
      <c r="BT532" s="2" t="str">
        <f>HYPERLINK("https%3A%2F%2Fwww.webofscience.com%2Fwos%2Fwoscc%2Ffull-record%2FWOS:000257620300027","View Full Record in Web of Science")</f>
        <v>View Full Record in Web of Science</v>
      </c>
    </row>
    <row r="533" spans="1:72" s="2" customFormat="1" x14ac:dyDescent="0.4">
      <c r="A533" s="2" t="s">
        <v>72</v>
      </c>
      <c r="B533" s="2" t="s">
        <v>1971</v>
      </c>
      <c r="C533" s="2" t="s">
        <v>74</v>
      </c>
      <c r="D533" s="2" t="s">
        <v>74</v>
      </c>
      <c r="E533" s="2" t="s">
        <v>74</v>
      </c>
      <c r="F533" s="2" t="s">
        <v>1972</v>
      </c>
      <c r="G533" s="2" t="s">
        <v>74</v>
      </c>
      <c r="H533" s="2" t="s">
        <v>74</v>
      </c>
      <c r="I533" s="2" t="s">
        <v>1973</v>
      </c>
      <c r="J533" s="2" t="s">
        <v>970</v>
      </c>
      <c r="K533" s="2" t="s">
        <v>74</v>
      </c>
      <c r="L533" s="2" t="s">
        <v>74</v>
      </c>
      <c r="M533" s="2" t="s">
        <v>74</v>
      </c>
      <c r="N533" s="2" t="s">
        <v>74</v>
      </c>
      <c r="O533" s="2" t="s">
        <v>74</v>
      </c>
      <c r="P533" s="2" t="s">
        <v>74</v>
      </c>
      <c r="Q533" s="2" t="s">
        <v>74</v>
      </c>
      <c r="R533" s="2" t="s">
        <v>74</v>
      </c>
      <c r="S533" s="2" t="s">
        <v>74</v>
      </c>
      <c r="T533" s="2" t="s">
        <v>74</v>
      </c>
      <c r="U533" s="2" t="s">
        <v>74</v>
      </c>
      <c r="V533" s="5" t="s">
        <v>1974</v>
      </c>
      <c r="W533" s="2" t="s">
        <v>74</v>
      </c>
      <c r="X533" s="2" t="s">
        <v>74</v>
      </c>
      <c r="Y533" s="2" t="s">
        <v>74</v>
      </c>
      <c r="Z533" s="2" t="s">
        <v>74</v>
      </c>
      <c r="AA533" s="2" t="s">
        <v>1975</v>
      </c>
      <c r="AB533" s="2" t="s">
        <v>1976</v>
      </c>
      <c r="AC533" s="2" t="s">
        <v>74</v>
      </c>
      <c r="AD533" s="2" t="s">
        <v>74</v>
      </c>
      <c r="AE533" s="2" t="s">
        <v>74</v>
      </c>
      <c r="AF533" s="2" t="s">
        <v>74</v>
      </c>
      <c r="AG533" s="2" t="s">
        <v>74</v>
      </c>
      <c r="AH533" s="2" t="s">
        <v>74</v>
      </c>
      <c r="AI533" s="2" t="s">
        <v>74</v>
      </c>
      <c r="AJ533" s="2" t="s">
        <v>74</v>
      </c>
      <c r="AK533" s="2" t="s">
        <v>74</v>
      </c>
      <c r="AL533" s="2" t="s">
        <v>74</v>
      </c>
      <c r="AM533" s="2" t="s">
        <v>74</v>
      </c>
      <c r="AN533" s="2" t="s">
        <v>74</v>
      </c>
      <c r="AO533" s="2" t="s">
        <v>974</v>
      </c>
      <c r="AP533" s="2" t="s">
        <v>975</v>
      </c>
      <c r="AQ533" s="2" t="s">
        <v>74</v>
      </c>
      <c r="AR533" s="2" t="s">
        <v>74</v>
      </c>
      <c r="AS533" s="2" t="s">
        <v>74</v>
      </c>
      <c r="AT533" s="2" t="s">
        <v>175</v>
      </c>
      <c r="AU533" s="2">
        <v>2006</v>
      </c>
      <c r="AV533" s="2">
        <v>147</v>
      </c>
      <c r="AW533" s="2">
        <v>4</v>
      </c>
      <c r="AX533" s="2" t="s">
        <v>74</v>
      </c>
      <c r="AY533" s="2" t="s">
        <v>74</v>
      </c>
      <c r="AZ533" s="2" t="s">
        <v>74</v>
      </c>
      <c r="BA533" s="2" t="s">
        <v>74</v>
      </c>
      <c r="BB533" s="2">
        <v>629</v>
      </c>
      <c r="BC533" s="2">
        <v>637</v>
      </c>
      <c r="BD533" s="2" t="s">
        <v>74</v>
      </c>
      <c r="BE533" s="2" t="s">
        <v>1977</v>
      </c>
      <c r="BF533" s="2" t="str">
        <f>HYPERLINK("http://dx.doi.org/10.1007/s10336-006-0088-y","http://dx.doi.org/10.1007/s10336-006-0088-y")</f>
        <v>http://dx.doi.org/10.1007/s10336-006-0088-y</v>
      </c>
      <c r="BG533" s="2" t="s">
        <v>74</v>
      </c>
      <c r="BH533" s="2" t="s">
        <v>74</v>
      </c>
      <c r="BI533" s="2" t="s">
        <v>74</v>
      </c>
      <c r="BJ533" s="2" t="s">
        <v>74</v>
      </c>
      <c r="BK533" s="2" t="s">
        <v>74</v>
      </c>
      <c r="BL533" s="2" t="s">
        <v>74</v>
      </c>
      <c r="BM533" s="2" t="s">
        <v>74</v>
      </c>
      <c r="BN533" s="2" t="s">
        <v>74</v>
      </c>
      <c r="BO533" s="2" t="s">
        <v>74</v>
      </c>
      <c r="BP533" s="2" t="s">
        <v>74</v>
      </c>
      <c r="BQ533" s="2" t="s">
        <v>74</v>
      </c>
      <c r="BR533" s="2" t="s">
        <v>74</v>
      </c>
      <c r="BS533" s="2" t="s">
        <v>1978</v>
      </c>
      <c r="BT533" s="2" t="str">
        <f>HYPERLINK("https%3A%2F%2Fwww.webofscience.com%2Fwos%2Fwoscc%2Ffull-record%2FWOS:000241113000015","View Full Record in Web of Science")</f>
        <v>View Full Record in Web of Science</v>
      </c>
    </row>
    <row r="534" spans="1:72" s="2" customFormat="1" x14ac:dyDescent="0.4">
      <c r="A534" s="2" t="s">
        <v>72</v>
      </c>
      <c r="B534" s="2" t="s">
        <v>3151</v>
      </c>
      <c r="C534" s="2" t="s">
        <v>74</v>
      </c>
      <c r="D534" s="2" t="s">
        <v>74</v>
      </c>
      <c r="E534" s="2" t="s">
        <v>74</v>
      </c>
      <c r="F534" s="2" t="s">
        <v>3152</v>
      </c>
      <c r="G534" s="2" t="s">
        <v>74</v>
      </c>
      <c r="H534" s="2" t="s">
        <v>74</v>
      </c>
      <c r="I534" s="2" t="s">
        <v>3153</v>
      </c>
      <c r="J534" s="2" t="s">
        <v>2232</v>
      </c>
      <c r="K534" s="2" t="s">
        <v>74</v>
      </c>
      <c r="L534" s="2" t="s">
        <v>74</v>
      </c>
      <c r="M534" s="2" t="s">
        <v>74</v>
      </c>
      <c r="N534" s="2" t="s">
        <v>74</v>
      </c>
      <c r="O534" s="2" t="s">
        <v>74</v>
      </c>
      <c r="P534" s="2" t="s">
        <v>74</v>
      </c>
      <c r="Q534" s="2" t="s">
        <v>74</v>
      </c>
      <c r="R534" s="2" t="s">
        <v>74</v>
      </c>
      <c r="S534" s="2" t="s">
        <v>74</v>
      </c>
      <c r="T534" s="2" t="s">
        <v>74</v>
      </c>
      <c r="U534" s="2" t="s">
        <v>74</v>
      </c>
      <c r="V534" s="5" t="s">
        <v>3154</v>
      </c>
      <c r="W534" s="2" t="s">
        <v>74</v>
      </c>
      <c r="X534" s="2" t="s">
        <v>74</v>
      </c>
      <c r="Y534" s="2" t="s">
        <v>74</v>
      </c>
      <c r="Z534" s="2" t="s">
        <v>74</v>
      </c>
      <c r="AA534" s="2" t="s">
        <v>3155</v>
      </c>
      <c r="AB534" s="2" t="s">
        <v>3156</v>
      </c>
      <c r="AC534" s="2" t="s">
        <v>74</v>
      </c>
      <c r="AD534" s="2" t="s">
        <v>74</v>
      </c>
      <c r="AE534" s="2" t="s">
        <v>74</v>
      </c>
      <c r="AF534" s="2" t="s">
        <v>74</v>
      </c>
      <c r="AG534" s="2" t="s">
        <v>74</v>
      </c>
      <c r="AH534" s="2" t="s">
        <v>74</v>
      </c>
      <c r="AI534" s="2" t="s">
        <v>74</v>
      </c>
      <c r="AJ534" s="2" t="s">
        <v>74</v>
      </c>
      <c r="AK534" s="2" t="s">
        <v>74</v>
      </c>
      <c r="AL534" s="2" t="s">
        <v>74</v>
      </c>
      <c r="AM534" s="2" t="s">
        <v>74</v>
      </c>
      <c r="AN534" s="2" t="s">
        <v>74</v>
      </c>
      <c r="AO534" s="2" t="s">
        <v>2236</v>
      </c>
      <c r="AP534" s="2" t="s">
        <v>74</v>
      </c>
      <c r="AQ534" s="2" t="s">
        <v>74</v>
      </c>
      <c r="AR534" s="2" t="s">
        <v>74</v>
      </c>
      <c r="AS534" s="2" t="s">
        <v>74</v>
      </c>
      <c r="AT534" s="2" t="s">
        <v>102</v>
      </c>
      <c r="AU534" s="2">
        <v>2011</v>
      </c>
      <c r="AV534" s="2">
        <v>120</v>
      </c>
      <c r="AW534" s="2">
        <v>6</v>
      </c>
      <c r="AX534" s="2" t="s">
        <v>74</v>
      </c>
      <c r="AY534" s="2" t="s">
        <v>74</v>
      </c>
      <c r="AZ534" s="2" t="s">
        <v>74</v>
      </c>
      <c r="BA534" s="2" t="s">
        <v>74</v>
      </c>
      <c r="BB534" s="2">
        <v>855</v>
      </c>
      <c r="BC534" s="2">
        <v>861</v>
      </c>
      <c r="BD534" s="2" t="s">
        <v>74</v>
      </c>
      <c r="BE534" s="2" t="s">
        <v>3157</v>
      </c>
      <c r="BF534" s="2" t="str">
        <f>HYPERLINK("http://dx.doi.org/10.1111/j.1600-0706.2010.19056.x","http://dx.doi.org/10.1111/j.1600-0706.2010.19056.x")</f>
        <v>http://dx.doi.org/10.1111/j.1600-0706.2010.19056.x</v>
      </c>
      <c r="BG534" s="2" t="s">
        <v>74</v>
      </c>
      <c r="BH534" s="2" t="s">
        <v>74</v>
      </c>
      <c r="BI534" s="2" t="s">
        <v>74</v>
      </c>
      <c r="BJ534" s="2" t="s">
        <v>74</v>
      </c>
      <c r="BK534" s="2" t="s">
        <v>74</v>
      </c>
      <c r="BL534" s="2" t="s">
        <v>74</v>
      </c>
      <c r="BM534" s="2" t="s">
        <v>74</v>
      </c>
      <c r="BN534" s="2" t="s">
        <v>74</v>
      </c>
      <c r="BO534" s="2" t="s">
        <v>74</v>
      </c>
      <c r="BP534" s="2" t="s">
        <v>74</v>
      </c>
      <c r="BQ534" s="2" t="s">
        <v>74</v>
      </c>
      <c r="BR534" s="2" t="s">
        <v>74</v>
      </c>
      <c r="BS534" s="2" t="s">
        <v>3158</v>
      </c>
      <c r="BT534" s="2" t="str">
        <f>HYPERLINK("https%3A%2F%2Fwww.webofscience.com%2Fwos%2Fwoscc%2Ffull-record%2FWOS:000290871400007","View Full Record in Web of Science")</f>
        <v>View Full Record in Web of Science</v>
      </c>
    </row>
    <row r="535" spans="1:72" s="2" customFormat="1" x14ac:dyDescent="0.4">
      <c r="A535" s="2" t="s">
        <v>72</v>
      </c>
      <c r="B535" s="2" t="s">
        <v>2608</v>
      </c>
      <c r="C535" s="2" t="s">
        <v>74</v>
      </c>
      <c r="D535" s="2" t="s">
        <v>74</v>
      </c>
      <c r="E535" s="2" t="s">
        <v>74</v>
      </c>
      <c r="F535" s="2" t="s">
        <v>2609</v>
      </c>
      <c r="G535" s="2" t="s">
        <v>74</v>
      </c>
      <c r="H535" s="2" t="s">
        <v>74</v>
      </c>
      <c r="I535" s="2" t="s">
        <v>2610</v>
      </c>
      <c r="J535" s="2" t="s">
        <v>1126</v>
      </c>
      <c r="K535" s="2" t="s">
        <v>74</v>
      </c>
      <c r="L535" s="2" t="s">
        <v>74</v>
      </c>
      <c r="M535" s="2" t="s">
        <v>74</v>
      </c>
      <c r="N535" s="2" t="s">
        <v>74</v>
      </c>
      <c r="O535" s="2" t="s">
        <v>74</v>
      </c>
      <c r="P535" s="2" t="s">
        <v>74</v>
      </c>
      <c r="Q535" s="2" t="s">
        <v>74</v>
      </c>
      <c r="R535" s="2" t="s">
        <v>74</v>
      </c>
      <c r="S535" s="2" t="s">
        <v>74</v>
      </c>
      <c r="T535" s="2" t="s">
        <v>74</v>
      </c>
      <c r="U535" s="2" t="s">
        <v>74</v>
      </c>
      <c r="V535" s="5" t="s">
        <v>2611</v>
      </c>
      <c r="W535" s="2" t="s">
        <v>74</v>
      </c>
      <c r="X535" s="2" t="s">
        <v>74</v>
      </c>
      <c r="Y535" s="2" t="s">
        <v>74</v>
      </c>
      <c r="Z535" s="2" t="s">
        <v>74</v>
      </c>
      <c r="AA535" s="2" t="s">
        <v>2612</v>
      </c>
      <c r="AB535" s="2" t="s">
        <v>74</v>
      </c>
      <c r="AC535" s="2" t="s">
        <v>74</v>
      </c>
      <c r="AD535" s="2" t="s">
        <v>74</v>
      </c>
      <c r="AE535" s="2" t="s">
        <v>74</v>
      </c>
      <c r="AF535" s="2" t="s">
        <v>74</v>
      </c>
      <c r="AG535" s="2" t="s">
        <v>74</v>
      </c>
      <c r="AH535" s="2" t="s">
        <v>74</v>
      </c>
      <c r="AI535" s="2" t="s">
        <v>74</v>
      </c>
      <c r="AJ535" s="2" t="s">
        <v>74</v>
      </c>
      <c r="AK535" s="2" t="s">
        <v>74</v>
      </c>
      <c r="AL535" s="2" t="s">
        <v>74</v>
      </c>
      <c r="AM535" s="2" t="s">
        <v>74</v>
      </c>
      <c r="AN535" s="2" t="s">
        <v>74</v>
      </c>
      <c r="AO535" s="2" t="s">
        <v>1128</v>
      </c>
      <c r="AP535" s="2" t="s">
        <v>1129</v>
      </c>
      <c r="AQ535" s="2" t="s">
        <v>74</v>
      </c>
      <c r="AR535" s="2" t="s">
        <v>74</v>
      </c>
      <c r="AS535" s="2" t="s">
        <v>74</v>
      </c>
      <c r="AT535" s="2" t="s">
        <v>1116</v>
      </c>
      <c r="AU535" s="2">
        <v>2010</v>
      </c>
      <c r="AV535" s="2" t="s">
        <v>74</v>
      </c>
      <c r="AW535" s="2">
        <v>2</v>
      </c>
      <c r="AX535" s="2" t="s">
        <v>74</v>
      </c>
      <c r="AY535" s="2" t="s">
        <v>74</v>
      </c>
      <c r="AZ535" s="2" t="s">
        <v>74</v>
      </c>
      <c r="BA535" s="2" t="s">
        <v>74</v>
      </c>
      <c r="BB535" s="2">
        <v>196</v>
      </c>
      <c r="BC535" s="2">
        <v>202</v>
      </c>
      <c r="BD535" s="2" t="s">
        <v>74</v>
      </c>
      <c r="BE535" s="2" t="s">
        <v>2613</v>
      </c>
      <c r="BF535" s="2" t="str">
        <f>HYPERLINK("http://dx.doi.org/10.1643/CG-09-044","http://dx.doi.org/10.1643/CG-09-044")</f>
        <v>http://dx.doi.org/10.1643/CG-09-044</v>
      </c>
      <c r="BG535" s="2" t="s">
        <v>74</v>
      </c>
      <c r="BH535" s="2" t="s">
        <v>74</v>
      </c>
      <c r="BI535" s="2" t="s">
        <v>74</v>
      </c>
      <c r="BJ535" s="2" t="s">
        <v>74</v>
      </c>
      <c r="BK535" s="2" t="s">
        <v>74</v>
      </c>
      <c r="BL535" s="2" t="s">
        <v>74</v>
      </c>
      <c r="BM535" s="2" t="s">
        <v>74</v>
      </c>
      <c r="BN535" s="2" t="s">
        <v>74</v>
      </c>
      <c r="BO535" s="2" t="s">
        <v>74</v>
      </c>
      <c r="BP535" s="2" t="s">
        <v>74</v>
      </c>
      <c r="BQ535" s="2" t="s">
        <v>74</v>
      </c>
      <c r="BR535" s="2" t="s">
        <v>74</v>
      </c>
      <c r="BS535" s="2" t="s">
        <v>2614</v>
      </c>
      <c r="BT535" s="2" t="str">
        <f>HYPERLINK("https%3A%2F%2Fwww.webofscience.com%2Fwos%2Fwoscc%2Ffull-record%2FWOS:000278428900002","View Full Record in Web of Science")</f>
        <v>View Full Record in Web of Science</v>
      </c>
    </row>
    <row r="536" spans="1:72" s="2" customFormat="1" x14ac:dyDescent="0.4">
      <c r="A536" s="2" t="s">
        <v>72</v>
      </c>
      <c r="B536" s="2" t="s">
        <v>3799</v>
      </c>
      <c r="C536" s="2" t="s">
        <v>74</v>
      </c>
      <c r="D536" s="2" t="s">
        <v>74</v>
      </c>
      <c r="E536" s="2" t="s">
        <v>74</v>
      </c>
      <c r="F536" s="2" t="s">
        <v>3800</v>
      </c>
      <c r="G536" s="2" t="s">
        <v>74</v>
      </c>
      <c r="H536" s="2" t="s">
        <v>74</v>
      </c>
      <c r="I536" s="2" t="s">
        <v>3801</v>
      </c>
      <c r="J536" s="2" t="s">
        <v>3026</v>
      </c>
      <c r="K536" s="2" t="s">
        <v>74</v>
      </c>
      <c r="L536" s="2" t="s">
        <v>74</v>
      </c>
      <c r="M536" s="2" t="s">
        <v>74</v>
      </c>
      <c r="N536" s="2" t="s">
        <v>74</v>
      </c>
      <c r="O536" s="2" t="s">
        <v>74</v>
      </c>
      <c r="P536" s="2" t="s">
        <v>74</v>
      </c>
      <c r="Q536" s="2" t="s">
        <v>74</v>
      </c>
      <c r="R536" s="2" t="s">
        <v>74</v>
      </c>
      <c r="S536" s="2" t="s">
        <v>74</v>
      </c>
      <c r="T536" s="2" t="s">
        <v>74</v>
      </c>
      <c r="U536" s="2" t="s">
        <v>74</v>
      </c>
      <c r="V536" s="5" t="s">
        <v>3802</v>
      </c>
      <c r="W536" s="2" t="s">
        <v>74</v>
      </c>
      <c r="X536" s="2" t="s">
        <v>74</v>
      </c>
      <c r="Y536" s="2" t="s">
        <v>74</v>
      </c>
      <c r="Z536" s="2" t="s">
        <v>74</v>
      </c>
      <c r="AA536" s="2" t="s">
        <v>74</v>
      </c>
      <c r="AB536" s="2" t="s">
        <v>74</v>
      </c>
      <c r="AC536" s="2" t="s">
        <v>74</v>
      </c>
      <c r="AD536" s="2" t="s">
        <v>74</v>
      </c>
      <c r="AE536" s="2" t="s">
        <v>74</v>
      </c>
      <c r="AF536" s="2" t="s">
        <v>74</v>
      </c>
      <c r="AG536" s="2" t="s">
        <v>74</v>
      </c>
      <c r="AH536" s="2" t="s">
        <v>74</v>
      </c>
      <c r="AI536" s="2" t="s">
        <v>74</v>
      </c>
      <c r="AJ536" s="2" t="s">
        <v>74</v>
      </c>
      <c r="AK536" s="2" t="s">
        <v>74</v>
      </c>
      <c r="AL536" s="2" t="s">
        <v>74</v>
      </c>
      <c r="AM536" s="2" t="s">
        <v>74</v>
      </c>
      <c r="AN536" s="2" t="s">
        <v>74</v>
      </c>
      <c r="AO536" s="2" t="s">
        <v>3030</v>
      </c>
      <c r="AP536" s="2" t="s">
        <v>74</v>
      </c>
      <c r="AQ536" s="2" t="s">
        <v>74</v>
      </c>
      <c r="AR536" s="2" t="s">
        <v>74</v>
      </c>
      <c r="AS536" s="2" t="s">
        <v>74</v>
      </c>
      <c r="AT536" s="2" t="s">
        <v>3803</v>
      </c>
      <c r="AU536" s="2">
        <v>2014</v>
      </c>
      <c r="AV536" s="2">
        <v>3</v>
      </c>
      <c r="AW536" s="2">
        <v>3</v>
      </c>
      <c r="AX536" s="2" t="s">
        <v>74</v>
      </c>
      <c r="AY536" s="2" t="s">
        <v>74</v>
      </c>
      <c r="AZ536" s="2" t="s">
        <v>74</v>
      </c>
      <c r="BA536" s="2" t="s">
        <v>74</v>
      </c>
      <c r="BB536" s="2">
        <v>221</v>
      </c>
      <c r="BC536" s="2">
        <v>230</v>
      </c>
      <c r="BD536" s="2" t="s">
        <v>74</v>
      </c>
      <c r="BE536" s="2" t="s">
        <v>3804</v>
      </c>
      <c r="BF536" s="2" t="str">
        <f>HYPERLINK("http://dx.doi.org/10.1242/bio.20146445","http://dx.doi.org/10.1242/bio.20146445")</f>
        <v>http://dx.doi.org/10.1242/bio.20146445</v>
      </c>
      <c r="BG536" s="2" t="s">
        <v>74</v>
      </c>
      <c r="BH536" s="2" t="s">
        <v>74</v>
      </c>
      <c r="BI536" s="2" t="s">
        <v>74</v>
      </c>
      <c r="BJ536" s="2" t="s">
        <v>74</v>
      </c>
      <c r="BK536" s="2" t="s">
        <v>74</v>
      </c>
      <c r="BL536" s="2" t="s">
        <v>74</v>
      </c>
      <c r="BM536" s="2" t="s">
        <v>74</v>
      </c>
      <c r="BN536" s="2">
        <v>24585774</v>
      </c>
      <c r="BO536" s="2" t="s">
        <v>74</v>
      </c>
      <c r="BP536" s="2" t="s">
        <v>74</v>
      </c>
      <c r="BQ536" s="2" t="s">
        <v>74</v>
      </c>
      <c r="BR536" s="2" t="s">
        <v>74</v>
      </c>
      <c r="BS536" s="2" t="s">
        <v>3805</v>
      </c>
      <c r="BT536" s="2" t="str">
        <f>HYPERLINK("https%3A%2F%2Fwww.webofscience.com%2Fwos%2Fwoscc%2Ffull-record%2FWOS:000348066100005","View Full Record in Web of Science")</f>
        <v>View Full Record in Web of Science</v>
      </c>
    </row>
    <row r="537" spans="1:72" s="2" customFormat="1" x14ac:dyDescent="0.4">
      <c r="A537" s="2" t="s">
        <v>72</v>
      </c>
      <c r="B537" s="2" t="s">
        <v>2272</v>
      </c>
      <c r="C537" s="2" t="s">
        <v>74</v>
      </c>
      <c r="D537" s="2" t="s">
        <v>74</v>
      </c>
      <c r="E537" s="2" t="s">
        <v>74</v>
      </c>
      <c r="F537" s="2" t="s">
        <v>2273</v>
      </c>
      <c r="G537" s="2" t="s">
        <v>74</v>
      </c>
      <c r="H537" s="2" t="s">
        <v>74</v>
      </c>
      <c r="I537" s="2" t="s">
        <v>2274</v>
      </c>
      <c r="J537" s="2" t="s">
        <v>2275</v>
      </c>
      <c r="K537" s="2" t="s">
        <v>74</v>
      </c>
      <c r="L537" s="2" t="s">
        <v>74</v>
      </c>
      <c r="M537" s="2" t="s">
        <v>74</v>
      </c>
      <c r="N537" s="2" t="s">
        <v>74</v>
      </c>
      <c r="O537" s="2" t="s">
        <v>74</v>
      </c>
      <c r="P537" s="2" t="s">
        <v>74</v>
      </c>
      <c r="Q537" s="2" t="s">
        <v>74</v>
      </c>
      <c r="R537" s="2" t="s">
        <v>74</v>
      </c>
      <c r="S537" s="2" t="s">
        <v>74</v>
      </c>
      <c r="T537" s="2" t="s">
        <v>74</v>
      </c>
      <c r="U537" s="2" t="s">
        <v>74</v>
      </c>
      <c r="V537" s="5" t="s">
        <v>2276</v>
      </c>
      <c r="W537" s="2" t="s">
        <v>74</v>
      </c>
      <c r="X537" s="2" t="s">
        <v>74</v>
      </c>
      <c r="Y537" s="2" t="s">
        <v>74</v>
      </c>
      <c r="Z537" s="2" t="s">
        <v>74</v>
      </c>
      <c r="AA537" s="2" t="s">
        <v>2277</v>
      </c>
      <c r="AB537" s="2" t="s">
        <v>2278</v>
      </c>
      <c r="AC537" s="2" t="s">
        <v>74</v>
      </c>
      <c r="AD537" s="2" t="s">
        <v>74</v>
      </c>
      <c r="AE537" s="2" t="s">
        <v>74</v>
      </c>
      <c r="AF537" s="2" t="s">
        <v>74</v>
      </c>
      <c r="AG537" s="2" t="s">
        <v>74</v>
      </c>
      <c r="AH537" s="2" t="s">
        <v>74</v>
      </c>
      <c r="AI537" s="2" t="s">
        <v>74</v>
      </c>
      <c r="AJ537" s="2" t="s">
        <v>74</v>
      </c>
      <c r="AK537" s="2" t="s">
        <v>74</v>
      </c>
      <c r="AL537" s="2" t="s">
        <v>74</v>
      </c>
      <c r="AM537" s="2" t="s">
        <v>74</v>
      </c>
      <c r="AN537" s="2" t="s">
        <v>74</v>
      </c>
      <c r="AO537" s="2" t="s">
        <v>2279</v>
      </c>
      <c r="AP537" s="2" t="s">
        <v>2280</v>
      </c>
      <c r="AQ537" s="2" t="s">
        <v>74</v>
      </c>
      <c r="AR537" s="2" t="s">
        <v>74</v>
      </c>
      <c r="AS537" s="2" t="s">
        <v>74</v>
      </c>
      <c r="AT537" s="2" t="s">
        <v>2281</v>
      </c>
      <c r="AU537" s="2">
        <v>2019</v>
      </c>
      <c r="AV537" s="2" t="s">
        <v>74</v>
      </c>
      <c r="AW537" s="2" t="s">
        <v>74</v>
      </c>
      <c r="AX537" s="2" t="s">
        <v>74</v>
      </c>
      <c r="AY537" s="2" t="s">
        <v>74</v>
      </c>
      <c r="AZ537" s="2" t="s">
        <v>74</v>
      </c>
      <c r="BA537" s="2" t="s">
        <v>74</v>
      </c>
      <c r="BB537" s="2" t="s">
        <v>74</v>
      </c>
      <c r="BC537" s="2" t="s">
        <v>74</v>
      </c>
      <c r="BD537" s="2" t="s">
        <v>74</v>
      </c>
      <c r="BE537" s="2" t="s">
        <v>2282</v>
      </c>
      <c r="BF537" s="2" t="str">
        <f>HYPERLINK("http://dx.doi.org/10.1080/14772000.2019.1687603","http://dx.doi.org/10.1080/14772000.2019.1687603")</f>
        <v>http://dx.doi.org/10.1080/14772000.2019.1687603</v>
      </c>
      <c r="BG537" s="2" t="s">
        <v>74</v>
      </c>
      <c r="BH537" s="2" t="s">
        <v>2283</v>
      </c>
      <c r="BI537" s="2" t="s">
        <v>74</v>
      </c>
      <c r="BJ537" s="2" t="s">
        <v>74</v>
      </c>
      <c r="BK537" s="2" t="s">
        <v>74</v>
      </c>
      <c r="BL537" s="2" t="s">
        <v>74</v>
      </c>
      <c r="BM537" s="2" t="s">
        <v>74</v>
      </c>
      <c r="BN537" s="2" t="s">
        <v>74</v>
      </c>
      <c r="BO537" s="2" t="s">
        <v>74</v>
      </c>
      <c r="BP537" s="2" t="s">
        <v>74</v>
      </c>
      <c r="BQ537" s="2" t="s">
        <v>74</v>
      </c>
      <c r="BR537" s="2" t="s">
        <v>74</v>
      </c>
      <c r="BS537" s="2" t="s">
        <v>2284</v>
      </c>
      <c r="BT537" s="2" t="str">
        <f>HYPERLINK("https%3A%2F%2Fwww.webofscience.com%2Fwos%2Fwoscc%2Ffull-record%2FWOS:000499312800001","View Full Record in Web of Science")</f>
        <v>View Full Record in Web of Science</v>
      </c>
    </row>
    <row r="538" spans="1:72" s="2" customFormat="1" x14ac:dyDescent="0.4">
      <c r="A538" s="2" t="s">
        <v>72</v>
      </c>
      <c r="B538" s="2" t="s">
        <v>3966</v>
      </c>
      <c r="C538" s="2" t="s">
        <v>74</v>
      </c>
      <c r="D538" s="2" t="s">
        <v>74</v>
      </c>
      <c r="E538" s="2" t="s">
        <v>74</v>
      </c>
      <c r="F538" s="2" t="s">
        <v>3966</v>
      </c>
      <c r="G538" s="2" t="s">
        <v>74</v>
      </c>
      <c r="H538" s="2" t="s">
        <v>74</v>
      </c>
      <c r="I538" s="2" t="s">
        <v>3967</v>
      </c>
      <c r="J538" s="2" t="s">
        <v>610</v>
      </c>
      <c r="K538" s="2" t="s">
        <v>74</v>
      </c>
      <c r="L538" s="2" t="s">
        <v>74</v>
      </c>
      <c r="M538" s="2" t="s">
        <v>74</v>
      </c>
      <c r="N538" s="2" t="s">
        <v>74</v>
      </c>
      <c r="O538" s="2" t="s">
        <v>74</v>
      </c>
      <c r="P538" s="2" t="s">
        <v>74</v>
      </c>
      <c r="Q538" s="2" t="s">
        <v>74</v>
      </c>
      <c r="R538" s="2" t="s">
        <v>74</v>
      </c>
      <c r="S538" s="2" t="s">
        <v>74</v>
      </c>
      <c r="T538" s="2" t="s">
        <v>74</v>
      </c>
      <c r="U538" s="2" t="s">
        <v>74</v>
      </c>
      <c r="V538" s="5" t="s">
        <v>3968</v>
      </c>
      <c r="W538" s="2" t="s">
        <v>74</v>
      </c>
      <c r="X538" s="2" t="s">
        <v>74</v>
      </c>
      <c r="Y538" s="2" t="s">
        <v>74</v>
      </c>
      <c r="Z538" s="2" t="s">
        <v>74</v>
      </c>
      <c r="AA538" s="2" t="s">
        <v>74</v>
      </c>
      <c r="AB538" s="2" t="s">
        <v>74</v>
      </c>
      <c r="AC538" s="2" t="s">
        <v>74</v>
      </c>
      <c r="AD538" s="2" t="s">
        <v>74</v>
      </c>
      <c r="AE538" s="2" t="s">
        <v>74</v>
      </c>
      <c r="AF538" s="2" t="s">
        <v>74</v>
      </c>
      <c r="AG538" s="2" t="s">
        <v>74</v>
      </c>
      <c r="AH538" s="2" t="s">
        <v>74</v>
      </c>
      <c r="AI538" s="2" t="s">
        <v>74</v>
      </c>
      <c r="AJ538" s="2" t="s">
        <v>74</v>
      </c>
      <c r="AK538" s="2" t="s">
        <v>74</v>
      </c>
      <c r="AL538" s="2" t="s">
        <v>74</v>
      </c>
      <c r="AM538" s="2" t="s">
        <v>74</v>
      </c>
      <c r="AN538" s="2" t="s">
        <v>74</v>
      </c>
      <c r="AO538" s="2" t="s">
        <v>614</v>
      </c>
      <c r="AP538" s="2" t="s">
        <v>74</v>
      </c>
      <c r="AQ538" s="2" t="s">
        <v>74</v>
      </c>
      <c r="AR538" s="2" t="s">
        <v>74</v>
      </c>
      <c r="AS538" s="2" t="s">
        <v>74</v>
      </c>
      <c r="AT538" s="2" t="s">
        <v>964</v>
      </c>
      <c r="AU538" s="2">
        <v>1994</v>
      </c>
      <c r="AV538" s="2">
        <v>96</v>
      </c>
      <c r="AW538" s="2">
        <v>2</v>
      </c>
      <c r="AX538" s="2" t="s">
        <v>74</v>
      </c>
      <c r="AY538" s="2" t="s">
        <v>74</v>
      </c>
      <c r="AZ538" s="2" t="s">
        <v>74</v>
      </c>
      <c r="BA538" s="2" t="s">
        <v>74</v>
      </c>
      <c r="BB538" s="2">
        <v>147</v>
      </c>
      <c r="BC538" s="2">
        <v>154</v>
      </c>
      <c r="BD538" s="2" t="s">
        <v>74</v>
      </c>
      <c r="BE538" s="2" t="s">
        <v>74</v>
      </c>
      <c r="BF538" s="2" t="s">
        <v>74</v>
      </c>
      <c r="BG538" s="2" t="s">
        <v>74</v>
      </c>
      <c r="BH538" s="2" t="s">
        <v>74</v>
      </c>
      <c r="BI538" s="2" t="s">
        <v>74</v>
      </c>
      <c r="BJ538" s="2" t="s">
        <v>74</v>
      </c>
      <c r="BK538" s="2" t="s">
        <v>74</v>
      </c>
      <c r="BL538" s="2" t="s">
        <v>74</v>
      </c>
      <c r="BM538" s="2" t="s">
        <v>74</v>
      </c>
      <c r="BN538" s="2" t="s">
        <v>74</v>
      </c>
      <c r="BO538" s="2" t="s">
        <v>74</v>
      </c>
      <c r="BP538" s="2" t="s">
        <v>74</v>
      </c>
      <c r="BQ538" s="2" t="s">
        <v>74</v>
      </c>
      <c r="BR538" s="2" t="s">
        <v>74</v>
      </c>
      <c r="BS538" s="2" t="s">
        <v>3969</v>
      </c>
      <c r="BT538" s="2" t="str">
        <f>HYPERLINK("https%3A%2F%2Fwww.webofscience.com%2Fwos%2Fwoscc%2Ffull-record%2FWOS:A1994NJ52600006","View Full Record in Web of Science")</f>
        <v>View Full Record in Web of Science</v>
      </c>
    </row>
    <row r="539" spans="1:72" s="2" customFormat="1" x14ac:dyDescent="0.4">
      <c r="A539" s="2" t="s">
        <v>72</v>
      </c>
      <c r="B539" s="2" t="s">
        <v>6224</v>
      </c>
      <c r="C539" s="2" t="s">
        <v>74</v>
      </c>
      <c r="D539" s="2" t="s">
        <v>74</v>
      </c>
      <c r="E539" s="2" t="s">
        <v>74</v>
      </c>
      <c r="F539" s="2" t="s">
        <v>6224</v>
      </c>
      <c r="G539" s="2" t="s">
        <v>74</v>
      </c>
      <c r="H539" s="2" t="s">
        <v>74</v>
      </c>
      <c r="I539" s="2" t="s">
        <v>6225</v>
      </c>
      <c r="J539" s="2" t="s">
        <v>6226</v>
      </c>
      <c r="K539" s="2" t="s">
        <v>74</v>
      </c>
      <c r="L539" s="2" t="s">
        <v>74</v>
      </c>
      <c r="M539" s="2" t="s">
        <v>74</v>
      </c>
      <c r="N539" s="2" t="s">
        <v>74</v>
      </c>
      <c r="O539" s="2" t="s">
        <v>74</v>
      </c>
      <c r="P539" s="2" t="s">
        <v>74</v>
      </c>
      <c r="Q539" s="2" t="s">
        <v>74</v>
      </c>
      <c r="R539" s="2" t="s">
        <v>74</v>
      </c>
      <c r="S539" s="2" t="s">
        <v>74</v>
      </c>
      <c r="T539" s="2" t="s">
        <v>74</v>
      </c>
      <c r="U539" s="2" t="s">
        <v>74</v>
      </c>
      <c r="V539" s="5" t="s">
        <v>6227</v>
      </c>
      <c r="W539" s="2" t="s">
        <v>74</v>
      </c>
      <c r="X539" s="2" t="s">
        <v>74</v>
      </c>
      <c r="Y539" s="2" t="s">
        <v>74</v>
      </c>
      <c r="Z539" s="2" t="s">
        <v>74</v>
      </c>
      <c r="AA539" s="2" t="s">
        <v>74</v>
      </c>
      <c r="AB539" s="2" t="s">
        <v>74</v>
      </c>
      <c r="AC539" s="2" t="s">
        <v>74</v>
      </c>
      <c r="AD539" s="2" t="s">
        <v>74</v>
      </c>
      <c r="AE539" s="2" t="s">
        <v>74</v>
      </c>
      <c r="AF539" s="2" t="s">
        <v>74</v>
      </c>
      <c r="AG539" s="2" t="s">
        <v>74</v>
      </c>
      <c r="AH539" s="2" t="s">
        <v>74</v>
      </c>
      <c r="AI539" s="2" t="s">
        <v>74</v>
      </c>
      <c r="AJ539" s="2" t="s">
        <v>74</v>
      </c>
      <c r="AK539" s="2" t="s">
        <v>74</v>
      </c>
      <c r="AL539" s="2" t="s">
        <v>74</v>
      </c>
      <c r="AM539" s="2" t="s">
        <v>74</v>
      </c>
      <c r="AN539" s="2" t="s">
        <v>74</v>
      </c>
      <c r="AO539" s="2" t="s">
        <v>6228</v>
      </c>
      <c r="AP539" s="2" t="s">
        <v>6229</v>
      </c>
      <c r="AQ539" s="2" t="s">
        <v>74</v>
      </c>
      <c r="AR539" s="2" t="s">
        <v>74</v>
      </c>
      <c r="AS539" s="2" t="s">
        <v>74</v>
      </c>
      <c r="AT539" s="2" t="s">
        <v>633</v>
      </c>
      <c r="AU539" s="2">
        <v>2005</v>
      </c>
      <c r="AV539" s="2">
        <v>44</v>
      </c>
      <c r="AW539" s="2">
        <v>2</v>
      </c>
      <c r="AX539" s="2" t="s">
        <v>74</v>
      </c>
      <c r="AY539" s="2" t="s">
        <v>74</v>
      </c>
      <c r="AZ539" s="2" t="s">
        <v>74</v>
      </c>
      <c r="BA539" s="2" t="s">
        <v>74</v>
      </c>
      <c r="BB539" s="2">
        <v>200</v>
      </c>
      <c r="BC539" s="2">
        <v>209</v>
      </c>
      <c r="BD539" s="2" t="s">
        <v>74</v>
      </c>
      <c r="BE539" s="2" t="s">
        <v>74</v>
      </c>
      <c r="BF539" s="2" t="s">
        <v>74</v>
      </c>
      <c r="BG539" s="2" t="s">
        <v>74</v>
      </c>
      <c r="BH539" s="2" t="s">
        <v>74</v>
      </c>
      <c r="BI539" s="2" t="s">
        <v>74</v>
      </c>
      <c r="BJ539" s="2" t="s">
        <v>74</v>
      </c>
      <c r="BK539" s="2" t="s">
        <v>74</v>
      </c>
      <c r="BL539" s="2" t="s">
        <v>74</v>
      </c>
      <c r="BM539" s="2" t="s">
        <v>74</v>
      </c>
      <c r="BN539" s="2" t="s">
        <v>74</v>
      </c>
      <c r="BO539" s="2" t="s">
        <v>74</v>
      </c>
      <c r="BP539" s="2" t="s">
        <v>74</v>
      </c>
      <c r="BQ539" s="2" t="s">
        <v>74</v>
      </c>
      <c r="BR539" s="2" t="s">
        <v>74</v>
      </c>
      <c r="BS539" s="2" t="s">
        <v>6230</v>
      </c>
      <c r="BT539" s="2" t="str">
        <f>HYPERLINK("https%3A%2F%2Fwww.webofscience.com%2Fwos%2Fwoscc%2Ffull-record%2FWOS:000229810000003","View Full Record in Web of Science")</f>
        <v>View Full Record in Web of Science</v>
      </c>
    </row>
    <row r="540" spans="1:72" s="2" customFormat="1" x14ac:dyDescent="0.4">
      <c r="A540" s="2" t="s">
        <v>72</v>
      </c>
      <c r="B540" s="2" t="s">
        <v>5843</v>
      </c>
      <c r="C540" s="2" t="s">
        <v>74</v>
      </c>
      <c r="D540" s="2" t="s">
        <v>74</v>
      </c>
      <c r="E540" s="2" t="s">
        <v>74</v>
      </c>
      <c r="F540" s="2" t="s">
        <v>5844</v>
      </c>
      <c r="G540" s="2" t="s">
        <v>74</v>
      </c>
      <c r="H540" s="2" t="s">
        <v>74</v>
      </c>
      <c r="I540" s="2" t="s">
        <v>5845</v>
      </c>
      <c r="J540" s="2" t="s">
        <v>814</v>
      </c>
      <c r="K540" s="2" t="s">
        <v>74</v>
      </c>
      <c r="L540" s="2" t="s">
        <v>74</v>
      </c>
      <c r="M540" s="2" t="s">
        <v>74</v>
      </c>
      <c r="N540" s="2" t="s">
        <v>74</v>
      </c>
      <c r="O540" s="2" t="s">
        <v>74</v>
      </c>
      <c r="P540" s="2" t="s">
        <v>74</v>
      </c>
      <c r="Q540" s="2" t="s">
        <v>74</v>
      </c>
      <c r="R540" s="2" t="s">
        <v>74</v>
      </c>
      <c r="S540" s="2" t="s">
        <v>74</v>
      </c>
      <c r="T540" s="2" t="s">
        <v>74</v>
      </c>
      <c r="U540" s="2" t="s">
        <v>74</v>
      </c>
      <c r="V540" s="5" t="s">
        <v>5846</v>
      </c>
      <c r="W540" s="2" t="s">
        <v>74</v>
      </c>
      <c r="X540" s="2" t="s">
        <v>74</v>
      </c>
      <c r="Y540" s="2" t="s">
        <v>74</v>
      </c>
      <c r="Z540" s="2" t="s">
        <v>74</v>
      </c>
      <c r="AA540" s="2" t="s">
        <v>74</v>
      </c>
      <c r="AB540" s="2" t="s">
        <v>74</v>
      </c>
      <c r="AC540" s="2" t="s">
        <v>74</v>
      </c>
      <c r="AD540" s="2" t="s">
        <v>74</v>
      </c>
      <c r="AE540" s="2" t="s">
        <v>74</v>
      </c>
      <c r="AF540" s="2" t="s">
        <v>74</v>
      </c>
      <c r="AG540" s="2" t="s">
        <v>74</v>
      </c>
      <c r="AH540" s="2" t="s">
        <v>74</v>
      </c>
      <c r="AI540" s="2" t="s">
        <v>74</v>
      </c>
      <c r="AJ540" s="2" t="s">
        <v>74</v>
      </c>
      <c r="AK540" s="2" t="s">
        <v>74</v>
      </c>
      <c r="AL540" s="2" t="s">
        <v>74</v>
      </c>
      <c r="AM540" s="2" t="s">
        <v>74</v>
      </c>
      <c r="AN540" s="2" t="s">
        <v>74</v>
      </c>
      <c r="AO540" s="2" t="s">
        <v>818</v>
      </c>
      <c r="AP540" s="2" t="s">
        <v>1505</v>
      </c>
      <c r="AQ540" s="2" t="s">
        <v>74</v>
      </c>
      <c r="AR540" s="2" t="s">
        <v>74</v>
      </c>
      <c r="AS540" s="2" t="s">
        <v>74</v>
      </c>
      <c r="AT540" s="2" t="s">
        <v>964</v>
      </c>
      <c r="AU540" s="2">
        <v>2021</v>
      </c>
      <c r="AV540" s="2">
        <v>144</v>
      </c>
      <c r="AW540" s="2" t="s">
        <v>74</v>
      </c>
      <c r="AX540" s="2" t="s">
        <v>74</v>
      </c>
      <c r="AY540" s="2" t="s">
        <v>74</v>
      </c>
      <c r="AZ540" s="2" t="s">
        <v>74</v>
      </c>
      <c r="BA540" s="2" t="s">
        <v>74</v>
      </c>
      <c r="BB540" s="2" t="s">
        <v>74</v>
      </c>
      <c r="BC540" s="2" t="s">
        <v>74</v>
      </c>
      <c r="BD540" s="2">
        <v>125874</v>
      </c>
      <c r="BE540" s="2" t="s">
        <v>5847</v>
      </c>
      <c r="BF540" s="2" t="str">
        <f>HYPERLINK("http://dx.doi.org/10.1016/j.zool.2020.125874","http://dx.doi.org/10.1016/j.zool.2020.125874")</f>
        <v>http://dx.doi.org/10.1016/j.zool.2020.125874</v>
      </c>
      <c r="BG540" s="2" t="s">
        <v>74</v>
      </c>
      <c r="BH540" s="2" t="s">
        <v>74</v>
      </c>
      <c r="BI540" s="2" t="s">
        <v>74</v>
      </c>
      <c r="BJ540" s="2" t="s">
        <v>74</v>
      </c>
      <c r="BK540" s="2" t="s">
        <v>74</v>
      </c>
      <c r="BL540" s="2" t="s">
        <v>74</v>
      </c>
      <c r="BM540" s="2" t="s">
        <v>74</v>
      </c>
      <c r="BN540" s="2">
        <v>33279867</v>
      </c>
      <c r="BO540" s="2" t="s">
        <v>74</v>
      </c>
      <c r="BP540" s="2" t="s">
        <v>74</v>
      </c>
      <c r="BQ540" s="2" t="s">
        <v>74</v>
      </c>
      <c r="BR540" s="2" t="s">
        <v>74</v>
      </c>
      <c r="BS540" s="2" t="s">
        <v>5848</v>
      </c>
      <c r="BT540" s="2" t="str">
        <f>HYPERLINK("https%3A%2F%2Fwww.webofscience.com%2Fwos%2Fwoscc%2Ffull-record%2FWOS:000618276500003","View Full Record in Web of Science")</f>
        <v>View Full Record in Web of Science</v>
      </c>
    </row>
    <row r="541" spans="1:72" s="2" customFormat="1" x14ac:dyDescent="0.4">
      <c r="A541" s="2" t="s">
        <v>72</v>
      </c>
      <c r="B541" s="2" t="s">
        <v>2641</v>
      </c>
      <c r="C541" s="2" t="s">
        <v>74</v>
      </c>
      <c r="D541" s="2" t="s">
        <v>74</v>
      </c>
      <c r="E541" s="2" t="s">
        <v>74</v>
      </c>
      <c r="F541" s="2" t="s">
        <v>2642</v>
      </c>
      <c r="G541" s="2" t="s">
        <v>74</v>
      </c>
      <c r="H541" s="2" t="s">
        <v>74</v>
      </c>
      <c r="I541" s="2" t="s">
        <v>2643</v>
      </c>
      <c r="J541" s="2" t="s">
        <v>192</v>
      </c>
      <c r="K541" s="2" t="s">
        <v>74</v>
      </c>
      <c r="L541" s="2" t="s">
        <v>74</v>
      </c>
      <c r="M541" s="2" t="s">
        <v>74</v>
      </c>
      <c r="N541" s="2" t="s">
        <v>74</v>
      </c>
      <c r="O541" s="2" t="s">
        <v>74</v>
      </c>
      <c r="P541" s="2" t="s">
        <v>74</v>
      </c>
      <c r="Q541" s="2" t="s">
        <v>74</v>
      </c>
      <c r="R541" s="2" t="s">
        <v>74</v>
      </c>
      <c r="S541" s="2" t="s">
        <v>74</v>
      </c>
      <c r="T541" s="2" t="s">
        <v>74</v>
      </c>
      <c r="U541" s="2" t="s">
        <v>74</v>
      </c>
      <c r="V541" s="5" t="s">
        <v>2644</v>
      </c>
      <c r="W541" s="2" t="s">
        <v>74</v>
      </c>
      <c r="X541" s="2" t="s">
        <v>74</v>
      </c>
      <c r="Y541" s="2" t="s">
        <v>74</v>
      </c>
      <c r="Z541" s="2" t="s">
        <v>74</v>
      </c>
      <c r="AA541" s="2" t="s">
        <v>2645</v>
      </c>
      <c r="AB541" s="2" t="s">
        <v>74</v>
      </c>
      <c r="AC541" s="2" t="s">
        <v>74</v>
      </c>
      <c r="AD541" s="2" t="s">
        <v>74</v>
      </c>
      <c r="AE541" s="2" t="s">
        <v>74</v>
      </c>
      <c r="AF541" s="2" t="s">
        <v>74</v>
      </c>
      <c r="AG541" s="2" t="s">
        <v>74</v>
      </c>
      <c r="AH541" s="2" t="s">
        <v>74</v>
      </c>
      <c r="AI541" s="2" t="s">
        <v>74</v>
      </c>
      <c r="AJ541" s="2" t="s">
        <v>74</v>
      </c>
      <c r="AK541" s="2" t="s">
        <v>74</v>
      </c>
      <c r="AL541" s="2" t="s">
        <v>74</v>
      </c>
      <c r="AM541" s="2" t="s">
        <v>74</v>
      </c>
      <c r="AN541" s="2" t="s">
        <v>74</v>
      </c>
      <c r="AO541" s="2" t="s">
        <v>195</v>
      </c>
      <c r="AP541" s="2" t="s">
        <v>196</v>
      </c>
      <c r="AQ541" s="2" t="s">
        <v>74</v>
      </c>
      <c r="AR541" s="2" t="s">
        <v>74</v>
      </c>
      <c r="AS541" s="2" t="s">
        <v>74</v>
      </c>
      <c r="AT541" s="2" t="s">
        <v>964</v>
      </c>
      <c r="AU541" s="2">
        <v>2008</v>
      </c>
      <c r="AV541" s="2">
        <v>598</v>
      </c>
      <c r="AW541" s="2" t="s">
        <v>74</v>
      </c>
      <c r="AX541" s="2" t="s">
        <v>74</v>
      </c>
      <c r="AY541" s="2" t="s">
        <v>74</v>
      </c>
      <c r="AZ541" s="2" t="s">
        <v>74</v>
      </c>
      <c r="BA541" s="2" t="s">
        <v>74</v>
      </c>
      <c r="BB541" s="2">
        <v>361</v>
      </c>
      <c r="BC541" s="2">
        <v>371</v>
      </c>
      <c r="BD541" s="2" t="s">
        <v>74</v>
      </c>
      <c r="BE541" s="2" t="s">
        <v>2646</v>
      </c>
      <c r="BF541" s="2" t="str">
        <f>HYPERLINK("http://dx.doi.org/10.1007/s10750-007-9169-z","http://dx.doi.org/10.1007/s10750-007-9169-z")</f>
        <v>http://dx.doi.org/10.1007/s10750-007-9169-z</v>
      </c>
      <c r="BG541" s="2" t="s">
        <v>74</v>
      </c>
      <c r="BH541" s="2" t="s">
        <v>74</v>
      </c>
      <c r="BI541" s="2" t="s">
        <v>74</v>
      </c>
      <c r="BJ541" s="2" t="s">
        <v>74</v>
      </c>
      <c r="BK541" s="2" t="s">
        <v>74</v>
      </c>
      <c r="BL541" s="2" t="s">
        <v>74</v>
      </c>
      <c r="BM541" s="2" t="s">
        <v>74</v>
      </c>
      <c r="BN541" s="2" t="s">
        <v>74</v>
      </c>
      <c r="BO541" s="2" t="s">
        <v>74</v>
      </c>
      <c r="BP541" s="2" t="s">
        <v>74</v>
      </c>
      <c r="BQ541" s="2" t="s">
        <v>74</v>
      </c>
      <c r="BR541" s="2" t="s">
        <v>74</v>
      </c>
      <c r="BS541" s="2" t="s">
        <v>2647</v>
      </c>
      <c r="BT541" s="2" t="str">
        <f>HYPERLINK("https%3A%2F%2Fwww.webofscience.com%2Fwos%2Fwoscc%2Ffull-record%2FWOS:000251874300028","View Full Record in Web of Science")</f>
        <v>View Full Record in Web of Science</v>
      </c>
    </row>
    <row r="542" spans="1:72" s="1" customFormat="1" x14ac:dyDescent="0.4">
      <c r="A542" s="2" t="s">
        <v>72</v>
      </c>
      <c r="B542" s="2" t="s">
        <v>2334</v>
      </c>
      <c r="C542" s="2" t="s">
        <v>74</v>
      </c>
      <c r="D542" s="2" t="s">
        <v>74</v>
      </c>
      <c r="E542" s="2" t="s">
        <v>74</v>
      </c>
      <c r="F542" s="2" t="s">
        <v>2335</v>
      </c>
      <c r="G542" s="2" t="s">
        <v>74</v>
      </c>
      <c r="H542" s="2" t="s">
        <v>74</v>
      </c>
      <c r="I542" s="2" t="s">
        <v>2336</v>
      </c>
      <c r="J542" s="2" t="s">
        <v>545</v>
      </c>
      <c r="K542" s="2" t="s">
        <v>74</v>
      </c>
      <c r="L542" s="2" t="s">
        <v>74</v>
      </c>
      <c r="M542" s="2" t="s">
        <v>74</v>
      </c>
      <c r="N542" s="2" t="s">
        <v>74</v>
      </c>
      <c r="O542" s="2" t="s">
        <v>74</v>
      </c>
      <c r="P542" s="2" t="s">
        <v>74</v>
      </c>
      <c r="Q542" s="2" t="s">
        <v>74</v>
      </c>
      <c r="R542" s="2" t="s">
        <v>74</v>
      </c>
      <c r="S542" s="2" t="s">
        <v>74</v>
      </c>
      <c r="T542" s="2" t="s">
        <v>74</v>
      </c>
      <c r="U542" s="2" t="s">
        <v>74</v>
      </c>
      <c r="V542" s="5" t="s">
        <v>2337</v>
      </c>
      <c r="W542" s="2" t="s">
        <v>74</v>
      </c>
      <c r="X542" s="2" t="s">
        <v>74</v>
      </c>
      <c r="Y542" s="2" t="s">
        <v>74</v>
      </c>
      <c r="Z542" s="2" t="s">
        <v>74</v>
      </c>
      <c r="AA542" s="2" t="s">
        <v>2338</v>
      </c>
      <c r="AB542" s="2" t="s">
        <v>2339</v>
      </c>
      <c r="AC542" s="2" t="s">
        <v>74</v>
      </c>
      <c r="AD542" s="2" t="s">
        <v>74</v>
      </c>
      <c r="AE542" s="2" t="s">
        <v>74</v>
      </c>
      <c r="AF542" s="2" t="s">
        <v>74</v>
      </c>
      <c r="AG542" s="2" t="s">
        <v>74</v>
      </c>
      <c r="AH542" s="2" t="s">
        <v>74</v>
      </c>
      <c r="AI542" s="2" t="s">
        <v>74</v>
      </c>
      <c r="AJ542" s="2" t="s">
        <v>74</v>
      </c>
      <c r="AK542" s="2" t="s">
        <v>74</v>
      </c>
      <c r="AL542" s="2" t="s">
        <v>74</v>
      </c>
      <c r="AM542" s="2" t="s">
        <v>74</v>
      </c>
      <c r="AN542" s="2" t="s">
        <v>74</v>
      </c>
      <c r="AO542" s="2" t="s">
        <v>547</v>
      </c>
      <c r="AP542" s="2" t="s">
        <v>74</v>
      </c>
      <c r="AQ542" s="2" t="s">
        <v>74</v>
      </c>
      <c r="AR542" s="2" t="s">
        <v>74</v>
      </c>
      <c r="AS542" s="2" t="s">
        <v>74</v>
      </c>
      <c r="AT542" s="2" t="s">
        <v>74</v>
      </c>
      <c r="AU542" s="2">
        <v>2013</v>
      </c>
      <c r="AV542" s="2">
        <v>252</v>
      </c>
      <c r="AW542" s="2">
        <v>4</v>
      </c>
      <c r="AX542" s="2" t="s">
        <v>74</v>
      </c>
      <c r="AY542" s="2" t="s">
        <v>74</v>
      </c>
      <c r="AZ542" s="2" t="s">
        <v>74</v>
      </c>
      <c r="BA542" s="2" t="s">
        <v>74</v>
      </c>
      <c r="BB542" s="2">
        <v>511</v>
      </c>
      <c r="BC542" s="2">
        <v>521</v>
      </c>
      <c r="BD542" s="2" t="s">
        <v>74</v>
      </c>
      <c r="BE542" s="2" t="s">
        <v>2340</v>
      </c>
      <c r="BF542" s="2" t="str">
        <f>HYPERLINK("http://dx.doi.org/10.1016/j.jcz.2012.12.001","http://dx.doi.org/10.1016/j.jcz.2012.12.001")</f>
        <v>http://dx.doi.org/10.1016/j.jcz.2012.12.001</v>
      </c>
      <c r="BG542" s="2" t="s">
        <v>74</v>
      </c>
      <c r="BH542" s="2" t="s">
        <v>74</v>
      </c>
      <c r="BI542" s="2" t="s">
        <v>74</v>
      </c>
      <c r="BJ542" s="2" t="s">
        <v>74</v>
      </c>
      <c r="BK542" s="2" t="s">
        <v>74</v>
      </c>
      <c r="BL542" s="2" t="s">
        <v>74</v>
      </c>
      <c r="BM542" s="2" t="s">
        <v>74</v>
      </c>
      <c r="BN542" s="2" t="s">
        <v>74</v>
      </c>
      <c r="BO542" s="2" t="s">
        <v>74</v>
      </c>
      <c r="BP542" s="2" t="s">
        <v>74</v>
      </c>
      <c r="BQ542" s="2" t="s">
        <v>74</v>
      </c>
      <c r="BR542" s="2" t="s">
        <v>74</v>
      </c>
      <c r="BS542" s="2" t="s">
        <v>2341</v>
      </c>
      <c r="BT542" s="2" t="str">
        <f>HYPERLINK("https%3A%2F%2Fwww.webofscience.com%2Fwos%2Fwoscc%2Ffull-record%2FWOS:000322803400009","View Full Record in Web of Science")</f>
        <v>View Full Record in Web of Science</v>
      </c>
    </row>
    <row r="543" spans="1:72" s="7" customFormat="1" x14ac:dyDescent="0.4">
      <c r="A543" s="2" t="s">
        <v>72</v>
      </c>
      <c r="B543" s="2" t="s">
        <v>1110</v>
      </c>
      <c r="C543" s="2" t="s">
        <v>74</v>
      </c>
      <c r="D543" s="2" t="s">
        <v>74</v>
      </c>
      <c r="E543" s="2" t="s">
        <v>74</v>
      </c>
      <c r="F543" s="2" t="s">
        <v>1110</v>
      </c>
      <c r="G543" s="2" t="s">
        <v>74</v>
      </c>
      <c r="H543" s="2" t="s">
        <v>74</v>
      </c>
      <c r="I543" s="2" t="s">
        <v>1111</v>
      </c>
      <c r="J543" s="2" t="s">
        <v>1112</v>
      </c>
      <c r="K543" s="2" t="s">
        <v>74</v>
      </c>
      <c r="L543" s="2" t="s">
        <v>74</v>
      </c>
      <c r="M543" s="2" t="s">
        <v>74</v>
      </c>
      <c r="N543" s="2" t="s">
        <v>74</v>
      </c>
      <c r="O543" s="2" t="s">
        <v>74</v>
      </c>
      <c r="P543" s="2" t="s">
        <v>74</v>
      </c>
      <c r="Q543" s="2" t="s">
        <v>74</v>
      </c>
      <c r="R543" s="2" t="s">
        <v>74</v>
      </c>
      <c r="S543" s="2" t="s">
        <v>74</v>
      </c>
      <c r="T543" s="2" t="s">
        <v>74</v>
      </c>
      <c r="U543" s="2" t="s">
        <v>74</v>
      </c>
      <c r="V543" s="5" t="s">
        <v>1113</v>
      </c>
      <c r="W543" s="2" t="s">
        <v>74</v>
      </c>
      <c r="X543" s="2" t="s">
        <v>74</v>
      </c>
      <c r="Y543" s="2" t="s">
        <v>74</v>
      </c>
      <c r="Z543" s="2" t="s">
        <v>74</v>
      </c>
      <c r="AA543" s="2" t="s">
        <v>74</v>
      </c>
      <c r="AB543" s="2" t="s">
        <v>74</v>
      </c>
      <c r="AC543" s="2" t="s">
        <v>74</v>
      </c>
      <c r="AD543" s="2" t="s">
        <v>74</v>
      </c>
      <c r="AE543" s="2" t="s">
        <v>74</v>
      </c>
      <c r="AF543" s="2" t="s">
        <v>74</v>
      </c>
      <c r="AG543" s="2" t="s">
        <v>74</v>
      </c>
      <c r="AH543" s="2" t="s">
        <v>74</v>
      </c>
      <c r="AI543" s="2" t="s">
        <v>74</v>
      </c>
      <c r="AJ543" s="2" t="s">
        <v>74</v>
      </c>
      <c r="AK543" s="2" t="s">
        <v>74</v>
      </c>
      <c r="AL543" s="2" t="s">
        <v>74</v>
      </c>
      <c r="AM543" s="2" t="s">
        <v>74</v>
      </c>
      <c r="AN543" s="2" t="s">
        <v>74</v>
      </c>
      <c r="AO543" s="2" t="s">
        <v>1114</v>
      </c>
      <c r="AP543" s="2" t="s">
        <v>1115</v>
      </c>
      <c r="AQ543" s="2" t="s">
        <v>74</v>
      </c>
      <c r="AR543" s="2" t="s">
        <v>74</v>
      </c>
      <c r="AS543" s="2" t="s">
        <v>74</v>
      </c>
      <c r="AT543" s="2" t="s">
        <v>1116</v>
      </c>
      <c r="AU543" s="2">
        <v>2004</v>
      </c>
      <c r="AV543" s="2">
        <v>86</v>
      </c>
      <c r="AW543" s="2" t="s">
        <v>548</v>
      </c>
      <c r="AX543" s="2" t="s">
        <v>74</v>
      </c>
      <c r="AY543" s="2" t="s">
        <v>74</v>
      </c>
      <c r="AZ543" s="2" t="s">
        <v>74</v>
      </c>
      <c r="BA543" s="2" t="s">
        <v>74</v>
      </c>
      <c r="BB543" s="2">
        <v>63</v>
      </c>
      <c r="BC543" s="2">
        <v>76</v>
      </c>
      <c r="BD543" s="2" t="s">
        <v>74</v>
      </c>
      <c r="BE543" s="2" t="s">
        <v>1117</v>
      </c>
      <c r="BF543" s="2" t="str">
        <f>HYPERLINK("http://dx.doi.org/10.1016/j.applanim.2003.12.003","http://dx.doi.org/10.1016/j.applanim.2003.12.003")</f>
        <v>http://dx.doi.org/10.1016/j.applanim.2003.12.003</v>
      </c>
      <c r="BG543" s="2" t="s">
        <v>74</v>
      </c>
      <c r="BH543" s="2" t="s">
        <v>74</v>
      </c>
      <c r="BI543" s="2" t="s">
        <v>74</v>
      </c>
      <c r="BJ543" s="2" t="s">
        <v>74</v>
      </c>
      <c r="BK543" s="2" t="s">
        <v>74</v>
      </c>
      <c r="BL543" s="2" t="s">
        <v>74</v>
      </c>
      <c r="BM543" s="2" t="s">
        <v>74</v>
      </c>
      <c r="BN543" s="2" t="s">
        <v>74</v>
      </c>
      <c r="BO543" s="2" t="s">
        <v>74</v>
      </c>
      <c r="BP543" s="2" t="s">
        <v>74</v>
      </c>
      <c r="BQ543" s="2" t="s">
        <v>74</v>
      </c>
      <c r="BR543" s="2" t="s">
        <v>74</v>
      </c>
      <c r="BS543" s="2" t="s">
        <v>1118</v>
      </c>
      <c r="BT543" s="2" t="str">
        <f>HYPERLINK("https%3A%2F%2Fwww.webofscience.com%2Fwos%2Fwoscc%2Ffull-record%2FWOS:000220316400006","View Full Record in Web of Science")</f>
        <v>View Full Record in Web of Science</v>
      </c>
    </row>
    <row r="544" spans="1:72" s="2" customFormat="1" x14ac:dyDescent="0.4">
      <c r="A544" s="2" t="s">
        <v>72</v>
      </c>
      <c r="B544" s="2" t="s">
        <v>7720</v>
      </c>
      <c r="C544" s="2" t="s">
        <v>74</v>
      </c>
      <c r="D544" s="2" t="s">
        <v>74</v>
      </c>
      <c r="E544" s="2" t="s">
        <v>74</v>
      </c>
      <c r="F544" s="2" t="s">
        <v>7721</v>
      </c>
      <c r="G544" s="2" t="s">
        <v>74</v>
      </c>
      <c r="H544" s="2" t="s">
        <v>74</v>
      </c>
      <c r="I544" s="2" t="s">
        <v>7722</v>
      </c>
      <c r="J544" s="2" t="s">
        <v>7723</v>
      </c>
      <c r="K544" s="2" t="s">
        <v>74</v>
      </c>
      <c r="L544" s="2" t="s">
        <v>74</v>
      </c>
      <c r="M544" s="2" t="s">
        <v>74</v>
      </c>
      <c r="N544" s="2" t="s">
        <v>74</v>
      </c>
      <c r="O544" s="2" t="s">
        <v>74</v>
      </c>
      <c r="P544" s="2" t="s">
        <v>74</v>
      </c>
      <c r="Q544" s="2" t="s">
        <v>74</v>
      </c>
      <c r="R544" s="2" t="s">
        <v>74</v>
      </c>
      <c r="S544" s="2" t="s">
        <v>74</v>
      </c>
      <c r="T544" s="2" t="s">
        <v>74</v>
      </c>
      <c r="U544" s="2" t="s">
        <v>74</v>
      </c>
      <c r="V544" s="5" t="s">
        <v>7724</v>
      </c>
      <c r="W544" s="2" t="s">
        <v>74</v>
      </c>
      <c r="X544" s="2" t="s">
        <v>74</v>
      </c>
      <c r="Y544" s="2" t="s">
        <v>74</v>
      </c>
      <c r="Z544" s="2" t="s">
        <v>74</v>
      </c>
      <c r="AA544" s="2" t="s">
        <v>74</v>
      </c>
      <c r="AB544" s="2" t="s">
        <v>7725</v>
      </c>
      <c r="AC544" s="2" t="s">
        <v>74</v>
      </c>
      <c r="AD544" s="2" t="s">
        <v>74</v>
      </c>
      <c r="AE544" s="2" t="s">
        <v>74</v>
      </c>
      <c r="AF544" s="2" t="s">
        <v>74</v>
      </c>
      <c r="AG544" s="2" t="s">
        <v>74</v>
      </c>
      <c r="AH544" s="2" t="s">
        <v>74</v>
      </c>
      <c r="AI544" s="2" t="s">
        <v>74</v>
      </c>
      <c r="AJ544" s="2" t="s">
        <v>74</v>
      </c>
      <c r="AK544" s="2" t="s">
        <v>74</v>
      </c>
      <c r="AL544" s="2" t="s">
        <v>74</v>
      </c>
      <c r="AM544" s="2" t="s">
        <v>74</v>
      </c>
      <c r="AN544" s="2" t="s">
        <v>74</v>
      </c>
      <c r="AO544" s="2" t="s">
        <v>7726</v>
      </c>
      <c r="AP544" s="2" t="s">
        <v>7727</v>
      </c>
      <c r="AQ544" s="2" t="s">
        <v>74</v>
      </c>
      <c r="AR544" s="2" t="s">
        <v>74</v>
      </c>
      <c r="AS544" s="2" t="s">
        <v>74</v>
      </c>
      <c r="AT544" s="2" t="s">
        <v>352</v>
      </c>
      <c r="AU544" s="2">
        <v>2014</v>
      </c>
      <c r="AV544" s="2">
        <v>105</v>
      </c>
      <c r="AW544" s="2" t="s">
        <v>74</v>
      </c>
      <c r="AX544" s="2" t="s">
        <v>74</v>
      </c>
      <c r="AY544" s="2">
        <v>1</v>
      </c>
      <c r="AZ544" s="2" t="s">
        <v>848</v>
      </c>
      <c r="BA544" s="2" t="s">
        <v>74</v>
      </c>
      <c r="BB544" s="2">
        <v>821</v>
      </c>
      <c r="BC544" s="2">
        <v>833</v>
      </c>
      <c r="BD544" s="2" t="s">
        <v>74</v>
      </c>
      <c r="BE544" s="2" t="s">
        <v>7728</v>
      </c>
      <c r="BF544" s="2" t="str">
        <f>HYPERLINK("http://dx.doi.org/10.1093/jhered/esu041","http://dx.doi.org/10.1093/jhered/esu041")</f>
        <v>http://dx.doi.org/10.1093/jhered/esu041</v>
      </c>
      <c r="BG544" s="2" t="s">
        <v>74</v>
      </c>
      <c r="BH544" s="2" t="s">
        <v>74</v>
      </c>
      <c r="BI544" s="2" t="s">
        <v>74</v>
      </c>
      <c r="BJ544" s="2" t="s">
        <v>74</v>
      </c>
      <c r="BK544" s="2" t="s">
        <v>74</v>
      </c>
      <c r="BL544" s="2" t="s">
        <v>74</v>
      </c>
      <c r="BM544" s="2" t="s">
        <v>74</v>
      </c>
      <c r="BN544" s="2">
        <v>25149257</v>
      </c>
      <c r="BO544" s="2" t="s">
        <v>74</v>
      </c>
      <c r="BP544" s="2" t="s">
        <v>74</v>
      </c>
      <c r="BQ544" s="2" t="s">
        <v>74</v>
      </c>
      <c r="BR544" s="2" t="s">
        <v>74</v>
      </c>
      <c r="BS544" s="2" t="s">
        <v>7729</v>
      </c>
      <c r="BT544" s="2" t="str">
        <f>HYPERLINK("https%3A%2F%2Fwww.webofscience.com%2Fwos%2Fwoscc%2Ffull-record%2FWOS:000342995100008","View Full Record in Web of Science")</f>
        <v>View Full Record in Web of Science</v>
      </c>
    </row>
    <row r="545" spans="1:72" s="2" customFormat="1" x14ac:dyDescent="0.4">
      <c r="A545" s="2" t="s">
        <v>72</v>
      </c>
      <c r="B545" s="2" t="s">
        <v>6594</v>
      </c>
      <c r="C545" s="2" t="s">
        <v>74</v>
      </c>
      <c r="D545" s="2" t="s">
        <v>74</v>
      </c>
      <c r="E545" s="2" t="s">
        <v>74</v>
      </c>
      <c r="F545" s="2" t="s">
        <v>6594</v>
      </c>
      <c r="G545" s="2" t="s">
        <v>74</v>
      </c>
      <c r="H545" s="2" t="s">
        <v>74</v>
      </c>
      <c r="I545" s="2" t="s">
        <v>6595</v>
      </c>
      <c r="J545" s="2" t="s">
        <v>140</v>
      </c>
      <c r="K545" s="2" t="s">
        <v>74</v>
      </c>
      <c r="L545" s="2" t="s">
        <v>74</v>
      </c>
      <c r="M545" s="2" t="s">
        <v>74</v>
      </c>
      <c r="N545" s="2" t="s">
        <v>74</v>
      </c>
      <c r="O545" s="2" t="s">
        <v>74</v>
      </c>
      <c r="P545" s="2" t="s">
        <v>74</v>
      </c>
      <c r="Q545" s="2" t="s">
        <v>74</v>
      </c>
      <c r="R545" s="2" t="s">
        <v>74</v>
      </c>
      <c r="S545" s="2" t="s">
        <v>74</v>
      </c>
      <c r="T545" s="2" t="s">
        <v>74</v>
      </c>
      <c r="U545" s="2" t="s">
        <v>74</v>
      </c>
      <c r="V545" s="5" t="s">
        <v>6596</v>
      </c>
      <c r="W545" s="2" t="s">
        <v>74</v>
      </c>
      <c r="X545" s="2" t="s">
        <v>74</v>
      </c>
      <c r="Y545" s="2" t="s">
        <v>74</v>
      </c>
      <c r="Z545" s="2" t="s">
        <v>74</v>
      </c>
      <c r="AA545" s="2" t="s">
        <v>6597</v>
      </c>
      <c r="AB545" s="2" t="s">
        <v>74</v>
      </c>
      <c r="AC545" s="2" t="s">
        <v>74</v>
      </c>
      <c r="AD545" s="2" t="s">
        <v>74</v>
      </c>
      <c r="AE545" s="2" t="s">
        <v>74</v>
      </c>
      <c r="AF545" s="2" t="s">
        <v>74</v>
      </c>
      <c r="AG545" s="2" t="s">
        <v>74</v>
      </c>
      <c r="AH545" s="2" t="s">
        <v>74</v>
      </c>
      <c r="AI545" s="2" t="s">
        <v>74</v>
      </c>
      <c r="AJ545" s="2" t="s">
        <v>74</v>
      </c>
      <c r="AK545" s="2" t="s">
        <v>74</v>
      </c>
      <c r="AL545" s="2" t="s">
        <v>74</v>
      </c>
      <c r="AM545" s="2" t="s">
        <v>74</v>
      </c>
      <c r="AN545" s="2" t="s">
        <v>74</v>
      </c>
      <c r="AO545" s="2" t="s">
        <v>143</v>
      </c>
      <c r="AP545" s="2" t="s">
        <v>144</v>
      </c>
      <c r="AQ545" s="2" t="s">
        <v>74</v>
      </c>
      <c r="AR545" s="2" t="s">
        <v>74</v>
      </c>
      <c r="AS545" s="2" t="s">
        <v>74</v>
      </c>
      <c r="AT545" s="2" t="s">
        <v>213</v>
      </c>
      <c r="AU545" s="2">
        <v>1997</v>
      </c>
      <c r="AV545" s="2">
        <v>54</v>
      </c>
      <c r="AW545" s="2" t="s">
        <v>74</v>
      </c>
      <c r="AX545" s="2">
        <v>5</v>
      </c>
      <c r="AY545" s="2" t="s">
        <v>74</v>
      </c>
      <c r="AZ545" s="2" t="s">
        <v>74</v>
      </c>
      <c r="BA545" s="2" t="s">
        <v>74</v>
      </c>
      <c r="BB545" s="2">
        <v>1309</v>
      </c>
      <c r="BC545" s="2">
        <v>1315</v>
      </c>
      <c r="BD545" s="2" t="s">
        <v>74</v>
      </c>
      <c r="BE545" s="2" t="s">
        <v>6598</v>
      </c>
      <c r="BF545" s="2" t="str">
        <f>HYPERLINK("http://dx.doi.org/10.1006/anbe.1997.0531","http://dx.doi.org/10.1006/anbe.1997.0531")</f>
        <v>http://dx.doi.org/10.1006/anbe.1997.0531</v>
      </c>
      <c r="BG545" s="2" t="s">
        <v>74</v>
      </c>
      <c r="BH545" s="2" t="s">
        <v>74</v>
      </c>
      <c r="BI545" s="2" t="s">
        <v>74</v>
      </c>
      <c r="BJ545" s="2" t="s">
        <v>74</v>
      </c>
      <c r="BK545" s="2" t="s">
        <v>74</v>
      </c>
      <c r="BL545" s="2" t="s">
        <v>74</v>
      </c>
      <c r="BM545" s="2" t="s">
        <v>74</v>
      </c>
      <c r="BN545" s="2">
        <v>9398384</v>
      </c>
      <c r="BO545" s="2" t="s">
        <v>74</v>
      </c>
      <c r="BP545" s="2" t="s">
        <v>74</v>
      </c>
      <c r="BQ545" s="2" t="s">
        <v>74</v>
      </c>
      <c r="BR545" s="2" t="s">
        <v>74</v>
      </c>
      <c r="BS545" s="2" t="s">
        <v>6599</v>
      </c>
      <c r="BT545" s="2" t="str">
        <f>HYPERLINK("https%3A%2F%2Fwww.webofscience.com%2Fwos%2Fwoscc%2Ffull-record%2FWOS:A1997YJ17400025","View Full Record in Web of Science")</f>
        <v>View Full Record in Web of Science</v>
      </c>
    </row>
    <row r="546" spans="1:72" s="2" customFormat="1" x14ac:dyDescent="0.4">
      <c r="A546" s="2" t="s">
        <v>72</v>
      </c>
      <c r="B546" s="2" t="s">
        <v>2173</v>
      </c>
      <c r="C546" s="2" t="s">
        <v>74</v>
      </c>
      <c r="D546" s="2" t="s">
        <v>74</v>
      </c>
      <c r="E546" s="2" t="s">
        <v>74</v>
      </c>
      <c r="F546" s="2" t="s">
        <v>2174</v>
      </c>
      <c r="G546" s="2" t="s">
        <v>74</v>
      </c>
      <c r="H546" s="2" t="s">
        <v>74</v>
      </c>
      <c r="I546" s="2" t="s">
        <v>2175</v>
      </c>
      <c r="J546" s="2" t="s">
        <v>420</v>
      </c>
      <c r="K546" s="2" t="s">
        <v>74</v>
      </c>
      <c r="L546" s="2" t="s">
        <v>74</v>
      </c>
      <c r="M546" s="2" t="s">
        <v>74</v>
      </c>
      <c r="N546" s="2" t="s">
        <v>74</v>
      </c>
      <c r="O546" s="2" t="s">
        <v>74</v>
      </c>
      <c r="P546" s="2" t="s">
        <v>74</v>
      </c>
      <c r="Q546" s="2" t="s">
        <v>74</v>
      </c>
      <c r="R546" s="2" t="s">
        <v>74</v>
      </c>
      <c r="S546" s="2" t="s">
        <v>74</v>
      </c>
      <c r="T546" s="2" t="s">
        <v>74</v>
      </c>
      <c r="U546" s="2" t="s">
        <v>74</v>
      </c>
      <c r="V546" s="5" t="s">
        <v>2176</v>
      </c>
      <c r="W546" s="2" t="s">
        <v>74</v>
      </c>
      <c r="X546" s="2" t="s">
        <v>74</v>
      </c>
      <c r="Y546" s="2" t="s">
        <v>74</v>
      </c>
      <c r="Z546" s="2" t="s">
        <v>74</v>
      </c>
      <c r="AA546" s="2" t="s">
        <v>74</v>
      </c>
      <c r="AB546" s="2" t="s">
        <v>322</v>
      </c>
      <c r="AC546" s="2" t="s">
        <v>74</v>
      </c>
      <c r="AD546" s="2" t="s">
        <v>74</v>
      </c>
      <c r="AE546" s="2" t="s">
        <v>74</v>
      </c>
      <c r="AF546" s="2" t="s">
        <v>74</v>
      </c>
      <c r="AG546" s="2" t="s">
        <v>74</v>
      </c>
      <c r="AH546" s="2" t="s">
        <v>74</v>
      </c>
      <c r="AI546" s="2" t="s">
        <v>74</v>
      </c>
      <c r="AJ546" s="2" t="s">
        <v>74</v>
      </c>
      <c r="AK546" s="2" t="s">
        <v>74</v>
      </c>
      <c r="AL546" s="2" t="s">
        <v>74</v>
      </c>
      <c r="AM546" s="2" t="s">
        <v>74</v>
      </c>
      <c r="AN546" s="2" t="s">
        <v>74</v>
      </c>
      <c r="AO546" s="2" t="s">
        <v>424</v>
      </c>
      <c r="AP546" s="2" t="s">
        <v>74</v>
      </c>
      <c r="AQ546" s="2" t="s">
        <v>74</v>
      </c>
      <c r="AR546" s="2" t="s">
        <v>74</v>
      </c>
      <c r="AS546" s="2" t="s">
        <v>74</v>
      </c>
      <c r="AT546" s="2" t="s">
        <v>2177</v>
      </c>
      <c r="AU546" s="2">
        <v>2010</v>
      </c>
      <c r="AV546" s="2">
        <v>10</v>
      </c>
      <c r="AW546" s="2" t="s">
        <v>74</v>
      </c>
      <c r="AX546" s="2" t="s">
        <v>74</v>
      </c>
      <c r="AY546" s="2" t="s">
        <v>74</v>
      </c>
      <c r="AZ546" s="2" t="s">
        <v>74</v>
      </c>
      <c r="BA546" s="2" t="s">
        <v>74</v>
      </c>
      <c r="BB546" s="2" t="s">
        <v>74</v>
      </c>
      <c r="BC546" s="2" t="s">
        <v>74</v>
      </c>
      <c r="BD546" s="2">
        <v>391</v>
      </c>
      <c r="BE546" s="2" t="s">
        <v>2178</v>
      </c>
      <c r="BF546" s="2" t="str">
        <f>HYPERLINK("http://dx.doi.org/10.1186/1471-2148-10-391","http://dx.doi.org/10.1186/1471-2148-10-391")</f>
        <v>http://dx.doi.org/10.1186/1471-2148-10-391</v>
      </c>
      <c r="BG546" s="2" t="s">
        <v>74</v>
      </c>
      <c r="BH546" s="2" t="s">
        <v>74</v>
      </c>
      <c r="BI546" s="2" t="s">
        <v>74</v>
      </c>
      <c r="BJ546" s="2" t="s">
        <v>74</v>
      </c>
      <c r="BK546" s="2" t="s">
        <v>74</v>
      </c>
      <c r="BL546" s="2" t="s">
        <v>74</v>
      </c>
      <c r="BM546" s="2" t="s">
        <v>74</v>
      </c>
      <c r="BN546" s="2">
        <v>21182755</v>
      </c>
      <c r="BO546" s="2" t="s">
        <v>74</v>
      </c>
      <c r="BP546" s="2" t="s">
        <v>74</v>
      </c>
      <c r="BQ546" s="2" t="s">
        <v>74</v>
      </c>
      <c r="BR546" s="2" t="s">
        <v>74</v>
      </c>
      <c r="BS546" s="2" t="s">
        <v>2179</v>
      </c>
      <c r="BT546" s="2" t="str">
        <f>HYPERLINK("https%3A%2F%2Fwww.webofscience.com%2Fwos%2Fwoscc%2Ffull-record%2FWOS:000287579200001","View Full Record in Web of Science")</f>
        <v>View Full Record in Web of Science</v>
      </c>
    </row>
    <row r="547" spans="1:72" s="2" customFormat="1" x14ac:dyDescent="0.4">
      <c r="A547" s="2" t="s">
        <v>72</v>
      </c>
      <c r="B547" s="2" t="s">
        <v>3970</v>
      </c>
      <c r="C547" s="2" t="s">
        <v>74</v>
      </c>
      <c r="D547" s="2" t="s">
        <v>74</v>
      </c>
      <c r="E547" s="2" t="s">
        <v>74</v>
      </c>
      <c r="F547" s="2" t="s">
        <v>3970</v>
      </c>
      <c r="G547" s="2" t="s">
        <v>74</v>
      </c>
      <c r="H547" s="2" t="s">
        <v>74</v>
      </c>
      <c r="I547" s="2" t="s">
        <v>3971</v>
      </c>
      <c r="J547" s="2" t="s">
        <v>1812</v>
      </c>
      <c r="K547" s="2" t="s">
        <v>74</v>
      </c>
      <c r="L547" s="2" t="s">
        <v>74</v>
      </c>
      <c r="M547" s="2" t="s">
        <v>74</v>
      </c>
      <c r="N547" s="2" t="s">
        <v>74</v>
      </c>
      <c r="O547" s="2" t="s">
        <v>74</v>
      </c>
      <c r="P547" s="2" t="s">
        <v>74</v>
      </c>
      <c r="Q547" s="2" t="s">
        <v>74</v>
      </c>
      <c r="R547" s="2" t="s">
        <v>74</v>
      </c>
      <c r="S547" s="2" t="s">
        <v>74</v>
      </c>
      <c r="T547" s="2" t="s">
        <v>74</v>
      </c>
      <c r="U547" s="2" t="s">
        <v>74</v>
      </c>
      <c r="V547" s="5" t="s">
        <v>3972</v>
      </c>
      <c r="W547" s="2" t="s">
        <v>74</v>
      </c>
      <c r="X547" s="2" t="s">
        <v>74</v>
      </c>
      <c r="Y547" s="2" t="s">
        <v>74</v>
      </c>
      <c r="Z547" s="2" t="s">
        <v>74</v>
      </c>
      <c r="AA547" s="2" t="s">
        <v>74</v>
      </c>
      <c r="AB547" s="2" t="s">
        <v>3973</v>
      </c>
      <c r="AC547" s="2" t="s">
        <v>74</v>
      </c>
      <c r="AD547" s="2" t="s">
        <v>74</v>
      </c>
      <c r="AE547" s="2" t="s">
        <v>74</v>
      </c>
      <c r="AF547" s="2" t="s">
        <v>74</v>
      </c>
      <c r="AG547" s="2" t="s">
        <v>74</v>
      </c>
      <c r="AH547" s="2" t="s">
        <v>74</v>
      </c>
      <c r="AI547" s="2" t="s">
        <v>74</v>
      </c>
      <c r="AJ547" s="2" t="s">
        <v>74</v>
      </c>
      <c r="AK547" s="2" t="s">
        <v>74</v>
      </c>
      <c r="AL547" s="2" t="s">
        <v>74</v>
      </c>
      <c r="AM547" s="2" t="s">
        <v>74</v>
      </c>
      <c r="AN547" s="2" t="s">
        <v>74</v>
      </c>
      <c r="AO547" s="2" t="s">
        <v>1814</v>
      </c>
      <c r="AP547" s="2" t="s">
        <v>1815</v>
      </c>
      <c r="AQ547" s="2" t="s">
        <v>74</v>
      </c>
      <c r="AR547" s="2" t="s">
        <v>74</v>
      </c>
      <c r="AS547" s="2" t="s">
        <v>74</v>
      </c>
      <c r="AT547" s="2" t="s">
        <v>123</v>
      </c>
      <c r="AU547" s="2">
        <v>2004</v>
      </c>
      <c r="AV547" s="2">
        <v>38</v>
      </c>
      <c r="AW547" s="2">
        <v>1</v>
      </c>
      <c r="AX547" s="2" t="s">
        <v>74</v>
      </c>
      <c r="AY547" s="2" t="s">
        <v>74</v>
      </c>
      <c r="AZ547" s="2" t="s">
        <v>74</v>
      </c>
      <c r="BA547" s="2" t="s">
        <v>74</v>
      </c>
      <c r="BB547" s="2">
        <v>156</v>
      </c>
      <c r="BC547" s="2">
        <v>160</v>
      </c>
      <c r="BD547" s="2" t="s">
        <v>74</v>
      </c>
      <c r="BE547" s="2" t="s">
        <v>3974</v>
      </c>
      <c r="BF547" s="2" t="str">
        <f>HYPERLINK("http://dx.doi.org/10.1670/138-03N","http://dx.doi.org/10.1670/138-03N")</f>
        <v>http://dx.doi.org/10.1670/138-03N</v>
      </c>
      <c r="BG547" s="2" t="s">
        <v>74</v>
      </c>
      <c r="BH547" s="2" t="s">
        <v>74</v>
      </c>
      <c r="BI547" s="2" t="s">
        <v>74</v>
      </c>
      <c r="BJ547" s="2" t="s">
        <v>74</v>
      </c>
      <c r="BK547" s="2" t="s">
        <v>74</v>
      </c>
      <c r="BL547" s="2" t="s">
        <v>74</v>
      </c>
      <c r="BM547" s="2" t="s">
        <v>74</v>
      </c>
      <c r="BN547" s="2" t="s">
        <v>74</v>
      </c>
      <c r="BO547" s="2" t="s">
        <v>74</v>
      </c>
      <c r="BP547" s="2" t="s">
        <v>74</v>
      </c>
      <c r="BQ547" s="2" t="s">
        <v>74</v>
      </c>
      <c r="BR547" s="2" t="s">
        <v>74</v>
      </c>
      <c r="BS547" s="2" t="s">
        <v>3975</v>
      </c>
      <c r="BT547" s="2" t="str">
        <f>HYPERLINK("https%3A%2F%2Fwww.webofscience.com%2Fwos%2Fwoscc%2Ffull-record%2FWOS:000220546800025","View Full Record in Web of Science")</f>
        <v>View Full Record in Web of Science</v>
      </c>
    </row>
    <row r="548" spans="1:72" s="2" customFormat="1" x14ac:dyDescent="0.4">
      <c r="A548" s="2" t="s">
        <v>72</v>
      </c>
      <c r="B548" s="2" t="s">
        <v>5911</v>
      </c>
      <c r="C548" s="2" t="s">
        <v>74</v>
      </c>
      <c r="D548" s="2" t="s">
        <v>74</v>
      </c>
      <c r="E548" s="2" t="s">
        <v>74</v>
      </c>
      <c r="F548" s="2" t="s">
        <v>5912</v>
      </c>
      <c r="G548" s="2" t="s">
        <v>74</v>
      </c>
      <c r="H548" s="2" t="s">
        <v>74</v>
      </c>
      <c r="I548" s="2" t="s">
        <v>5913</v>
      </c>
      <c r="J548" s="2" t="s">
        <v>1743</v>
      </c>
      <c r="K548" s="2" t="s">
        <v>74</v>
      </c>
      <c r="L548" s="2" t="s">
        <v>74</v>
      </c>
      <c r="M548" s="2" t="s">
        <v>74</v>
      </c>
      <c r="N548" s="2" t="s">
        <v>74</v>
      </c>
      <c r="O548" s="2" t="s">
        <v>74</v>
      </c>
      <c r="P548" s="2" t="s">
        <v>74</v>
      </c>
      <c r="Q548" s="2" t="s">
        <v>74</v>
      </c>
      <c r="R548" s="2" t="s">
        <v>74</v>
      </c>
      <c r="S548" s="2" t="s">
        <v>74</v>
      </c>
      <c r="T548" s="2" t="s">
        <v>74</v>
      </c>
      <c r="U548" s="2" t="s">
        <v>74</v>
      </c>
      <c r="V548" s="5" t="s">
        <v>5914</v>
      </c>
      <c r="W548" s="2" t="s">
        <v>74</v>
      </c>
      <c r="X548" s="2" t="s">
        <v>74</v>
      </c>
      <c r="Y548" s="2" t="s">
        <v>74</v>
      </c>
      <c r="Z548" s="2" t="s">
        <v>74</v>
      </c>
      <c r="AA548" s="2" t="s">
        <v>5915</v>
      </c>
      <c r="AB548" s="2" t="s">
        <v>5916</v>
      </c>
      <c r="AC548" s="2" t="s">
        <v>74</v>
      </c>
      <c r="AD548" s="2" t="s">
        <v>74</v>
      </c>
      <c r="AE548" s="2" t="s">
        <v>74</v>
      </c>
      <c r="AF548" s="2" t="s">
        <v>74</v>
      </c>
      <c r="AG548" s="2" t="s">
        <v>74</v>
      </c>
      <c r="AH548" s="2" t="s">
        <v>74</v>
      </c>
      <c r="AI548" s="2" t="s">
        <v>74</v>
      </c>
      <c r="AJ548" s="2" t="s">
        <v>74</v>
      </c>
      <c r="AK548" s="2" t="s">
        <v>74</v>
      </c>
      <c r="AL548" s="2" t="s">
        <v>74</v>
      </c>
      <c r="AM548" s="2" t="s">
        <v>74</v>
      </c>
      <c r="AN548" s="2" t="s">
        <v>74</v>
      </c>
      <c r="AO548" s="2" t="s">
        <v>1746</v>
      </c>
      <c r="AP548" s="2" t="s">
        <v>74</v>
      </c>
      <c r="AQ548" s="2" t="s">
        <v>74</v>
      </c>
      <c r="AR548" s="2" t="s">
        <v>74</v>
      </c>
      <c r="AS548" s="2" t="s">
        <v>74</v>
      </c>
      <c r="AT548" s="2" t="s">
        <v>633</v>
      </c>
      <c r="AU548" s="2">
        <v>2021</v>
      </c>
      <c r="AV548" s="2">
        <v>38</v>
      </c>
      <c r="AW548" s="2">
        <v>2</v>
      </c>
      <c r="AX548" s="2" t="s">
        <v>74</v>
      </c>
      <c r="AY548" s="2" t="s">
        <v>74</v>
      </c>
      <c r="AZ548" s="2" t="s">
        <v>74</v>
      </c>
      <c r="BA548" s="2" t="s">
        <v>74</v>
      </c>
      <c r="BB548" s="2">
        <v>193</v>
      </c>
      <c r="BC548" s="2">
        <v>202</v>
      </c>
      <c r="BD548" s="2" t="s">
        <v>74</v>
      </c>
      <c r="BE548" s="2" t="s">
        <v>5917</v>
      </c>
      <c r="BF548" s="2" t="str">
        <f>HYPERLINK("http://dx.doi.org/10.2108/zs200112","http://dx.doi.org/10.2108/zs200112")</f>
        <v>http://dx.doi.org/10.2108/zs200112</v>
      </c>
      <c r="BG548" s="2" t="s">
        <v>74</v>
      </c>
      <c r="BH548" s="2" t="s">
        <v>74</v>
      </c>
      <c r="BI548" s="2" t="s">
        <v>74</v>
      </c>
      <c r="BJ548" s="2" t="s">
        <v>74</v>
      </c>
      <c r="BK548" s="2" t="s">
        <v>74</v>
      </c>
      <c r="BL548" s="2" t="s">
        <v>74</v>
      </c>
      <c r="BM548" s="2" t="s">
        <v>74</v>
      </c>
      <c r="BN548" s="2">
        <v>33812359</v>
      </c>
      <c r="BO548" s="2" t="s">
        <v>74</v>
      </c>
      <c r="BP548" s="2" t="s">
        <v>74</v>
      </c>
      <c r="BQ548" s="2" t="s">
        <v>74</v>
      </c>
      <c r="BR548" s="2" t="s">
        <v>74</v>
      </c>
      <c r="BS548" s="2" t="s">
        <v>5918</v>
      </c>
      <c r="BT548" s="2" t="str">
        <f>HYPERLINK("https%3A%2F%2Fwww.webofscience.com%2Fwos%2Fwoscc%2Ffull-record%2FWOS:000635436200010","View Full Record in Web of Science")</f>
        <v>View Full Record in Web of Science</v>
      </c>
    </row>
    <row r="549" spans="1:72" s="2" customFormat="1" x14ac:dyDescent="0.4">
      <c r="A549" s="2" t="s">
        <v>72</v>
      </c>
      <c r="B549" s="2" t="s">
        <v>6906</v>
      </c>
      <c r="C549" s="2" t="s">
        <v>74</v>
      </c>
      <c r="D549" s="2" t="s">
        <v>74</v>
      </c>
      <c r="E549" s="2" t="s">
        <v>74</v>
      </c>
      <c r="F549" s="2" t="s">
        <v>6907</v>
      </c>
      <c r="G549" s="2" t="s">
        <v>74</v>
      </c>
      <c r="H549" s="2" t="s">
        <v>74</v>
      </c>
      <c r="I549" s="2" t="s">
        <v>6908</v>
      </c>
      <c r="J549" s="2" t="s">
        <v>171</v>
      </c>
      <c r="K549" s="2" t="s">
        <v>74</v>
      </c>
      <c r="L549" s="2" t="s">
        <v>74</v>
      </c>
      <c r="M549" s="2" t="s">
        <v>74</v>
      </c>
      <c r="N549" s="2" t="s">
        <v>74</v>
      </c>
      <c r="O549" s="2" t="s">
        <v>74</v>
      </c>
      <c r="P549" s="2" t="s">
        <v>74</v>
      </c>
      <c r="Q549" s="2" t="s">
        <v>74</v>
      </c>
      <c r="R549" s="2" t="s">
        <v>74</v>
      </c>
      <c r="S549" s="2" t="s">
        <v>74</v>
      </c>
      <c r="T549" s="2" t="s">
        <v>74</v>
      </c>
      <c r="U549" s="2" t="s">
        <v>74</v>
      </c>
      <c r="V549" s="5" t="s">
        <v>6909</v>
      </c>
      <c r="W549" s="2" t="s">
        <v>74</v>
      </c>
      <c r="X549" s="2" t="s">
        <v>74</v>
      </c>
      <c r="Y549" s="2" t="s">
        <v>74</v>
      </c>
      <c r="Z549" s="2" t="s">
        <v>74</v>
      </c>
      <c r="AA549" s="2" t="s">
        <v>6910</v>
      </c>
      <c r="AB549" s="2" t="s">
        <v>434</v>
      </c>
      <c r="AC549" s="2" t="s">
        <v>74</v>
      </c>
      <c r="AD549" s="2" t="s">
        <v>74</v>
      </c>
      <c r="AE549" s="2" t="s">
        <v>74</v>
      </c>
      <c r="AF549" s="2" t="s">
        <v>74</v>
      </c>
      <c r="AG549" s="2" t="s">
        <v>74</v>
      </c>
      <c r="AH549" s="2" t="s">
        <v>74</v>
      </c>
      <c r="AI549" s="2" t="s">
        <v>74</v>
      </c>
      <c r="AJ549" s="2" t="s">
        <v>74</v>
      </c>
      <c r="AK549" s="2" t="s">
        <v>74</v>
      </c>
      <c r="AL549" s="2" t="s">
        <v>74</v>
      </c>
      <c r="AM549" s="2" t="s">
        <v>74</v>
      </c>
      <c r="AN549" s="2" t="s">
        <v>74</v>
      </c>
      <c r="AO549" s="2" t="s">
        <v>173</v>
      </c>
      <c r="AP549" s="2" t="s">
        <v>174</v>
      </c>
      <c r="AQ549" s="2" t="s">
        <v>74</v>
      </c>
      <c r="AR549" s="2" t="s">
        <v>74</v>
      </c>
      <c r="AS549" s="2" t="s">
        <v>74</v>
      </c>
      <c r="AT549" s="2" t="s">
        <v>102</v>
      </c>
      <c r="AU549" s="2">
        <v>2010</v>
      </c>
      <c r="AV549" s="2">
        <v>64</v>
      </c>
      <c r="AW549" s="2">
        <v>6</v>
      </c>
      <c r="AX549" s="2" t="s">
        <v>74</v>
      </c>
      <c r="AY549" s="2" t="s">
        <v>74</v>
      </c>
      <c r="AZ549" s="2" t="s">
        <v>74</v>
      </c>
      <c r="BA549" s="2" t="s">
        <v>74</v>
      </c>
      <c r="BB549" s="2">
        <v>1634</v>
      </c>
      <c r="BC549" s="2">
        <v>1643</v>
      </c>
      <c r="BD549" s="2" t="s">
        <v>74</v>
      </c>
      <c r="BE549" s="2" t="s">
        <v>6911</v>
      </c>
      <c r="BF549" s="2" t="str">
        <f>HYPERLINK("http://dx.doi.org/10.1111/j.1558-5646.2009.00924.x","http://dx.doi.org/10.1111/j.1558-5646.2009.00924.x")</f>
        <v>http://dx.doi.org/10.1111/j.1558-5646.2009.00924.x</v>
      </c>
      <c r="BG549" s="2" t="s">
        <v>74</v>
      </c>
      <c r="BH549" s="2" t="s">
        <v>74</v>
      </c>
      <c r="BI549" s="2" t="s">
        <v>74</v>
      </c>
      <c r="BJ549" s="2" t="s">
        <v>74</v>
      </c>
      <c r="BK549" s="2" t="s">
        <v>74</v>
      </c>
      <c r="BL549" s="2" t="s">
        <v>74</v>
      </c>
      <c r="BM549" s="2" t="s">
        <v>74</v>
      </c>
      <c r="BN549" s="2">
        <v>20015235</v>
      </c>
      <c r="BO549" s="2" t="s">
        <v>74</v>
      </c>
      <c r="BP549" s="2" t="s">
        <v>74</v>
      </c>
      <c r="BQ549" s="2" t="s">
        <v>74</v>
      </c>
      <c r="BR549" s="2" t="s">
        <v>74</v>
      </c>
      <c r="BS549" s="2" t="s">
        <v>6912</v>
      </c>
      <c r="BT549" s="2" t="str">
        <f>HYPERLINK("https%3A%2F%2Fwww.webofscience.com%2Fwos%2Fwoscc%2Ffull-record%2FWOS:000278343200009","View Full Record in Web of Science")</f>
        <v>View Full Record in Web of Science</v>
      </c>
    </row>
    <row r="550" spans="1:72" s="2" customFormat="1" x14ac:dyDescent="0.4">
      <c r="A550" s="2" t="s">
        <v>72</v>
      </c>
      <c r="B550" s="2" t="s">
        <v>3187</v>
      </c>
      <c r="C550" s="2" t="s">
        <v>74</v>
      </c>
      <c r="D550" s="2" t="s">
        <v>74</v>
      </c>
      <c r="E550" s="2" t="s">
        <v>74</v>
      </c>
      <c r="F550" s="2" t="s">
        <v>3188</v>
      </c>
      <c r="G550" s="2" t="s">
        <v>74</v>
      </c>
      <c r="H550" s="2" t="s">
        <v>74</v>
      </c>
      <c r="I550" s="2" t="s">
        <v>3189</v>
      </c>
      <c r="J550" s="2" t="s">
        <v>3190</v>
      </c>
      <c r="K550" s="2" t="s">
        <v>74</v>
      </c>
      <c r="L550" s="2" t="s">
        <v>74</v>
      </c>
      <c r="M550" s="2" t="s">
        <v>74</v>
      </c>
      <c r="N550" s="2" t="s">
        <v>74</v>
      </c>
      <c r="O550" s="2" t="s">
        <v>74</v>
      </c>
      <c r="P550" s="2" t="s">
        <v>74</v>
      </c>
      <c r="Q550" s="2" t="s">
        <v>74</v>
      </c>
      <c r="R550" s="2" t="s">
        <v>74</v>
      </c>
      <c r="S550" s="2" t="s">
        <v>74</v>
      </c>
      <c r="T550" s="2" t="s">
        <v>74</v>
      </c>
      <c r="U550" s="2" t="s">
        <v>74</v>
      </c>
      <c r="V550" s="5" t="s">
        <v>3191</v>
      </c>
      <c r="W550" s="2" t="s">
        <v>74</v>
      </c>
      <c r="X550" s="2" t="s">
        <v>74</v>
      </c>
      <c r="Y550" s="2" t="s">
        <v>74</v>
      </c>
      <c r="Z550" s="2" t="s">
        <v>74</v>
      </c>
      <c r="AA550" s="2" t="s">
        <v>3192</v>
      </c>
      <c r="AB550" s="2" t="s">
        <v>74</v>
      </c>
      <c r="AC550" s="2" t="s">
        <v>74</v>
      </c>
      <c r="AD550" s="2" t="s">
        <v>74</v>
      </c>
      <c r="AE550" s="2" t="s">
        <v>74</v>
      </c>
      <c r="AF550" s="2" t="s">
        <v>74</v>
      </c>
      <c r="AG550" s="2" t="s">
        <v>74</v>
      </c>
      <c r="AH550" s="2" t="s">
        <v>74</v>
      </c>
      <c r="AI550" s="2" t="s">
        <v>74</v>
      </c>
      <c r="AJ550" s="2" t="s">
        <v>74</v>
      </c>
      <c r="AK550" s="2" t="s">
        <v>74</v>
      </c>
      <c r="AL550" s="2" t="s">
        <v>74</v>
      </c>
      <c r="AM550" s="2" t="s">
        <v>74</v>
      </c>
      <c r="AN550" s="2" t="s">
        <v>74</v>
      </c>
      <c r="AO550" s="2" t="s">
        <v>3193</v>
      </c>
      <c r="AP550" s="2" t="s">
        <v>3194</v>
      </c>
      <c r="AQ550" s="2" t="s">
        <v>74</v>
      </c>
      <c r="AR550" s="2" t="s">
        <v>74</v>
      </c>
      <c r="AS550" s="2" t="s">
        <v>74</v>
      </c>
      <c r="AT550" s="2" t="s">
        <v>255</v>
      </c>
      <c r="AU550" s="2">
        <v>2011</v>
      </c>
      <c r="AV550" s="2">
        <v>40</v>
      </c>
      <c r="AW550" s="2">
        <v>1</v>
      </c>
      <c r="AX550" s="2" t="s">
        <v>74</v>
      </c>
      <c r="AY550" s="2" t="s">
        <v>74</v>
      </c>
      <c r="AZ550" s="2" t="s">
        <v>74</v>
      </c>
      <c r="BA550" s="2" t="s">
        <v>74</v>
      </c>
      <c r="BB550" s="2">
        <v>21</v>
      </c>
      <c r="BC550" s="2">
        <v>25</v>
      </c>
      <c r="BD550" s="2" t="s">
        <v>74</v>
      </c>
      <c r="BE550" s="2" t="s">
        <v>3195</v>
      </c>
      <c r="BF550" s="2" t="str">
        <f>HYPERLINK("http://dx.doi.org/10.1016/j.asd.2010.07.006","http://dx.doi.org/10.1016/j.asd.2010.07.006")</f>
        <v>http://dx.doi.org/10.1016/j.asd.2010.07.006</v>
      </c>
      <c r="BG550" s="2" t="s">
        <v>74</v>
      </c>
      <c r="BH550" s="2" t="s">
        <v>74</v>
      </c>
      <c r="BI550" s="2" t="s">
        <v>74</v>
      </c>
      <c r="BJ550" s="2" t="s">
        <v>74</v>
      </c>
      <c r="BK550" s="2" t="s">
        <v>74</v>
      </c>
      <c r="BL550" s="2" t="s">
        <v>74</v>
      </c>
      <c r="BM550" s="2" t="s">
        <v>74</v>
      </c>
      <c r="BN550" s="2">
        <v>20696270</v>
      </c>
      <c r="BO550" s="2" t="s">
        <v>74</v>
      </c>
      <c r="BP550" s="2" t="s">
        <v>74</v>
      </c>
      <c r="BQ550" s="2" t="s">
        <v>74</v>
      </c>
      <c r="BR550" s="2" t="s">
        <v>74</v>
      </c>
      <c r="BS550" s="2" t="s">
        <v>3196</v>
      </c>
      <c r="BT550" s="2" t="str">
        <f>HYPERLINK("https%3A%2F%2Fwww.webofscience.com%2Fwos%2Fwoscc%2Ffull-record%2FWOS:000286405700003","View Full Record in Web of Science")</f>
        <v>View Full Record in Web of Science</v>
      </c>
    </row>
    <row r="551" spans="1:72" s="2" customFormat="1" x14ac:dyDescent="0.4">
      <c r="A551" s="2" t="s">
        <v>72</v>
      </c>
      <c r="B551" s="2" t="s">
        <v>3065</v>
      </c>
      <c r="C551" s="2" t="s">
        <v>74</v>
      </c>
      <c r="D551" s="2" t="s">
        <v>74</v>
      </c>
      <c r="E551" s="2" t="s">
        <v>74</v>
      </c>
      <c r="F551" s="2" t="s">
        <v>3066</v>
      </c>
      <c r="G551" s="2" t="s">
        <v>74</v>
      </c>
      <c r="H551" s="2" t="s">
        <v>74</v>
      </c>
      <c r="I551" s="2" t="s">
        <v>3067</v>
      </c>
      <c r="J551" s="2" t="s">
        <v>3068</v>
      </c>
      <c r="K551" s="2" t="s">
        <v>74</v>
      </c>
      <c r="L551" s="2" t="s">
        <v>74</v>
      </c>
      <c r="M551" s="2" t="s">
        <v>74</v>
      </c>
      <c r="N551" s="2" t="s">
        <v>74</v>
      </c>
      <c r="O551" s="2" t="s">
        <v>74</v>
      </c>
      <c r="P551" s="2" t="s">
        <v>74</v>
      </c>
      <c r="Q551" s="2" t="s">
        <v>74</v>
      </c>
      <c r="R551" s="2" t="s">
        <v>74</v>
      </c>
      <c r="S551" s="2" t="s">
        <v>74</v>
      </c>
      <c r="T551" s="2" t="s">
        <v>74</v>
      </c>
      <c r="U551" s="2" t="s">
        <v>74</v>
      </c>
      <c r="V551" s="5" t="s">
        <v>3069</v>
      </c>
      <c r="W551" s="2" t="s">
        <v>74</v>
      </c>
      <c r="X551" s="2" t="s">
        <v>74</v>
      </c>
      <c r="Y551" s="2" t="s">
        <v>74</v>
      </c>
      <c r="Z551" s="2" t="s">
        <v>74</v>
      </c>
      <c r="AA551" s="2" t="s">
        <v>3070</v>
      </c>
      <c r="AB551" s="2" t="s">
        <v>3071</v>
      </c>
      <c r="AC551" s="2" t="s">
        <v>74</v>
      </c>
      <c r="AD551" s="2" t="s">
        <v>74</v>
      </c>
      <c r="AE551" s="2" t="s">
        <v>74</v>
      </c>
      <c r="AF551" s="2" t="s">
        <v>74</v>
      </c>
      <c r="AG551" s="2" t="s">
        <v>74</v>
      </c>
      <c r="AH551" s="2" t="s">
        <v>74</v>
      </c>
      <c r="AI551" s="2" t="s">
        <v>74</v>
      </c>
      <c r="AJ551" s="2" t="s">
        <v>74</v>
      </c>
      <c r="AK551" s="2" t="s">
        <v>74</v>
      </c>
      <c r="AL551" s="2" t="s">
        <v>74</v>
      </c>
      <c r="AM551" s="2" t="s">
        <v>74</v>
      </c>
      <c r="AN551" s="2" t="s">
        <v>74</v>
      </c>
      <c r="AO551" s="2" t="s">
        <v>3072</v>
      </c>
      <c r="AP551" s="2" t="s">
        <v>3073</v>
      </c>
      <c r="AQ551" s="2" t="s">
        <v>74</v>
      </c>
      <c r="AR551" s="2" t="s">
        <v>74</v>
      </c>
      <c r="AS551" s="2" t="s">
        <v>74</v>
      </c>
      <c r="AT551" s="2" t="s">
        <v>102</v>
      </c>
      <c r="AU551" s="2">
        <v>2018</v>
      </c>
      <c r="AV551" s="2">
        <v>37</v>
      </c>
      <c r="AW551" s="2">
        <v>2</v>
      </c>
      <c r="AX551" s="2" t="s">
        <v>74</v>
      </c>
      <c r="AY551" s="2" t="s">
        <v>74</v>
      </c>
      <c r="AZ551" s="2" t="s">
        <v>74</v>
      </c>
      <c r="BA551" s="2" t="s">
        <v>74</v>
      </c>
      <c r="BB551" s="2">
        <v>423</v>
      </c>
      <c r="BC551" s="2">
        <v>430</v>
      </c>
      <c r="BD551" s="2" t="s">
        <v>74</v>
      </c>
      <c r="BE551" s="2" t="s">
        <v>3074</v>
      </c>
      <c r="BF551" s="2" t="str">
        <f>HYPERLINK("http://dx.doi.org/10.1007/s00338-018-1667-0","http://dx.doi.org/10.1007/s00338-018-1667-0")</f>
        <v>http://dx.doi.org/10.1007/s00338-018-1667-0</v>
      </c>
      <c r="BG551" s="2" t="s">
        <v>74</v>
      </c>
      <c r="BH551" s="2" t="s">
        <v>74</v>
      </c>
      <c r="BI551" s="2" t="s">
        <v>74</v>
      </c>
      <c r="BJ551" s="2" t="s">
        <v>74</v>
      </c>
      <c r="BK551" s="2" t="s">
        <v>74</v>
      </c>
      <c r="BL551" s="2" t="s">
        <v>74</v>
      </c>
      <c r="BM551" s="2" t="s">
        <v>74</v>
      </c>
      <c r="BN551" s="2" t="s">
        <v>74</v>
      </c>
      <c r="BO551" s="2" t="s">
        <v>74</v>
      </c>
      <c r="BP551" s="2" t="s">
        <v>74</v>
      </c>
      <c r="BQ551" s="2" t="s">
        <v>74</v>
      </c>
      <c r="BR551" s="2" t="s">
        <v>74</v>
      </c>
      <c r="BS551" s="2" t="s">
        <v>3075</v>
      </c>
      <c r="BT551" s="2" t="str">
        <f>HYPERLINK("https%3A%2F%2Fwww.webofscience.com%2Fwos%2Fwoscc%2Ffull-record%2FWOS:000432285500010","View Full Record in Web of Science")</f>
        <v>View Full Record in Web of Science</v>
      </c>
    </row>
    <row r="552" spans="1:72" s="2" customFormat="1" x14ac:dyDescent="0.4">
      <c r="A552" s="2" t="s">
        <v>72</v>
      </c>
      <c r="B552" s="2" t="s">
        <v>2648</v>
      </c>
      <c r="C552" s="2" t="s">
        <v>74</v>
      </c>
      <c r="D552" s="2" t="s">
        <v>74</v>
      </c>
      <c r="E552" s="2" t="s">
        <v>74</v>
      </c>
      <c r="F552" s="2" t="s">
        <v>2649</v>
      </c>
      <c r="G552" s="2" t="s">
        <v>74</v>
      </c>
      <c r="H552" s="2" t="s">
        <v>74</v>
      </c>
      <c r="I552" s="2" t="s">
        <v>2650</v>
      </c>
      <c r="J552" s="2" t="s">
        <v>2651</v>
      </c>
      <c r="K552" s="2" t="s">
        <v>74</v>
      </c>
      <c r="L552" s="2" t="s">
        <v>74</v>
      </c>
      <c r="M552" s="2" t="s">
        <v>74</v>
      </c>
      <c r="N552" s="2" t="s">
        <v>74</v>
      </c>
      <c r="O552" s="2" t="s">
        <v>74</v>
      </c>
      <c r="P552" s="2" t="s">
        <v>74</v>
      </c>
      <c r="Q552" s="2" t="s">
        <v>74</v>
      </c>
      <c r="R552" s="2" t="s">
        <v>74</v>
      </c>
      <c r="S552" s="2" t="s">
        <v>74</v>
      </c>
      <c r="T552" s="2" t="s">
        <v>74</v>
      </c>
      <c r="U552" s="2" t="s">
        <v>74</v>
      </c>
      <c r="V552" s="5" t="s">
        <v>2652</v>
      </c>
      <c r="W552" s="2" t="s">
        <v>74</v>
      </c>
      <c r="X552" s="2" t="s">
        <v>74</v>
      </c>
      <c r="Y552" s="2" t="s">
        <v>74</v>
      </c>
      <c r="Z552" s="2" t="s">
        <v>74</v>
      </c>
      <c r="AA552" s="2" t="s">
        <v>2653</v>
      </c>
      <c r="AB552" s="2" t="s">
        <v>2654</v>
      </c>
      <c r="AC552" s="2" t="s">
        <v>74</v>
      </c>
      <c r="AD552" s="2" t="s">
        <v>74</v>
      </c>
      <c r="AE552" s="2" t="s">
        <v>74</v>
      </c>
      <c r="AF552" s="2" t="s">
        <v>74</v>
      </c>
      <c r="AG552" s="2" t="s">
        <v>74</v>
      </c>
      <c r="AH552" s="2" t="s">
        <v>74</v>
      </c>
      <c r="AI552" s="2" t="s">
        <v>74</v>
      </c>
      <c r="AJ552" s="2" t="s">
        <v>74</v>
      </c>
      <c r="AK552" s="2" t="s">
        <v>74</v>
      </c>
      <c r="AL552" s="2" t="s">
        <v>74</v>
      </c>
      <c r="AM552" s="2" t="s">
        <v>74</v>
      </c>
      <c r="AN552" s="2" t="s">
        <v>74</v>
      </c>
      <c r="AO552" s="2" t="s">
        <v>2655</v>
      </c>
      <c r="AP552" s="2" t="s">
        <v>2656</v>
      </c>
      <c r="AQ552" s="2" t="s">
        <v>74</v>
      </c>
      <c r="AR552" s="2" t="s">
        <v>74</v>
      </c>
      <c r="AS552" s="2" t="s">
        <v>74</v>
      </c>
      <c r="AT552" s="2" t="s">
        <v>204</v>
      </c>
      <c r="AU552" s="2">
        <v>2007</v>
      </c>
      <c r="AV552" s="2">
        <v>28</v>
      </c>
      <c r="AW552" s="2">
        <v>4</v>
      </c>
      <c r="AX552" s="2" t="s">
        <v>74</v>
      </c>
      <c r="AY552" s="2" t="s">
        <v>74</v>
      </c>
      <c r="AZ552" s="2" t="s">
        <v>74</v>
      </c>
      <c r="BA552" s="2" t="s">
        <v>74</v>
      </c>
      <c r="BB552" s="2">
        <v>285</v>
      </c>
      <c r="BC552" s="2">
        <v>293</v>
      </c>
      <c r="BD552" s="2" t="s">
        <v>74</v>
      </c>
      <c r="BE552" s="2" t="s">
        <v>2657</v>
      </c>
      <c r="BF552" s="2" t="str">
        <f>HYPERLINK("http://dx.doi.org/10.1016/j.evolhumbehav.2007.03.001","http://dx.doi.org/10.1016/j.evolhumbehav.2007.03.001")</f>
        <v>http://dx.doi.org/10.1016/j.evolhumbehav.2007.03.001</v>
      </c>
      <c r="BG552" s="2" t="s">
        <v>74</v>
      </c>
      <c r="BH552" s="2" t="s">
        <v>74</v>
      </c>
      <c r="BI552" s="2" t="s">
        <v>74</v>
      </c>
      <c r="BJ552" s="2" t="s">
        <v>74</v>
      </c>
      <c r="BK552" s="2" t="s">
        <v>74</v>
      </c>
      <c r="BL552" s="2" t="s">
        <v>74</v>
      </c>
      <c r="BM552" s="2" t="s">
        <v>74</v>
      </c>
      <c r="BN552" s="2" t="s">
        <v>74</v>
      </c>
      <c r="BO552" s="2" t="s">
        <v>74</v>
      </c>
      <c r="BP552" s="2" t="s">
        <v>74</v>
      </c>
      <c r="BQ552" s="2" t="s">
        <v>74</v>
      </c>
      <c r="BR552" s="2" t="s">
        <v>74</v>
      </c>
      <c r="BS552" s="2" t="s">
        <v>2658</v>
      </c>
      <c r="BT552" s="2" t="str">
        <f>HYPERLINK("https%3A%2F%2Fwww.webofscience.com%2Fwos%2Fwoscc%2Ffull-record%2FWOS:000247824100010","View Full Record in Web of Science")</f>
        <v>View Full Record in Web of Science</v>
      </c>
    </row>
    <row r="553" spans="1:72" s="2" customFormat="1" x14ac:dyDescent="0.4">
      <c r="A553" s="2" t="s">
        <v>72</v>
      </c>
      <c r="B553" s="2" t="s">
        <v>4073</v>
      </c>
      <c r="C553" s="2" t="s">
        <v>74</v>
      </c>
      <c r="D553" s="2" t="s">
        <v>74</v>
      </c>
      <c r="E553" s="2" t="s">
        <v>74</v>
      </c>
      <c r="F553" s="2" t="s">
        <v>4073</v>
      </c>
      <c r="G553" s="2" t="s">
        <v>74</v>
      </c>
      <c r="H553" s="2" t="s">
        <v>74</v>
      </c>
      <c r="I553" s="2" t="s">
        <v>4074</v>
      </c>
      <c r="J553" s="2" t="s">
        <v>2847</v>
      </c>
      <c r="K553" s="2" t="s">
        <v>74</v>
      </c>
      <c r="L553" s="2" t="s">
        <v>74</v>
      </c>
      <c r="M553" s="2" t="s">
        <v>74</v>
      </c>
      <c r="N553" s="2" t="s">
        <v>74</v>
      </c>
      <c r="O553" s="2" t="s">
        <v>74</v>
      </c>
      <c r="P553" s="2" t="s">
        <v>74</v>
      </c>
      <c r="Q553" s="2" t="s">
        <v>74</v>
      </c>
      <c r="R553" s="2" t="s">
        <v>74</v>
      </c>
      <c r="S553" s="2" t="s">
        <v>74</v>
      </c>
      <c r="T553" s="2" t="s">
        <v>74</v>
      </c>
      <c r="U553" s="2" t="s">
        <v>74</v>
      </c>
      <c r="V553" s="5" t="s">
        <v>4075</v>
      </c>
      <c r="W553" s="2" t="s">
        <v>74</v>
      </c>
      <c r="X553" s="2" t="s">
        <v>74</v>
      </c>
      <c r="Y553" s="2" t="s">
        <v>74</v>
      </c>
      <c r="Z553" s="2" t="s">
        <v>74</v>
      </c>
      <c r="AA553" s="2" t="s">
        <v>74</v>
      </c>
      <c r="AB553" s="2" t="s">
        <v>74</v>
      </c>
      <c r="AC553" s="2" t="s">
        <v>74</v>
      </c>
      <c r="AD553" s="2" t="s">
        <v>74</v>
      </c>
      <c r="AE553" s="2" t="s">
        <v>74</v>
      </c>
      <c r="AF553" s="2" t="s">
        <v>74</v>
      </c>
      <c r="AG553" s="2" t="s">
        <v>74</v>
      </c>
      <c r="AH553" s="2" t="s">
        <v>74</v>
      </c>
      <c r="AI553" s="2" t="s">
        <v>74</v>
      </c>
      <c r="AJ553" s="2" t="s">
        <v>74</v>
      </c>
      <c r="AK553" s="2" t="s">
        <v>74</v>
      </c>
      <c r="AL553" s="2" t="s">
        <v>74</v>
      </c>
      <c r="AM553" s="2" t="s">
        <v>74</v>
      </c>
      <c r="AN553" s="2" t="s">
        <v>74</v>
      </c>
      <c r="AO553" s="2" t="s">
        <v>2849</v>
      </c>
      <c r="AP553" s="2" t="s">
        <v>74</v>
      </c>
      <c r="AQ553" s="2" t="s">
        <v>74</v>
      </c>
      <c r="AR553" s="2" t="s">
        <v>74</v>
      </c>
      <c r="AS553" s="2" t="s">
        <v>74</v>
      </c>
      <c r="AT553" s="2" t="s">
        <v>74</v>
      </c>
      <c r="AU553" s="2">
        <v>1991</v>
      </c>
      <c r="AV553" s="2">
        <v>153</v>
      </c>
      <c r="AW553" s="2">
        <v>1</v>
      </c>
      <c r="AX553" s="2" t="s">
        <v>74</v>
      </c>
      <c r="AY553" s="2" t="s">
        <v>74</v>
      </c>
      <c r="AZ553" s="2" t="s">
        <v>74</v>
      </c>
      <c r="BA553" s="2" t="s">
        <v>74</v>
      </c>
      <c r="BB553" s="2">
        <v>49</v>
      </c>
      <c r="BC553" s="2">
        <v>61</v>
      </c>
      <c r="BD553" s="2" t="s">
        <v>74</v>
      </c>
      <c r="BE553" s="2" t="s">
        <v>4076</v>
      </c>
      <c r="BF553" s="2" t="str">
        <f>HYPERLINK("http://dx.doi.org/10.1016/S0022-0981(05)80005-X","http://dx.doi.org/10.1016/S0022-0981(05)80005-X")</f>
        <v>http://dx.doi.org/10.1016/S0022-0981(05)80005-X</v>
      </c>
      <c r="BG553" s="2" t="s">
        <v>74</v>
      </c>
      <c r="BH553" s="2" t="s">
        <v>74</v>
      </c>
      <c r="BI553" s="2" t="s">
        <v>74</v>
      </c>
      <c r="BJ553" s="2" t="s">
        <v>74</v>
      </c>
      <c r="BK553" s="2" t="s">
        <v>74</v>
      </c>
      <c r="BL553" s="2" t="s">
        <v>74</v>
      </c>
      <c r="BM553" s="2" t="s">
        <v>74</v>
      </c>
      <c r="BN553" s="2" t="s">
        <v>74</v>
      </c>
      <c r="BO553" s="2" t="s">
        <v>74</v>
      </c>
      <c r="BP553" s="2" t="s">
        <v>74</v>
      </c>
      <c r="BQ553" s="2" t="s">
        <v>74</v>
      </c>
      <c r="BR553" s="2" t="s">
        <v>74</v>
      </c>
      <c r="BS553" s="2" t="s">
        <v>4077</v>
      </c>
      <c r="BT553" s="2" t="str">
        <f>HYPERLINK("https%3A%2F%2Fwww.webofscience.com%2Fwos%2Fwoscc%2Ffull-record%2FWOS:A1991GR91500004","View Full Record in Web of Science")</f>
        <v>View Full Record in Web of Science</v>
      </c>
    </row>
    <row r="554" spans="1:72" s="2" customFormat="1" x14ac:dyDescent="0.4">
      <c r="A554" s="2" t="s">
        <v>72</v>
      </c>
      <c r="B554" s="2" t="s">
        <v>7694</v>
      </c>
      <c r="C554" s="2" t="s">
        <v>74</v>
      </c>
      <c r="D554" s="2" t="s">
        <v>74</v>
      </c>
      <c r="E554" s="2" t="s">
        <v>74</v>
      </c>
      <c r="F554" s="2" t="s">
        <v>7695</v>
      </c>
      <c r="G554" s="2" t="s">
        <v>74</v>
      </c>
      <c r="H554" s="2" t="s">
        <v>74</v>
      </c>
      <c r="I554" s="2" t="s">
        <v>7696</v>
      </c>
      <c r="J554" s="2" t="s">
        <v>4145</v>
      </c>
      <c r="K554" s="2" t="s">
        <v>74</v>
      </c>
      <c r="L554" s="2" t="s">
        <v>74</v>
      </c>
      <c r="M554" s="2" t="s">
        <v>74</v>
      </c>
      <c r="N554" s="2" t="s">
        <v>74</v>
      </c>
      <c r="O554" s="2" t="s">
        <v>74</v>
      </c>
      <c r="P554" s="2" t="s">
        <v>74</v>
      </c>
      <c r="Q554" s="2" t="s">
        <v>74</v>
      </c>
      <c r="R554" s="2" t="s">
        <v>74</v>
      </c>
      <c r="S554" s="2" t="s">
        <v>74</v>
      </c>
      <c r="T554" s="2" t="s">
        <v>74</v>
      </c>
      <c r="U554" s="2" t="s">
        <v>74</v>
      </c>
      <c r="V554" s="5" t="s">
        <v>7697</v>
      </c>
      <c r="W554" s="2" t="s">
        <v>74</v>
      </c>
      <c r="X554" s="2" t="s">
        <v>74</v>
      </c>
      <c r="Y554" s="2" t="s">
        <v>74</v>
      </c>
      <c r="Z554" s="2" t="s">
        <v>74</v>
      </c>
      <c r="AA554" s="2" t="s">
        <v>875</v>
      </c>
      <c r="AB554" s="2" t="s">
        <v>7698</v>
      </c>
      <c r="AC554" s="2" t="s">
        <v>74</v>
      </c>
      <c r="AD554" s="2" t="s">
        <v>74</v>
      </c>
      <c r="AE554" s="2" t="s">
        <v>74</v>
      </c>
      <c r="AF554" s="2" t="s">
        <v>74</v>
      </c>
      <c r="AG554" s="2" t="s">
        <v>74</v>
      </c>
      <c r="AH554" s="2" t="s">
        <v>74</v>
      </c>
      <c r="AI554" s="2" t="s">
        <v>74</v>
      </c>
      <c r="AJ554" s="2" t="s">
        <v>74</v>
      </c>
      <c r="AK554" s="2" t="s">
        <v>74</v>
      </c>
      <c r="AL554" s="2" t="s">
        <v>74</v>
      </c>
      <c r="AM554" s="2" t="s">
        <v>74</v>
      </c>
      <c r="AN554" s="2" t="s">
        <v>74</v>
      </c>
      <c r="AO554" s="2" t="s">
        <v>4147</v>
      </c>
      <c r="AP554" s="2" t="s">
        <v>7534</v>
      </c>
      <c r="AQ554" s="2" t="s">
        <v>74</v>
      </c>
      <c r="AR554" s="2" t="s">
        <v>74</v>
      </c>
      <c r="AS554" s="2" t="s">
        <v>74</v>
      </c>
      <c r="AT554" s="2" t="s">
        <v>204</v>
      </c>
      <c r="AU554" s="2">
        <v>2009</v>
      </c>
      <c r="AV554" s="2">
        <v>195</v>
      </c>
      <c r="AW554" s="2">
        <v>7</v>
      </c>
      <c r="AX554" s="2" t="s">
        <v>74</v>
      </c>
      <c r="AY554" s="2" t="s">
        <v>74</v>
      </c>
      <c r="AZ554" s="2" t="s">
        <v>74</v>
      </c>
      <c r="BA554" s="2" t="s">
        <v>74</v>
      </c>
      <c r="BB554" s="2">
        <v>619</v>
      </c>
      <c r="BC554" s="2">
        <v>630</v>
      </c>
      <c r="BD554" s="2" t="s">
        <v>74</v>
      </c>
      <c r="BE554" s="2" t="s">
        <v>7699</v>
      </c>
      <c r="BF554" s="2" t="str">
        <f>HYPERLINK("http://dx.doi.org/10.1007/s00359-009-0437-4","http://dx.doi.org/10.1007/s00359-009-0437-4")</f>
        <v>http://dx.doi.org/10.1007/s00359-009-0437-4</v>
      </c>
      <c r="BG554" s="2" t="s">
        <v>74</v>
      </c>
      <c r="BH554" s="2" t="s">
        <v>74</v>
      </c>
      <c r="BI554" s="2" t="s">
        <v>74</v>
      </c>
      <c r="BJ554" s="2" t="s">
        <v>74</v>
      </c>
      <c r="BK554" s="2" t="s">
        <v>74</v>
      </c>
      <c r="BL554" s="2" t="s">
        <v>74</v>
      </c>
      <c r="BM554" s="2" t="s">
        <v>74</v>
      </c>
      <c r="BN554" s="2">
        <v>19363614</v>
      </c>
      <c r="BO554" s="2" t="s">
        <v>74</v>
      </c>
      <c r="BP554" s="2" t="s">
        <v>74</v>
      </c>
      <c r="BQ554" s="2" t="s">
        <v>74</v>
      </c>
      <c r="BR554" s="2" t="s">
        <v>74</v>
      </c>
      <c r="BS554" s="2" t="s">
        <v>7700</v>
      </c>
      <c r="BT554" s="2" t="str">
        <f>HYPERLINK("https%3A%2F%2Fwww.webofscience.com%2Fwos%2Fwoscc%2Ffull-record%2FWOS:000267541400001","View Full Record in Web of Science")</f>
        <v>View Full Record in Web of Science</v>
      </c>
    </row>
    <row r="555" spans="1:72" s="2" customFormat="1" x14ac:dyDescent="0.4">
      <c r="A555" s="2" t="s">
        <v>72</v>
      </c>
      <c r="B555" s="2" t="s">
        <v>8365</v>
      </c>
      <c r="C555" s="2" t="s">
        <v>74</v>
      </c>
      <c r="D555" s="2" t="s">
        <v>74</v>
      </c>
      <c r="E555" s="2" t="s">
        <v>74</v>
      </c>
      <c r="F555" s="2" t="s">
        <v>8366</v>
      </c>
      <c r="G555" s="2" t="s">
        <v>74</v>
      </c>
      <c r="H555" s="2" t="s">
        <v>74</v>
      </c>
      <c r="I555" s="2" t="s">
        <v>8367</v>
      </c>
      <c r="J555" s="2" t="s">
        <v>1635</v>
      </c>
      <c r="K555" s="2" t="s">
        <v>74</v>
      </c>
      <c r="L555" s="2" t="s">
        <v>74</v>
      </c>
      <c r="M555" s="2" t="s">
        <v>74</v>
      </c>
      <c r="N555" s="2" t="s">
        <v>74</v>
      </c>
      <c r="O555" s="2" t="s">
        <v>74</v>
      </c>
      <c r="P555" s="2" t="s">
        <v>74</v>
      </c>
      <c r="Q555" s="2" t="s">
        <v>74</v>
      </c>
      <c r="R555" s="2" t="s">
        <v>74</v>
      </c>
      <c r="S555" s="2" t="s">
        <v>74</v>
      </c>
      <c r="T555" s="2" t="s">
        <v>74</v>
      </c>
      <c r="U555" s="2" t="s">
        <v>74</v>
      </c>
      <c r="V555" s="5" t="s">
        <v>8368</v>
      </c>
      <c r="W555" s="2" t="s">
        <v>74</v>
      </c>
      <c r="X555" s="2" t="s">
        <v>74</v>
      </c>
      <c r="Y555" s="2" t="s">
        <v>74</v>
      </c>
      <c r="Z555" s="2" t="s">
        <v>74</v>
      </c>
      <c r="AA555" s="2" t="s">
        <v>74</v>
      </c>
      <c r="AB555" s="2" t="s">
        <v>8369</v>
      </c>
      <c r="AC555" s="2" t="s">
        <v>74</v>
      </c>
      <c r="AD555" s="2" t="s">
        <v>74</v>
      </c>
      <c r="AE555" s="2" t="s">
        <v>74</v>
      </c>
      <c r="AF555" s="2" t="s">
        <v>74</v>
      </c>
      <c r="AG555" s="2" t="s">
        <v>74</v>
      </c>
      <c r="AH555" s="2" t="s">
        <v>74</v>
      </c>
      <c r="AI555" s="2" t="s">
        <v>74</v>
      </c>
      <c r="AJ555" s="2" t="s">
        <v>74</v>
      </c>
      <c r="AK555" s="2" t="s">
        <v>74</v>
      </c>
      <c r="AL555" s="2" t="s">
        <v>74</v>
      </c>
      <c r="AM555" s="2" t="s">
        <v>74</v>
      </c>
      <c r="AN555" s="2" t="s">
        <v>74</v>
      </c>
      <c r="AO555" s="2" t="s">
        <v>1639</v>
      </c>
      <c r="AP555" s="2" t="s">
        <v>1640</v>
      </c>
      <c r="AQ555" s="2" t="s">
        <v>74</v>
      </c>
      <c r="AR555" s="2" t="s">
        <v>74</v>
      </c>
      <c r="AS555" s="2" t="s">
        <v>74</v>
      </c>
      <c r="AT555" s="2" t="s">
        <v>8370</v>
      </c>
      <c r="AU555" s="2">
        <v>2022</v>
      </c>
      <c r="AV555" s="2">
        <v>377</v>
      </c>
      <c r="AW555" s="2">
        <v>1858</v>
      </c>
      <c r="AX555" s="2" t="s">
        <v>74</v>
      </c>
      <c r="AY555" s="2" t="s">
        <v>74</v>
      </c>
      <c r="AZ555" s="2" t="s">
        <v>74</v>
      </c>
      <c r="BA555" s="2" t="s">
        <v>74</v>
      </c>
      <c r="BB555" s="2" t="s">
        <v>74</v>
      </c>
      <c r="BC555" s="2" t="s">
        <v>74</v>
      </c>
      <c r="BD555" s="2">
        <v>20210133</v>
      </c>
      <c r="BE555" s="2" t="s">
        <v>8371</v>
      </c>
      <c r="BF555" s="2" t="str">
        <f>HYPERLINK("http://dx.doi.org/10.1098/rstb.2021.0133","http://dx.doi.org/10.1098/rstb.2021.0133")</f>
        <v>http://dx.doi.org/10.1098/rstb.2021.0133</v>
      </c>
      <c r="BG555" s="2" t="s">
        <v>74</v>
      </c>
      <c r="BH555" s="2" t="s">
        <v>74</v>
      </c>
      <c r="BI555" s="2" t="s">
        <v>74</v>
      </c>
      <c r="BJ555" s="2" t="s">
        <v>74</v>
      </c>
      <c r="BK555" s="2" t="s">
        <v>74</v>
      </c>
      <c r="BL555" s="2" t="s">
        <v>74</v>
      </c>
      <c r="BM555" s="2" t="s">
        <v>74</v>
      </c>
      <c r="BN555" s="2">
        <v>35858095</v>
      </c>
      <c r="BO555" s="2" t="s">
        <v>74</v>
      </c>
      <c r="BP555" s="2" t="s">
        <v>74</v>
      </c>
      <c r="BQ555" s="2" t="s">
        <v>74</v>
      </c>
      <c r="BR555" s="2" t="s">
        <v>74</v>
      </c>
      <c r="BS555" s="2" t="s">
        <v>8372</v>
      </c>
      <c r="BT555" s="2" t="str">
        <f>HYPERLINK("https%3A%2F%2Fwww.webofscience.com%2Fwos%2Fwoscc%2Ffull-record%2FWOS:000823209300013","View Full Record in Web of Science")</f>
        <v>View Full Record in Web of Science</v>
      </c>
    </row>
    <row r="556" spans="1:72" s="2" customFormat="1" x14ac:dyDescent="0.4">
      <c r="A556" s="2" t="s">
        <v>72</v>
      </c>
      <c r="B556" s="2" t="s">
        <v>1053</v>
      </c>
      <c r="C556" s="2" t="s">
        <v>74</v>
      </c>
      <c r="D556" s="2" t="s">
        <v>74</v>
      </c>
      <c r="E556" s="2" t="s">
        <v>74</v>
      </c>
      <c r="F556" s="2" t="s">
        <v>1054</v>
      </c>
      <c r="G556" s="2" t="s">
        <v>74</v>
      </c>
      <c r="H556" s="2" t="s">
        <v>74</v>
      </c>
      <c r="I556" s="2" t="s">
        <v>1055</v>
      </c>
      <c r="J556" s="2" t="s">
        <v>218</v>
      </c>
      <c r="K556" s="2" t="s">
        <v>74</v>
      </c>
      <c r="L556" s="2" t="s">
        <v>74</v>
      </c>
      <c r="M556" s="2" t="s">
        <v>74</v>
      </c>
      <c r="N556" s="2" t="s">
        <v>74</v>
      </c>
      <c r="O556" s="2" t="s">
        <v>74</v>
      </c>
      <c r="P556" s="2" t="s">
        <v>74</v>
      </c>
      <c r="Q556" s="2" t="s">
        <v>74</v>
      </c>
      <c r="R556" s="2" t="s">
        <v>74</v>
      </c>
      <c r="S556" s="2" t="s">
        <v>74</v>
      </c>
      <c r="T556" s="2" t="s">
        <v>74</v>
      </c>
      <c r="U556" s="2" t="s">
        <v>74</v>
      </c>
      <c r="V556" s="5" t="s">
        <v>1056</v>
      </c>
      <c r="W556" s="2" t="s">
        <v>74</v>
      </c>
      <c r="X556" s="2" t="s">
        <v>74</v>
      </c>
      <c r="Y556" s="2" t="s">
        <v>74</v>
      </c>
      <c r="Z556" s="2" t="s">
        <v>74</v>
      </c>
      <c r="AA556" s="2" t="s">
        <v>74</v>
      </c>
      <c r="AB556" s="2" t="s">
        <v>74</v>
      </c>
      <c r="AC556" s="2" t="s">
        <v>74</v>
      </c>
      <c r="AD556" s="2" t="s">
        <v>74</v>
      </c>
      <c r="AE556" s="2" t="s">
        <v>74</v>
      </c>
      <c r="AF556" s="2" t="s">
        <v>74</v>
      </c>
      <c r="AG556" s="2" t="s">
        <v>74</v>
      </c>
      <c r="AH556" s="2" t="s">
        <v>74</v>
      </c>
      <c r="AI556" s="2" t="s">
        <v>74</v>
      </c>
      <c r="AJ556" s="2" t="s">
        <v>74</v>
      </c>
      <c r="AK556" s="2" t="s">
        <v>74</v>
      </c>
      <c r="AL556" s="2" t="s">
        <v>74</v>
      </c>
      <c r="AM556" s="2" t="s">
        <v>74</v>
      </c>
      <c r="AN556" s="2" t="s">
        <v>74</v>
      </c>
      <c r="AO556" s="2" t="s">
        <v>221</v>
      </c>
      <c r="AP556" s="2" t="s">
        <v>222</v>
      </c>
      <c r="AQ556" s="2" t="s">
        <v>74</v>
      </c>
      <c r="AR556" s="2" t="s">
        <v>74</v>
      </c>
      <c r="AS556" s="2" t="s">
        <v>74</v>
      </c>
      <c r="AT556" s="2" t="s">
        <v>145</v>
      </c>
      <c r="AU556" s="2">
        <v>2020</v>
      </c>
      <c r="AV556" s="2">
        <v>33</v>
      </c>
      <c r="AW556" s="2">
        <v>8</v>
      </c>
      <c r="AX556" s="2" t="s">
        <v>74</v>
      </c>
      <c r="AY556" s="2" t="s">
        <v>74</v>
      </c>
      <c r="AZ556" s="2" t="s">
        <v>74</v>
      </c>
      <c r="BA556" s="2" t="s">
        <v>74</v>
      </c>
      <c r="BB556" s="2">
        <v>1028</v>
      </c>
      <c r="BC556" s="2">
        <v>1038</v>
      </c>
      <c r="BD556" s="2" t="s">
        <v>74</v>
      </c>
      <c r="BE556" s="2" t="s">
        <v>1057</v>
      </c>
      <c r="BF556" s="2" t="str">
        <f>HYPERLINK("http://dx.doi.org/10.1111/jeb.13657","http://dx.doi.org/10.1111/jeb.13657")</f>
        <v>http://dx.doi.org/10.1111/jeb.13657</v>
      </c>
      <c r="BG556" s="2" t="s">
        <v>74</v>
      </c>
      <c r="BH556" s="2" t="s">
        <v>1058</v>
      </c>
      <c r="BI556" s="2" t="s">
        <v>74</v>
      </c>
      <c r="BJ556" s="2" t="s">
        <v>74</v>
      </c>
      <c r="BK556" s="2" t="s">
        <v>74</v>
      </c>
      <c r="BL556" s="2" t="s">
        <v>74</v>
      </c>
      <c r="BM556" s="2" t="s">
        <v>74</v>
      </c>
      <c r="BN556" s="2">
        <v>32500947</v>
      </c>
      <c r="BO556" s="2" t="s">
        <v>74</v>
      </c>
      <c r="BP556" s="2" t="s">
        <v>74</v>
      </c>
      <c r="BQ556" s="2" t="s">
        <v>74</v>
      </c>
      <c r="BR556" s="2" t="s">
        <v>74</v>
      </c>
      <c r="BS556" s="2" t="s">
        <v>1059</v>
      </c>
      <c r="BT556" s="2" t="str">
        <f>HYPERLINK("https%3A%2F%2Fwww.webofscience.com%2Fwos%2Fwoscc%2Ffull-record%2FWOS:000545247500001","View Full Record in Web of Science")</f>
        <v>View Full Record in Web of Science</v>
      </c>
    </row>
    <row r="557" spans="1:72" s="2" customFormat="1" x14ac:dyDescent="0.4">
      <c r="A557" s="2" t="s">
        <v>72</v>
      </c>
      <c r="B557" s="2" t="s">
        <v>6055</v>
      </c>
      <c r="C557" s="2" t="s">
        <v>74</v>
      </c>
      <c r="D557" s="2" t="s">
        <v>74</v>
      </c>
      <c r="E557" s="2" t="s">
        <v>74</v>
      </c>
      <c r="F557" s="2" t="s">
        <v>6056</v>
      </c>
      <c r="G557" s="2" t="s">
        <v>74</v>
      </c>
      <c r="H557" s="2" t="s">
        <v>74</v>
      </c>
      <c r="I557" s="2" t="s">
        <v>6057</v>
      </c>
      <c r="J557" s="2" t="s">
        <v>333</v>
      </c>
      <c r="K557" s="2" t="s">
        <v>74</v>
      </c>
      <c r="L557" s="2" t="s">
        <v>74</v>
      </c>
      <c r="M557" s="2" t="s">
        <v>74</v>
      </c>
      <c r="N557" s="2" t="s">
        <v>74</v>
      </c>
      <c r="O557" s="2" t="s">
        <v>74</v>
      </c>
      <c r="P557" s="2" t="s">
        <v>74</v>
      </c>
      <c r="Q557" s="2" t="s">
        <v>74</v>
      </c>
      <c r="R557" s="2" t="s">
        <v>74</v>
      </c>
      <c r="S557" s="2" t="s">
        <v>74</v>
      </c>
      <c r="T557" s="2" t="s">
        <v>74</v>
      </c>
      <c r="U557" s="2" t="s">
        <v>74</v>
      </c>
      <c r="V557" s="5" t="s">
        <v>6058</v>
      </c>
      <c r="W557" s="2" t="s">
        <v>74</v>
      </c>
      <c r="X557" s="2" t="s">
        <v>74</v>
      </c>
      <c r="Y557" s="2" t="s">
        <v>74</v>
      </c>
      <c r="Z557" s="2" t="s">
        <v>74</v>
      </c>
      <c r="AA557" s="2" t="s">
        <v>74</v>
      </c>
      <c r="AB557" s="2" t="s">
        <v>3514</v>
      </c>
      <c r="AC557" s="2" t="s">
        <v>74</v>
      </c>
      <c r="AD557" s="2" t="s">
        <v>74</v>
      </c>
      <c r="AE557" s="2" t="s">
        <v>74</v>
      </c>
      <c r="AF557" s="2" t="s">
        <v>74</v>
      </c>
      <c r="AG557" s="2" t="s">
        <v>74</v>
      </c>
      <c r="AH557" s="2" t="s">
        <v>74</v>
      </c>
      <c r="AI557" s="2" t="s">
        <v>74</v>
      </c>
      <c r="AJ557" s="2" t="s">
        <v>74</v>
      </c>
      <c r="AK557" s="2" t="s">
        <v>74</v>
      </c>
      <c r="AL557" s="2" t="s">
        <v>74</v>
      </c>
      <c r="AM557" s="2" t="s">
        <v>74</v>
      </c>
      <c r="AN557" s="2" t="s">
        <v>74</v>
      </c>
      <c r="AO557" s="2" t="s">
        <v>337</v>
      </c>
      <c r="AP557" s="2" t="s">
        <v>338</v>
      </c>
      <c r="AQ557" s="2" t="s">
        <v>74</v>
      </c>
      <c r="AR557" s="2" t="s">
        <v>74</v>
      </c>
      <c r="AS557" s="2" t="s">
        <v>74</v>
      </c>
      <c r="AT557" s="2" t="s">
        <v>1475</v>
      </c>
      <c r="AU557" s="2">
        <v>2015</v>
      </c>
      <c r="AV557" s="2">
        <v>26</v>
      </c>
      <c r="AW557" s="2">
        <v>1</v>
      </c>
      <c r="AX557" s="2" t="s">
        <v>74</v>
      </c>
      <c r="AY557" s="2" t="s">
        <v>74</v>
      </c>
      <c r="AZ557" s="2" t="s">
        <v>74</v>
      </c>
      <c r="BA557" s="2" t="s">
        <v>74</v>
      </c>
      <c r="BB557" s="2">
        <v>158</v>
      </c>
      <c r="BC557" s="2">
        <v>167</v>
      </c>
      <c r="BD557" s="2" t="s">
        <v>74</v>
      </c>
      <c r="BE557" s="2" t="s">
        <v>6059</v>
      </c>
      <c r="BF557" s="2" t="str">
        <f>HYPERLINK("http://dx.doi.org/10.1093/beheco/aru164","http://dx.doi.org/10.1093/beheco/aru164")</f>
        <v>http://dx.doi.org/10.1093/beheco/aru164</v>
      </c>
      <c r="BG557" s="2" t="s">
        <v>74</v>
      </c>
      <c r="BH557" s="2" t="s">
        <v>74</v>
      </c>
      <c r="BI557" s="2" t="s">
        <v>74</v>
      </c>
      <c r="BJ557" s="2" t="s">
        <v>74</v>
      </c>
      <c r="BK557" s="2" t="s">
        <v>74</v>
      </c>
      <c r="BL557" s="2" t="s">
        <v>74</v>
      </c>
      <c r="BM557" s="2" t="s">
        <v>74</v>
      </c>
      <c r="BN557" s="2" t="s">
        <v>74</v>
      </c>
      <c r="BO557" s="2" t="s">
        <v>74</v>
      </c>
      <c r="BP557" s="2" t="s">
        <v>74</v>
      </c>
      <c r="BQ557" s="2" t="s">
        <v>74</v>
      </c>
      <c r="BR557" s="2" t="s">
        <v>74</v>
      </c>
      <c r="BS557" s="2" t="s">
        <v>6060</v>
      </c>
      <c r="BT557" s="2" t="str">
        <f>HYPERLINK("https%3A%2F%2Fwww.webofscience.com%2Fwos%2Fwoscc%2Ffull-record%2FWOS:000351929300022","View Full Record in Web of Science")</f>
        <v>View Full Record in Web of Science</v>
      </c>
    </row>
    <row r="558" spans="1:72" s="1" customFormat="1" x14ac:dyDescent="0.4">
      <c r="A558" s="2" t="s">
        <v>72</v>
      </c>
      <c r="B558" s="2" t="s">
        <v>5411</v>
      </c>
      <c r="C558" s="2" t="s">
        <v>74</v>
      </c>
      <c r="D558" s="2" t="s">
        <v>74</v>
      </c>
      <c r="E558" s="2" t="s">
        <v>74</v>
      </c>
      <c r="F558" s="2" t="s">
        <v>5411</v>
      </c>
      <c r="G558" s="2" t="s">
        <v>74</v>
      </c>
      <c r="H558" s="2" t="s">
        <v>74</v>
      </c>
      <c r="I558" s="2" t="s">
        <v>5412</v>
      </c>
      <c r="J558" s="2" t="s">
        <v>171</v>
      </c>
      <c r="K558" s="2" t="s">
        <v>74</v>
      </c>
      <c r="L558" s="2" t="s">
        <v>74</v>
      </c>
      <c r="M558" s="2" t="s">
        <v>74</v>
      </c>
      <c r="N558" s="2" t="s">
        <v>74</v>
      </c>
      <c r="O558" s="2" t="s">
        <v>74</v>
      </c>
      <c r="P558" s="2" t="s">
        <v>74</v>
      </c>
      <c r="Q558" s="2" t="s">
        <v>74</v>
      </c>
      <c r="R558" s="2" t="s">
        <v>74</v>
      </c>
      <c r="S558" s="2" t="s">
        <v>74</v>
      </c>
      <c r="T558" s="2" t="s">
        <v>74</v>
      </c>
      <c r="U558" s="2" t="s">
        <v>74</v>
      </c>
      <c r="V558" s="5" t="s">
        <v>5413</v>
      </c>
      <c r="W558" s="2" t="s">
        <v>74</v>
      </c>
      <c r="X558" s="2" t="s">
        <v>74</v>
      </c>
      <c r="Y558" s="2" t="s">
        <v>74</v>
      </c>
      <c r="Z558" s="2" t="s">
        <v>74</v>
      </c>
      <c r="AA558" s="2" t="s">
        <v>74</v>
      </c>
      <c r="AB558" s="2" t="s">
        <v>74</v>
      </c>
      <c r="AC558" s="2" t="s">
        <v>74</v>
      </c>
      <c r="AD558" s="2" t="s">
        <v>74</v>
      </c>
      <c r="AE558" s="2" t="s">
        <v>74</v>
      </c>
      <c r="AF558" s="2" t="s">
        <v>74</v>
      </c>
      <c r="AG558" s="2" t="s">
        <v>74</v>
      </c>
      <c r="AH558" s="2" t="s">
        <v>74</v>
      </c>
      <c r="AI558" s="2" t="s">
        <v>74</v>
      </c>
      <c r="AJ558" s="2" t="s">
        <v>74</v>
      </c>
      <c r="AK558" s="2" t="s">
        <v>74</v>
      </c>
      <c r="AL558" s="2" t="s">
        <v>74</v>
      </c>
      <c r="AM558" s="2" t="s">
        <v>74</v>
      </c>
      <c r="AN558" s="2" t="s">
        <v>74</v>
      </c>
      <c r="AO558" s="2" t="s">
        <v>173</v>
      </c>
      <c r="AP558" s="2" t="s">
        <v>174</v>
      </c>
      <c r="AQ558" s="2" t="s">
        <v>74</v>
      </c>
      <c r="AR558" s="2" t="s">
        <v>74</v>
      </c>
      <c r="AS558" s="2" t="s">
        <v>74</v>
      </c>
      <c r="AT558" s="2" t="s">
        <v>74</v>
      </c>
      <c r="AU558" s="2">
        <v>1964</v>
      </c>
      <c r="AV558" s="2">
        <v>18</v>
      </c>
      <c r="AW558" s="2">
        <v>1</v>
      </c>
      <c r="AX558" s="2" t="s">
        <v>74</v>
      </c>
      <c r="AY558" s="2" t="s">
        <v>74</v>
      </c>
      <c r="AZ558" s="2" t="s">
        <v>74</v>
      </c>
      <c r="BA558" s="2" t="s">
        <v>74</v>
      </c>
      <c r="BB558" s="2">
        <v>89</v>
      </c>
      <c r="BC558" s="2" t="s">
        <v>726</v>
      </c>
      <c r="BD558" s="2" t="s">
        <v>74</v>
      </c>
      <c r="BE558" s="2" t="s">
        <v>5414</v>
      </c>
      <c r="BF558" s="2" t="str">
        <f>HYPERLINK("http://dx.doi.org/10.2307/2406422","http://dx.doi.org/10.2307/2406422")</f>
        <v>http://dx.doi.org/10.2307/2406422</v>
      </c>
      <c r="BG558" s="2" t="s">
        <v>74</v>
      </c>
      <c r="BH558" s="2" t="s">
        <v>74</v>
      </c>
      <c r="BI558" s="2" t="s">
        <v>74</v>
      </c>
      <c r="BJ558" s="2" t="s">
        <v>74</v>
      </c>
      <c r="BK558" s="2" t="s">
        <v>74</v>
      </c>
      <c r="BL558" s="2" t="s">
        <v>74</v>
      </c>
      <c r="BM558" s="2" t="s">
        <v>74</v>
      </c>
      <c r="BN558" s="2" t="s">
        <v>74</v>
      </c>
      <c r="BO558" s="2" t="s">
        <v>74</v>
      </c>
      <c r="BP558" s="2" t="s">
        <v>74</v>
      </c>
      <c r="BQ558" s="2" t="s">
        <v>74</v>
      </c>
      <c r="BR558" s="2" t="s">
        <v>74</v>
      </c>
      <c r="BS558" s="2" t="s">
        <v>5415</v>
      </c>
      <c r="BT558" s="2" t="str">
        <f>HYPERLINK("https%3A%2F%2Fwww.webofscience.com%2Fwos%2Fwoscc%2Ffull-record%2FWOS:A1964AV73200005","View Full Record in Web of Science")</f>
        <v>View Full Record in Web of Science</v>
      </c>
    </row>
    <row r="559" spans="1:72" s="2" customFormat="1" x14ac:dyDescent="0.4">
      <c r="A559" s="2" t="s">
        <v>72</v>
      </c>
      <c r="B559" s="2" t="s">
        <v>5778</v>
      </c>
      <c r="C559" s="2" t="s">
        <v>74</v>
      </c>
      <c r="D559" s="2" t="s">
        <v>74</v>
      </c>
      <c r="E559" s="2" t="s">
        <v>74</v>
      </c>
      <c r="F559" s="2" t="s">
        <v>5779</v>
      </c>
      <c r="G559" s="2" t="s">
        <v>74</v>
      </c>
      <c r="H559" s="2" t="s">
        <v>74</v>
      </c>
      <c r="I559" s="2" t="s">
        <v>5780</v>
      </c>
      <c r="J559" s="2" t="s">
        <v>1656</v>
      </c>
      <c r="K559" s="2" t="s">
        <v>74</v>
      </c>
      <c r="L559" s="2" t="s">
        <v>74</v>
      </c>
      <c r="M559" s="2" t="s">
        <v>74</v>
      </c>
      <c r="N559" s="2" t="s">
        <v>74</v>
      </c>
      <c r="O559" s="2" t="s">
        <v>74</v>
      </c>
      <c r="P559" s="2" t="s">
        <v>74</v>
      </c>
      <c r="Q559" s="2" t="s">
        <v>74</v>
      </c>
      <c r="R559" s="2" t="s">
        <v>74</v>
      </c>
      <c r="S559" s="2" t="s">
        <v>74</v>
      </c>
      <c r="T559" s="2" t="s">
        <v>74</v>
      </c>
      <c r="U559" s="2" t="s">
        <v>74</v>
      </c>
      <c r="V559" s="5" t="s">
        <v>5781</v>
      </c>
      <c r="W559" s="2" t="s">
        <v>74</v>
      </c>
      <c r="X559" s="2" t="s">
        <v>74</v>
      </c>
      <c r="Y559" s="2" t="s">
        <v>74</v>
      </c>
      <c r="Z559" s="2" t="s">
        <v>74</v>
      </c>
      <c r="AA559" s="2" t="s">
        <v>5782</v>
      </c>
      <c r="AB559" s="2" t="s">
        <v>5783</v>
      </c>
      <c r="AC559" s="2" t="s">
        <v>74</v>
      </c>
      <c r="AD559" s="2" t="s">
        <v>74</v>
      </c>
      <c r="AE559" s="2" t="s">
        <v>74</v>
      </c>
      <c r="AF559" s="2" t="s">
        <v>74</v>
      </c>
      <c r="AG559" s="2" t="s">
        <v>74</v>
      </c>
      <c r="AH559" s="2" t="s">
        <v>74</v>
      </c>
      <c r="AI559" s="2" t="s">
        <v>74</v>
      </c>
      <c r="AJ559" s="2" t="s">
        <v>74</v>
      </c>
      <c r="AK559" s="2" t="s">
        <v>74</v>
      </c>
      <c r="AL559" s="2" t="s">
        <v>74</v>
      </c>
      <c r="AM559" s="2" t="s">
        <v>74</v>
      </c>
      <c r="AN559" s="2" t="s">
        <v>74</v>
      </c>
      <c r="AO559" s="2" t="s">
        <v>1658</v>
      </c>
      <c r="AP559" s="2" t="s">
        <v>1659</v>
      </c>
      <c r="AQ559" s="2" t="s">
        <v>74</v>
      </c>
      <c r="AR559" s="2" t="s">
        <v>74</v>
      </c>
      <c r="AS559" s="2" t="s">
        <v>74</v>
      </c>
      <c r="AT559" s="2" t="s">
        <v>1146</v>
      </c>
      <c r="AU559" s="2">
        <v>2012</v>
      </c>
      <c r="AV559" s="2" t="s">
        <v>74</v>
      </c>
      <c r="AW559" s="2">
        <v>3406</v>
      </c>
      <c r="AX559" s="2" t="s">
        <v>74</v>
      </c>
      <c r="AY559" s="2" t="s">
        <v>74</v>
      </c>
      <c r="AZ559" s="2" t="s">
        <v>74</v>
      </c>
      <c r="BA559" s="2" t="s">
        <v>74</v>
      </c>
      <c r="BB559" s="2">
        <v>39</v>
      </c>
      <c r="BC559" s="2">
        <v>58</v>
      </c>
      <c r="BD559" s="2" t="s">
        <v>74</v>
      </c>
      <c r="BE559" s="2" t="s">
        <v>74</v>
      </c>
      <c r="BF559" s="2" t="s">
        <v>74</v>
      </c>
      <c r="BG559" s="2" t="s">
        <v>74</v>
      </c>
      <c r="BH559" s="2" t="s">
        <v>74</v>
      </c>
      <c r="BI559" s="2" t="s">
        <v>74</v>
      </c>
      <c r="BJ559" s="2" t="s">
        <v>74</v>
      </c>
      <c r="BK559" s="2" t="s">
        <v>74</v>
      </c>
      <c r="BL559" s="2" t="s">
        <v>74</v>
      </c>
      <c r="BM559" s="2" t="s">
        <v>74</v>
      </c>
      <c r="BN559" s="2" t="s">
        <v>74</v>
      </c>
      <c r="BO559" s="2" t="s">
        <v>74</v>
      </c>
      <c r="BP559" s="2" t="s">
        <v>74</v>
      </c>
      <c r="BQ559" s="2" t="s">
        <v>74</v>
      </c>
      <c r="BR559" s="2" t="s">
        <v>74</v>
      </c>
      <c r="BS559" s="2" t="s">
        <v>5784</v>
      </c>
      <c r="BT559" s="2" t="str">
        <f>HYPERLINK("https%3A%2F%2Fwww.webofscience.com%2Fwos%2Fwoscc%2Ffull-record%2FWOS:000306952500003","View Full Record in Web of Science")</f>
        <v>View Full Record in Web of Science</v>
      </c>
    </row>
    <row r="560" spans="1:72" s="2" customFormat="1" x14ac:dyDescent="0.4">
      <c r="A560" s="2" t="s">
        <v>72</v>
      </c>
      <c r="B560" s="2" t="s">
        <v>5461</v>
      </c>
      <c r="C560" s="2" t="s">
        <v>74</v>
      </c>
      <c r="D560" s="2" t="s">
        <v>74</v>
      </c>
      <c r="E560" s="2" t="s">
        <v>74</v>
      </c>
      <c r="F560" s="2" t="s">
        <v>5461</v>
      </c>
      <c r="G560" s="2" t="s">
        <v>74</v>
      </c>
      <c r="H560" s="2" t="s">
        <v>74</v>
      </c>
      <c r="I560" s="2" t="s">
        <v>5462</v>
      </c>
      <c r="J560" s="2" t="s">
        <v>3068</v>
      </c>
      <c r="K560" s="2" t="s">
        <v>74</v>
      </c>
      <c r="L560" s="2" t="s">
        <v>74</v>
      </c>
      <c r="M560" s="2" t="s">
        <v>74</v>
      </c>
      <c r="N560" s="2" t="s">
        <v>74</v>
      </c>
      <c r="O560" s="2" t="s">
        <v>74</v>
      </c>
      <c r="P560" s="2" t="s">
        <v>74</v>
      </c>
      <c r="Q560" s="2" t="s">
        <v>74</v>
      </c>
      <c r="R560" s="2" t="s">
        <v>74</v>
      </c>
      <c r="S560" s="2" t="s">
        <v>74</v>
      </c>
      <c r="T560" s="2" t="s">
        <v>74</v>
      </c>
      <c r="U560" s="2" t="s">
        <v>74</v>
      </c>
      <c r="V560" s="5" t="s">
        <v>5463</v>
      </c>
      <c r="W560" s="2" t="s">
        <v>74</v>
      </c>
      <c r="X560" s="2" t="s">
        <v>74</v>
      </c>
      <c r="Y560" s="2" t="s">
        <v>74</v>
      </c>
      <c r="Z560" s="2" t="s">
        <v>74</v>
      </c>
      <c r="AA560" s="2" t="s">
        <v>5464</v>
      </c>
      <c r="AB560" s="2" t="s">
        <v>74</v>
      </c>
      <c r="AC560" s="2" t="s">
        <v>74</v>
      </c>
      <c r="AD560" s="2" t="s">
        <v>74</v>
      </c>
      <c r="AE560" s="2" t="s">
        <v>74</v>
      </c>
      <c r="AF560" s="2" t="s">
        <v>74</v>
      </c>
      <c r="AG560" s="2" t="s">
        <v>74</v>
      </c>
      <c r="AH560" s="2" t="s">
        <v>74</v>
      </c>
      <c r="AI560" s="2" t="s">
        <v>74</v>
      </c>
      <c r="AJ560" s="2" t="s">
        <v>74</v>
      </c>
      <c r="AK560" s="2" t="s">
        <v>74</v>
      </c>
      <c r="AL560" s="2" t="s">
        <v>74</v>
      </c>
      <c r="AM560" s="2" t="s">
        <v>74</v>
      </c>
      <c r="AN560" s="2" t="s">
        <v>74</v>
      </c>
      <c r="AO560" s="2" t="s">
        <v>3072</v>
      </c>
      <c r="AP560" s="2" t="s">
        <v>74</v>
      </c>
      <c r="AQ560" s="2" t="s">
        <v>74</v>
      </c>
      <c r="AR560" s="2" t="s">
        <v>74</v>
      </c>
      <c r="AS560" s="2" t="s">
        <v>74</v>
      </c>
      <c r="AT560" s="2" t="s">
        <v>134</v>
      </c>
      <c r="AU560" s="2">
        <v>1995</v>
      </c>
      <c r="AV560" s="2">
        <v>14</v>
      </c>
      <c r="AW560" s="2">
        <v>2</v>
      </c>
      <c r="AX560" s="2" t="s">
        <v>74</v>
      </c>
      <c r="AY560" s="2" t="s">
        <v>74</v>
      </c>
      <c r="AZ560" s="2" t="s">
        <v>74</v>
      </c>
      <c r="BA560" s="2" t="s">
        <v>74</v>
      </c>
      <c r="BB560" s="2">
        <v>71</v>
      </c>
      <c r="BC560" s="2">
        <v>78</v>
      </c>
      <c r="BD560" s="2" t="s">
        <v>74</v>
      </c>
      <c r="BE560" s="2" t="s">
        <v>5465</v>
      </c>
      <c r="BF560" s="2" t="str">
        <f>HYPERLINK("http://dx.doi.org/10.1007/BF00303426","http://dx.doi.org/10.1007/BF00303426")</f>
        <v>http://dx.doi.org/10.1007/BF00303426</v>
      </c>
      <c r="BG560" s="2" t="s">
        <v>74</v>
      </c>
      <c r="BH560" s="2" t="s">
        <v>74</v>
      </c>
      <c r="BI560" s="2" t="s">
        <v>74</v>
      </c>
      <c r="BJ560" s="2" t="s">
        <v>74</v>
      </c>
      <c r="BK560" s="2" t="s">
        <v>74</v>
      </c>
      <c r="BL560" s="2" t="s">
        <v>74</v>
      </c>
      <c r="BM560" s="2" t="s">
        <v>74</v>
      </c>
      <c r="BN560" s="2" t="s">
        <v>74</v>
      </c>
      <c r="BO560" s="2" t="s">
        <v>74</v>
      </c>
      <c r="BP560" s="2" t="s">
        <v>74</v>
      </c>
      <c r="BQ560" s="2" t="s">
        <v>74</v>
      </c>
      <c r="BR560" s="2" t="s">
        <v>74</v>
      </c>
      <c r="BS560" s="2" t="s">
        <v>5466</v>
      </c>
      <c r="BT560" s="2" t="str">
        <f>HYPERLINK("https%3A%2F%2Fwww.webofscience.com%2Fwos%2Fwoscc%2Ffull-record%2FWOS:A1995RD44200003","View Full Record in Web of Science")</f>
        <v>View Full Record in Web of Science</v>
      </c>
    </row>
    <row r="561" spans="1:72" s="1" customFormat="1" x14ac:dyDescent="0.4">
      <c r="A561" s="2" t="s">
        <v>72</v>
      </c>
      <c r="B561" s="2" t="s">
        <v>7401</v>
      </c>
      <c r="C561" s="2" t="s">
        <v>74</v>
      </c>
      <c r="D561" s="2" t="s">
        <v>74</v>
      </c>
      <c r="E561" s="2" t="s">
        <v>74</v>
      </c>
      <c r="F561" s="2" t="s">
        <v>7401</v>
      </c>
      <c r="G561" s="2" t="s">
        <v>74</v>
      </c>
      <c r="H561" s="2" t="s">
        <v>74</v>
      </c>
      <c r="I561" s="2" t="s">
        <v>7402</v>
      </c>
      <c r="J561" s="2" t="s">
        <v>4522</v>
      </c>
      <c r="K561" s="2" t="s">
        <v>74</v>
      </c>
      <c r="L561" s="2" t="s">
        <v>74</v>
      </c>
      <c r="M561" s="2" t="s">
        <v>74</v>
      </c>
      <c r="N561" s="2" t="s">
        <v>74</v>
      </c>
      <c r="O561" s="2" t="s">
        <v>74</v>
      </c>
      <c r="P561" s="2" t="s">
        <v>74</v>
      </c>
      <c r="Q561" s="2" t="s">
        <v>74</v>
      </c>
      <c r="R561" s="2" t="s">
        <v>74</v>
      </c>
      <c r="S561" s="2" t="s">
        <v>74</v>
      </c>
      <c r="T561" s="2" t="s">
        <v>74</v>
      </c>
      <c r="U561" s="2" t="s">
        <v>74</v>
      </c>
      <c r="V561" s="5" t="s">
        <v>7403</v>
      </c>
      <c r="W561" s="2" t="s">
        <v>74</v>
      </c>
      <c r="X561" s="2" t="s">
        <v>74</v>
      </c>
      <c r="Y561" s="2" t="s">
        <v>74</v>
      </c>
      <c r="Z561" s="2" t="s">
        <v>74</v>
      </c>
      <c r="AA561" s="2" t="s">
        <v>7404</v>
      </c>
      <c r="AB561" s="2" t="s">
        <v>7405</v>
      </c>
      <c r="AC561" s="2" t="s">
        <v>74</v>
      </c>
      <c r="AD561" s="2" t="s">
        <v>74</v>
      </c>
      <c r="AE561" s="2" t="s">
        <v>74</v>
      </c>
      <c r="AF561" s="2" t="s">
        <v>74</v>
      </c>
      <c r="AG561" s="2" t="s">
        <v>74</v>
      </c>
      <c r="AH561" s="2" t="s">
        <v>74</v>
      </c>
      <c r="AI561" s="2" t="s">
        <v>74</v>
      </c>
      <c r="AJ561" s="2" t="s">
        <v>74</v>
      </c>
      <c r="AK561" s="2" t="s">
        <v>74</v>
      </c>
      <c r="AL561" s="2" t="s">
        <v>74</v>
      </c>
      <c r="AM561" s="2" t="s">
        <v>74</v>
      </c>
      <c r="AN561" s="2" t="s">
        <v>74</v>
      </c>
      <c r="AO561" s="2" t="s">
        <v>4526</v>
      </c>
      <c r="AP561" s="2" t="s">
        <v>74</v>
      </c>
      <c r="AQ561" s="2" t="s">
        <v>74</v>
      </c>
      <c r="AR561" s="2" t="s">
        <v>74</v>
      </c>
      <c r="AS561" s="2" t="s">
        <v>74</v>
      </c>
      <c r="AT561" s="2" t="s">
        <v>352</v>
      </c>
      <c r="AU561" s="2">
        <v>2001</v>
      </c>
      <c r="AV561" s="2">
        <v>35</v>
      </c>
      <c r="AW561" s="2">
        <v>9</v>
      </c>
      <c r="AX561" s="2" t="s">
        <v>74</v>
      </c>
      <c r="AY561" s="2" t="s">
        <v>74</v>
      </c>
      <c r="AZ561" s="2" t="s">
        <v>74</v>
      </c>
      <c r="BA561" s="2" t="s">
        <v>74</v>
      </c>
      <c r="BB561" s="2">
        <v>1371</v>
      </c>
      <c r="BC561" s="2">
        <v>1398</v>
      </c>
      <c r="BD561" s="2" t="s">
        <v>74</v>
      </c>
      <c r="BE561" s="2" t="s">
        <v>7406</v>
      </c>
      <c r="BF561" s="2" t="str">
        <f>HYPERLINK("http://dx.doi.org/10.1080/002229301750384310","http://dx.doi.org/10.1080/002229301750384310")</f>
        <v>http://dx.doi.org/10.1080/002229301750384310</v>
      </c>
      <c r="BG561" s="2" t="s">
        <v>74</v>
      </c>
      <c r="BH561" s="2" t="s">
        <v>74</v>
      </c>
      <c r="BI561" s="2" t="s">
        <v>74</v>
      </c>
      <c r="BJ561" s="2" t="s">
        <v>74</v>
      </c>
      <c r="BK561" s="2" t="s">
        <v>74</v>
      </c>
      <c r="BL561" s="2" t="s">
        <v>74</v>
      </c>
      <c r="BM561" s="2" t="s">
        <v>74</v>
      </c>
      <c r="BN561" s="2" t="s">
        <v>74</v>
      </c>
      <c r="BO561" s="2" t="s">
        <v>74</v>
      </c>
      <c r="BP561" s="2" t="s">
        <v>74</v>
      </c>
      <c r="BQ561" s="2" t="s">
        <v>74</v>
      </c>
      <c r="BR561" s="2" t="s">
        <v>74</v>
      </c>
      <c r="BS561" s="2" t="s">
        <v>7407</v>
      </c>
      <c r="BT561" s="2" t="str">
        <f>HYPERLINK("https%3A%2F%2Fwww.webofscience.com%2Fwos%2Fwoscc%2Ffull-record%2FWOS:000170467200003","View Full Record in Web of Science")</f>
        <v>View Full Record in Web of Science</v>
      </c>
    </row>
    <row r="562" spans="1:72" s="2" customFormat="1" x14ac:dyDescent="0.4">
      <c r="A562" s="2" t="s">
        <v>72</v>
      </c>
      <c r="B562" s="2" t="s">
        <v>7953</v>
      </c>
      <c r="C562" s="2" t="s">
        <v>74</v>
      </c>
      <c r="D562" s="2" t="s">
        <v>74</v>
      </c>
      <c r="E562" s="2" t="s">
        <v>74</v>
      </c>
      <c r="F562" s="2" t="s">
        <v>7953</v>
      </c>
      <c r="G562" s="2" t="s">
        <v>74</v>
      </c>
      <c r="H562" s="2" t="s">
        <v>74</v>
      </c>
      <c r="I562" s="2" t="s">
        <v>7954</v>
      </c>
      <c r="J562" s="2" t="s">
        <v>7955</v>
      </c>
      <c r="K562" s="2" t="s">
        <v>74</v>
      </c>
      <c r="L562" s="2" t="s">
        <v>74</v>
      </c>
      <c r="M562" s="2" t="s">
        <v>74</v>
      </c>
      <c r="N562" s="2" t="s">
        <v>74</v>
      </c>
      <c r="O562" s="2" t="s">
        <v>74</v>
      </c>
      <c r="P562" s="2" t="s">
        <v>74</v>
      </c>
      <c r="Q562" s="2" t="s">
        <v>74</v>
      </c>
      <c r="R562" s="2" t="s">
        <v>74</v>
      </c>
      <c r="S562" s="2" t="s">
        <v>74</v>
      </c>
      <c r="T562" s="2" t="s">
        <v>74</v>
      </c>
      <c r="U562" s="2" t="s">
        <v>74</v>
      </c>
      <c r="V562" s="5" t="s">
        <v>7956</v>
      </c>
      <c r="W562" s="2" t="s">
        <v>74</v>
      </c>
      <c r="X562" s="2" t="s">
        <v>74</v>
      </c>
      <c r="Y562" s="2" t="s">
        <v>74</v>
      </c>
      <c r="Z562" s="2" t="s">
        <v>74</v>
      </c>
      <c r="AA562" s="2" t="s">
        <v>74</v>
      </c>
      <c r="AB562" s="2" t="s">
        <v>7957</v>
      </c>
      <c r="AC562" s="2" t="s">
        <v>74</v>
      </c>
      <c r="AD562" s="2" t="s">
        <v>74</v>
      </c>
      <c r="AE562" s="2" t="s">
        <v>74</v>
      </c>
      <c r="AF562" s="2" t="s">
        <v>74</v>
      </c>
      <c r="AG562" s="2" t="s">
        <v>74</v>
      </c>
      <c r="AH562" s="2" t="s">
        <v>74</v>
      </c>
      <c r="AI562" s="2" t="s">
        <v>74</v>
      </c>
      <c r="AJ562" s="2" t="s">
        <v>74</v>
      </c>
      <c r="AK562" s="2" t="s">
        <v>74</v>
      </c>
      <c r="AL562" s="2" t="s">
        <v>74</v>
      </c>
      <c r="AM562" s="2" t="s">
        <v>74</v>
      </c>
      <c r="AN562" s="2" t="s">
        <v>74</v>
      </c>
      <c r="AO562" s="2" t="s">
        <v>7958</v>
      </c>
      <c r="AP562" s="2" t="s">
        <v>74</v>
      </c>
      <c r="AQ562" s="2" t="s">
        <v>74</v>
      </c>
      <c r="AR562" s="2" t="s">
        <v>74</v>
      </c>
      <c r="AS562" s="2" t="s">
        <v>74</v>
      </c>
      <c r="AT562" s="2" t="s">
        <v>74</v>
      </c>
      <c r="AU562" s="2">
        <v>2003</v>
      </c>
      <c r="AV562" s="2">
        <v>44</v>
      </c>
      <c r="AW562" s="2">
        <v>4</v>
      </c>
      <c r="AX562" s="2" t="s">
        <v>74</v>
      </c>
      <c r="AY562" s="2" t="s">
        <v>74</v>
      </c>
      <c r="AZ562" s="2" t="s">
        <v>74</v>
      </c>
      <c r="BA562" s="2" t="s">
        <v>74</v>
      </c>
      <c r="BB562" s="2">
        <v>319</v>
      </c>
      <c r="BC562" s="2">
        <v>327</v>
      </c>
      <c r="BD562" s="2" t="s">
        <v>74</v>
      </c>
      <c r="BE562" s="2" t="s">
        <v>74</v>
      </c>
      <c r="BF562" s="2" t="s">
        <v>74</v>
      </c>
      <c r="BG562" s="2" t="s">
        <v>74</v>
      </c>
      <c r="BH562" s="2" t="s">
        <v>74</v>
      </c>
      <c r="BI562" s="2" t="s">
        <v>74</v>
      </c>
      <c r="BJ562" s="2" t="s">
        <v>74</v>
      </c>
      <c r="BK562" s="2" t="s">
        <v>74</v>
      </c>
      <c r="BL562" s="2" t="s">
        <v>74</v>
      </c>
      <c r="BM562" s="2" t="s">
        <v>74</v>
      </c>
      <c r="BN562" s="2" t="s">
        <v>74</v>
      </c>
      <c r="BO562" s="2" t="s">
        <v>74</v>
      </c>
      <c r="BP562" s="2" t="s">
        <v>74</v>
      </c>
      <c r="BQ562" s="2" t="s">
        <v>74</v>
      </c>
      <c r="BR562" s="2" t="s">
        <v>74</v>
      </c>
      <c r="BS562" s="2" t="s">
        <v>7959</v>
      </c>
      <c r="BT562" s="2" t="str">
        <f>HYPERLINK("https%3A%2F%2Fwww.webofscience.com%2Fwos%2Fwoscc%2Ffull-record%2FWOS:000188352000002","View Full Record in Web of Science")</f>
        <v>View Full Record in Web of Science</v>
      </c>
    </row>
    <row r="563" spans="1:72" s="2" customFormat="1" x14ac:dyDescent="0.4">
      <c r="A563" s="2" t="s">
        <v>72</v>
      </c>
      <c r="B563" s="2" t="s">
        <v>4204</v>
      </c>
      <c r="C563" s="2" t="s">
        <v>74</v>
      </c>
      <c r="D563" s="2" t="s">
        <v>74</v>
      </c>
      <c r="E563" s="2" t="s">
        <v>74</v>
      </c>
      <c r="F563" s="2" t="s">
        <v>4205</v>
      </c>
      <c r="G563" s="2" t="s">
        <v>74</v>
      </c>
      <c r="H563" s="2" t="s">
        <v>74</v>
      </c>
      <c r="I563" s="2" t="s">
        <v>4206</v>
      </c>
      <c r="J563" s="2" t="s">
        <v>2550</v>
      </c>
      <c r="K563" s="2" t="s">
        <v>74</v>
      </c>
      <c r="L563" s="2" t="s">
        <v>74</v>
      </c>
      <c r="M563" s="2" t="s">
        <v>74</v>
      </c>
      <c r="N563" s="2" t="s">
        <v>74</v>
      </c>
      <c r="O563" s="2" t="s">
        <v>74</v>
      </c>
      <c r="P563" s="2" t="s">
        <v>74</v>
      </c>
      <c r="Q563" s="2" t="s">
        <v>74</v>
      </c>
      <c r="R563" s="2" t="s">
        <v>74</v>
      </c>
      <c r="S563" s="2" t="s">
        <v>74</v>
      </c>
      <c r="T563" s="2" t="s">
        <v>74</v>
      </c>
      <c r="U563" s="2" t="s">
        <v>74</v>
      </c>
      <c r="V563" s="5" t="s">
        <v>4207</v>
      </c>
      <c r="W563" s="2" t="s">
        <v>74</v>
      </c>
      <c r="X563" s="2" t="s">
        <v>74</v>
      </c>
      <c r="Y563" s="2" t="s">
        <v>74</v>
      </c>
      <c r="Z563" s="2" t="s">
        <v>74</v>
      </c>
      <c r="AA563" s="2" t="s">
        <v>74</v>
      </c>
      <c r="AB563" s="2" t="s">
        <v>4208</v>
      </c>
      <c r="AC563" s="2" t="s">
        <v>74</v>
      </c>
      <c r="AD563" s="2" t="s">
        <v>74</v>
      </c>
      <c r="AE563" s="2" t="s">
        <v>74</v>
      </c>
      <c r="AF563" s="2" t="s">
        <v>74</v>
      </c>
      <c r="AG563" s="2" t="s">
        <v>74</v>
      </c>
      <c r="AH563" s="2" t="s">
        <v>74</v>
      </c>
      <c r="AI563" s="2" t="s">
        <v>74</v>
      </c>
      <c r="AJ563" s="2" t="s">
        <v>74</v>
      </c>
      <c r="AK563" s="2" t="s">
        <v>74</v>
      </c>
      <c r="AL563" s="2" t="s">
        <v>74</v>
      </c>
      <c r="AM563" s="2" t="s">
        <v>74</v>
      </c>
      <c r="AN563" s="2" t="s">
        <v>74</v>
      </c>
      <c r="AO563" s="2" t="s">
        <v>2554</v>
      </c>
      <c r="AP563" s="2" t="s">
        <v>4209</v>
      </c>
      <c r="AQ563" s="2" t="s">
        <v>74</v>
      </c>
      <c r="AR563" s="2" t="s">
        <v>74</v>
      </c>
      <c r="AS563" s="2" t="s">
        <v>74</v>
      </c>
      <c r="AT563" s="2" t="s">
        <v>102</v>
      </c>
      <c r="AU563" s="2">
        <v>2019</v>
      </c>
      <c r="AV563" s="2">
        <v>42</v>
      </c>
      <c r="AW563" s="2">
        <v>6</v>
      </c>
      <c r="AX563" s="2" t="s">
        <v>74</v>
      </c>
      <c r="AY563" s="2" t="s">
        <v>74</v>
      </c>
      <c r="AZ563" s="2" t="s">
        <v>74</v>
      </c>
      <c r="BA563" s="2" t="s">
        <v>74</v>
      </c>
      <c r="BB563" s="2">
        <v>1217</v>
      </c>
      <c r="BC563" s="2">
        <v>1220</v>
      </c>
      <c r="BD563" s="2" t="s">
        <v>74</v>
      </c>
      <c r="BE563" s="2" t="s">
        <v>4210</v>
      </c>
      <c r="BF563" s="2" t="str">
        <f>HYPERLINK("http://dx.doi.org/10.1007/s00300-019-02506-3","http://dx.doi.org/10.1007/s00300-019-02506-3")</f>
        <v>http://dx.doi.org/10.1007/s00300-019-02506-3</v>
      </c>
      <c r="BG563" s="2" t="s">
        <v>74</v>
      </c>
      <c r="BH563" s="2" t="s">
        <v>74</v>
      </c>
      <c r="BI563" s="2" t="s">
        <v>74</v>
      </c>
      <c r="BJ563" s="2" t="s">
        <v>74</v>
      </c>
      <c r="BK563" s="2" t="s">
        <v>74</v>
      </c>
      <c r="BL563" s="2" t="s">
        <v>74</v>
      </c>
      <c r="BM563" s="2" t="s">
        <v>74</v>
      </c>
      <c r="BN563" s="2" t="s">
        <v>74</v>
      </c>
      <c r="BO563" s="2" t="s">
        <v>74</v>
      </c>
      <c r="BP563" s="2" t="s">
        <v>74</v>
      </c>
      <c r="BQ563" s="2" t="s">
        <v>74</v>
      </c>
      <c r="BR563" s="2" t="s">
        <v>74</v>
      </c>
      <c r="BS563" s="2" t="s">
        <v>4211</v>
      </c>
      <c r="BT563" s="2" t="str">
        <f>HYPERLINK("https%3A%2F%2Fwww.webofscience.com%2Fwos%2Fwoscc%2Ffull-record%2FWOS:000470694200016","View Full Record in Web of Science")</f>
        <v>View Full Record in Web of Science</v>
      </c>
    </row>
    <row r="564" spans="1:72" s="2" customFormat="1" x14ac:dyDescent="0.4">
      <c r="A564" s="2" t="s">
        <v>72</v>
      </c>
      <c r="B564" s="2" t="s">
        <v>1213</v>
      </c>
      <c r="C564" s="2" t="s">
        <v>74</v>
      </c>
      <c r="D564" s="2" t="s">
        <v>74</v>
      </c>
      <c r="E564" s="2" t="s">
        <v>74</v>
      </c>
      <c r="F564" s="2" t="s">
        <v>1214</v>
      </c>
      <c r="G564" s="2" t="s">
        <v>74</v>
      </c>
      <c r="H564" s="2" t="s">
        <v>74</v>
      </c>
      <c r="I564" s="2" t="s">
        <v>1215</v>
      </c>
      <c r="J564" s="2" t="s">
        <v>99</v>
      </c>
      <c r="K564" s="2" t="s">
        <v>74</v>
      </c>
      <c r="L564" s="2" t="s">
        <v>74</v>
      </c>
      <c r="M564" s="2" t="s">
        <v>74</v>
      </c>
      <c r="N564" s="2" t="s">
        <v>74</v>
      </c>
      <c r="O564" s="2" t="s">
        <v>74</v>
      </c>
      <c r="P564" s="2" t="s">
        <v>74</v>
      </c>
      <c r="Q564" s="2" t="s">
        <v>74</v>
      </c>
      <c r="R564" s="2" t="s">
        <v>74</v>
      </c>
      <c r="S564" s="2" t="s">
        <v>74</v>
      </c>
      <c r="T564" s="2" t="s">
        <v>74</v>
      </c>
      <c r="U564" s="2" t="s">
        <v>74</v>
      </c>
      <c r="V564" s="5" t="s">
        <v>1216</v>
      </c>
      <c r="W564" s="2" t="s">
        <v>74</v>
      </c>
      <c r="X564" s="2" t="s">
        <v>74</v>
      </c>
      <c r="Y564" s="2" t="s">
        <v>74</v>
      </c>
      <c r="Z564" s="2" t="s">
        <v>74</v>
      </c>
      <c r="AA564" s="2" t="s">
        <v>74</v>
      </c>
      <c r="AB564" s="2" t="s">
        <v>1217</v>
      </c>
      <c r="AC564" s="2" t="s">
        <v>74</v>
      </c>
      <c r="AD564" s="2" t="s">
        <v>74</v>
      </c>
      <c r="AE564" s="2" t="s">
        <v>74</v>
      </c>
      <c r="AF564" s="2" t="s">
        <v>74</v>
      </c>
      <c r="AG564" s="2" t="s">
        <v>74</v>
      </c>
      <c r="AH564" s="2" t="s">
        <v>74</v>
      </c>
      <c r="AI564" s="2" t="s">
        <v>74</v>
      </c>
      <c r="AJ564" s="2" t="s">
        <v>74</v>
      </c>
      <c r="AK564" s="2" t="s">
        <v>74</v>
      </c>
      <c r="AL564" s="2" t="s">
        <v>74</v>
      </c>
      <c r="AM564" s="2" t="s">
        <v>74</v>
      </c>
      <c r="AN564" s="2" t="s">
        <v>74</v>
      </c>
      <c r="AO564" s="2" t="s">
        <v>101</v>
      </c>
      <c r="AP564" s="2" t="s">
        <v>1218</v>
      </c>
      <c r="AQ564" s="2" t="s">
        <v>74</v>
      </c>
      <c r="AR564" s="2" t="s">
        <v>74</v>
      </c>
      <c r="AS564" s="2" t="s">
        <v>74</v>
      </c>
      <c r="AT564" s="2" t="s">
        <v>305</v>
      </c>
      <c r="AU564" s="2">
        <v>2014</v>
      </c>
      <c r="AV564" s="2">
        <v>126</v>
      </c>
      <c r="AW564" s="2">
        <v>4</v>
      </c>
      <c r="AX564" s="2" t="s">
        <v>74</v>
      </c>
      <c r="AY564" s="2" t="s">
        <v>74</v>
      </c>
      <c r="AZ564" s="2" t="s">
        <v>74</v>
      </c>
      <c r="BA564" s="2" t="s">
        <v>74</v>
      </c>
      <c r="BB564" s="2">
        <v>708</v>
      </c>
      <c r="BC564" s="2">
        <v>716</v>
      </c>
      <c r="BD564" s="2" t="s">
        <v>74</v>
      </c>
      <c r="BE564" s="2" t="s">
        <v>1219</v>
      </c>
      <c r="BF564" s="2" t="str">
        <f>HYPERLINK("http://dx.doi.org/10.1676/14-028.1","http://dx.doi.org/10.1676/14-028.1")</f>
        <v>http://dx.doi.org/10.1676/14-028.1</v>
      </c>
      <c r="BG564" s="2" t="s">
        <v>74</v>
      </c>
      <c r="BH564" s="2" t="s">
        <v>74</v>
      </c>
      <c r="BI564" s="2" t="s">
        <v>74</v>
      </c>
      <c r="BJ564" s="2" t="s">
        <v>74</v>
      </c>
      <c r="BK564" s="2" t="s">
        <v>74</v>
      </c>
      <c r="BL564" s="2" t="s">
        <v>74</v>
      </c>
      <c r="BM564" s="2" t="s">
        <v>74</v>
      </c>
      <c r="BN564" s="2" t="s">
        <v>74</v>
      </c>
      <c r="BO564" s="2" t="s">
        <v>74</v>
      </c>
      <c r="BP564" s="2" t="s">
        <v>74</v>
      </c>
      <c r="BQ564" s="2" t="s">
        <v>74</v>
      </c>
      <c r="BR564" s="2" t="s">
        <v>74</v>
      </c>
      <c r="BS564" s="2" t="s">
        <v>1220</v>
      </c>
      <c r="BT564" s="2" t="str">
        <f>HYPERLINK("https%3A%2F%2Fwww.webofscience.com%2Fwos%2Fwoscc%2Ffull-record%2FWOS:000346425400008","View Full Record in Web of Science")</f>
        <v>View Full Record in Web of Science</v>
      </c>
    </row>
    <row r="565" spans="1:72" s="2" customFormat="1" x14ac:dyDescent="0.4">
      <c r="A565" s="2" t="s">
        <v>72</v>
      </c>
      <c r="B565" s="2" t="s">
        <v>1686</v>
      </c>
      <c r="C565" s="2" t="s">
        <v>74</v>
      </c>
      <c r="D565" s="2" t="s">
        <v>74</v>
      </c>
      <c r="E565" s="2" t="s">
        <v>74</v>
      </c>
      <c r="F565" s="2" t="s">
        <v>1687</v>
      </c>
      <c r="G565" s="2" t="s">
        <v>74</v>
      </c>
      <c r="H565" s="2" t="s">
        <v>74</v>
      </c>
      <c r="I565" s="2" t="s">
        <v>1688</v>
      </c>
      <c r="J565" s="2" t="s">
        <v>129</v>
      </c>
      <c r="K565" s="2" t="s">
        <v>74</v>
      </c>
      <c r="L565" s="2" t="s">
        <v>74</v>
      </c>
      <c r="M565" s="2" t="s">
        <v>74</v>
      </c>
      <c r="N565" s="2" t="s">
        <v>74</v>
      </c>
      <c r="O565" s="2" t="s">
        <v>74</v>
      </c>
      <c r="P565" s="2" t="s">
        <v>74</v>
      </c>
      <c r="Q565" s="2" t="s">
        <v>74</v>
      </c>
      <c r="R565" s="2" t="s">
        <v>74</v>
      </c>
      <c r="S565" s="2" t="s">
        <v>74</v>
      </c>
      <c r="T565" s="2" t="s">
        <v>74</v>
      </c>
      <c r="U565" s="2" t="s">
        <v>74</v>
      </c>
      <c r="V565" s="5" t="s">
        <v>1689</v>
      </c>
      <c r="W565" s="2" t="s">
        <v>74</v>
      </c>
      <c r="X565" s="2" t="s">
        <v>74</v>
      </c>
      <c r="Y565" s="2" t="s">
        <v>74</v>
      </c>
      <c r="Z565" s="2" t="s">
        <v>74</v>
      </c>
      <c r="AA565" s="2" t="s">
        <v>1690</v>
      </c>
      <c r="AB565" s="2" t="s">
        <v>1691</v>
      </c>
      <c r="AC565" s="2" t="s">
        <v>74</v>
      </c>
      <c r="AD565" s="2" t="s">
        <v>74</v>
      </c>
      <c r="AE565" s="2" t="s">
        <v>74</v>
      </c>
      <c r="AF565" s="2" t="s">
        <v>74</v>
      </c>
      <c r="AG565" s="2" t="s">
        <v>74</v>
      </c>
      <c r="AH565" s="2" t="s">
        <v>74</v>
      </c>
      <c r="AI565" s="2" t="s">
        <v>74</v>
      </c>
      <c r="AJ565" s="2" t="s">
        <v>74</v>
      </c>
      <c r="AK565" s="2" t="s">
        <v>74</v>
      </c>
      <c r="AL565" s="2" t="s">
        <v>74</v>
      </c>
      <c r="AM565" s="2" t="s">
        <v>74</v>
      </c>
      <c r="AN565" s="2" t="s">
        <v>74</v>
      </c>
      <c r="AO565" s="2" t="s">
        <v>132</v>
      </c>
      <c r="AP565" s="2" t="s">
        <v>133</v>
      </c>
      <c r="AQ565" s="2" t="s">
        <v>74</v>
      </c>
      <c r="AR565" s="2" t="s">
        <v>74</v>
      </c>
      <c r="AS565" s="2" t="s">
        <v>74</v>
      </c>
      <c r="AT565" s="2" t="s">
        <v>633</v>
      </c>
      <c r="AU565" s="2">
        <v>2022</v>
      </c>
      <c r="AV565" s="2">
        <v>76</v>
      </c>
      <c r="AW565" s="2">
        <v>4</v>
      </c>
      <c r="AX565" s="2" t="s">
        <v>74</v>
      </c>
      <c r="AY565" s="2" t="s">
        <v>74</v>
      </c>
      <c r="AZ565" s="2" t="s">
        <v>74</v>
      </c>
      <c r="BA565" s="2" t="s">
        <v>74</v>
      </c>
      <c r="BB565" s="2" t="s">
        <v>74</v>
      </c>
      <c r="BC565" s="2" t="s">
        <v>74</v>
      </c>
      <c r="BD565" s="2">
        <v>57</v>
      </c>
      <c r="BE565" s="2" t="s">
        <v>1692</v>
      </c>
      <c r="BF565" s="2" t="str">
        <f>HYPERLINK("http://dx.doi.org/10.1007/s00265-022-03165-x","http://dx.doi.org/10.1007/s00265-022-03165-x")</f>
        <v>http://dx.doi.org/10.1007/s00265-022-03165-x</v>
      </c>
      <c r="BG565" s="2" t="s">
        <v>74</v>
      </c>
      <c r="BH565" s="2" t="s">
        <v>74</v>
      </c>
      <c r="BI565" s="2" t="s">
        <v>74</v>
      </c>
      <c r="BJ565" s="2" t="s">
        <v>74</v>
      </c>
      <c r="BK565" s="2" t="s">
        <v>74</v>
      </c>
      <c r="BL565" s="2" t="s">
        <v>74</v>
      </c>
      <c r="BM565" s="2" t="s">
        <v>74</v>
      </c>
      <c r="BN565" s="2" t="s">
        <v>74</v>
      </c>
      <c r="BO565" s="2" t="s">
        <v>74</v>
      </c>
      <c r="BP565" s="2" t="s">
        <v>74</v>
      </c>
      <c r="BQ565" s="2" t="s">
        <v>74</v>
      </c>
      <c r="BR565" s="2" t="s">
        <v>74</v>
      </c>
      <c r="BS565" s="2" t="s">
        <v>1693</v>
      </c>
      <c r="BT565" s="2" t="str">
        <f>HYPERLINK("https%3A%2F%2Fwww.webofscience.com%2Fwos%2Fwoscc%2Ffull-record%2FWOS:000779357300001","View Full Record in Web of Science")</f>
        <v>View Full Record in Web of Science</v>
      </c>
    </row>
    <row r="566" spans="1:72" s="2" customFormat="1" x14ac:dyDescent="0.4">
      <c r="A566" s="2" t="s">
        <v>72</v>
      </c>
      <c r="B566" s="2" t="s">
        <v>2594</v>
      </c>
      <c r="C566" s="2" t="s">
        <v>74</v>
      </c>
      <c r="D566" s="2" t="s">
        <v>74</v>
      </c>
      <c r="E566" s="2" t="s">
        <v>74</v>
      </c>
      <c r="F566" s="2" t="s">
        <v>2595</v>
      </c>
      <c r="G566" s="2" t="s">
        <v>74</v>
      </c>
      <c r="H566" s="2" t="s">
        <v>74</v>
      </c>
      <c r="I566" s="2" t="s">
        <v>2596</v>
      </c>
      <c r="J566" s="2" t="s">
        <v>140</v>
      </c>
      <c r="K566" s="2" t="s">
        <v>74</v>
      </c>
      <c r="L566" s="2" t="s">
        <v>74</v>
      </c>
      <c r="M566" s="2" t="s">
        <v>74</v>
      </c>
      <c r="N566" s="2" t="s">
        <v>74</v>
      </c>
      <c r="O566" s="2" t="s">
        <v>74</v>
      </c>
      <c r="P566" s="2" t="s">
        <v>74</v>
      </c>
      <c r="Q566" s="2" t="s">
        <v>74</v>
      </c>
      <c r="R566" s="2" t="s">
        <v>74</v>
      </c>
      <c r="S566" s="2" t="s">
        <v>74</v>
      </c>
      <c r="T566" s="2" t="s">
        <v>74</v>
      </c>
      <c r="U566" s="2" t="s">
        <v>74</v>
      </c>
      <c r="V566" s="5" t="s">
        <v>2597</v>
      </c>
      <c r="W566" s="2" t="s">
        <v>74</v>
      </c>
      <c r="X566" s="2" t="s">
        <v>74</v>
      </c>
      <c r="Y566" s="2" t="s">
        <v>74</v>
      </c>
      <c r="Z566" s="2" t="s">
        <v>74</v>
      </c>
      <c r="AA566" s="2" t="s">
        <v>946</v>
      </c>
      <c r="AB566" s="2" t="s">
        <v>2598</v>
      </c>
      <c r="AC566" s="2" t="s">
        <v>74</v>
      </c>
      <c r="AD566" s="2" t="s">
        <v>74</v>
      </c>
      <c r="AE566" s="2" t="s">
        <v>74</v>
      </c>
      <c r="AF566" s="2" t="s">
        <v>74</v>
      </c>
      <c r="AG566" s="2" t="s">
        <v>74</v>
      </c>
      <c r="AH566" s="2" t="s">
        <v>74</v>
      </c>
      <c r="AI566" s="2" t="s">
        <v>74</v>
      </c>
      <c r="AJ566" s="2" t="s">
        <v>74</v>
      </c>
      <c r="AK566" s="2" t="s">
        <v>74</v>
      </c>
      <c r="AL566" s="2" t="s">
        <v>74</v>
      </c>
      <c r="AM566" s="2" t="s">
        <v>74</v>
      </c>
      <c r="AN566" s="2" t="s">
        <v>74</v>
      </c>
      <c r="AO566" s="2" t="s">
        <v>143</v>
      </c>
      <c r="AP566" s="2" t="s">
        <v>144</v>
      </c>
      <c r="AQ566" s="2" t="s">
        <v>74</v>
      </c>
      <c r="AR566" s="2" t="s">
        <v>74</v>
      </c>
      <c r="AS566" s="2" t="s">
        <v>74</v>
      </c>
      <c r="AT566" s="2" t="s">
        <v>123</v>
      </c>
      <c r="AU566" s="2">
        <v>2015</v>
      </c>
      <c r="AV566" s="2">
        <v>101</v>
      </c>
      <c r="AW566" s="2" t="s">
        <v>74</v>
      </c>
      <c r="AX566" s="2" t="s">
        <v>74</v>
      </c>
      <c r="AY566" s="2" t="s">
        <v>74</v>
      </c>
      <c r="AZ566" s="2" t="s">
        <v>74</v>
      </c>
      <c r="BA566" s="2" t="s">
        <v>74</v>
      </c>
      <c r="BB566" s="2">
        <v>11</v>
      </c>
      <c r="BC566" s="2">
        <v>18</v>
      </c>
      <c r="BD566" s="2" t="s">
        <v>74</v>
      </c>
      <c r="BE566" s="2" t="s">
        <v>2599</v>
      </c>
      <c r="BF566" s="2" t="str">
        <f>HYPERLINK("http://dx.doi.org/10.1016/j.anbehav.2014.12.016","http://dx.doi.org/10.1016/j.anbehav.2014.12.016")</f>
        <v>http://dx.doi.org/10.1016/j.anbehav.2014.12.016</v>
      </c>
      <c r="BG566" s="2" t="s">
        <v>74</v>
      </c>
      <c r="BH566" s="2" t="s">
        <v>74</v>
      </c>
      <c r="BI566" s="2" t="s">
        <v>74</v>
      </c>
      <c r="BJ566" s="2" t="s">
        <v>74</v>
      </c>
      <c r="BK566" s="2" t="s">
        <v>74</v>
      </c>
      <c r="BL566" s="2" t="s">
        <v>74</v>
      </c>
      <c r="BM566" s="2" t="s">
        <v>74</v>
      </c>
      <c r="BN566" s="2" t="s">
        <v>74</v>
      </c>
      <c r="BO566" s="2" t="s">
        <v>74</v>
      </c>
      <c r="BP566" s="2" t="s">
        <v>74</v>
      </c>
      <c r="BQ566" s="2" t="s">
        <v>74</v>
      </c>
      <c r="BR566" s="2" t="s">
        <v>74</v>
      </c>
      <c r="BS566" s="2" t="s">
        <v>2600</v>
      </c>
      <c r="BT566" s="2" t="str">
        <f>HYPERLINK("https%3A%2F%2Fwww.webofscience.com%2Fwos%2Fwoscc%2Ffull-record%2FWOS:000351020200004","View Full Record in Web of Science")</f>
        <v>View Full Record in Web of Science</v>
      </c>
    </row>
    <row r="567" spans="1:72" s="2" customFormat="1" x14ac:dyDescent="0.4">
      <c r="A567" s="2" t="s">
        <v>72</v>
      </c>
      <c r="B567" s="2" t="s">
        <v>6144</v>
      </c>
      <c r="C567" s="2" t="s">
        <v>74</v>
      </c>
      <c r="D567" s="2" t="s">
        <v>74</v>
      </c>
      <c r="E567" s="2" t="s">
        <v>74</v>
      </c>
      <c r="F567" s="2" t="s">
        <v>6145</v>
      </c>
      <c r="G567" s="2" t="s">
        <v>74</v>
      </c>
      <c r="H567" s="2" t="s">
        <v>74</v>
      </c>
      <c r="I567" s="2" t="s">
        <v>6146</v>
      </c>
      <c r="J567" s="2" t="s">
        <v>99</v>
      </c>
      <c r="K567" s="2" t="s">
        <v>74</v>
      </c>
      <c r="L567" s="2" t="s">
        <v>74</v>
      </c>
      <c r="M567" s="2" t="s">
        <v>74</v>
      </c>
      <c r="N567" s="2" t="s">
        <v>74</v>
      </c>
      <c r="O567" s="2" t="s">
        <v>74</v>
      </c>
      <c r="P567" s="2" t="s">
        <v>74</v>
      </c>
      <c r="Q567" s="2" t="s">
        <v>74</v>
      </c>
      <c r="R567" s="2" t="s">
        <v>74</v>
      </c>
      <c r="S567" s="2" t="s">
        <v>74</v>
      </c>
      <c r="T567" s="2" t="s">
        <v>74</v>
      </c>
      <c r="U567" s="2" t="s">
        <v>74</v>
      </c>
      <c r="V567" s="5" t="s">
        <v>6147</v>
      </c>
      <c r="W567" s="2" t="s">
        <v>74</v>
      </c>
      <c r="X567" s="2" t="s">
        <v>74</v>
      </c>
      <c r="Y567" s="2" t="s">
        <v>74</v>
      </c>
      <c r="Z567" s="2" t="s">
        <v>74</v>
      </c>
      <c r="AA567" s="2" t="s">
        <v>74</v>
      </c>
      <c r="AB567" s="2" t="s">
        <v>74</v>
      </c>
      <c r="AC567" s="2" t="s">
        <v>74</v>
      </c>
      <c r="AD567" s="2" t="s">
        <v>74</v>
      </c>
      <c r="AE567" s="2" t="s">
        <v>74</v>
      </c>
      <c r="AF567" s="2" t="s">
        <v>74</v>
      </c>
      <c r="AG567" s="2" t="s">
        <v>74</v>
      </c>
      <c r="AH567" s="2" t="s">
        <v>74</v>
      </c>
      <c r="AI567" s="2" t="s">
        <v>74</v>
      </c>
      <c r="AJ567" s="2" t="s">
        <v>74</v>
      </c>
      <c r="AK567" s="2" t="s">
        <v>74</v>
      </c>
      <c r="AL567" s="2" t="s">
        <v>74</v>
      </c>
      <c r="AM567" s="2" t="s">
        <v>74</v>
      </c>
      <c r="AN567" s="2" t="s">
        <v>74</v>
      </c>
      <c r="AO567" s="2" t="s">
        <v>101</v>
      </c>
      <c r="AP567" s="2" t="s">
        <v>1218</v>
      </c>
      <c r="AQ567" s="2" t="s">
        <v>74</v>
      </c>
      <c r="AR567" s="2" t="s">
        <v>74</v>
      </c>
      <c r="AS567" s="2" t="s">
        <v>74</v>
      </c>
      <c r="AT567" s="2" t="s">
        <v>123</v>
      </c>
      <c r="AU567" s="2">
        <v>2007</v>
      </c>
      <c r="AV567" s="2">
        <v>119</v>
      </c>
      <c r="AW567" s="2">
        <v>1</v>
      </c>
      <c r="AX567" s="2" t="s">
        <v>74</v>
      </c>
      <c r="AY567" s="2" t="s">
        <v>74</v>
      </c>
      <c r="AZ567" s="2" t="s">
        <v>74</v>
      </c>
      <c r="BA567" s="2" t="s">
        <v>74</v>
      </c>
      <c r="BB567" s="2">
        <v>89</v>
      </c>
      <c r="BC567" s="2">
        <v>94</v>
      </c>
      <c r="BD567" s="2" t="s">
        <v>74</v>
      </c>
      <c r="BE567" s="2" t="s">
        <v>6148</v>
      </c>
      <c r="BF567" s="2" t="str">
        <f>HYPERLINK("http://dx.doi.org/10.1676/05-158.1","http://dx.doi.org/10.1676/05-158.1")</f>
        <v>http://dx.doi.org/10.1676/05-158.1</v>
      </c>
      <c r="BG567" s="2" t="s">
        <v>74</v>
      </c>
      <c r="BH567" s="2" t="s">
        <v>74</v>
      </c>
      <c r="BI567" s="2" t="s">
        <v>74</v>
      </c>
      <c r="BJ567" s="2" t="s">
        <v>74</v>
      </c>
      <c r="BK567" s="2" t="s">
        <v>74</v>
      </c>
      <c r="BL567" s="2" t="s">
        <v>74</v>
      </c>
      <c r="BM567" s="2" t="s">
        <v>74</v>
      </c>
      <c r="BN567" s="2" t="s">
        <v>74</v>
      </c>
      <c r="BO567" s="2" t="s">
        <v>74</v>
      </c>
      <c r="BP567" s="2" t="s">
        <v>74</v>
      </c>
      <c r="BQ567" s="2" t="s">
        <v>74</v>
      </c>
      <c r="BR567" s="2" t="s">
        <v>74</v>
      </c>
      <c r="BS567" s="2" t="s">
        <v>6149</v>
      </c>
      <c r="BT567" s="2" t="str">
        <f>HYPERLINK("https%3A%2F%2Fwww.webofscience.com%2Fwos%2Fwoscc%2Ffull-record%2FWOS:000245113700010","View Full Record in Web of Science")</f>
        <v>View Full Record in Web of Science</v>
      </c>
    </row>
    <row r="568" spans="1:72" s="2" customFormat="1" x14ac:dyDescent="0.4">
      <c r="A568" s="2" t="s">
        <v>72</v>
      </c>
      <c r="B568" s="2" t="s">
        <v>4825</v>
      </c>
      <c r="C568" s="2" t="s">
        <v>74</v>
      </c>
      <c r="D568" s="2" t="s">
        <v>74</v>
      </c>
      <c r="E568" s="2" t="s">
        <v>74</v>
      </c>
      <c r="F568" s="2" t="s">
        <v>4825</v>
      </c>
      <c r="G568" s="2" t="s">
        <v>74</v>
      </c>
      <c r="H568" s="2" t="s">
        <v>74</v>
      </c>
      <c r="I568" s="2" t="s">
        <v>4826</v>
      </c>
      <c r="J568" s="2" t="s">
        <v>1126</v>
      </c>
      <c r="K568" s="2" t="s">
        <v>74</v>
      </c>
      <c r="L568" s="2" t="s">
        <v>74</v>
      </c>
      <c r="M568" s="2" t="s">
        <v>74</v>
      </c>
      <c r="N568" s="2" t="s">
        <v>74</v>
      </c>
      <c r="O568" s="2" t="s">
        <v>74</v>
      </c>
      <c r="P568" s="2" t="s">
        <v>74</v>
      </c>
      <c r="Q568" s="2" t="s">
        <v>74</v>
      </c>
      <c r="R568" s="2" t="s">
        <v>74</v>
      </c>
      <c r="S568" s="2" t="s">
        <v>74</v>
      </c>
      <c r="T568" s="2" t="s">
        <v>74</v>
      </c>
      <c r="U568" s="2" t="s">
        <v>74</v>
      </c>
      <c r="V568" s="5" t="s">
        <v>4827</v>
      </c>
      <c r="W568" s="2" t="s">
        <v>74</v>
      </c>
      <c r="X568" s="2" t="s">
        <v>74</v>
      </c>
      <c r="Y568" s="2" t="s">
        <v>74</v>
      </c>
      <c r="Z568" s="2" t="s">
        <v>74</v>
      </c>
      <c r="AA568" s="2" t="s">
        <v>4828</v>
      </c>
      <c r="AB568" s="2" t="s">
        <v>4829</v>
      </c>
      <c r="AC568" s="2" t="s">
        <v>74</v>
      </c>
      <c r="AD568" s="2" t="s">
        <v>74</v>
      </c>
      <c r="AE568" s="2" t="s">
        <v>74</v>
      </c>
      <c r="AF568" s="2" t="s">
        <v>74</v>
      </c>
      <c r="AG568" s="2" t="s">
        <v>74</v>
      </c>
      <c r="AH568" s="2" t="s">
        <v>74</v>
      </c>
      <c r="AI568" s="2" t="s">
        <v>74</v>
      </c>
      <c r="AJ568" s="2" t="s">
        <v>74</v>
      </c>
      <c r="AK568" s="2" t="s">
        <v>74</v>
      </c>
      <c r="AL568" s="2" t="s">
        <v>74</v>
      </c>
      <c r="AM568" s="2" t="s">
        <v>74</v>
      </c>
      <c r="AN568" s="2" t="s">
        <v>74</v>
      </c>
      <c r="AO568" s="2" t="s">
        <v>1128</v>
      </c>
      <c r="AP568" s="2" t="s">
        <v>1129</v>
      </c>
      <c r="AQ568" s="2" t="s">
        <v>74</v>
      </c>
      <c r="AR568" s="2" t="s">
        <v>74</v>
      </c>
      <c r="AS568" s="2" t="s">
        <v>74</v>
      </c>
      <c r="AT568" s="2" t="s">
        <v>4830</v>
      </c>
      <c r="AU568" s="2">
        <v>2003</v>
      </c>
      <c r="AV568" s="2" t="s">
        <v>74</v>
      </c>
      <c r="AW568" s="2">
        <v>1</v>
      </c>
      <c r="AX568" s="2" t="s">
        <v>74</v>
      </c>
      <c r="AY568" s="2" t="s">
        <v>74</v>
      </c>
      <c r="AZ568" s="2" t="s">
        <v>74</v>
      </c>
      <c r="BA568" s="2" t="s">
        <v>74</v>
      </c>
      <c r="BB568" s="2">
        <v>181</v>
      </c>
      <c r="BC568" s="2">
        <v>186</v>
      </c>
      <c r="BD568" s="2" t="s">
        <v>74</v>
      </c>
      <c r="BE568" s="2" t="s">
        <v>4831</v>
      </c>
      <c r="BF568" s="2" t="str">
        <f>HYPERLINK("http://dx.doi.org/10.1643/0045-8511(2003)003[0181:EOFMCC]2.0.CO;2","http://dx.doi.org/10.1643/0045-8511(2003)003[0181:EOFMCC]2.0.CO;2")</f>
        <v>http://dx.doi.org/10.1643/0045-8511(2003)003[0181:EOFMCC]2.0.CO;2</v>
      </c>
      <c r="BG568" s="2" t="s">
        <v>74</v>
      </c>
      <c r="BH568" s="2" t="s">
        <v>74</v>
      </c>
      <c r="BI568" s="2" t="s">
        <v>74</v>
      </c>
      <c r="BJ568" s="2" t="s">
        <v>74</v>
      </c>
      <c r="BK568" s="2" t="s">
        <v>74</v>
      </c>
      <c r="BL568" s="2" t="s">
        <v>74</v>
      </c>
      <c r="BM568" s="2" t="s">
        <v>74</v>
      </c>
      <c r="BN568" s="2" t="s">
        <v>74</v>
      </c>
      <c r="BO568" s="2" t="s">
        <v>74</v>
      </c>
      <c r="BP568" s="2" t="s">
        <v>74</v>
      </c>
      <c r="BQ568" s="2" t="s">
        <v>74</v>
      </c>
      <c r="BR568" s="2" t="s">
        <v>74</v>
      </c>
      <c r="BS568" s="2" t="s">
        <v>4832</v>
      </c>
      <c r="BT568" s="2" t="str">
        <f>HYPERLINK("https%3A%2F%2Fwww.webofscience.com%2Fwos%2Fwoscc%2Ffull-record%2FWOS:000181477800020","View Full Record in Web of Science")</f>
        <v>View Full Record in Web of Science</v>
      </c>
    </row>
    <row r="569" spans="1:72" s="2" customFormat="1" x14ac:dyDescent="0.4">
      <c r="A569" s="2" t="s">
        <v>72</v>
      </c>
      <c r="B569" s="2" t="s">
        <v>8598</v>
      </c>
      <c r="C569" s="2" t="s">
        <v>74</v>
      </c>
      <c r="D569" s="2" t="s">
        <v>74</v>
      </c>
      <c r="E569" s="2" t="s">
        <v>74</v>
      </c>
      <c r="F569" s="2" t="s">
        <v>8599</v>
      </c>
      <c r="G569" s="2" t="s">
        <v>74</v>
      </c>
      <c r="H569" s="2" t="s">
        <v>74</v>
      </c>
      <c r="I569" s="2" t="s">
        <v>8600</v>
      </c>
      <c r="J569" s="2" t="s">
        <v>3100</v>
      </c>
      <c r="K569" s="2" t="s">
        <v>74</v>
      </c>
      <c r="L569" s="2" t="s">
        <v>74</v>
      </c>
      <c r="M569" s="2" t="s">
        <v>74</v>
      </c>
      <c r="N569" s="2" t="s">
        <v>74</v>
      </c>
      <c r="O569" s="2" t="s">
        <v>74</v>
      </c>
      <c r="P569" s="2" t="s">
        <v>74</v>
      </c>
      <c r="Q569" s="2" t="s">
        <v>74</v>
      </c>
      <c r="R569" s="2" t="s">
        <v>74</v>
      </c>
      <c r="S569" s="2" t="s">
        <v>74</v>
      </c>
      <c r="T569" s="2" t="s">
        <v>74</v>
      </c>
      <c r="U569" s="2" t="s">
        <v>74</v>
      </c>
      <c r="V569" s="5" t="s">
        <v>8601</v>
      </c>
      <c r="W569" s="2" t="s">
        <v>74</v>
      </c>
      <c r="X569" s="2" t="s">
        <v>74</v>
      </c>
      <c r="Y569" s="2" t="s">
        <v>74</v>
      </c>
      <c r="Z569" s="2" t="s">
        <v>74</v>
      </c>
      <c r="AA569" s="2" t="s">
        <v>8602</v>
      </c>
      <c r="AB569" s="2" t="s">
        <v>8603</v>
      </c>
      <c r="AC569" s="2" t="s">
        <v>74</v>
      </c>
      <c r="AD569" s="2" t="s">
        <v>74</v>
      </c>
      <c r="AE569" s="2" t="s">
        <v>74</v>
      </c>
      <c r="AF569" s="2" t="s">
        <v>74</v>
      </c>
      <c r="AG569" s="2" t="s">
        <v>74</v>
      </c>
      <c r="AH569" s="2" t="s">
        <v>74</v>
      </c>
      <c r="AI569" s="2" t="s">
        <v>74</v>
      </c>
      <c r="AJ569" s="2" t="s">
        <v>74</v>
      </c>
      <c r="AK569" s="2" t="s">
        <v>74</v>
      </c>
      <c r="AL569" s="2" t="s">
        <v>74</v>
      </c>
      <c r="AM569" s="2" t="s">
        <v>74</v>
      </c>
      <c r="AN569" s="2" t="s">
        <v>74</v>
      </c>
      <c r="AO569" s="2" t="s">
        <v>74</v>
      </c>
      <c r="AP569" s="2" t="s">
        <v>3104</v>
      </c>
      <c r="AQ569" s="2" t="s">
        <v>74</v>
      </c>
      <c r="AR569" s="2" t="s">
        <v>74</v>
      </c>
      <c r="AS569" s="2" t="s">
        <v>74</v>
      </c>
      <c r="AT569" s="2" t="s">
        <v>1247</v>
      </c>
      <c r="AU569" s="2">
        <v>2023</v>
      </c>
      <c r="AV569" s="2">
        <v>10</v>
      </c>
      <c r="AW569" s="2" t="s">
        <v>74</v>
      </c>
      <c r="AX569" s="2" t="s">
        <v>74</v>
      </c>
      <c r="AY569" s="2" t="s">
        <v>74</v>
      </c>
      <c r="AZ569" s="2" t="s">
        <v>74</v>
      </c>
      <c r="BA569" s="2" t="s">
        <v>74</v>
      </c>
      <c r="BB569" s="2" t="s">
        <v>74</v>
      </c>
      <c r="BC569" s="2" t="s">
        <v>74</v>
      </c>
      <c r="BD569" s="2">
        <v>1166632</v>
      </c>
      <c r="BE569" s="2" t="s">
        <v>8604</v>
      </c>
      <c r="BF569" s="2" t="str">
        <f>HYPERLINK("http://dx.doi.org/10.3389/fvets.2023.1166632","http://dx.doi.org/10.3389/fvets.2023.1166632")</f>
        <v>http://dx.doi.org/10.3389/fvets.2023.1166632</v>
      </c>
      <c r="BG569" s="2" t="s">
        <v>74</v>
      </c>
      <c r="BH569" s="2" t="s">
        <v>74</v>
      </c>
      <c r="BI569" s="2" t="s">
        <v>74</v>
      </c>
      <c r="BJ569" s="2" t="s">
        <v>74</v>
      </c>
      <c r="BK569" s="2" t="s">
        <v>74</v>
      </c>
      <c r="BL569" s="2" t="s">
        <v>74</v>
      </c>
      <c r="BM569" s="2" t="s">
        <v>74</v>
      </c>
      <c r="BN569" s="2">
        <v>37323835</v>
      </c>
      <c r="BO569" s="2" t="s">
        <v>74</v>
      </c>
      <c r="BP569" s="2" t="s">
        <v>74</v>
      </c>
      <c r="BQ569" s="2" t="s">
        <v>74</v>
      </c>
      <c r="BR569" s="2" t="s">
        <v>74</v>
      </c>
      <c r="BS569" s="2" t="s">
        <v>8605</v>
      </c>
      <c r="BT569" s="2" t="str">
        <f>HYPERLINK("https%3A%2F%2Fwww.webofscience.com%2Fwos%2Fwoscc%2Ffull-record%2FWOS:001007647700001","View Full Record in Web of Science")</f>
        <v>View Full Record in Web of Science</v>
      </c>
    </row>
    <row r="570" spans="1:72" s="2" customFormat="1" x14ac:dyDescent="0.4">
      <c r="A570" s="2" t="s">
        <v>72</v>
      </c>
      <c r="B570" s="2" t="s">
        <v>5646</v>
      </c>
      <c r="C570" s="2" t="s">
        <v>74</v>
      </c>
      <c r="D570" s="2" t="s">
        <v>74</v>
      </c>
      <c r="E570" s="2" t="s">
        <v>74</v>
      </c>
      <c r="F570" s="2" t="s">
        <v>5646</v>
      </c>
      <c r="G570" s="2" t="s">
        <v>74</v>
      </c>
      <c r="H570" s="2" t="s">
        <v>74</v>
      </c>
      <c r="I570" s="2" t="s">
        <v>5647</v>
      </c>
      <c r="J570" s="2" t="s">
        <v>731</v>
      </c>
      <c r="K570" s="2" t="s">
        <v>74</v>
      </c>
      <c r="L570" s="2" t="s">
        <v>74</v>
      </c>
      <c r="M570" s="2" t="s">
        <v>74</v>
      </c>
      <c r="N570" s="2" t="s">
        <v>74</v>
      </c>
      <c r="O570" s="2" t="s">
        <v>74</v>
      </c>
      <c r="P570" s="2" t="s">
        <v>74</v>
      </c>
      <c r="Q570" s="2" t="s">
        <v>74</v>
      </c>
      <c r="R570" s="2" t="s">
        <v>74</v>
      </c>
      <c r="S570" s="2" t="s">
        <v>74</v>
      </c>
      <c r="T570" s="2" t="s">
        <v>74</v>
      </c>
      <c r="U570" s="2" t="s">
        <v>74</v>
      </c>
      <c r="V570" s="5" t="s">
        <v>5648</v>
      </c>
      <c r="W570" s="2" t="s">
        <v>74</v>
      </c>
      <c r="X570" s="2" t="s">
        <v>74</v>
      </c>
      <c r="Y570" s="2" t="s">
        <v>74</v>
      </c>
      <c r="Z570" s="2" t="s">
        <v>74</v>
      </c>
      <c r="AA570" s="2" t="s">
        <v>74</v>
      </c>
      <c r="AB570" s="2" t="s">
        <v>5649</v>
      </c>
      <c r="AC570" s="2" t="s">
        <v>74</v>
      </c>
      <c r="AD570" s="2" t="s">
        <v>74</v>
      </c>
      <c r="AE570" s="2" t="s">
        <v>74</v>
      </c>
      <c r="AF570" s="2" t="s">
        <v>74</v>
      </c>
      <c r="AG570" s="2" t="s">
        <v>74</v>
      </c>
      <c r="AH570" s="2" t="s">
        <v>74</v>
      </c>
      <c r="AI570" s="2" t="s">
        <v>74</v>
      </c>
      <c r="AJ570" s="2" t="s">
        <v>74</v>
      </c>
      <c r="AK570" s="2" t="s">
        <v>74</v>
      </c>
      <c r="AL570" s="2" t="s">
        <v>74</v>
      </c>
      <c r="AM570" s="2" t="s">
        <v>74</v>
      </c>
      <c r="AN570" s="2" t="s">
        <v>74</v>
      </c>
      <c r="AO570" s="2" t="s">
        <v>733</v>
      </c>
      <c r="AP570" s="2" t="s">
        <v>734</v>
      </c>
      <c r="AQ570" s="2" t="s">
        <v>74</v>
      </c>
      <c r="AR570" s="2" t="s">
        <v>74</v>
      </c>
      <c r="AS570" s="2" t="s">
        <v>74</v>
      </c>
      <c r="AT570" s="2" t="s">
        <v>2022</v>
      </c>
      <c r="AU570" s="2">
        <v>2005</v>
      </c>
      <c r="AV570" s="2">
        <v>159</v>
      </c>
      <c r="AW570" s="2">
        <v>1</v>
      </c>
      <c r="AX570" s="2" t="s">
        <v>74</v>
      </c>
      <c r="AY570" s="2" t="s">
        <v>74</v>
      </c>
      <c r="AZ570" s="2" t="s">
        <v>74</v>
      </c>
      <c r="BA570" s="2" t="s">
        <v>74</v>
      </c>
      <c r="BB570" s="2">
        <v>37</v>
      </c>
      <c r="BC570" s="2">
        <v>41</v>
      </c>
      <c r="BD570" s="2" t="s">
        <v>74</v>
      </c>
      <c r="BE570" s="2" t="s">
        <v>5650</v>
      </c>
      <c r="BF570" s="2" t="str">
        <f>HYPERLINK("http://dx.doi.org/10.1016/j.bbr.2004.09.024","http://dx.doi.org/10.1016/j.bbr.2004.09.024")</f>
        <v>http://dx.doi.org/10.1016/j.bbr.2004.09.024</v>
      </c>
      <c r="BG570" s="2" t="s">
        <v>74</v>
      </c>
      <c r="BH570" s="2" t="s">
        <v>74</v>
      </c>
      <c r="BI570" s="2" t="s">
        <v>74</v>
      </c>
      <c r="BJ570" s="2" t="s">
        <v>74</v>
      </c>
      <c r="BK570" s="2" t="s">
        <v>74</v>
      </c>
      <c r="BL570" s="2" t="s">
        <v>74</v>
      </c>
      <c r="BM570" s="2" t="s">
        <v>74</v>
      </c>
      <c r="BN570" s="2">
        <v>15794995</v>
      </c>
      <c r="BO570" s="2" t="s">
        <v>74</v>
      </c>
      <c r="BP570" s="2" t="s">
        <v>74</v>
      </c>
      <c r="BQ570" s="2" t="s">
        <v>74</v>
      </c>
      <c r="BR570" s="2" t="s">
        <v>74</v>
      </c>
      <c r="BS570" s="2" t="s">
        <v>5651</v>
      </c>
      <c r="BT570" s="2" t="str">
        <f>HYPERLINK("https%3A%2F%2Fwww.webofscience.com%2Fwos%2Fwoscc%2Ffull-record%2FWOS:000228509700005","View Full Record in Web of Science")</f>
        <v>View Full Record in Web of Science</v>
      </c>
    </row>
    <row r="571" spans="1:72" s="2" customFormat="1" x14ac:dyDescent="0.4">
      <c r="A571" s="2" t="s">
        <v>72</v>
      </c>
      <c r="B571" s="2" t="s">
        <v>5141</v>
      </c>
      <c r="C571" s="2" t="s">
        <v>74</v>
      </c>
      <c r="D571" s="2" t="s">
        <v>74</v>
      </c>
      <c r="E571" s="2" t="s">
        <v>74</v>
      </c>
      <c r="F571" s="2" t="s">
        <v>5142</v>
      </c>
      <c r="G571" s="2" t="s">
        <v>74</v>
      </c>
      <c r="H571" s="2" t="s">
        <v>74</v>
      </c>
      <c r="I571" s="2" t="s">
        <v>5143</v>
      </c>
      <c r="J571" s="2" t="s">
        <v>5144</v>
      </c>
      <c r="K571" s="2" t="s">
        <v>74</v>
      </c>
      <c r="L571" s="2" t="s">
        <v>74</v>
      </c>
      <c r="M571" s="2" t="s">
        <v>74</v>
      </c>
      <c r="N571" s="2" t="s">
        <v>74</v>
      </c>
      <c r="O571" s="2" t="s">
        <v>74</v>
      </c>
      <c r="P571" s="2" t="s">
        <v>74</v>
      </c>
      <c r="Q571" s="2" t="s">
        <v>74</v>
      </c>
      <c r="R571" s="2" t="s">
        <v>74</v>
      </c>
      <c r="S571" s="2" t="s">
        <v>74</v>
      </c>
      <c r="T571" s="2" t="s">
        <v>74</v>
      </c>
      <c r="U571" s="2" t="s">
        <v>74</v>
      </c>
      <c r="V571" s="5" t="s">
        <v>5145</v>
      </c>
      <c r="W571" s="2" t="s">
        <v>74</v>
      </c>
      <c r="X571" s="2" t="s">
        <v>74</v>
      </c>
      <c r="Y571" s="2" t="s">
        <v>74</v>
      </c>
      <c r="Z571" s="2" t="s">
        <v>74</v>
      </c>
      <c r="AA571" s="2" t="s">
        <v>74</v>
      </c>
      <c r="AB571" s="2" t="s">
        <v>5146</v>
      </c>
      <c r="AC571" s="2" t="s">
        <v>74</v>
      </c>
      <c r="AD571" s="2" t="s">
        <v>74</v>
      </c>
      <c r="AE571" s="2" t="s">
        <v>74</v>
      </c>
      <c r="AF571" s="2" t="s">
        <v>74</v>
      </c>
      <c r="AG571" s="2" t="s">
        <v>74</v>
      </c>
      <c r="AH571" s="2" t="s">
        <v>74</v>
      </c>
      <c r="AI571" s="2" t="s">
        <v>74</v>
      </c>
      <c r="AJ571" s="2" t="s">
        <v>74</v>
      </c>
      <c r="AK571" s="2" t="s">
        <v>74</v>
      </c>
      <c r="AL571" s="2" t="s">
        <v>74</v>
      </c>
      <c r="AM571" s="2" t="s">
        <v>74</v>
      </c>
      <c r="AN571" s="2" t="s">
        <v>74</v>
      </c>
      <c r="AO571" s="2" t="s">
        <v>74</v>
      </c>
      <c r="AP571" s="2" t="s">
        <v>5147</v>
      </c>
      <c r="AQ571" s="2" t="s">
        <v>74</v>
      </c>
      <c r="AR571" s="2" t="s">
        <v>74</v>
      </c>
      <c r="AS571" s="2" t="s">
        <v>74</v>
      </c>
      <c r="AT571" s="2" t="s">
        <v>74</v>
      </c>
      <c r="AU571" s="2">
        <v>2020</v>
      </c>
      <c r="AV571" s="2">
        <v>2</v>
      </c>
      <c r="AW571" s="2">
        <v>1</v>
      </c>
      <c r="AX571" s="2" t="s">
        <v>74</v>
      </c>
      <c r="AY571" s="2" t="s">
        <v>74</v>
      </c>
      <c r="AZ571" s="2" t="s">
        <v>74</v>
      </c>
      <c r="BA571" s="2" t="s">
        <v>74</v>
      </c>
      <c r="BB571" s="2" t="s">
        <v>74</v>
      </c>
      <c r="BC571" s="2" t="s">
        <v>74</v>
      </c>
      <c r="BD571" s="2" t="s">
        <v>5148</v>
      </c>
      <c r="BE571" s="2" t="s">
        <v>5149</v>
      </c>
      <c r="BF571" s="2" t="str">
        <f>HYPERLINK("http://dx.doi.org/10.1093/iob/obaa027","http://dx.doi.org/10.1093/iob/obaa027")</f>
        <v>http://dx.doi.org/10.1093/iob/obaa027</v>
      </c>
      <c r="BG571" s="2" t="s">
        <v>74</v>
      </c>
      <c r="BH571" s="2" t="s">
        <v>74</v>
      </c>
      <c r="BI571" s="2" t="s">
        <v>74</v>
      </c>
      <c r="BJ571" s="2" t="s">
        <v>74</v>
      </c>
      <c r="BK571" s="2" t="s">
        <v>74</v>
      </c>
      <c r="BL571" s="2" t="s">
        <v>74</v>
      </c>
      <c r="BM571" s="2" t="s">
        <v>74</v>
      </c>
      <c r="BN571" s="2">
        <v>33791567</v>
      </c>
      <c r="BO571" s="2" t="s">
        <v>74</v>
      </c>
      <c r="BP571" s="2" t="s">
        <v>74</v>
      </c>
      <c r="BQ571" s="2" t="s">
        <v>74</v>
      </c>
      <c r="BR571" s="2" t="s">
        <v>74</v>
      </c>
      <c r="BS571" s="2" t="s">
        <v>5150</v>
      </c>
      <c r="BT571" s="2" t="str">
        <f>HYPERLINK("https%3A%2F%2Fwww.webofscience.com%2Fwos%2Fwoscc%2Ffull-record%2FWOS:000613108900027","View Full Record in Web of Science")</f>
        <v>View Full Record in Web of Science</v>
      </c>
    </row>
    <row r="572" spans="1:72" s="2" customFormat="1" x14ac:dyDescent="0.4">
      <c r="A572" s="2" t="s">
        <v>72</v>
      </c>
      <c r="B572" s="2" t="s">
        <v>5389</v>
      </c>
      <c r="C572" s="2" t="s">
        <v>74</v>
      </c>
      <c r="D572" s="2" t="s">
        <v>74</v>
      </c>
      <c r="E572" s="2" t="s">
        <v>74</v>
      </c>
      <c r="F572" s="2" t="s">
        <v>5390</v>
      </c>
      <c r="G572" s="2" t="s">
        <v>74</v>
      </c>
      <c r="H572" s="2" t="s">
        <v>74</v>
      </c>
      <c r="I572" s="2" t="s">
        <v>5391</v>
      </c>
      <c r="J572" s="2" t="s">
        <v>140</v>
      </c>
      <c r="K572" s="2" t="s">
        <v>74</v>
      </c>
      <c r="L572" s="2" t="s">
        <v>74</v>
      </c>
      <c r="M572" s="2" t="s">
        <v>74</v>
      </c>
      <c r="N572" s="2" t="s">
        <v>74</v>
      </c>
      <c r="O572" s="2" t="s">
        <v>74</v>
      </c>
      <c r="P572" s="2" t="s">
        <v>74</v>
      </c>
      <c r="Q572" s="2" t="s">
        <v>74</v>
      </c>
      <c r="R572" s="2" t="s">
        <v>74</v>
      </c>
      <c r="S572" s="2" t="s">
        <v>74</v>
      </c>
      <c r="T572" s="2" t="s">
        <v>74</v>
      </c>
      <c r="U572" s="2" t="s">
        <v>74</v>
      </c>
      <c r="V572" s="5" t="s">
        <v>5392</v>
      </c>
      <c r="W572" s="2" t="s">
        <v>74</v>
      </c>
      <c r="X572" s="2" t="s">
        <v>74</v>
      </c>
      <c r="Y572" s="2" t="s">
        <v>74</v>
      </c>
      <c r="Z572" s="2" t="s">
        <v>74</v>
      </c>
      <c r="AA572" s="2" t="s">
        <v>74</v>
      </c>
      <c r="AB572" s="2" t="s">
        <v>5146</v>
      </c>
      <c r="AC572" s="2" t="s">
        <v>74</v>
      </c>
      <c r="AD572" s="2" t="s">
        <v>74</v>
      </c>
      <c r="AE572" s="2" t="s">
        <v>74</v>
      </c>
      <c r="AF572" s="2" t="s">
        <v>74</v>
      </c>
      <c r="AG572" s="2" t="s">
        <v>74</v>
      </c>
      <c r="AH572" s="2" t="s">
        <v>74</v>
      </c>
      <c r="AI572" s="2" t="s">
        <v>74</v>
      </c>
      <c r="AJ572" s="2" t="s">
        <v>74</v>
      </c>
      <c r="AK572" s="2" t="s">
        <v>74</v>
      </c>
      <c r="AL572" s="2" t="s">
        <v>74</v>
      </c>
      <c r="AM572" s="2" t="s">
        <v>74</v>
      </c>
      <c r="AN572" s="2" t="s">
        <v>74</v>
      </c>
      <c r="AO572" s="2" t="s">
        <v>143</v>
      </c>
      <c r="AP572" s="2" t="s">
        <v>144</v>
      </c>
      <c r="AQ572" s="2" t="s">
        <v>74</v>
      </c>
      <c r="AR572" s="2" t="s">
        <v>74</v>
      </c>
      <c r="AS572" s="2" t="s">
        <v>74</v>
      </c>
      <c r="AT572" s="2" t="s">
        <v>255</v>
      </c>
      <c r="AU572" s="2">
        <v>2019</v>
      </c>
      <c r="AV572" s="2">
        <v>147</v>
      </c>
      <c r="AW572" s="2" t="s">
        <v>74</v>
      </c>
      <c r="AX572" s="2" t="s">
        <v>74</v>
      </c>
      <c r="AY572" s="2" t="s">
        <v>74</v>
      </c>
      <c r="AZ572" s="2" t="s">
        <v>74</v>
      </c>
      <c r="BA572" s="2" t="s">
        <v>74</v>
      </c>
      <c r="BB572" s="2">
        <v>115</v>
      </c>
      <c r="BC572" s="2">
        <v>123</v>
      </c>
      <c r="BD572" s="2" t="s">
        <v>74</v>
      </c>
      <c r="BE572" s="2" t="s">
        <v>5393</v>
      </c>
      <c r="BF572" s="2" t="str">
        <f>HYPERLINK("http://dx.doi.org/10.1016/j.anbehav.2018.11.011","http://dx.doi.org/10.1016/j.anbehav.2018.11.011")</f>
        <v>http://dx.doi.org/10.1016/j.anbehav.2018.11.011</v>
      </c>
      <c r="BG572" s="2" t="s">
        <v>74</v>
      </c>
      <c r="BH572" s="2" t="s">
        <v>74</v>
      </c>
      <c r="BI572" s="2" t="s">
        <v>74</v>
      </c>
      <c r="BJ572" s="2" t="s">
        <v>74</v>
      </c>
      <c r="BK572" s="2" t="s">
        <v>74</v>
      </c>
      <c r="BL572" s="2" t="s">
        <v>74</v>
      </c>
      <c r="BM572" s="2" t="s">
        <v>74</v>
      </c>
      <c r="BN572" s="2" t="s">
        <v>74</v>
      </c>
      <c r="BO572" s="2" t="s">
        <v>74</v>
      </c>
      <c r="BP572" s="2" t="s">
        <v>74</v>
      </c>
      <c r="BQ572" s="2" t="s">
        <v>74</v>
      </c>
      <c r="BR572" s="2" t="s">
        <v>74</v>
      </c>
      <c r="BS572" s="2" t="s">
        <v>5394</v>
      </c>
      <c r="BT572" s="2" t="str">
        <f>HYPERLINK("https%3A%2F%2Fwww.webofscience.com%2Fwos%2Fwoscc%2Ffull-record%2FWOS:000455323900014","View Full Record in Web of Science")</f>
        <v>View Full Record in Web of Science</v>
      </c>
    </row>
    <row r="573" spans="1:72" s="2" customFormat="1" x14ac:dyDescent="0.4">
      <c r="A573" s="2" t="s">
        <v>72</v>
      </c>
      <c r="B573" s="2" t="s">
        <v>4617</v>
      </c>
      <c r="C573" s="2" t="s">
        <v>74</v>
      </c>
      <c r="D573" s="2" t="s">
        <v>74</v>
      </c>
      <c r="E573" s="2" t="s">
        <v>74</v>
      </c>
      <c r="F573" s="2" t="s">
        <v>4618</v>
      </c>
      <c r="G573" s="2" t="s">
        <v>74</v>
      </c>
      <c r="H573" s="2" t="s">
        <v>74</v>
      </c>
      <c r="I573" s="2" t="s">
        <v>4619</v>
      </c>
      <c r="J573" s="2" t="s">
        <v>4620</v>
      </c>
      <c r="K573" s="2" t="s">
        <v>74</v>
      </c>
      <c r="L573" s="2" t="s">
        <v>74</v>
      </c>
      <c r="M573" s="2" t="s">
        <v>74</v>
      </c>
      <c r="N573" s="2" t="s">
        <v>74</v>
      </c>
      <c r="O573" s="2" t="s">
        <v>74</v>
      </c>
      <c r="P573" s="2" t="s">
        <v>74</v>
      </c>
      <c r="Q573" s="2" t="s">
        <v>74</v>
      </c>
      <c r="R573" s="2" t="s">
        <v>74</v>
      </c>
      <c r="S573" s="2" t="s">
        <v>74</v>
      </c>
      <c r="T573" s="2" t="s">
        <v>74</v>
      </c>
      <c r="U573" s="2" t="s">
        <v>74</v>
      </c>
      <c r="V573" s="5" t="s">
        <v>4621</v>
      </c>
      <c r="W573" s="2" t="s">
        <v>74</v>
      </c>
      <c r="X573" s="2" t="s">
        <v>74</v>
      </c>
      <c r="Y573" s="2" t="s">
        <v>74</v>
      </c>
      <c r="Z573" s="2" t="s">
        <v>74</v>
      </c>
      <c r="AA573" s="2" t="s">
        <v>4622</v>
      </c>
      <c r="AB573" s="2" t="s">
        <v>74</v>
      </c>
      <c r="AC573" s="2" t="s">
        <v>74</v>
      </c>
      <c r="AD573" s="2" t="s">
        <v>74</v>
      </c>
      <c r="AE573" s="2" t="s">
        <v>74</v>
      </c>
      <c r="AF573" s="2" t="s">
        <v>74</v>
      </c>
      <c r="AG573" s="2" t="s">
        <v>74</v>
      </c>
      <c r="AH573" s="2" t="s">
        <v>74</v>
      </c>
      <c r="AI573" s="2" t="s">
        <v>74</v>
      </c>
      <c r="AJ573" s="2" t="s">
        <v>74</v>
      </c>
      <c r="AK573" s="2" t="s">
        <v>74</v>
      </c>
      <c r="AL573" s="2" t="s">
        <v>74</v>
      </c>
      <c r="AM573" s="2" t="s">
        <v>74</v>
      </c>
      <c r="AN573" s="2" t="s">
        <v>74</v>
      </c>
      <c r="AO573" s="2" t="s">
        <v>4623</v>
      </c>
      <c r="AP573" s="2" t="s">
        <v>74</v>
      </c>
      <c r="AQ573" s="2" t="s">
        <v>74</v>
      </c>
      <c r="AR573" s="2" t="s">
        <v>74</v>
      </c>
      <c r="AS573" s="2" t="s">
        <v>74</v>
      </c>
      <c r="AT573" s="2" t="s">
        <v>74</v>
      </c>
      <c r="AU573" s="2">
        <v>2009</v>
      </c>
      <c r="AV573" s="2">
        <v>48</v>
      </c>
      <c r="AW573" s="2">
        <v>3</v>
      </c>
      <c r="AX573" s="2" t="s">
        <v>74</v>
      </c>
      <c r="AY573" s="2" t="s">
        <v>74</v>
      </c>
      <c r="AZ573" s="2" t="s">
        <v>74</v>
      </c>
      <c r="BA573" s="2" t="s">
        <v>74</v>
      </c>
      <c r="BB573" s="2">
        <v>209</v>
      </c>
      <c r="BC573" s="2">
        <v>214</v>
      </c>
      <c r="BD573" s="2" t="s">
        <v>74</v>
      </c>
      <c r="BE573" s="2" t="s">
        <v>4624</v>
      </c>
      <c r="BF573" s="2" t="str">
        <f>HYPERLINK("http://dx.doi.org/10.3896/IBRA.1.48.3.10","http://dx.doi.org/10.3896/IBRA.1.48.3.10")</f>
        <v>http://dx.doi.org/10.3896/IBRA.1.48.3.10</v>
      </c>
      <c r="BG573" s="2" t="s">
        <v>74</v>
      </c>
      <c r="BH573" s="2" t="s">
        <v>74</v>
      </c>
      <c r="BI573" s="2" t="s">
        <v>74</v>
      </c>
      <c r="BJ573" s="2" t="s">
        <v>74</v>
      </c>
      <c r="BK573" s="2" t="s">
        <v>74</v>
      </c>
      <c r="BL573" s="2" t="s">
        <v>74</v>
      </c>
      <c r="BM573" s="2" t="s">
        <v>74</v>
      </c>
      <c r="BN573" s="2" t="s">
        <v>74</v>
      </c>
      <c r="BO573" s="2" t="s">
        <v>74</v>
      </c>
      <c r="BP573" s="2" t="s">
        <v>74</v>
      </c>
      <c r="BQ573" s="2" t="s">
        <v>74</v>
      </c>
      <c r="BR573" s="2" t="s">
        <v>74</v>
      </c>
      <c r="BS573" s="2" t="s">
        <v>4625</v>
      </c>
      <c r="BT573" s="2" t="str">
        <f>HYPERLINK("https%3A%2F%2Fwww.webofscience.com%2Fwos%2Fwoscc%2Ffull-record%2FWOS:000267851900010","View Full Record in Web of Science")</f>
        <v>View Full Record in Web of Science</v>
      </c>
    </row>
    <row r="574" spans="1:72" s="2" customFormat="1" x14ac:dyDescent="0.4">
      <c r="A574" s="2" t="s">
        <v>72</v>
      </c>
      <c r="B574" s="2" t="s">
        <v>1419</v>
      </c>
      <c r="C574" s="2" t="s">
        <v>74</v>
      </c>
      <c r="D574" s="2" t="s">
        <v>74</v>
      </c>
      <c r="E574" s="2" t="s">
        <v>74</v>
      </c>
      <c r="F574" s="2" t="s">
        <v>1420</v>
      </c>
      <c r="G574" s="2" t="s">
        <v>74</v>
      </c>
      <c r="H574" s="2" t="s">
        <v>74</v>
      </c>
      <c r="I574" s="2" t="s">
        <v>1421</v>
      </c>
      <c r="J574" s="2" t="s">
        <v>119</v>
      </c>
      <c r="K574" s="2" t="s">
        <v>74</v>
      </c>
      <c r="L574" s="2" t="s">
        <v>74</v>
      </c>
      <c r="M574" s="2" t="s">
        <v>74</v>
      </c>
      <c r="N574" s="2" t="s">
        <v>74</v>
      </c>
      <c r="O574" s="2" t="s">
        <v>74</v>
      </c>
      <c r="P574" s="2" t="s">
        <v>74</v>
      </c>
      <c r="Q574" s="2" t="s">
        <v>74</v>
      </c>
      <c r="R574" s="2" t="s">
        <v>74</v>
      </c>
      <c r="S574" s="2" t="s">
        <v>74</v>
      </c>
      <c r="T574" s="2" t="s">
        <v>74</v>
      </c>
      <c r="U574" s="2" t="s">
        <v>74</v>
      </c>
      <c r="V574" s="5" t="s">
        <v>1422</v>
      </c>
      <c r="W574" s="2" t="s">
        <v>74</v>
      </c>
      <c r="X574" s="2" t="s">
        <v>74</v>
      </c>
      <c r="Y574" s="2" t="s">
        <v>74</v>
      </c>
      <c r="Z574" s="2" t="s">
        <v>74</v>
      </c>
      <c r="AA574" s="2" t="s">
        <v>1423</v>
      </c>
      <c r="AB574" s="2" t="s">
        <v>1424</v>
      </c>
      <c r="AC574" s="2" t="s">
        <v>74</v>
      </c>
      <c r="AD574" s="2" t="s">
        <v>74</v>
      </c>
      <c r="AE574" s="2" t="s">
        <v>74</v>
      </c>
      <c r="AF574" s="2" t="s">
        <v>74</v>
      </c>
      <c r="AG574" s="2" t="s">
        <v>74</v>
      </c>
      <c r="AH574" s="2" t="s">
        <v>74</v>
      </c>
      <c r="AI574" s="2" t="s">
        <v>74</v>
      </c>
      <c r="AJ574" s="2" t="s">
        <v>74</v>
      </c>
      <c r="AK574" s="2" t="s">
        <v>74</v>
      </c>
      <c r="AL574" s="2" t="s">
        <v>74</v>
      </c>
      <c r="AM574" s="2" t="s">
        <v>74</v>
      </c>
      <c r="AN574" s="2" t="s">
        <v>74</v>
      </c>
      <c r="AO574" s="2" t="s">
        <v>121</v>
      </c>
      <c r="AP574" s="2" t="s">
        <v>122</v>
      </c>
      <c r="AQ574" s="2" t="s">
        <v>74</v>
      </c>
      <c r="AR574" s="2" t="s">
        <v>74</v>
      </c>
      <c r="AS574" s="2" t="s">
        <v>74</v>
      </c>
      <c r="AT574" s="2" t="s">
        <v>134</v>
      </c>
      <c r="AU574" s="2">
        <v>2018</v>
      </c>
      <c r="AV574" s="2">
        <v>150</v>
      </c>
      <c r="AW574" s="2" t="s">
        <v>74</v>
      </c>
      <c r="AX574" s="2" t="s">
        <v>74</v>
      </c>
      <c r="AY574" s="2" t="s">
        <v>74</v>
      </c>
      <c r="AZ574" s="2" t="s">
        <v>74</v>
      </c>
      <c r="BA574" s="2" t="s">
        <v>74</v>
      </c>
      <c r="BB574" s="2">
        <v>25</v>
      </c>
      <c r="BC574" s="2">
        <v>28</v>
      </c>
      <c r="BD574" s="2" t="s">
        <v>74</v>
      </c>
      <c r="BE574" s="2" t="s">
        <v>1425</v>
      </c>
      <c r="BF574" s="2" t="str">
        <f>HYPERLINK("http://dx.doi.org/10.1016/j.beproc.2018.02.006","http://dx.doi.org/10.1016/j.beproc.2018.02.006")</f>
        <v>http://dx.doi.org/10.1016/j.beproc.2018.02.006</v>
      </c>
      <c r="BG574" s="2" t="s">
        <v>74</v>
      </c>
      <c r="BH574" s="2" t="s">
        <v>74</v>
      </c>
      <c r="BI574" s="2" t="s">
        <v>74</v>
      </c>
      <c r="BJ574" s="2" t="s">
        <v>74</v>
      </c>
      <c r="BK574" s="2" t="s">
        <v>74</v>
      </c>
      <c r="BL574" s="2" t="s">
        <v>74</v>
      </c>
      <c r="BM574" s="2" t="s">
        <v>74</v>
      </c>
      <c r="BN574" s="2">
        <v>29447852</v>
      </c>
      <c r="BO574" s="2" t="s">
        <v>74</v>
      </c>
      <c r="BP574" s="2" t="s">
        <v>74</v>
      </c>
      <c r="BQ574" s="2" t="s">
        <v>74</v>
      </c>
      <c r="BR574" s="2" t="s">
        <v>74</v>
      </c>
      <c r="BS574" s="2" t="s">
        <v>1426</v>
      </c>
      <c r="BT574" s="2" t="str">
        <f>HYPERLINK("https%3A%2F%2Fwww.webofscience.com%2Fwos%2Fwoscc%2Ffull-record%2FWOS:000430765900004","View Full Record in Web of Science")</f>
        <v>View Full Record in Web of Science</v>
      </c>
    </row>
    <row r="575" spans="1:72" s="2" customFormat="1" x14ac:dyDescent="0.4">
      <c r="A575" s="2" t="s">
        <v>72</v>
      </c>
      <c r="B575" s="2" t="s">
        <v>839</v>
      </c>
      <c r="C575" s="2" t="s">
        <v>74</v>
      </c>
      <c r="D575" s="2" t="s">
        <v>74</v>
      </c>
      <c r="E575" s="2" t="s">
        <v>74</v>
      </c>
      <c r="F575" s="2" t="s">
        <v>840</v>
      </c>
      <c r="G575" s="2" t="s">
        <v>74</v>
      </c>
      <c r="H575" s="2" t="s">
        <v>74</v>
      </c>
      <c r="I575" s="2" t="s">
        <v>841</v>
      </c>
      <c r="J575" s="2" t="s">
        <v>842</v>
      </c>
      <c r="K575" s="2" t="s">
        <v>74</v>
      </c>
      <c r="L575" s="2" t="s">
        <v>74</v>
      </c>
      <c r="M575" s="2" t="s">
        <v>74</v>
      </c>
      <c r="N575" s="2" t="s">
        <v>74</v>
      </c>
      <c r="O575" s="2" t="s">
        <v>74</v>
      </c>
      <c r="P575" s="2" t="s">
        <v>74</v>
      </c>
      <c r="Q575" s="2" t="s">
        <v>74</v>
      </c>
      <c r="R575" s="2" t="s">
        <v>74</v>
      </c>
      <c r="S575" s="2" t="s">
        <v>74</v>
      </c>
      <c r="T575" s="2" t="s">
        <v>74</v>
      </c>
      <c r="U575" s="2" t="s">
        <v>74</v>
      </c>
      <c r="V575" s="5" t="s">
        <v>843</v>
      </c>
      <c r="W575" s="2" t="s">
        <v>74</v>
      </c>
      <c r="X575" s="2" t="s">
        <v>74</v>
      </c>
      <c r="Y575" s="2" t="s">
        <v>74</v>
      </c>
      <c r="Z575" s="2" t="s">
        <v>74</v>
      </c>
      <c r="AA575" s="2" t="s">
        <v>844</v>
      </c>
      <c r="AB575" s="2" t="s">
        <v>845</v>
      </c>
      <c r="AC575" s="2" t="s">
        <v>74</v>
      </c>
      <c r="AD575" s="2" t="s">
        <v>74</v>
      </c>
      <c r="AE575" s="2" t="s">
        <v>74</v>
      </c>
      <c r="AF575" s="2" t="s">
        <v>74</v>
      </c>
      <c r="AG575" s="2" t="s">
        <v>74</v>
      </c>
      <c r="AH575" s="2" t="s">
        <v>74</v>
      </c>
      <c r="AI575" s="2" t="s">
        <v>74</v>
      </c>
      <c r="AJ575" s="2" t="s">
        <v>74</v>
      </c>
      <c r="AK575" s="2" t="s">
        <v>74</v>
      </c>
      <c r="AL575" s="2" t="s">
        <v>74</v>
      </c>
      <c r="AM575" s="2" t="s">
        <v>74</v>
      </c>
      <c r="AN575" s="2" t="s">
        <v>74</v>
      </c>
      <c r="AO575" s="2" t="s">
        <v>846</v>
      </c>
      <c r="AP575" s="2" t="s">
        <v>847</v>
      </c>
      <c r="AQ575" s="2" t="s">
        <v>74</v>
      </c>
      <c r="AR575" s="2" t="s">
        <v>74</v>
      </c>
      <c r="AS575" s="2" t="s">
        <v>74</v>
      </c>
      <c r="AT575" s="2" t="s">
        <v>204</v>
      </c>
      <c r="AU575" s="2">
        <v>2013</v>
      </c>
      <c r="AV575" s="2">
        <v>75</v>
      </c>
      <c r="AW575" s="2">
        <v>7</v>
      </c>
      <c r="AX575" s="2" t="s">
        <v>74</v>
      </c>
      <c r="AY575" s="2" t="s">
        <v>74</v>
      </c>
      <c r="AZ575" s="2" t="s">
        <v>848</v>
      </c>
      <c r="BA575" s="2" t="s">
        <v>74</v>
      </c>
      <c r="BB575" s="2">
        <v>740</v>
      </c>
      <c r="BC575" s="2">
        <v>751</v>
      </c>
      <c r="BD575" s="2" t="s">
        <v>74</v>
      </c>
      <c r="BE575" s="2" t="s">
        <v>849</v>
      </c>
      <c r="BF575" s="2" t="str">
        <f>HYPERLINK("http://dx.doi.org/10.1002/ajp.22099","http://dx.doi.org/10.1002/ajp.22099")</f>
        <v>http://dx.doi.org/10.1002/ajp.22099</v>
      </c>
      <c r="BG575" s="2" t="s">
        <v>74</v>
      </c>
      <c r="BH575" s="2" t="s">
        <v>74</v>
      </c>
      <c r="BI575" s="2" t="s">
        <v>74</v>
      </c>
      <c r="BJ575" s="2" t="s">
        <v>74</v>
      </c>
      <c r="BK575" s="2" t="s">
        <v>74</v>
      </c>
      <c r="BL575" s="2" t="s">
        <v>74</v>
      </c>
      <c r="BM575" s="2" t="s">
        <v>74</v>
      </c>
      <c r="BN575" s="2">
        <v>23192604</v>
      </c>
      <c r="BO575" s="2" t="s">
        <v>74</v>
      </c>
      <c r="BP575" s="2" t="s">
        <v>74</v>
      </c>
      <c r="BQ575" s="2" t="s">
        <v>74</v>
      </c>
      <c r="BR575" s="2" t="s">
        <v>74</v>
      </c>
      <c r="BS575" s="2" t="s">
        <v>850</v>
      </c>
      <c r="BT575" s="2" t="str">
        <f>HYPERLINK("https%3A%2F%2Fwww.webofscience.com%2Fwos%2Fwoscc%2Ffull-record%2FWOS:000319001000009","View Full Record in Web of Science")</f>
        <v>View Full Record in Web of Science</v>
      </c>
    </row>
    <row r="576" spans="1:72" s="2" customFormat="1" x14ac:dyDescent="0.4">
      <c r="A576" s="2" t="s">
        <v>72</v>
      </c>
      <c r="B576" s="2" t="s">
        <v>5681</v>
      </c>
      <c r="C576" s="2" t="s">
        <v>74</v>
      </c>
      <c r="D576" s="2" t="s">
        <v>74</v>
      </c>
      <c r="E576" s="2" t="s">
        <v>74</v>
      </c>
      <c r="F576" s="2" t="s">
        <v>5682</v>
      </c>
      <c r="G576" s="2" t="s">
        <v>74</v>
      </c>
      <c r="H576" s="2" t="s">
        <v>74</v>
      </c>
      <c r="I576" s="2" t="s">
        <v>5683</v>
      </c>
      <c r="J576" s="2" t="s">
        <v>5684</v>
      </c>
      <c r="K576" s="2" t="s">
        <v>74</v>
      </c>
      <c r="L576" s="2" t="s">
        <v>74</v>
      </c>
      <c r="M576" s="2" t="s">
        <v>74</v>
      </c>
      <c r="N576" s="2" t="s">
        <v>74</v>
      </c>
      <c r="O576" s="2" t="s">
        <v>74</v>
      </c>
      <c r="P576" s="2" t="s">
        <v>74</v>
      </c>
      <c r="Q576" s="2" t="s">
        <v>74</v>
      </c>
      <c r="R576" s="2" t="s">
        <v>74</v>
      </c>
      <c r="S576" s="2" t="s">
        <v>74</v>
      </c>
      <c r="T576" s="2" t="s">
        <v>74</v>
      </c>
      <c r="U576" s="2" t="s">
        <v>74</v>
      </c>
      <c r="V576" s="5" t="s">
        <v>5685</v>
      </c>
      <c r="W576" s="2" t="s">
        <v>74</v>
      </c>
      <c r="X576" s="2" t="s">
        <v>74</v>
      </c>
      <c r="Y576" s="2" t="s">
        <v>74</v>
      </c>
      <c r="Z576" s="2" t="s">
        <v>74</v>
      </c>
      <c r="AA576" s="2" t="s">
        <v>5686</v>
      </c>
      <c r="AB576" s="2" t="s">
        <v>5687</v>
      </c>
      <c r="AC576" s="2" t="s">
        <v>74</v>
      </c>
      <c r="AD576" s="2" t="s">
        <v>74</v>
      </c>
      <c r="AE576" s="2" t="s">
        <v>74</v>
      </c>
      <c r="AF576" s="2" t="s">
        <v>74</v>
      </c>
      <c r="AG576" s="2" t="s">
        <v>74</v>
      </c>
      <c r="AH576" s="2" t="s">
        <v>74</v>
      </c>
      <c r="AI576" s="2" t="s">
        <v>74</v>
      </c>
      <c r="AJ576" s="2" t="s">
        <v>74</v>
      </c>
      <c r="AK576" s="2" t="s">
        <v>74</v>
      </c>
      <c r="AL576" s="2" t="s">
        <v>74</v>
      </c>
      <c r="AM576" s="2" t="s">
        <v>74</v>
      </c>
      <c r="AN576" s="2" t="s">
        <v>74</v>
      </c>
      <c r="AO576" s="2" t="s">
        <v>5688</v>
      </c>
      <c r="AP576" s="2" t="s">
        <v>5689</v>
      </c>
      <c r="AQ576" s="2" t="s">
        <v>74</v>
      </c>
      <c r="AR576" s="2" t="s">
        <v>74</v>
      </c>
      <c r="AS576" s="2" t="s">
        <v>74</v>
      </c>
      <c r="AT576" s="2" t="s">
        <v>102</v>
      </c>
      <c r="AU576" s="2">
        <v>2018</v>
      </c>
      <c r="AV576" s="2">
        <v>74</v>
      </c>
      <c r="AW576" s="2">
        <v>6</v>
      </c>
      <c r="AX576" s="2" t="s">
        <v>74</v>
      </c>
      <c r="AY576" s="2" t="s">
        <v>74</v>
      </c>
      <c r="AZ576" s="2" t="s">
        <v>74</v>
      </c>
      <c r="BA576" s="2" t="s">
        <v>74</v>
      </c>
      <c r="BB576" s="2">
        <v>1404</v>
      </c>
      <c r="BC576" s="2">
        <v>1415</v>
      </c>
      <c r="BD576" s="2" t="s">
        <v>74</v>
      </c>
      <c r="BE576" s="2" t="s">
        <v>5690</v>
      </c>
      <c r="BF576" s="2" t="str">
        <f>HYPERLINK("http://dx.doi.org/10.1002/ps.4820","http://dx.doi.org/10.1002/ps.4820")</f>
        <v>http://dx.doi.org/10.1002/ps.4820</v>
      </c>
      <c r="BG576" s="2" t="s">
        <v>74</v>
      </c>
      <c r="BH576" s="2" t="s">
        <v>74</v>
      </c>
      <c r="BI576" s="2" t="s">
        <v>74</v>
      </c>
      <c r="BJ576" s="2" t="s">
        <v>74</v>
      </c>
      <c r="BK576" s="2" t="s">
        <v>74</v>
      </c>
      <c r="BL576" s="2" t="s">
        <v>74</v>
      </c>
      <c r="BM576" s="2" t="s">
        <v>74</v>
      </c>
      <c r="BN576" s="2">
        <v>29205860</v>
      </c>
      <c r="BO576" s="2" t="s">
        <v>74</v>
      </c>
      <c r="BP576" s="2" t="s">
        <v>74</v>
      </c>
      <c r="BQ576" s="2" t="s">
        <v>74</v>
      </c>
      <c r="BR576" s="2" t="s">
        <v>74</v>
      </c>
      <c r="BS576" s="2" t="s">
        <v>5691</v>
      </c>
      <c r="BT576" s="2" t="str">
        <f>HYPERLINK("https%3A%2F%2Fwww.webofscience.com%2Fwos%2Fwoscc%2Ffull-record%2FWOS:000431670200022","View Full Record in Web of Science")</f>
        <v>View Full Record in Web of Science</v>
      </c>
    </row>
    <row r="577" spans="1:72" s="2" customFormat="1" x14ac:dyDescent="0.4">
      <c r="A577" s="2" t="s">
        <v>72</v>
      </c>
      <c r="B577" s="2" t="s">
        <v>7108</v>
      </c>
      <c r="C577" s="2" t="s">
        <v>74</v>
      </c>
      <c r="D577" s="2" t="s">
        <v>74</v>
      </c>
      <c r="E577" s="2" t="s">
        <v>74</v>
      </c>
      <c r="F577" s="2" t="s">
        <v>7109</v>
      </c>
      <c r="G577" s="2" t="s">
        <v>74</v>
      </c>
      <c r="H577" s="2" t="s">
        <v>74</v>
      </c>
      <c r="I577" s="2" t="s">
        <v>7110</v>
      </c>
      <c r="J577" s="2" t="s">
        <v>3411</v>
      </c>
      <c r="K577" s="2" t="s">
        <v>74</v>
      </c>
      <c r="L577" s="2" t="s">
        <v>74</v>
      </c>
      <c r="M577" s="2" t="s">
        <v>74</v>
      </c>
      <c r="N577" s="2" t="s">
        <v>74</v>
      </c>
      <c r="O577" s="2" t="s">
        <v>74</v>
      </c>
      <c r="P577" s="2" t="s">
        <v>74</v>
      </c>
      <c r="Q577" s="2" t="s">
        <v>74</v>
      </c>
      <c r="R577" s="2" t="s">
        <v>74</v>
      </c>
      <c r="S577" s="2" t="s">
        <v>74</v>
      </c>
      <c r="T577" s="2" t="s">
        <v>74</v>
      </c>
      <c r="U577" s="2" t="s">
        <v>74</v>
      </c>
      <c r="V577" s="5" t="s">
        <v>7111</v>
      </c>
      <c r="W577" s="2" t="s">
        <v>74</v>
      </c>
      <c r="X577" s="2" t="s">
        <v>74</v>
      </c>
      <c r="Y577" s="2" t="s">
        <v>74</v>
      </c>
      <c r="Z577" s="2" t="s">
        <v>74</v>
      </c>
      <c r="AA577" s="2" t="s">
        <v>7112</v>
      </c>
      <c r="AB577" s="2" t="s">
        <v>7113</v>
      </c>
      <c r="AC577" s="2" t="s">
        <v>74</v>
      </c>
      <c r="AD577" s="2" t="s">
        <v>74</v>
      </c>
      <c r="AE577" s="2" t="s">
        <v>74</v>
      </c>
      <c r="AF577" s="2" t="s">
        <v>74</v>
      </c>
      <c r="AG577" s="2" t="s">
        <v>74</v>
      </c>
      <c r="AH577" s="2" t="s">
        <v>74</v>
      </c>
      <c r="AI577" s="2" t="s">
        <v>74</v>
      </c>
      <c r="AJ577" s="2" t="s">
        <v>74</v>
      </c>
      <c r="AK577" s="2" t="s">
        <v>74</v>
      </c>
      <c r="AL577" s="2" t="s">
        <v>74</v>
      </c>
      <c r="AM577" s="2" t="s">
        <v>74</v>
      </c>
      <c r="AN577" s="2" t="s">
        <v>74</v>
      </c>
      <c r="AO577" s="2" t="s">
        <v>3415</v>
      </c>
      <c r="AP577" s="2" t="s">
        <v>3416</v>
      </c>
      <c r="AQ577" s="2" t="s">
        <v>74</v>
      </c>
      <c r="AR577" s="2" t="s">
        <v>74</v>
      </c>
      <c r="AS577" s="2" t="s">
        <v>74</v>
      </c>
      <c r="AT577" s="2" t="s">
        <v>74</v>
      </c>
      <c r="AU577" s="2">
        <v>2010</v>
      </c>
      <c r="AV577" s="2">
        <v>110</v>
      </c>
      <c r="AW577" s="2">
        <v>2</v>
      </c>
      <c r="AX577" s="2" t="s">
        <v>74</v>
      </c>
      <c r="AY577" s="2" t="s">
        <v>74</v>
      </c>
      <c r="AZ577" s="2" t="s">
        <v>74</v>
      </c>
      <c r="BA577" s="2" t="s">
        <v>74</v>
      </c>
      <c r="BB577" s="2">
        <v>142</v>
      </c>
      <c r="BC577" s="2">
        <v>145</v>
      </c>
      <c r="BD577" s="2" t="s">
        <v>74</v>
      </c>
      <c r="BE577" s="2" t="s">
        <v>7114</v>
      </c>
      <c r="BF577" s="2" t="str">
        <f>HYPERLINK("http://dx.doi.org/10.1071/MU09016","http://dx.doi.org/10.1071/MU09016")</f>
        <v>http://dx.doi.org/10.1071/MU09016</v>
      </c>
      <c r="BG577" s="2" t="s">
        <v>74</v>
      </c>
      <c r="BH577" s="2" t="s">
        <v>74</v>
      </c>
      <c r="BI577" s="2" t="s">
        <v>74</v>
      </c>
      <c r="BJ577" s="2" t="s">
        <v>74</v>
      </c>
      <c r="BK577" s="2" t="s">
        <v>74</v>
      </c>
      <c r="BL577" s="2" t="s">
        <v>74</v>
      </c>
      <c r="BM577" s="2" t="s">
        <v>74</v>
      </c>
      <c r="BN577" s="2" t="s">
        <v>74</v>
      </c>
      <c r="BO577" s="2" t="s">
        <v>74</v>
      </c>
      <c r="BP577" s="2" t="s">
        <v>74</v>
      </c>
      <c r="BQ577" s="2" t="s">
        <v>74</v>
      </c>
      <c r="BR577" s="2" t="s">
        <v>74</v>
      </c>
      <c r="BS577" s="2" t="s">
        <v>7115</v>
      </c>
      <c r="BT577" s="2" t="str">
        <f>HYPERLINK("https%3A%2F%2Fwww.webofscience.com%2Fwos%2Fwoscc%2Ffull-record%2FWOS:000278020200006","View Full Record in Web of Science")</f>
        <v>View Full Record in Web of Science</v>
      </c>
    </row>
    <row r="578" spans="1:72" s="2" customFormat="1" x14ac:dyDescent="0.4">
      <c r="A578" s="2" t="s">
        <v>72</v>
      </c>
      <c r="B578" s="2" t="s">
        <v>5016</v>
      </c>
      <c r="C578" s="2" t="s">
        <v>74</v>
      </c>
      <c r="D578" s="2" t="s">
        <v>74</v>
      </c>
      <c r="E578" s="2" t="s">
        <v>74</v>
      </c>
      <c r="F578" s="2" t="s">
        <v>5017</v>
      </c>
      <c r="G578" s="2" t="s">
        <v>74</v>
      </c>
      <c r="H578" s="2" t="s">
        <v>74</v>
      </c>
      <c r="I578" s="2" t="s">
        <v>5018</v>
      </c>
      <c r="J578" s="2" t="s">
        <v>2651</v>
      </c>
      <c r="K578" s="2" t="s">
        <v>74</v>
      </c>
      <c r="L578" s="2" t="s">
        <v>74</v>
      </c>
      <c r="M578" s="2" t="s">
        <v>74</v>
      </c>
      <c r="N578" s="2" t="s">
        <v>74</v>
      </c>
      <c r="O578" s="2" t="s">
        <v>74</v>
      </c>
      <c r="P578" s="2" t="s">
        <v>74</v>
      </c>
      <c r="Q578" s="2" t="s">
        <v>74</v>
      </c>
      <c r="R578" s="2" t="s">
        <v>74</v>
      </c>
      <c r="S578" s="2" t="s">
        <v>74</v>
      </c>
      <c r="T578" s="2" t="s">
        <v>74</v>
      </c>
      <c r="U578" s="2" t="s">
        <v>74</v>
      </c>
      <c r="V578" s="5" t="s">
        <v>5019</v>
      </c>
      <c r="W578" s="2" t="s">
        <v>74</v>
      </c>
      <c r="X578" s="2" t="s">
        <v>74</v>
      </c>
      <c r="Y578" s="2" t="s">
        <v>74</v>
      </c>
      <c r="Z578" s="2" t="s">
        <v>74</v>
      </c>
      <c r="AA578" s="2" t="s">
        <v>5020</v>
      </c>
      <c r="AB578" s="2" t="s">
        <v>5021</v>
      </c>
      <c r="AC578" s="2" t="s">
        <v>74</v>
      </c>
      <c r="AD578" s="2" t="s">
        <v>74</v>
      </c>
      <c r="AE578" s="2" t="s">
        <v>74</v>
      </c>
      <c r="AF578" s="2" t="s">
        <v>74</v>
      </c>
      <c r="AG578" s="2" t="s">
        <v>74</v>
      </c>
      <c r="AH578" s="2" t="s">
        <v>74</v>
      </c>
      <c r="AI578" s="2" t="s">
        <v>74</v>
      </c>
      <c r="AJ578" s="2" t="s">
        <v>74</v>
      </c>
      <c r="AK578" s="2" t="s">
        <v>74</v>
      </c>
      <c r="AL578" s="2" t="s">
        <v>74</v>
      </c>
      <c r="AM578" s="2" t="s">
        <v>74</v>
      </c>
      <c r="AN578" s="2" t="s">
        <v>74</v>
      </c>
      <c r="AO578" s="2" t="s">
        <v>2655</v>
      </c>
      <c r="AP578" s="2" t="s">
        <v>2656</v>
      </c>
      <c r="AQ578" s="2" t="s">
        <v>74</v>
      </c>
      <c r="AR578" s="2" t="s">
        <v>74</v>
      </c>
      <c r="AS578" s="2" t="s">
        <v>74</v>
      </c>
      <c r="AT578" s="2" t="s">
        <v>134</v>
      </c>
      <c r="AU578" s="2">
        <v>2022</v>
      </c>
      <c r="AV578" s="2">
        <v>43</v>
      </c>
      <c r="AW578" s="2">
        <v>3</v>
      </c>
      <c r="AX578" s="2" t="s">
        <v>74</v>
      </c>
      <c r="AY578" s="2" t="s">
        <v>74</v>
      </c>
      <c r="AZ578" s="2" t="s">
        <v>74</v>
      </c>
      <c r="BA578" s="2" t="s">
        <v>74</v>
      </c>
      <c r="BB578" s="2">
        <v>169</v>
      </c>
      <c r="BC578" s="2">
        <v>180</v>
      </c>
      <c r="BD578" s="2" t="s">
        <v>74</v>
      </c>
      <c r="BE578" s="2" t="s">
        <v>5022</v>
      </c>
      <c r="BF578" s="2" t="str">
        <f>HYPERLINK("http://dx.doi.org/10.1016/j.evolhumbehav.2021.12.004","http://dx.doi.org/10.1016/j.evolhumbehav.2021.12.004")</f>
        <v>http://dx.doi.org/10.1016/j.evolhumbehav.2021.12.004</v>
      </c>
      <c r="BG578" s="2" t="s">
        <v>74</v>
      </c>
      <c r="BH578" s="2" t="s">
        <v>2006</v>
      </c>
      <c r="BI578" s="2" t="s">
        <v>74</v>
      </c>
      <c r="BJ578" s="2" t="s">
        <v>74</v>
      </c>
      <c r="BK578" s="2" t="s">
        <v>74</v>
      </c>
      <c r="BL578" s="2" t="s">
        <v>74</v>
      </c>
      <c r="BM578" s="2" t="s">
        <v>74</v>
      </c>
      <c r="BN578" s="2" t="s">
        <v>74</v>
      </c>
      <c r="BO578" s="2" t="s">
        <v>74</v>
      </c>
      <c r="BP578" s="2" t="s">
        <v>74</v>
      </c>
      <c r="BQ578" s="2" t="s">
        <v>74</v>
      </c>
      <c r="BR578" s="2" t="s">
        <v>74</v>
      </c>
      <c r="BS578" s="2" t="s">
        <v>5023</v>
      </c>
      <c r="BT578" s="2" t="str">
        <f>HYPERLINK("https%3A%2F%2Fwww.webofscience.com%2Fwos%2Fwoscc%2Ffull-record%2FWOS:000797243400001","View Full Record in Web of Science")</f>
        <v>View Full Record in Web of Science</v>
      </c>
    </row>
    <row r="579" spans="1:72" s="2" customFormat="1" x14ac:dyDescent="0.4">
      <c r="A579" s="2" t="s">
        <v>72</v>
      </c>
      <c r="B579" s="2" t="s">
        <v>278</v>
      </c>
      <c r="C579" s="2" t="s">
        <v>74</v>
      </c>
      <c r="D579" s="2" t="s">
        <v>74</v>
      </c>
      <c r="E579" s="2" t="s">
        <v>74</v>
      </c>
      <c r="F579" s="2" t="s">
        <v>279</v>
      </c>
      <c r="G579" s="2" t="s">
        <v>74</v>
      </c>
      <c r="H579" s="2" t="s">
        <v>74</v>
      </c>
      <c r="I579" s="2" t="s">
        <v>280</v>
      </c>
      <c r="J579" s="2" t="s">
        <v>281</v>
      </c>
      <c r="K579" s="2" t="s">
        <v>74</v>
      </c>
      <c r="L579" s="2" t="s">
        <v>74</v>
      </c>
      <c r="M579" s="2" t="s">
        <v>74</v>
      </c>
      <c r="N579" s="2" t="s">
        <v>74</v>
      </c>
      <c r="O579" s="2" t="s">
        <v>74</v>
      </c>
      <c r="P579" s="2" t="s">
        <v>74</v>
      </c>
      <c r="Q579" s="2" t="s">
        <v>74</v>
      </c>
      <c r="R579" s="2" t="s">
        <v>74</v>
      </c>
      <c r="S579" s="2" t="s">
        <v>74</v>
      </c>
      <c r="T579" s="2" t="s">
        <v>74</v>
      </c>
      <c r="U579" s="2" t="s">
        <v>74</v>
      </c>
      <c r="V579" s="5" t="s">
        <v>282</v>
      </c>
      <c r="W579" s="2" t="s">
        <v>74</v>
      </c>
      <c r="X579" s="2" t="s">
        <v>74</v>
      </c>
      <c r="Y579" s="2" t="s">
        <v>74</v>
      </c>
      <c r="Z579" s="2" t="s">
        <v>74</v>
      </c>
      <c r="AA579" s="2" t="s">
        <v>283</v>
      </c>
      <c r="AB579" s="2" t="s">
        <v>284</v>
      </c>
      <c r="AC579" s="2" t="s">
        <v>74</v>
      </c>
      <c r="AD579" s="2" t="s">
        <v>74</v>
      </c>
      <c r="AE579" s="2" t="s">
        <v>74</v>
      </c>
      <c r="AF579" s="2" t="s">
        <v>74</v>
      </c>
      <c r="AG579" s="2" t="s">
        <v>74</v>
      </c>
      <c r="AH579" s="2" t="s">
        <v>74</v>
      </c>
      <c r="AI579" s="2" t="s">
        <v>74</v>
      </c>
      <c r="AJ579" s="2" t="s">
        <v>74</v>
      </c>
      <c r="AK579" s="2" t="s">
        <v>74</v>
      </c>
      <c r="AL579" s="2" t="s">
        <v>74</v>
      </c>
      <c r="AM579" s="2" t="s">
        <v>74</v>
      </c>
      <c r="AN579" s="2" t="s">
        <v>74</v>
      </c>
      <c r="AO579" s="2" t="s">
        <v>285</v>
      </c>
      <c r="AP579" s="2" t="s">
        <v>286</v>
      </c>
      <c r="AQ579" s="2" t="s">
        <v>74</v>
      </c>
      <c r="AR579" s="2" t="s">
        <v>74</v>
      </c>
      <c r="AS579" s="2" t="s">
        <v>74</v>
      </c>
      <c r="AT579" s="2" t="s">
        <v>123</v>
      </c>
      <c r="AU579" s="2">
        <v>2013</v>
      </c>
      <c r="AV579" s="2">
        <v>16</v>
      </c>
      <c r="AW579" s="2">
        <v>2</v>
      </c>
      <c r="AX579" s="2" t="s">
        <v>74</v>
      </c>
      <c r="AY579" s="2" t="s">
        <v>74</v>
      </c>
      <c r="AZ579" s="2" t="s">
        <v>74</v>
      </c>
      <c r="BA579" s="2" t="s">
        <v>74</v>
      </c>
      <c r="BB579" s="2">
        <v>287</v>
      </c>
      <c r="BC579" s="2">
        <v>300</v>
      </c>
      <c r="BD579" s="2" t="s">
        <v>74</v>
      </c>
      <c r="BE579" s="2" t="s">
        <v>287</v>
      </c>
      <c r="BF579" s="2" t="str">
        <f>HYPERLINK("http://dx.doi.org/10.1007/s10071-012-0572-0","http://dx.doi.org/10.1007/s10071-012-0572-0")</f>
        <v>http://dx.doi.org/10.1007/s10071-012-0572-0</v>
      </c>
      <c r="BG579" s="2" t="s">
        <v>74</v>
      </c>
      <c r="BH579" s="2" t="s">
        <v>74</v>
      </c>
      <c r="BI579" s="2" t="s">
        <v>74</v>
      </c>
      <c r="BJ579" s="2" t="s">
        <v>74</v>
      </c>
      <c r="BK579" s="2" t="s">
        <v>74</v>
      </c>
      <c r="BL579" s="2" t="s">
        <v>74</v>
      </c>
      <c r="BM579" s="2" t="s">
        <v>74</v>
      </c>
      <c r="BN579" s="2">
        <v>23111900</v>
      </c>
      <c r="BO579" s="2" t="s">
        <v>74</v>
      </c>
      <c r="BP579" s="2" t="s">
        <v>74</v>
      </c>
      <c r="BQ579" s="2" t="s">
        <v>74</v>
      </c>
      <c r="BR579" s="2" t="s">
        <v>74</v>
      </c>
      <c r="BS579" s="2" t="s">
        <v>288</v>
      </c>
      <c r="BT579" s="2" t="str">
        <f>HYPERLINK("https%3A%2F%2Fwww.webofscience.com%2Fwos%2Fwoscc%2Ffull-record%2FWOS:000315035100012","View Full Record in Web of Science")</f>
        <v>View Full Record in Web of Science</v>
      </c>
    </row>
    <row r="580" spans="1:72" s="2" customFormat="1" x14ac:dyDescent="0.4">
      <c r="A580" s="2" t="s">
        <v>72</v>
      </c>
      <c r="B580" s="2" t="s">
        <v>3057</v>
      </c>
      <c r="C580" s="2" t="s">
        <v>74</v>
      </c>
      <c r="D580" s="2" t="s">
        <v>74</v>
      </c>
      <c r="E580" s="2" t="s">
        <v>74</v>
      </c>
      <c r="F580" s="2" t="s">
        <v>3058</v>
      </c>
      <c r="G580" s="2" t="s">
        <v>74</v>
      </c>
      <c r="H580" s="2" t="s">
        <v>74</v>
      </c>
      <c r="I580" s="2" t="s">
        <v>3059</v>
      </c>
      <c r="J580" s="2" t="s">
        <v>333</v>
      </c>
      <c r="K580" s="2" t="s">
        <v>74</v>
      </c>
      <c r="L580" s="2" t="s">
        <v>74</v>
      </c>
      <c r="M580" s="2" t="s">
        <v>74</v>
      </c>
      <c r="N580" s="2" t="s">
        <v>74</v>
      </c>
      <c r="O580" s="2" t="s">
        <v>74</v>
      </c>
      <c r="P580" s="2" t="s">
        <v>74</v>
      </c>
      <c r="Q580" s="2" t="s">
        <v>74</v>
      </c>
      <c r="R580" s="2" t="s">
        <v>74</v>
      </c>
      <c r="S580" s="2" t="s">
        <v>74</v>
      </c>
      <c r="T580" s="2" t="s">
        <v>74</v>
      </c>
      <c r="U580" s="2" t="s">
        <v>74</v>
      </c>
      <c r="V580" s="5" t="s">
        <v>3060</v>
      </c>
      <c r="W580" s="2" t="s">
        <v>74</v>
      </c>
      <c r="X580" s="2" t="s">
        <v>74</v>
      </c>
      <c r="Y580" s="2" t="s">
        <v>74</v>
      </c>
      <c r="Z580" s="2" t="s">
        <v>74</v>
      </c>
      <c r="AA580" s="2" t="s">
        <v>3061</v>
      </c>
      <c r="AB580" s="2" t="s">
        <v>3062</v>
      </c>
      <c r="AC580" s="2" t="s">
        <v>74</v>
      </c>
      <c r="AD580" s="2" t="s">
        <v>74</v>
      </c>
      <c r="AE580" s="2" t="s">
        <v>74</v>
      </c>
      <c r="AF580" s="2" t="s">
        <v>74</v>
      </c>
      <c r="AG580" s="2" t="s">
        <v>74</v>
      </c>
      <c r="AH580" s="2" t="s">
        <v>74</v>
      </c>
      <c r="AI580" s="2" t="s">
        <v>74</v>
      </c>
      <c r="AJ580" s="2" t="s">
        <v>74</v>
      </c>
      <c r="AK580" s="2" t="s">
        <v>74</v>
      </c>
      <c r="AL580" s="2" t="s">
        <v>74</v>
      </c>
      <c r="AM580" s="2" t="s">
        <v>74</v>
      </c>
      <c r="AN580" s="2" t="s">
        <v>74</v>
      </c>
      <c r="AO580" s="2" t="s">
        <v>337</v>
      </c>
      <c r="AP580" s="2" t="s">
        <v>74</v>
      </c>
      <c r="AQ580" s="2" t="s">
        <v>74</v>
      </c>
      <c r="AR580" s="2" t="s">
        <v>74</v>
      </c>
      <c r="AS580" s="2" t="s">
        <v>74</v>
      </c>
      <c r="AT580" s="2" t="s">
        <v>808</v>
      </c>
      <c r="AU580" s="2">
        <v>2008</v>
      </c>
      <c r="AV580" s="2">
        <v>19</v>
      </c>
      <c r="AW580" s="2">
        <v>3</v>
      </c>
      <c r="AX580" s="2" t="s">
        <v>74</v>
      </c>
      <c r="AY580" s="2" t="s">
        <v>74</v>
      </c>
      <c r="AZ580" s="2" t="s">
        <v>74</v>
      </c>
      <c r="BA580" s="2" t="s">
        <v>74</v>
      </c>
      <c r="BB580" s="2">
        <v>508</v>
      </c>
      <c r="BC580" s="2">
        <v>516</v>
      </c>
      <c r="BD580" s="2" t="s">
        <v>74</v>
      </c>
      <c r="BE580" s="2" t="s">
        <v>3063</v>
      </c>
      <c r="BF580" s="2" t="str">
        <f>HYPERLINK("http://dx.doi.org/10.1093/beheco/arm159","http://dx.doi.org/10.1093/beheco/arm159")</f>
        <v>http://dx.doi.org/10.1093/beheco/arm159</v>
      </c>
      <c r="BG580" s="2" t="s">
        <v>74</v>
      </c>
      <c r="BH580" s="2" t="s">
        <v>74</v>
      </c>
      <c r="BI580" s="2" t="s">
        <v>74</v>
      </c>
      <c r="BJ580" s="2" t="s">
        <v>74</v>
      </c>
      <c r="BK580" s="2" t="s">
        <v>74</v>
      </c>
      <c r="BL580" s="2" t="s">
        <v>74</v>
      </c>
      <c r="BM580" s="2" t="s">
        <v>74</v>
      </c>
      <c r="BN580" s="2" t="s">
        <v>74</v>
      </c>
      <c r="BO580" s="2" t="s">
        <v>74</v>
      </c>
      <c r="BP580" s="2" t="s">
        <v>74</v>
      </c>
      <c r="BQ580" s="2" t="s">
        <v>74</v>
      </c>
      <c r="BR580" s="2" t="s">
        <v>74</v>
      </c>
      <c r="BS580" s="2" t="s">
        <v>3064</v>
      </c>
      <c r="BT580" s="2" t="str">
        <f>HYPERLINK("https%3A%2F%2Fwww.webofscience.com%2Fwos%2Fwoscc%2Ffull-record%2FWOS:000255987600006","View Full Record in Web of Science")</f>
        <v>View Full Record in Web of Science</v>
      </c>
    </row>
    <row r="581" spans="1:72" s="2" customFormat="1" x14ac:dyDescent="0.4">
      <c r="A581" s="2" t="s">
        <v>72</v>
      </c>
      <c r="B581" s="2" t="s">
        <v>8606</v>
      </c>
      <c r="C581" s="2" t="s">
        <v>74</v>
      </c>
      <c r="D581" s="2" t="s">
        <v>74</v>
      </c>
      <c r="E581" s="2" t="s">
        <v>74</v>
      </c>
      <c r="F581" s="2" t="s">
        <v>8607</v>
      </c>
      <c r="G581" s="2" t="s">
        <v>74</v>
      </c>
      <c r="H581" s="2" t="s">
        <v>74</v>
      </c>
      <c r="I581" s="2" t="s">
        <v>8608</v>
      </c>
      <c r="J581" s="2" t="s">
        <v>2207</v>
      </c>
      <c r="K581" s="2" t="s">
        <v>74</v>
      </c>
      <c r="L581" s="2" t="s">
        <v>74</v>
      </c>
      <c r="M581" s="2" t="s">
        <v>74</v>
      </c>
      <c r="N581" s="2" t="s">
        <v>74</v>
      </c>
      <c r="O581" s="2" t="s">
        <v>74</v>
      </c>
      <c r="P581" s="2" t="s">
        <v>74</v>
      </c>
      <c r="Q581" s="2" t="s">
        <v>74</v>
      </c>
      <c r="R581" s="2" t="s">
        <v>74</v>
      </c>
      <c r="S581" s="2" t="s">
        <v>74</v>
      </c>
      <c r="T581" s="2" t="s">
        <v>74</v>
      </c>
      <c r="U581" s="2" t="s">
        <v>74</v>
      </c>
      <c r="V581" s="5" t="s">
        <v>8609</v>
      </c>
      <c r="W581" s="2" t="s">
        <v>74</v>
      </c>
      <c r="X581" s="2" t="s">
        <v>74</v>
      </c>
      <c r="Y581" s="2" t="s">
        <v>74</v>
      </c>
      <c r="Z581" s="2" t="s">
        <v>74</v>
      </c>
      <c r="AA581" s="2" t="s">
        <v>8610</v>
      </c>
      <c r="AB581" s="2" t="s">
        <v>8611</v>
      </c>
      <c r="AC581" s="2" t="s">
        <v>74</v>
      </c>
      <c r="AD581" s="2" t="s">
        <v>74</v>
      </c>
      <c r="AE581" s="2" t="s">
        <v>74</v>
      </c>
      <c r="AF581" s="2" t="s">
        <v>74</v>
      </c>
      <c r="AG581" s="2" t="s">
        <v>74</v>
      </c>
      <c r="AH581" s="2" t="s">
        <v>74</v>
      </c>
      <c r="AI581" s="2" t="s">
        <v>74</v>
      </c>
      <c r="AJ581" s="2" t="s">
        <v>74</v>
      </c>
      <c r="AK581" s="2" t="s">
        <v>74</v>
      </c>
      <c r="AL581" s="2" t="s">
        <v>74</v>
      </c>
      <c r="AM581" s="2" t="s">
        <v>74</v>
      </c>
      <c r="AN581" s="2" t="s">
        <v>74</v>
      </c>
      <c r="AO581" s="2" t="s">
        <v>2211</v>
      </c>
      <c r="AP581" s="2" t="s">
        <v>2461</v>
      </c>
      <c r="AQ581" s="2" t="s">
        <v>74</v>
      </c>
      <c r="AR581" s="2" t="s">
        <v>74</v>
      </c>
      <c r="AS581" s="2" t="s">
        <v>74</v>
      </c>
      <c r="AT581" s="2" t="s">
        <v>352</v>
      </c>
      <c r="AU581" s="2">
        <v>2009</v>
      </c>
      <c r="AV581" s="2">
        <v>40</v>
      </c>
      <c r="AW581" s="2">
        <v>5</v>
      </c>
      <c r="AX581" s="2" t="s">
        <v>74</v>
      </c>
      <c r="AY581" s="2" t="s">
        <v>74</v>
      </c>
      <c r="AZ581" s="2" t="s">
        <v>74</v>
      </c>
      <c r="BA581" s="2" t="s">
        <v>74</v>
      </c>
      <c r="BB581" s="2">
        <v>559</v>
      </c>
      <c r="BC581" s="2">
        <v>568</v>
      </c>
      <c r="BD581" s="2" t="s">
        <v>74</v>
      </c>
      <c r="BE581" s="2" t="s">
        <v>8612</v>
      </c>
      <c r="BF581" s="2" t="str">
        <f>HYPERLINK("http://dx.doi.org/10.1111/j.1600-048X.2009.04572.x","http://dx.doi.org/10.1111/j.1600-048X.2009.04572.x")</f>
        <v>http://dx.doi.org/10.1111/j.1600-048X.2009.04572.x</v>
      </c>
      <c r="BG581" s="2" t="s">
        <v>74</v>
      </c>
      <c r="BH581" s="2" t="s">
        <v>74</v>
      </c>
      <c r="BI581" s="2" t="s">
        <v>74</v>
      </c>
      <c r="BJ581" s="2" t="s">
        <v>74</v>
      </c>
      <c r="BK581" s="2" t="s">
        <v>74</v>
      </c>
      <c r="BL581" s="2" t="s">
        <v>74</v>
      </c>
      <c r="BM581" s="2" t="s">
        <v>74</v>
      </c>
      <c r="BN581" s="2" t="s">
        <v>74</v>
      </c>
      <c r="BO581" s="2" t="s">
        <v>74</v>
      </c>
      <c r="BP581" s="2" t="s">
        <v>74</v>
      </c>
      <c r="BQ581" s="2" t="s">
        <v>74</v>
      </c>
      <c r="BR581" s="2" t="s">
        <v>74</v>
      </c>
      <c r="BS581" s="2" t="s">
        <v>8613</v>
      </c>
      <c r="BT581" s="2" t="str">
        <f>HYPERLINK("https%3A%2F%2Fwww.webofscience.com%2Fwos%2Fwoscc%2Ffull-record%2FWOS:000270179100011","View Full Record in Web of Science")</f>
        <v>View Full Record in Web of Science</v>
      </c>
    </row>
    <row r="582" spans="1:72" s="2" customFormat="1" x14ac:dyDescent="0.4">
      <c r="A582" s="2" t="s">
        <v>72</v>
      </c>
      <c r="B582" s="2" t="s">
        <v>6965</v>
      </c>
      <c r="C582" s="2" t="s">
        <v>74</v>
      </c>
      <c r="D582" s="2" t="s">
        <v>74</v>
      </c>
      <c r="E582" s="2" t="s">
        <v>74</v>
      </c>
      <c r="F582" s="2" t="s">
        <v>6966</v>
      </c>
      <c r="G582" s="2" t="s">
        <v>74</v>
      </c>
      <c r="H582" s="2" t="s">
        <v>74</v>
      </c>
      <c r="I582" s="2" t="s">
        <v>6967</v>
      </c>
      <c r="J582" s="2" t="s">
        <v>6968</v>
      </c>
      <c r="K582" s="2" t="s">
        <v>74</v>
      </c>
      <c r="L582" s="2" t="s">
        <v>74</v>
      </c>
      <c r="M582" s="2" t="s">
        <v>74</v>
      </c>
      <c r="N582" s="2" t="s">
        <v>74</v>
      </c>
      <c r="O582" s="2" t="s">
        <v>74</v>
      </c>
      <c r="P582" s="2" t="s">
        <v>74</v>
      </c>
      <c r="Q582" s="2" t="s">
        <v>74</v>
      </c>
      <c r="R582" s="2" t="s">
        <v>74</v>
      </c>
      <c r="S582" s="2" t="s">
        <v>74</v>
      </c>
      <c r="T582" s="2" t="s">
        <v>74</v>
      </c>
      <c r="U582" s="2" t="s">
        <v>74</v>
      </c>
      <c r="V582" s="5" t="s">
        <v>6969</v>
      </c>
      <c r="W582" s="2" t="s">
        <v>74</v>
      </c>
      <c r="X582" s="2" t="s">
        <v>74</v>
      </c>
      <c r="Y582" s="2" t="s">
        <v>74</v>
      </c>
      <c r="Z582" s="2" t="s">
        <v>74</v>
      </c>
      <c r="AA582" s="2" t="s">
        <v>74</v>
      </c>
      <c r="AB582" s="2" t="s">
        <v>74</v>
      </c>
      <c r="AC582" s="2" t="s">
        <v>74</v>
      </c>
      <c r="AD582" s="2" t="s">
        <v>74</v>
      </c>
      <c r="AE582" s="2" t="s">
        <v>74</v>
      </c>
      <c r="AF582" s="2" t="s">
        <v>74</v>
      </c>
      <c r="AG582" s="2" t="s">
        <v>74</v>
      </c>
      <c r="AH582" s="2" t="s">
        <v>74</v>
      </c>
      <c r="AI582" s="2" t="s">
        <v>74</v>
      </c>
      <c r="AJ582" s="2" t="s">
        <v>74</v>
      </c>
      <c r="AK582" s="2" t="s">
        <v>74</v>
      </c>
      <c r="AL582" s="2" t="s">
        <v>74</v>
      </c>
      <c r="AM582" s="2" t="s">
        <v>74</v>
      </c>
      <c r="AN582" s="2" t="s">
        <v>74</v>
      </c>
      <c r="AO582" s="2" t="s">
        <v>6970</v>
      </c>
      <c r="AP582" s="2" t="s">
        <v>6971</v>
      </c>
      <c r="AQ582" s="2" t="s">
        <v>74</v>
      </c>
      <c r="AR582" s="2" t="s">
        <v>74</v>
      </c>
      <c r="AS582" s="2" t="s">
        <v>74</v>
      </c>
      <c r="AT582" s="2" t="s">
        <v>305</v>
      </c>
      <c r="AU582" s="2">
        <v>2021</v>
      </c>
      <c r="AV582" s="2">
        <v>21</v>
      </c>
      <c r="AW582" s="2">
        <v>4</v>
      </c>
      <c r="AX582" s="2" t="s">
        <v>74</v>
      </c>
      <c r="AY582" s="2" t="s">
        <v>74</v>
      </c>
      <c r="AZ582" s="2" t="s">
        <v>74</v>
      </c>
      <c r="BA582" s="2" t="s">
        <v>74</v>
      </c>
      <c r="BB582" s="2">
        <v>719</v>
      </c>
      <c r="BC582" s="2">
        <v>735</v>
      </c>
      <c r="BD582" s="2" t="s">
        <v>74</v>
      </c>
      <c r="BE582" s="2" t="s">
        <v>6972</v>
      </c>
      <c r="BF582" s="2" t="str">
        <f>HYPERLINK("http://dx.doi.org/10.1007/s13127-021-00510-2","http://dx.doi.org/10.1007/s13127-021-00510-2")</f>
        <v>http://dx.doi.org/10.1007/s13127-021-00510-2</v>
      </c>
      <c r="BG582" s="2" t="s">
        <v>74</v>
      </c>
      <c r="BH582" s="2" t="s">
        <v>675</v>
      </c>
      <c r="BI582" s="2" t="s">
        <v>74</v>
      </c>
      <c r="BJ582" s="2" t="s">
        <v>74</v>
      </c>
      <c r="BK582" s="2" t="s">
        <v>74</v>
      </c>
      <c r="BL582" s="2" t="s">
        <v>74</v>
      </c>
      <c r="BM582" s="2" t="s">
        <v>74</v>
      </c>
      <c r="BN582" s="2" t="s">
        <v>74</v>
      </c>
      <c r="BO582" s="2" t="s">
        <v>74</v>
      </c>
      <c r="BP582" s="2" t="s">
        <v>74</v>
      </c>
      <c r="BQ582" s="2" t="s">
        <v>74</v>
      </c>
      <c r="BR582" s="2" t="s">
        <v>74</v>
      </c>
      <c r="BS582" s="2" t="s">
        <v>6973</v>
      </c>
      <c r="BT582" s="2" t="str">
        <f>HYPERLINK("https%3A%2F%2Fwww.webofscience.com%2Fwos%2Fwoscc%2Ffull-record%2FWOS:000702265500001","View Full Record in Web of Science")</f>
        <v>View Full Record in Web of Science</v>
      </c>
    </row>
    <row r="583" spans="1:72" s="2" customFormat="1" x14ac:dyDescent="0.4">
      <c r="A583" s="2" t="s">
        <v>72</v>
      </c>
      <c r="B583" s="2" t="s">
        <v>1427</v>
      </c>
      <c r="C583" s="2" t="s">
        <v>74</v>
      </c>
      <c r="D583" s="2" t="s">
        <v>74</v>
      </c>
      <c r="E583" s="2" t="s">
        <v>74</v>
      </c>
      <c r="F583" s="2" t="s">
        <v>1428</v>
      </c>
      <c r="G583" s="2" t="s">
        <v>74</v>
      </c>
      <c r="H583" s="2" t="s">
        <v>74</v>
      </c>
      <c r="I583" s="2" t="s">
        <v>1429</v>
      </c>
      <c r="J583" s="2" t="s">
        <v>140</v>
      </c>
      <c r="K583" s="2" t="s">
        <v>74</v>
      </c>
      <c r="L583" s="2" t="s">
        <v>74</v>
      </c>
      <c r="M583" s="2" t="s">
        <v>74</v>
      </c>
      <c r="N583" s="2" t="s">
        <v>74</v>
      </c>
      <c r="O583" s="2" t="s">
        <v>74</v>
      </c>
      <c r="P583" s="2" t="s">
        <v>74</v>
      </c>
      <c r="Q583" s="2" t="s">
        <v>74</v>
      </c>
      <c r="R583" s="2" t="s">
        <v>74</v>
      </c>
      <c r="S583" s="2" t="s">
        <v>74</v>
      </c>
      <c r="T583" s="2" t="s">
        <v>74</v>
      </c>
      <c r="U583" s="2" t="s">
        <v>74</v>
      </c>
      <c r="V583" s="5" t="s">
        <v>1430</v>
      </c>
      <c r="W583" s="2" t="s">
        <v>74</v>
      </c>
      <c r="X583" s="2" t="s">
        <v>74</v>
      </c>
      <c r="Y583" s="2" t="s">
        <v>74</v>
      </c>
      <c r="Z583" s="2" t="s">
        <v>74</v>
      </c>
      <c r="AA583" s="2" t="s">
        <v>1431</v>
      </c>
      <c r="AB583" s="2" t="s">
        <v>1432</v>
      </c>
      <c r="AC583" s="2" t="s">
        <v>74</v>
      </c>
      <c r="AD583" s="2" t="s">
        <v>74</v>
      </c>
      <c r="AE583" s="2" t="s">
        <v>74</v>
      </c>
      <c r="AF583" s="2" t="s">
        <v>74</v>
      </c>
      <c r="AG583" s="2" t="s">
        <v>74</v>
      </c>
      <c r="AH583" s="2" t="s">
        <v>74</v>
      </c>
      <c r="AI583" s="2" t="s">
        <v>74</v>
      </c>
      <c r="AJ583" s="2" t="s">
        <v>74</v>
      </c>
      <c r="AK583" s="2" t="s">
        <v>74</v>
      </c>
      <c r="AL583" s="2" t="s">
        <v>74</v>
      </c>
      <c r="AM583" s="2" t="s">
        <v>74</v>
      </c>
      <c r="AN583" s="2" t="s">
        <v>74</v>
      </c>
      <c r="AO583" s="2" t="s">
        <v>143</v>
      </c>
      <c r="AP583" s="2" t="s">
        <v>74</v>
      </c>
      <c r="AQ583" s="2" t="s">
        <v>74</v>
      </c>
      <c r="AR583" s="2" t="s">
        <v>74</v>
      </c>
      <c r="AS583" s="2" t="s">
        <v>74</v>
      </c>
      <c r="AT583" s="2" t="s">
        <v>123</v>
      </c>
      <c r="AU583" s="2">
        <v>2010</v>
      </c>
      <c r="AV583" s="2">
        <v>79</v>
      </c>
      <c r="AW583" s="2">
        <v>3</v>
      </c>
      <c r="AX583" s="2" t="s">
        <v>74</v>
      </c>
      <c r="AY583" s="2" t="s">
        <v>74</v>
      </c>
      <c r="AZ583" s="2" t="s">
        <v>74</v>
      </c>
      <c r="BA583" s="2" t="s">
        <v>74</v>
      </c>
      <c r="BB583" s="2">
        <v>709</v>
      </c>
      <c r="BC583" s="2">
        <v>715</v>
      </c>
      <c r="BD583" s="2" t="s">
        <v>74</v>
      </c>
      <c r="BE583" s="2" t="s">
        <v>1433</v>
      </c>
      <c r="BF583" s="2" t="str">
        <f>HYPERLINK("http://dx.doi.org/10.1016/j.anbehav.2009.12.025","http://dx.doi.org/10.1016/j.anbehav.2009.12.025")</f>
        <v>http://dx.doi.org/10.1016/j.anbehav.2009.12.025</v>
      </c>
      <c r="BG583" s="2" t="s">
        <v>74</v>
      </c>
      <c r="BH583" s="2" t="s">
        <v>74</v>
      </c>
      <c r="BI583" s="2" t="s">
        <v>74</v>
      </c>
      <c r="BJ583" s="2" t="s">
        <v>74</v>
      </c>
      <c r="BK583" s="2" t="s">
        <v>74</v>
      </c>
      <c r="BL583" s="2" t="s">
        <v>74</v>
      </c>
      <c r="BM583" s="2" t="s">
        <v>74</v>
      </c>
      <c r="BN583" s="2" t="s">
        <v>74</v>
      </c>
      <c r="BO583" s="2" t="s">
        <v>74</v>
      </c>
      <c r="BP583" s="2" t="s">
        <v>74</v>
      </c>
      <c r="BQ583" s="2" t="s">
        <v>74</v>
      </c>
      <c r="BR583" s="2" t="s">
        <v>74</v>
      </c>
      <c r="BS583" s="2" t="s">
        <v>1434</v>
      </c>
      <c r="BT583" s="2" t="str">
        <f>HYPERLINK("https%3A%2F%2Fwww.webofscience.com%2Fwos%2Fwoscc%2Ffull-record%2FWOS:000274587400025","View Full Record in Web of Science")</f>
        <v>View Full Record in Web of Science</v>
      </c>
    </row>
    <row r="584" spans="1:72" s="2" customFormat="1" x14ac:dyDescent="0.4">
      <c r="A584" s="2" t="s">
        <v>72</v>
      </c>
      <c r="B584" s="2" t="s">
        <v>6442</v>
      </c>
      <c r="C584" s="2" t="s">
        <v>74</v>
      </c>
      <c r="D584" s="2" t="s">
        <v>74</v>
      </c>
      <c r="E584" s="2" t="s">
        <v>74</v>
      </c>
      <c r="F584" s="2" t="s">
        <v>6443</v>
      </c>
      <c r="G584" s="2" t="s">
        <v>74</v>
      </c>
      <c r="H584" s="2" t="s">
        <v>74</v>
      </c>
      <c r="I584" s="2" t="s">
        <v>6444</v>
      </c>
      <c r="J584" s="2" t="s">
        <v>6445</v>
      </c>
      <c r="K584" s="2" t="s">
        <v>74</v>
      </c>
      <c r="L584" s="2" t="s">
        <v>74</v>
      </c>
      <c r="M584" s="2" t="s">
        <v>74</v>
      </c>
      <c r="N584" s="2" t="s">
        <v>74</v>
      </c>
      <c r="O584" s="2" t="s">
        <v>74</v>
      </c>
      <c r="P584" s="2" t="s">
        <v>74</v>
      </c>
      <c r="Q584" s="2" t="s">
        <v>74</v>
      </c>
      <c r="R584" s="2" t="s">
        <v>74</v>
      </c>
      <c r="S584" s="2" t="s">
        <v>74</v>
      </c>
      <c r="T584" s="2" t="s">
        <v>74</v>
      </c>
      <c r="U584" s="2" t="s">
        <v>74</v>
      </c>
      <c r="V584" s="5" t="s">
        <v>6446</v>
      </c>
      <c r="W584" s="2" t="s">
        <v>74</v>
      </c>
      <c r="X584" s="2" t="s">
        <v>74</v>
      </c>
      <c r="Y584" s="2" t="s">
        <v>74</v>
      </c>
      <c r="Z584" s="2" t="s">
        <v>74</v>
      </c>
      <c r="AA584" s="2" t="s">
        <v>74</v>
      </c>
      <c r="AB584" s="2" t="s">
        <v>74</v>
      </c>
      <c r="AC584" s="2" t="s">
        <v>74</v>
      </c>
      <c r="AD584" s="2" t="s">
        <v>74</v>
      </c>
      <c r="AE584" s="2" t="s">
        <v>74</v>
      </c>
      <c r="AF584" s="2" t="s">
        <v>74</v>
      </c>
      <c r="AG584" s="2" t="s">
        <v>74</v>
      </c>
      <c r="AH584" s="2" t="s">
        <v>74</v>
      </c>
      <c r="AI584" s="2" t="s">
        <v>74</v>
      </c>
      <c r="AJ584" s="2" t="s">
        <v>74</v>
      </c>
      <c r="AK584" s="2" t="s">
        <v>74</v>
      </c>
      <c r="AL584" s="2" t="s">
        <v>74</v>
      </c>
      <c r="AM584" s="2" t="s">
        <v>74</v>
      </c>
      <c r="AN584" s="2" t="s">
        <v>74</v>
      </c>
      <c r="AO584" s="2" t="s">
        <v>6447</v>
      </c>
      <c r="AP584" s="2" t="s">
        <v>6448</v>
      </c>
      <c r="AQ584" s="2" t="s">
        <v>74</v>
      </c>
      <c r="AR584" s="2" t="s">
        <v>74</v>
      </c>
      <c r="AS584" s="2" t="s">
        <v>74</v>
      </c>
      <c r="AT584" s="2" t="s">
        <v>305</v>
      </c>
      <c r="AU584" s="2">
        <v>2023</v>
      </c>
      <c r="AV584" s="2">
        <v>63</v>
      </c>
      <c r="AW584" s="2">
        <v>7</v>
      </c>
      <c r="AX584" s="2" t="s">
        <v>74</v>
      </c>
      <c r="AY584" s="2" t="s">
        <v>74</v>
      </c>
      <c r="AZ584" s="2" t="s">
        <v>848</v>
      </c>
      <c r="BA584" s="2" t="s">
        <v>74</v>
      </c>
      <c r="BB584" s="2">
        <v>1279</v>
      </c>
      <c r="BC584" s="2">
        <v>1296</v>
      </c>
      <c r="BD584" s="2" t="s">
        <v>74</v>
      </c>
      <c r="BE584" s="2" t="s">
        <v>6449</v>
      </c>
      <c r="BF584" s="2" t="str">
        <f>HYPERLINK("http://dx.doi.org/10.1134/S0032945223070081","http://dx.doi.org/10.1134/S0032945223070081")</f>
        <v>http://dx.doi.org/10.1134/S0032945223070081</v>
      </c>
      <c r="BG584" s="2" t="s">
        <v>74</v>
      </c>
      <c r="BH584" s="2" t="s">
        <v>74</v>
      </c>
      <c r="BI584" s="2" t="s">
        <v>74</v>
      </c>
      <c r="BJ584" s="2" t="s">
        <v>74</v>
      </c>
      <c r="BK584" s="2" t="s">
        <v>74</v>
      </c>
      <c r="BL584" s="2" t="s">
        <v>74</v>
      </c>
      <c r="BM584" s="2" t="s">
        <v>74</v>
      </c>
      <c r="BN584" s="2" t="s">
        <v>74</v>
      </c>
      <c r="BO584" s="2" t="s">
        <v>74</v>
      </c>
      <c r="BP584" s="2" t="s">
        <v>74</v>
      </c>
      <c r="BQ584" s="2" t="s">
        <v>74</v>
      </c>
      <c r="BR584" s="2" t="s">
        <v>74</v>
      </c>
      <c r="BS584" s="2" t="s">
        <v>6450</v>
      </c>
      <c r="BT584" s="2" t="str">
        <f>HYPERLINK("https%3A%2F%2Fwww.webofscience.com%2Fwos%2Fwoscc%2Ffull-record%2FWOS:001125556700003","View Full Record in Web of Science")</f>
        <v>View Full Record in Web of Science</v>
      </c>
    </row>
    <row r="585" spans="1:72" s="2" customFormat="1" x14ac:dyDescent="0.4">
      <c r="A585" s="2" t="s">
        <v>72</v>
      </c>
      <c r="B585" s="2" t="s">
        <v>5448</v>
      </c>
      <c r="C585" s="2" t="s">
        <v>74</v>
      </c>
      <c r="D585" s="2" t="s">
        <v>74</v>
      </c>
      <c r="E585" s="2" t="s">
        <v>74</v>
      </c>
      <c r="F585" s="2" t="s">
        <v>5448</v>
      </c>
      <c r="G585" s="2" t="s">
        <v>74</v>
      </c>
      <c r="H585" s="2" t="s">
        <v>74</v>
      </c>
      <c r="I585" s="2" t="s">
        <v>5449</v>
      </c>
      <c r="J585" s="2" t="s">
        <v>2966</v>
      </c>
      <c r="K585" s="2" t="s">
        <v>74</v>
      </c>
      <c r="L585" s="2" t="s">
        <v>74</v>
      </c>
      <c r="M585" s="2" t="s">
        <v>74</v>
      </c>
      <c r="N585" s="2" t="s">
        <v>74</v>
      </c>
      <c r="O585" s="2" t="s">
        <v>74</v>
      </c>
      <c r="P585" s="2" t="s">
        <v>74</v>
      </c>
      <c r="Q585" s="2" t="s">
        <v>74</v>
      </c>
      <c r="R585" s="2" t="s">
        <v>74</v>
      </c>
      <c r="S585" s="2" t="s">
        <v>74</v>
      </c>
      <c r="T585" s="2" t="s">
        <v>74</v>
      </c>
      <c r="U585" s="2" t="s">
        <v>74</v>
      </c>
      <c r="V585" s="5" t="s">
        <v>5450</v>
      </c>
      <c r="W585" s="2" t="s">
        <v>74</v>
      </c>
      <c r="X585" s="2" t="s">
        <v>74</v>
      </c>
      <c r="Y585" s="2" t="s">
        <v>74</v>
      </c>
      <c r="Z585" s="2" t="s">
        <v>74</v>
      </c>
      <c r="AA585" s="2" t="s">
        <v>74</v>
      </c>
      <c r="AB585" s="2" t="s">
        <v>74</v>
      </c>
      <c r="AC585" s="2" t="s">
        <v>74</v>
      </c>
      <c r="AD585" s="2" t="s">
        <v>74</v>
      </c>
      <c r="AE585" s="2" t="s">
        <v>74</v>
      </c>
      <c r="AF585" s="2" t="s">
        <v>74</v>
      </c>
      <c r="AG585" s="2" t="s">
        <v>74</v>
      </c>
      <c r="AH585" s="2" t="s">
        <v>74</v>
      </c>
      <c r="AI585" s="2" t="s">
        <v>74</v>
      </c>
      <c r="AJ585" s="2" t="s">
        <v>74</v>
      </c>
      <c r="AK585" s="2" t="s">
        <v>74</v>
      </c>
      <c r="AL585" s="2" t="s">
        <v>74</v>
      </c>
      <c r="AM585" s="2" t="s">
        <v>74</v>
      </c>
      <c r="AN585" s="2" t="s">
        <v>74</v>
      </c>
      <c r="AO585" s="2" t="s">
        <v>2968</v>
      </c>
      <c r="AP585" s="2" t="s">
        <v>74</v>
      </c>
      <c r="AQ585" s="2" t="s">
        <v>74</v>
      </c>
      <c r="AR585" s="2" t="s">
        <v>74</v>
      </c>
      <c r="AS585" s="2" t="s">
        <v>74</v>
      </c>
      <c r="AT585" s="2" t="s">
        <v>2492</v>
      </c>
      <c r="AU585" s="2">
        <v>1990</v>
      </c>
      <c r="AV585" s="2">
        <v>37</v>
      </c>
      <c r="AW585" s="2">
        <v>3</v>
      </c>
      <c r="AX585" s="2" t="s">
        <v>74</v>
      </c>
      <c r="AY585" s="2" t="s">
        <v>74</v>
      </c>
      <c r="AZ585" s="2" t="s">
        <v>74</v>
      </c>
      <c r="BA585" s="2" t="s">
        <v>74</v>
      </c>
      <c r="BB585" s="2">
        <v>246</v>
      </c>
      <c r="BC585" s="2">
        <v>255</v>
      </c>
      <c r="BD585" s="2" t="s">
        <v>74</v>
      </c>
      <c r="BE585" s="2" t="s">
        <v>74</v>
      </c>
      <c r="BF585" s="2" t="s">
        <v>74</v>
      </c>
      <c r="BG585" s="2" t="s">
        <v>74</v>
      </c>
      <c r="BH585" s="2" t="s">
        <v>74</v>
      </c>
      <c r="BI585" s="2" t="s">
        <v>74</v>
      </c>
      <c r="BJ585" s="2" t="s">
        <v>74</v>
      </c>
      <c r="BK585" s="2" t="s">
        <v>74</v>
      </c>
      <c r="BL585" s="2" t="s">
        <v>74</v>
      </c>
      <c r="BM585" s="2" t="s">
        <v>74</v>
      </c>
      <c r="BN585" s="2" t="s">
        <v>74</v>
      </c>
      <c r="BO585" s="2" t="s">
        <v>74</v>
      </c>
      <c r="BP585" s="2" t="s">
        <v>74</v>
      </c>
      <c r="BQ585" s="2" t="s">
        <v>74</v>
      </c>
      <c r="BR585" s="2" t="s">
        <v>74</v>
      </c>
      <c r="BS585" s="2" t="s">
        <v>5451</v>
      </c>
      <c r="BT585" s="2" t="str">
        <f>HYPERLINK("https%3A%2F%2Fwww.webofscience.com%2Fwos%2Fwoscc%2Ffull-record%2FWOS:A1990EP23300007","View Full Record in Web of Science")</f>
        <v>View Full Record in Web of Science</v>
      </c>
    </row>
    <row r="586" spans="1:72" s="2" customFormat="1" x14ac:dyDescent="0.4">
      <c r="A586" s="2" t="s">
        <v>72</v>
      </c>
      <c r="B586" s="2" t="s">
        <v>1321</v>
      </c>
      <c r="C586" s="2" t="s">
        <v>74</v>
      </c>
      <c r="D586" s="2" t="s">
        <v>74</v>
      </c>
      <c r="E586" s="2" t="s">
        <v>74</v>
      </c>
      <c r="F586" s="2" t="s">
        <v>1322</v>
      </c>
      <c r="G586" s="2" t="s">
        <v>74</v>
      </c>
      <c r="H586" s="2" t="s">
        <v>74</v>
      </c>
      <c r="I586" s="2" t="s">
        <v>1323</v>
      </c>
      <c r="J586" s="2" t="s">
        <v>1324</v>
      </c>
      <c r="K586" s="2" t="s">
        <v>74</v>
      </c>
      <c r="L586" s="2" t="s">
        <v>74</v>
      </c>
      <c r="M586" s="2" t="s">
        <v>74</v>
      </c>
      <c r="N586" s="2" t="s">
        <v>74</v>
      </c>
      <c r="O586" s="2" t="s">
        <v>74</v>
      </c>
      <c r="P586" s="2" t="s">
        <v>74</v>
      </c>
      <c r="Q586" s="2" t="s">
        <v>74</v>
      </c>
      <c r="R586" s="2" t="s">
        <v>74</v>
      </c>
      <c r="S586" s="2" t="s">
        <v>74</v>
      </c>
      <c r="T586" s="2" t="s">
        <v>74</v>
      </c>
      <c r="U586" s="2" t="s">
        <v>74</v>
      </c>
      <c r="V586" s="5" t="s">
        <v>1325</v>
      </c>
      <c r="W586" s="2" t="s">
        <v>74</v>
      </c>
      <c r="X586" s="2" t="s">
        <v>74</v>
      </c>
      <c r="Y586" s="2" t="s">
        <v>74</v>
      </c>
      <c r="Z586" s="2" t="s">
        <v>74</v>
      </c>
      <c r="AA586" s="2" t="s">
        <v>1326</v>
      </c>
      <c r="AB586" s="2" t="s">
        <v>1327</v>
      </c>
      <c r="AC586" s="2" t="s">
        <v>74</v>
      </c>
      <c r="AD586" s="2" t="s">
        <v>74</v>
      </c>
      <c r="AE586" s="2" t="s">
        <v>74</v>
      </c>
      <c r="AF586" s="2" t="s">
        <v>74</v>
      </c>
      <c r="AG586" s="2" t="s">
        <v>74</v>
      </c>
      <c r="AH586" s="2" t="s">
        <v>74</v>
      </c>
      <c r="AI586" s="2" t="s">
        <v>74</v>
      </c>
      <c r="AJ586" s="2" t="s">
        <v>74</v>
      </c>
      <c r="AK586" s="2" t="s">
        <v>74</v>
      </c>
      <c r="AL586" s="2" t="s">
        <v>74</v>
      </c>
      <c r="AM586" s="2" t="s">
        <v>74</v>
      </c>
      <c r="AN586" s="2" t="s">
        <v>74</v>
      </c>
      <c r="AO586" s="2" t="s">
        <v>1328</v>
      </c>
      <c r="AP586" s="2" t="s">
        <v>1329</v>
      </c>
      <c r="AQ586" s="2" t="s">
        <v>74</v>
      </c>
      <c r="AR586" s="2" t="s">
        <v>74</v>
      </c>
      <c r="AS586" s="2" t="s">
        <v>74</v>
      </c>
      <c r="AT586" s="2" t="s">
        <v>123</v>
      </c>
      <c r="AU586" s="2">
        <v>2017</v>
      </c>
      <c r="AV586" s="2">
        <v>83</v>
      </c>
      <c r="AW586" s="2">
        <v>2</v>
      </c>
      <c r="AX586" s="2" t="s">
        <v>74</v>
      </c>
      <c r="AY586" s="2" t="s">
        <v>74</v>
      </c>
      <c r="AZ586" s="2" t="s">
        <v>74</v>
      </c>
      <c r="BA586" s="2" t="s">
        <v>74</v>
      </c>
      <c r="BB586" s="2">
        <v>259</v>
      </c>
      <c r="BC586" s="2">
        <v>264</v>
      </c>
      <c r="BD586" s="2" t="s">
        <v>74</v>
      </c>
      <c r="BE586" s="2" t="s">
        <v>1330</v>
      </c>
      <c r="BF586" s="2" t="str">
        <f>HYPERLINK("http://dx.doi.org/10.1007/s12562-017-1062-8","http://dx.doi.org/10.1007/s12562-017-1062-8")</f>
        <v>http://dx.doi.org/10.1007/s12562-017-1062-8</v>
      </c>
      <c r="BG586" s="2" t="s">
        <v>74</v>
      </c>
      <c r="BH586" s="2" t="s">
        <v>74</v>
      </c>
      <c r="BI586" s="2" t="s">
        <v>74</v>
      </c>
      <c r="BJ586" s="2" t="s">
        <v>74</v>
      </c>
      <c r="BK586" s="2" t="s">
        <v>74</v>
      </c>
      <c r="BL586" s="2" t="s">
        <v>74</v>
      </c>
      <c r="BM586" s="2" t="s">
        <v>74</v>
      </c>
      <c r="BN586" s="2" t="s">
        <v>74</v>
      </c>
      <c r="BO586" s="2" t="s">
        <v>74</v>
      </c>
      <c r="BP586" s="2" t="s">
        <v>74</v>
      </c>
      <c r="BQ586" s="2" t="s">
        <v>74</v>
      </c>
      <c r="BR586" s="2" t="s">
        <v>74</v>
      </c>
      <c r="BS586" s="2" t="s">
        <v>1331</v>
      </c>
      <c r="BT586" s="2" t="str">
        <f>HYPERLINK("https%3A%2F%2Fwww.webofscience.com%2Fwos%2Fwoscc%2Ffull-record%2FWOS:000399657400013","View Full Record in Web of Science")</f>
        <v>View Full Record in Web of Science</v>
      </c>
    </row>
    <row r="587" spans="1:72" s="2" customFormat="1" x14ac:dyDescent="0.4">
      <c r="A587" s="2" t="s">
        <v>72</v>
      </c>
      <c r="B587" s="2" t="s">
        <v>2771</v>
      </c>
      <c r="C587" s="2" t="s">
        <v>74</v>
      </c>
      <c r="D587" s="2" t="s">
        <v>74</v>
      </c>
      <c r="E587" s="2" t="s">
        <v>74</v>
      </c>
      <c r="F587" s="2" t="s">
        <v>2772</v>
      </c>
      <c r="G587" s="2" t="s">
        <v>74</v>
      </c>
      <c r="H587" s="2" t="s">
        <v>74</v>
      </c>
      <c r="I587" s="2" t="s">
        <v>2773</v>
      </c>
      <c r="J587" s="2" t="s">
        <v>88</v>
      </c>
      <c r="K587" s="2" t="s">
        <v>74</v>
      </c>
      <c r="L587" s="2" t="s">
        <v>74</v>
      </c>
      <c r="M587" s="2" t="s">
        <v>74</v>
      </c>
      <c r="N587" s="2" t="s">
        <v>74</v>
      </c>
      <c r="O587" s="2" t="s">
        <v>74</v>
      </c>
      <c r="P587" s="2" t="s">
        <v>74</v>
      </c>
      <c r="Q587" s="2" t="s">
        <v>74</v>
      </c>
      <c r="R587" s="2" t="s">
        <v>74</v>
      </c>
      <c r="S587" s="2" t="s">
        <v>74</v>
      </c>
      <c r="T587" s="2" t="s">
        <v>74</v>
      </c>
      <c r="U587" s="2" t="s">
        <v>74</v>
      </c>
      <c r="V587" s="5" t="s">
        <v>2774</v>
      </c>
      <c r="W587" s="2" t="s">
        <v>74</v>
      </c>
      <c r="X587" s="2" t="s">
        <v>74</v>
      </c>
      <c r="Y587" s="2" t="s">
        <v>74</v>
      </c>
      <c r="Z587" s="2" t="s">
        <v>74</v>
      </c>
      <c r="AA587" s="2" t="s">
        <v>2775</v>
      </c>
      <c r="AB587" s="2" t="s">
        <v>2776</v>
      </c>
      <c r="AC587" s="2" t="s">
        <v>74</v>
      </c>
      <c r="AD587" s="2" t="s">
        <v>74</v>
      </c>
      <c r="AE587" s="2" t="s">
        <v>74</v>
      </c>
      <c r="AF587" s="2" t="s">
        <v>74</v>
      </c>
      <c r="AG587" s="2" t="s">
        <v>74</v>
      </c>
      <c r="AH587" s="2" t="s">
        <v>74</v>
      </c>
      <c r="AI587" s="2" t="s">
        <v>74</v>
      </c>
      <c r="AJ587" s="2" t="s">
        <v>74</v>
      </c>
      <c r="AK587" s="2" t="s">
        <v>74</v>
      </c>
      <c r="AL587" s="2" t="s">
        <v>74</v>
      </c>
      <c r="AM587" s="2" t="s">
        <v>74</v>
      </c>
      <c r="AN587" s="2" t="s">
        <v>74</v>
      </c>
      <c r="AO587" s="2" t="s">
        <v>91</v>
      </c>
      <c r="AP587" s="2" t="s">
        <v>92</v>
      </c>
      <c r="AQ587" s="2" t="s">
        <v>74</v>
      </c>
      <c r="AR587" s="2" t="s">
        <v>74</v>
      </c>
      <c r="AS587" s="2" t="s">
        <v>74</v>
      </c>
      <c r="AT587" s="2" t="s">
        <v>204</v>
      </c>
      <c r="AU587" s="2">
        <v>2017</v>
      </c>
      <c r="AV587" s="2">
        <v>13</v>
      </c>
      <c r="AW587" s="2">
        <v>7</v>
      </c>
      <c r="AX587" s="2" t="s">
        <v>74</v>
      </c>
      <c r="AY587" s="2" t="s">
        <v>74</v>
      </c>
      <c r="AZ587" s="2" t="s">
        <v>74</v>
      </c>
      <c r="BA587" s="2" t="s">
        <v>74</v>
      </c>
      <c r="BB587" s="2" t="s">
        <v>74</v>
      </c>
      <c r="BC587" s="2" t="s">
        <v>74</v>
      </c>
      <c r="BD587" s="2">
        <v>20170242</v>
      </c>
      <c r="BE587" s="2" t="s">
        <v>2777</v>
      </c>
      <c r="BF587" s="2" t="str">
        <f>HYPERLINK("http://dx.doi.org/10.1098/rsbl.2017.0242","http://dx.doi.org/10.1098/rsbl.2017.0242")</f>
        <v>http://dx.doi.org/10.1098/rsbl.2017.0242</v>
      </c>
      <c r="BG587" s="2" t="s">
        <v>74</v>
      </c>
      <c r="BH587" s="2" t="s">
        <v>74</v>
      </c>
      <c r="BI587" s="2" t="s">
        <v>74</v>
      </c>
      <c r="BJ587" s="2" t="s">
        <v>74</v>
      </c>
      <c r="BK587" s="2" t="s">
        <v>74</v>
      </c>
      <c r="BL587" s="2" t="s">
        <v>74</v>
      </c>
      <c r="BM587" s="2" t="s">
        <v>74</v>
      </c>
      <c r="BN587" s="2">
        <v>28724689</v>
      </c>
      <c r="BO587" s="2" t="s">
        <v>74</v>
      </c>
      <c r="BP587" s="2" t="s">
        <v>74</v>
      </c>
      <c r="BQ587" s="2" t="s">
        <v>74</v>
      </c>
      <c r="BR587" s="2" t="s">
        <v>74</v>
      </c>
      <c r="BS587" s="2" t="s">
        <v>2778</v>
      </c>
      <c r="BT587" s="2" t="str">
        <f>HYPERLINK("https%3A%2F%2Fwww.webofscience.com%2Fwos%2Fwoscc%2Ffull-record%2FWOS:000409400700003","View Full Record in Web of Science")</f>
        <v>View Full Record in Web of Science</v>
      </c>
    </row>
    <row r="588" spans="1:72" s="2" customFormat="1" x14ac:dyDescent="0.4">
      <c r="A588" s="2" t="s">
        <v>72</v>
      </c>
      <c r="B588" s="2" t="s">
        <v>7451</v>
      </c>
      <c r="C588" s="2" t="s">
        <v>74</v>
      </c>
      <c r="D588" s="2" t="s">
        <v>74</v>
      </c>
      <c r="E588" s="2" t="s">
        <v>74</v>
      </c>
      <c r="F588" s="2" t="s">
        <v>7451</v>
      </c>
      <c r="G588" s="2" t="s">
        <v>74</v>
      </c>
      <c r="H588" s="2" t="s">
        <v>74</v>
      </c>
      <c r="I588" s="2" t="s">
        <v>7452</v>
      </c>
      <c r="J588" s="2" t="s">
        <v>129</v>
      </c>
      <c r="K588" s="2" t="s">
        <v>74</v>
      </c>
      <c r="L588" s="2" t="s">
        <v>74</v>
      </c>
      <c r="M588" s="2" t="s">
        <v>74</v>
      </c>
      <c r="N588" s="2" t="s">
        <v>74</v>
      </c>
      <c r="O588" s="2" t="s">
        <v>74</v>
      </c>
      <c r="P588" s="2" t="s">
        <v>74</v>
      </c>
      <c r="Q588" s="2" t="s">
        <v>74</v>
      </c>
      <c r="R588" s="2" t="s">
        <v>74</v>
      </c>
      <c r="S588" s="2" t="s">
        <v>74</v>
      </c>
      <c r="T588" s="2" t="s">
        <v>74</v>
      </c>
      <c r="U588" s="2" t="s">
        <v>74</v>
      </c>
      <c r="V588" s="5" t="s">
        <v>7453</v>
      </c>
      <c r="W588" s="2" t="s">
        <v>74</v>
      </c>
      <c r="X588" s="2" t="s">
        <v>74</v>
      </c>
      <c r="Y588" s="2" t="s">
        <v>74</v>
      </c>
      <c r="Z588" s="2" t="s">
        <v>74</v>
      </c>
      <c r="AA588" s="2" t="s">
        <v>4828</v>
      </c>
      <c r="AB588" s="2" t="s">
        <v>4829</v>
      </c>
      <c r="AC588" s="2" t="s">
        <v>74</v>
      </c>
      <c r="AD588" s="2" t="s">
        <v>74</v>
      </c>
      <c r="AE588" s="2" t="s">
        <v>74</v>
      </c>
      <c r="AF588" s="2" t="s">
        <v>74</v>
      </c>
      <c r="AG588" s="2" t="s">
        <v>74</v>
      </c>
      <c r="AH588" s="2" t="s">
        <v>74</v>
      </c>
      <c r="AI588" s="2" t="s">
        <v>74</v>
      </c>
      <c r="AJ588" s="2" t="s">
        <v>74</v>
      </c>
      <c r="AK588" s="2" t="s">
        <v>74</v>
      </c>
      <c r="AL588" s="2" t="s">
        <v>74</v>
      </c>
      <c r="AM588" s="2" t="s">
        <v>74</v>
      </c>
      <c r="AN588" s="2" t="s">
        <v>74</v>
      </c>
      <c r="AO588" s="2" t="s">
        <v>132</v>
      </c>
      <c r="AP588" s="2" t="s">
        <v>133</v>
      </c>
      <c r="AQ588" s="2" t="s">
        <v>74</v>
      </c>
      <c r="AR588" s="2" t="s">
        <v>74</v>
      </c>
      <c r="AS588" s="2" t="s">
        <v>74</v>
      </c>
      <c r="AT588" s="2" t="s">
        <v>964</v>
      </c>
      <c r="AU588" s="2">
        <v>2000</v>
      </c>
      <c r="AV588" s="2">
        <v>47</v>
      </c>
      <c r="AW588" s="2">
        <v>3</v>
      </c>
      <c r="AX588" s="2" t="s">
        <v>74</v>
      </c>
      <c r="AY588" s="2" t="s">
        <v>74</v>
      </c>
      <c r="AZ588" s="2" t="s">
        <v>74</v>
      </c>
      <c r="BA588" s="2" t="s">
        <v>74</v>
      </c>
      <c r="BB588" s="2">
        <v>164</v>
      </c>
      <c r="BC588" s="2">
        <v>170</v>
      </c>
      <c r="BD588" s="2" t="s">
        <v>74</v>
      </c>
      <c r="BE588" s="2" t="s">
        <v>7454</v>
      </c>
      <c r="BF588" s="2" t="str">
        <f>HYPERLINK("http://dx.doi.org/10.1007/s002650050007","http://dx.doi.org/10.1007/s002650050007")</f>
        <v>http://dx.doi.org/10.1007/s002650050007</v>
      </c>
      <c r="BG588" s="2" t="s">
        <v>74</v>
      </c>
      <c r="BH588" s="2" t="s">
        <v>74</v>
      </c>
      <c r="BI588" s="2" t="s">
        <v>74</v>
      </c>
      <c r="BJ588" s="2" t="s">
        <v>74</v>
      </c>
      <c r="BK588" s="2" t="s">
        <v>74</v>
      </c>
      <c r="BL588" s="2" t="s">
        <v>74</v>
      </c>
      <c r="BM588" s="2" t="s">
        <v>74</v>
      </c>
      <c r="BN588" s="2" t="s">
        <v>74</v>
      </c>
      <c r="BO588" s="2" t="s">
        <v>74</v>
      </c>
      <c r="BP588" s="2" t="s">
        <v>74</v>
      </c>
      <c r="BQ588" s="2" t="s">
        <v>74</v>
      </c>
      <c r="BR588" s="2" t="s">
        <v>74</v>
      </c>
      <c r="BS588" s="2" t="s">
        <v>7455</v>
      </c>
      <c r="BT588" s="2" t="str">
        <f>HYPERLINK("https%3A%2F%2Fwww.webofscience.com%2Fwos%2Fwoscc%2Ffull-record%2FWOS:000085378400007","View Full Record in Web of Science")</f>
        <v>View Full Record in Web of Science</v>
      </c>
    </row>
    <row r="589" spans="1:72" s="2" customFormat="1" x14ac:dyDescent="0.4">
      <c r="A589" s="2" t="s">
        <v>72</v>
      </c>
      <c r="B589" s="2" t="s">
        <v>1580</v>
      </c>
      <c r="C589" s="2" t="s">
        <v>74</v>
      </c>
      <c r="D589" s="2" t="s">
        <v>74</v>
      </c>
      <c r="E589" s="2" t="s">
        <v>74</v>
      </c>
      <c r="F589" s="2" t="s">
        <v>1580</v>
      </c>
      <c r="G589" s="2" t="s">
        <v>74</v>
      </c>
      <c r="H589" s="2" t="s">
        <v>74</v>
      </c>
      <c r="I589" s="2" t="s">
        <v>1581</v>
      </c>
      <c r="J589" s="2" t="s">
        <v>229</v>
      </c>
      <c r="K589" s="2" t="s">
        <v>74</v>
      </c>
      <c r="L589" s="2" t="s">
        <v>74</v>
      </c>
      <c r="M589" s="2" t="s">
        <v>74</v>
      </c>
      <c r="N589" s="2" t="s">
        <v>74</v>
      </c>
      <c r="O589" s="2" t="s">
        <v>74</v>
      </c>
      <c r="P589" s="2" t="s">
        <v>74</v>
      </c>
      <c r="Q589" s="2" t="s">
        <v>74</v>
      </c>
      <c r="R589" s="2" t="s">
        <v>74</v>
      </c>
      <c r="S589" s="2" t="s">
        <v>74</v>
      </c>
      <c r="T589" s="2" t="s">
        <v>74</v>
      </c>
      <c r="U589" s="2" t="s">
        <v>74</v>
      </c>
      <c r="V589" s="5" t="s">
        <v>1582</v>
      </c>
      <c r="W589" s="2" t="s">
        <v>74</v>
      </c>
      <c r="X589" s="2" t="s">
        <v>74</v>
      </c>
      <c r="Y589" s="2" t="s">
        <v>74</v>
      </c>
      <c r="Z589" s="2" t="s">
        <v>74</v>
      </c>
      <c r="AA589" s="2" t="s">
        <v>74</v>
      </c>
      <c r="AB589" s="2" t="s">
        <v>74</v>
      </c>
      <c r="AC589" s="2" t="s">
        <v>74</v>
      </c>
      <c r="AD589" s="2" t="s">
        <v>74</v>
      </c>
      <c r="AE589" s="2" t="s">
        <v>74</v>
      </c>
      <c r="AF589" s="2" t="s">
        <v>74</v>
      </c>
      <c r="AG589" s="2" t="s">
        <v>74</v>
      </c>
      <c r="AH589" s="2" t="s">
        <v>74</v>
      </c>
      <c r="AI589" s="2" t="s">
        <v>74</v>
      </c>
      <c r="AJ589" s="2" t="s">
        <v>74</v>
      </c>
      <c r="AK589" s="2" t="s">
        <v>74</v>
      </c>
      <c r="AL589" s="2" t="s">
        <v>74</v>
      </c>
      <c r="AM589" s="2" t="s">
        <v>74</v>
      </c>
      <c r="AN589" s="2" t="s">
        <v>74</v>
      </c>
      <c r="AO589" s="2" t="s">
        <v>233</v>
      </c>
      <c r="AP589" s="2" t="s">
        <v>234</v>
      </c>
      <c r="AQ589" s="2" t="s">
        <v>74</v>
      </c>
      <c r="AR589" s="2" t="s">
        <v>74</v>
      </c>
      <c r="AS589" s="2" t="s">
        <v>74</v>
      </c>
      <c r="AT589" s="2" t="s">
        <v>74</v>
      </c>
      <c r="AU589" s="2">
        <v>1988</v>
      </c>
      <c r="AV589" s="2">
        <v>14</v>
      </c>
      <c r="AW589" s="2">
        <v>4</v>
      </c>
      <c r="AX589" s="2" t="s">
        <v>74</v>
      </c>
      <c r="AY589" s="2" t="s">
        <v>74</v>
      </c>
      <c r="AZ589" s="2" t="s">
        <v>74</v>
      </c>
      <c r="BA589" s="2" t="s">
        <v>74</v>
      </c>
      <c r="BB589" s="2">
        <v>245</v>
      </c>
      <c r="BC589" s="2">
        <v>254</v>
      </c>
      <c r="BD589" s="2" t="s">
        <v>74</v>
      </c>
      <c r="BE589" s="2" t="s">
        <v>1583</v>
      </c>
      <c r="BF589" s="2" t="str">
        <f>HYPERLINK("http://dx.doi.org/10.1002/1098-2337(1988)14:4&lt;245::AID-AB2480140403&gt;3.0.CO;2-I","http://dx.doi.org/10.1002/1098-2337(1988)14:4&lt;245::AID-AB2480140403&gt;3.0.CO;2-I")</f>
        <v>http://dx.doi.org/10.1002/1098-2337(1988)14:4&lt;245::AID-AB2480140403&gt;3.0.CO;2-I</v>
      </c>
      <c r="BG589" s="2" t="s">
        <v>74</v>
      </c>
      <c r="BH589" s="2" t="s">
        <v>74</v>
      </c>
      <c r="BI589" s="2" t="s">
        <v>74</v>
      </c>
      <c r="BJ589" s="2" t="s">
        <v>74</v>
      </c>
      <c r="BK589" s="2" t="s">
        <v>74</v>
      </c>
      <c r="BL589" s="2" t="s">
        <v>74</v>
      </c>
      <c r="BM589" s="2" t="s">
        <v>74</v>
      </c>
      <c r="BN589" s="2" t="s">
        <v>74</v>
      </c>
      <c r="BO589" s="2" t="s">
        <v>74</v>
      </c>
      <c r="BP589" s="2" t="s">
        <v>74</v>
      </c>
      <c r="BQ589" s="2" t="s">
        <v>74</v>
      </c>
      <c r="BR589" s="2" t="s">
        <v>74</v>
      </c>
      <c r="BS589" s="2" t="s">
        <v>1584</v>
      </c>
      <c r="BT589" s="2" t="str">
        <f>HYPERLINK("https%3A%2F%2Fwww.webofscience.com%2Fwos%2Fwoscc%2Ffull-record%2FWOS:A1988P800800002","View Full Record in Web of Science")</f>
        <v>View Full Record in Web of Science</v>
      </c>
    </row>
    <row r="590" spans="1:72" s="2" customFormat="1" x14ac:dyDescent="0.4">
      <c r="A590" s="2" t="s">
        <v>72</v>
      </c>
      <c r="B590" s="2" t="s">
        <v>4251</v>
      </c>
      <c r="C590" s="2" t="s">
        <v>74</v>
      </c>
      <c r="D590" s="2" t="s">
        <v>74</v>
      </c>
      <c r="E590" s="2" t="s">
        <v>74</v>
      </c>
      <c r="F590" s="2" t="s">
        <v>4252</v>
      </c>
      <c r="G590" s="2" t="s">
        <v>74</v>
      </c>
      <c r="H590" s="2" t="s">
        <v>74</v>
      </c>
      <c r="I590" s="2" t="s">
        <v>4253</v>
      </c>
      <c r="J590" s="2" t="s">
        <v>108</v>
      </c>
      <c r="K590" s="2" t="s">
        <v>74</v>
      </c>
      <c r="L590" s="2" t="s">
        <v>74</v>
      </c>
      <c r="M590" s="2" t="s">
        <v>74</v>
      </c>
      <c r="N590" s="2" t="s">
        <v>74</v>
      </c>
      <c r="O590" s="2" t="s">
        <v>74</v>
      </c>
      <c r="P590" s="2" t="s">
        <v>74</v>
      </c>
      <c r="Q590" s="2" t="s">
        <v>74</v>
      </c>
      <c r="R590" s="2" t="s">
        <v>74</v>
      </c>
      <c r="S590" s="2" t="s">
        <v>74</v>
      </c>
      <c r="T590" s="2" t="s">
        <v>74</v>
      </c>
      <c r="U590" s="2" t="s">
        <v>74</v>
      </c>
      <c r="V590" s="5" t="s">
        <v>4254</v>
      </c>
      <c r="W590" s="2" t="s">
        <v>74</v>
      </c>
      <c r="X590" s="2" t="s">
        <v>74</v>
      </c>
      <c r="Y590" s="2" t="s">
        <v>74</v>
      </c>
      <c r="Z590" s="2" t="s">
        <v>74</v>
      </c>
      <c r="AA590" s="2" t="s">
        <v>2184</v>
      </c>
      <c r="AB590" s="2" t="s">
        <v>2806</v>
      </c>
      <c r="AC590" s="2" t="s">
        <v>74</v>
      </c>
      <c r="AD590" s="2" t="s">
        <v>74</v>
      </c>
      <c r="AE590" s="2" t="s">
        <v>74</v>
      </c>
      <c r="AF590" s="2" t="s">
        <v>74</v>
      </c>
      <c r="AG590" s="2" t="s">
        <v>74</v>
      </c>
      <c r="AH590" s="2" t="s">
        <v>74</v>
      </c>
      <c r="AI590" s="2" t="s">
        <v>74</v>
      </c>
      <c r="AJ590" s="2" t="s">
        <v>74</v>
      </c>
      <c r="AK590" s="2" t="s">
        <v>74</v>
      </c>
      <c r="AL590" s="2" t="s">
        <v>74</v>
      </c>
      <c r="AM590" s="2" t="s">
        <v>74</v>
      </c>
      <c r="AN590" s="2" t="s">
        <v>74</v>
      </c>
      <c r="AO590" s="2" t="s">
        <v>111</v>
      </c>
      <c r="AP590" s="2" t="s">
        <v>74</v>
      </c>
      <c r="AQ590" s="2" t="s">
        <v>74</v>
      </c>
      <c r="AR590" s="2" t="s">
        <v>74</v>
      </c>
      <c r="AS590" s="2" t="s">
        <v>74</v>
      </c>
      <c r="AT590" s="2" t="s">
        <v>275</v>
      </c>
      <c r="AU590" s="2">
        <v>2007</v>
      </c>
      <c r="AV590" s="2">
        <v>274</v>
      </c>
      <c r="AW590" s="2">
        <v>1613</v>
      </c>
      <c r="AX590" s="2" t="s">
        <v>74</v>
      </c>
      <c r="AY590" s="2" t="s">
        <v>74</v>
      </c>
      <c r="AZ590" s="2" t="s">
        <v>74</v>
      </c>
      <c r="BA590" s="2" t="s">
        <v>74</v>
      </c>
      <c r="BB590" s="2">
        <v>1043</v>
      </c>
      <c r="BC590" s="2">
        <v>1047</v>
      </c>
      <c r="BD590" s="2" t="s">
        <v>74</v>
      </c>
      <c r="BE590" s="2" t="s">
        <v>4255</v>
      </c>
      <c r="BF590" s="2" t="str">
        <f>HYPERLINK("http://dx.doi.org/10.1098/rspb.2006.0043","http://dx.doi.org/10.1098/rspb.2006.0043")</f>
        <v>http://dx.doi.org/10.1098/rspb.2006.0043</v>
      </c>
      <c r="BG590" s="2" t="s">
        <v>74</v>
      </c>
      <c r="BH590" s="2" t="s">
        <v>74</v>
      </c>
      <c r="BI590" s="2" t="s">
        <v>74</v>
      </c>
      <c r="BJ590" s="2" t="s">
        <v>74</v>
      </c>
      <c r="BK590" s="2" t="s">
        <v>74</v>
      </c>
      <c r="BL590" s="2" t="s">
        <v>74</v>
      </c>
      <c r="BM590" s="2" t="s">
        <v>74</v>
      </c>
      <c r="BN590" s="2">
        <v>17284412</v>
      </c>
      <c r="BO590" s="2" t="s">
        <v>74</v>
      </c>
      <c r="BP590" s="2" t="s">
        <v>74</v>
      </c>
      <c r="BQ590" s="2" t="s">
        <v>74</v>
      </c>
      <c r="BR590" s="2" t="s">
        <v>74</v>
      </c>
      <c r="BS590" s="2" t="s">
        <v>4256</v>
      </c>
      <c r="BT590" s="2" t="str">
        <f>HYPERLINK("https%3A%2F%2Fwww.webofscience.com%2Fwos%2Fwoscc%2Ffull-record%2FWOS:000245472200005","View Full Record in Web of Science")</f>
        <v>View Full Record in Web of Science</v>
      </c>
    </row>
    <row r="591" spans="1:72" s="2" customFormat="1" x14ac:dyDescent="0.4">
      <c r="A591" s="2" t="s">
        <v>72</v>
      </c>
      <c r="B591" s="2" t="s">
        <v>2803</v>
      </c>
      <c r="C591" s="2" t="s">
        <v>74</v>
      </c>
      <c r="D591" s="2" t="s">
        <v>74</v>
      </c>
      <c r="E591" s="2" t="s">
        <v>74</v>
      </c>
      <c r="F591" s="2" t="s">
        <v>2803</v>
      </c>
      <c r="G591" s="2" t="s">
        <v>74</v>
      </c>
      <c r="H591" s="2" t="s">
        <v>74</v>
      </c>
      <c r="I591" s="2" t="s">
        <v>2804</v>
      </c>
      <c r="J591" s="2" t="s">
        <v>499</v>
      </c>
      <c r="K591" s="2" t="s">
        <v>74</v>
      </c>
      <c r="L591" s="2" t="s">
        <v>74</v>
      </c>
      <c r="M591" s="2" t="s">
        <v>74</v>
      </c>
      <c r="N591" s="2" t="s">
        <v>74</v>
      </c>
      <c r="O591" s="2" t="s">
        <v>74</v>
      </c>
      <c r="P591" s="2" t="s">
        <v>74</v>
      </c>
      <c r="Q591" s="2" t="s">
        <v>74</v>
      </c>
      <c r="R591" s="2" t="s">
        <v>74</v>
      </c>
      <c r="S591" s="2" t="s">
        <v>74</v>
      </c>
      <c r="T591" s="2" t="s">
        <v>74</v>
      </c>
      <c r="U591" s="2" t="s">
        <v>74</v>
      </c>
      <c r="V591" s="5" t="s">
        <v>2805</v>
      </c>
      <c r="W591" s="2" t="s">
        <v>74</v>
      </c>
      <c r="X591" s="2" t="s">
        <v>74</v>
      </c>
      <c r="Y591" s="2" t="s">
        <v>74</v>
      </c>
      <c r="Z591" s="2" t="s">
        <v>74</v>
      </c>
      <c r="AA591" s="2" t="s">
        <v>2184</v>
      </c>
      <c r="AB591" s="2" t="s">
        <v>2806</v>
      </c>
      <c r="AC591" s="2" t="s">
        <v>74</v>
      </c>
      <c r="AD591" s="2" t="s">
        <v>74</v>
      </c>
      <c r="AE591" s="2" t="s">
        <v>74</v>
      </c>
      <c r="AF591" s="2" t="s">
        <v>74</v>
      </c>
      <c r="AG591" s="2" t="s">
        <v>74</v>
      </c>
      <c r="AH591" s="2" t="s">
        <v>74</v>
      </c>
      <c r="AI591" s="2" t="s">
        <v>74</v>
      </c>
      <c r="AJ591" s="2" t="s">
        <v>74</v>
      </c>
      <c r="AK591" s="2" t="s">
        <v>74</v>
      </c>
      <c r="AL591" s="2" t="s">
        <v>74</v>
      </c>
      <c r="AM591" s="2" t="s">
        <v>74</v>
      </c>
      <c r="AN591" s="2" t="s">
        <v>74</v>
      </c>
      <c r="AO591" s="2" t="s">
        <v>503</v>
      </c>
      <c r="AP591" s="2" t="s">
        <v>504</v>
      </c>
      <c r="AQ591" s="2" t="s">
        <v>74</v>
      </c>
      <c r="AR591" s="2" t="s">
        <v>74</v>
      </c>
      <c r="AS591" s="2" t="s">
        <v>74</v>
      </c>
      <c r="AT591" s="2" t="s">
        <v>255</v>
      </c>
      <c r="AU591" s="2">
        <v>2005</v>
      </c>
      <c r="AV591" s="2">
        <v>7</v>
      </c>
      <c r="AW591" s="2">
        <v>1</v>
      </c>
      <c r="AX591" s="2" t="s">
        <v>74</v>
      </c>
      <c r="AY591" s="2" t="s">
        <v>74</v>
      </c>
      <c r="AZ591" s="2" t="s">
        <v>74</v>
      </c>
      <c r="BA591" s="2" t="s">
        <v>74</v>
      </c>
      <c r="BB591" s="2">
        <v>133</v>
      </c>
      <c r="BC591" s="2">
        <v>141</v>
      </c>
      <c r="BD591" s="2" t="s">
        <v>74</v>
      </c>
      <c r="BE591" s="2" t="s">
        <v>74</v>
      </c>
      <c r="BF591" s="2" t="s">
        <v>74</v>
      </c>
      <c r="BG591" s="2" t="s">
        <v>74</v>
      </c>
      <c r="BH591" s="2" t="s">
        <v>74</v>
      </c>
      <c r="BI591" s="2" t="s">
        <v>74</v>
      </c>
      <c r="BJ591" s="2" t="s">
        <v>74</v>
      </c>
      <c r="BK591" s="2" t="s">
        <v>74</v>
      </c>
      <c r="BL591" s="2" t="s">
        <v>74</v>
      </c>
      <c r="BM591" s="2" t="s">
        <v>74</v>
      </c>
      <c r="BN591" s="2" t="s">
        <v>74</v>
      </c>
      <c r="BO591" s="2" t="s">
        <v>74</v>
      </c>
      <c r="BP591" s="2" t="s">
        <v>74</v>
      </c>
      <c r="BQ591" s="2" t="s">
        <v>74</v>
      </c>
      <c r="BR591" s="2" t="s">
        <v>74</v>
      </c>
      <c r="BS591" s="2" t="s">
        <v>2807</v>
      </c>
      <c r="BT591" s="2" t="str">
        <f>HYPERLINK("https%3A%2F%2Fwww.webofscience.com%2Fwos%2Fwoscc%2Ffull-record%2FWOS:000227450800009","View Full Record in Web of Science")</f>
        <v>View Full Record in Web of Science</v>
      </c>
    </row>
    <row r="592" spans="1:72" s="2" customFormat="1" x14ac:dyDescent="0.4">
      <c r="A592" s="2" t="s">
        <v>72</v>
      </c>
      <c r="B592" s="2" t="s">
        <v>215</v>
      </c>
      <c r="C592" s="2" t="s">
        <v>74</v>
      </c>
      <c r="D592" s="2" t="s">
        <v>74</v>
      </c>
      <c r="E592" s="2" t="s">
        <v>74</v>
      </c>
      <c r="F592" s="2" t="s">
        <v>216</v>
      </c>
      <c r="G592" s="2" t="s">
        <v>74</v>
      </c>
      <c r="H592" s="2" t="s">
        <v>74</v>
      </c>
      <c r="I592" s="2" t="s">
        <v>217</v>
      </c>
      <c r="J592" s="2" t="s">
        <v>218</v>
      </c>
      <c r="K592" s="2" t="s">
        <v>74</v>
      </c>
      <c r="L592" s="2" t="s">
        <v>74</v>
      </c>
      <c r="M592" s="2" t="s">
        <v>74</v>
      </c>
      <c r="N592" s="2" t="s">
        <v>74</v>
      </c>
      <c r="O592" s="2" t="s">
        <v>74</v>
      </c>
      <c r="P592" s="2" t="s">
        <v>74</v>
      </c>
      <c r="Q592" s="2" t="s">
        <v>74</v>
      </c>
      <c r="R592" s="2" t="s">
        <v>74</v>
      </c>
      <c r="S592" s="2" t="s">
        <v>74</v>
      </c>
      <c r="T592" s="2" t="s">
        <v>74</v>
      </c>
      <c r="U592" s="2" t="s">
        <v>74</v>
      </c>
      <c r="V592" s="5" t="s">
        <v>219</v>
      </c>
      <c r="W592" s="2" t="s">
        <v>74</v>
      </c>
      <c r="X592" s="2" t="s">
        <v>74</v>
      </c>
      <c r="Y592" s="2" t="s">
        <v>74</v>
      </c>
      <c r="Z592" s="2" t="s">
        <v>74</v>
      </c>
      <c r="AA592" s="2" t="s">
        <v>74</v>
      </c>
      <c r="AB592" s="2" t="s">
        <v>220</v>
      </c>
      <c r="AC592" s="2" t="s">
        <v>74</v>
      </c>
      <c r="AD592" s="2" t="s">
        <v>74</v>
      </c>
      <c r="AE592" s="2" t="s">
        <v>74</v>
      </c>
      <c r="AF592" s="2" t="s">
        <v>74</v>
      </c>
      <c r="AG592" s="2" t="s">
        <v>74</v>
      </c>
      <c r="AH592" s="2" t="s">
        <v>74</v>
      </c>
      <c r="AI592" s="2" t="s">
        <v>74</v>
      </c>
      <c r="AJ592" s="2" t="s">
        <v>74</v>
      </c>
      <c r="AK592" s="2" t="s">
        <v>74</v>
      </c>
      <c r="AL592" s="2" t="s">
        <v>74</v>
      </c>
      <c r="AM592" s="2" t="s">
        <v>74</v>
      </c>
      <c r="AN592" s="2" t="s">
        <v>74</v>
      </c>
      <c r="AO592" s="2" t="s">
        <v>221</v>
      </c>
      <c r="AP592" s="2" t="s">
        <v>222</v>
      </c>
      <c r="AQ592" s="2" t="s">
        <v>74</v>
      </c>
      <c r="AR592" s="2" t="s">
        <v>74</v>
      </c>
      <c r="AS592" s="2" t="s">
        <v>74</v>
      </c>
      <c r="AT592" s="2" t="s">
        <v>204</v>
      </c>
      <c r="AU592" s="2">
        <v>2021</v>
      </c>
      <c r="AV592" s="2">
        <v>34</v>
      </c>
      <c r="AW592" s="2">
        <v>7</v>
      </c>
      <c r="AX592" s="2" t="s">
        <v>74</v>
      </c>
      <c r="AY592" s="2" t="s">
        <v>74</v>
      </c>
      <c r="AZ592" s="2" t="s">
        <v>74</v>
      </c>
      <c r="BA592" s="2" t="s">
        <v>74</v>
      </c>
      <c r="BB592" s="2">
        <v>1110</v>
      </c>
      <c r="BC592" s="2">
        <v>1124</v>
      </c>
      <c r="BD592" s="2" t="s">
        <v>74</v>
      </c>
      <c r="BE592" s="2" t="s">
        <v>223</v>
      </c>
      <c r="BF592" s="2" t="str">
        <f>HYPERLINK("http://dx.doi.org/10.1111/jeb.13798","http://dx.doi.org/10.1111/jeb.13798")</f>
        <v>http://dx.doi.org/10.1111/jeb.13798</v>
      </c>
      <c r="BG592" s="2" t="s">
        <v>74</v>
      </c>
      <c r="BH592" s="2" t="s">
        <v>224</v>
      </c>
      <c r="BI592" s="2" t="s">
        <v>74</v>
      </c>
      <c r="BJ592" s="2" t="s">
        <v>74</v>
      </c>
      <c r="BK592" s="2" t="s">
        <v>74</v>
      </c>
      <c r="BL592" s="2" t="s">
        <v>74</v>
      </c>
      <c r="BM592" s="2" t="s">
        <v>74</v>
      </c>
      <c r="BN592" s="2">
        <v>33949033</v>
      </c>
      <c r="BO592" s="2" t="s">
        <v>74</v>
      </c>
      <c r="BP592" s="2" t="s">
        <v>74</v>
      </c>
      <c r="BQ592" s="2" t="s">
        <v>74</v>
      </c>
      <c r="BR592" s="2" t="s">
        <v>74</v>
      </c>
      <c r="BS592" s="2" t="s">
        <v>225</v>
      </c>
      <c r="BT592" s="2" t="str">
        <f>HYPERLINK("https%3A%2F%2Fwww.webofscience.com%2Fwos%2Fwoscc%2Ffull-record%2FWOS:000668020400001","View Full Record in Web of Science")</f>
        <v>View Full Record in Web of Science</v>
      </c>
    </row>
    <row r="593" spans="1:72" s="2" customFormat="1" x14ac:dyDescent="0.4">
      <c r="A593" s="2" t="s">
        <v>72</v>
      </c>
      <c r="B593" s="2" t="s">
        <v>215</v>
      </c>
      <c r="C593" s="2" t="s">
        <v>74</v>
      </c>
      <c r="D593" s="2" t="s">
        <v>74</v>
      </c>
      <c r="E593" s="2" t="s">
        <v>74</v>
      </c>
      <c r="F593" s="2" t="s">
        <v>216</v>
      </c>
      <c r="G593" s="2" t="s">
        <v>74</v>
      </c>
      <c r="H593" s="2" t="s">
        <v>74</v>
      </c>
      <c r="I593" s="2" t="s">
        <v>898</v>
      </c>
      <c r="J593" s="2" t="s">
        <v>312</v>
      </c>
      <c r="K593" s="2" t="s">
        <v>74</v>
      </c>
      <c r="L593" s="2" t="s">
        <v>74</v>
      </c>
      <c r="M593" s="2" t="s">
        <v>74</v>
      </c>
      <c r="N593" s="2" t="s">
        <v>74</v>
      </c>
      <c r="O593" s="2" t="s">
        <v>74</v>
      </c>
      <c r="P593" s="2" t="s">
        <v>74</v>
      </c>
      <c r="Q593" s="2" t="s">
        <v>74</v>
      </c>
      <c r="R593" s="2" t="s">
        <v>74</v>
      </c>
      <c r="S593" s="2" t="s">
        <v>74</v>
      </c>
      <c r="T593" s="2" t="s">
        <v>74</v>
      </c>
      <c r="U593" s="2" t="s">
        <v>74</v>
      </c>
      <c r="V593" s="5" t="s">
        <v>899</v>
      </c>
      <c r="W593" s="2" t="s">
        <v>74</v>
      </c>
      <c r="X593" s="2" t="s">
        <v>74</v>
      </c>
      <c r="Y593" s="2" t="s">
        <v>74</v>
      </c>
      <c r="Z593" s="2" t="s">
        <v>74</v>
      </c>
      <c r="AA593" s="2" t="s">
        <v>74</v>
      </c>
      <c r="AB593" s="2" t="s">
        <v>74</v>
      </c>
      <c r="AC593" s="2" t="s">
        <v>74</v>
      </c>
      <c r="AD593" s="2" t="s">
        <v>74</v>
      </c>
      <c r="AE593" s="2" t="s">
        <v>74</v>
      </c>
      <c r="AF593" s="2" t="s">
        <v>74</v>
      </c>
      <c r="AG593" s="2" t="s">
        <v>74</v>
      </c>
      <c r="AH593" s="2" t="s">
        <v>74</v>
      </c>
      <c r="AI593" s="2" t="s">
        <v>74</v>
      </c>
      <c r="AJ593" s="2" t="s">
        <v>74</v>
      </c>
      <c r="AK593" s="2" t="s">
        <v>74</v>
      </c>
      <c r="AL593" s="2" t="s">
        <v>74</v>
      </c>
      <c r="AM593" s="2" t="s">
        <v>74</v>
      </c>
      <c r="AN593" s="2" t="s">
        <v>74</v>
      </c>
      <c r="AO593" s="2" t="s">
        <v>314</v>
      </c>
      <c r="AP593" s="2" t="s">
        <v>315</v>
      </c>
      <c r="AQ593" s="2" t="s">
        <v>74</v>
      </c>
      <c r="AR593" s="2" t="s">
        <v>74</v>
      </c>
      <c r="AS593" s="2" t="s">
        <v>74</v>
      </c>
      <c r="AT593" s="2" t="s">
        <v>900</v>
      </c>
      <c r="AU593" s="2">
        <v>2023</v>
      </c>
      <c r="AV593" s="2" t="s">
        <v>74</v>
      </c>
      <c r="AW593" s="2" t="s">
        <v>74</v>
      </c>
      <c r="AX593" s="2" t="s">
        <v>74</v>
      </c>
      <c r="AY593" s="2" t="s">
        <v>74</v>
      </c>
      <c r="AZ593" s="2" t="s">
        <v>74</v>
      </c>
      <c r="BA593" s="2" t="s">
        <v>74</v>
      </c>
      <c r="BB593" s="2" t="s">
        <v>74</v>
      </c>
      <c r="BC593" s="2" t="s">
        <v>74</v>
      </c>
      <c r="BD593" s="2" t="s">
        <v>74</v>
      </c>
      <c r="BE593" s="2" t="s">
        <v>901</v>
      </c>
      <c r="BF593" s="2" t="str">
        <f>HYPERLINK("http://dx.doi.org/10.1086/725916","http://dx.doi.org/10.1086/725916")</f>
        <v>http://dx.doi.org/10.1086/725916</v>
      </c>
      <c r="BG593" s="2" t="s">
        <v>74</v>
      </c>
      <c r="BH593" s="2" t="s">
        <v>902</v>
      </c>
      <c r="BI593" s="2" t="s">
        <v>74</v>
      </c>
      <c r="BJ593" s="2" t="s">
        <v>74</v>
      </c>
      <c r="BK593" s="2" t="s">
        <v>74</v>
      </c>
      <c r="BL593" s="2" t="s">
        <v>74</v>
      </c>
      <c r="BM593" s="2" t="s">
        <v>74</v>
      </c>
      <c r="BN593" s="2">
        <v>37792917</v>
      </c>
      <c r="BO593" s="2" t="s">
        <v>74</v>
      </c>
      <c r="BP593" s="2" t="s">
        <v>74</v>
      </c>
      <c r="BQ593" s="2" t="s">
        <v>74</v>
      </c>
      <c r="BR593" s="2" t="s">
        <v>74</v>
      </c>
      <c r="BS593" s="2" t="s">
        <v>903</v>
      </c>
      <c r="BT593" s="2" t="str">
        <f>HYPERLINK("https%3A%2F%2Fwww.webofscience.com%2Fwos%2Fwoscc%2Ffull-record%2FWOS:001168568800001","View Full Record in Web of Science")</f>
        <v>View Full Record in Web of Science</v>
      </c>
    </row>
    <row r="594" spans="1:72" s="2" customFormat="1" x14ac:dyDescent="0.4">
      <c r="A594" s="2" t="s">
        <v>72</v>
      </c>
      <c r="B594" s="2" t="s">
        <v>564</v>
      </c>
      <c r="C594" s="2" t="s">
        <v>74</v>
      </c>
      <c r="D594" s="2" t="s">
        <v>74</v>
      </c>
      <c r="E594" s="2" t="s">
        <v>74</v>
      </c>
      <c r="F594" s="2" t="s">
        <v>565</v>
      </c>
      <c r="G594" s="2" t="s">
        <v>74</v>
      </c>
      <c r="H594" s="2" t="s">
        <v>74</v>
      </c>
      <c r="I594" s="2" t="s">
        <v>566</v>
      </c>
      <c r="J594" s="2" t="s">
        <v>140</v>
      </c>
      <c r="K594" s="2" t="s">
        <v>74</v>
      </c>
      <c r="L594" s="2" t="s">
        <v>74</v>
      </c>
      <c r="M594" s="2" t="s">
        <v>74</v>
      </c>
      <c r="N594" s="2" t="s">
        <v>74</v>
      </c>
      <c r="O594" s="2" t="s">
        <v>74</v>
      </c>
      <c r="P594" s="2" t="s">
        <v>74</v>
      </c>
      <c r="Q594" s="2" t="s">
        <v>74</v>
      </c>
      <c r="R594" s="2" t="s">
        <v>74</v>
      </c>
      <c r="S594" s="2" t="s">
        <v>74</v>
      </c>
      <c r="T594" s="2" t="s">
        <v>74</v>
      </c>
      <c r="U594" s="2" t="s">
        <v>74</v>
      </c>
      <c r="V594" s="5" t="s">
        <v>567</v>
      </c>
      <c r="W594" s="2" t="s">
        <v>74</v>
      </c>
      <c r="X594" s="2" t="s">
        <v>74</v>
      </c>
      <c r="Y594" s="2" t="s">
        <v>74</v>
      </c>
      <c r="Z594" s="2" t="s">
        <v>74</v>
      </c>
      <c r="AA594" s="2" t="s">
        <v>568</v>
      </c>
      <c r="AB594" s="2" t="s">
        <v>569</v>
      </c>
      <c r="AC594" s="2" t="s">
        <v>74</v>
      </c>
      <c r="AD594" s="2" t="s">
        <v>74</v>
      </c>
      <c r="AE594" s="2" t="s">
        <v>74</v>
      </c>
      <c r="AF594" s="2" t="s">
        <v>74</v>
      </c>
      <c r="AG594" s="2" t="s">
        <v>74</v>
      </c>
      <c r="AH594" s="2" t="s">
        <v>74</v>
      </c>
      <c r="AI594" s="2" t="s">
        <v>74</v>
      </c>
      <c r="AJ594" s="2" t="s">
        <v>74</v>
      </c>
      <c r="AK594" s="2" t="s">
        <v>74</v>
      </c>
      <c r="AL594" s="2" t="s">
        <v>74</v>
      </c>
      <c r="AM594" s="2" t="s">
        <v>74</v>
      </c>
      <c r="AN594" s="2" t="s">
        <v>74</v>
      </c>
      <c r="AO594" s="2" t="s">
        <v>143</v>
      </c>
      <c r="AP594" s="2" t="s">
        <v>144</v>
      </c>
      <c r="AQ594" s="2" t="s">
        <v>74</v>
      </c>
      <c r="AR594" s="2" t="s">
        <v>74</v>
      </c>
      <c r="AS594" s="2" t="s">
        <v>74</v>
      </c>
      <c r="AT594" s="2" t="s">
        <v>102</v>
      </c>
      <c r="AU594" s="2">
        <v>2021</v>
      </c>
      <c r="AV594" s="2">
        <v>176</v>
      </c>
      <c r="AW594" s="2" t="s">
        <v>74</v>
      </c>
      <c r="AX594" s="2" t="s">
        <v>74</v>
      </c>
      <c r="AY594" s="2" t="s">
        <v>74</v>
      </c>
      <c r="AZ594" s="2" t="s">
        <v>74</v>
      </c>
      <c r="BA594" s="2" t="s">
        <v>74</v>
      </c>
      <c r="BB594" s="2">
        <v>157</v>
      </c>
      <c r="BC594" s="2">
        <v>166</v>
      </c>
      <c r="BD594" s="2" t="s">
        <v>74</v>
      </c>
      <c r="BE594" s="2" t="s">
        <v>570</v>
      </c>
      <c r="BF594" s="2" t="str">
        <f>HYPERLINK("http://dx.doi.org/10.1016/j.anbehav.2021.04.006","http://dx.doi.org/10.1016/j.anbehav.2021.04.006")</f>
        <v>http://dx.doi.org/10.1016/j.anbehav.2021.04.006</v>
      </c>
      <c r="BG594" s="2" t="s">
        <v>74</v>
      </c>
      <c r="BH594" s="2" t="s">
        <v>571</v>
      </c>
      <c r="BI594" s="2" t="s">
        <v>74</v>
      </c>
      <c r="BJ594" s="2" t="s">
        <v>74</v>
      </c>
      <c r="BK594" s="2" t="s">
        <v>74</v>
      </c>
      <c r="BL594" s="2" t="s">
        <v>74</v>
      </c>
      <c r="BM594" s="2" t="s">
        <v>74</v>
      </c>
      <c r="BN594" s="2" t="s">
        <v>74</v>
      </c>
      <c r="BO594" s="2" t="s">
        <v>74</v>
      </c>
      <c r="BP594" s="2" t="s">
        <v>74</v>
      </c>
      <c r="BQ594" s="2" t="s">
        <v>74</v>
      </c>
      <c r="BR594" s="2" t="s">
        <v>74</v>
      </c>
      <c r="BS594" s="2" t="s">
        <v>572</v>
      </c>
      <c r="BT594" s="2" t="str">
        <f>HYPERLINK("https%3A%2F%2Fwww.webofscience.com%2Fwos%2Fwoscc%2Ffull-record%2FWOS:000655320000013","View Full Record in Web of Science")</f>
        <v>View Full Record in Web of Science</v>
      </c>
    </row>
    <row r="595" spans="1:72" s="2" customFormat="1" x14ac:dyDescent="0.4">
      <c r="A595" s="2" t="s">
        <v>72</v>
      </c>
      <c r="B595" s="2" t="s">
        <v>564</v>
      </c>
      <c r="C595" s="2" t="s">
        <v>74</v>
      </c>
      <c r="D595" s="2" t="s">
        <v>74</v>
      </c>
      <c r="E595" s="2" t="s">
        <v>74</v>
      </c>
      <c r="F595" s="2" t="s">
        <v>565</v>
      </c>
      <c r="G595" s="2" t="s">
        <v>74</v>
      </c>
      <c r="H595" s="2" t="s">
        <v>74</v>
      </c>
      <c r="I595" s="2" t="s">
        <v>2557</v>
      </c>
      <c r="J595" s="2" t="s">
        <v>576</v>
      </c>
      <c r="K595" s="2" t="s">
        <v>74</v>
      </c>
      <c r="L595" s="2" t="s">
        <v>74</v>
      </c>
      <c r="M595" s="2" t="s">
        <v>74</v>
      </c>
      <c r="N595" s="2" t="s">
        <v>74</v>
      </c>
      <c r="O595" s="2" t="s">
        <v>74</v>
      </c>
      <c r="P595" s="2" t="s">
        <v>74</v>
      </c>
      <c r="Q595" s="2" t="s">
        <v>74</v>
      </c>
      <c r="R595" s="2" t="s">
        <v>74</v>
      </c>
      <c r="S595" s="2" t="s">
        <v>74</v>
      </c>
      <c r="T595" s="2" t="s">
        <v>74</v>
      </c>
      <c r="U595" s="2" t="s">
        <v>74</v>
      </c>
      <c r="V595" s="5" t="s">
        <v>2558</v>
      </c>
      <c r="W595" s="2" t="s">
        <v>74</v>
      </c>
      <c r="X595" s="2" t="s">
        <v>74</v>
      </c>
      <c r="Y595" s="2" t="s">
        <v>74</v>
      </c>
      <c r="Z595" s="2" t="s">
        <v>74</v>
      </c>
      <c r="AA595" s="2" t="s">
        <v>568</v>
      </c>
      <c r="AB595" s="2" t="s">
        <v>569</v>
      </c>
      <c r="AC595" s="2" t="s">
        <v>74</v>
      </c>
      <c r="AD595" s="2" t="s">
        <v>74</v>
      </c>
      <c r="AE595" s="2" t="s">
        <v>74</v>
      </c>
      <c r="AF595" s="2" t="s">
        <v>74</v>
      </c>
      <c r="AG595" s="2" t="s">
        <v>74</v>
      </c>
      <c r="AH595" s="2" t="s">
        <v>74</v>
      </c>
      <c r="AI595" s="2" t="s">
        <v>74</v>
      </c>
      <c r="AJ595" s="2" t="s">
        <v>74</v>
      </c>
      <c r="AK595" s="2" t="s">
        <v>74</v>
      </c>
      <c r="AL595" s="2" t="s">
        <v>74</v>
      </c>
      <c r="AM595" s="2" t="s">
        <v>74</v>
      </c>
      <c r="AN595" s="2" t="s">
        <v>74</v>
      </c>
      <c r="AO595" s="2" t="s">
        <v>579</v>
      </c>
      <c r="AP595" s="2" t="s">
        <v>580</v>
      </c>
      <c r="AQ595" s="2" t="s">
        <v>74</v>
      </c>
      <c r="AR595" s="2" t="s">
        <v>74</v>
      </c>
      <c r="AS595" s="2" t="s">
        <v>74</v>
      </c>
      <c r="AT595" s="2" t="s">
        <v>175</v>
      </c>
      <c r="AU595" s="2">
        <v>2020</v>
      </c>
      <c r="AV595" s="2">
        <v>34</v>
      </c>
      <c r="AW595" s="2">
        <v>5</v>
      </c>
      <c r="AX595" s="2" t="s">
        <v>74</v>
      </c>
      <c r="AY595" s="2" t="s">
        <v>74</v>
      </c>
      <c r="AZ595" s="2" t="s">
        <v>74</v>
      </c>
      <c r="BA595" s="2" t="s">
        <v>74</v>
      </c>
      <c r="BB595" s="2">
        <v>735</v>
      </c>
      <c r="BC595" s="2">
        <v>743</v>
      </c>
      <c r="BD595" s="2" t="s">
        <v>74</v>
      </c>
      <c r="BE595" s="2" t="s">
        <v>2559</v>
      </c>
      <c r="BF595" s="2" t="str">
        <f>HYPERLINK("http://dx.doi.org/10.1007/s10682-020-10064-y","http://dx.doi.org/10.1007/s10682-020-10064-y")</f>
        <v>http://dx.doi.org/10.1007/s10682-020-10064-y</v>
      </c>
      <c r="BG595" s="2" t="s">
        <v>74</v>
      </c>
      <c r="BH595" s="2" t="s">
        <v>2560</v>
      </c>
      <c r="BI595" s="2" t="s">
        <v>74</v>
      </c>
      <c r="BJ595" s="2" t="s">
        <v>74</v>
      </c>
      <c r="BK595" s="2" t="s">
        <v>74</v>
      </c>
      <c r="BL595" s="2" t="s">
        <v>74</v>
      </c>
      <c r="BM595" s="2" t="s">
        <v>74</v>
      </c>
      <c r="BN595" s="2" t="s">
        <v>74</v>
      </c>
      <c r="BO595" s="2" t="s">
        <v>74</v>
      </c>
      <c r="BP595" s="2" t="s">
        <v>74</v>
      </c>
      <c r="BQ595" s="2" t="s">
        <v>74</v>
      </c>
      <c r="BR595" s="2" t="s">
        <v>74</v>
      </c>
      <c r="BS595" s="2" t="s">
        <v>2561</v>
      </c>
      <c r="BT595" s="2" t="str">
        <f>HYPERLINK("https%3A%2F%2Fwww.webofscience.com%2Fwos%2Fwoscc%2Ffull-record%2FWOS:000555728700001","View Full Record in Web of Science")</f>
        <v>View Full Record in Web of Science</v>
      </c>
    </row>
    <row r="596" spans="1:72" s="2" customFormat="1" x14ac:dyDescent="0.4">
      <c r="A596" s="2" t="s">
        <v>72</v>
      </c>
      <c r="B596" s="2" t="s">
        <v>5700</v>
      </c>
      <c r="C596" s="2" t="s">
        <v>74</v>
      </c>
      <c r="D596" s="2" t="s">
        <v>74</v>
      </c>
      <c r="E596" s="2" t="s">
        <v>74</v>
      </c>
      <c r="F596" s="2" t="s">
        <v>5700</v>
      </c>
      <c r="G596" s="2" t="s">
        <v>74</v>
      </c>
      <c r="H596" s="2" t="s">
        <v>74</v>
      </c>
      <c r="I596" s="2" t="s">
        <v>5701</v>
      </c>
      <c r="J596" s="2" t="s">
        <v>201</v>
      </c>
      <c r="K596" s="2" t="s">
        <v>74</v>
      </c>
      <c r="L596" s="2" t="s">
        <v>74</v>
      </c>
      <c r="M596" s="2" t="s">
        <v>74</v>
      </c>
      <c r="N596" s="2" t="s">
        <v>74</v>
      </c>
      <c r="O596" s="2" t="s">
        <v>74</v>
      </c>
      <c r="P596" s="2" t="s">
        <v>74</v>
      </c>
      <c r="Q596" s="2" t="s">
        <v>74</v>
      </c>
      <c r="R596" s="2" t="s">
        <v>74</v>
      </c>
      <c r="S596" s="2" t="s">
        <v>74</v>
      </c>
      <c r="T596" s="2" t="s">
        <v>74</v>
      </c>
      <c r="U596" s="2" t="s">
        <v>74</v>
      </c>
      <c r="V596" s="5" t="s">
        <v>5702</v>
      </c>
      <c r="W596" s="2" t="s">
        <v>74</v>
      </c>
      <c r="X596" s="2" t="s">
        <v>74</v>
      </c>
      <c r="Y596" s="2" t="s">
        <v>74</v>
      </c>
      <c r="Z596" s="2" t="s">
        <v>74</v>
      </c>
      <c r="AA596" s="2" t="s">
        <v>5703</v>
      </c>
      <c r="AB596" s="2" t="s">
        <v>5704</v>
      </c>
      <c r="AC596" s="2" t="s">
        <v>74</v>
      </c>
      <c r="AD596" s="2" t="s">
        <v>74</v>
      </c>
      <c r="AE596" s="2" t="s">
        <v>74</v>
      </c>
      <c r="AF596" s="2" t="s">
        <v>74</v>
      </c>
      <c r="AG596" s="2" t="s">
        <v>74</v>
      </c>
      <c r="AH596" s="2" t="s">
        <v>74</v>
      </c>
      <c r="AI596" s="2" t="s">
        <v>74</v>
      </c>
      <c r="AJ596" s="2" t="s">
        <v>74</v>
      </c>
      <c r="AK596" s="2" t="s">
        <v>74</v>
      </c>
      <c r="AL596" s="2" t="s">
        <v>74</v>
      </c>
      <c r="AM596" s="2" t="s">
        <v>74</v>
      </c>
      <c r="AN596" s="2" t="s">
        <v>74</v>
      </c>
      <c r="AO596" s="2" t="s">
        <v>203</v>
      </c>
      <c r="AP596" s="2" t="s">
        <v>1192</v>
      </c>
      <c r="AQ596" s="2" t="s">
        <v>74</v>
      </c>
      <c r="AR596" s="2" t="s">
        <v>74</v>
      </c>
      <c r="AS596" s="2" t="s">
        <v>74</v>
      </c>
      <c r="AT596" s="2" t="s">
        <v>964</v>
      </c>
      <c r="AU596" s="2">
        <v>2006</v>
      </c>
      <c r="AV596" s="2">
        <v>68</v>
      </c>
      <c r="AW596" s="2">
        <v>2</v>
      </c>
      <c r="AX596" s="2" t="s">
        <v>74</v>
      </c>
      <c r="AY596" s="2" t="s">
        <v>74</v>
      </c>
      <c r="AZ596" s="2" t="s">
        <v>74</v>
      </c>
      <c r="BA596" s="2" t="s">
        <v>74</v>
      </c>
      <c r="BB596" s="2">
        <v>373</v>
      </c>
      <c r="BC596" s="2">
        <v>384</v>
      </c>
      <c r="BD596" s="2" t="s">
        <v>74</v>
      </c>
      <c r="BE596" s="2" t="s">
        <v>5705</v>
      </c>
      <c r="BF596" s="2" t="str">
        <f>HYPERLINK("http://dx.doi.org/10.1111/j.0022-1112.2006.00896.x","http://dx.doi.org/10.1111/j.0022-1112.2006.00896.x")</f>
        <v>http://dx.doi.org/10.1111/j.0022-1112.2006.00896.x</v>
      </c>
      <c r="BG596" s="2" t="s">
        <v>74</v>
      </c>
      <c r="BH596" s="2" t="s">
        <v>74</v>
      </c>
      <c r="BI596" s="2" t="s">
        <v>74</v>
      </c>
      <c r="BJ596" s="2" t="s">
        <v>74</v>
      </c>
      <c r="BK596" s="2" t="s">
        <v>74</v>
      </c>
      <c r="BL596" s="2" t="s">
        <v>74</v>
      </c>
      <c r="BM596" s="2" t="s">
        <v>74</v>
      </c>
      <c r="BN596" s="2" t="s">
        <v>74</v>
      </c>
      <c r="BO596" s="2" t="s">
        <v>74</v>
      </c>
      <c r="BP596" s="2" t="s">
        <v>74</v>
      </c>
      <c r="BQ596" s="2" t="s">
        <v>74</v>
      </c>
      <c r="BR596" s="2" t="s">
        <v>74</v>
      </c>
      <c r="BS596" s="2" t="s">
        <v>5706</v>
      </c>
      <c r="BT596" s="2" t="str">
        <f>HYPERLINK("https%3A%2F%2Fwww.webofscience.com%2Fwos%2Fwoscc%2Ffull-record%2FWOS:000235469400003","View Full Record in Web of Science")</f>
        <v>View Full Record in Web of Science</v>
      </c>
    </row>
    <row r="597" spans="1:72" s="2" customFormat="1" x14ac:dyDescent="0.4">
      <c r="A597" s="2" t="s">
        <v>72</v>
      </c>
      <c r="B597" s="2" t="s">
        <v>8748</v>
      </c>
      <c r="C597" s="2" t="s">
        <v>74</v>
      </c>
      <c r="D597" s="2" t="s">
        <v>74</v>
      </c>
      <c r="E597" s="2" t="s">
        <v>74</v>
      </c>
      <c r="F597" s="2" t="s">
        <v>8749</v>
      </c>
      <c r="G597" s="2" t="s">
        <v>74</v>
      </c>
      <c r="H597" s="2" t="s">
        <v>74</v>
      </c>
      <c r="I597" s="2" t="s">
        <v>8750</v>
      </c>
      <c r="J597" s="2" t="s">
        <v>970</v>
      </c>
      <c r="K597" s="2" t="s">
        <v>74</v>
      </c>
      <c r="L597" s="2" t="s">
        <v>74</v>
      </c>
      <c r="M597" s="2" t="s">
        <v>74</v>
      </c>
      <c r="N597" s="2" t="s">
        <v>74</v>
      </c>
      <c r="O597" s="2" t="s">
        <v>74</v>
      </c>
      <c r="P597" s="2" t="s">
        <v>74</v>
      </c>
      <c r="Q597" s="2" t="s">
        <v>74</v>
      </c>
      <c r="R597" s="2" t="s">
        <v>74</v>
      </c>
      <c r="S597" s="2" t="s">
        <v>74</v>
      </c>
      <c r="T597" s="2" t="s">
        <v>74</v>
      </c>
      <c r="U597" s="2" t="s">
        <v>74</v>
      </c>
      <c r="V597" s="5" t="s">
        <v>8751</v>
      </c>
      <c r="W597" s="2" t="s">
        <v>74</v>
      </c>
      <c r="X597" s="2" t="s">
        <v>74</v>
      </c>
      <c r="Y597" s="2" t="s">
        <v>74</v>
      </c>
      <c r="Z597" s="2" t="s">
        <v>74</v>
      </c>
      <c r="AA597" s="2" t="s">
        <v>8752</v>
      </c>
      <c r="AB597" s="2" t="s">
        <v>8753</v>
      </c>
      <c r="AC597" s="2" t="s">
        <v>74</v>
      </c>
      <c r="AD597" s="2" t="s">
        <v>74</v>
      </c>
      <c r="AE597" s="2" t="s">
        <v>74</v>
      </c>
      <c r="AF597" s="2" t="s">
        <v>74</v>
      </c>
      <c r="AG597" s="2" t="s">
        <v>74</v>
      </c>
      <c r="AH597" s="2" t="s">
        <v>74</v>
      </c>
      <c r="AI597" s="2" t="s">
        <v>74</v>
      </c>
      <c r="AJ597" s="2" t="s">
        <v>74</v>
      </c>
      <c r="AK597" s="2" t="s">
        <v>74</v>
      </c>
      <c r="AL597" s="2" t="s">
        <v>74</v>
      </c>
      <c r="AM597" s="2" t="s">
        <v>74</v>
      </c>
      <c r="AN597" s="2" t="s">
        <v>74</v>
      </c>
      <c r="AO597" s="2" t="s">
        <v>8754</v>
      </c>
      <c r="AP597" s="2" t="s">
        <v>8755</v>
      </c>
      <c r="AQ597" s="2" t="s">
        <v>74</v>
      </c>
      <c r="AR597" s="2" t="s">
        <v>74</v>
      </c>
      <c r="AS597" s="2" t="s">
        <v>74</v>
      </c>
      <c r="AT597" s="2" t="s">
        <v>305</v>
      </c>
      <c r="AU597" s="2">
        <v>2007</v>
      </c>
      <c r="AV597" s="2">
        <v>148</v>
      </c>
      <c r="AW597" s="2" t="s">
        <v>74</v>
      </c>
      <c r="AX597" s="2" t="s">
        <v>74</v>
      </c>
      <c r="AY597" s="2">
        <v>2</v>
      </c>
      <c r="AZ597" s="2" t="s">
        <v>74</v>
      </c>
      <c r="BA597" s="2" t="s">
        <v>74</v>
      </c>
      <c r="BB597" s="2" t="s">
        <v>8756</v>
      </c>
      <c r="BC597" s="2" t="s">
        <v>8757</v>
      </c>
      <c r="BD597" s="2" t="s">
        <v>74</v>
      </c>
      <c r="BE597" s="2" t="s">
        <v>8758</v>
      </c>
      <c r="BF597" s="2" t="str">
        <f>HYPERLINK("http://dx.doi.org/10.1007/s10336-007-0224-3","http://dx.doi.org/10.1007/s10336-007-0224-3")</f>
        <v>http://dx.doi.org/10.1007/s10336-007-0224-3</v>
      </c>
      <c r="BG597" s="2" t="s">
        <v>74</v>
      </c>
      <c r="BH597" s="2" t="s">
        <v>74</v>
      </c>
      <c r="BI597" s="2" t="s">
        <v>74</v>
      </c>
      <c r="BJ597" s="2" t="s">
        <v>74</v>
      </c>
      <c r="BK597" s="2" t="s">
        <v>74</v>
      </c>
      <c r="BL597" s="2" t="s">
        <v>74</v>
      </c>
      <c r="BM597" s="2" t="s">
        <v>74</v>
      </c>
      <c r="BN597" s="2" t="s">
        <v>74</v>
      </c>
      <c r="BO597" s="2" t="s">
        <v>74</v>
      </c>
      <c r="BP597" s="2" t="s">
        <v>74</v>
      </c>
      <c r="BQ597" s="2" t="s">
        <v>74</v>
      </c>
      <c r="BR597" s="2" t="s">
        <v>74</v>
      </c>
      <c r="BS597" s="2" t="s">
        <v>8759</v>
      </c>
      <c r="BT597" s="2" t="str">
        <f>HYPERLINK("https%3A%2F%2Fwww.webofscience.com%2Fwos%2Fwoscc%2Ffull-record%2FWOS:000255199000012","View Full Record in Web of Science")</f>
        <v>View Full Record in Web of Science</v>
      </c>
    </row>
    <row r="598" spans="1:72" s="7" customFormat="1" x14ac:dyDescent="0.4">
      <c r="A598" s="2" t="s">
        <v>72</v>
      </c>
      <c r="B598" s="2" t="s">
        <v>4693</v>
      </c>
      <c r="C598" s="2" t="s">
        <v>74</v>
      </c>
      <c r="D598" s="2" t="s">
        <v>74</v>
      </c>
      <c r="E598" s="2" t="s">
        <v>74</v>
      </c>
      <c r="F598" s="2" t="s">
        <v>4694</v>
      </c>
      <c r="G598" s="2" t="s">
        <v>74</v>
      </c>
      <c r="H598" s="2" t="s">
        <v>74</v>
      </c>
      <c r="I598" s="2" t="s">
        <v>4695</v>
      </c>
      <c r="J598" s="2" t="s">
        <v>610</v>
      </c>
      <c r="K598" s="2" t="s">
        <v>74</v>
      </c>
      <c r="L598" s="2" t="s">
        <v>74</v>
      </c>
      <c r="M598" s="2" t="s">
        <v>74</v>
      </c>
      <c r="N598" s="2" t="s">
        <v>74</v>
      </c>
      <c r="O598" s="2" t="s">
        <v>74</v>
      </c>
      <c r="P598" s="2" t="s">
        <v>74</v>
      </c>
      <c r="Q598" s="2" t="s">
        <v>74</v>
      </c>
      <c r="R598" s="2" t="s">
        <v>74</v>
      </c>
      <c r="S598" s="2" t="s">
        <v>74</v>
      </c>
      <c r="T598" s="2" t="s">
        <v>74</v>
      </c>
      <c r="U598" s="2" t="s">
        <v>74</v>
      </c>
      <c r="V598" s="5" t="s">
        <v>4696</v>
      </c>
      <c r="W598" s="2" t="s">
        <v>74</v>
      </c>
      <c r="X598" s="2" t="s">
        <v>74</v>
      </c>
      <c r="Y598" s="2" t="s">
        <v>74</v>
      </c>
      <c r="Z598" s="2" t="s">
        <v>74</v>
      </c>
      <c r="AA598" s="2" t="s">
        <v>4697</v>
      </c>
      <c r="AB598" s="2" t="s">
        <v>4698</v>
      </c>
      <c r="AC598" s="2" t="s">
        <v>74</v>
      </c>
      <c r="AD598" s="2" t="s">
        <v>74</v>
      </c>
      <c r="AE598" s="2" t="s">
        <v>74</v>
      </c>
      <c r="AF598" s="2" t="s">
        <v>74</v>
      </c>
      <c r="AG598" s="2" t="s">
        <v>74</v>
      </c>
      <c r="AH598" s="2" t="s">
        <v>74</v>
      </c>
      <c r="AI598" s="2" t="s">
        <v>74</v>
      </c>
      <c r="AJ598" s="2" t="s">
        <v>74</v>
      </c>
      <c r="AK598" s="2" t="s">
        <v>74</v>
      </c>
      <c r="AL598" s="2" t="s">
        <v>74</v>
      </c>
      <c r="AM598" s="2" t="s">
        <v>74</v>
      </c>
      <c r="AN598" s="2" t="s">
        <v>74</v>
      </c>
      <c r="AO598" s="2" t="s">
        <v>614</v>
      </c>
      <c r="AP598" s="2" t="s">
        <v>615</v>
      </c>
      <c r="AQ598" s="2" t="s">
        <v>74</v>
      </c>
      <c r="AR598" s="2" t="s">
        <v>74</v>
      </c>
      <c r="AS598" s="2" t="s">
        <v>74</v>
      </c>
      <c r="AT598" s="2" t="s">
        <v>134</v>
      </c>
      <c r="AU598" s="2">
        <v>2014</v>
      </c>
      <c r="AV598" s="2">
        <v>120</v>
      </c>
      <c r="AW598" s="2">
        <v>5</v>
      </c>
      <c r="AX598" s="2" t="s">
        <v>74</v>
      </c>
      <c r="AY598" s="2" t="s">
        <v>74</v>
      </c>
      <c r="AZ598" s="2" t="s">
        <v>74</v>
      </c>
      <c r="BA598" s="2" t="s">
        <v>74</v>
      </c>
      <c r="BB598" s="2">
        <v>502</v>
      </c>
      <c r="BC598" s="2">
        <v>510</v>
      </c>
      <c r="BD598" s="2" t="s">
        <v>74</v>
      </c>
      <c r="BE598" s="2" t="s">
        <v>4699</v>
      </c>
      <c r="BF598" s="2" t="str">
        <f>HYPERLINK("http://dx.doi.org/10.1111/eth.12224","http://dx.doi.org/10.1111/eth.12224")</f>
        <v>http://dx.doi.org/10.1111/eth.12224</v>
      </c>
      <c r="BG598" s="2" t="s">
        <v>74</v>
      </c>
      <c r="BH598" s="2" t="s">
        <v>74</v>
      </c>
      <c r="BI598" s="2" t="s">
        <v>74</v>
      </c>
      <c r="BJ598" s="2" t="s">
        <v>74</v>
      </c>
      <c r="BK598" s="2" t="s">
        <v>74</v>
      </c>
      <c r="BL598" s="2" t="s">
        <v>74</v>
      </c>
      <c r="BM598" s="2" t="s">
        <v>74</v>
      </c>
      <c r="BN598" s="2" t="s">
        <v>74</v>
      </c>
      <c r="BO598" s="2" t="s">
        <v>74</v>
      </c>
      <c r="BP598" s="2" t="s">
        <v>74</v>
      </c>
      <c r="BQ598" s="2" t="s">
        <v>74</v>
      </c>
      <c r="BR598" s="2" t="s">
        <v>74</v>
      </c>
      <c r="BS598" s="2" t="s">
        <v>4700</v>
      </c>
      <c r="BT598" s="2" t="str">
        <f>HYPERLINK("https%3A%2F%2Fwww.webofscience.com%2Fwos%2Fwoscc%2Ffull-record%2FWOS:000333696100008","View Full Record in Web of Science")</f>
        <v>View Full Record in Web of Science</v>
      </c>
    </row>
    <row r="599" spans="1:72" s="2" customFormat="1" x14ac:dyDescent="0.4">
      <c r="A599" s="2" t="s">
        <v>72</v>
      </c>
      <c r="B599" s="2" t="s">
        <v>7919</v>
      </c>
      <c r="C599" s="2" t="s">
        <v>74</v>
      </c>
      <c r="D599" s="2" t="s">
        <v>74</v>
      </c>
      <c r="E599" s="2" t="s">
        <v>74</v>
      </c>
      <c r="F599" s="2" t="s">
        <v>7920</v>
      </c>
      <c r="G599" s="2" t="s">
        <v>74</v>
      </c>
      <c r="H599" s="2" t="s">
        <v>74</v>
      </c>
      <c r="I599" s="2" t="s">
        <v>7921</v>
      </c>
      <c r="J599" s="2" t="s">
        <v>7922</v>
      </c>
      <c r="K599" s="2" t="s">
        <v>74</v>
      </c>
      <c r="L599" s="2" t="s">
        <v>74</v>
      </c>
      <c r="M599" s="2" t="s">
        <v>74</v>
      </c>
      <c r="N599" s="2" t="s">
        <v>74</v>
      </c>
      <c r="O599" s="2" t="s">
        <v>74</v>
      </c>
      <c r="P599" s="2" t="s">
        <v>74</v>
      </c>
      <c r="Q599" s="2" t="s">
        <v>74</v>
      </c>
      <c r="R599" s="2" t="s">
        <v>74</v>
      </c>
      <c r="S599" s="2" t="s">
        <v>74</v>
      </c>
      <c r="T599" s="2" t="s">
        <v>74</v>
      </c>
      <c r="U599" s="2" t="s">
        <v>74</v>
      </c>
      <c r="V599" s="5" t="s">
        <v>7923</v>
      </c>
      <c r="W599" s="2" t="s">
        <v>74</v>
      </c>
      <c r="X599" s="2" t="s">
        <v>74</v>
      </c>
      <c r="Y599" s="2" t="s">
        <v>74</v>
      </c>
      <c r="Z599" s="2" t="s">
        <v>74</v>
      </c>
      <c r="AA599" s="2" t="s">
        <v>7924</v>
      </c>
      <c r="AB599" s="2" t="s">
        <v>7925</v>
      </c>
      <c r="AC599" s="2" t="s">
        <v>74</v>
      </c>
      <c r="AD599" s="2" t="s">
        <v>74</v>
      </c>
      <c r="AE599" s="2" t="s">
        <v>74</v>
      </c>
      <c r="AF599" s="2" t="s">
        <v>74</v>
      </c>
      <c r="AG599" s="2" t="s">
        <v>74</v>
      </c>
      <c r="AH599" s="2" t="s">
        <v>74</v>
      </c>
      <c r="AI599" s="2" t="s">
        <v>74</v>
      </c>
      <c r="AJ599" s="2" t="s">
        <v>74</v>
      </c>
      <c r="AK599" s="2" t="s">
        <v>74</v>
      </c>
      <c r="AL599" s="2" t="s">
        <v>74</v>
      </c>
      <c r="AM599" s="2" t="s">
        <v>74</v>
      </c>
      <c r="AN599" s="2" t="s">
        <v>74</v>
      </c>
      <c r="AO599" s="2" t="s">
        <v>7926</v>
      </c>
      <c r="AP599" s="2" t="s">
        <v>7927</v>
      </c>
      <c r="AQ599" s="2" t="s">
        <v>74</v>
      </c>
      <c r="AR599" s="2" t="s">
        <v>74</v>
      </c>
      <c r="AS599" s="2" t="s">
        <v>74</v>
      </c>
      <c r="AT599" s="2" t="s">
        <v>633</v>
      </c>
      <c r="AU599" s="2">
        <v>2022</v>
      </c>
      <c r="AV599" s="2">
        <v>15</v>
      </c>
      <c r="AW599" s="2">
        <v>4</v>
      </c>
      <c r="AX599" s="2" t="s">
        <v>74</v>
      </c>
      <c r="AY599" s="2" t="s">
        <v>74</v>
      </c>
      <c r="AZ599" s="2" t="s">
        <v>74</v>
      </c>
      <c r="BA599" s="2" t="s">
        <v>74</v>
      </c>
      <c r="BB599" s="2">
        <v>751</v>
      </c>
      <c r="BC599" s="2">
        <v>760</v>
      </c>
      <c r="BD599" s="2" t="s">
        <v>74</v>
      </c>
      <c r="BE599" s="2" t="s">
        <v>7928</v>
      </c>
      <c r="BF599" s="2" t="str">
        <f>HYPERLINK("http://dx.doi.org/10.1002/aur.2670","http://dx.doi.org/10.1002/aur.2670")</f>
        <v>http://dx.doi.org/10.1002/aur.2670</v>
      </c>
      <c r="BG599" s="2" t="s">
        <v>74</v>
      </c>
      <c r="BH599" s="2" t="s">
        <v>5497</v>
      </c>
      <c r="BI599" s="2" t="s">
        <v>74</v>
      </c>
      <c r="BJ599" s="2" t="s">
        <v>74</v>
      </c>
      <c r="BK599" s="2" t="s">
        <v>74</v>
      </c>
      <c r="BL599" s="2" t="s">
        <v>74</v>
      </c>
      <c r="BM599" s="2" t="s">
        <v>74</v>
      </c>
      <c r="BN599" s="2">
        <v>35040592</v>
      </c>
      <c r="BO599" s="2" t="s">
        <v>74</v>
      </c>
      <c r="BP599" s="2" t="s">
        <v>74</v>
      </c>
      <c r="BQ599" s="2" t="s">
        <v>74</v>
      </c>
      <c r="BR599" s="2" t="s">
        <v>74</v>
      </c>
      <c r="BS599" s="2" t="s">
        <v>7929</v>
      </c>
      <c r="BT599" s="2" t="str">
        <f>HYPERLINK("https%3A%2F%2Fwww.webofscience.com%2Fwos%2Fwoscc%2Ffull-record%2FWOS:000743515200001","View Full Record in Web of Science")</f>
        <v>View Full Record in Web of Science</v>
      </c>
    </row>
    <row r="600" spans="1:72" s="2" customFormat="1" x14ac:dyDescent="0.4">
      <c r="A600" s="2" t="s">
        <v>72</v>
      </c>
      <c r="B600" s="2" t="s">
        <v>2720</v>
      </c>
      <c r="C600" s="2" t="s">
        <v>74</v>
      </c>
      <c r="D600" s="2" t="s">
        <v>74</v>
      </c>
      <c r="E600" s="2" t="s">
        <v>74</v>
      </c>
      <c r="F600" s="2" t="s">
        <v>2721</v>
      </c>
      <c r="G600" s="2" t="s">
        <v>74</v>
      </c>
      <c r="H600" s="2" t="s">
        <v>74</v>
      </c>
      <c r="I600" s="2" t="s">
        <v>2722</v>
      </c>
      <c r="J600" s="2" t="s">
        <v>610</v>
      </c>
      <c r="K600" s="2" t="s">
        <v>74</v>
      </c>
      <c r="L600" s="2" t="s">
        <v>74</v>
      </c>
      <c r="M600" s="2" t="s">
        <v>74</v>
      </c>
      <c r="N600" s="2" t="s">
        <v>74</v>
      </c>
      <c r="O600" s="2" t="s">
        <v>74</v>
      </c>
      <c r="P600" s="2" t="s">
        <v>74</v>
      </c>
      <c r="Q600" s="2" t="s">
        <v>74</v>
      </c>
      <c r="R600" s="2" t="s">
        <v>74</v>
      </c>
      <c r="S600" s="2" t="s">
        <v>74</v>
      </c>
      <c r="T600" s="2" t="s">
        <v>74</v>
      </c>
      <c r="U600" s="2" t="s">
        <v>74</v>
      </c>
      <c r="V600" s="5" t="s">
        <v>2723</v>
      </c>
      <c r="W600" s="2" t="s">
        <v>74</v>
      </c>
      <c r="X600" s="2" t="s">
        <v>74</v>
      </c>
      <c r="Y600" s="2" t="s">
        <v>74</v>
      </c>
      <c r="Z600" s="2" t="s">
        <v>74</v>
      </c>
      <c r="AA600" s="2" t="s">
        <v>74</v>
      </c>
      <c r="AB600" s="2" t="s">
        <v>2724</v>
      </c>
      <c r="AC600" s="2" t="s">
        <v>74</v>
      </c>
      <c r="AD600" s="2" t="s">
        <v>74</v>
      </c>
      <c r="AE600" s="2" t="s">
        <v>74</v>
      </c>
      <c r="AF600" s="2" t="s">
        <v>74</v>
      </c>
      <c r="AG600" s="2" t="s">
        <v>74</v>
      </c>
      <c r="AH600" s="2" t="s">
        <v>74</v>
      </c>
      <c r="AI600" s="2" t="s">
        <v>74</v>
      </c>
      <c r="AJ600" s="2" t="s">
        <v>74</v>
      </c>
      <c r="AK600" s="2" t="s">
        <v>74</v>
      </c>
      <c r="AL600" s="2" t="s">
        <v>74</v>
      </c>
      <c r="AM600" s="2" t="s">
        <v>74</v>
      </c>
      <c r="AN600" s="2" t="s">
        <v>74</v>
      </c>
      <c r="AO600" s="2" t="s">
        <v>614</v>
      </c>
      <c r="AP600" s="2" t="s">
        <v>615</v>
      </c>
      <c r="AQ600" s="2" t="s">
        <v>74</v>
      </c>
      <c r="AR600" s="2" t="s">
        <v>74</v>
      </c>
      <c r="AS600" s="2" t="s">
        <v>74</v>
      </c>
      <c r="AT600" s="2" t="s">
        <v>213</v>
      </c>
      <c r="AU600" s="2">
        <v>2023</v>
      </c>
      <c r="AV600" s="2">
        <v>129</v>
      </c>
      <c r="AW600" s="2">
        <v>11</v>
      </c>
      <c r="AX600" s="2" t="s">
        <v>74</v>
      </c>
      <c r="AY600" s="2" t="s">
        <v>74</v>
      </c>
      <c r="AZ600" s="2" t="s">
        <v>74</v>
      </c>
      <c r="BA600" s="2" t="s">
        <v>74</v>
      </c>
      <c r="BB600" s="2">
        <v>612</v>
      </c>
      <c r="BC600" s="2">
        <v>621</v>
      </c>
      <c r="BD600" s="2" t="s">
        <v>74</v>
      </c>
      <c r="BE600" s="2" t="s">
        <v>2725</v>
      </c>
      <c r="BF600" s="2" t="str">
        <f>HYPERLINK("http://dx.doi.org/10.1111/eth.13397","http://dx.doi.org/10.1111/eth.13397")</f>
        <v>http://dx.doi.org/10.1111/eth.13397</v>
      </c>
      <c r="BG600" s="2" t="s">
        <v>74</v>
      </c>
      <c r="BH600" s="2" t="s">
        <v>2726</v>
      </c>
      <c r="BI600" s="2" t="s">
        <v>74</v>
      </c>
      <c r="BJ600" s="2" t="s">
        <v>74</v>
      </c>
      <c r="BK600" s="2" t="s">
        <v>74</v>
      </c>
      <c r="BL600" s="2" t="s">
        <v>74</v>
      </c>
      <c r="BM600" s="2" t="s">
        <v>74</v>
      </c>
      <c r="BN600" s="2" t="s">
        <v>74</v>
      </c>
      <c r="BO600" s="2" t="s">
        <v>74</v>
      </c>
      <c r="BP600" s="2" t="s">
        <v>74</v>
      </c>
      <c r="BQ600" s="2" t="s">
        <v>74</v>
      </c>
      <c r="BR600" s="2" t="s">
        <v>74</v>
      </c>
      <c r="BS600" s="2" t="s">
        <v>2727</v>
      </c>
      <c r="BT600" s="2" t="str">
        <f>HYPERLINK("https%3A%2F%2Fwww.webofscience.com%2Fwos%2Fwoscc%2Ffull-record%2FWOS:001033519800001","View Full Record in Web of Science")</f>
        <v>View Full Record in Web of Science</v>
      </c>
    </row>
    <row r="601" spans="1:72" s="2" customFormat="1" x14ac:dyDescent="0.4">
      <c r="A601" s="2" t="s">
        <v>72</v>
      </c>
      <c r="B601" s="2" t="s">
        <v>3665</v>
      </c>
      <c r="C601" s="2" t="s">
        <v>74</v>
      </c>
      <c r="D601" s="2" t="s">
        <v>74</v>
      </c>
      <c r="E601" s="2" t="s">
        <v>74</v>
      </c>
      <c r="F601" s="2" t="s">
        <v>3666</v>
      </c>
      <c r="G601" s="2" t="s">
        <v>74</v>
      </c>
      <c r="H601" s="2" t="s">
        <v>74</v>
      </c>
      <c r="I601" s="2" t="s">
        <v>3667</v>
      </c>
      <c r="J601" s="2" t="s">
        <v>475</v>
      </c>
      <c r="K601" s="2" t="s">
        <v>74</v>
      </c>
      <c r="L601" s="2" t="s">
        <v>74</v>
      </c>
      <c r="M601" s="2" t="s">
        <v>74</v>
      </c>
      <c r="N601" s="2" t="s">
        <v>74</v>
      </c>
      <c r="O601" s="2" t="s">
        <v>74</v>
      </c>
      <c r="P601" s="2" t="s">
        <v>74</v>
      </c>
      <c r="Q601" s="2" t="s">
        <v>74</v>
      </c>
      <c r="R601" s="2" t="s">
        <v>74</v>
      </c>
      <c r="S601" s="2" t="s">
        <v>74</v>
      </c>
      <c r="T601" s="2" t="s">
        <v>74</v>
      </c>
      <c r="U601" s="2" t="s">
        <v>74</v>
      </c>
      <c r="V601" s="5" t="s">
        <v>3668</v>
      </c>
      <c r="W601" s="2" t="s">
        <v>74</v>
      </c>
      <c r="X601" s="2" t="s">
        <v>74</v>
      </c>
      <c r="Y601" s="2" t="s">
        <v>74</v>
      </c>
      <c r="Z601" s="2" t="s">
        <v>74</v>
      </c>
      <c r="AA601" s="2" t="s">
        <v>3669</v>
      </c>
      <c r="AB601" s="2" t="s">
        <v>3670</v>
      </c>
      <c r="AC601" s="2" t="s">
        <v>74</v>
      </c>
      <c r="AD601" s="2" t="s">
        <v>74</v>
      </c>
      <c r="AE601" s="2" t="s">
        <v>74</v>
      </c>
      <c r="AF601" s="2" t="s">
        <v>74</v>
      </c>
      <c r="AG601" s="2" t="s">
        <v>74</v>
      </c>
      <c r="AH601" s="2" t="s">
        <v>74</v>
      </c>
      <c r="AI601" s="2" t="s">
        <v>74</v>
      </c>
      <c r="AJ601" s="2" t="s">
        <v>74</v>
      </c>
      <c r="AK601" s="2" t="s">
        <v>74</v>
      </c>
      <c r="AL601" s="2" t="s">
        <v>74</v>
      </c>
      <c r="AM601" s="2" t="s">
        <v>74</v>
      </c>
      <c r="AN601" s="2" t="s">
        <v>74</v>
      </c>
      <c r="AO601" s="2" t="s">
        <v>477</v>
      </c>
      <c r="AP601" s="2" t="s">
        <v>74</v>
      </c>
      <c r="AQ601" s="2" t="s">
        <v>74</v>
      </c>
      <c r="AR601" s="2" t="s">
        <v>74</v>
      </c>
      <c r="AS601" s="2" t="s">
        <v>74</v>
      </c>
      <c r="AT601" s="2" t="s">
        <v>3671</v>
      </c>
      <c r="AU601" s="2">
        <v>2012</v>
      </c>
      <c r="AV601" s="2">
        <v>175</v>
      </c>
      <c r="AW601" s="2">
        <v>2</v>
      </c>
      <c r="AX601" s="2" t="s">
        <v>74</v>
      </c>
      <c r="AY601" s="2" t="s">
        <v>74</v>
      </c>
      <c r="AZ601" s="2" t="s">
        <v>74</v>
      </c>
      <c r="BA601" s="2" t="s">
        <v>74</v>
      </c>
      <c r="BB601" s="2">
        <v>290</v>
      </c>
      <c r="BC601" s="2">
        <v>296</v>
      </c>
      <c r="BD601" s="2" t="s">
        <v>74</v>
      </c>
      <c r="BE601" s="2" t="s">
        <v>3672</v>
      </c>
      <c r="BF601" s="2" t="str">
        <f>HYPERLINK("http://dx.doi.org/10.1016/j.ygcen.2011.11.022","http://dx.doi.org/10.1016/j.ygcen.2011.11.022")</f>
        <v>http://dx.doi.org/10.1016/j.ygcen.2011.11.022</v>
      </c>
      <c r="BG601" s="2" t="s">
        <v>74</v>
      </c>
      <c r="BH601" s="2" t="s">
        <v>74</v>
      </c>
      <c r="BI601" s="2" t="s">
        <v>74</v>
      </c>
      <c r="BJ601" s="2" t="s">
        <v>74</v>
      </c>
      <c r="BK601" s="2" t="s">
        <v>74</v>
      </c>
      <c r="BL601" s="2" t="s">
        <v>74</v>
      </c>
      <c r="BM601" s="2" t="s">
        <v>74</v>
      </c>
      <c r="BN601" s="2">
        <v>22137910</v>
      </c>
      <c r="BO601" s="2" t="s">
        <v>74</v>
      </c>
      <c r="BP601" s="2" t="s">
        <v>74</v>
      </c>
      <c r="BQ601" s="2" t="s">
        <v>74</v>
      </c>
      <c r="BR601" s="2" t="s">
        <v>74</v>
      </c>
      <c r="BS601" s="2" t="s">
        <v>3673</v>
      </c>
      <c r="BT601" s="2" t="str">
        <f>HYPERLINK("https%3A%2F%2Fwww.webofscience.com%2Fwos%2Fwoscc%2Ffull-record%2FWOS:000299137900009","View Full Record in Web of Science")</f>
        <v>View Full Record in Web of Science</v>
      </c>
    </row>
    <row r="602" spans="1:72" s="1" customFormat="1" x14ac:dyDescent="0.4">
      <c r="A602" s="2" t="s">
        <v>72</v>
      </c>
      <c r="B602" s="2" t="s">
        <v>4573</v>
      </c>
      <c r="C602" s="2" t="s">
        <v>74</v>
      </c>
      <c r="D602" s="2" t="s">
        <v>74</v>
      </c>
      <c r="E602" s="2" t="s">
        <v>74</v>
      </c>
      <c r="F602" s="2" t="s">
        <v>4573</v>
      </c>
      <c r="G602" s="2" t="s">
        <v>74</v>
      </c>
      <c r="H602" s="2" t="s">
        <v>74</v>
      </c>
      <c r="I602" s="2" t="s">
        <v>4574</v>
      </c>
      <c r="J602" s="2" t="s">
        <v>140</v>
      </c>
      <c r="K602" s="2" t="s">
        <v>74</v>
      </c>
      <c r="L602" s="2" t="s">
        <v>74</v>
      </c>
      <c r="M602" s="2" t="s">
        <v>74</v>
      </c>
      <c r="N602" s="2" t="s">
        <v>74</v>
      </c>
      <c r="O602" s="2" t="s">
        <v>74</v>
      </c>
      <c r="P602" s="2" t="s">
        <v>74</v>
      </c>
      <c r="Q602" s="2" t="s">
        <v>74</v>
      </c>
      <c r="R602" s="2" t="s">
        <v>74</v>
      </c>
      <c r="S602" s="2" t="s">
        <v>74</v>
      </c>
      <c r="T602" s="2" t="s">
        <v>74</v>
      </c>
      <c r="U602" s="2" t="s">
        <v>74</v>
      </c>
      <c r="V602" s="5" t="s">
        <v>4575</v>
      </c>
      <c r="W602" s="2" t="s">
        <v>74</v>
      </c>
      <c r="X602" s="2" t="s">
        <v>74</v>
      </c>
      <c r="Y602" s="2" t="s">
        <v>74</v>
      </c>
      <c r="Z602" s="2" t="s">
        <v>74</v>
      </c>
      <c r="AA602" s="2" t="s">
        <v>74</v>
      </c>
      <c r="AB602" s="2" t="s">
        <v>74</v>
      </c>
      <c r="AC602" s="2" t="s">
        <v>74</v>
      </c>
      <c r="AD602" s="2" t="s">
        <v>74</v>
      </c>
      <c r="AE602" s="2" t="s">
        <v>74</v>
      </c>
      <c r="AF602" s="2" t="s">
        <v>74</v>
      </c>
      <c r="AG602" s="2" t="s">
        <v>74</v>
      </c>
      <c r="AH602" s="2" t="s">
        <v>74</v>
      </c>
      <c r="AI602" s="2" t="s">
        <v>74</v>
      </c>
      <c r="AJ602" s="2" t="s">
        <v>74</v>
      </c>
      <c r="AK602" s="2" t="s">
        <v>74</v>
      </c>
      <c r="AL602" s="2" t="s">
        <v>74</v>
      </c>
      <c r="AM602" s="2" t="s">
        <v>74</v>
      </c>
      <c r="AN602" s="2" t="s">
        <v>74</v>
      </c>
      <c r="AO602" s="2" t="s">
        <v>143</v>
      </c>
      <c r="AP602" s="2" t="s">
        <v>144</v>
      </c>
      <c r="AQ602" s="2" t="s">
        <v>74</v>
      </c>
      <c r="AR602" s="2" t="s">
        <v>74</v>
      </c>
      <c r="AS602" s="2" t="s">
        <v>74</v>
      </c>
      <c r="AT602" s="2" t="s">
        <v>74</v>
      </c>
      <c r="AU602" s="2">
        <v>1980</v>
      </c>
      <c r="AV602" s="2">
        <v>28</v>
      </c>
      <c r="AW602" s="2" t="s">
        <v>213</v>
      </c>
      <c r="AX602" s="2" t="s">
        <v>74</v>
      </c>
      <c r="AY602" s="2" t="s">
        <v>74</v>
      </c>
      <c r="AZ602" s="2" t="s">
        <v>74</v>
      </c>
      <c r="BA602" s="2" t="s">
        <v>74</v>
      </c>
      <c r="BB602" s="2">
        <v>1230</v>
      </c>
      <c r="BC602" s="2">
        <v>1238</v>
      </c>
      <c r="BD602" s="2" t="s">
        <v>74</v>
      </c>
      <c r="BE602" s="2" t="s">
        <v>4576</v>
      </c>
      <c r="BF602" s="2" t="str">
        <f>HYPERLINK("http://dx.doi.org/10.1016/S0003-3472(80)80111-4","http://dx.doi.org/10.1016/S0003-3472(80)80111-4")</f>
        <v>http://dx.doi.org/10.1016/S0003-3472(80)80111-4</v>
      </c>
      <c r="BG602" s="2" t="s">
        <v>74</v>
      </c>
      <c r="BH602" s="2" t="s">
        <v>74</v>
      </c>
      <c r="BI602" s="2" t="s">
        <v>74</v>
      </c>
      <c r="BJ602" s="2" t="s">
        <v>74</v>
      </c>
      <c r="BK602" s="2" t="s">
        <v>74</v>
      </c>
      <c r="BL602" s="2" t="s">
        <v>74</v>
      </c>
      <c r="BM602" s="2" t="s">
        <v>74</v>
      </c>
      <c r="BN602" s="2" t="s">
        <v>74</v>
      </c>
      <c r="BO602" s="2" t="s">
        <v>74</v>
      </c>
      <c r="BP602" s="2" t="s">
        <v>74</v>
      </c>
      <c r="BQ602" s="2" t="s">
        <v>74</v>
      </c>
      <c r="BR602" s="2" t="s">
        <v>74</v>
      </c>
      <c r="BS602" s="2" t="s">
        <v>4577</v>
      </c>
      <c r="BT602" s="2" t="str">
        <f>HYPERLINK("https%3A%2F%2Fwww.webofscience.com%2Fwos%2Fwoscc%2Ffull-record%2FWOS:A1980KT55300026","View Full Record in Web of Science")</f>
        <v>View Full Record in Web of Science</v>
      </c>
    </row>
    <row r="603" spans="1:72" s="1" customFormat="1" x14ac:dyDescent="0.4">
      <c r="A603" s="2" t="s">
        <v>72</v>
      </c>
      <c r="B603" s="2" t="s">
        <v>2757</v>
      </c>
      <c r="C603" s="2" t="s">
        <v>74</v>
      </c>
      <c r="D603" s="2" t="s">
        <v>74</v>
      </c>
      <c r="E603" s="2" t="s">
        <v>74</v>
      </c>
      <c r="F603" s="2" t="s">
        <v>2758</v>
      </c>
      <c r="G603" s="2" t="s">
        <v>74</v>
      </c>
      <c r="H603" s="2" t="s">
        <v>74</v>
      </c>
      <c r="I603" s="2" t="s">
        <v>2759</v>
      </c>
      <c r="J603" s="2" t="s">
        <v>333</v>
      </c>
      <c r="K603" s="2" t="s">
        <v>74</v>
      </c>
      <c r="L603" s="2" t="s">
        <v>74</v>
      </c>
      <c r="M603" s="2" t="s">
        <v>74</v>
      </c>
      <c r="N603" s="2" t="s">
        <v>74</v>
      </c>
      <c r="O603" s="2" t="s">
        <v>74</v>
      </c>
      <c r="P603" s="2" t="s">
        <v>74</v>
      </c>
      <c r="Q603" s="2" t="s">
        <v>74</v>
      </c>
      <c r="R603" s="2" t="s">
        <v>74</v>
      </c>
      <c r="S603" s="2" t="s">
        <v>74</v>
      </c>
      <c r="T603" s="2" t="s">
        <v>74</v>
      </c>
      <c r="U603" s="2" t="s">
        <v>74</v>
      </c>
      <c r="V603" s="5" t="s">
        <v>2760</v>
      </c>
      <c r="W603" s="2" t="s">
        <v>74</v>
      </c>
      <c r="X603" s="2" t="s">
        <v>74</v>
      </c>
      <c r="Y603" s="2" t="s">
        <v>74</v>
      </c>
      <c r="Z603" s="2" t="s">
        <v>74</v>
      </c>
      <c r="AA603" s="2" t="s">
        <v>2761</v>
      </c>
      <c r="AB603" s="2" t="s">
        <v>2762</v>
      </c>
      <c r="AC603" s="2" t="s">
        <v>74</v>
      </c>
      <c r="AD603" s="2" t="s">
        <v>74</v>
      </c>
      <c r="AE603" s="2" t="s">
        <v>74</v>
      </c>
      <c r="AF603" s="2" t="s">
        <v>74</v>
      </c>
      <c r="AG603" s="2" t="s">
        <v>74</v>
      </c>
      <c r="AH603" s="2" t="s">
        <v>74</v>
      </c>
      <c r="AI603" s="2" t="s">
        <v>74</v>
      </c>
      <c r="AJ603" s="2" t="s">
        <v>74</v>
      </c>
      <c r="AK603" s="2" t="s">
        <v>74</v>
      </c>
      <c r="AL603" s="2" t="s">
        <v>74</v>
      </c>
      <c r="AM603" s="2" t="s">
        <v>74</v>
      </c>
      <c r="AN603" s="2" t="s">
        <v>74</v>
      </c>
      <c r="AO603" s="2" t="s">
        <v>337</v>
      </c>
      <c r="AP603" s="2" t="s">
        <v>338</v>
      </c>
      <c r="AQ603" s="2" t="s">
        <v>74</v>
      </c>
      <c r="AR603" s="2" t="s">
        <v>74</v>
      </c>
      <c r="AS603" s="2" t="s">
        <v>74</v>
      </c>
      <c r="AT603" s="2" t="s">
        <v>1038</v>
      </c>
      <c r="AU603" s="2">
        <v>2017</v>
      </c>
      <c r="AV603" s="2">
        <v>28</v>
      </c>
      <c r="AW603" s="2">
        <v>2</v>
      </c>
      <c r="AX603" s="2" t="s">
        <v>74</v>
      </c>
      <c r="AY603" s="2" t="s">
        <v>74</v>
      </c>
      <c r="AZ603" s="2" t="s">
        <v>74</v>
      </c>
      <c r="BA603" s="2" t="s">
        <v>74</v>
      </c>
      <c r="BB603" s="2">
        <v>597</v>
      </c>
      <c r="BC603" s="2">
        <v>606</v>
      </c>
      <c r="BD603" s="2" t="s">
        <v>74</v>
      </c>
      <c r="BE603" s="2" t="s">
        <v>2763</v>
      </c>
      <c r="BF603" s="2" t="str">
        <f>HYPERLINK("http://dx.doi.org/10.1093/beheco/arw186","http://dx.doi.org/10.1093/beheco/arw186")</f>
        <v>http://dx.doi.org/10.1093/beheco/arw186</v>
      </c>
      <c r="BG603" s="2" t="s">
        <v>74</v>
      </c>
      <c r="BH603" s="2" t="s">
        <v>74</v>
      </c>
      <c r="BI603" s="2" t="s">
        <v>74</v>
      </c>
      <c r="BJ603" s="2" t="s">
        <v>74</v>
      </c>
      <c r="BK603" s="2" t="s">
        <v>74</v>
      </c>
      <c r="BL603" s="2" t="s">
        <v>74</v>
      </c>
      <c r="BM603" s="2" t="s">
        <v>74</v>
      </c>
      <c r="BN603" s="2" t="s">
        <v>74</v>
      </c>
      <c r="BO603" s="2" t="s">
        <v>74</v>
      </c>
      <c r="BP603" s="2" t="s">
        <v>74</v>
      </c>
      <c r="BQ603" s="2" t="s">
        <v>74</v>
      </c>
      <c r="BR603" s="2" t="s">
        <v>74</v>
      </c>
      <c r="BS603" s="2" t="s">
        <v>2764</v>
      </c>
      <c r="BT603" s="2" t="str">
        <f>HYPERLINK("https%3A%2F%2Fwww.webofscience.com%2Fwos%2Fwoscc%2Ffull-record%2FWOS:000401769000036","View Full Record in Web of Science")</f>
        <v>View Full Record in Web of Science</v>
      </c>
    </row>
    <row r="604" spans="1:72" s="2" customFormat="1" x14ac:dyDescent="0.4">
      <c r="A604" s="2" t="s">
        <v>72</v>
      </c>
      <c r="B604" s="2" t="s">
        <v>4886</v>
      </c>
      <c r="C604" s="2" t="s">
        <v>74</v>
      </c>
      <c r="D604" s="2" t="s">
        <v>74</v>
      </c>
      <c r="E604" s="2" t="s">
        <v>74</v>
      </c>
      <c r="F604" s="2" t="s">
        <v>4886</v>
      </c>
      <c r="G604" s="2" t="s">
        <v>74</v>
      </c>
      <c r="H604" s="2" t="s">
        <v>74</v>
      </c>
      <c r="I604" s="2" t="s">
        <v>4887</v>
      </c>
      <c r="J604" s="2" t="s">
        <v>509</v>
      </c>
      <c r="K604" s="2" t="s">
        <v>74</v>
      </c>
      <c r="L604" s="2" t="s">
        <v>74</v>
      </c>
      <c r="M604" s="2" t="s">
        <v>74</v>
      </c>
      <c r="N604" s="2" t="s">
        <v>74</v>
      </c>
      <c r="O604" s="2" t="s">
        <v>74</v>
      </c>
      <c r="P604" s="2" t="s">
        <v>74</v>
      </c>
      <c r="Q604" s="2" t="s">
        <v>74</v>
      </c>
      <c r="R604" s="2" t="s">
        <v>74</v>
      </c>
      <c r="S604" s="2" t="s">
        <v>74</v>
      </c>
      <c r="T604" s="2" t="s">
        <v>74</v>
      </c>
      <c r="U604" s="2" t="s">
        <v>74</v>
      </c>
      <c r="V604" s="5" t="s">
        <v>4888</v>
      </c>
      <c r="W604" s="2" t="s">
        <v>74</v>
      </c>
      <c r="X604" s="2" t="s">
        <v>74</v>
      </c>
      <c r="Y604" s="2" t="s">
        <v>74</v>
      </c>
      <c r="Z604" s="2" t="s">
        <v>74</v>
      </c>
      <c r="AA604" s="2" t="s">
        <v>74</v>
      </c>
      <c r="AB604" s="2" t="s">
        <v>4889</v>
      </c>
      <c r="AC604" s="2" t="s">
        <v>74</v>
      </c>
      <c r="AD604" s="2" t="s">
        <v>74</v>
      </c>
      <c r="AE604" s="2" t="s">
        <v>74</v>
      </c>
      <c r="AF604" s="2" t="s">
        <v>74</v>
      </c>
      <c r="AG604" s="2" t="s">
        <v>74</v>
      </c>
      <c r="AH604" s="2" t="s">
        <v>74</v>
      </c>
      <c r="AI604" s="2" t="s">
        <v>74</v>
      </c>
      <c r="AJ604" s="2" t="s">
        <v>74</v>
      </c>
      <c r="AK604" s="2" t="s">
        <v>74</v>
      </c>
      <c r="AL604" s="2" t="s">
        <v>74</v>
      </c>
      <c r="AM604" s="2" t="s">
        <v>74</v>
      </c>
      <c r="AN604" s="2" t="s">
        <v>74</v>
      </c>
      <c r="AO604" s="2" t="s">
        <v>511</v>
      </c>
      <c r="AP604" s="2" t="s">
        <v>74</v>
      </c>
      <c r="AQ604" s="2" t="s">
        <v>74</v>
      </c>
      <c r="AR604" s="2" t="s">
        <v>74</v>
      </c>
      <c r="AS604" s="2" t="s">
        <v>74</v>
      </c>
      <c r="AT604" s="2" t="s">
        <v>123</v>
      </c>
      <c r="AU604" s="2">
        <v>1995</v>
      </c>
      <c r="AV604" s="2">
        <v>29</v>
      </c>
      <c r="AW604" s="2">
        <v>1</v>
      </c>
      <c r="AX604" s="2" t="s">
        <v>74</v>
      </c>
      <c r="AY604" s="2" t="s">
        <v>74</v>
      </c>
      <c r="AZ604" s="2" t="s">
        <v>74</v>
      </c>
      <c r="BA604" s="2" t="s">
        <v>74</v>
      </c>
      <c r="BB604" s="2">
        <v>85</v>
      </c>
      <c r="BC604" s="2">
        <v>105</v>
      </c>
      <c r="BD604" s="2" t="s">
        <v>74</v>
      </c>
      <c r="BE604" s="2" t="s">
        <v>4890</v>
      </c>
      <c r="BF604" s="2" t="str">
        <f>HYPERLINK("http://dx.doi.org/10.1006/hbeh.1995.1007","http://dx.doi.org/10.1006/hbeh.1995.1007")</f>
        <v>http://dx.doi.org/10.1006/hbeh.1995.1007</v>
      </c>
      <c r="BG604" s="2" t="s">
        <v>74</v>
      </c>
      <c r="BH604" s="2" t="s">
        <v>74</v>
      </c>
      <c r="BI604" s="2" t="s">
        <v>74</v>
      </c>
      <c r="BJ604" s="2" t="s">
        <v>74</v>
      </c>
      <c r="BK604" s="2" t="s">
        <v>74</v>
      </c>
      <c r="BL604" s="2" t="s">
        <v>74</v>
      </c>
      <c r="BM604" s="2" t="s">
        <v>74</v>
      </c>
      <c r="BN604" s="2">
        <v>7782065</v>
      </c>
      <c r="BO604" s="2" t="s">
        <v>74</v>
      </c>
      <c r="BP604" s="2" t="s">
        <v>74</v>
      </c>
      <c r="BQ604" s="2" t="s">
        <v>74</v>
      </c>
      <c r="BR604" s="2" t="s">
        <v>74</v>
      </c>
      <c r="BS604" s="2" t="s">
        <v>4891</v>
      </c>
      <c r="BT604" s="2" t="str">
        <f>HYPERLINK("https%3A%2F%2Fwww.webofscience.com%2Fwos%2Fwoscc%2Ffull-record%2FWOS:A1995QN96000007","View Full Record in Web of Science")</f>
        <v>View Full Record in Web of Science</v>
      </c>
    </row>
    <row r="605" spans="1:72" s="2" customFormat="1" x14ac:dyDescent="0.4">
      <c r="A605" s="2" t="s">
        <v>72</v>
      </c>
      <c r="B605" s="2" t="s">
        <v>4585</v>
      </c>
      <c r="C605" s="2" t="s">
        <v>74</v>
      </c>
      <c r="D605" s="2" t="s">
        <v>74</v>
      </c>
      <c r="E605" s="2" t="s">
        <v>74</v>
      </c>
      <c r="F605" s="2" t="s">
        <v>4586</v>
      </c>
      <c r="G605" s="2" t="s">
        <v>74</v>
      </c>
      <c r="H605" s="2" t="s">
        <v>74</v>
      </c>
      <c r="I605" s="2" t="s">
        <v>4587</v>
      </c>
      <c r="J605" s="2" t="s">
        <v>218</v>
      </c>
      <c r="K605" s="2" t="s">
        <v>74</v>
      </c>
      <c r="L605" s="2" t="s">
        <v>74</v>
      </c>
      <c r="M605" s="2" t="s">
        <v>74</v>
      </c>
      <c r="N605" s="2" t="s">
        <v>74</v>
      </c>
      <c r="O605" s="2" t="s">
        <v>74</v>
      </c>
      <c r="P605" s="2" t="s">
        <v>74</v>
      </c>
      <c r="Q605" s="2" t="s">
        <v>74</v>
      </c>
      <c r="R605" s="2" t="s">
        <v>74</v>
      </c>
      <c r="S605" s="2" t="s">
        <v>74</v>
      </c>
      <c r="T605" s="2" t="s">
        <v>74</v>
      </c>
      <c r="U605" s="2" t="s">
        <v>74</v>
      </c>
      <c r="V605" s="5" t="s">
        <v>4588</v>
      </c>
      <c r="W605" s="2" t="s">
        <v>74</v>
      </c>
      <c r="X605" s="2" t="s">
        <v>74</v>
      </c>
      <c r="Y605" s="2" t="s">
        <v>74</v>
      </c>
      <c r="Z605" s="2" t="s">
        <v>74</v>
      </c>
      <c r="AA605" s="2" t="s">
        <v>4589</v>
      </c>
      <c r="AB605" s="2" t="s">
        <v>4590</v>
      </c>
      <c r="AC605" s="2" t="s">
        <v>74</v>
      </c>
      <c r="AD605" s="2" t="s">
        <v>74</v>
      </c>
      <c r="AE605" s="2" t="s">
        <v>74</v>
      </c>
      <c r="AF605" s="2" t="s">
        <v>74</v>
      </c>
      <c r="AG605" s="2" t="s">
        <v>74</v>
      </c>
      <c r="AH605" s="2" t="s">
        <v>74</v>
      </c>
      <c r="AI605" s="2" t="s">
        <v>74</v>
      </c>
      <c r="AJ605" s="2" t="s">
        <v>74</v>
      </c>
      <c r="AK605" s="2" t="s">
        <v>74</v>
      </c>
      <c r="AL605" s="2" t="s">
        <v>74</v>
      </c>
      <c r="AM605" s="2" t="s">
        <v>74</v>
      </c>
      <c r="AN605" s="2" t="s">
        <v>74</v>
      </c>
      <c r="AO605" s="2" t="s">
        <v>221</v>
      </c>
      <c r="AP605" s="2" t="s">
        <v>222</v>
      </c>
      <c r="AQ605" s="2" t="s">
        <v>74</v>
      </c>
      <c r="AR605" s="2" t="s">
        <v>74</v>
      </c>
      <c r="AS605" s="2" t="s">
        <v>74</v>
      </c>
      <c r="AT605" s="2" t="s">
        <v>134</v>
      </c>
      <c r="AU605" s="2">
        <v>2020</v>
      </c>
      <c r="AV605" s="2">
        <v>33</v>
      </c>
      <c r="AW605" s="2">
        <v>5</v>
      </c>
      <c r="AX605" s="2" t="s">
        <v>74</v>
      </c>
      <c r="AY605" s="2" t="s">
        <v>74</v>
      </c>
      <c r="AZ605" s="2" t="s">
        <v>74</v>
      </c>
      <c r="BA605" s="2" t="s">
        <v>74</v>
      </c>
      <c r="BB605" s="2">
        <v>727</v>
      </c>
      <c r="BC605" s="2">
        <v>733</v>
      </c>
      <c r="BD605" s="2" t="s">
        <v>74</v>
      </c>
      <c r="BE605" s="2" t="s">
        <v>4591</v>
      </c>
      <c r="BF605" s="2" t="str">
        <f>HYPERLINK("http://dx.doi.org/10.1111/jeb.13607","http://dx.doi.org/10.1111/jeb.13607")</f>
        <v>http://dx.doi.org/10.1111/jeb.13607</v>
      </c>
      <c r="BG605" s="2" t="s">
        <v>74</v>
      </c>
      <c r="BH605" s="2" t="s">
        <v>74</v>
      </c>
      <c r="BI605" s="2" t="s">
        <v>74</v>
      </c>
      <c r="BJ605" s="2" t="s">
        <v>74</v>
      </c>
      <c r="BK605" s="2" t="s">
        <v>74</v>
      </c>
      <c r="BL605" s="2" t="s">
        <v>74</v>
      </c>
      <c r="BM605" s="2" t="s">
        <v>74</v>
      </c>
      <c r="BN605" s="2">
        <v>32069366</v>
      </c>
      <c r="BO605" s="2" t="s">
        <v>74</v>
      </c>
      <c r="BP605" s="2" t="s">
        <v>74</v>
      </c>
      <c r="BQ605" s="2" t="s">
        <v>74</v>
      </c>
      <c r="BR605" s="2" t="s">
        <v>74</v>
      </c>
      <c r="BS605" s="2" t="s">
        <v>4592</v>
      </c>
      <c r="BT605" s="2" t="str">
        <f>HYPERLINK("https%3A%2F%2Fwww.webofscience.com%2Fwos%2Fwoscc%2Ffull-record%2FWOS:000531419500014","View Full Record in Web of Science")</f>
        <v>View Full Record in Web of Science</v>
      </c>
    </row>
    <row r="606" spans="1:72" s="2" customFormat="1" x14ac:dyDescent="0.4">
      <c r="A606" s="2" t="s">
        <v>72</v>
      </c>
      <c r="B606" s="2" t="s">
        <v>6238</v>
      </c>
      <c r="C606" s="2" t="s">
        <v>74</v>
      </c>
      <c r="D606" s="2" t="s">
        <v>74</v>
      </c>
      <c r="E606" s="2" t="s">
        <v>74</v>
      </c>
      <c r="F606" s="2" t="s">
        <v>6238</v>
      </c>
      <c r="G606" s="2" t="s">
        <v>74</v>
      </c>
      <c r="H606" s="2" t="s">
        <v>74</v>
      </c>
      <c r="I606" s="2" t="s">
        <v>6239</v>
      </c>
      <c r="J606" s="2" t="s">
        <v>6240</v>
      </c>
      <c r="K606" s="2" t="s">
        <v>74</v>
      </c>
      <c r="L606" s="2" t="s">
        <v>74</v>
      </c>
      <c r="M606" s="2" t="s">
        <v>74</v>
      </c>
      <c r="N606" s="2" t="s">
        <v>74</v>
      </c>
      <c r="O606" s="2" t="s">
        <v>74</v>
      </c>
      <c r="P606" s="2" t="s">
        <v>74</v>
      </c>
      <c r="Q606" s="2" t="s">
        <v>74</v>
      </c>
      <c r="R606" s="2" t="s">
        <v>74</v>
      </c>
      <c r="S606" s="2" t="s">
        <v>74</v>
      </c>
      <c r="T606" s="2" t="s">
        <v>74</v>
      </c>
      <c r="U606" s="2" t="s">
        <v>74</v>
      </c>
      <c r="V606" s="5" t="s">
        <v>6241</v>
      </c>
      <c r="W606" s="2" t="s">
        <v>74</v>
      </c>
      <c r="X606" s="2" t="s">
        <v>74</v>
      </c>
      <c r="Y606" s="2" t="s">
        <v>74</v>
      </c>
      <c r="Z606" s="2" t="s">
        <v>74</v>
      </c>
      <c r="AA606" s="2" t="s">
        <v>74</v>
      </c>
      <c r="AB606" s="2" t="s">
        <v>74</v>
      </c>
      <c r="AC606" s="2" t="s">
        <v>74</v>
      </c>
      <c r="AD606" s="2" t="s">
        <v>74</v>
      </c>
      <c r="AE606" s="2" t="s">
        <v>74</v>
      </c>
      <c r="AF606" s="2" t="s">
        <v>74</v>
      </c>
      <c r="AG606" s="2" t="s">
        <v>74</v>
      </c>
      <c r="AH606" s="2" t="s">
        <v>74</v>
      </c>
      <c r="AI606" s="2" t="s">
        <v>74</v>
      </c>
      <c r="AJ606" s="2" t="s">
        <v>74</v>
      </c>
      <c r="AK606" s="2" t="s">
        <v>74</v>
      </c>
      <c r="AL606" s="2" t="s">
        <v>74</v>
      </c>
      <c r="AM606" s="2" t="s">
        <v>74</v>
      </c>
      <c r="AN606" s="2" t="s">
        <v>74</v>
      </c>
      <c r="AO606" s="2" t="s">
        <v>6242</v>
      </c>
      <c r="AP606" s="2" t="s">
        <v>6243</v>
      </c>
      <c r="AQ606" s="2" t="s">
        <v>74</v>
      </c>
      <c r="AR606" s="2" t="s">
        <v>74</v>
      </c>
      <c r="AS606" s="2" t="s">
        <v>74</v>
      </c>
      <c r="AT606" s="2" t="s">
        <v>74</v>
      </c>
      <c r="AU606" s="2">
        <v>1983</v>
      </c>
      <c r="AV606" s="2">
        <v>33</v>
      </c>
      <c r="AW606" s="2">
        <v>2</v>
      </c>
      <c r="AX606" s="2" t="s">
        <v>74</v>
      </c>
      <c r="AY606" s="2" t="s">
        <v>74</v>
      </c>
      <c r="AZ606" s="2" t="s">
        <v>74</v>
      </c>
      <c r="BA606" s="2" t="s">
        <v>74</v>
      </c>
      <c r="BB606" s="2">
        <v>353</v>
      </c>
      <c r="BC606" s="2">
        <v>362</v>
      </c>
      <c r="BD606" s="2" t="s">
        <v>74</v>
      </c>
      <c r="BE606" s="2" t="s">
        <v>74</v>
      </c>
      <c r="BF606" s="2" t="s">
        <v>74</v>
      </c>
      <c r="BG606" s="2" t="s">
        <v>74</v>
      </c>
      <c r="BH606" s="2" t="s">
        <v>74</v>
      </c>
      <c r="BI606" s="2" t="s">
        <v>74</v>
      </c>
      <c r="BJ606" s="2" t="s">
        <v>74</v>
      </c>
      <c r="BK606" s="2" t="s">
        <v>74</v>
      </c>
      <c r="BL606" s="2" t="s">
        <v>74</v>
      </c>
      <c r="BM606" s="2" t="s">
        <v>74</v>
      </c>
      <c r="BN606" s="2" t="s">
        <v>74</v>
      </c>
      <c r="BO606" s="2" t="s">
        <v>74</v>
      </c>
      <c r="BP606" s="2" t="s">
        <v>74</v>
      </c>
      <c r="BQ606" s="2" t="s">
        <v>74</v>
      </c>
      <c r="BR606" s="2" t="s">
        <v>74</v>
      </c>
      <c r="BS606" s="2" t="s">
        <v>6244</v>
      </c>
      <c r="BT606" s="2" t="str">
        <f>HYPERLINK("https%3A%2F%2Fwww.webofscience.com%2Fwos%2Fwoscc%2Ffull-record%2FWOS:A1983QR68900012","View Full Record in Web of Science")</f>
        <v>View Full Record in Web of Science</v>
      </c>
    </row>
    <row r="607" spans="1:72" s="2" customFormat="1" x14ac:dyDescent="0.4">
      <c r="A607" s="2" t="s">
        <v>72</v>
      </c>
      <c r="B607" s="2" t="s">
        <v>2031</v>
      </c>
      <c r="C607" s="2" t="s">
        <v>74</v>
      </c>
      <c r="D607" s="2" t="s">
        <v>74</v>
      </c>
      <c r="E607" s="2" t="s">
        <v>74</v>
      </c>
      <c r="F607" s="2" t="s">
        <v>2032</v>
      </c>
      <c r="G607" s="2" t="s">
        <v>74</v>
      </c>
      <c r="H607" s="2" t="s">
        <v>74</v>
      </c>
      <c r="I607" s="2" t="s">
        <v>2033</v>
      </c>
      <c r="J607" s="2" t="s">
        <v>218</v>
      </c>
      <c r="K607" s="2" t="s">
        <v>74</v>
      </c>
      <c r="L607" s="2" t="s">
        <v>74</v>
      </c>
      <c r="M607" s="2" t="s">
        <v>74</v>
      </c>
      <c r="N607" s="2" t="s">
        <v>74</v>
      </c>
      <c r="O607" s="2" t="s">
        <v>74</v>
      </c>
      <c r="P607" s="2" t="s">
        <v>74</v>
      </c>
      <c r="Q607" s="2" t="s">
        <v>74</v>
      </c>
      <c r="R607" s="2" t="s">
        <v>74</v>
      </c>
      <c r="S607" s="2" t="s">
        <v>74</v>
      </c>
      <c r="T607" s="2" t="s">
        <v>74</v>
      </c>
      <c r="U607" s="2" t="s">
        <v>74</v>
      </c>
      <c r="V607" s="5" t="s">
        <v>2034</v>
      </c>
      <c r="W607" s="2" t="s">
        <v>74</v>
      </c>
      <c r="X607" s="2" t="s">
        <v>74</v>
      </c>
      <c r="Y607" s="2" t="s">
        <v>74</v>
      </c>
      <c r="Z607" s="2" t="s">
        <v>74</v>
      </c>
      <c r="AA607" s="2" t="s">
        <v>74</v>
      </c>
      <c r="AB607" s="2" t="s">
        <v>2035</v>
      </c>
      <c r="AC607" s="2" t="s">
        <v>74</v>
      </c>
      <c r="AD607" s="2" t="s">
        <v>74</v>
      </c>
      <c r="AE607" s="2" t="s">
        <v>74</v>
      </c>
      <c r="AF607" s="2" t="s">
        <v>74</v>
      </c>
      <c r="AG607" s="2" t="s">
        <v>74</v>
      </c>
      <c r="AH607" s="2" t="s">
        <v>74</v>
      </c>
      <c r="AI607" s="2" t="s">
        <v>74</v>
      </c>
      <c r="AJ607" s="2" t="s">
        <v>74</v>
      </c>
      <c r="AK607" s="2" t="s">
        <v>74</v>
      </c>
      <c r="AL607" s="2" t="s">
        <v>74</v>
      </c>
      <c r="AM607" s="2" t="s">
        <v>74</v>
      </c>
      <c r="AN607" s="2" t="s">
        <v>74</v>
      </c>
      <c r="AO607" s="2" t="s">
        <v>221</v>
      </c>
      <c r="AP607" s="2" t="s">
        <v>222</v>
      </c>
      <c r="AQ607" s="2" t="s">
        <v>74</v>
      </c>
      <c r="AR607" s="2" t="s">
        <v>74</v>
      </c>
      <c r="AS607" s="2" t="s">
        <v>74</v>
      </c>
      <c r="AT607" s="2" t="s">
        <v>2036</v>
      </c>
      <c r="AU607" s="2">
        <v>2024</v>
      </c>
      <c r="AV607" s="2" t="s">
        <v>74</v>
      </c>
      <c r="AW607" s="2" t="s">
        <v>74</v>
      </c>
      <c r="AX607" s="2" t="s">
        <v>74</v>
      </c>
      <c r="AY607" s="2" t="s">
        <v>74</v>
      </c>
      <c r="AZ607" s="2" t="s">
        <v>74</v>
      </c>
      <c r="BA607" s="2" t="s">
        <v>74</v>
      </c>
      <c r="BB607" s="2" t="s">
        <v>74</v>
      </c>
      <c r="BC607" s="2" t="s">
        <v>74</v>
      </c>
      <c r="BD607" s="2" t="s">
        <v>74</v>
      </c>
      <c r="BE607" s="2" t="s">
        <v>2037</v>
      </c>
      <c r="BF607" s="2" t="str">
        <f>HYPERLINK("http://dx.doi.org/10.1093/jeb/voae085","http://dx.doi.org/10.1093/jeb/voae085")</f>
        <v>http://dx.doi.org/10.1093/jeb/voae085</v>
      </c>
      <c r="BG607" s="2" t="s">
        <v>74</v>
      </c>
      <c r="BH607" s="2" t="s">
        <v>869</v>
      </c>
      <c r="BI607" s="2" t="s">
        <v>74</v>
      </c>
      <c r="BJ607" s="2" t="s">
        <v>74</v>
      </c>
      <c r="BK607" s="2" t="s">
        <v>74</v>
      </c>
      <c r="BL607" s="2" t="s">
        <v>74</v>
      </c>
      <c r="BM607" s="2" t="s">
        <v>74</v>
      </c>
      <c r="BN607" s="2">
        <v>38989853</v>
      </c>
      <c r="BO607" s="2" t="s">
        <v>74</v>
      </c>
      <c r="BP607" s="2" t="s">
        <v>74</v>
      </c>
      <c r="BQ607" s="2" t="s">
        <v>74</v>
      </c>
      <c r="BR607" s="2" t="s">
        <v>74</v>
      </c>
      <c r="BS607" s="2" t="s">
        <v>2038</v>
      </c>
      <c r="BT607" s="2" t="str">
        <f>HYPERLINK("https%3A%2F%2Fwww.webofscience.com%2Fwos%2Fwoscc%2Ffull-record%2FWOS:001274409500001","View Full Record in Web of Science")</f>
        <v>View Full Record in Web of Science</v>
      </c>
    </row>
    <row r="608" spans="1:72" s="2" customFormat="1" x14ac:dyDescent="0.4">
      <c r="A608" s="2" t="s">
        <v>72</v>
      </c>
      <c r="B608" s="2" t="s">
        <v>6769</v>
      </c>
      <c r="C608" s="2" t="s">
        <v>74</v>
      </c>
      <c r="D608" s="2" t="s">
        <v>74</v>
      </c>
      <c r="E608" s="2" t="s">
        <v>74</v>
      </c>
      <c r="F608" s="2" t="s">
        <v>6770</v>
      </c>
      <c r="G608" s="2" t="s">
        <v>74</v>
      </c>
      <c r="H608" s="2" t="s">
        <v>74</v>
      </c>
      <c r="I608" s="2" t="s">
        <v>6771</v>
      </c>
      <c r="J608" s="2" t="s">
        <v>6772</v>
      </c>
      <c r="K608" s="2" t="s">
        <v>74</v>
      </c>
      <c r="L608" s="2" t="s">
        <v>74</v>
      </c>
      <c r="M608" s="2" t="s">
        <v>74</v>
      </c>
      <c r="N608" s="2" t="s">
        <v>74</v>
      </c>
      <c r="O608" s="2" t="s">
        <v>74</v>
      </c>
      <c r="P608" s="2" t="s">
        <v>74</v>
      </c>
      <c r="Q608" s="2" t="s">
        <v>74</v>
      </c>
      <c r="R608" s="2" t="s">
        <v>74</v>
      </c>
      <c r="S608" s="2" t="s">
        <v>74</v>
      </c>
      <c r="T608" s="2" t="s">
        <v>74</v>
      </c>
      <c r="U608" s="2" t="s">
        <v>74</v>
      </c>
      <c r="V608" s="5" t="s">
        <v>6773</v>
      </c>
      <c r="W608" s="2" t="s">
        <v>74</v>
      </c>
      <c r="X608" s="2" t="s">
        <v>74</v>
      </c>
      <c r="Y608" s="2" t="s">
        <v>74</v>
      </c>
      <c r="Z608" s="2" t="s">
        <v>74</v>
      </c>
      <c r="AA608" s="2" t="s">
        <v>6774</v>
      </c>
      <c r="AB608" s="2" t="s">
        <v>6775</v>
      </c>
      <c r="AC608" s="2" t="s">
        <v>74</v>
      </c>
      <c r="AD608" s="2" t="s">
        <v>74</v>
      </c>
      <c r="AE608" s="2" t="s">
        <v>74</v>
      </c>
      <c r="AF608" s="2" t="s">
        <v>74</v>
      </c>
      <c r="AG608" s="2" t="s">
        <v>74</v>
      </c>
      <c r="AH608" s="2" t="s">
        <v>74</v>
      </c>
      <c r="AI608" s="2" t="s">
        <v>74</v>
      </c>
      <c r="AJ608" s="2" t="s">
        <v>74</v>
      </c>
      <c r="AK608" s="2" t="s">
        <v>74</v>
      </c>
      <c r="AL608" s="2" t="s">
        <v>74</v>
      </c>
      <c r="AM608" s="2" t="s">
        <v>74</v>
      </c>
      <c r="AN608" s="2" t="s">
        <v>74</v>
      </c>
      <c r="AO608" s="2" t="s">
        <v>6776</v>
      </c>
      <c r="AP608" s="2" t="s">
        <v>6777</v>
      </c>
      <c r="AQ608" s="2" t="s">
        <v>74</v>
      </c>
      <c r="AR608" s="2" t="s">
        <v>74</v>
      </c>
      <c r="AS608" s="2" t="s">
        <v>74</v>
      </c>
      <c r="AT608" s="2" t="s">
        <v>964</v>
      </c>
      <c r="AU608" s="2">
        <v>2022</v>
      </c>
      <c r="AV608" s="2">
        <v>20</v>
      </c>
      <c r="AW608" s="2">
        <v>2</v>
      </c>
      <c r="AX608" s="2" t="s">
        <v>74</v>
      </c>
      <c r="AY608" s="2" t="s">
        <v>74</v>
      </c>
      <c r="AZ608" s="2" t="s">
        <v>74</v>
      </c>
      <c r="BA608" s="2" t="s">
        <v>74</v>
      </c>
      <c r="BB608" s="2" t="s">
        <v>74</v>
      </c>
      <c r="BC608" s="2" t="s">
        <v>74</v>
      </c>
      <c r="BD608" s="2" t="s">
        <v>6778</v>
      </c>
      <c r="BE608" s="2" t="s">
        <v>6779</v>
      </c>
      <c r="BF608" s="2" t="str">
        <f>HYPERLINK("http://dx.doi.org/10.1371/journal.pbio.3001529","http://dx.doi.org/10.1371/journal.pbio.3001529")</f>
        <v>http://dx.doi.org/10.1371/journal.pbio.3001529</v>
      </c>
      <c r="BG608" s="2" t="s">
        <v>74</v>
      </c>
      <c r="BH608" s="2" t="s">
        <v>74</v>
      </c>
      <c r="BI608" s="2" t="s">
        <v>74</v>
      </c>
      <c r="BJ608" s="2" t="s">
        <v>74</v>
      </c>
      <c r="BK608" s="2" t="s">
        <v>74</v>
      </c>
      <c r="BL608" s="2" t="s">
        <v>74</v>
      </c>
      <c r="BM608" s="2" t="s">
        <v>74</v>
      </c>
      <c r="BN608" s="2">
        <v>35176032</v>
      </c>
      <c r="BO608" s="2" t="s">
        <v>74</v>
      </c>
      <c r="BP608" s="2" t="s">
        <v>74</v>
      </c>
      <c r="BQ608" s="2" t="s">
        <v>74</v>
      </c>
      <c r="BR608" s="2" t="s">
        <v>74</v>
      </c>
      <c r="BS608" s="2" t="s">
        <v>6780</v>
      </c>
      <c r="BT608" s="2" t="str">
        <f>HYPERLINK("https%3A%2F%2Fwww.webofscience.com%2Fwos%2Fwoscc%2Ffull-record%2FWOS:000759890300001","View Full Record in Web of Science")</f>
        <v>View Full Record in Web of Science</v>
      </c>
    </row>
    <row r="609" spans="1:72" s="2" customFormat="1" x14ac:dyDescent="0.4">
      <c r="A609" s="2" t="s">
        <v>72</v>
      </c>
      <c r="B609" s="2" t="s">
        <v>3920</v>
      </c>
      <c r="C609" s="2" t="s">
        <v>74</v>
      </c>
      <c r="D609" s="2" t="s">
        <v>74</v>
      </c>
      <c r="E609" s="2" t="s">
        <v>74</v>
      </c>
      <c r="F609" s="2" t="s">
        <v>3921</v>
      </c>
      <c r="G609" s="2" t="s">
        <v>74</v>
      </c>
      <c r="H609" s="2" t="s">
        <v>74</v>
      </c>
      <c r="I609" s="2" t="s">
        <v>3922</v>
      </c>
      <c r="J609" s="2" t="s">
        <v>108</v>
      </c>
      <c r="K609" s="2" t="s">
        <v>74</v>
      </c>
      <c r="L609" s="2" t="s">
        <v>74</v>
      </c>
      <c r="M609" s="2" t="s">
        <v>74</v>
      </c>
      <c r="N609" s="2" t="s">
        <v>74</v>
      </c>
      <c r="O609" s="2" t="s">
        <v>74</v>
      </c>
      <c r="P609" s="2" t="s">
        <v>74</v>
      </c>
      <c r="Q609" s="2" t="s">
        <v>74</v>
      </c>
      <c r="R609" s="2" t="s">
        <v>74</v>
      </c>
      <c r="S609" s="2" t="s">
        <v>74</v>
      </c>
      <c r="T609" s="2" t="s">
        <v>74</v>
      </c>
      <c r="U609" s="2" t="s">
        <v>74</v>
      </c>
      <c r="V609" s="5" t="s">
        <v>3923</v>
      </c>
      <c r="W609" s="2" t="s">
        <v>74</v>
      </c>
      <c r="X609" s="2" t="s">
        <v>74</v>
      </c>
      <c r="Y609" s="2" t="s">
        <v>74</v>
      </c>
      <c r="Z609" s="2" t="s">
        <v>74</v>
      </c>
      <c r="AA609" s="2" t="s">
        <v>3924</v>
      </c>
      <c r="AB609" s="2" t="s">
        <v>3925</v>
      </c>
      <c r="AC609" s="2" t="s">
        <v>74</v>
      </c>
      <c r="AD609" s="2" t="s">
        <v>74</v>
      </c>
      <c r="AE609" s="2" t="s">
        <v>74</v>
      </c>
      <c r="AF609" s="2" t="s">
        <v>74</v>
      </c>
      <c r="AG609" s="2" t="s">
        <v>74</v>
      </c>
      <c r="AH609" s="2" t="s">
        <v>74</v>
      </c>
      <c r="AI609" s="2" t="s">
        <v>74</v>
      </c>
      <c r="AJ609" s="2" t="s">
        <v>74</v>
      </c>
      <c r="AK609" s="2" t="s">
        <v>74</v>
      </c>
      <c r="AL609" s="2" t="s">
        <v>74</v>
      </c>
      <c r="AM609" s="2" t="s">
        <v>74</v>
      </c>
      <c r="AN609" s="2" t="s">
        <v>74</v>
      </c>
      <c r="AO609" s="2" t="s">
        <v>111</v>
      </c>
      <c r="AP609" s="2" t="s">
        <v>112</v>
      </c>
      <c r="AQ609" s="2" t="s">
        <v>74</v>
      </c>
      <c r="AR609" s="2" t="s">
        <v>74</v>
      </c>
      <c r="AS609" s="2" t="s">
        <v>74</v>
      </c>
      <c r="AT609" s="2" t="s">
        <v>3926</v>
      </c>
      <c r="AU609" s="2">
        <v>2014</v>
      </c>
      <c r="AV609" s="2">
        <v>281</v>
      </c>
      <c r="AW609" s="2">
        <v>1793</v>
      </c>
      <c r="AX609" s="2" t="s">
        <v>74</v>
      </c>
      <c r="AY609" s="2" t="s">
        <v>74</v>
      </c>
      <c r="AZ609" s="2" t="s">
        <v>74</v>
      </c>
      <c r="BA609" s="2" t="s">
        <v>74</v>
      </c>
      <c r="BB609" s="2" t="s">
        <v>74</v>
      </c>
      <c r="BC609" s="2" t="s">
        <v>74</v>
      </c>
      <c r="BD609" s="2">
        <v>20141794</v>
      </c>
      <c r="BE609" s="2" t="s">
        <v>3927</v>
      </c>
      <c r="BF609" s="2" t="str">
        <f>HYPERLINK("http://dx.doi.org/10.1098/rspb.2014.1794","http://dx.doi.org/10.1098/rspb.2014.1794")</f>
        <v>http://dx.doi.org/10.1098/rspb.2014.1794</v>
      </c>
      <c r="BG609" s="2" t="s">
        <v>74</v>
      </c>
      <c r="BH609" s="2" t="s">
        <v>74</v>
      </c>
      <c r="BI609" s="2" t="s">
        <v>74</v>
      </c>
      <c r="BJ609" s="2" t="s">
        <v>74</v>
      </c>
      <c r="BK609" s="2" t="s">
        <v>74</v>
      </c>
      <c r="BL609" s="2" t="s">
        <v>74</v>
      </c>
      <c r="BM609" s="2" t="s">
        <v>74</v>
      </c>
      <c r="BN609" s="2">
        <v>25209943</v>
      </c>
      <c r="BO609" s="2" t="s">
        <v>74</v>
      </c>
      <c r="BP609" s="2" t="s">
        <v>74</v>
      </c>
      <c r="BQ609" s="2" t="s">
        <v>74</v>
      </c>
      <c r="BR609" s="2" t="s">
        <v>74</v>
      </c>
      <c r="BS609" s="2" t="s">
        <v>3928</v>
      </c>
      <c r="BT609" s="2" t="str">
        <f>HYPERLINK("https%3A%2F%2Fwww.webofscience.com%2Fwos%2Fwoscc%2Ffull-record%2FWOS:000341560300025","View Full Record in Web of Science")</f>
        <v>View Full Record in Web of Science</v>
      </c>
    </row>
    <row r="610" spans="1:72" s="2" customFormat="1" x14ac:dyDescent="0.4">
      <c r="A610" s="2" t="s">
        <v>72</v>
      </c>
      <c r="B610" s="2" t="s">
        <v>737</v>
      </c>
      <c r="C610" s="2" t="s">
        <v>74</v>
      </c>
      <c r="D610" s="2" t="s">
        <v>74</v>
      </c>
      <c r="E610" s="2" t="s">
        <v>74</v>
      </c>
      <c r="F610" s="2" t="s">
        <v>738</v>
      </c>
      <c r="G610" s="2" t="s">
        <v>74</v>
      </c>
      <c r="H610" s="2" t="s">
        <v>74</v>
      </c>
      <c r="I610" s="2" t="s">
        <v>739</v>
      </c>
      <c r="J610" s="2" t="s">
        <v>408</v>
      </c>
      <c r="K610" s="2" t="s">
        <v>74</v>
      </c>
      <c r="L610" s="2" t="s">
        <v>74</v>
      </c>
      <c r="M610" s="2" t="s">
        <v>74</v>
      </c>
      <c r="N610" s="2" t="s">
        <v>74</v>
      </c>
      <c r="O610" s="2" t="s">
        <v>74</v>
      </c>
      <c r="P610" s="2" t="s">
        <v>74</v>
      </c>
      <c r="Q610" s="2" t="s">
        <v>74</v>
      </c>
      <c r="R610" s="2" t="s">
        <v>74</v>
      </c>
      <c r="S610" s="2" t="s">
        <v>74</v>
      </c>
      <c r="T610" s="2" t="s">
        <v>74</v>
      </c>
      <c r="U610" s="2" t="s">
        <v>74</v>
      </c>
      <c r="V610" s="5" t="s">
        <v>740</v>
      </c>
      <c r="W610" s="2" t="s">
        <v>74</v>
      </c>
      <c r="X610" s="2" t="s">
        <v>74</v>
      </c>
      <c r="Y610" s="2" t="s">
        <v>74</v>
      </c>
      <c r="Z610" s="2" t="s">
        <v>74</v>
      </c>
      <c r="AA610" s="2" t="s">
        <v>74</v>
      </c>
      <c r="AB610" s="2" t="s">
        <v>74</v>
      </c>
      <c r="AC610" s="2" t="s">
        <v>74</v>
      </c>
      <c r="AD610" s="2" t="s">
        <v>74</v>
      </c>
      <c r="AE610" s="2" t="s">
        <v>74</v>
      </c>
      <c r="AF610" s="2" t="s">
        <v>74</v>
      </c>
      <c r="AG610" s="2" t="s">
        <v>74</v>
      </c>
      <c r="AH610" s="2" t="s">
        <v>74</v>
      </c>
      <c r="AI610" s="2" t="s">
        <v>74</v>
      </c>
      <c r="AJ610" s="2" t="s">
        <v>74</v>
      </c>
      <c r="AK610" s="2" t="s">
        <v>74</v>
      </c>
      <c r="AL610" s="2" t="s">
        <v>74</v>
      </c>
      <c r="AM610" s="2" t="s">
        <v>74</v>
      </c>
      <c r="AN610" s="2" t="s">
        <v>74</v>
      </c>
      <c r="AO610" s="2" t="s">
        <v>412</v>
      </c>
      <c r="AP610" s="2" t="s">
        <v>413</v>
      </c>
      <c r="AQ610" s="2" t="s">
        <v>74</v>
      </c>
      <c r="AR610" s="2" t="s">
        <v>74</v>
      </c>
      <c r="AS610" s="2" t="s">
        <v>74</v>
      </c>
      <c r="AT610" s="2" t="s">
        <v>741</v>
      </c>
      <c r="AU610" s="2">
        <v>2024</v>
      </c>
      <c r="AV610" s="2" t="s">
        <v>74</v>
      </c>
      <c r="AW610" s="2" t="s">
        <v>74</v>
      </c>
      <c r="AX610" s="2" t="s">
        <v>74</v>
      </c>
      <c r="AY610" s="2" t="s">
        <v>74</v>
      </c>
      <c r="AZ610" s="2" t="s">
        <v>74</v>
      </c>
      <c r="BA610" s="2" t="s">
        <v>74</v>
      </c>
      <c r="BB610" s="2" t="s">
        <v>74</v>
      </c>
      <c r="BC610" s="2" t="s">
        <v>74</v>
      </c>
      <c r="BD610" s="2" t="s">
        <v>74</v>
      </c>
      <c r="BE610" s="2" t="s">
        <v>742</v>
      </c>
      <c r="BF610" s="2" t="str">
        <f>HYPERLINK("http://dx.doi.org/10.1093/biolinnean/blae006","http://dx.doi.org/10.1093/biolinnean/blae006")</f>
        <v>http://dx.doi.org/10.1093/biolinnean/blae006</v>
      </c>
      <c r="BG610" s="2" t="s">
        <v>74</v>
      </c>
      <c r="BH610" s="2" t="s">
        <v>743</v>
      </c>
      <c r="BI610" s="2" t="s">
        <v>74</v>
      </c>
      <c r="BJ610" s="2" t="s">
        <v>74</v>
      </c>
      <c r="BK610" s="2" t="s">
        <v>74</v>
      </c>
      <c r="BL610" s="2" t="s">
        <v>74</v>
      </c>
      <c r="BM610" s="2" t="s">
        <v>74</v>
      </c>
      <c r="BN610" s="2" t="s">
        <v>74</v>
      </c>
      <c r="BO610" s="2" t="s">
        <v>74</v>
      </c>
      <c r="BP610" s="2" t="s">
        <v>74</v>
      </c>
      <c r="BQ610" s="2" t="s">
        <v>74</v>
      </c>
      <c r="BR610" s="2" t="s">
        <v>74</v>
      </c>
      <c r="BS610" s="2" t="s">
        <v>744</v>
      </c>
      <c r="BT610" s="2" t="str">
        <f>HYPERLINK("https%3A%2F%2Fwww.webofscience.com%2Fwos%2Fwoscc%2Ffull-record%2FWOS:001178186000001","View Full Record in Web of Science")</f>
        <v>View Full Record in Web of Science</v>
      </c>
    </row>
    <row r="611" spans="1:72" s="2" customFormat="1" x14ac:dyDescent="0.4">
      <c r="A611" s="2" t="s">
        <v>72</v>
      </c>
      <c r="B611" s="2" t="s">
        <v>4190</v>
      </c>
      <c r="C611" s="2" t="s">
        <v>74</v>
      </c>
      <c r="D611" s="2" t="s">
        <v>74</v>
      </c>
      <c r="E611" s="2" t="s">
        <v>74</v>
      </c>
      <c r="F611" s="2" t="s">
        <v>4191</v>
      </c>
      <c r="G611" s="2" t="s">
        <v>74</v>
      </c>
      <c r="H611" s="2" t="s">
        <v>74</v>
      </c>
      <c r="I611" s="2" t="s">
        <v>4192</v>
      </c>
      <c r="J611" s="2" t="s">
        <v>862</v>
      </c>
      <c r="K611" s="2" t="s">
        <v>74</v>
      </c>
      <c r="L611" s="2" t="s">
        <v>74</v>
      </c>
      <c r="M611" s="2" t="s">
        <v>74</v>
      </c>
      <c r="N611" s="2" t="s">
        <v>74</v>
      </c>
      <c r="O611" s="2" t="s">
        <v>74</v>
      </c>
      <c r="P611" s="2" t="s">
        <v>74</v>
      </c>
      <c r="Q611" s="2" t="s">
        <v>74</v>
      </c>
      <c r="R611" s="2" t="s">
        <v>74</v>
      </c>
      <c r="S611" s="2" t="s">
        <v>74</v>
      </c>
      <c r="T611" s="2" t="s">
        <v>74</v>
      </c>
      <c r="U611" s="2" t="s">
        <v>74</v>
      </c>
      <c r="V611" s="5" t="s">
        <v>4193</v>
      </c>
      <c r="W611" s="2" t="s">
        <v>74</v>
      </c>
      <c r="X611" s="2" t="s">
        <v>74</v>
      </c>
      <c r="Y611" s="2" t="s">
        <v>74</v>
      </c>
      <c r="Z611" s="2" t="s">
        <v>74</v>
      </c>
      <c r="AA611" s="2" t="s">
        <v>74</v>
      </c>
      <c r="AB611" s="2" t="s">
        <v>74</v>
      </c>
      <c r="AC611" s="2" t="s">
        <v>74</v>
      </c>
      <c r="AD611" s="2" t="s">
        <v>74</v>
      </c>
      <c r="AE611" s="2" t="s">
        <v>74</v>
      </c>
      <c r="AF611" s="2" t="s">
        <v>74</v>
      </c>
      <c r="AG611" s="2" t="s">
        <v>74</v>
      </c>
      <c r="AH611" s="2" t="s">
        <v>74</v>
      </c>
      <c r="AI611" s="2" t="s">
        <v>74</v>
      </c>
      <c r="AJ611" s="2" t="s">
        <v>74</v>
      </c>
      <c r="AK611" s="2" t="s">
        <v>74</v>
      </c>
      <c r="AL611" s="2" t="s">
        <v>74</v>
      </c>
      <c r="AM611" s="2" t="s">
        <v>74</v>
      </c>
      <c r="AN611" s="2" t="s">
        <v>74</v>
      </c>
      <c r="AO611" s="2" t="s">
        <v>865</v>
      </c>
      <c r="AP611" s="2" t="s">
        <v>866</v>
      </c>
      <c r="AQ611" s="2" t="s">
        <v>74</v>
      </c>
      <c r="AR611" s="2" t="s">
        <v>74</v>
      </c>
      <c r="AS611" s="2" t="s">
        <v>74</v>
      </c>
      <c r="AT611" s="2" t="s">
        <v>123</v>
      </c>
      <c r="AU611" s="2">
        <v>2014</v>
      </c>
      <c r="AV611" s="2">
        <v>17</v>
      </c>
      <c r="AW611" s="2">
        <v>1</v>
      </c>
      <c r="AX611" s="2" t="s">
        <v>74</v>
      </c>
      <c r="AY611" s="2" t="s">
        <v>74</v>
      </c>
      <c r="AZ611" s="2" t="s">
        <v>74</v>
      </c>
      <c r="BA611" s="2" t="s">
        <v>74</v>
      </c>
      <c r="BB611" s="2">
        <v>37</v>
      </c>
      <c r="BC611" s="2">
        <v>45</v>
      </c>
      <c r="BD611" s="2" t="s">
        <v>74</v>
      </c>
      <c r="BE611" s="2" t="s">
        <v>4194</v>
      </c>
      <c r="BF611" s="2" t="str">
        <f>HYPERLINK("http://dx.doi.org/10.1007/s10211-013-0156-2","http://dx.doi.org/10.1007/s10211-013-0156-2")</f>
        <v>http://dx.doi.org/10.1007/s10211-013-0156-2</v>
      </c>
      <c r="BG611" s="2" t="s">
        <v>74</v>
      </c>
      <c r="BH611" s="2" t="s">
        <v>74</v>
      </c>
      <c r="BI611" s="2" t="s">
        <v>74</v>
      </c>
      <c r="BJ611" s="2" t="s">
        <v>74</v>
      </c>
      <c r="BK611" s="2" t="s">
        <v>74</v>
      </c>
      <c r="BL611" s="2" t="s">
        <v>74</v>
      </c>
      <c r="BM611" s="2" t="s">
        <v>74</v>
      </c>
      <c r="BN611" s="2" t="s">
        <v>74</v>
      </c>
      <c r="BO611" s="2" t="s">
        <v>74</v>
      </c>
      <c r="BP611" s="2" t="s">
        <v>74</v>
      </c>
      <c r="BQ611" s="2" t="s">
        <v>74</v>
      </c>
      <c r="BR611" s="2" t="s">
        <v>74</v>
      </c>
      <c r="BS611" s="2" t="s">
        <v>4195</v>
      </c>
      <c r="BT611" s="2" t="str">
        <f>HYPERLINK("https%3A%2F%2Fwww.webofscience.com%2Fwos%2Fwoscc%2Ffull-record%2FWOS:000331631900006","View Full Record in Web of Science")</f>
        <v>View Full Record in Web of Science</v>
      </c>
    </row>
    <row r="612" spans="1:72" s="2" customFormat="1" x14ac:dyDescent="0.4">
      <c r="A612" s="2" t="s">
        <v>72</v>
      </c>
      <c r="B612" s="2" t="s">
        <v>890</v>
      </c>
      <c r="C612" s="2" t="s">
        <v>74</v>
      </c>
      <c r="D612" s="2" t="s">
        <v>74</v>
      </c>
      <c r="E612" s="2" t="s">
        <v>74</v>
      </c>
      <c r="F612" s="2" t="s">
        <v>891</v>
      </c>
      <c r="G612" s="2" t="s">
        <v>74</v>
      </c>
      <c r="H612" s="2" t="s">
        <v>74</v>
      </c>
      <c r="I612" s="2" t="s">
        <v>892</v>
      </c>
      <c r="J612" s="2" t="s">
        <v>88</v>
      </c>
      <c r="K612" s="2" t="s">
        <v>74</v>
      </c>
      <c r="L612" s="2" t="s">
        <v>74</v>
      </c>
      <c r="M612" s="2" t="s">
        <v>74</v>
      </c>
      <c r="N612" s="2" t="s">
        <v>74</v>
      </c>
      <c r="O612" s="2" t="s">
        <v>74</v>
      </c>
      <c r="P612" s="2" t="s">
        <v>74</v>
      </c>
      <c r="Q612" s="2" t="s">
        <v>74</v>
      </c>
      <c r="R612" s="2" t="s">
        <v>74</v>
      </c>
      <c r="S612" s="2" t="s">
        <v>74</v>
      </c>
      <c r="T612" s="2" t="s">
        <v>74</v>
      </c>
      <c r="U612" s="2" t="s">
        <v>74</v>
      </c>
      <c r="V612" s="5" t="s">
        <v>893</v>
      </c>
      <c r="W612" s="2" t="s">
        <v>74</v>
      </c>
      <c r="X612" s="2" t="s">
        <v>74</v>
      </c>
      <c r="Y612" s="2" t="s">
        <v>74</v>
      </c>
      <c r="Z612" s="2" t="s">
        <v>74</v>
      </c>
      <c r="AA612" s="2" t="s">
        <v>74</v>
      </c>
      <c r="AB612" s="2" t="s">
        <v>894</v>
      </c>
      <c r="AC612" s="2" t="s">
        <v>74</v>
      </c>
      <c r="AD612" s="2" t="s">
        <v>74</v>
      </c>
      <c r="AE612" s="2" t="s">
        <v>74</v>
      </c>
      <c r="AF612" s="2" t="s">
        <v>74</v>
      </c>
      <c r="AG612" s="2" t="s">
        <v>74</v>
      </c>
      <c r="AH612" s="2" t="s">
        <v>74</v>
      </c>
      <c r="AI612" s="2" t="s">
        <v>74</v>
      </c>
      <c r="AJ612" s="2" t="s">
        <v>74</v>
      </c>
      <c r="AK612" s="2" t="s">
        <v>74</v>
      </c>
      <c r="AL612" s="2" t="s">
        <v>74</v>
      </c>
      <c r="AM612" s="2" t="s">
        <v>74</v>
      </c>
      <c r="AN612" s="2" t="s">
        <v>74</v>
      </c>
      <c r="AO612" s="2" t="s">
        <v>91</v>
      </c>
      <c r="AP612" s="2" t="s">
        <v>74</v>
      </c>
      <c r="AQ612" s="2" t="s">
        <v>74</v>
      </c>
      <c r="AR612" s="2" t="s">
        <v>74</v>
      </c>
      <c r="AS612" s="2" t="s">
        <v>74</v>
      </c>
      <c r="AT612" s="2" t="s">
        <v>895</v>
      </c>
      <c r="AU612" s="2">
        <v>2011</v>
      </c>
      <c r="AV612" s="2">
        <v>7</v>
      </c>
      <c r="AW612" s="2">
        <v>5</v>
      </c>
      <c r="AX612" s="2" t="s">
        <v>74</v>
      </c>
      <c r="AY612" s="2" t="s">
        <v>74</v>
      </c>
      <c r="AZ612" s="2" t="s">
        <v>74</v>
      </c>
      <c r="BA612" s="2" t="s">
        <v>74</v>
      </c>
      <c r="BB612" s="2">
        <v>658</v>
      </c>
      <c r="BC612" s="2">
        <v>660</v>
      </c>
      <c r="BD612" s="2" t="s">
        <v>74</v>
      </c>
      <c r="BE612" s="2" t="s">
        <v>896</v>
      </c>
      <c r="BF612" s="2" t="str">
        <f>HYPERLINK("http://dx.doi.org/10.1098/rsbl.2011.0087","http://dx.doi.org/10.1098/rsbl.2011.0087")</f>
        <v>http://dx.doi.org/10.1098/rsbl.2011.0087</v>
      </c>
      <c r="BG612" s="2" t="s">
        <v>74</v>
      </c>
      <c r="BH612" s="2" t="s">
        <v>74</v>
      </c>
      <c r="BI612" s="2" t="s">
        <v>74</v>
      </c>
      <c r="BJ612" s="2" t="s">
        <v>74</v>
      </c>
      <c r="BK612" s="2" t="s">
        <v>74</v>
      </c>
      <c r="BL612" s="2" t="s">
        <v>74</v>
      </c>
      <c r="BM612" s="2" t="s">
        <v>74</v>
      </c>
      <c r="BN612" s="2">
        <v>21450727</v>
      </c>
      <c r="BO612" s="2" t="s">
        <v>74</v>
      </c>
      <c r="BP612" s="2" t="s">
        <v>74</v>
      </c>
      <c r="BQ612" s="2" t="s">
        <v>74</v>
      </c>
      <c r="BR612" s="2" t="s">
        <v>74</v>
      </c>
      <c r="BS612" s="2" t="s">
        <v>897</v>
      </c>
      <c r="BT612" s="2" t="str">
        <f>HYPERLINK("https%3A%2F%2Fwww.webofscience.com%2Fwos%2Fwoscc%2Ffull-record%2FWOS:000294768400007","View Full Record in Web of Science")</f>
        <v>View Full Record in Web of Science</v>
      </c>
    </row>
    <row r="613" spans="1:72" s="2" customFormat="1" x14ac:dyDescent="0.4">
      <c r="A613" s="2" t="s">
        <v>72</v>
      </c>
      <c r="B613" s="2" t="s">
        <v>1034</v>
      </c>
      <c r="C613" s="2" t="s">
        <v>74</v>
      </c>
      <c r="D613" s="2" t="s">
        <v>74</v>
      </c>
      <c r="E613" s="2" t="s">
        <v>74</v>
      </c>
      <c r="F613" s="2" t="s">
        <v>1035</v>
      </c>
      <c r="G613" s="2" t="s">
        <v>74</v>
      </c>
      <c r="H613" s="2" t="s">
        <v>74</v>
      </c>
      <c r="I613" s="2" t="s">
        <v>1036</v>
      </c>
      <c r="J613" s="2" t="s">
        <v>333</v>
      </c>
      <c r="K613" s="2" t="s">
        <v>74</v>
      </c>
      <c r="L613" s="2" t="s">
        <v>74</v>
      </c>
      <c r="M613" s="2" t="s">
        <v>74</v>
      </c>
      <c r="N613" s="2" t="s">
        <v>74</v>
      </c>
      <c r="O613" s="2" t="s">
        <v>74</v>
      </c>
      <c r="P613" s="2" t="s">
        <v>74</v>
      </c>
      <c r="Q613" s="2" t="s">
        <v>74</v>
      </c>
      <c r="R613" s="2" t="s">
        <v>74</v>
      </c>
      <c r="S613" s="2" t="s">
        <v>74</v>
      </c>
      <c r="T613" s="2" t="s">
        <v>74</v>
      </c>
      <c r="U613" s="2" t="s">
        <v>74</v>
      </c>
      <c r="V613" s="5" t="s">
        <v>1037</v>
      </c>
      <c r="W613" s="2" t="s">
        <v>74</v>
      </c>
      <c r="X613" s="2" t="s">
        <v>74</v>
      </c>
      <c r="Y613" s="2" t="s">
        <v>74</v>
      </c>
      <c r="Z613" s="2" t="s">
        <v>74</v>
      </c>
      <c r="AA613" s="2" t="s">
        <v>74</v>
      </c>
      <c r="AB613" s="2" t="s">
        <v>74</v>
      </c>
      <c r="AC613" s="2" t="s">
        <v>74</v>
      </c>
      <c r="AD613" s="2" t="s">
        <v>74</v>
      </c>
      <c r="AE613" s="2" t="s">
        <v>74</v>
      </c>
      <c r="AF613" s="2" t="s">
        <v>74</v>
      </c>
      <c r="AG613" s="2" t="s">
        <v>74</v>
      </c>
      <c r="AH613" s="2" t="s">
        <v>74</v>
      </c>
      <c r="AI613" s="2" t="s">
        <v>74</v>
      </c>
      <c r="AJ613" s="2" t="s">
        <v>74</v>
      </c>
      <c r="AK613" s="2" t="s">
        <v>74</v>
      </c>
      <c r="AL613" s="2" t="s">
        <v>74</v>
      </c>
      <c r="AM613" s="2" t="s">
        <v>74</v>
      </c>
      <c r="AN613" s="2" t="s">
        <v>74</v>
      </c>
      <c r="AO613" s="2" t="s">
        <v>337</v>
      </c>
      <c r="AP613" s="2" t="s">
        <v>74</v>
      </c>
      <c r="AQ613" s="2" t="s">
        <v>74</v>
      </c>
      <c r="AR613" s="2" t="s">
        <v>74</v>
      </c>
      <c r="AS613" s="2" t="s">
        <v>74</v>
      </c>
      <c r="AT613" s="2" t="s">
        <v>1038</v>
      </c>
      <c r="AU613" s="2">
        <v>2007</v>
      </c>
      <c r="AV613" s="2">
        <v>18</v>
      </c>
      <c r="AW613" s="2">
        <v>2</v>
      </c>
      <c r="AX613" s="2" t="s">
        <v>74</v>
      </c>
      <c r="AY613" s="2" t="s">
        <v>74</v>
      </c>
      <c r="AZ613" s="2" t="s">
        <v>74</v>
      </c>
      <c r="BA613" s="2" t="s">
        <v>74</v>
      </c>
      <c r="BB613" s="2">
        <v>318</v>
      </c>
      <c r="BC613" s="2">
        <v>323</v>
      </c>
      <c r="BD613" s="2" t="s">
        <v>74</v>
      </c>
      <c r="BE613" s="2" t="s">
        <v>1039</v>
      </c>
      <c r="BF613" s="2" t="str">
        <f>HYPERLINK("http://dx.doi.org/10.1093/beheco/arl093","http://dx.doi.org/10.1093/beheco/arl093")</f>
        <v>http://dx.doi.org/10.1093/beheco/arl093</v>
      </c>
      <c r="BG613" s="2" t="s">
        <v>74</v>
      </c>
      <c r="BH613" s="2" t="s">
        <v>74</v>
      </c>
      <c r="BI613" s="2" t="s">
        <v>74</v>
      </c>
      <c r="BJ613" s="2" t="s">
        <v>74</v>
      </c>
      <c r="BK613" s="2" t="s">
        <v>74</v>
      </c>
      <c r="BL613" s="2" t="s">
        <v>74</v>
      </c>
      <c r="BM613" s="2" t="s">
        <v>74</v>
      </c>
      <c r="BN613" s="2" t="s">
        <v>74</v>
      </c>
      <c r="BO613" s="2" t="s">
        <v>74</v>
      </c>
      <c r="BP613" s="2" t="s">
        <v>74</v>
      </c>
      <c r="BQ613" s="2" t="s">
        <v>74</v>
      </c>
      <c r="BR613" s="2" t="s">
        <v>74</v>
      </c>
      <c r="BS613" s="2" t="s">
        <v>1040</v>
      </c>
      <c r="BT613" s="2" t="str">
        <f>HYPERLINK("https%3A%2F%2Fwww.webofscience.com%2Fwos%2Fwoscc%2Ffull-record%2FWOS:000244658100007","View Full Record in Web of Science")</f>
        <v>View Full Record in Web of Science</v>
      </c>
    </row>
    <row r="614" spans="1:72" s="2" customFormat="1" x14ac:dyDescent="0.4">
      <c r="A614" s="2" t="s">
        <v>72</v>
      </c>
      <c r="B614" s="2" t="s">
        <v>2697</v>
      </c>
      <c r="C614" s="2" t="s">
        <v>74</v>
      </c>
      <c r="D614" s="2" t="s">
        <v>74</v>
      </c>
      <c r="E614" s="2" t="s">
        <v>74</v>
      </c>
      <c r="F614" s="2" t="s">
        <v>2698</v>
      </c>
      <c r="G614" s="2" t="s">
        <v>74</v>
      </c>
      <c r="H614" s="2" t="s">
        <v>74</v>
      </c>
      <c r="I614" s="2" t="s">
        <v>2699</v>
      </c>
      <c r="J614" s="2" t="s">
        <v>731</v>
      </c>
      <c r="K614" s="2" t="s">
        <v>74</v>
      </c>
      <c r="L614" s="2" t="s">
        <v>74</v>
      </c>
      <c r="M614" s="2" t="s">
        <v>74</v>
      </c>
      <c r="N614" s="2" t="s">
        <v>74</v>
      </c>
      <c r="O614" s="2" t="s">
        <v>74</v>
      </c>
      <c r="P614" s="2" t="s">
        <v>74</v>
      </c>
      <c r="Q614" s="2" t="s">
        <v>74</v>
      </c>
      <c r="R614" s="2" t="s">
        <v>74</v>
      </c>
      <c r="S614" s="2" t="s">
        <v>74</v>
      </c>
      <c r="T614" s="2" t="s">
        <v>74</v>
      </c>
      <c r="U614" s="2" t="s">
        <v>74</v>
      </c>
      <c r="V614" s="5" t="s">
        <v>2700</v>
      </c>
      <c r="W614" s="2" t="s">
        <v>74</v>
      </c>
      <c r="X614" s="2" t="s">
        <v>74</v>
      </c>
      <c r="Y614" s="2" t="s">
        <v>74</v>
      </c>
      <c r="Z614" s="2" t="s">
        <v>74</v>
      </c>
      <c r="AA614" s="2" t="s">
        <v>74</v>
      </c>
      <c r="AB614" s="2" t="s">
        <v>2701</v>
      </c>
      <c r="AC614" s="2" t="s">
        <v>74</v>
      </c>
      <c r="AD614" s="2" t="s">
        <v>74</v>
      </c>
      <c r="AE614" s="2" t="s">
        <v>74</v>
      </c>
      <c r="AF614" s="2" t="s">
        <v>74</v>
      </c>
      <c r="AG614" s="2" t="s">
        <v>74</v>
      </c>
      <c r="AH614" s="2" t="s">
        <v>74</v>
      </c>
      <c r="AI614" s="2" t="s">
        <v>74</v>
      </c>
      <c r="AJ614" s="2" t="s">
        <v>74</v>
      </c>
      <c r="AK614" s="2" t="s">
        <v>74</v>
      </c>
      <c r="AL614" s="2" t="s">
        <v>74</v>
      </c>
      <c r="AM614" s="2" t="s">
        <v>74</v>
      </c>
      <c r="AN614" s="2" t="s">
        <v>74</v>
      </c>
      <c r="AO614" s="2" t="s">
        <v>733</v>
      </c>
      <c r="AP614" s="2" t="s">
        <v>734</v>
      </c>
      <c r="AQ614" s="2" t="s">
        <v>74</v>
      </c>
      <c r="AR614" s="2" t="s">
        <v>74</v>
      </c>
      <c r="AS614" s="2" t="s">
        <v>74</v>
      </c>
      <c r="AT614" s="2" t="s">
        <v>2702</v>
      </c>
      <c r="AU614" s="2">
        <v>2007</v>
      </c>
      <c r="AV614" s="2">
        <v>183</v>
      </c>
      <c r="AW614" s="2">
        <v>1</v>
      </c>
      <c r="AX614" s="2" t="s">
        <v>74</v>
      </c>
      <c r="AY614" s="2" t="s">
        <v>74</v>
      </c>
      <c r="AZ614" s="2" t="s">
        <v>74</v>
      </c>
      <c r="BA614" s="2" t="s">
        <v>74</v>
      </c>
      <c r="BB614" s="2">
        <v>31</v>
      </c>
      <c r="BC614" s="2">
        <v>42</v>
      </c>
      <c r="BD614" s="2" t="s">
        <v>74</v>
      </c>
      <c r="BE614" s="2" t="s">
        <v>2703</v>
      </c>
      <c r="BF614" s="2" t="str">
        <f>HYPERLINK("http://dx.doi.org/10.1016/j.bbr.2007.05.021","http://dx.doi.org/10.1016/j.bbr.2007.05.021")</f>
        <v>http://dx.doi.org/10.1016/j.bbr.2007.05.021</v>
      </c>
      <c r="BG614" s="2" t="s">
        <v>74</v>
      </c>
      <c r="BH614" s="2" t="s">
        <v>74</v>
      </c>
      <c r="BI614" s="2" t="s">
        <v>74</v>
      </c>
      <c r="BJ614" s="2" t="s">
        <v>74</v>
      </c>
      <c r="BK614" s="2" t="s">
        <v>74</v>
      </c>
      <c r="BL614" s="2" t="s">
        <v>74</v>
      </c>
      <c r="BM614" s="2" t="s">
        <v>74</v>
      </c>
      <c r="BN614" s="2">
        <v>17602761</v>
      </c>
      <c r="BO614" s="2" t="s">
        <v>74</v>
      </c>
      <c r="BP614" s="2" t="s">
        <v>74</v>
      </c>
      <c r="BQ614" s="2" t="s">
        <v>74</v>
      </c>
      <c r="BR614" s="2" t="s">
        <v>74</v>
      </c>
      <c r="BS614" s="2" t="s">
        <v>2704</v>
      </c>
      <c r="BT614" s="2" t="str">
        <f>HYPERLINK("https%3A%2F%2Fwww.webofscience.com%2Fwos%2Fwoscc%2Ffull-record%2FWOS:000249511100005","View Full Record in Web of Science")</f>
        <v>View Full Record in Web of Science</v>
      </c>
    </row>
    <row r="615" spans="1:72" s="2" customFormat="1" x14ac:dyDescent="0.4">
      <c r="A615" s="2" t="s">
        <v>72</v>
      </c>
      <c r="B615" s="2" t="s">
        <v>4755</v>
      </c>
      <c r="C615" s="2" t="s">
        <v>74</v>
      </c>
      <c r="D615" s="2" t="s">
        <v>74</v>
      </c>
      <c r="E615" s="2" t="s">
        <v>74</v>
      </c>
      <c r="F615" s="2" t="s">
        <v>4756</v>
      </c>
      <c r="G615" s="2" t="s">
        <v>74</v>
      </c>
      <c r="H615" s="2" t="s">
        <v>74</v>
      </c>
      <c r="I615" s="2" t="s">
        <v>4757</v>
      </c>
      <c r="J615" s="2" t="s">
        <v>119</v>
      </c>
      <c r="K615" s="2" t="s">
        <v>74</v>
      </c>
      <c r="L615" s="2" t="s">
        <v>74</v>
      </c>
      <c r="M615" s="2" t="s">
        <v>74</v>
      </c>
      <c r="N615" s="2" t="s">
        <v>74</v>
      </c>
      <c r="O615" s="2" t="s">
        <v>74</v>
      </c>
      <c r="P615" s="2" t="s">
        <v>74</v>
      </c>
      <c r="Q615" s="2" t="s">
        <v>74</v>
      </c>
      <c r="R615" s="2" t="s">
        <v>74</v>
      </c>
      <c r="S615" s="2" t="s">
        <v>74</v>
      </c>
      <c r="T615" s="2" t="s">
        <v>74</v>
      </c>
      <c r="U615" s="2" t="s">
        <v>74</v>
      </c>
      <c r="V615" s="5" t="s">
        <v>4758</v>
      </c>
      <c r="W615" s="2" t="s">
        <v>74</v>
      </c>
      <c r="X615" s="2" t="s">
        <v>74</v>
      </c>
      <c r="Y615" s="2" t="s">
        <v>74</v>
      </c>
      <c r="Z615" s="2" t="s">
        <v>74</v>
      </c>
      <c r="AA615" s="2" t="s">
        <v>74</v>
      </c>
      <c r="AB615" s="2" t="s">
        <v>74</v>
      </c>
      <c r="AC615" s="2" t="s">
        <v>74</v>
      </c>
      <c r="AD615" s="2" t="s">
        <v>74</v>
      </c>
      <c r="AE615" s="2" t="s">
        <v>74</v>
      </c>
      <c r="AF615" s="2" t="s">
        <v>74</v>
      </c>
      <c r="AG615" s="2" t="s">
        <v>74</v>
      </c>
      <c r="AH615" s="2" t="s">
        <v>74</v>
      </c>
      <c r="AI615" s="2" t="s">
        <v>74</v>
      </c>
      <c r="AJ615" s="2" t="s">
        <v>74</v>
      </c>
      <c r="AK615" s="2" t="s">
        <v>74</v>
      </c>
      <c r="AL615" s="2" t="s">
        <v>74</v>
      </c>
      <c r="AM615" s="2" t="s">
        <v>74</v>
      </c>
      <c r="AN615" s="2" t="s">
        <v>74</v>
      </c>
      <c r="AO615" s="2" t="s">
        <v>121</v>
      </c>
      <c r="AP615" s="2" t="s">
        <v>122</v>
      </c>
      <c r="AQ615" s="2" t="s">
        <v>74</v>
      </c>
      <c r="AR615" s="2" t="s">
        <v>74</v>
      </c>
      <c r="AS615" s="2" t="s">
        <v>74</v>
      </c>
      <c r="AT615" s="2" t="s">
        <v>255</v>
      </c>
      <c r="AU615" s="2">
        <v>2021</v>
      </c>
      <c r="AV615" s="2">
        <v>182</v>
      </c>
      <c r="AW615" s="2" t="s">
        <v>74</v>
      </c>
      <c r="AX615" s="2" t="s">
        <v>74</v>
      </c>
      <c r="AY615" s="2" t="s">
        <v>74</v>
      </c>
      <c r="AZ615" s="2" t="s">
        <v>74</v>
      </c>
      <c r="BA615" s="2" t="s">
        <v>74</v>
      </c>
      <c r="BB615" s="2" t="s">
        <v>74</v>
      </c>
      <c r="BC615" s="2" t="s">
        <v>74</v>
      </c>
      <c r="BD615" s="2">
        <v>104294</v>
      </c>
      <c r="BE615" s="2" t="s">
        <v>4759</v>
      </c>
      <c r="BF615" s="2" t="str">
        <f>HYPERLINK("http://dx.doi.org/10.1016/j.beproc.2020.104294","http://dx.doi.org/10.1016/j.beproc.2020.104294")</f>
        <v>http://dx.doi.org/10.1016/j.beproc.2020.104294</v>
      </c>
      <c r="BG615" s="2" t="s">
        <v>74</v>
      </c>
      <c r="BH615" s="2" t="s">
        <v>74</v>
      </c>
      <c r="BI615" s="2" t="s">
        <v>74</v>
      </c>
      <c r="BJ615" s="2" t="s">
        <v>74</v>
      </c>
      <c r="BK615" s="2" t="s">
        <v>74</v>
      </c>
      <c r="BL615" s="2" t="s">
        <v>74</v>
      </c>
      <c r="BM615" s="2" t="s">
        <v>74</v>
      </c>
      <c r="BN615" s="2">
        <v>33290833</v>
      </c>
      <c r="BO615" s="2" t="s">
        <v>74</v>
      </c>
      <c r="BP615" s="2" t="s">
        <v>74</v>
      </c>
      <c r="BQ615" s="2" t="s">
        <v>74</v>
      </c>
      <c r="BR615" s="2" t="s">
        <v>74</v>
      </c>
      <c r="BS615" s="2" t="s">
        <v>4760</v>
      </c>
      <c r="BT615" s="2" t="str">
        <f>HYPERLINK("https%3A%2F%2Fwww.webofscience.com%2Fwos%2Fwoscc%2Ffull-record%2FWOS:000608124600001","View Full Record in Web of Science")</f>
        <v>View Full Record in Web of Science</v>
      </c>
    </row>
    <row r="616" spans="1:72" s="2" customFormat="1" x14ac:dyDescent="0.4">
      <c r="A616" s="2" t="s">
        <v>72</v>
      </c>
      <c r="B616" s="2" t="s">
        <v>4755</v>
      </c>
      <c r="C616" s="2" t="s">
        <v>74</v>
      </c>
      <c r="D616" s="2" t="s">
        <v>74</v>
      </c>
      <c r="E616" s="2" t="s">
        <v>74</v>
      </c>
      <c r="F616" s="2" t="s">
        <v>4755</v>
      </c>
      <c r="G616" s="2" t="s">
        <v>74</v>
      </c>
      <c r="H616" s="2" t="s">
        <v>74</v>
      </c>
      <c r="I616" s="2" t="s">
        <v>6068</v>
      </c>
      <c r="J616" s="2" t="s">
        <v>475</v>
      </c>
      <c r="K616" s="2" t="s">
        <v>74</v>
      </c>
      <c r="L616" s="2" t="s">
        <v>74</v>
      </c>
      <c r="M616" s="2" t="s">
        <v>74</v>
      </c>
      <c r="N616" s="2" t="s">
        <v>74</v>
      </c>
      <c r="O616" s="2" t="s">
        <v>74</v>
      </c>
      <c r="P616" s="2" t="s">
        <v>74</v>
      </c>
      <c r="Q616" s="2" t="s">
        <v>74</v>
      </c>
      <c r="R616" s="2" t="s">
        <v>74</v>
      </c>
      <c r="S616" s="2" t="s">
        <v>74</v>
      </c>
      <c r="T616" s="2" t="s">
        <v>74</v>
      </c>
      <c r="U616" s="2" t="s">
        <v>74</v>
      </c>
      <c r="V616" s="5" t="s">
        <v>6069</v>
      </c>
      <c r="W616" s="2" t="s">
        <v>74</v>
      </c>
      <c r="X616" s="2" t="s">
        <v>74</v>
      </c>
      <c r="Y616" s="2" t="s">
        <v>74</v>
      </c>
      <c r="Z616" s="2" t="s">
        <v>74</v>
      </c>
      <c r="AA616" s="2" t="s">
        <v>74</v>
      </c>
      <c r="AB616" s="2" t="s">
        <v>74</v>
      </c>
      <c r="AC616" s="2" t="s">
        <v>74</v>
      </c>
      <c r="AD616" s="2" t="s">
        <v>74</v>
      </c>
      <c r="AE616" s="2" t="s">
        <v>74</v>
      </c>
      <c r="AF616" s="2" t="s">
        <v>74</v>
      </c>
      <c r="AG616" s="2" t="s">
        <v>74</v>
      </c>
      <c r="AH616" s="2" t="s">
        <v>74</v>
      </c>
      <c r="AI616" s="2" t="s">
        <v>74</v>
      </c>
      <c r="AJ616" s="2" t="s">
        <v>74</v>
      </c>
      <c r="AK616" s="2" t="s">
        <v>74</v>
      </c>
      <c r="AL616" s="2" t="s">
        <v>74</v>
      </c>
      <c r="AM616" s="2" t="s">
        <v>74</v>
      </c>
      <c r="AN616" s="2" t="s">
        <v>74</v>
      </c>
      <c r="AO616" s="2" t="s">
        <v>477</v>
      </c>
      <c r="AP616" s="2" t="s">
        <v>74</v>
      </c>
      <c r="AQ616" s="2" t="s">
        <v>74</v>
      </c>
      <c r="AR616" s="2" t="s">
        <v>74</v>
      </c>
      <c r="AS616" s="2" t="s">
        <v>74</v>
      </c>
      <c r="AT616" s="2" t="s">
        <v>352</v>
      </c>
      <c r="AU616" s="2">
        <v>2002</v>
      </c>
      <c r="AV616" s="2">
        <v>128</v>
      </c>
      <c r="AW616" s="2">
        <v>2</v>
      </c>
      <c r="AX616" s="2" t="s">
        <v>74</v>
      </c>
      <c r="AY616" s="2" t="s">
        <v>74</v>
      </c>
      <c r="AZ616" s="2" t="s">
        <v>74</v>
      </c>
      <c r="BA616" s="2" t="s">
        <v>74</v>
      </c>
      <c r="BB616" s="2">
        <v>153</v>
      </c>
      <c r="BC616" s="2">
        <v>161</v>
      </c>
      <c r="BD616" s="2" t="s">
        <v>6070</v>
      </c>
      <c r="BE616" s="2" t="s">
        <v>6071</v>
      </c>
      <c r="BF616" s="2" t="str">
        <f>HYPERLINK("http://dx.doi.org/10.1016/S0016-6480(02)00077-1","http://dx.doi.org/10.1016/S0016-6480(02)00077-1")</f>
        <v>http://dx.doi.org/10.1016/S0016-6480(02)00077-1</v>
      </c>
      <c r="BG616" s="2" t="s">
        <v>74</v>
      </c>
      <c r="BH616" s="2" t="s">
        <v>74</v>
      </c>
      <c r="BI616" s="2" t="s">
        <v>74</v>
      </c>
      <c r="BJ616" s="2" t="s">
        <v>74</v>
      </c>
      <c r="BK616" s="2" t="s">
        <v>74</v>
      </c>
      <c r="BL616" s="2" t="s">
        <v>74</v>
      </c>
      <c r="BM616" s="2" t="s">
        <v>74</v>
      </c>
      <c r="BN616" s="2">
        <v>12392689</v>
      </c>
      <c r="BO616" s="2" t="s">
        <v>74</v>
      </c>
      <c r="BP616" s="2" t="s">
        <v>74</v>
      </c>
      <c r="BQ616" s="2" t="s">
        <v>74</v>
      </c>
      <c r="BR616" s="2" t="s">
        <v>74</v>
      </c>
      <c r="BS616" s="2" t="s">
        <v>6072</v>
      </c>
      <c r="BT616" s="2" t="str">
        <f>HYPERLINK("https%3A%2F%2Fwww.webofscience.com%2Fwos%2Fwoscc%2Ffull-record%2FWOS:000178785900008","View Full Record in Web of Science")</f>
        <v>View Full Record in Web of Science</v>
      </c>
    </row>
    <row r="617" spans="1:72" s="2" customFormat="1" x14ac:dyDescent="0.4">
      <c r="A617" s="2" t="s">
        <v>72</v>
      </c>
      <c r="B617" s="2" t="s">
        <v>8638</v>
      </c>
      <c r="C617" s="2" t="s">
        <v>74</v>
      </c>
      <c r="D617" s="2" t="s">
        <v>74</v>
      </c>
      <c r="E617" s="2" t="s">
        <v>74</v>
      </c>
      <c r="F617" s="2" t="s">
        <v>8638</v>
      </c>
      <c r="G617" s="2" t="s">
        <v>74</v>
      </c>
      <c r="H617" s="2" t="s">
        <v>74</v>
      </c>
      <c r="I617" s="2" t="s">
        <v>8639</v>
      </c>
      <c r="J617" s="2" t="s">
        <v>5814</v>
      </c>
      <c r="K617" s="2" t="s">
        <v>74</v>
      </c>
      <c r="L617" s="2" t="s">
        <v>74</v>
      </c>
      <c r="M617" s="2" t="s">
        <v>74</v>
      </c>
      <c r="N617" s="2" t="s">
        <v>74</v>
      </c>
      <c r="O617" s="2" t="s">
        <v>74</v>
      </c>
      <c r="P617" s="2" t="s">
        <v>74</v>
      </c>
      <c r="Q617" s="2" t="s">
        <v>74</v>
      </c>
      <c r="R617" s="2" t="s">
        <v>74</v>
      </c>
      <c r="S617" s="2" t="s">
        <v>74</v>
      </c>
      <c r="T617" s="2" t="s">
        <v>74</v>
      </c>
      <c r="U617" s="2" t="s">
        <v>74</v>
      </c>
      <c r="V617" s="5" t="s">
        <v>8640</v>
      </c>
      <c r="W617" s="2" t="s">
        <v>74</v>
      </c>
      <c r="X617" s="2" t="s">
        <v>74</v>
      </c>
      <c r="Y617" s="2" t="s">
        <v>74</v>
      </c>
      <c r="Z617" s="2" t="s">
        <v>74</v>
      </c>
      <c r="AA617" s="2" t="s">
        <v>8641</v>
      </c>
      <c r="AB617" s="2" t="s">
        <v>8642</v>
      </c>
      <c r="AC617" s="2" t="s">
        <v>74</v>
      </c>
      <c r="AD617" s="2" t="s">
        <v>74</v>
      </c>
      <c r="AE617" s="2" t="s">
        <v>74</v>
      </c>
      <c r="AF617" s="2" t="s">
        <v>74</v>
      </c>
      <c r="AG617" s="2" t="s">
        <v>74</v>
      </c>
      <c r="AH617" s="2" t="s">
        <v>74</v>
      </c>
      <c r="AI617" s="2" t="s">
        <v>74</v>
      </c>
      <c r="AJ617" s="2" t="s">
        <v>74</v>
      </c>
      <c r="AK617" s="2" t="s">
        <v>74</v>
      </c>
      <c r="AL617" s="2" t="s">
        <v>74</v>
      </c>
      <c r="AM617" s="2" t="s">
        <v>74</v>
      </c>
      <c r="AN617" s="2" t="s">
        <v>74</v>
      </c>
      <c r="AO617" s="2" t="s">
        <v>8643</v>
      </c>
      <c r="AP617" s="2" t="s">
        <v>74</v>
      </c>
      <c r="AQ617" s="2" t="s">
        <v>74</v>
      </c>
      <c r="AR617" s="2" t="s">
        <v>74</v>
      </c>
      <c r="AS617" s="2" t="s">
        <v>74</v>
      </c>
      <c r="AT617" s="2" t="s">
        <v>74</v>
      </c>
      <c r="AU617" s="2">
        <v>2000</v>
      </c>
      <c r="AV617" s="2">
        <v>97</v>
      </c>
      <c r="AW617" s="2">
        <v>1</v>
      </c>
      <c r="AX617" s="2" t="s">
        <v>74</v>
      </c>
      <c r="AY617" s="2" t="s">
        <v>74</v>
      </c>
      <c r="AZ617" s="2" t="s">
        <v>74</v>
      </c>
      <c r="BA617" s="2" t="s">
        <v>74</v>
      </c>
      <c r="BB617" s="2">
        <v>33</v>
      </c>
      <c r="BC617" s="2">
        <v>40</v>
      </c>
      <c r="BD617" s="2" t="s">
        <v>74</v>
      </c>
      <c r="BE617" s="2" t="s">
        <v>8644</v>
      </c>
      <c r="BF617" s="2" t="str">
        <f>HYPERLINK("http://dx.doi.org/10.14411/eje.2000.009","http://dx.doi.org/10.14411/eje.2000.009")</f>
        <v>http://dx.doi.org/10.14411/eje.2000.009</v>
      </c>
      <c r="BG617" s="2" t="s">
        <v>74</v>
      </c>
      <c r="BH617" s="2" t="s">
        <v>74</v>
      </c>
      <c r="BI617" s="2" t="s">
        <v>74</v>
      </c>
      <c r="BJ617" s="2" t="s">
        <v>74</v>
      </c>
      <c r="BK617" s="2" t="s">
        <v>74</v>
      </c>
      <c r="BL617" s="2" t="s">
        <v>74</v>
      </c>
      <c r="BM617" s="2" t="s">
        <v>74</v>
      </c>
      <c r="BN617" s="2" t="s">
        <v>74</v>
      </c>
      <c r="BO617" s="2" t="s">
        <v>74</v>
      </c>
      <c r="BP617" s="2" t="s">
        <v>74</v>
      </c>
      <c r="BQ617" s="2" t="s">
        <v>74</v>
      </c>
      <c r="BR617" s="2" t="s">
        <v>74</v>
      </c>
      <c r="BS617" s="2" t="s">
        <v>8645</v>
      </c>
      <c r="BT617" s="2" t="str">
        <f>HYPERLINK("https%3A%2F%2Fwww.webofscience.com%2Fwos%2Fwoscc%2Ffull-record%2FWOS:000087497200006","View Full Record in Web of Science")</f>
        <v>View Full Record in Web of Science</v>
      </c>
    </row>
    <row r="618" spans="1:72" s="2" customFormat="1" x14ac:dyDescent="0.4">
      <c r="A618" s="2" t="s">
        <v>72</v>
      </c>
      <c r="B618" s="2" t="s">
        <v>6312</v>
      </c>
      <c r="C618" s="2" t="s">
        <v>74</v>
      </c>
      <c r="D618" s="2" t="s">
        <v>74</v>
      </c>
      <c r="E618" s="2" t="s">
        <v>74</v>
      </c>
      <c r="F618" s="2" t="s">
        <v>6313</v>
      </c>
      <c r="G618" s="2" t="s">
        <v>74</v>
      </c>
      <c r="H618" s="2" t="s">
        <v>74</v>
      </c>
      <c r="I618" s="2" t="s">
        <v>6314</v>
      </c>
      <c r="J618" s="2" t="s">
        <v>333</v>
      </c>
      <c r="K618" s="2" t="s">
        <v>74</v>
      </c>
      <c r="L618" s="2" t="s">
        <v>74</v>
      </c>
      <c r="M618" s="2" t="s">
        <v>74</v>
      </c>
      <c r="N618" s="2" t="s">
        <v>74</v>
      </c>
      <c r="O618" s="2" t="s">
        <v>74</v>
      </c>
      <c r="P618" s="2" t="s">
        <v>74</v>
      </c>
      <c r="Q618" s="2" t="s">
        <v>74</v>
      </c>
      <c r="R618" s="2" t="s">
        <v>74</v>
      </c>
      <c r="S618" s="2" t="s">
        <v>74</v>
      </c>
      <c r="T618" s="2" t="s">
        <v>74</v>
      </c>
      <c r="U618" s="2" t="s">
        <v>74</v>
      </c>
      <c r="V618" s="5" t="s">
        <v>6315</v>
      </c>
      <c r="W618" s="2" t="s">
        <v>74</v>
      </c>
      <c r="X618" s="2" t="s">
        <v>74</v>
      </c>
      <c r="Y618" s="2" t="s">
        <v>74</v>
      </c>
      <c r="Z618" s="2" t="s">
        <v>74</v>
      </c>
      <c r="AA618" s="2" t="s">
        <v>74</v>
      </c>
      <c r="AB618" s="2" t="s">
        <v>74</v>
      </c>
      <c r="AC618" s="2" t="s">
        <v>74</v>
      </c>
      <c r="AD618" s="2" t="s">
        <v>74</v>
      </c>
      <c r="AE618" s="2" t="s">
        <v>74</v>
      </c>
      <c r="AF618" s="2" t="s">
        <v>74</v>
      </c>
      <c r="AG618" s="2" t="s">
        <v>74</v>
      </c>
      <c r="AH618" s="2" t="s">
        <v>74</v>
      </c>
      <c r="AI618" s="2" t="s">
        <v>74</v>
      </c>
      <c r="AJ618" s="2" t="s">
        <v>74</v>
      </c>
      <c r="AK618" s="2" t="s">
        <v>74</v>
      </c>
      <c r="AL618" s="2" t="s">
        <v>74</v>
      </c>
      <c r="AM618" s="2" t="s">
        <v>74</v>
      </c>
      <c r="AN618" s="2" t="s">
        <v>74</v>
      </c>
      <c r="AO618" s="2" t="s">
        <v>337</v>
      </c>
      <c r="AP618" s="2" t="s">
        <v>338</v>
      </c>
      <c r="AQ618" s="2" t="s">
        <v>74</v>
      </c>
      <c r="AR618" s="2" t="s">
        <v>74</v>
      </c>
      <c r="AS618" s="2" t="s">
        <v>74</v>
      </c>
      <c r="AT618" s="2" t="s">
        <v>1038</v>
      </c>
      <c r="AU618" s="2">
        <v>2018</v>
      </c>
      <c r="AV618" s="2">
        <v>29</v>
      </c>
      <c r="AW618" s="2">
        <v>2</v>
      </c>
      <c r="AX618" s="2" t="s">
        <v>74</v>
      </c>
      <c r="AY618" s="2" t="s">
        <v>74</v>
      </c>
      <c r="AZ618" s="2" t="s">
        <v>74</v>
      </c>
      <c r="BA618" s="2" t="s">
        <v>74</v>
      </c>
      <c r="BB618" s="2">
        <v>289</v>
      </c>
      <c r="BC618" s="2">
        <v>300</v>
      </c>
      <c r="BD618" s="2" t="s">
        <v>74</v>
      </c>
      <c r="BE618" s="2" t="s">
        <v>6316</v>
      </c>
      <c r="BF618" s="2" t="str">
        <f>HYPERLINK("http://dx.doi.org/10.1093/beheco/arx180","http://dx.doi.org/10.1093/beheco/arx180")</f>
        <v>http://dx.doi.org/10.1093/beheco/arx180</v>
      </c>
      <c r="BG618" s="2" t="s">
        <v>74</v>
      </c>
      <c r="BH618" s="2" t="s">
        <v>74</v>
      </c>
      <c r="BI618" s="2" t="s">
        <v>74</v>
      </c>
      <c r="BJ618" s="2" t="s">
        <v>74</v>
      </c>
      <c r="BK618" s="2" t="s">
        <v>74</v>
      </c>
      <c r="BL618" s="2" t="s">
        <v>74</v>
      </c>
      <c r="BM618" s="2" t="s">
        <v>74</v>
      </c>
      <c r="BN618" s="2" t="s">
        <v>74</v>
      </c>
      <c r="BO618" s="2" t="s">
        <v>74</v>
      </c>
      <c r="BP618" s="2" t="s">
        <v>74</v>
      </c>
      <c r="BQ618" s="2" t="s">
        <v>74</v>
      </c>
      <c r="BR618" s="2" t="s">
        <v>74</v>
      </c>
      <c r="BS618" s="2" t="s">
        <v>6317</v>
      </c>
      <c r="BT618" s="2" t="str">
        <f>HYPERLINK("https%3A%2F%2Fwww.webofscience.com%2Fwos%2Fwoscc%2Ffull-record%2FWOS:000427885600008","View Full Record in Web of Science")</f>
        <v>View Full Record in Web of Science</v>
      </c>
    </row>
    <row r="619" spans="1:72" s="2" customFormat="1" x14ac:dyDescent="0.4">
      <c r="A619" s="2" t="s">
        <v>72</v>
      </c>
      <c r="B619" s="2" t="s">
        <v>1133</v>
      </c>
      <c r="C619" s="2" t="s">
        <v>74</v>
      </c>
      <c r="D619" s="2" t="s">
        <v>74</v>
      </c>
      <c r="E619" s="2" t="s">
        <v>74</v>
      </c>
      <c r="F619" s="2" t="s">
        <v>1133</v>
      </c>
      <c r="G619" s="2" t="s">
        <v>74</v>
      </c>
      <c r="H619" s="2" t="s">
        <v>74</v>
      </c>
      <c r="I619" s="2" t="s">
        <v>1134</v>
      </c>
      <c r="J619" s="2" t="s">
        <v>1135</v>
      </c>
      <c r="K619" s="2" t="s">
        <v>74</v>
      </c>
      <c r="L619" s="2" t="s">
        <v>74</v>
      </c>
      <c r="M619" s="2" t="s">
        <v>74</v>
      </c>
      <c r="N619" s="2" t="s">
        <v>74</v>
      </c>
      <c r="O619" s="2" t="s">
        <v>74</v>
      </c>
      <c r="P619" s="2" t="s">
        <v>74</v>
      </c>
      <c r="Q619" s="2" t="s">
        <v>74</v>
      </c>
      <c r="R619" s="2" t="s">
        <v>74</v>
      </c>
      <c r="S619" s="2" t="s">
        <v>74</v>
      </c>
      <c r="T619" s="2" t="s">
        <v>74</v>
      </c>
      <c r="U619" s="2" t="s">
        <v>74</v>
      </c>
      <c r="V619" s="5" t="s">
        <v>1136</v>
      </c>
      <c r="W619" s="2" t="s">
        <v>74</v>
      </c>
      <c r="X619" s="2" t="s">
        <v>74</v>
      </c>
      <c r="Y619" s="2" t="s">
        <v>74</v>
      </c>
      <c r="Z619" s="2" t="s">
        <v>74</v>
      </c>
      <c r="AA619" s="2" t="s">
        <v>74</v>
      </c>
      <c r="AB619" s="2" t="s">
        <v>74</v>
      </c>
      <c r="AC619" s="2" t="s">
        <v>74</v>
      </c>
      <c r="AD619" s="2" t="s">
        <v>74</v>
      </c>
      <c r="AE619" s="2" t="s">
        <v>74</v>
      </c>
      <c r="AF619" s="2" t="s">
        <v>74</v>
      </c>
      <c r="AG619" s="2" t="s">
        <v>74</v>
      </c>
      <c r="AH619" s="2" t="s">
        <v>74</v>
      </c>
      <c r="AI619" s="2" t="s">
        <v>74</v>
      </c>
      <c r="AJ619" s="2" t="s">
        <v>74</v>
      </c>
      <c r="AK619" s="2" t="s">
        <v>74</v>
      </c>
      <c r="AL619" s="2" t="s">
        <v>74</v>
      </c>
      <c r="AM619" s="2" t="s">
        <v>74</v>
      </c>
      <c r="AN619" s="2" t="s">
        <v>74</v>
      </c>
      <c r="AO619" s="2" t="s">
        <v>1137</v>
      </c>
      <c r="AP619" s="2" t="s">
        <v>74</v>
      </c>
      <c r="AQ619" s="2" t="s">
        <v>74</v>
      </c>
      <c r="AR619" s="2" t="s">
        <v>74</v>
      </c>
      <c r="AS619" s="2" t="s">
        <v>74</v>
      </c>
      <c r="AT619" s="2" t="s">
        <v>305</v>
      </c>
      <c r="AU619" s="2">
        <v>1988</v>
      </c>
      <c r="AV619" s="2">
        <v>19</v>
      </c>
      <c r="AW619" s="2">
        <v>4</v>
      </c>
      <c r="AX619" s="2" t="s">
        <v>74</v>
      </c>
      <c r="AY619" s="2" t="s">
        <v>74</v>
      </c>
      <c r="AZ619" s="2" t="s">
        <v>74</v>
      </c>
      <c r="BA619" s="2" t="s">
        <v>74</v>
      </c>
      <c r="BB619" s="2">
        <v>287</v>
      </c>
      <c r="BC619" s="2">
        <v>289</v>
      </c>
      <c r="BD619" s="2" t="s">
        <v>74</v>
      </c>
      <c r="BE619" s="2" t="s">
        <v>1138</v>
      </c>
      <c r="BF619" s="2" t="str">
        <f>HYPERLINK("http://dx.doi.org/10.2307/3676723","http://dx.doi.org/10.2307/3676723")</f>
        <v>http://dx.doi.org/10.2307/3676723</v>
      </c>
      <c r="BG619" s="2" t="s">
        <v>74</v>
      </c>
      <c r="BH619" s="2" t="s">
        <v>74</v>
      </c>
      <c r="BI619" s="2" t="s">
        <v>74</v>
      </c>
      <c r="BJ619" s="2" t="s">
        <v>74</v>
      </c>
      <c r="BK619" s="2" t="s">
        <v>74</v>
      </c>
      <c r="BL619" s="2" t="s">
        <v>74</v>
      </c>
      <c r="BM619" s="2" t="s">
        <v>74</v>
      </c>
      <c r="BN619" s="2" t="s">
        <v>74</v>
      </c>
      <c r="BO619" s="2" t="s">
        <v>74</v>
      </c>
      <c r="BP619" s="2" t="s">
        <v>74</v>
      </c>
      <c r="BQ619" s="2" t="s">
        <v>74</v>
      </c>
      <c r="BR619" s="2" t="s">
        <v>74</v>
      </c>
      <c r="BS619" s="2" t="s">
        <v>1139</v>
      </c>
      <c r="BT619" s="2" t="str">
        <f>HYPERLINK("https%3A%2F%2Fwww.webofscience.com%2Fwos%2Fwoscc%2Ffull-record%2FWOS:A1988R388700006","View Full Record in Web of Science")</f>
        <v>View Full Record in Web of Science</v>
      </c>
    </row>
    <row r="620" spans="1:72" s="2" customFormat="1" x14ac:dyDescent="0.4">
      <c r="A620" s="2" t="s">
        <v>72</v>
      </c>
      <c r="B620" s="2" t="s">
        <v>7034</v>
      </c>
      <c r="C620" s="2" t="s">
        <v>74</v>
      </c>
      <c r="D620" s="2" t="s">
        <v>74</v>
      </c>
      <c r="E620" s="2" t="s">
        <v>74</v>
      </c>
      <c r="F620" s="2" t="s">
        <v>7034</v>
      </c>
      <c r="G620" s="2" t="s">
        <v>74</v>
      </c>
      <c r="H620" s="2" t="s">
        <v>74</v>
      </c>
      <c r="I620" s="2" t="s">
        <v>7035</v>
      </c>
      <c r="J620" s="2" t="s">
        <v>333</v>
      </c>
      <c r="K620" s="2" t="s">
        <v>74</v>
      </c>
      <c r="L620" s="2" t="s">
        <v>74</v>
      </c>
      <c r="M620" s="2" t="s">
        <v>74</v>
      </c>
      <c r="N620" s="2" t="s">
        <v>74</v>
      </c>
      <c r="O620" s="2" t="s">
        <v>74</v>
      </c>
      <c r="P620" s="2" t="s">
        <v>74</v>
      </c>
      <c r="Q620" s="2" t="s">
        <v>74</v>
      </c>
      <c r="R620" s="2" t="s">
        <v>74</v>
      </c>
      <c r="S620" s="2" t="s">
        <v>74</v>
      </c>
      <c r="T620" s="2" t="s">
        <v>74</v>
      </c>
      <c r="U620" s="2" t="s">
        <v>74</v>
      </c>
      <c r="V620" s="5" t="s">
        <v>7036</v>
      </c>
      <c r="W620" s="2" t="s">
        <v>74</v>
      </c>
      <c r="X620" s="2" t="s">
        <v>74</v>
      </c>
      <c r="Y620" s="2" t="s">
        <v>74</v>
      </c>
      <c r="Z620" s="2" t="s">
        <v>74</v>
      </c>
      <c r="AA620" s="2" t="s">
        <v>74</v>
      </c>
      <c r="AB620" s="2" t="s">
        <v>74</v>
      </c>
      <c r="AC620" s="2" t="s">
        <v>74</v>
      </c>
      <c r="AD620" s="2" t="s">
        <v>74</v>
      </c>
      <c r="AE620" s="2" t="s">
        <v>74</v>
      </c>
      <c r="AF620" s="2" t="s">
        <v>74</v>
      </c>
      <c r="AG620" s="2" t="s">
        <v>74</v>
      </c>
      <c r="AH620" s="2" t="s">
        <v>74</v>
      </c>
      <c r="AI620" s="2" t="s">
        <v>74</v>
      </c>
      <c r="AJ620" s="2" t="s">
        <v>74</v>
      </c>
      <c r="AK620" s="2" t="s">
        <v>74</v>
      </c>
      <c r="AL620" s="2" t="s">
        <v>74</v>
      </c>
      <c r="AM620" s="2" t="s">
        <v>74</v>
      </c>
      <c r="AN620" s="2" t="s">
        <v>74</v>
      </c>
      <c r="AO620" s="2" t="s">
        <v>337</v>
      </c>
      <c r="AP620" s="2" t="s">
        <v>338</v>
      </c>
      <c r="AQ620" s="2" t="s">
        <v>74</v>
      </c>
      <c r="AR620" s="2" t="s">
        <v>74</v>
      </c>
      <c r="AS620" s="2" t="s">
        <v>74</v>
      </c>
      <c r="AT620" s="2" t="s">
        <v>213</v>
      </c>
      <c r="AU620" s="2">
        <v>2004</v>
      </c>
      <c r="AV620" s="2">
        <v>15</v>
      </c>
      <c r="AW620" s="2">
        <v>6</v>
      </c>
      <c r="AX620" s="2" t="s">
        <v>74</v>
      </c>
      <c r="AY620" s="2" t="s">
        <v>74</v>
      </c>
      <c r="AZ620" s="2" t="s">
        <v>74</v>
      </c>
      <c r="BA620" s="2" t="s">
        <v>74</v>
      </c>
      <c r="BB620" s="2">
        <v>946</v>
      </c>
      <c r="BC620" s="2">
        <v>951</v>
      </c>
      <c r="BD620" s="2" t="s">
        <v>74</v>
      </c>
      <c r="BE620" s="2" t="s">
        <v>7037</v>
      </c>
      <c r="BF620" s="2" t="str">
        <f>HYPERLINK("http://dx.doi.org/10.1093/beheco/arh078","http://dx.doi.org/10.1093/beheco/arh078")</f>
        <v>http://dx.doi.org/10.1093/beheco/arh078</v>
      </c>
      <c r="BG620" s="2" t="s">
        <v>74</v>
      </c>
      <c r="BH620" s="2" t="s">
        <v>74</v>
      </c>
      <c r="BI620" s="2" t="s">
        <v>74</v>
      </c>
      <c r="BJ620" s="2" t="s">
        <v>74</v>
      </c>
      <c r="BK620" s="2" t="s">
        <v>74</v>
      </c>
      <c r="BL620" s="2" t="s">
        <v>74</v>
      </c>
      <c r="BM620" s="2" t="s">
        <v>74</v>
      </c>
      <c r="BN620" s="2" t="s">
        <v>74</v>
      </c>
      <c r="BO620" s="2" t="s">
        <v>74</v>
      </c>
      <c r="BP620" s="2" t="s">
        <v>74</v>
      </c>
      <c r="BQ620" s="2" t="s">
        <v>74</v>
      </c>
      <c r="BR620" s="2" t="s">
        <v>74</v>
      </c>
      <c r="BS620" s="2" t="s">
        <v>7038</v>
      </c>
      <c r="BT620" s="2" t="str">
        <f>HYPERLINK("https%3A%2F%2Fwww.webofscience.com%2Fwos%2Fwoscc%2Ffull-record%2FWOS:000224482000008","View Full Record in Web of Science")</f>
        <v>View Full Record in Web of Science</v>
      </c>
    </row>
    <row r="621" spans="1:72" s="2" customFormat="1" x14ac:dyDescent="0.4">
      <c r="A621" s="2" t="s">
        <v>72</v>
      </c>
      <c r="B621" s="2" t="s">
        <v>6269</v>
      </c>
      <c r="C621" s="2" t="s">
        <v>74</v>
      </c>
      <c r="D621" s="2" t="s">
        <v>74</v>
      </c>
      <c r="E621" s="2" t="s">
        <v>74</v>
      </c>
      <c r="F621" s="2" t="s">
        <v>6270</v>
      </c>
      <c r="G621" s="2" t="s">
        <v>74</v>
      </c>
      <c r="H621" s="2" t="s">
        <v>74</v>
      </c>
      <c r="I621" s="2" t="s">
        <v>6271</v>
      </c>
      <c r="J621" s="2" t="s">
        <v>654</v>
      </c>
      <c r="K621" s="2" t="s">
        <v>74</v>
      </c>
      <c r="L621" s="2" t="s">
        <v>74</v>
      </c>
      <c r="M621" s="2" t="s">
        <v>74</v>
      </c>
      <c r="N621" s="2" t="s">
        <v>74</v>
      </c>
      <c r="O621" s="2" t="s">
        <v>74</v>
      </c>
      <c r="P621" s="2" t="s">
        <v>74</v>
      </c>
      <c r="Q621" s="2" t="s">
        <v>74</v>
      </c>
      <c r="R621" s="2" t="s">
        <v>74</v>
      </c>
      <c r="S621" s="2" t="s">
        <v>74</v>
      </c>
      <c r="T621" s="2" t="s">
        <v>74</v>
      </c>
      <c r="U621" s="2" t="s">
        <v>74</v>
      </c>
      <c r="V621" s="5" t="s">
        <v>6272</v>
      </c>
      <c r="W621" s="2" t="s">
        <v>74</v>
      </c>
      <c r="X621" s="2" t="s">
        <v>74</v>
      </c>
      <c r="Y621" s="2" t="s">
        <v>74</v>
      </c>
      <c r="Z621" s="2" t="s">
        <v>74</v>
      </c>
      <c r="AA621" s="2" t="s">
        <v>74</v>
      </c>
      <c r="AB621" s="2" t="s">
        <v>6273</v>
      </c>
      <c r="AC621" s="2" t="s">
        <v>74</v>
      </c>
      <c r="AD621" s="2" t="s">
        <v>74</v>
      </c>
      <c r="AE621" s="2" t="s">
        <v>74</v>
      </c>
      <c r="AF621" s="2" t="s">
        <v>74</v>
      </c>
      <c r="AG621" s="2" t="s">
        <v>74</v>
      </c>
      <c r="AH621" s="2" t="s">
        <v>74</v>
      </c>
      <c r="AI621" s="2" t="s">
        <v>74</v>
      </c>
      <c r="AJ621" s="2" t="s">
        <v>74</v>
      </c>
      <c r="AK621" s="2" t="s">
        <v>74</v>
      </c>
      <c r="AL621" s="2" t="s">
        <v>74</v>
      </c>
      <c r="AM621" s="2" t="s">
        <v>74</v>
      </c>
      <c r="AN621" s="2" t="s">
        <v>74</v>
      </c>
      <c r="AO621" s="2" t="s">
        <v>658</v>
      </c>
      <c r="AP621" s="2" t="s">
        <v>74</v>
      </c>
      <c r="AQ621" s="2" t="s">
        <v>74</v>
      </c>
      <c r="AR621" s="2" t="s">
        <v>74</v>
      </c>
      <c r="AS621" s="2" t="s">
        <v>74</v>
      </c>
      <c r="AT621" s="2" t="s">
        <v>145</v>
      </c>
      <c r="AU621" s="2">
        <v>2021</v>
      </c>
      <c r="AV621" s="2">
        <v>11</v>
      </c>
      <c r="AW621" s="2">
        <v>16</v>
      </c>
      <c r="AX621" s="2" t="s">
        <v>74</v>
      </c>
      <c r="AY621" s="2" t="s">
        <v>74</v>
      </c>
      <c r="AZ621" s="2" t="s">
        <v>74</v>
      </c>
      <c r="BA621" s="2" t="s">
        <v>74</v>
      </c>
      <c r="BB621" s="2">
        <v>11038</v>
      </c>
      <c r="BC621" s="2">
        <v>11050</v>
      </c>
      <c r="BD621" s="2" t="s">
        <v>74</v>
      </c>
      <c r="BE621" s="2" t="s">
        <v>6274</v>
      </c>
      <c r="BF621" s="2" t="str">
        <f>HYPERLINK("http://dx.doi.org/10.1002/ece3.7892","http://dx.doi.org/10.1002/ece3.7892")</f>
        <v>http://dx.doi.org/10.1002/ece3.7892</v>
      </c>
      <c r="BG621" s="2" t="s">
        <v>74</v>
      </c>
      <c r="BH621" s="2" t="s">
        <v>3826</v>
      </c>
      <c r="BI621" s="2" t="s">
        <v>74</v>
      </c>
      <c r="BJ621" s="2" t="s">
        <v>74</v>
      </c>
      <c r="BK621" s="2" t="s">
        <v>74</v>
      </c>
      <c r="BL621" s="2" t="s">
        <v>74</v>
      </c>
      <c r="BM621" s="2" t="s">
        <v>74</v>
      </c>
      <c r="BN621" s="2">
        <v>34429901</v>
      </c>
      <c r="BO621" s="2" t="s">
        <v>74</v>
      </c>
      <c r="BP621" s="2" t="s">
        <v>74</v>
      </c>
      <c r="BQ621" s="2" t="s">
        <v>74</v>
      </c>
      <c r="BR621" s="2" t="s">
        <v>74</v>
      </c>
      <c r="BS621" s="2" t="s">
        <v>6275</v>
      </c>
      <c r="BT621" s="2" t="str">
        <f>HYPERLINK("https%3A%2F%2Fwww.webofscience.com%2Fwos%2Fwoscc%2Ffull-record%2FWOS:000670837800001","View Full Record in Web of Science")</f>
        <v>View Full Record in Web of Science</v>
      </c>
    </row>
    <row r="622" spans="1:72" s="2" customFormat="1" x14ac:dyDescent="0.4">
      <c r="A622" s="2" t="s">
        <v>72</v>
      </c>
      <c r="B622" s="2" t="s">
        <v>8184</v>
      </c>
      <c r="C622" s="2" t="s">
        <v>74</v>
      </c>
      <c r="D622" s="2" t="s">
        <v>74</v>
      </c>
      <c r="E622" s="2" t="s">
        <v>74</v>
      </c>
      <c r="F622" s="2" t="s">
        <v>8184</v>
      </c>
      <c r="G622" s="2" t="s">
        <v>74</v>
      </c>
      <c r="H622" s="2" t="s">
        <v>74</v>
      </c>
      <c r="I622" s="2" t="s">
        <v>8185</v>
      </c>
      <c r="J622" s="2" t="s">
        <v>8186</v>
      </c>
      <c r="K622" s="2" t="s">
        <v>74</v>
      </c>
      <c r="L622" s="2" t="s">
        <v>74</v>
      </c>
      <c r="M622" s="2" t="s">
        <v>74</v>
      </c>
      <c r="N622" s="2" t="s">
        <v>74</v>
      </c>
      <c r="O622" s="2" t="s">
        <v>74</v>
      </c>
      <c r="P622" s="2" t="s">
        <v>74</v>
      </c>
      <c r="Q622" s="2" t="s">
        <v>74</v>
      </c>
      <c r="R622" s="2" t="s">
        <v>74</v>
      </c>
      <c r="S622" s="2" t="s">
        <v>74</v>
      </c>
      <c r="T622" s="2" t="s">
        <v>74</v>
      </c>
      <c r="U622" s="2" t="s">
        <v>74</v>
      </c>
      <c r="V622" s="5" t="s">
        <v>8187</v>
      </c>
      <c r="W622" s="2" t="s">
        <v>74</v>
      </c>
      <c r="X622" s="2" t="s">
        <v>74</v>
      </c>
      <c r="Y622" s="2" t="s">
        <v>74</v>
      </c>
      <c r="Z622" s="2" t="s">
        <v>74</v>
      </c>
      <c r="AA622" s="2" t="s">
        <v>8188</v>
      </c>
      <c r="AB622" s="2" t="s">
        <v>8189</v>
      </c>
      <c r="AC622" s="2" t="s">
        <v>74</v>
      </c>
      <c r="AD622" s="2" t="s">
        <v>74</v>
      </c>
      <c r="AE622" s="2" t="s">
        <v>74</v>
      </c>
      <c r="AF622" s="2" t="s">
        <v>74</v>
      </c>
      <c r="AG622" s="2" t="s">
        <v>74</v>
      </c>
      <c r="AH622" s="2" t="s">
        <v>74</v>
      </c>
      <c r="AI622" s="2" t="s">
        <v>74</v>
      </c>
      <c r="AJ622" s="2" t="s">
        <v>74</v>
      </c>
      <c r="AK622" s="2" t="s">
        <v>74</v>
      </c>
      <c r="AL622" s="2" t="s">
        <v>74</v>
      </c>
      <c r="AM622" s="2" t="s">
        <v>74</v>
      </c>
      <c r="AN622" s="2" t="s">
        <v>74</v>
      </c>
      <c r="AO622" s="2" t="s">
        <v>8190</v>
      </c>
      <c r="AP622" s="2" t="s">
        <v>8191</v>
      </c>
      <c r="AQ622" s="2" t="s">
        <v>74</v>
      </c>
      <c r="AR622" s="2" t="s">
        <v>74</v>
      </c>
      <c r="AS622" s="2" t="s">
        <v>74</v>
      </c>
      <c r="AT622" s="2" t="s">
        <v>352</v>
      </c>
      <c r="AU622" s="2">
        <v>2004</v>
      </c>
      <c r="AV622" s="2">
        <v>82</v>
      </c>
      <c r="AW622" s="2">
        <v>2</v>
      </c>
      <c r="AX622" s="2" t="s">
        <v>74</v>
      </c>
      <c r="AY622" s="2" t="s">
        <v>74</v>
      </c>
      <c r="AZ622" s="2" t="s">
        <v>74</v>
      </c>
      <c r="BA622" s="2" t="s">
        <v>74</v>
      </c>
      <c r="BB622" s="2">
        <v>99</v>
      </c>
      <c r="BC622" s="2">
        <v>108</v>
      </c>
      <c r="BD622" s="2" t="s">
        <v>74</v>
      </c>
      <c r="BE622" s="2" t="s">
        <v>8192</v>
      </c>
      <c r="BF622" s="2" t="str">
        <f>HYPERLINK("http://dx.doi.org/10.1016/j.nlm.2004.05.001","http://dx.doi.org/10.1016/j.nlm.2004.05.001")</f>
        <v>http://dx.doi.org/10.1016/j.nlm.2004.05.001</v>
      </c>
      <c r="BG622" s="2" t="s">
        <v>74</v>
      </c>
      <c r="BH622" s="2" t="s">
        <v>74</v>
      </c>
      <c r="BI622" s="2" t="s">
        <v>74</v>
      </c>
      <c r="BJ622" s="2" t="s">
        <v>74</v>
      </c>
      <c r="BK622" s="2" t="s">
        <v>74</v>
      </c>
      <c r="BL622" s="2" t="s">
        <v>74</v>
      </c>
      <c r="BM622" s="2" t="s">
        <v>74</v>
      </c>
      <c r="BN622" s="2">
        <v>15341795</v>
      </c>
      <c r="BO622" s="2" t="s">
        <v>74</v>
      </c>
      <c r="BP622" s="2" t="s">
        <v>74</v>
      </c>
      <c r="BQ622" s="2" t="s">
        <v>74</v>
      </c>
      <c r="BR622" s="2" t="s">
        <v>74</v>
      </c>
      <c r="BS622" s="2" t="s">
        <v>8193</v>
      </c>
      <c r="BT622" s="2" t="str">
        <f>HYPERLINK("https%3A%2F%2Fwww.webofscience.com%2Fwos%2Fwoscc%2Ffull-record%2FWOS:000223495300006","View Full Record in Web of Science")</f>
        <v>View Full Record in Web of Science</v>
      </c>
    </row>
    <row r="623" spans="1:72" s="2" customFormat="1" x14ac:dyDescent="0.4">
      <c r="A623" s="2" t="s">
        <v>72</v>
      </c>
      <c r="B623" s="2" t="s">
        <v>3236</v>
      </c>
      <c r="C623" s="2" t="s">
        <v>74</v>
      </c>
      <c r="D623" s="2" t="s">
        <v>74</v>
      </c>
      <c r="E623" s="2" t="s">
        <v>74</v>
      </c>
      <c r="F623" s="2" t="s">
        <v>3236</v>
      </c>
      <c r="G623" s="2" t="s">
        <v>74</v>
      </c>
      <c r="H623" s="2" t="s">
        <v>74</v>
      </c>
      <c r="I623" s="2" t="s">
        <v>3237</v>
      </c>
      <c r="J623" s="2" t="s">
        <v>3238</v>
      </c>
      <c r="K623" s="2" t="s">
        <v>74</v>
      </c>
      <c r="L623" s="2" t="s">
        <v>74</v>
      </c>
      <c r="M623" s="2" t="s">
        <v>74</v>
      </c>
      <c r="N623" s="2" t="s">
        <v>74</v>
      </c>
      <c r="O623" s="2" t="s">
        <v>74</v>
      </c>
      <c r="P623" s="2" t="s">
        <v>74</v>
      </c>
      <c r="Q623" s="2" t="s">
        <v>74</v>
      </c>
      <c r="R623" s="2" t="s">
        <v>74</v>
      </c>
      <c r="S623" s="2" t="s">
        <v>74</v>
      </c>
      <c r="T623" s="2" t="s">
        <v>74</v>
      </c>
      <c r="U623" s="2" t="s">
        <v>74</v>
      </c>
      <c r="V623" s="5" t="s">
        <v>3239</v>
      </c>
      <c r="W623" s="2" t="s">
        <v>74</v>
      </c>
      <c r="X623" s="2" t="s">
        <v>74</v>
      </c>
      <c r="Y623" s="2" t="s">
        <v>74</v>
      </c>
      <c r="Z623" s="2" t="s">
        <v>74</v>
      </c>
      <c r="AA623" s="2" t="s">
        <v>74</v>
      </c>
      <c r="AB623" s="2" t="s">
        <v>74</v>
      </c>
      <c r="AC623" s="2" t="s">
        <v>74</v>
      </c>
      <c r="AD623" s="2" t="s">
        <v>74</v>
      </c>
      <c r="AE623" s="2" t="s">
        <v>74</v>
      </c>
      <c r="AF623" s="2" t="s">
        <v>74</v>
      </c>
      <c r="AG623" s="2" t="s">
        <v>74</v>
      </c>
      <c r="AH623" s="2" t="s">
        <v>74</v>
      </c>
      <c r="AI623" s="2" t="s">
        <v>74</v>
      </c>
      <c r="AJ623" s="2" t="s">
        <v>74</v>
      </c>
      <c r="AK623" s="2" t="s">
        <v>74</v>
      </c>
      <c r="AL623" s="2" t="s">
        <v>74</v>
      </c>
      <c r="AM623" s="2" t="s">
        <v>74</v>
      </c>
      <c r="AN623" s="2" t="s">
        <v>74</v>
      </c>
      <c r="AO623" s="2" t="s">
        <v>3240</v>
      </c>
      <c r="AP623" s="2" t="s">
        <v>3241</v>
      </c>
      <c r="AQ623" s="2" t="s">
        <v>74</v>
      </c>
      <c r="AR623" s="2" t="s">
        <v>74</v>
      </c>
      <c r="AS623" s="2" t="s">
        <v>74</v>
      </c>
      <c r="AT623" s="2" t="s">
        <v>74</v>
      </c>
      <c r="AU623" s="2">
        <v>1983</v>
      </c>
      <c r="AV623" s="2">
        <v>76</v>
      </c>
      <c r="AW623" s="2">
        <v>2</v>
      </c>
      <c r="AX623" s="2" t="s">
        <v>74</v>
      </c>
      <c r="AY623" s="2" t="s">
        <v>74</v>
      </c>
      <c r="AZ623" s="2" t="s">
        <v>74</v>
      </c>
      <c r="BA623" s="2" t="s">
        <v>74</v>
      </c>
      <c r="BB623" s="2">
        <v>197</v>
      </c>
      <c r="BC623" s="2">
        <v>204</v>
      </c>
      <c r="BD623" s="2" t="s">
        <v>74</v>
      </c>
      <c r="BE623" s="2" t="s">
        <v>3242</v>
      </c>
      <c r="BF623" s="2" t="str">
        <f>HYPERLINK("http://dx.doi.org/10.1093/aesa/76.2.197","http://dx.doi.org/10.1093/aesa/76.2.197")</f>
        <v>http://dx.doi.org/10.1093/aesa/76.2.197</v>
      </c>
      <c r="BG623" s="2" t="s">
        <v>74</v>
      </c>
      <c r="BH623" s="2" t="s">
        <v>74</v>
      </c>
      <c r="BI623" s="2" t="s">
        <v>74</v>
      </c>
      <c r="BJ623" s="2" t="s">
        <v>74</v>
      </c>
      <c r="BK623" s="2" t="s">
        <v>74</v>
      </c>
      <c r="BL623" s="2" t="s">
        <v>74</v>
      </c>
      <c r="BM623" s="2" t="s">
        <v>74</v>
      </c>
      <c r="BN623" s="2" t="s">
        <v>74</v>
      </c>
      <c r="BO623" s="2" t="s">
        <v>74</v>
      </c>
      <c r="BP623" s="2" t="s">
        <v>74</v>
      </c>
      <c r="BQ623" s="2" t="s">
        <v>74</v>
      </c>
      <c r="BR623" s="2" t="s">
        <v>74</v>
      </c>
      <c r="BS623" s="2" t="s">
        <v>3243</v>
      </c>
      <c r="BT623" s="2" t="str">
        <f>HYPERLINK("https%3A%2F%2Fwww.webofscience.com%2Fwos%2Fwoscc%2Ffull-record%2FWOS:A1983QE09100008","View Full Record in Web of Science")</f>
        <v>View Full Record in Web of Science</v>
      </c>
    </row>
    <row r="624" spans="1:72" s="2" customFormat="1" x14ac:dyDescent="0.4">
      <c r="A624" s="2" t="s">
        <v>72</v>
      </c>
      <c r="B624" s="2" t="s">
        <v>394</v>
      </c>
      <c r="C624" s="2" t="s">
        <v>74</v>
      </c>
      <c r="D624" s="2" t="s">
        <v>74</v>
      </c>
      <c r="E624" s="2" t="s">
        <v>74</v>
      </c>
      <c r="F624" s="2" t="s">
        <v>395</v>
      </c>
      <c r="G624" s="2" t="s">
        <v>74</v>
      </c>
      <c r="H624" s="2" t="s">
        <v>74</v>
      </c>
      <c r="I624" s="2" t="s">
        <v>396</v>
      </c>
      <c r="J624" s="2" t="s">
        <v>397</v>
      </c>
      <c r="K624" s="2" t="s">
        <v>74</v>
      </c>
      <c r="L624" s="2" t="s">
        <v>74</v>
      </c>
      <c r="M624" s="2" t="s">
        <v>74</v>
      </c>
      <c r="N624" s="2" t="s">
        <v>74</v>
      </c>
      <c r="O624" s="2" t="s">
        <v>74</v>
      </c>
      <c r="P624" s="2" t="s">
        <v>74</v>
      </c>
      <c r="Q624" s="2" t="s">
        <v>74</v>
      </c>
      <c r="R624" s="2" t="s">
        <v>74</v>
      </c>
      <c r="S624" s="2" t="s">
        <v>74</v>
      </c>
      <c r="T624" s="2" t="s">
        <v>74</v>
      </c>
      <c r="U624" s="2" t="s">
        <v>74</v>
      </c>
      <c r="V624" s="5" t="s">
        <v>398</v>
      </c>
      <c r="W624" s="2" t="s">
        <v>74</v>
      </c>
      <c r="X624" s="2" t="s">
        <v>74</v>
      </c>
      <c r="Y624" s="2" t="s">
        <v>74</v>
      </c>
      <c r="Z624" s="2" t="s">
        <v>74</v>
      </c>
      <c r="AA624" s="2" t="s">
        <v>399</v>
      </c>
      <c r="AB624" s="2" t="s">
        <v>400</v>
      </c>
      <c r="AC624" s="2" t="s">
        <v>74</v>
      </c>
      <c r="AD624" s="2" t="s">
        <v>74</v>
      </c>
      <c r="AE624" s="2" t="s">
        <v>74</v>
      </c>
      <c r="AF624" s="2" t="s">
        <v>74</v>
      </c>
      <c r="AG624" s="2" t="s">
        <v>74</v>
      </c>
      <c r="AH624" s="2" t="s">
        <v>74</v>
      </c>
      <c r="AI624" s="2" t="s">
        <v>74</v>
      </c>
      <c r="AJ624" s="2" t="s">
        <v>74</v>
      </c>
      <c r="AK624" s="2" t="s">
        <v>74</v>
      </c>
      <c r="AL624" s="2" t="s">
        <v>74</v>
      </c>
      <c r="AM624" s="2" t="s">
        <v>74</v>
      </c>
      <c r="AN624" s="2" t="s">
        <v>74</v>
      </c>
      <c r="AO624" s="2" t="s">
        <v>401</v>
      </c>
      <c r="AP624" s="2" t="s">
        <v>402</v>
      </c>
      <c r="AQ624" s="2" t="s">
        <v>74</v>
      </c>
      <c r="AR624" s="2" t="s">
        <v>74</v>
      </c>
      <c r="AS624" s="2" t="s">
        <v>74</v>
      </c>
      <c r="AT624" s="2" t="s">
        <v>213</v>
      </c>
      <c r="AU624" s="2">
        <v>2016</v>
      </c>
      <c r="AV624" s="2">
        <v>15</v>
      </c>
      <c r="AW624" s="2">
        <v>8</v>
      </c>
      <c r="AX624" s="2" t="s">
        <v>74</v>
      </c>
      <c r="AY624" s="2" t="s">
        <v>74</v>
      </c>
      <c r="AZ624" s="2" t="s">
        <v>74</v>
      </c>
      <c r="BA624" s="2" t="s">
        <v>74</v>
      </c>
      <c r="BB624" s="2">
        <v>733</v>
      </c>
      <c r="BC624" s="2">
        <v>740</v>
      </c>
      <c r="BD624" s="2" t="s">
        <v>74</v>
      </c>
      <c r="BE624" s="2" t="s">
        <v>403</v>
      </c>
      <c r="BF624" s="2" t="str">
        <f>HYPERLINK("http://dx.doi.org/10.1111/gbb.12313","http://dx.doi.org/10.1111/gbb.12313")</f>
        <v>http://dx.doi.org/10.1111/gbb.12313</v>
      </c>
      <c r="BG624" s="2" t="s">
        <v>74</v>
      </c>
      <c r="BH624" s="2" t="s">
        <v>74</v>
      </c>
      <c r="BI624" s="2" t="s">
        <v>74</v>
      </c>
      <c r="BJ624" s="2" t="s">
        <v>74</v>
      </c>
      <c r="BK624" s="2" t="s">
        <v>74</v>
      </c>
      <c r="BL624" s="2" t="s">
        <v>74</v>
      </c>
      <c r="BM624" s="2" t="s">
        <v>74</v>
      </c>
      <c r="BN624" s="2">
        <v>27489198</v>
      </c>
      <c r="BO624" s="2" t="s">
        <v>74</v>
      </c>
      <c r="BP624" s="2" t="s">
        <v>74</v>
      </c>
      <c r="BQ624" s="2" t="s">
        <v>74</v>
      </c>
      <c r="BR624" s="2" t="s">
        <v>74</v>
      </c>
      <c r="BS624" s="2" t="s">
        <v>404</v>
      </c>
      <c r="BT624" s="2" t="str">
        <f>HYPERLINK("https%3A%2F%2Fwww.webofscience.com%2Fwos%2Fwoscc%2Ffull-record%2FWOS:000393079000005","View Full Record in Web of Science")</f>
        <v>View Full Record in Web of Science</v>
      </c>
    </row>
    <row r="625" spans="1:72" s="2" customFormat="1" x14ac:dyDescent="0.4">
      <c r="A625" s="2" t="s">
        <v>72</v>
      </c>
      <c r="B625" s="2" t="s">
        <v>4096</v>
      </c>
      <c r="C625" s="2" t="s">
        <v>74</v>
      </c>
      <c r="D625" s="2" t="s">
        <v>74</v>
      </c>
      <c r="E625" s="2" t="s">
        <v>74</v>
      </c>
      <c r="F625" s="2" t="s">
        <v>4097</v>
      </c>
      <c r="G625" s="2" t="s">
        <v>74</v>
      </c>
      <c r="H625" s="2" t="s">
        <v>74</v>
      </c>
      <c r="I625" s="2" t="s">
        <v>4098</v>
      </c>
      <c r="J625" s="2" t="s">
        <v>218</v>
      </c>
      <c r="K625" s="2" t="s">
        <v>74</v>
      </c>
      <c r="L625" s="2" t="s">
        <v>74</v>
      </c>
      <c r="M625" s="2" t="s">
        <v>74</v>
      </c>
      <c r="N625" s="2" t="s">
        <v>74</v>
      </c>
      <c r="O625" s="2" t="s">
        <v>74</v>
      </c>
      <c r="P625" s="2" t="s">
        <v>74</v>
      </c>
      <c r="Q625" s="2" t="s">
        <v>74</v>
      </c>
      <c r="R625" s="2" t="s">
        <v>74</v>
      </c>
      <c r="S625" s="2" t="s">
        <v>74</v>
      </c>
      <c r="T625" s="2" t="s">
        <v>74</v>
      </c>
      <c r="U625" s="2" t="s">
        <v>74</v>
      </c>
      <c r="V625" s="5" t="s">
        <v>4099</v>
      </c>
      <c r="W625" s="2" t="s">
        <v>74</v>
      </c>
      <c r="X625" s="2" t="s">
        <v>74</v>
      </c>
      <c r="Y625" s="2" t="s">
        <v>74</v>
      </c>
      <c r="Z625" s="2" t="s">
        <v>74</v>
      </c>
      <c r="AA625" s="2" t="s">
        <v>74</v>
      </c>
      <c r="AB625" s="2" t="s">
        <v>4100</v>
      </c>
      <c r="AC625" s="2" t="s">
        <v>74</v>
      </c>
      <c r="AD625" s="2" t="s">
        <v>74</v>
      </c>
      <c r="AE625" s="2" t="s">
        <v>74</v>
      </c>
      <c r="AF625" s="2" t="s">
        <v>74</v>
      </c>
      <c r="AG625" s="2" t="s">
        <v>74</v>
      </c>
      <c r="AH625" s="2" t="s">
        <v>74</v>
      </c>
      <c r="AI625" s="2" t="s">
        <v>74</v>
      </c>
      <c r="AJ625" s="2" t="s">
        <v>74</v>
      </c>
      <c r="AK625" s="2" t="s">
        <v>74</v>
      </c>
      <c r="AL625" s="2" t="s">
        <v>74</v>
      </c>
      <c r="AM625" s="2" t="s">
        <v>74</v>
      </c>
      <c r="AN625" s="2" t="s">
        <v>74</v>
      </c>
      <c r="AO625" s="2" t="s">
        <v>221</v>
      </c>
      <c r="AP625" s="2" t="s">
        <v>222</v>
      </c>
      <c r="AQ625" s="2" t="s">
        <v>74</v>
      </c>
      <c r="AR625" s="2" t="s">
        <v>74</v>
      </c>
      <c r="AS625" s="2" t="s">
        <v>74</v>
      </c>
      <c r="AT625" s="2" t="s">
        <v>3302</v>
      </c>
      <c r="AU625" s="2">
        <v>2024</v>
      </c>
      <c r="AV625" s="2">
        <v>37</v>
      </c>
      <c r="AW625" s="2">
        <v>3</v>
      </c>
      <c r="AX625" s="2" t="s">
        <v>74</v>
      </c>
      <c r="AY625" s="2" t="s">
        <v>74</v>
      </c>
      <c r="AZ625" s="2" t="s">
        <v>74</v>
      </c>
      <c r="BA625" s="2" t="s">
        <v>74</v>
      </c>
      <c r="BB625" s="2">
        <v>267</v>
      </c>
      <c r="BC625" s="2">
        <v>273</v>
      </c>
      <c r="BD625" s="2" t="s">
        <v>74</v>
      </c>
      <c r="BE625" s="2" t="s">
        <v>4101</v>
      </c>
      <c r="BF625" s="2" t="str">
        <f>HYPERLINK("http://dx.doi.org/10.1093/jeb/voae010","http://dx.doi.org/10.1093/jeb/voae010")</f>
        <v>http://dx.doi.org/10.1093/jeb/voae010</v>
      </c>
      <c r="BG625" s="2" t="s">
        <v>74</v>
      </c>
      <c r="BH625" s="2" t="s">
        <v>583</v>
      </c>
      <c r="BI625" s="2" t="s">
        <v>74</v>
      </c>
      <c r="BJ625" s="2" t="s">
        <v>74</v>
      </c>
      <c r="BK625" s="2" t="s">
        <v>74</v>
      </c>
      <c r="BL625" s="2" t="s">
        <v>74</v>
      </c>
      <c r="BM625" s="2" t="s">
        <v>74</v>
      </c>
      <c r="BN625" s="2">
        <v>38306464</v>
      </c>
      <c r="BO625" s="2" t="s">
        <v>74</v>
      </c>
      <c r="BP625" s="2" t="s">
        <v>74</v>
      </c>
      <c r="BQ625" s="2" t="s">
        <v>74</v>
      </c>
      <c r="BR625" s="2" t="s">
        <v>74</v>
      </c>
      <c r="BS625" s="2" t="s">
        <v>4102</v>
      </c>
      <c r="BT625" s="2" t="str">
        <f>HYPERLINK("https%3A%2F%2Fwww.webofscience.com%2Fwos%2Fwoscc%2Ffull-record%2FWOS:001155391900001","View Full Record in Web of Science")</f>
        <v>View Full Record in Web of Science</v>
      </c>
    </row>
    <row r="626" spans="1:72" s="2" customFormat="1" x14ac:dyDescent="0.4">
      <c r="A626" s="2" t="s">
        <v>72</v>
      </c>
      <c r="B626" s="2" t="s">
        <v>178</v>
      </c>
      <c r="C626" s="2" t="s">
        <v>74</v>
      </c>
      <c r="D626" s="2" t="s">
        <v>74</v>
      </c>
      <c r="E626" s="2" t="s">
        <v>74</v>
      </c>
      <c r="F626" s="2" t="s">
        <v>179</v>
      </c>
      <c r="G626" s="2" t="s">
        <v>74</v>
      </c>
      <c r="H626" s="2" t="s">
        <v>74</v>
      </c>
      <c r="I626" s="2" t="s">
        <v>180</v>
      </c>
      <c r="J626" s="2" t="s">
        <v>181</v>
      </c>
      <c r="K626" s="2" t="s">
        <v>74</v>
      </c>
      <c r="L626" s="2" t="s">
        <v>74</v>
      </c>
      <c r="M626" s="2" t="s">
        <v>74</v>
      </c>
      <c r="N626" s="2" t="s">
        <v>74</v>
      </c>
      <c r="O626" s="2" t="s">
        <v>74</v>
      </c>
      <c r="P626" s="2" t="s">
        <v>74</v>
      </c>
      <c r="Q626" s="2" t="s">
        <v>74</v>
      </c>
      <c r="R626" s="2" t="s">
        <v>74</v>
      </c>
      <c r="S626" s="2" t="s">
        <v>74</v>
      </c>
      <c r="T626" s="2" t="s">
        <v>74</v>
      </c>
      <c r="U626" s="2" t="s">
        <v>74</v>
      </c>
      <c r="V626" s="5" t="s">
        <v>182</v>
      </c>
      <c r="W626" s="2" t="s">
        <v>74</v>
      </c>
      <c r="X626" s="2" t="s">
        <v>74</v>
      </c>
      <c r="Y626" s="2" t="s">
        <v>74</v>
      </c>
      <c r="Z626" s="2" t="s">
        <v>74</v>
      </c>
      <c r="AA626" s="2" t="s">
        <v>183</v>
      </c>
      <c r="AB626" s="2" t="s">
        <v>184</v>
      </c>
      <c r="AC626" s="2" t="s">
        <v>74</v>
      </c>
      <c r="AD626" s="2" t="s">
        <v>74</v>
      </c>
      <c r="AE626" s="2" t="s">
        <v>74</v>
      </c>
      <c r="AF626" s="2" t="s">
        <v>74</v>
      </c>
      <c r="AG626" s="2" t="s">
        <v>74</v>
      </c>
      <c r="AH626" s="2" t="s">
        <v>74</v>
      </c>
      <c r="AI626" s="2" t="s">
        <v>74</v>
      </c>
      <c r="AJ626" s="2" t="s">
        <v>74</v>
      </c>
      <c r="AK626" s="2" t="s">
        <v>74</v>
      </c>
      <c r="AL626" s="2" t="s">
        <v>74</v>
      </c>
      <c r="AM626" s="2" t="s">
        <v>74</v>
      </c>
      <c r="AN626" s="2" t="s">
        <v>74</v>
      </c>
      <c r="AO626" s="2" t="s">
        <v>185</v>
      </c>
      <c r="AP626" s="2" t="s">
        <v>74</v>
      </c>
      <c r="AQ626" s="2" t="s">
        <v>74</v>
      </c>
      <c r="AR626" s="2" t="s">
        <v>74</v>
      </c>
      <c r="AS626" s="2" t="s">
        <v>74</v>
      </c>
      <c r="AT626" s="2" t="s">
        <v>186</v>
      </c>
      <c r="AU626" s="2">
        <v>2015</v>
      </c>
      <c r="AV626" s="2">
        <v>13</v>
      </c>
      <c r="AW626" s="2" t="s">
        <v>74</v>
      </c>
      <c r="AX626" s="2" t="s">
        <v>74</v>
      </c>
      <c r="AY626" s="2" t="s">
        <v>74</v>
      </c>
      <c r="AZ626" s="2" t="s">
        <v>74</v>
      </c>
      <c r="BA626" s="2" t="s">
        <v>74</v>
      </c>
      <c r="BB626" s="2" t="s">
        <v>74</v>
      </c>
      <c r="BC626" s="2" t="s">
        <v>74</v>
      </c>
      <c r="BD626" s="2">
        <v>82</v>
      </c>
      <c r="BE626" s="2" t="s">
        <v>187</v>
      </c>
      <c r="BF626" s="2" t="str">
        <f>HYPERLINK("http://dx.doi.org/10.1186/s12915-015-0192-7","http://dx.doi.org/10.1186/s12915-015-0192-7")</f>
        <v>http://dx.doi.org/10.1186/s12915-015-0192-7</v>
      </c>
      <c r="BG626" s="2" t="s">
        <v>74</v>
      </c>
      <c r="BH626" s="2" t="s">
        <v>74</v>
      </c>
      <c r="BI626" s="2" t="s">
        <v>74</v>
      </c>
      <c r="BJ626" s="2" t="s">
        <v>74</v>
      </c>
      <c r="BK626" s="2" t="s">
        <v>74</v>
      </c>
      <c r="BL626" s="2" t="s">
        <v>74</v>
      </c>
      <c r="BM626" s="2" t="s">
        <v>74</v>
      </c>
      <c r="BN626" s="2">
        <v>26437665</v>
      </c>
      <c r="BO626" s="2" t="s">
        <v>74</v>
      </c>
      <c r="BP626" s="2" t="s">
        <v>74</v>
      </c>
      <c r="BQ626" s="2" t="s">
        <v>74</v>
      </c>
      <c r="BR626" s="2" t="s">
        <v>74</v>
      </c>
      <c r="BS626" s="2" t="s">
        <v>188</v>
      </c>
      <c r="BT626" s="2" t="str">
        <f>HYPERLINK("https%3A%2F%2Fwww.webofscience.com%2Fwos%2Fwoscc%2Ffull-record%2FWOS:000362280500001","View Full Record in Web of Science")</f>
        <v>View Full Record in Web of Science</v>
      </c>
    </row>
    <row r="627" spans="1:72" s="2" customFormat="1" x14ac:dyDescent="0.4">
      <c r="A627" s="2" t="s">
        <v>72</v>
      </c>
      <c r="B627" s="2" t="s">
        <v>6589</v>
      </c>
      <c r="C627" s="2" t="s">
        <v>74</v>
      </c>
      <c r="D627" s="2" t="s">
        <v>74</v>
      </c>
      <c r="E627" s="2" t="s">
        <v>74</v>
      </c>
      <c r="F627" s="2" t="s">
        <v>6589</v>
      </c>
      <c r="G627" s="2" t="s">
        <v>74</v>
      </c>
      <c r="H627" s="2" t="s">
        <v>74</v>
      </c>
      <c r="I627" s="2" t="s">
        <v>6590</v>
      </c>
      <c r="J627" s="2" t="s">
        <v>77</v>
      </c>
      <c r="K627" s="2" t="s">
        <v>74</v>
      </c>
      <c r="L627" s="2" t="s">
        <v>74</v>
      </c>
      <c r="M627" s="2" t="s">
        <v>74</v>
      </c>
      <c r="N627" s="2" t="s">
        <v>74</v>
      </c>
      <c r="O627" s="2" t="s">
        <v>74</v>
      </c>
      <c r="P627" s="2" t="s">
        <v>74</v>
      </c>
      <c r="Q627" s="2" t="s">
        <v>74</v>
      </c>
      <c r="R627" s="2" t="s">
        <v>74</v>
      </c>
      <c r="S627" s="2" t="s">
        <v>74</v>
      </c>
      <c r="T627" s="2" t="s">
        <v>74</v>
      </c>
      <c r="U627" s="2" t="s">
        <v>74</v>
      </c>
      <c r="V627" s="5" t="s">
        <v>6591</v>
      </c>
      <c r="W627" s="2" t="s">
        <v>74</v>
      </c>
      <c r="X627" s="2" t="s">
        <v>74</v>
      </c>
      <c r="Y627" s="2" t="s">
        <v>74</v>
      </c>
      <c r="Z627" s="2" t="s">
        <v>74</v>
      </c>
      <c r="AA627" s="2" t="s">
        <v>74</v>
      </c>
      <c r="AB627" s="2" t="s">
        <v>74</v>
      </c>
      <c r="AC627" s="2" t="s">
        <v>74</v>
      </c>
      <c r="AD627" s="2" t="s">
        <v>74</v>
      </c>
      <c r="AE627" s="2" t="s">
        <v>74</v>
      </c>
      <c r="AF627" s="2" t="s">
        <v>74</v>
      </c>
      <c r="AG627" s="2" t="s">
        <v>74</v>
      </c>
      <c r="AH627" s="2" t="s">
        <v>74</v>
      </c>
      <c r="AI627" s="2" t="s">
        <v>74</v>
      </c>
      <c r="AJ627" s="2" t="s">
        <v>74</v>
      </c>
      <c r="AK627" s="2" t="s">
        <v>74</v>
      </c>
      <c r="AL627" s="2" t="s">
        <v>74</v>
      </c>
      <c r="AM627" s="2" t="s">
        <v>74</v>
      </c>
      <c r="AN627" s="2" t="s">
        <v>74</v>
      </c>
      <c r="AO627" s="2" t="s">
        <v>81</v>
      </c>
      <c r="AP627" s="2" t="s">
        <v>82</v>
      </c>
      <c r="AQ627" s="2" t="s">
        <v>74</v>
      </c>
      <c r="AR627" s="2" t="s">
        <v>74</v>
      </c>
      <c r="AS627" s="2" t="s">
        <v>74</v>
      </c>
      <c r="AT627" s="2" t="s">
        <v>74</v>
      </c>
      <c r="AU627" s="2">
        <v>1978</v>
      </c>
      <c r="AV627" s="2">
        <v>67</v>
      </c>
      <c r="AW627" s="2" t="s">
        <v>74</v>
      </c>
      <c r="AX627" s="2" t="s">
        <v>1276</v>
      </c>
      <c r="AY627" s="2" t="s">
        <v>74</v>
      </c>
      <c r="AZ627" s="2" t="s">
        <v>74</v>
      </c>
      <c r="BA627" s="2" t="s">
        <v>74</v>
      </c>
      <c r="BB627" s="2">
        <v>178</v>
      </c>
      <c r="BC627" s="2">
        <v>207</v>
      </c>
      <c r="BD627" s="2" t="s">
        <v>74</v>
      </c>
      <c r="BE627" s="2" t="s">
        <v>6592</v>
      </c>
      <c r="BF627" s="2" t="str">
        <f>HYPERLINK("http://dx.doi.org/10.1163/156853978X00323","http://dx.doi.org/10.1163/156853978X00323")</f>
        <v>http://dx.doi.org/10.1163/156853978X00323</v>
      </c>
      <c r="BG627" s="2" t="s">
        <v>74</v>
      </c>
      <c r="BH627" s="2" t="s">
        <v>74</v>
      </c>
      <c r="BI627" s="2" t="s">
        <v>74</v>
      </c>
      <c r="BJ627" s="2" t="s">
        <v>74</v>
      </c>
      <c r="BK627" s="2" t="s">
        <v>74</v>
      </c>
      <c r="BL627" s="2" t="s">
        <v>74</v>
      </c>
      <c r="BM627" s="2" t="s">
        <v>74</v>
      </c>
      <c r="BN627" s="2" t="s">
        <v>74</v>
      </c>
      <c r="BO627" s="2" t="s">
        <v>74</v>
      </c>
      <c r="BP627" s="2" t="s">
        <v>74</v>
      </c>
      <c r="BQ627" s="2" t="s">
        <v>74</v>
      </c>
      <c r="BR627" s="2" t="s">
        <v>74</v>
      </c>
      <c r="BS627" s="2" t="s">
        <v>6593</v>
      </c>
      <c r="BT627" s="2" t="str">
        <f>HYPERLINK("https%3A%2F%2Fwww.webofscience.com%2Fwos%2Fwoscc%2Ffull-record%2FWOS:A1978GF13900003","View Full Record in Web of Science")</f>
        <v>View Full Record in Web of Science</v>
      </c>
    </row>
    <row r="628" spans="1:72" s="2" customFormat="1" x14ac:dyDescent="0.4">
      <c r="A628" s="2" t="s">
        <v>72</v>
      </c>
      <c r="B628" s="2" t="s">
        <v>4983</v>
      </c>
      <c r="C628" s="2" t="s">
        <v>74</v>
      </c>
      <c r="D628" s="2" t="s">
        <v>74</v>
      </c>
      <c r="E628" s="2" t="s">
        <v>74</v>
      </c>
      <c r="F628" s="2" t="s">
        <v>4984</v>
      </c>
      <c r="G628" s="2" t="s">
        <v>74</v>
      </c>
      <c r="H628" s="2" t="s">
        <v>74</v>
      </c>
      <c r="I628" s="2" t="s">
        <v>4985</v>
      </c>
      <c r="J628" s="2" t="s">
        <v>408</v>
      </c>
      <c r="K628" s="2" t="s">
        <v>74</v>
      </c>
      <c r="L628" s="2" t="s">
        <v>74</v>
      </c>
      <c r="M628" s="2" t="s">
        <v>74</v>
      </c>
      <c r="N628" s="2" t="s">
        <v>74</v>
      </c>
      <c r="O628" s="2" t="s">
        <v>74</v>
      </c>
      <c r="P628" s="2" t="s">
        <v>74</v>
      </c>
      <c r="Q628" s="2" t="s">
        <v>74</v>
      </c>
      <c r="R628" s="2" t="s">
        <v>74</v>
      </c>
      <c r="S628" s="2" t="s">
        <v>74</v>
      </c>
      <c r="T628" s="2" t="s">
        <v>74</v>
      </c>
      <c r="U628" s="2" t="s">
        <v>74</v>
      </c>
      <c r="V628" s="5" t="s">
        <v>4986</v>
      </c>
      <c r="W628" s="2" t="s">
        <v>74</v>
      </c>
      <c r="X628" s="2" t="s">
        <v>74</v>
      </c>
      <c r="Y628" s="2" t="s">
        <v>74</v>
      </c>
      <c r="Z628" s="2" t="s">
        <v>74</v>
      </c>
      <c r="AA628" s="2" t="s">
        <v>4987</v>
      </c>
      <c r="AB628" s="2" t="s">
        <v>4988</v>
      </c>
      <c r="AC628" s="2" t="s">
        <v>74</v>
      </c>
      <c r="AD628" s="2" t="s">
        <v>74</v>
      </c>
      <c r="AE628" s="2" t="s">
        <v>74</v>
      </c>
      <c r="AF628" s="2" t="s">
        <v>74</v>
      </c>
      <c r="AG628" s="2" t="s">
        <v>74</v>
      </c>
      <c r="AH628" s="2" t="s">
        <v>74</v>
      </c>
      <c r="AI628" s="2" t="s">
        <v>74</v>
      </c>
      <c r="AJ628" s="2" t="s">
        <v>74</v>
      </c>
      <c r="AK628" s="2" t="s">
        <v>74</v>
      </c>
      <c r="AL628" s="2" t="s">
        <v>74</v>
      </c>
      <c r="AM628" s="2" t="s">
        <v>74</v>
      </c>
      <c r="AN628" s="2" t="s">
        <v>74</v>
      </c>
      <c r="AO628" s="2" t="s">
        <v>412</v>
      </c>
      <c r="AP628" s="2" t="s">
        <v>413</v>
      </c>
      <c r="AQ628" s="2" t="s">
        <v>74</v>
      </c>
      <c r="AR628" s="2" t="s">
        <v>74</v>
      </c>
      <c r="AS628" s="2" t="s">
        <v>74</v>
      </c>
      <c r="AT628" s="2" t="s">
        <v>213</v>
      </c>
      <c r="AU628" s="2">
        <v>2021</v>
      </c>
      <c r="AV628" s="2">
        <v>134</v>
      </c>
      <c r="AW628" s="2">
        <v>3</v>
      </c>
      <c r="AX628" s="2" t="s">
        <v>74</v>
      </c>
      <c r="AY628" s="2" t="s">
        <v>74</v>
      </c>
      <c r="AZ628" s="2" t="s">
        <v>74</v>
      </c>
      <c r="BA628" s="2" t="s">
        <v>74</v>
      </c>
      <c r="BB628" s="2">
        <v>685</v>
      </c>
      <c r="BC628" s="2">
        <v>696</v>
      </c>
      <c r="BD628" s="2" t="s">
        <v>74</v>
      </c>
      <c r="BE628" s="2" t="s">
        <v>4989</v>
      </c>
      <c r="BF628" s="2" t="str">
        <f>HYPERLINK("http://dx.doi.org/10.1093/biolinnean/blab102","http://dx.doi.org/10.1093/biolinnean/blab102")</f>
        <v>http://dx.doi.org/10.1093/biolinnean/blab102</v>
      </c>
      <c r="BG628" s="2" t="s">
        <v>74</v>
      </c>
      <c r="BH628" s="2" t="s">
        <v>4990</v>
      </c>
      <c r="BI628" s="2" t="s">
        <v>74</v>
      </c>
      <c r="BJ628" s="2" t="s">
        <v>74</v>
      </c>
      <c r="BK628" s="2" t="s">
        <v>74</v>
      </c>
      <c r="BL628" s="2" t="s">
        <v>74</v>
      </c>
      <c r="BM628" s="2" t="s">
        <v>74</v>
      </c>
      <c r="BN628" s="2" t="s">
        <v>74</v>
      </c>
      <c r="BO628" s="2" t="s">
        <v>74</v>
      </c>
      <c r="BP628" s="2" t="s">
        <v>74</v>
      </c>
      <c r="BQ628" s="2" t="s">
        <v>74</v>
      </c>
      <c r="BR628" s="2" t="s">
        <v>74</v>
      </c>
      <c r="BS628" s="2" t="s">
        <v>4991</v>
      </c>
      <c r="BT628" s="2" t="str">
        <f>HYPERLINK("https%3A%2F%2Fwww.webofscience.com%2Fwos%2Fwoscc%2Ffull-record%2FWOS:000715341100013","View Full Record in Web of Science")</f>
        <v>View Full Record in Web of Science</v>
      </c>
    </row>
    <row r="629" spans="1:72" s="2" customFormat="1" x14ac:dyDescent="0.4">
      <c r="A629" s="2" t="s">
        <v>72</v>
      </c>
      <c r="B629" s="2" t="s">
        <v>7122</v>
      </c>
      <c r="C629" s="2" t="s">
        <v>74</v>
      </c>
      <c r="D629" s="2" t="s">
        <v>74</v>
      </c>
      <c r="E629" s="2" t="s">
        <v>74</v>
      </c>
      <c r="F629" s="2" t="s">
        <v>7123</v>
      </c>
      <c r="G629" s="2" t="s">
        <v>74</v>
      </c>
      <c r="H629" s="2" t="s">
        <v>74</v>
      </c>
      <c r="I629" s="2" t="s">
        <v>7124</v>
      </c>
      <c r="J629" s="2" t="s">
        <v>1656</v>
      </c>
      <c r="K629" s="2" t="s">
        <v>74</v>
      </c>
      <c r="L629" s="2" t="s">
        <v>74</v>
      </c>
      <c r="M629" s="2" t="s">
        <v>74</v>
      </c>
      <c r="N629" s="2" t="s">
        <v>74</v>
      </c>
      <c r="O629" s="2" t="s">
        <v>74</v>
      </c>
      <c r="P629" s="2" t="s">
        <v>74</v>
      </c>
      <c r="Q629" s="2" t="s">
        <v>74</v>
      </c>
      <c r="R629" s="2" t="s">
        <v>74</v>
      </c>
      <c r="S629" s="2" t="s">
        <v>74</v>
      </c>
      <c r="T629" s="2" t="s">
        <v>74</v>
      </c>
      <c r="U629" s="2" t="s">
        <v>74</v>
      </c>
      <c r="V629" s="5" t="s">
        <v>7125</v>
      </c>
      <c r="W629" s="2" t="s">
        <v>74</v>
      </c>
      <c r="X629" s="2" t="s">
        <v>74</v>
      </c>
      <c r="Y629" s="2" t="s">
        <v>74</v>
      </c>
      <c r="Z629" s="2" t="s">
        <v>74</v>
      </c>
      <c r="AA629" s="2" t="s">
        <v>7126</v>
      </c>
      <c r="AB629" s="2" t="s">
        <v>7127</v>
      </c>
      <c r="AC629" s="2" t="s">
        <v>74</v>
      </c>
      <c r="AD629" s="2" t="s">
        <v>74</v>
      </c>
      <c r="AE629" s="2" t="s">
        <v>74</v>
      </c>
      <c r="AF629" s="2" t="s">
        <v>74</v>
      </c>
      <c r="AG629" s="2" t="s">
        <v>74</v>
      </c>
      <c r="AH629" s="2" t="s">
        <v>74</v>
      </c>
      <c r="AI629" s="2" t="s">
        <v>74</v>
      </c>
      <c r="AJ629" s="2" t="s">
        <v>74</v>
      </c>
      <c r="AK629" s="2" t="s">
        <v>74</v>
      </c>
      <c r="AL629" s="2" t="s">
        <v>74</v>
      </c>
      <c r="AM629" s="2" t="s">
        <v>74</v>
      </c>
      <c r="AN629" s="2" t="s">
        <v>74</v>
      </c>
      <c r="AO629" s="2" t="s">
        <v>1658</v>
      </c>
      <c r="AP629" s="2" t="s">
        <v>1659</v>
      </c>
      <c r="AQ629" s="2" t="s">
        <v>74</v>
      </c>
      <c r="AR629" s="2" t="s">
        <v>74</v>
      </c>
      <c r="AS629" s="2" t="s">
        <v>74</v>
      </c>
      <c r="AT629" s="2" t="s">
        <v>7128</v>
      </c>
      <c r="AU629" s="2">
        <v>2022</v>
      </c>
      <c r="AV629" s="2">
        <v>5155</v>
      </c>
      <c r="AW629" s="2">
        <v>4</v>
      </c>
      <c r="AX629" s="2" t="s">
        <v>74</v>
      </c>
      <c r="AY629" s="2" t="s">
        <v>74</v>
      </c>
      <c r="AZ629" s="2" t="s">
        <v>74</v>
      </c>
      <c r="BA629" s="2" t="s">
        <v>74</v>
      </c>
      <c r="BB629" s="2">
        <v>564</v>
      </c>
      <c r="BC629" s="2">
        <v>580</v>
      </c>
      <c r="BD629" s="2" t="s">
        <v>74</v>
      </c>
      <c r="BE629" s="2" t="s">
        <v>7129</v>
      </c>
      <c r="BF629" s="2" t="str">
        <f>HYPERLINK("http://dx.doi.org/10.11646/zootaxa.5155.4.6","http://dx.doi.org/10.11646/zootaxa.5155.4.6")</f>
        <v>http://dx.doi.org/10.11646/zootaxa.5155.4.6</v>
      </c>
      <c r="BG629" s="2" t="s">
        <v>74</v>
      </c>
      <c r="BH629" s="2" t="s">
        <v>74</v>
      </c>
      <c r="BI629" s="2" t="s">
        <v>74</v>
      </c>
      <c r="BJ629" s="2" t="s">
        <v>74</v>
      </c>
      <c r="BK629" s="2" t="s">
        <v>74</v>
      </c>
      <c r="BL629" s="2" t="s">
        <v>74</v>
      </c>
      <c r="BM629" s="2" t="s">
        <v>74</v>
      </c>
      <c r="BN629" s="2">
        <v>36095567</v>
      </c>
      <c r="BO629" s="2" t="s">
        <v>74</v>
      </c>
      <c r="BP629" s="2" t="s">
        <v>74</v>
      </c>
      <c r="BQ629" s="2" t="s">
        <v>74</v>
      </c>
      <c r="BR629" s="2" t="s">
        <v>74</v>
      </c>
      <c r="BS629" s="2" t="s">
        <v>7130</v>
      </c>
      <c r="BT629" s="2" t="str">
        <f>HYPERLINK("https%3A%2F%2Fwww.webofscience.com%2Fwos%2Fwoscc%2Ffull-record%2FWOS:000821618900003","View Full Record in Web of Science")</f>
        <v>View Full Record in Web of Science</v>
      </c>
    </row>
    <row r="630" spans="1:72" s="2" customFormat="1" x14ac:dyDescent="0.4">
      <c r="A630" s="2" t="s">
        <v>72</v>
      </c>
      <c r="B630" s="2" t="s">
        <v>7470</v>
      </c>
      <c r="C630" s="2" t="s">
        <v>74</v>
      </c>
      <c r="D630" s="2" t="s">
        <v>74</v>
      </c>
      <c r="E630" s="2" t="s">
        <v>74</v>
      </c>
      <c r="F630" s="2" t="s">
        <v>7470</v>
      </c>
      <c r="G630" s="2" t="s">
        <v>74</v>
      </c>
      <c r="H630" s="2" t="s">
        <v>74</v>
      </c>
      <c r="I630" s="2" t="s">
        <v>7471</v>
      </c>
      <c r="J630" s="2" t="s">
        <v>140</v>
      </c>
      <c r="K630" s="2" t="s">
        <v>74</v>
      </c>
      <c r="L630" s="2" t="s">
        <v>74</v>
      </c>
      <c r="M630" s="2" t="s">
        <v>74</v>
      </c>
      <c r="N630" s="2" t="s">
        <v>74</v>
      </c>
      <c r="O630" s="2" t="s">
        <v>74</v>
      </c>
      <c r="P630" s="2" t="s">
        <v>74</v>
      </c>
      <c r="Q630" s="2" t="s">
        <v>74</v>
      </c>
      <c r="R630" s="2" t="s">
        <v>74</v>
      </c>
      <c r="S630" s="2" t="s">
        <v>74</v>
      </c>
      <c r="T630" s="2" t="s">
        <v>74</v>
      </c>
      <c r="U630" s="2" t="s">
        <v>74</v>
      </c>
      <c r="V630" s="5" t="s">
        <v>7472</v>
      </c>
      <c r="W630" s="2" t="s">
        <v>74</v>
      </c>
      <c r="X630" s="2" t="s">
        <v>74</v>
      </c>
      <c r="Y630" s="2" t="s">
        <v>74</v>
      </c>
      <c r="Z630" s="2" t="s">
        <v>74</v>
      </c>
      <c r="AA630" s="2" t="s">
        <v>7473</v>
      </c>
      <c r="AB630" s="2" t="s">
        <v>7474</v>
      </c>
      <c r="AC630" s="2" t="s">
        <v>74</v>
      </c>
      <c r="AD630" s="2" t="s">
        <v>74</v>
      </c>
      <c r="AE630" s="2" t="s">
        <v>74</v>
      </c>
      <c r="AF630" s="2" t="s">
        <v>74</v>
      </c>
      <c r="AG630" s="2" t="s">
        <v>74</v>
      </c>
      <c r="AH630" s="2" t="s">
        <v>74</v>
      </c>
      <c r="AI630" s="2" t="s">
        <v>74</v>
      </c>
      <c r="AJ630" s="2" t="s">
        <v>74</v>
      </c>
      <c r="AK630" s="2" t="s">
        <v>74</v>
      </c>
      <c r="AL630" s="2" t="s">
        <v>74</v>
      </c>
      <c r="AM630" s="2" t="s">
        <v>74</v>
      </c>
      <c r="AN630" s="2" t="s">
        <v>74</v>
      </c>
      <c r="AO630" s="2" t="s">
        <v>143</v>
      </c>
      <c r="AP630" s="2" t="s">
        <v>74</v>
      </c>
      <c r="AQ630" s="2" t="s">
        <v>74</v>
      </c>
      <c r="AR630" s="2" t="s">
        <v>74</v>
      </c>
      <c r="AS630" s="2" t="s">
        <v>74</v>
      </c>
      <c r="AT630" s="2" t="s">
        <v>204</v>
      </c>
      <c r="AU630" s="2">
        <v>1998</v>
      </c>
      <c r="AV630" s="2">
        <v>56</v>
      </c>
      <c r="AW630" s="2" t="s">
        <v>74</v>
      </c>
      <c r="AX630" s="2">
        <v>1</v>
      </c>
      <c r="AY630" s="2" t="s">
        <v>74</v>
      </c>
      <c r="AZ630" s="2" t="s">
        <v>74</v>
      </c>
      <c r="BA630" s="2" t="s">
        <v>74</v>
      </c>
      <c r="BB630" s="2">
        <v>181</v>
      </c>
      <c r="BC630" s="2">
        <v>190</v>
      </c>
      <c r="BD630" s="2" t="s">
        <v>74</v>
      </c>
      <c r="BE630" s="2" t="s">
        <v>7475</v>
      </c>
      <c r="BF630" s="2" t="str">
        <f>HYPERLINK("http://dx.doi.org/10.1006/anbe.1998.0760","http://dx.doi.org/10.1006/anbe.1998.0760")</f>
        <v>http://dx.doi.org/10.1006/anbe.1998.0760</v>
      </c>
      <c r="BG630" s="2" t="s">
        <v>74</v>
      </c>
      <c r="BH630" s="2" t="s">
        <v>74</v>
      </c>
      <c r="BI630" s="2" t="s">
        <v>74</v>
      </c>
      <c r="BJ630" s="2" t="s">
        <v>74</v>
      </c>
      <c r="BK630" s="2" t="s">
        <v>74</v>
      </c>
      <c r="BL630" s="2" t="s">
        <v>74</v>
      </c>
      <c r="BM630" s="2" t="s">
        <v>74</v>
      </c>
      <c r="BN630" s="2">
        <v>9710476</v>
      </c>
      <c r="BO630" s="2" t="s">
        <v>74</v>
      </c>
      <c r="BP630" s="2" t="s">
        <v>74</v>
      </c>
      <c r="BQ630" s="2" t="s">
        <v>74</v>
      </c>
      <c r="BR630" s="2" t="s">
        <v>74</v>
      </c>
      <c r="BS630" s="2" t="s">
        <v>7476</v>
      </c>
      <c r="BT630" s="2" t="str">
        <f>HYPERLINK("https%3A%2F%2Fwww.webofscience.com%2Fwos%2Fwoscc%2Ffull-record%2FWOS:000075228700021","View Full Record in Web of Science")</f>
        <v>View Full Record in Web of Science</v>
      </c>
    </row>
    <row r="631" spans="1:72" s="2" customFormat="1" x14ac:dyDescent="0.4">
      <c r="A631" s="2" t="s">
        <v>72</v>
      </c>
      <c r="B631" s="2" t="s">
        <v>2733</v>
      </c>
      <c r="C631" s="2" t="s">
        <v>74</v>
      </c>
      <c r="D631" s="2" t="s">
        <v>74</v>
      </c>
      <c r="E631" s="2" t="s">
        <v>74</v>
      </c>
      <c r="F631" s="2" t="s">
        <v>2734</v>
      </c>
      <c r="G631" s="2" t="s">
        <v>74</v>
      </c>
      <c r="H631" s="2" t="s">
        <v>74</v>
      </c>
      <c r="I631" s="2" t="s">
        <v>2735</v>
      </c>
      <c r="J631" s="2" t="s">
        <v>218</v>
      </c>
      <c r="K631" s="2" t="s">
        <v>74</v>
      </c>
      <c r="L631" s="2" t="s">
        <v>74</v>
      </c>
      <c r="M631" s="2" t="s">
        <v>74</v>
      </c>
      <c r="N631" s="2" t="s">
        <v>74</v>
      </c>
      <c r="O631" s="2" t="s">
        <v>74</v>
      </c>
      <c r="P631" s="2" t="s">
        <v>74</v>
      </c>
      <c r="Q631" s="2" t="s">
        <v>74</v>
      </c>
      <c r="R631" s="2" t="s">
        <v>74</v>
      </c>
      <c r="S631" s="2" t="s">
        <v>74</v>
      </c>
      <c r="T631" s="2" t="s">
        <v>74</v>
      </c>
      <c r="U631" s="2" t="s">
        <v>74</v>
      </c>
      <c r="V631" s="5" t="s">
        <v>2736</v>
      </c>
      <c r="W631" s="2" t="s">
        <v>74</v>
      </c>
      <c r="X631" s="2" t="s">
        <v>74</v>
      </c>
      <c r="Y631" s="2" t="s">
        <v>74</v>
      </c>
      <c r="Z631" s="2" t="s">
        <v>74</v>
      </c>
      <c r="AA631" s="2" t="s">
        <v>74</v>
      </c>
      <c r="AB631" s="2" t="s">
        <v>2737</v>
      </c>
      <c r="AC631" s="2" t="s">
        <v>74</v>
      </c>
      <c r="AD631" s="2" t="s">
        <v>74</v>
      </c>
      <c r="AE631" s="2" t="s">
        <v>74</v>
      </c>
      <c r="AF631" s="2" t="s">
        <v>74</v>
      </c>
      <c r="AG631" s="2" t="s">
        <v>74</v>
      </c>
      <c r="AH631" s="2" t="s">
        <v>74</v>
      </c>
      <c r="AI631" s="2" t="s">
        <v>74</v>
      </c>
      <c r="AJ631" s="2" t="s">
        <v>74</v>
      </c>
      <c r="AK631" s="2" t="s">
        <v>74</v>
      </c>
      <c r="AL631" s="2" t="s">
        <v>74</v>
      </c>
      <c r="AM631" s="2" t="s">
        <v>74</v>
      </c>
      <c r="AN631" s="2" t="s">
        <v>74</v>
      </c>
      <c r="AO631" s="2" t="s">
        <v>221</v>
      </c>
      <c r="AP631" s="2" t="s">
        <v>222</v>
      </c>
      <c r="AQ631" s="2" t="s">
        <v>74</v>
      </c>
      <c r="AR631" s="2" t="s">
        <v>74</v>
      </c>
      <c r="AS631" s="2" t="s">
        <v>74</v>
      </c>
      <c r="AT631" s="2" t="s">
        <v>145</v>
      </c>
      <c r="AU631" s="2">
        <v>2013</v>
      </c>
      <c r="AV631" s="2">
        <v>26</v>
      </c>
      <c r="AW631" s="2">
        <v>8</v>
      </c>
      <c r="AX631" s="2" t="s">
        <v>74</v>
      </c>
      <c r="AY631" s="2" t="s">
        <v>74</v>
      </c>
      <c r="AZ631" s="2" t="s">
        <v>74</v>
      </c>
      <c r="BA631" s="2" t="s">
        <v>74</v>
      </c>
      <c r="BB631" s="2">
        <v>1611</v>
      </c>
      <c r="BC631" s="2">
        <v>1624</v>
      </c>
      <c r="BD631" s="2" t="s">
        <v>74</v>
      </c>
      <c r="BE631" s="2" t="s">
        <v>2738</v>
      </c>
      <c r="BF631" s="2" t="str">
        <f>HYPERLINK("http://dx.doi.org/10.1111/jeb.12173","http://dx.doi.org/10.1111/jeb.12173")</f>
        <v>http://dx.doi.org/10.1111/jeb.12173</v>
      </c>
      <c r="BG631" s="2" t="s">
        <v>74</v>
      </c>
      <c r="BH631" s="2" t="s">
        <v>74</v>
      </c>
      <c r="BI631" s="2" t="s">
        <v>74</v>
      </c>
      <c r="BJ631" s="2" t="s">
        <v>74</v>
      </c>
      <c r="BK631" s="2" t="s">
        <v>74</v>
      </c>
      <c r="BL631" s="2" t="s">
        <v>74</v>
      </c>
      <c r="BM631" s="2" t="s">
        <v>74</v>
      </c>
      <c r="BN631" s="2">
        <v>23859471</v>
      </c>
      <c r="BO631" s="2" t="s">
        <v>74</v>
      </c>
      <c r="BP631" s="2" t="s">
        <v>74</v>
      </c>
      <c r="BQ631" s="2" t="s">
        <v>74</v>
      </c>
      <c r="BR631" s="2" t="s">
        <v>74</v>
      </c>
      <c r="BS631" s="2" t="s">
        <v>2739</v>
      </c>
      <c r="BT631" s="2" t="str">
        <f>HYPERLINK("https%3A%2F%2Fwww.webofscience.com%2Fwos%2Fwoscc%2Ffull-record%2FWOS:000323101800001","View Full Record in Web of Science")</f>
        <v>View Full Record in Web of Science</v>
      </c>
    </row>
    <row r="632" spans="1:72" s="2" customFormat="1" x14ac:dyDescent="0.4">
      <c r="A632" s="2" t="s">
        <v>72</v>
      </c>
      <c r="B632" s="2" t="s">
        <v>4701</v>
      </c>
      <c r="C632" s="2" t="s">
        <v>74</v>
      </c>
      <c r="D632" s="2" t="s">
        <v>74</v>
      </c>
      <c r="E632" s="2" t="s">
        <v>74</v>
      </c>
      <c r="F632" s="2" t="s">
        <v>4702</v>
      </c>
      <c r="G632" s="2" t="s">
        <v>74</v>
      </c>
      <c r="H632" s="2" t="s">
        <v>74</v>
      </c>
      <c r="I632" s="2" t="s">
        <v>4703</v>
      </c>
      <c r="J632" s="2" t="s">
        <v>1656</v>
      </c>
      <c r="K632" s="2" t="s">
        <v>74</v>
      </c>
      <c r="L632" s="2" t="s">
        <v>74</v>
      </c>
      <c r="M632" s="2" t="s">
        <v>74</v>
      </c>
      <c r="N632" s="2" t="s">
        <v>74</v>
      </c>
      <c r="O632" s="2" t="s">
        <v>74</v>
      </c>
      <c r="P632" s="2" t="s">
        <v>74</v>
      </c>
      <c r="Q632" s="2" t="s">
        <v>74</v>
      </c>
      <c r="R632" s="2" t="s">
        <v>74</v>
      </c>
      <c r="S632" s="2" t="s">
        <v>74</v>
      </c>
      <c r="T632" s="2" t="s">
        <v>74</v>
      </c>
      <c r="U632" s="2" t="s">
        <v>74</v>
      </c>
      <c r="V632" s="5" t="s">
        <v>4704</v>
      </c>
      <c r="W632" s="2" t="s">
        <v>74</v>
      </c>
      <c r="X632" s="2" t="s">
        <v>74</v>
      </c>
      <c r="Y632" s="2" t="s">
        <v>74</v>
      </c>
      <c r="Z632" s="2" t="s">
        <v>74</v>
      </c>
      <c r="AA632" s="2" t="s">
        <v>4705</v>
      </c>
      <c r="AB632" s="2" t="s">
        <v>4706</v>
      </c>
      <c r="AC632" s="2" t="s">
        <v>74</v>
      </c>
      <c r="AD632" s="2" t="s">
        <v>74</v>
      </c>
      <c r="AE632" s="2" t="s">
        <v>74</v>
      </c>
      <c r="AF632" s="2" t="s">
        <v>74</v>
      </c>
      <c r="AG632" s="2" t="s">
        <v>74</v>
      </c>
      <c r="AH632" s="2" t="s">
        <v>74</v>
      </c>
      <c r="AI632" s="2" t="s">
        <v>74</v>
      </c>
      <c r="AJ632" s="2" t="s">
        <v>74</v>
      </c>
      <c r="AK632" s="2" t="s">
        <v>74</v>
      </c>
      <c r="AL632" s="2" t="s">
        <v>74</v>
      </c>
      <c r="AM632" s="2" t="s">
        <v>74</v>
      </c>
      <c r="AN632" s="2" t="s">
        <v>74</v>
      </c>
      <c r="AO632" s="2" t="s">
        <v>1658</v>
      </c>
      <c r="AP632" s="2" t="s">
        <v>1659</v>
      </c>
      <c r="AQ632" s="2" t="s">
        <v>74</v>
      </c>
      <c r="AR632" s="2" t="s">
        <v>74</v>
      </c>
      <c r="AS632" s="2" t="s">
        <v>74</v>
      </c>
      <c r="AT632" s="2" t="s">
        <v>4707</v>
      </c>
      <c r="AU632" s="2">
        <v>2023</v>
      </c>
      <c r="AV632" s="2">
        <v>5230</v>
      </c>
      <c r="AW632" s="2">
        <v>1</v>
      </c>
      <c r="AX632" s="2" t="s">
        <v>74</v>
      </c>
      <c r="AY632" s="2" t="s">
        <v>74</v>
      </c>
      <c r="AZ632" s="2" t="s">
        <v>74</v>
      </c>
      <c r="BA632" s="2" t="s">
        <v>74</v>
      </c>
      <c r="BB632" s="2">
        <v>48</v>
      </c>
      <c r="BC632" s="2">
        <v>66</v>
      </c>
      <c r="BD632" s="2" t="s">
        <v>74</v>
      </c>
      <c r="BE632" s="2" t="s">
        <v>4708</v>
      </c>
      <c r="BF632" s="2" t="str">
        <f>HYPERLINK("http://dx.doi.org/10.11646/zootaxa.5230.1.3","http://dx.doi.org/10.11646/zootaxa.5230.1.3")</f>
        <v>http://dx.doi.org/10.11646/zootaxa.5230.1.3</v>
      </c>
      <c r="BG632" s="2" t="s">
        <v>74</v>
      </c>
      <c r="BH632" s="2" t="s">
        <v>74</v>
      </c>
      <c r="BI632" s="2" t="s">
        <v>74</v>
      </c>
      <c r="BJ632" s="2" t="s">
        <v>74</v>
      </c>
      <c r="BK632" s="2" t="s">
        <v>74</v>
      </c>
      <c r="BL632" s="2" t="s">
        <v>74</v>
      </c>
      <c r="BM632" s="2" t="s">
        <v>74</v>
      </c>
      <c r="BN632" s="2">
        <v>37044858</v>
      </c>
      <c r="BO632" s="2" t="s">
        <v>74</v>
      </c>
      <c r="BP632" s="2" t="s">
        <v>74</v>
      </c>
      <c r="BQ632" s="2" t="s">
        <v>74</v>
      </c>
      <c r="BR632" s="2" t="s">
        <v>74</v>
      </c>
      <c r="BS632" s="2" t="s">
        <v>4709</v>
      </c>
      <c r="BT632" s="2" t="str">
        <f>HYPERLINK("https%3A%2F%2Fwww.webofscience.com%2Fwos%2Fwoscc%2Ffull-record%2FWOS:000927998600003","View Full Record in Web of Science")</f>
        <v>View Full Record in Web of Science</v>
      </c>
    </row>
    <row r="633" spans="1:72" s="2" customFormat="1" x14ac:dyDescent="0.4">
      <c r="A633" s="2" t="s">
        <v>72</v>
      </c>
      <c r="B633" s="2" t="s">
        <v>7047</v>
      </c>
      <c r="C633" s="2" t="s">
        <v>74</v>
      </c>
      <c r="D633" s="2" t="s">
        <v>74</v>
      </c>
      <c r="E633" s="2" t="s">
        <v>74</v>
      </c>
      <c r="F633" s="2" t="s">
        <v>7048</v>
      </c>
      <c r="G633" s="2" t="s">
        <v>74</v>
      </c>
      <c r="H633" s="2" t="s">
        <v>74</v>
      </c>
      <c r="I633" s="2" t="s">
        <v>7049</v>
      </c>
      <c r="J633" s="2" t="s">
        <v>2017</v>
      </c>
      <c r="K633" s="2" t="s">
        <v>74</v>
      </c>
      <c r="L633" s="2" t="s">
        <v>74</v>
      </c>
      <c r="M633" s="2" t="s">
        <v>74</v>
      </c>
      <c r="N633" s="2" t="s">
        <v>74</v>
      </c>
      <c r="O633" s="2" t="s">
        <v>74</v>
      </c>
      <c r="P633" s="2" t="s">
        <v>74</v>
      </c>
      <c r="Q633" s="2" t="s">
        <v>74</v>
      </c>
      <c r="R633" s="2" t="s">
        <v>74</v>
      </c>
      <c r="S633" s="2" t="s">
        <v>74</v>
      </c>
      <c r="T633" s="2" t="s">
        <v>74</v>
      </c>
      <c r="U633" s="2" t="s">
        <v>74</v>
      </c>
      <c r="V633" s="5" t="s">
        <v>7050</v>
      </c>
      <c r="W633" s="2" t="s">
        <v>74</v>
      </c>
      <c r="X633" s="2" t="s">
        <v>74</v>
      </c>
      <c r="Y633" s="2" t="s">
        <v>74</v>
      </c>
      <c r="Z633" s="2" t="s">
        <v>74</v>
      </c>
      <c r="AA633" s="2" t="s">
        <v>74</v>
      </c>
      <c r="AB633" s="2" t="s">
        <v>74</v>
      </c>
      <c r="AC633" s="2" t="s">
        <v>74</v>
      </c>
      <c r="AD633" s="2" t="s">
        <v>74</v>
      </c>
      <c r="AE633" s="2" t="s">
        <v>74</v>
      </c>
      <c r="AF633" s="2" t="s">
        <v>74</v>
      </c>
      <c r="AG633" s="2" t="s">
        <v>74</v>
      </c>
      <c r="AH633" s="2" t="s">
        <v>74</v>
      </c>
      <c r="AI633" s="2" t="s">
        <v>74</v>
      </c>
      <c r="AJ633" s="2" t="s">
        <v>74</v>
      </c>
      <c r="AK633" s="2" t="s">
        <v>74</v>
      </c>
      <c r="AL633" s="2" t="s">
        <v>74</v>
      </c>
      <c r="AM633" s="2" t="s">
        <v>74</v>
      </c>
      <c r="AN633" s="2" t="s">
        <v>74</v>
      </c>
      <c r="AO633" s="2" t="s">
        <v>2021</v>
      </c>
      <c r="AP633" s="2" t="s">
        <v>74</v>
      </c>
      <c r="AQ633" s="2" t="s">
        <v>74</v>
      </c>
      <c r="AR633" s="2" t="s">
        <v>74</v>
      </c>
      <c r="AS633" s="2" t="s">
        <v>74</v>
      </c>
      <c r="AT633" s="2" t="s">
        <v>7051</v>
      </c>
      <c r="AU633" s="2">
        <v>2021</v>
      </c>
      <c r="AV633" s="2">
        <v>9</v>
      </c>
      <c r="AW633" s="2" t="s">
        <v>74</v>
      </c>
      <c r="AX633" s="2" t="s">
        <v>74</v>
      </c>
      <c r="AY633" s="2" t="s">
        <v>74</v>
      </c>
      <c r="AZ633" s="2" t="s">
        <v>74</v>
      </c>
      <c r="BA633" s="2" t="s">
        <v>74</v>
      </c>
      <c r="BB633" s="2" t="s">
        <v>74</v>
      </c>
      <c r="BC633" s="2" t="s">
        <v>74</v>
      </c>
      <c r="BD633" s="2">
        <v>734126</v>
      </c>
      <c r="BE633" s="2" t="s">
        <v>7052</v>
      </c>
      <c r="BF633" s="2" t="str">
        <f>HYPERLINK("http://dx.doi.org/10.3389/fevo.2021.734126","http://dx.doi.org/10.3389/fevo.2021.734126")</f>
        <v>http://dx.doi.org/10.3389/fevo.2021.734126</v>
      </c>
      <c r="BG633" s="2" t="s">
        <v>74</v>
      </c>
      <c r="BH633" s="2" t="s">
        <v>74</v>
      </c>
      <c r="BI633" s="2" t="s">
        <v>74</v>
      </c>
      <c r="BJ633" s="2" t="s">
        <v>74</v>
      </c>
      <c r="BK633" s="2" t="s">
        <v>74</v>
      </c>
      <c r="BL633" s="2" t="s">
        <v>74</v>
      </c>
      <c r="BM633" s="2" t="s">
        <v>74</v>
      </c>
      <c r="BN633" s="2" t="s">
        <v>74</v>
      </c>
      <c r="BO633" s="2" t="s">
        <v>74</v>
      </c>
      <c r="BP633" s="2" t="s">
        <v>74</v>
      </c>
      <c r="BQ633" s="2" t="s">
        <v>74</v>
      </c>
      <c r="BR633" s="2" t="s">
        <v>74</v>
      </c>
      <c r="BS633" s="2" t="s">
        <v>7053</v>
      </c>
      <c r="BT633" s="2" t="str">
        <f>HYPERLINK("https%3A%2F%2Fwww.webofscience.com%2Fwos%2Fwoscc%2Ffull-record%2FWOS:000712776000001","View Full Record in Web of Science")</f>
        <v>View Full Record in Web of Science</v>
      </c>
    </row>
    <row r="634" spans="1:72" s="2" customFormat="1" x14ac:dyDescent="0.4">
      <c r="A634" s="2" t="s">
        <v>72</v>
      </c>
      <c r="B634" s="2" t="s">
        <v>7047</v>
      </c>
      <c r="C634" s="2" t="s">
        <v>74</v>
      </c>
      <c r="D634" s="2" t="s">
        <v>74</v>
      </c>
      <c r="E634" s="2" t="s">
        <v>74</v>
      </c>
      <c r="F634" s="2" t="s">
        <v>7047</v>
      </c>
      <c r="G634" s="2" t="s">
        <v>74</v>
      </c>
      <c r="H634" s="2" t="s">
        <v>74</v>
      </c>
      <c r="I634" s="2" t="s">
        <v>7249</v>
      </c>
      <c r="J634" s="2" t="s">
        <v>171</v>
      </c>
      <c r="K634" s="2" t="s">
        <v>74</v>
      </c>
      <c r="L634" s="2" t="s">
        <v>74</v>
      </c>
      <c r="M634" s="2" t="s">
        <v>74</v>
      </c>
      <c r="N634" s="2" t="s">
        <v>74</v>
      </c>
      <c r="O634" s="2" t="s">
        <v>74</v>
      </c>
      <c r="P634" s="2" t="s">
        <v>74</v>
      </c>
      <c r="Q634" s="2" t="s">
        <v>74</v>
      </c>
      <c r="R634" s="2" t="s">
        <v>74</v>
      </c>
      <c r="S634" s="2" t="s">
        <v>74</v>
      </c>
      <c r="T634" s="2" t="s">
        <v>74</v>
      </c>
      <c r="U634" s="2" t="s">
        <v>74</v>
      </c>
      <c r="V634" s="5" t="s">
        <v>7250</v>
      </c>
      <c r="W634" s="2" t="s">
        <v>74</v>
      </c>
      <c r="X634" s="2" t="s">
        <v>74</v>
      </c>
      <c r="Y634" s="2" t="s">
        <v>74</v>
      </c>
      <c r="Z634" s="2" t="s">
        <v>74</v>
      </c>
      <c r="AA634" s="2" t="s">
        <v>74</v>
      </c>
      <c r="AB634" s="2" t="s">
        <v>74</v>
      </c>
      <c r="AC634" s="2" t="s">
        <v>74</v>
      </c>
      <c r="AD634" s="2" t="s">
        <v>74</v>
      </c>
      <c r="AE634" s="2" t="s">
        <v>74</v>
      </c>
      <c r="AF634" s="2" t="s">
        <v>74</v>
      </c>
      <c r="AG634" s="2" t="s">
        <v>74</v>
      </c>
      <c r="AH634" s="2" t="s">
        <v>74</v>
      </c>
      <c r="AI634" s="2" t="s">
        <v>74</v>
      </c>
      <c r="AJ634" s="2" t="s">
        <v>74</v>
      </c>
      <c r="AK634" s="2" t="s">
        <v>74</v>
      </c>
      <c r="AL634" s="2" t="s">
        <v>74</v>
      </c>
      <c r="AM634" s="2" t="s">
        <v>74</v>
      </c>
      <c r="AN634" s="2" t="s">
        <v>74</v>
      </c>
      <c r="AO634" s="2" t="s">
        <v>173</v>
      </c>
      <c r="AP634" s="2" t="s">
        <v>174</v>
      </c>
      <c r="AQ634" s="2" t="s">
        <v>74</v>
      </c>
      <c r="AR634" s="2" t="s">
        <v>74</v>
      </c>
      <c r="AS634" s="2" t="s">
        <v>74</v>
      </c>
      <c r="AT634" s="2" t="s">
        <v>255</v>
      </c>
      <c r="AU634" s="2">
        <v>2006</v>
      </c>
      <c r="AV634" s="2">
        <v>60</v>
      </c>
      <c r="AW634" s="2">
        <v>1</v>
      </c>
      <c r="AX634" s="2" t="s">
        <v>74</v>
      </c>
      <c r="AY634" s="2" t="s">
        <v>74</v>
      </c>
      <c r="AZ634" s="2" t="s">
        <v>74</v>
      </c>
      <c r="BA634" s="2" t="s">
        <v>74</v>
      </c>
      <c r="BB634" s="2">
        <v>157</v>
      </c>
      <c r="BC634" s="2">
        <v>168</v>
      </c>
      <c r="BD634" s="2" t="s">
        <v>74</v>
      </c>
      <c r="BE634" s="2" t="s">
        <v>74</v>
      </c>
      <c r="BF634" s="2" t="s">
        <v>74</v>
      </c>
      <c r="BG634" s="2" t="s">
        <v>74</v>
      </c>
      <c r="BH634" s="2" t="s">
        <v>74</v>
      </c>
      <c r="BI634" s="2" t="s">
        <v>74</v>
      </c>
      <c r="BJ634" s="2" t="s">
        <v>74</v>
      </c>
      <c r="BK634" s="2" t="s">
        <v>74</v>
      </c>
      <c r="BL634" s="2" t="s">
        <v>74</v>
      </c>
      <c r="BM634" s="2" t="s">
        <v>74</v>
      </c>
      <c r="BN634" s="2">
        <v>16568640</v>
      </c>
      <c r="BO634" s="2" t="s">
        <v>74</v>
      </c>
      <c r="BP634" s="2" t="s">
        <v>74</v>
      </c>
      <c r="BQ634" s="2" t="s">
        <v>74</v>
      </c>
      <c r="BR634" s="2" t="s">
        <v>74</v>
      </c>
      <c r="BS634" s="2" t="s">
        <v>7251</v>
      </c>
      <c r="BT634" s="2" t="str">
        <f>HYPERLINK("https%3A%2F%2Fwww.webofscience.com%2Fwos%2Fwoscc%2Ffull-record%2FWOS:000235477400015","View Full Record in Web of Science")</f>
        <v>View Full Record in Web of Science</v>
      </c>
    </row>
    <row r="635" spans="1:72" s="2" customFormat="1" x14ac:dyDescent="0.4">
      <c r="A635" s="2" t="s">
        <v>72</v>
      </c>
      <c r="B635" s="2" t="s">
        <v>8434</v>
      </c>
      <c r="C635" s="2" t="s">
        <v>74</v>
      </c>
      <c r="D635" s="2" t="s">
        <v>74</v>
      </c>
      <c r="E635" s="2" t="s">
        <v>74</v>
      </c>
      <c r="F635" s="2" t="s">
        <v>8434</v>
      </c>
      <c r="G635" s="2" t="s">
        <v>74</v>
      </c>
      <c r="H635" s="2" t="s">
        <v>74</v>
      </c>
      <c r="I635" s="2" t="s">
        <v>8435</v>
      </c>
      <c r="J635" s="2" t="s">
        <v>140</v>
      </c>
      <c r="K635" s="2" t="s">
        <v>74</v>
      </c>
      <c r="L635" s="2" t="s">
        <v>74</v>
      </c>
      <c r="M635" s="2" t="s">
        <v>74</v>
      </c>
      <c r="N635" s="2" t="s">
        <v>74</v>
      </c>
      <c r="O635" s="2" t="s">
        <v>74</v>
      </c>
      <c r="P635" s="2" t="s">
        <v>74</v>
      </c>
      <c r="Q635" s="2" t="s">
        <v>74</v>
      </c>
      <c r="R635" s="2" t="s">
        <v>74</v>
      </c>
      <c r="S635" s="2" t="s">
        <v>74</v>
      </c>
      <c r="T635" s="2" t="s">
        <v>74</v>
      </c>
      <c r="U635" s="2" t="s">
        <v>74</v>
      </c>
      <c r="V635" s="5" t="s">
        <v>8436</v>
      </c>
      <c r="W635" s="2" t="s">
        <v>74</v>
      </c>
      <c r="X635" s="2" t="s">
        <v>74</v>
      </c>
      <c r="Y635" s="2" t="s">
        <v>74</v>
      </c>
      <c r="Z635" s="2" t="s">
        <v>74</v>
      </c>
      <c r="AA635" s="2" t="s">
        <v>74</v>
      </c>
      <c r="AB635" s="2" t="s">
        <v>74</v>
      </c>
      <c r="AC635" s="2" t="s">
        <v>74</v>
      </c>
      <c r="AD635" s="2" t="s">
        <v>74</v>
      </c>
      <c r="AE635" s="2" t="s">
        <v>74</v>
      </c>
      <c r="AF635" s="2" t="s">
        <v>74</v>
      </c>
      <c r="AG635" s="2" t="s">
        <v>74</v>
      </c>
      <c r="AH635" s="2" t="s">
        <v>74</v>
      </c>
      <c r="AI635" s="2" t="s">
        <v>74</v>
      </c>
      <c r="AJ635" s="2" t="s">
        <v>74</v>
      </c>
      <c r="AK635" s="2" t="s">
        <v>74</v>
      </c>
      <c r="AL635" s="2" t="s">
        <v>74</v>
      </c>
      <c r="AM635" s="2" t="s">
        <v>74</v>
      </c>
      <c r="AN635" s="2" t="s">
        <v>74</v>
      </c>
      <c r="AO635" s="2" t="s">
        <v>143</v>
      </c>
      <c r="AP635" s="2" t="s">
        <v>144</v>
      </c>
      <c r="AQ635" s="2" t="s">
        <v>74</v>
      </c>
      <c r="AR635" s="2" t="s">
        <v>74</v>
      </c>
      <c r="AS635" s="2" t="s">
        <v>74</v>
      </c>
      <c r="AT635" s="2" t="s">
        <v>102</v>
      </c>
      <c r="AU635" s="2">
        <v>2002</v>
      </c>
      <c r="AV635" s="2">
        <v>63</v>
      </c>
      <c r="AW635" s="2" t="s">
        <v>74</v>
      </c>
      <c r="AX635" s="2">
        <v>6</v>
      </c>
      <c r="AY635" s="2" t="s">
        <v>74</v>
      </c>
      <c r="AZ635" s="2" t="s">
        <v>74</v>
      </c>
      <c r="BA635" s="2" t="s">
        <v>74</v>
      </c>
      <c r="BB635" s="2">
        <v>1135</v>
      </c>
      <c r="BC635" s="2">
        <v>1142</v>
      </c>
      <c r="BD635" s="2" t="s">
        <v>74</v>
      </c>
      <c r="BE635" s="2" t="s">
        <v>8437</v>
      </c>
      <c r="BF635" s="2" t="str">
        <f>HYPERLINK("http://dx.doi.org/10.1006/anbe.2002.3009","http://dx.doi.org/10.1006/anbe.2002.3009")</f>
        <v>http://dx.doi.org/10.1006/anbe.2002.3009</v>
      </c>
      <c r="BG635" s="2" t="s">
        <v>74</v>
      </c>
      <c r="BH635" s="2" t="s">
        <v>74</v>
      </c>
      <c r="BI635" s="2" t="s">
        <v>74</v>
      </c>
      <c r="BJ635" s="2" t="s">
        <v>74</v>
      </c>
      <c r="BK635" s="2" t="s">
        <v>74</v>
      </c>
      <c r="BL635" s="2" t="s">
        <v>74</v>
      </c>
      <c r="BM635" s="2" t="s">
        <v>74</v>
      </c>
      <c r="BN635" s="2" t="s">
        <v>74</v>
      </c>
      <c r="BO635" s="2" t="s">
        <v>74</v>
      </c>
      <c r="BP635" s="2" t="s">
        <v>74</v>
      </c>
      <c r="BQ635" s="2" t="s">
        <v>74</v>
      </c>
      <c r="BR635" s="2" t="s">
        <v>74</v>
      </c>
      <c r="BS635" s="2" t="s">
        <v>8438</v>
      </c>
      <c r="BT635" s="2" t="str">
        <f>HYPERLINK("https%3A%2F%2Fwww.webofscience.com%2Fwos%2Fwoscc%2Ffull-record%2FWOS:000177715700012","View Full Record in Web of Science")</f>
        <v>View Full Record in Web of Science</v>
      </c>
    </row>
    <row r="636" spans="1:72" s="2" customFormat="1" x14ac:dyDescent="0.4">
      <c r="A636" s="2" t="s">
        <v>72</v>
      </c>
      <c r="B636" s="2" t="s">
        <v>453</v>
      </c>
      <c r="C636" s="2" t="s">
        <v>74</v>
      </c>
      <c r="D636" s="2" t="s">
        <v>74</v>
      </c>
      <c r="E636" s="2" t="s">
        <v>74</v>
      </c>
      <c r="F636" s="2" t="s">
        <v>454</v>
      </c>
      <c r="G636" s="2" t="s">
        <v>74</v>
      </c>
      <c r="H636" s="2" t="s">
        <v>74</v>
      </c>
      <c r="I636" s="2" t="s">
        <v>455</v>
      </c>
      <c r="J636" s="2" t="s">
        <v>456</v>
      </c>
      <c r="K636" s="2" t="s">
        <v>74</v>
      </c>
      <c r="L636" s="2" t="s">
        <v>74</v>
      </c>
      <c r="M636" s="2" t="s">
        <v>74</v>
      </c>
      <c r="N636" s="2" t="s">
        <v>74</v>
      </c>
      <c r="O636" s="2" t="s">
        <v>74</v>
      </c>
      <c r="P636" s="2" t="s">
        <v>74</v>
      </c>
      <c r="Q636" s="2" t="s">
        <v>74</v>
      </c>
      <c r="R636" s="2" t="s">
        <v>74</v>
      </c>
      <c r="S636" s="2" t="s">
        <v>74</v>
      </c>
      <c r="T636" s="2" t="s">
        <v>74</v>
      </c>
      <c r="U636" s="2" t="s">
        <v>74</v>
      </c>
      <c r="V636" s="5" t="s">
        <v>457</v>
      </c>
      <c r="W636" s="2" t="s">
        <v>74</v>
      </c>
      <c r="X636" s="2" t="s">
        <v>74</v>
      </c>
      <c r="Y636" s="2" t="s">
        <v>74</v>
      </c>
      <c r="Z636" s="2" t="s">
        <v>74</v>
      </c>
      <c r="AA636" s="2" t="s">
        <v>458</v>
      </c>
      <c r="AB636" s="2" t="s">
        <v>459</v>
      </c>
      <c r="AC636" s="2" t="s">
        <v>74</v>
      </c>
      <c r="AD636" s="2" t="s">
        <v>74</v>
      </c>
      <c r="AE636" s="2" t="s">
        <v>74</v>
      </c>
      <c r="AF636" s="2" t="s">
        <v>74</v>
      </c>
      <c r="AG636" s="2" t="s">
        <v>74</v>
      </c>
      <c r="AH636" s="2" t="s">
        <v>74</v>
      </c>
      <c r="AI636" s="2" t="s">
        <v>74</v>
      </c>
      <c r="AJ636" s="2" t="s">
        <v>74</v>
      </c>
      <c r="AK636" s="2" t="s">
        <v>74</v>
      </c>
      <c r="AL636" s="2" t="s">
        <v>74</v>
      </c>
      <c r="AM636" s="2" t="s">
        <v>74</v>
      </c>
      <c r="AN636" s="2" t="s">
        <v>74</v>
      </c>
      <c r="AO636" s="2" t="s">
        <v>460</v>
      </c>
      <c r="AP636" s="2" t="s">
        <v>461</v>
      </c>
      <c r="AQ636" s="2" t="s">
        <v>74</v>
      </c>
      <c r="AR636" s="2" t="s">
        <v>74</v>
      </c>
      <c r="AS636" s="2" t="s">
        <v>74</v>
      </c>
      <c r="AT636" s="2" t="s">
        <v>213</v>
      </c>
      <c r="AU636" s="2">
        <v>2012</v>
      </c>
      <c r="AV636" s="2">
        <v>288</v>
      </c>
      <c r="AW636" s="2">
        <v>3</v>
      </c>
      <c r="AX636" s="2" t="s">
        <v>74</v>
      </c>
      <c r="AY636" s="2" t="s">
        <v>74</v>
      </c>
      <c r="AZ636" s="2" t="s">
        <v>74</v>
      </c>
      <c r="BA636" s="2" t="s">
        <v>74</v>
      </c>
      <c r="BB636" s="2">
        <v>207</v>
      </c>
      <c r="BC636" s="2">
        <v>213</v>
      </c>
      <c r="BD636" s="2" t="s">
        <v>74</v>
      </c>
      <c r="BE636" s="2" t="s">
        <v>462</v>
      </c>
      <c r="BF636" s="2" t="str">
        <f>HYPERLINK("http://dx.doi.org/10.1111/j.1469-7998.2012.00943.x","http://dx.doi.org/10.1111/j.1469-7998.2012.00943.x")</f>
        <v>http://dx.doi.org/10.1111/j.1469-7998.2012.00943.x</v>
      </c>
      <c r="BG636" s="2" t="s">
        <v>74</v>
      </c>
      <c r="BH636" s="2" t="s">
        <v>74</v>
      </c>
      <c r="BI636" s="2" t="s">
        <v>74</v>
      </c>
      <c r="BJ636" s="2" t="s">
        <v>74</v>
      </c>
      <c r="BK636" s="2" t="s">
        <v>74</v>
      </c>
      <c r="BL636" s="2" t="s">
        <v>74</v>
      </c>
      <c r="BM636" s="2" t="s">
        <v>74</v>
      </c>
      <c r="BN636" s="2" t="s">
        <v>74</v>
      </c>
      <c r="BO636" s="2" t="s">
        <v>74</v>
      </c>
      <c r="BP636" s="2" t="s">
        <v>74</v>
      </c>
      <c r="BQ636" s="2" t="s">
        <v>74</v>
      </c>
      <c r="BR636" s="2" t="s">
        <v>74</v>
      </c>
      <c r="BS636" s="2" t="s">
        <v>463</v>
      </c>
      <c r="BT636" s="2" t="str">
        <f>HYPERLINK("https%3A%2F%2Fwww.webofscience.com%2Fwos%2Fwoscc%2Ffull-record%2FWOS:000310330900007","View Full Record in Web of Science")</f>
        <v>View Full Record in Web of Science</v>
      </c>
    </row>
    <row r="637" spans="1:72" s="2" customFormat="1" x14ac:dyDescent="0.4">
      <c r="A637" s="2" t="s">
        <v>72</v>
      </c>
      <c r="B637" s="2" t="s">
        <v>5987</v>
      </c>
      <c r="C637" s="2" t="s">
        <v>74</v>
      </c>
      <c r="D637" s="2" t="s">
        <v>74</v>
      </c>
      <c r="E637" s="2" t="s">
        <v>74</v>
      </c>
      <c r="F637" s="2" t="s">
        <v>5987</v>
      </c>
      <c r="G637" s="2" t="s">
        <v>74</v>
      </c>
      <c r="H637" s="2" t="s">
        <v>74</v>
      </c>
      <c r="I637" s="2" t="s">
        <v>5988</v>
      </c>
      <c r="J637" s="2" t="s">
        <v>610</v>
      </c>
      <c r="K637" s="2" t="s">
        <v>74</v>
      </c>
      <c r="L637" s="2" t="s">
        <v>74</v>
      </c>
      <c r="M637" s="2" t="s">
        <v>74</v>
      </c>
      <c r="N637" s="2" t="s">
        <v>74</v>
      </c>
      <c r="O637" s="2" t="s">
        <v>74</v>
      </c>
      <c r="P637" s="2" t="s">
        <v>74</v>
      </c>
      <c r="Q637" s="2" t="s">
        <v>74</v>
      </c>
      <c r="R637" s="2" t="s">
        <v>74</v>
      </c>
      <c r="S637" s="2" t="s">
        <v>74</v>
      </c>
      <c r="T637" s="2" t="s">
        <v>74</v>
      </c>
      <c r="U637" s="2" t="s">
        <v>74</v>
      </c>
      <c r="V637" s="5" t="s">
        <v>5989</v>
      </c>
      <c r="W637" s="2" t="s">
        <v>74</v>
      </c>
      <c r="X637" s="2" t="s">
        <v>74</v>
      </c>
      <c r="Y637" s="2" t="s">
        <v>74</v>
      </c>
      <c r="Z637" s="2" t="s">
        <v>74</v>
      </c>
      <c r="AA637" s="2" t="s">
        <v>74</v>
      </c>
      <c r="AB637" s="2" t="s">
        <v>74</v>
      </c>
      <c r="AC637" s="2" t="s">
        <v>74</v>
      </c>
      <c r="AD637" s="2" t="s">
        <v>74</v>
      </c>
      <c r="AE637" s="2" t="s">
        <v>74</v>
      </c>
      <c r="AF637" s="2" t="s">
        <v>74</v>
      </c>
      <c r="AG637" s="2" t="s">
        <v>74</v>
      </c>
      <c r="AH637" s="2" t="s">
        <v>74</v>
      </c>
      <c r="AI637" s="2" t="s">
        <v>74</v>
      </c>
      <c r="AJ637" s="2" t="s">
        <v>74</v>
      </c>
      <c r="AK637" s="2" t="s">
        <v>74</v>
      </c>
      <c r="AL637" s="2" t="s">
        <v>74</v>
      </c>
      <c r="AM637" s="2" t="s">
        <v>74</v>
      </c>
      <c r="AN637" s="2" t="s">
        <v>74</v>
      </c>
      <c r="AO637" s="2" t="s">
        <v>614</v>
      </c>
      <c r="AP637" s="2" t="s">
        <v>74</v>
      </c>
      <c r="AQ637" s="2" t="s">
        <v>74</v>
      </c>
      <c r="AR637" s="2" t="s">
        <v>74</v>
      </c>
      <c r="AS637" s="2" t="s">
        <v>74</v>
      </c>
      <c r="AT637" s="2" t="s">
        <v>175</v>
      </c>
      <c r="AU637" s="2">
        <v>1995</v>
      </c>
      <c r="AV637" s="2">
        <v>101</v>
      </c>
      <c r="AW637" s="2">
        <v>2</v>
      </c>
      <c r="AX637" s="2" t="s">
        <v>74</v>
      </c>
      <c r="AY637" s="2" t="s">
        <v>74</v>
      </c>
      <c r="AZ637" s="2" t="s">
        <v>74</v>
      </c>
      <c r="BA637" s="2" t="s">
        <v>74</v>
      </c>
      <c r="BB637" s="2">
        <v>121</v>
      </c>
      <c r="BC637" s="2">
        <v>129</v>
      </c>
      <c r="BD637" s="2" t="s">
        <v>74</v>
      </c>
      <c r="BE637" s="2" t="s">
        <v>74</v>
      </c>
      <c r="BF637" s="2" t="s">
        <v>74</v>
      </c>
      <c r="BG637" s="2" t="s">
        <v>74</v>
      </c>
      <c r="BH637" s="2" t="s">
        <v>74</v>
      </c>
      <c r="BI637" s="2" t="s">
        <v>74</v>
      </c>
      <c r="BJ637" s="2" t="s">
        <v>74</v>
      </c>
      <c r="BK637" s="2" t="s">
        <v>74</v>
      </c>
      <c r="BL637" s="2" t="s">
        <v>74</v>
      </c>
      <c r="BM637" s="2" t="s">
        <v>74</v>
      </c>
      <c r="BN637" s="2" t="s">
        <v>74</v>
      </c>
      <c r="BO637" s="2" t="s">
        <v>74</v>
      </c>
      <c r="BP637" s="2" t="s">
        <v>74</v>
      </c>
      <c r="BQ637" s="2" t="s">
        <v>74</v>
      </c>
      <c r="BR637" s="2" t="s">
        <v>74</v>
      </c>
      <c r="BS637" s="2" t="s">
        <v>5990</v>
      </c>
      <c r="BT637" s="2" t="str">
        <f>HYPERLINK("https%3A%2F%2Fwww.webofscience.com%2Fwos%2Fwoscc%2Ffull-record%2FWOS:A1995RW16700004","View Full Record in Web of Science")</f>
        <v>View Full Record in Web of Science</v>
      </c>
    </row>
    <row r="638" spans="1:72" s="2" customFormat="1" x14ac:dyDescent="0.4">
      <c r="A638" s="2" t="s">
        <v>72</v>
      </c>
      <c r="B638" s="2" t="s">
        <v>6723</v>
      </c>
      <c r="C638" s="2" t="s">
        <v>74</v>
      </c>
      <c r="D638" s="2" t="s">
        <v>74</v>
      </c>
      <c r="E638" s="2" t="s">
        <v>74</v>
      </c>
      <c r="F638" s="2" t="s">
        <v>6724</v>
      </c>
      <c r="G638" s="2" t="s">
        <v>74</v>
      </c>
      <c r="H638" s="2" t="s">
        <v>74</v>
      </c>
      <c r="I638" s="2" t="s">
        <v>6725</v>
      </c>
      <c r="J638" s="2" t="s">
        <v>77</v>
      </c>
      <c r="K638" s="2" t="s">
        <v>74</v>
      </c>
      <c r="L638" s="2" t="s">
        <v>74</v>
      </c>
      <c r="M638" s="2" t="s">
        <v>74</v>
      </c>
      <c r="N638" s="2" t="s">
        <v>74</v>
      </c>
      <c r="O638" s="2" t="s">
        <v>74</v>
      </c>
      <c r="P638" s="2" t="s">
        <v>74</v>
      </c>
      <c r="Q638" s="2" t="s">
        <v>74</v>
      </c>
      <c r="R638" s="2" t="s">
        <v>74</v>
      </c>
      <c r="S638" s="2" t="s">
        <v>74</v>
      </c>
      <c r="T638" s="2" t="s">
        <v>74</v>
      </c>
      <c r="U638" s="2" t="s">
        <v>74</v>
      </c>
      <c r="V638" s="5" t="s">
        <v>6726</v>
      </c>
      <c r="W638" s="2" t="s">
        <v>74</v>
      </c>
      <c r="X638" s="2" t="s">
        <v>74</v>
      </c>
      <c r="Y638" s="2" t="s">
        <v>74</v>
      </c>
      <c r="Z638" s="2" t="s">
        <v>74</v>
      </c>
      <c r="AA638" s="2" t="s">
        <v>6727</v>
      </c>
      <c r="AB638" s="2" t="s">
        <v>6728</v>
      </c>
      <c r="AC638" s="2" t="s">
        <v>74</v>
      </c>
      <c r="AD638" s="2" t="s">
        <v>74</v>
      </c>
      <c r="AE638" s="2" t="s">
        <v>74</v>
      </c>
      <c r="AF638" s="2" t="s">
        <v>74</v>
      </c>
      <c r="AG638" s="2" t="s">
        <v>74</v>
      </c>
      <c r="AH638" s="2" t="s">
        <v>74</v>
      </c>
      <c r="AI638" s="2" t="s">
        <v>74</v>
      </c>
      <c r="AJ638" s="2" t="s">
        <v>74</v>
      </c>
      <c r="AK638" s="2" t="s">
        <v>74</v>
      </c>
      <c r="AL638" s="2" t="s">
        <v>74</v>
      </c>
      <c r="AM638" s="2" t="s">
        <v>74</v>
      </c>
      <c r="AN638" s="2" t="s">
        <v>74</v>
      </c>
      <c r="AO638" s="2" t="s">
        <v>81</v>
      </c>
      <c r="AP638" s="2" t="s">
        <v>82</v>
      </c>
      <c r="AQ638" s="2" t="s">
        <v>74</v>
      </c>
      <c r="AR638" s="2" t="s">
        <v>74</v>
      </c>
      <c r="AS638" s="2" t="s">
        <v>74</v>
      </c>
      <c r="AT638" s="2" t="s">
        <v>74</v>
      </c>
      <c r="AU638" s="2">
        <v>2010</v>
      </c>
      <c r="AV638" s="2">
        <v>147</v>
      </c>
      <c r="AW638" s="2">
        <v>1</v>
      </c>
      <c r="AX638" s="2" t="s">
        <v>74</v>
      </c>
      <c r="AY638" s="2" t="s">
        <v>74</v>
      </c>
      <c r="AZ638" s="2" t="s">
        <v>74</v>
      </c>
      <c r="BA638" s="2" t="s">
        <v>74</v>
      </c>
      <c r="BB638" s="2">
        <v>19</v>
      </c>
      <c r="BC638" s="2">
        <v>36</v>
      </c>
      <c r="BD638" s="2" t="s">
        <v>74</v>
      </c>
      <c r="BE638" s="2" t="s">
        <v>6729</v>
      </c>
      <c r="BF638" s="2" t="str">
        <f>HYPERLINK("http://dx.doi.org/10.1163/000579509X12483520922043","http://dx.doi.org/10.1163/000579509X12483520922043")</f>
        <v>http://dx.doi.org/10.1163/000579509X12483520922043</v>
      </c>
      <c r="BG638" s="2" t="s">
        <v>74</v>
      </c>
      <c r="BH638" s="2" t="s">
        <v>74</v>
      </c>
      <c r="BI638" s="2" t="s">
        <v>74</v>
      </c>
      <c r="BJ638" s="2" t="s">
        <v>74</v>
      </c>
      <c r="BK638" s="2" t="s">
        <v>74</v>
      </c>
      <c r="BL638" s="2" t="s">
        <v>74</v>
      </c>
      <c r="BM638" s="2" t="s">
        <v>74</v>
      </c>
      <c r="BN638" s="2" t="s">
        <v>74</v>
      </c>
      <c r="BO638" s="2" t="s">
        <v>74</v>
      </c>
      <c r="BP638" s="2" t="s">
        <v>74</v>
      </c>
      <c r="BQ638" s="2" t="s">
        <v>74</v>
      </c>
      <c r="BR638" s="2" t="s">
        <v>74</v>
      </c>
      <c r="BS638" s="2" t="s">
        <v>6730</v>
      </c>
      <c r="BT638" s="2" t="str">
        <f>HYPERLINK("https%3A%2F%2Fwww.webofscience.com%2Fwos%2Fwoscc%2Ffull-record%2FWOS:000275078900002","View Full Record in Web of Science")</f>
        <v>View Full Record in Web of Science</v>
      </c>
    </row>
    <row r="639" spans="1:72" s="2" customFormat="1" x14ac:dyDescent="0.4">
      <c r="A639" s="2" t="s">
        <v>72</v>
      </c>
      <c r="B639" s="2" t="s">
        <v>4493</v>
      </c>
      <c r="C639" s="2" t="s">
        <v>74</v>
      </c>
      <c r="D639" s="2" t="s">
        <v>74</v>
      </c>
      <c r="E639" s="2" t="s">
        <v>74</v>
      </c>
      <c r="F639" s="2" t="s">
        <v>4493</v>
      </c>
      <c r="G639" s="2" t="s">
        <v>74</v>
      </c>
      <c r="H639" s="2" t="s">
        <v>74</v>
      </c>
      <c r="I639" s="2" t="s">
        <v>4494</v>
      </c>
      <c r="J639" s="2" t="s">
        <v>2847</v>
      </c>
      <c r="K639" s="2" t="s">
        <v>74</v>
      </c>
      <c r="L639" s="2" t="s">
        <v>74</v>
      </c>
      <c r="M639" s="2" t="s">
        <v>74</v>
      </c>
      <c r="N639" s="2" t="s">
        <v>74</v>
      </c>
      <c r="O639" s="2" t="s">
        <v>74</v>
      </c>
      <c r="P639" s="2" t="s">
        <v>74</v>
      </c>
      <c r="Q639" s="2" t="s">
        <v>74</v>
      </c>
      <c r="R639" s="2" t="s">
        <v>74</v>
      </c>
      <c r="S639" s="2" t="s">
        <v>74</v>
      </c>
      <c r="T639" s="2" t="s">
        <v>74</v>
      </c>
      <c r="U639" s="2" t="s">
        <v>74</v>
      </c>
      <c r="V639" s="5" t="s">
        <v>4495</v>
      </c>
      <c r="W639" s="2" t="s">
        <v>74</v>
      </c>
      <c r="X639" s="2" t="s">
        <v>74</v>
      </c>
      <c r="Y639" s="2" t="s">
        <v>74</v>
      </c>
      <c r="Z639" s="2" t="s">
        <v>74</v>
      </c>
      <c r="AA639" s="2" t="s">
        <v>74</v>
      </c>
      <c r="AB639" s="2" t="s">
        <v>74</v>
      </c>
      <c r="AC639" s="2" t="s">
        <v>74</v>
      </c>
      <c r="AD639" s="2" t="s">
        <v>74</v>
      </c>
      <c r="AE639" s="2" t="s">
        <v>74</v>
      </c>
      <c r="AF639" s="2" t="s">
        <v>74</v>
      </c>
      <c r="AG639" s="2" t="s">
        <v>74</v>
      </c>
      <c r="AH639" s="2" t="s">
        <v>74</v>
      </c>
      <c r="AI639" s="2" t="s">
        <v>74</v>
      </c>
      <c r="AJ639" s="2" t="s">
        <v>74</v>
      </c>
      <c r="AK639" s="2" t="s">
        <v>74</v>
      </c>
      <c r="AL639" s="2" t="s">
        <v>74</v>
      </c>
      <c r="AM639" s="2" t="s">
        <v>74</v>
      </c>
      <c r="AN639" s="2" t="s">
        <v>74</v>
      </c>
      <c r="AO639" s="2" t="s">
        <v>2849</v>
      </c>
      <c r="AP639" s="2" t="s">
        <v>74</v>
      </c>
      <c r="AQ639" s="2" t="s">
        <v>74</v>
      </c>
      <c r="AR639" s="2" t="s">
        <v>74</v>
      </c>
      <c r="AS639" s="2" t="s">
        <v>74</v>
      </c>
      <c r="AT639" s="2" t="s">
        <v>4496</v>
      </c>
      <c r="AU639" s="2">
        <v>1995</v>
      </c>
      <c r="AV639" s="2">
        <v>186</v>
      </c>
      <c r="AW639" s="2">
        <v>1</v>
      </c>
      <c r="AX639" s="2" t="s">
        <v>74</v>
      </c>
      <c r="AY639" s="2" t="s">
        <v>74</v>
      </c>
      <c r="AZ639" s="2" t="s">
        <v>74</v>
      </c>
      <c r="BA639" s="2" t="s">
        <v>74</v>
      </c>
      <c r="BB639" s="2">
        <v>17</v>
      </c>
      <c r="BC639" s="2">
        <v>31</v>
      </c>
      <c r="BD639" s="2" t="s">
        <v>74</v>
      </c>
      <c r="BE639" s="2" t="s">
        <v>4497</v>
      </c>
      <c r="BF639" s="2" t="str">
        <f>HYPERLINK("http://dx.doi.org/10.1016/0022-0981(94)00147-6","http://dx.doi.org/10.1016/0022-0981(94)00147-6")</f>
        <v>http://dx.doi.org/10.1016/0022-0981(94)00147-6</v>
      </c>
      <c r="BG639" s="2" t="s">
        <v>74</v>
      </c>
      <c r="BH639" s="2" t="s">
        <v>74</v>
      </c>
      <c r="BI639" s="2" t="s">
        <v>74</v>
      </c>
      <c r="BJ639" s="2" t="s">
        <v>74</v>
      </c>
      <c r="BK639" s="2" t="s">
        <v>74</v>
      </c>
      <c r="BL639" s="2" t="s">
        <v>74</v>
      </c>
      <c r="BM639" s="2" t="s">
        <v>74</v>
      </c>
      <c r="BN639" s="2" t="s">
        <v>74</v>
      </c>
      <c r="BO639" s="2" t="s">
        <v>74</v>
      </c>
      <c r="BP639" s="2" t="s">
        <v>74</v>
      </c>
      <c r="BQ639" s="2" t="s">
        <v>74</v>
      </c>
      <c r="BR639" s="2" t="s">
        <v>74</v>
      </c>
      <c r="BS639" s="2" t="s">
        <v>4498</v>
      </c>
      <c r="BT639" s="2" t="str">
        <f>HYPERLINK("https%3A%2F%2Fwww.webofscience.com%2Fwos%2Fwoscc%2Ffull-record%2FWOS:A1995QN80300003","View Full Record in Web of Science")</f>
        <v>View Full Record in Web of Science</v>
      </c>
    </row>
    <row r="640" spans="1:72" s="2" customFormat="1" x14ac:dyDescent="0.4">
      <c r="A640" s="2" t="s">
        <v>72</v>
      </c>
      <c r="B640" s="2" t="s">
        <v>3674</v>
      </c>
      <c r="C640" s="2" t="s">
        <v>74</v>
      </c>
      <c r="D640" s="2" t="s">
        <v>74</v>
      </c>
      <c r="E640" s="2" t="s">
        <v>74</v>
      </c>
      <c r="F640" s="2" t="s">
        <v>3675</v>
      </c>
      <c r="G640" s="2" t="s">
        <v>74</v>
      </c>
      <c r="H640" s="2" t="s">
        <v>74</v>
      </c>
      <c r="I640" s="2" t="s">
        <v>3676</v>
      </c>
      <c r="J640" s="2" t="s">
        <v>1812</v>
      </c>
      <c r="K640" s="2" t="s">
        <v>74</v>
      </c>
      <c r="L640" s="2" t="s">
        <v>74</v>
      </c>
      <c r="M640" s="2" t="s">
        <v>74</v>
      </c>
      <c r="N640" s="2" t="s">
        <v>74</v>
      </c>
      <c r="O640" s="2" t="s">
        <v>74</v>
      </c>
      <c r="P640" s="2" t="s">
        <v>74</v>
      </c>
      <c r="Q640" s="2" t="s">
        <v>74</v>
      </c>
      <c r="R640" s="2" t="s">
        <v>74</v>
      </c>
      <c r="S640" s="2" t="s">
        <v>74</v>
      </c>
      <c r="T640" s="2" t="s">
        <v>74</v>
      </c>
      <c r="U640" s="2" t="s">
        <v>74</v>
      </c>
      <c r="V640" s="5" t="s">
        <v>3677</v>
      </c>
      <c r="W640" s="2" t="s">
        <v>74</v>
      </c>
      <c r="X640" s="2" t="s">
        <v>74</v>
      </c>
      <c r="Y640" s="2" t="s">
        <v>74</v>
      </c>
      <c r="Z640" s="2" t="s">
        <v>74</v>
      </c>
      <c r="AA640" s="2" t="s">
        <v>3678</v>
      </c>
      <c r="AB640" s="2" t="s">
        <v>3679</v>
      </c>
      <c r="AC640" s="2" t="s">
        <v>74</v>
      </c>
      <c r="AD640" s="2" t="s">
        <v>74</v>
      </c>
      <c r="AE640" s="2" t="s">
        <v>74</v>
      </c>
      <c r="AF640" s="2" t="s">
        <v>74</v>
      </c>
      <c r="AG640" s="2" t="s">
        <v>74</v>
      </c>
      <c r="AH640" s="2" t="s">
        <v>74</v>
      </c>
      <c r="AI640" s="2" t="s">
        <v>74</v>
      </c>
      <c r="AJ640" s="2" t="s">
        <v>74</v>
      </c>
      <c r="AK640" s="2" t="s">
        <v>74</v>
      </c>
      <c r="AL640" s="2" t="s">
        <v>74</v>
      </c>
      <c r="AM640" s="2" t="s">
        <v>74</v>
      </c>
      <c r="AN640" s="2" t="s">
        <v>74</v>
      </c>
      <c r="AO640" s="2" t="s">
        <v>1814</v>
      </c>
      <c r="AP640" s="2" t="s">
        <v>1815</v>
      </c>
      <c r="AQ640" s="2" t="s">
        <v>74</v>
      </c>
      <c r="AR640" s="2" t="s">
        <v>74</v>
      </c>
      <c r="AS640" s="2" t="s">
        <v>74</v>
      </c>
      <c r="AT640" s="2" t="s">
        <v>102</v>
      </c>
      <c r="AU640" s="2">
        <v>2010</v>
      </c>
      <c r="AV640" s="2">
        <v>44</v>
      </c>
      <c r="AW640" s="2">
        <v>2</v>
      </c>
      <c r="AX640" s="2" t="s">
        <v>74</v>
      </c>
      <c r="AY640" s="2" t="s">
        <v>74</v>
      </c>
      <c r="AZ640" s="2" t="s">
        <v>74</v>
      </c>
      <c r="BA640" s="2" t="s">
        <v>74</v>
      </c>
      <c r="BB640" s="2">
        <v>261</v>
      </c>
      <c r="BC640" s="2">
        <v>271</v>
      </c>
      <c r="BD640" s="2" t="s">
        <v>74</v>
      </c>
      <c r="BE640" s="2" t="s">
        <v>3680</v>
      </c>
      <c r="BF640" s="2" t="str">
        <f>HYPERLINK("http://dx.doi.org/10.1670/08-275.1","http://dx.doi.org/10.1670/08-275.1")</f>
        <v>http://dx.doi.org/10.1670/08-275.1</v>
      </c>
      <c r="BG640" s="2" t="s">
        <v>74</v>
      </c>
      <c r="BH640" s="2" t="s">
        <v>74</v>
      </c>
      <c r="BI640" s="2" t="s">
        <v>74</v>
      </c>
      <c r="BJ640" s="2" t="s">
        <v>74</v>
      </c>
      <c r="BK640" s="2" t="s">
        <v>74</v>
      </c>
      <c r="BL640" s="2" t="s">
        <v>74</v>
      </c>
      <c r="BM640" s="2" t="s">
        <v>74</v>
      </c>
      <c r="BN640" s="2" t="s">
        <v>74</v>
      </c>
      <c r="BO640" s="2" t="s">
        <v>74</v>
      </c>
      <c r="BP640" s="2" t="s">
        <v>74</v>
      </c>
      <c r="BQ640" s="2" t="s">
        <v>74</v>
      </c>
      <c r="BR640" s="2" t="s">
        <v>74</v>
      </c>
      <c r="BS640" s="2" t="s">
        <v>3681</v>
      </c>
      <c r="BT640" s="2" t="str">
        <f>HYPERLINK("https%3A%2F%2Fwww.webofscience.com%2Fwos%2Fwoscc%2Ffull-record%2FWOS:000278297700010","View Full Record in Web of Science")</f>
        <v>View Full Record in Web of Science</v>
      </c>
    </row>
    <row r="641" spans="1:72" s="2" customFormat="1" x14ac:dyDescent="0.4">
      <c r="A641" s="2" t="s">
        <v>72</v>
      </c>
      <c r="B641" s="2" t="s">
        <v>1886</v>
      </c>
      <c r="C641" s="2" t="s">
        <v>74</v>
      </c>
      <c r="D641" s="2" t="s">
        <v>74</v>
      </c>
      <c r="E641" s="2" t="s">
        <v>74</v>
      </c>
      <c r="F641" s="2" t="s">
        <v>1887</v>
      </c>
      <c r="G641" s="2" t="s">
        <v>74</v>
      </c>
      <c r="H641" s="2" t="s">
        <v>74</v>
      </c>
      <c r="I641" s="2" t="s">
        <v>1888</v>
      </c>
      <c r="J641" s="2" t="s">
        <v>129</v>
      </c>
      <c r="K641" s="2" t="s">
        <v>74</v>
      </c>
      <c r="L641" s="2" t="s">
        <v>74</v>
      </c>
      <c r="M641" s="2" t="s">
        <v>74</v>
      </c>
      <c r="N641" s="2" t="s">
        <v>74</v>
      </c>
      <c r="O641" s="2" t="s">
        <v>74</v>
      </c>
      <c r="P641" s="2" t="s">
        <v>74</v>
      </c>
      <c r="Q641" s="2" t="s">
        <v>74</v>
      </c>
      <c r="R641" s="2" t="s">
        <v>74</v>
      </c>
      <c r="S641" s="2" t="s">
        <v>74</v>
      </c>
      <c r="T641" s="2" t="s">
        <v>74</v>
      </c>
      <c r="U641" s="2" t="s">
        <v>74</v>
      </c>
      <c r="V641" s="5" t="s">
        <v>1889</v>
      </c>
      <c r="W641" s="2" t="s">
        <v>74</v>
      </c>
      <c r="X641" s="2" t="s">
        <v>74</v>
      </c>
      <c r="Y641" s="2" t="s">
        <v>74</v>
      </c>
      <c r="Z641" s="2" t="s">
        <v>74</v>
      </c>
      <c r="AA641" s="2" t="s">
        <v>74</v>
      </c>
      <c r="AB641" s="2" t="s">
        <v>74</v>
      </c>
      <c r="AC641" s="2" t="s">
        <v>74</v>
      </c>
      <c r="AD641" s="2" t="s">
        <v>74</v>
      </c>
      <c r="AE641" s="2" t="s">
        <v>74</v>
      </c>
      <c r="AF641" s="2" t="s">
        <v>74</v>
      </c>
      <c r="AG641" s="2" t="s">
        <v>74</v>
      </c>
      <c r="AH641" s="2" t="s">
        <v>74</v>
      </c>
      <c r="AI641" s="2" t="s">
        <v>74</v>
      </c>
      <c r="AJ641" s="2" t="s">
        <v>74</v>
      </c>
      <c r="AK641" s="2" t="s">
        <v>74</v>
      </c>
      <c r="AL641" s="2" t="s">
        <v>74</v>
      </c>
      <c r="AM641" s="2" t="s">
        <v>74</v>
      </c>
      <c r="AN641" s="2" t="s">
        <v>74</v>
      </c>
      <c r="AO641" s="2" t="s">
        <v>132</v>
      </c>
      <c r="AP641" s="2" t="s">
        <v>133</v>
      </c>
      <c r="AQ641" s="2" t="s">
        <v>74</v>
      </c>
      <c r="AR641" s="2" t="s">
        <v>74</v>
      </c>
      <c r="AS641" s="2" t="s">
        <v>74</v>
      </c>
      <c r="AT641" s="2" t="s">
        <v>964</v>
      </c>
      <c r="AU641" s="2">
        <v>2021</v>
      </c>
      <c r="AV641" s="2">
        <v>75</v>
      </c>
      <c r="AW641" s="2">
        <v>2</v>
      </c>
      <c r="AX641" s="2" t="s">
        <v>74</v>
      </c>
      <c r="AY641" s="2" t="s">
        <v>74</v>
      </c>
      <c r="AZ641" s="2" t="s">
        <v>74</v>
      </c>
      <c r="BA641" s="2" t="s">
        <v>74</v>
      </c>
      <c r="BB641" s="2" t="s">
        <v>74</v>
      </c>
      <c r="BC641" s="2" t="s">
        <v>74</v>
      </c>
      <c r="BD641" s="2">
        <v>40</v>
      </c>
      <c r="BE641" s="2" t="s">
        <v>1890</v>
      </c>
      <c r="BF641" s="2" t="str">
        <f>HYPERLINK("http://dx.doi.org/10.1007/s00265-021-02980-y","http://dx.doi.org/10.1007/s00265-021-02980-y")</f>
        <v>http://dx.doi.org/10.1007/s00265-021-02980-y</v>
      </c>
      <c r="BG641" s="2" t="s">
        <v>74</v>
      </c>
      <c r="BH641" s="2" t="s">
        <v>74</v>
      </c>
      <c r="BI641" s="2" t="s">
        <v>74</v>
      </c>
      <c r="BJ641" s="2" t="s">
        <v>74</v>
      </c>
      <c r="BK641" s="2" t="s">
        <v>74</v>
      </c>
      <c r="BL641" s="2" t="s">
        <v>74</v>
      </c>
      <c r="BM641" s="2" t="s">
        <v>74</v>
      </c>
      <c r="BN641" s="2" t="s">
        <v>74</v>
      </c>
      <c r="BO641" s="2" t="s">
        <v>74</v>
      </c>
      <c r="BP641" s="2" t="s">
        <v>74</v>
      </c>
      <c r="BQ641" s="2" t="s">
        <v>74</v>
      </c>
      <c r="BR641" s="2" t="s">
        <v>74</v>
      </c>
      <c r="BS641" s="2" t="s">
        <v>1891</v>
      </c>
      <c r="BT641" s="2" t="str">
        <f>HYPERLINK("https%3A%2F%2Fwww.webofscience.com%2Fwos%2Fwoscc%2Ffull-record%2FWOS:000613234900001","View Full Record in Web of Science")</f>
        <v>View Full Record in Web of Science</v>
      </c>
    </row>
    <row r="642" spans="1:72" s="2" customFormat="1" x14ac:dyDescent="0.4">
      <c r="A642" s="2" t="s">
        <v>72</v>
      </c>
      <c r="B642" s="2" t="s">
        <v>3016</v>
      </c>
      <c r="C642" s="2" t="s">
        <v>74</v>
      </c>
      <c r="D642" s="2" t="s">
        <v>74</v>
      </c>
      <c r="E642" s="2" t="s">
        <v>74</v>
      </c>
      <c r="F642" s="2" t="s">
        <v>3017</v>
      </c>
      <c r="G642" s="2" t="s">
        <v>74</v>
      </c>
      <c r="H642" s="2" t="s">
        <v>74</v>
      </c>
      <c r="I642" s="2" t="s">
        <v>3018</v>
      </c>
      <c r="J642" s="2" t="s">
        <v>201</v>
      </c>
      <c r="K642" s="2" t="s">
        <v>74</v>
      </c>
      <c r="L642" s="2" t="s">
        <v>74</v>
      </c>
      <c r="M642" s="2" t="s">
        <v>74</v>
      </c>
      <c r="N642" s="2" t="s">
        <v>74</v>
      </c>
      <c r="O642" s="2" t="s">
        <v>74</v>
      </c>
      <c r="P642" s="2" t="s">
        <v>74</v>
      </c>
      <c r="Q642" s="2" t="s">
        <v>74</v>
      </c>
      <c r="R642" s="2" t="s">
        <v>74</v>
      </c>
      <c r="S642" s="2" t="s">
        <v>74</v>
      </c>
      <c r="T642" s="2" t="s">
        <v>74</v>
      </c>
      <c r="U642" s="2" t="s">
        <v>74</v>
      </c>
      <c r="V642" s="5" t="s">
        <v>3019</v>
      </c>
      <c r="W642" s="2" t="s">
        <v>74</v>
      </c>
      <c r="X642" s="2" t="s">
        <v>74</v>
      </c>
      <c r="Y642" s="2" t="s">
        <v>74</v>
      </c>
      <c r="Z642" s="2" t="s">
        <v>74</v>
      </c>
      <c r="AA642" s="2" t="s">
        <v>74</v>
      </c>
      <c r="AB642" s="2" t="s">
        <v>74</v>
      </c>
      <c r="AC642" s="2" t="s">
        <v>74</v>
      </c>
      <c r="AD642" s="2" t="s">
        <v>74</v>
      </c>
      <c r="AE642" s="2" t="s">
        <v>74</v>
      </c>
      <c r="AF642" s="2" t="s">
        <v>74</v>
      </c>
      <c r="AG642" s="2" t="s">
        <v>74</v>
      </c>
      <c r="AH642" s="2" t="s">
        <v>74</v>
      </c>
      <c r="AI642" s="2" t="s">
        <v>74</v>
      </c>
      <c r="AJ642" s="2" t="s">
        <v>74</v>
      </c>
      <c r="AK642" s="2" t="s">
        <v>74</v>
      </c>
      <c r="AL642" s="2" t="s">
        <v>74</v>
      </c>
      <c r="AM642" s="2" t="s">
        <v>74</v>
      </c>
      <c r="AN642" s="2" t="s">
        <v>74</v>
      </c>
      <c r="AO642" s="2" t="s">
        <v>203</v>
      </c>
      <c r="AP642" s="2" t="s">
        <v>1192</v>
      </c>
      <c r="AQ642" s="2" t="s">
        <v>74</v>
      </c>
      <c r="AR642" s="2" t="s">
        <v>74</v>
      </c>
      <c r="AS642" s="2" t="s">
        <v>74</v>
      </c>
      <c r="AT642" s="2" t="s">
        <v>123</v>
      </c>
      <c r="AU642" s="2">
        <v>2020</v>
      </c>
      <c r="AV642" s="2">
        <v>96</v>
      </c>
      <c r="AW642" s="2">
        <v>3</v>
      </c>
      <c r="AX642" s="2" t="s">
        <v>74</v>
      </c>
      <c r="AY642" s="2" t="s">
        <v>74</v>
      </c>
      <c r="AZ642" s="2" t="s">
        <v>74</v>
      </c>
      <c r="BA642" s="2" t="s">
        <v>74</v>
      </c>
      <c r="BB642" s="2">
        <v>663</v>
      </c>
      <c r="BC642" s="2">
        <v>668</v>
      </c>
      <c r="BD642" s="2" t="s">
        <v>74</v>
      </c>
      <c r="BE642" s="2" t="s">
        <v>3020</v>
      </c>
      <c r="BF642" s="2" t="str">
        <f>HYPERLINK("http://dx.doi.org/10.1111/jfb.14257","http://dx.doi.org/10.1111/jfb.14257")</f>
        <v>http://dx.doi.org/10.1111/jfb.14257</v>
      </c>
      <c r="BG642" s="2" t="s">
        <v>74</v>
      </c>
      <c r="BH642" s="2" t="s">
        <v>3021</v>
      </c>
      <c r="BI642" s="2" t="s">
        <v>74</v>
      </c>
      <c r="BJ642" s="2" t="s">
        <v>74</v>
      </c>
      <c r="BK642" s="2" t="s">
        <v>74</v>
      </c>
      <c r="BL642" s="2" t="s">
        <v>74</v>
      </c>
      <c r="BM642" s="2" t="s">
        <v>74</v>
      </c>
      <c r="BN642" s="2">
        <v>31944298</v>
      </c>
      <c r="BO642" s="2" t="s">
        <v>74</v>
      </c>
      <c r="BP642" s="2" t="s">
        <v>74</v>
      </c>
      <c r="BQ642" s="2" t="s">
        <v>74</v>
      </c>
      <c r="BR642" s="2" t="s">
        <v>74</v>
      </c>
      <c r="BS642" s="2" t="s">
        <v>3022</v>
      </c>
      <c r="BT642" s="2" t="str">
        <f>HYPERLINK("https%3A%2F%2Fwww.webofscience.com%2Fwos%2Fwoscc%2Ffull-record%2FWOS:000509418500001","View Full Record in Web of Science")</f>
        <v>View Full Record in Web of Science</v>
      </c>
    </row>
    <row r="643" spans="1:72" s="2" customFormat="1" x14ac:dyDescent="0.4">
      <c r="A643" s="2" t="s">
        <v>72</v>
      </c>
      <c r="B643" s="2" t="s">
        <v>5660</v>
      </c>
      <c r="C643" s="2" t="s">
        <v>74</v>
      </c>
      <c r="D643" s="2" t="s">
        <v>74</v>
      </c>
      <c r="E643" s="2" t="s">
        <v>74</v>
      </c>
      <c r="F643" s="2" t="s">
        <v>5660</v>
      </c>
      <c r="G643" s="2" t="s">
        <v>74</v>
      </c>
      <c r="H643" s="2" t="s">
        <v>74</v>
      </c>
      <c r="I643" s="2" t="s">
        <v>5661</v>
      </c>
      <c r="J643" s="2" t="s">
        <v>530</v>
      </c>
      <c r="K643" s="2" t="s">
        <v>74</v>
      </c>
      <c r="L643" s="2" t="s">
        <v>74</v>
      </c>
      <c r="M643" s="2" t="s">
        <v>74</v>
      </c>
      <c r="N643" s="2" t="s">
        <v>74</v>
      </c>
      <c r="O643" s="2" t="s">
        <v>74</v>
      </c>
      <c r="P643" s="2" t="s">
        <v>74</v>
      </c>
      <c r="Q643" s="2" t="s">
        <v>74</v>
      </c>
      <c r="R643" s="2" t="s">
        <v>74</v>
      </c>
      <c r="S643" s="2" t="s">
        <v>74</v>
      </c>
      <c r="T643" s="2" t="s">
        <v>74</v>
      </c>
      <c r="U643" s="2" t="s">
        <v>74</v>
      </c>
      <c r="V643" s="5" t="s">
        <v>5662</v>
      </c>
      <c r="W643" s="2" t="s">
        <v>74</v>
      </c>
      <c r="X643" s="2" t="s">
        <v>74</v>
      </c>
      <c r="Y643" s="2" t="s">
        <v>74</v>
      </c>
      <c r="Z643" s="2" t="s">
        <v>74</v>
      </c>
      <c r="AA643" s="2" t="s">
        <v>5663</v>
      </c>
      <c r="AB643" s="2" t="s">
        <v>5664</v>
      </c>
      <c r="AC643" s="2" t="s">
        <v>74</v>
      </c>
      <c r="AD643" s="2" t="s">
        <v>74</v>
      </c>
      <c r="AE643" s="2" t="s">
        <v>74</v>
      </c>
      <c r="AF643" s="2" t="s">
        <v>74</v>
      </c>
      <c r="AG643" s="2" t="s">
        <v>74</v>
      </c>
      <c r="AH643" s="2" t="s">
        <v>74</v>
      </c>
      <c r="AI643" s="2" t="s">
        <v>74</v>
      </c>
      <c r="AJ643" s="2" t="s">
        <v>74</v>
      </c>
      <c r="AK643" s="2" t="s">
        <v>74</v>
      </c>
      <c r="AL643" s="2" t="s">
        <v>74</v>
      </c>
      <c r="AM643" s="2" t="s">
        <v>74</v>
      </c>
      <c r="AN643" s="2" t="s">
        <v>74</v>
      </c>
      <c r="AO643" s="2" t="s">
        <v>532</v>
      </c>
      <c r="AP643" s="2" t="s">
        <v>533</v>
      </c>
      <c r="AQ643" s="2" t="s">
        <v>74</v>
      </c>
      <c r="AR643" s="2" t="s">
        <v>74</v>
      </c>
      <c r="AS643" s="2" t="s">
        <v>74</v>
      </c>
      <c r="AT643" s="2" t="s">
        <v>305</v>
      </c>
      <c r="AU643" s="2">
        <v>2001</v>
      </c>
      <c r="AV643" s="2">
        <v>139</v>
      </c>
      <c r="AW643" s="2">
        <v>6</v>
      </c>
      <c r="AX643" s="2" t="s">
        <v>74</v>
      </c>
      <c r="AY643" s="2" t="s">
        <v>74</v>
      </c>
      <c r="AZ643" s="2" t="s">
        <v>74</v>
      </c>
      <c r="BA643" s="2" t="s">
        <v>74</v>
      </c>
      <c r="BB643" s="2">
        <v>1147</v>
      </c>
      <c r="BC643" s="2">
        <v>1154</v>
      </c>
      <c r="BD643" s="2" t="s">
        <v>74</v>
      </c>
      <c r="BE643" s="2" t="s">
        <v>74</v>
      </c>
      <c r="BF643" s="2" t="s">
        <v>74</v>
      </c>
      <c r="BG643" s="2" t="s">
        <v>74</v>
      </c>
      <c r="BH643" s="2" t="s">
        <v>74</v>
      </c>
      <c r="BI643" s="2" t="s">
        <v>74</v>
      </c>
      <c r="BJ643" s="2" t="s">
        <v>74</v>
      </c>
      <c r="BK643" s="2" t="s">
        <v>74</v>
      </c>
      <c r="BL643" s="2" t="s">
        <v>74</v>
      </c>
      <c r="BM643" s="2" t="s">
        <v>74</v>
      </c>
      <c r="BN643" s="2" t="s">
        <v>74</v>
      </c>
      <c r="BO643" s="2" t="s">
        <v>74</v>
      </c>
      <c r="BP643" s="2" t="s">
        <v>74</v>
      </c>
      <c r="BQ643" s="2" t="s">
        <v>74</v>
      </c>
      <c r="BR643" s="2" t="s">
        <v>74</v>
      </c>
      <c r="BS643" s="2" t="s">
        <v>5665</v>
      </c>
      <c r="BT643" s="2" t="str">
        <f>HYPERLINK("https%3A%2F%2Fwww.webofscience.com%2Fwos%2Fwoscc%2Ffull-record%2FWOS:000173168700014","View Full Record in Web of Science")</f>
        <v>View Full Record in Web of Science</v>
      </c>
    </row>
    <row r="644" spans="1:72" s="2" customFormat="1" x14ac:dyDescent="0.4">
      <c r="A644" s="2" t="s">
        <v>72</v>
      </c>
      <c r="B644" s="2" t="s">
        <v>2586</v>
      </c>
      <c r="C644" s="2" t="s">
        <v>74</v>
      </c>
      <c r="D644" s="2" t="s">
        <v>74</v>
      </c>
      <c r="E644" s="2" t="s">
        <v>74</v>
      </c>
      <c r="F644" s="2" t="s">
        <v>2587</v>
      </c>
      <c r="G644" s="2" t="s">
        <v>74</v>
      </c>
      <c r="H644" s="2" t="s">
        <v>74</v>
      </c>
      <c r="I644" s="2" t="s">
        <v>2588</v>
      </c>
      <c r="J644" s="2" t="s">
        <v>824</v>
      </c>
      <c r="K644" s="2" t="s">
        <v>74</v>
      </c>
      <c r="L644" s="2" t="s">
        <v>74</v>
      </c>
      <c r="M644" s="2" t="s">
        <v>74</v>
      </c>
      <c r="N644" s="2" t="s">
        <v>74</v>
      </c>
      <c r="O644" s="2" t="s">
        <v>74</v>
      </c>
      <c r="P644" s="2" t="s">
        <v>74</v>
      </c>
      <c r="Q644" s="2" t="s">
        <v>74</v>
      </c>
      <c r="R644" s="2" t="s">
        <v>74</v>
      </c>
      <c r="S644" s="2" t="s">
        <v>74</v>
      </c>
      <c r="T644" s="2" t="s">
        <v>74</v>
      </c>
      <c r="U644" s="2" t="s">
        <v>74</v>
      </c>
      <c r="V644" s="5" t="s">
        <v>2589</v>
      </c>
      <c r="W644" s="2" t="s">
        <v>74</v>
      </c>
      <c r="X644" s="2" t="s">
        <v>74</v>
      </c>
      <c r="Y644" s="2" t="s">
        <v>74</v>
      </c>
      <c r="Z644" s="2" t="s">
        <v>74</v>
      </c>
      <c r="AA644" s="2" t="s">
        <v>2590</v>
      </c>
      <c r="AB644" s="2" t="s">
        <v>2591</v>
      </c>
      <c r="AC644" s="2" t="s">
        <v>74</v>
      </c>
      <c r="AD644" s="2" t="s">
        <v>74</v>
      </c>
      <c r="AE644" s="2" t="s">
        <v>74</v>
      </c>
      <c r="AF644" s="2" t="s">
        <v>74</v>
      </c>
      <c r="AG644" s="2" t="s">
        <v>74</v>
      </c>
      <c r="AH644" s="2" t="s">
        <v>74</v>
      </c>
      <c r="AI644" s="2" t="s">
        <v>74</v>
      </c>
      <c r="AJ644" s="2" t="s">
        <v>74</v>
      </c>
      <c r="AK644" s="2" t="s">
        <v>74</v>
      </c>
      <c r="AL644" s="2" t="s">
        <v>74</v>
      </c>
      <c r="AM644" s="2" t="s">
        <v>74</v>
      </c>
      <c r="AN644" s="2" t="s">
        <v>74</v>
      </c>
      <c r="AO644" s="2" t="s">
        <v>828</v>
      </c>
      <c r="AP644" s="2" t="s">
        <v>829</v>
      </c>
      <c r="AQ644" s="2" t="s">
        <v>74</v>
      </c>
      <c r="AR644" s="2" t="s">
        <v>74</v>
      </c>
      <c r="AS644" s="2" t="s">
        <v>74</v>
      </c>
      <c r="AT644" s="2" t="s">
        <v>213</v>
      </c>
      <c r="AU644" s="2">
        <v>2014</v>
      </c>
      <c r="AV644" s="2">
        <v>83</v>
      </c>
      <c r="AW644" s="2">
        <v>6</v>
      </c>
      <c r="AX644" s="2" t="s">
        <v>74</v>
      </c>
      <c r="AY644" s="2" t="s">
        <v>74</v>
      </c>
      <c r="AZ644" s="2" t="s">
        <v>74</v>
      </c>
      <c r="BA644" s="2" t="s">
        <v>74</v>
      </c>
      <c r="BB644" s="2">
        <v>1490</v>
      </c>
      <c r="BC644" s="2">
        <v>1500</v>
      </c>
      <c r="BD644" s="2" t="s">
        <v>74</v>
      </c>
      <c r="BE644" s="2" t="s">
        <v>2592</v>
      </c>
      <c r="BF644" s="2" t="str">
        <f>HYPERLINK("http://dx.doi.org/10.1111/1365-2656.12252","http://dx.doi.org/10.1111/1365-2656.12252")</f>
        <v>http://dx.doi.org/10.1111/1365-2656.12252</v>
      </c>
      <c r="BG644" s="2" t="s">
        <v>74</v>
      </c>
      <c r="BH644" s="2" t="s">
        <v>74</v>
      </c>
      <c r="BI644" s="2" t="s">
        <v>74</v>
      </c>
      <c r="BJ644" s="2" t="s">
        <v>74</v>
      </c>
      <c r="BK644" s="2" t="s">
        <v>74</v>
      </c>
      <c r="BL644" s="2" t="s">
        <v>74</v>
      </c>
      <c r="BM644" s="2" t="s">
        <v>74</v>
      </c>
      <c r="BN644" s="2">
        <v>24889087</v>
      </c>
      <c r="BO644" s="2" t="s">
        <v>74</v>
      </c>
      <c r="BP644" s="2" t="s">
        <v>74</v>
      </c>
      <c r="BQ644" s="2" t="s">
        <v>74</v>
      </c>
      <c r="BR644" s="2" t="s">
        <v>74</v>
      </c>
      <c r="BS644" s="2" t="s">
        <v>2593</v>
      </c>
      <c r="BT644" s="2" t="str">
        <f>HYPERLINK("https%3A%2F%2Fwww.webofscience.com%2Fwos%2Fwoscc%2Ffull-record%2FWOS:000344339500025","View Full Record in Web of Science")</f>
        <v>View Full Record in Web of Science</v>
      </c>
    </row>
    <row r="645" spans="1:72" s="2" customFormat="1" x14ac:dyDescent="0.4">
      <c r="A645" s="2" t="s">
        <v>72</v>
      </c>
      <c r="B645" s="2" t="s">
        <v>5958</v>
      </c>
      <c r="C645" s="2" t="s">
        <v>74</v>
      </c>
      <c r="D645" s="2" t="s">
        <v>74</v>
      </c>
      <c r="E645" s="2" t="s">
        <v>74</v>
      </c>
      <c r="F645" s="2" t="s">
        <v>5959</v>
      </c>
      <c r="G645" s="2" t="s">
        <v>74</v>
      </c>
      <c r="H645" s="2" t="s">
        <v>74</v>
      </c>
      <c r="I645" s="2" t="s">
        <v>5960</v>
      </c>
      <c r="J645" s="2" t="s">
        <v>5961</v>
      </c>
      <c r="K645" s="2" t="s">
        <v>74</v>
      </c>
      <c r="L645" s="2" t="s">
        <v>74</v>
      </c>
      <c r="M645" s="2" t="s">
        <v>74</v>
      </c>
      <c r="N645" s="2" t="s">
        <v>74</v>
      </c>
      <c r="O645" s="2" t="s">
        <v>74</v>
      </c>
      <c r="P645" s="2" t="s">
        <v>74</v>
      </c>
      <c r="Q645" s="2" t="s">
        <v>74</v>
      </c>
      <c r="R645" s="2" t="s">
        <v>74</v>
      </c>
      <c r="S645" s="2" t="s">
        <v>74</v>
      </c>
      <c r="T645" s="2" t="s">
        <v>74</v>
      </c>
      <c r="U645" s="2" t="s">
        <v>74</v>
      </c>
      <c r="V645" s="5" t="s">
        <v>5962</v>
      </c>
      <c r="W645" s="2" t="s">
        <v>74</v>
      </c>
      <c r="X645" s="2" t="s">
        <v>74</v>
      </c>
      <c r="Y645" s="2" t="s">
        <v>74</v>
      </c>
      <c r="Z645" s="2" t="s">
        <v>74</v>
      </c>
      <c r="AA645" s="2" t="s">
        <v>5963</v>
      </c>
      <c r="AB645" s="2" t="s">
        <v>5964</v>
      </c>
      <c r="AC645" s="2" t="s">
        <v>74</v>
      </c>
      <c r="AD645" s="2" t="s">
        <v>74</v>
      </c>
      <c r="AE645" s="2" t="s">
        <v>74</v>
      </c>
      <c r="AF645" s="2" t="s">
        <v>74</v>
      </c>
      <c r="AG645" s="2" t="s">
        <v>74</v>
      </c>
      <c r="AH645" s="2" t="s">
        <v>74</v>
      </c>
      <c r="AI645" s="2" t="s">
        <v>74</v>
      </c>
      <c r="AJ645" s="2" t="s">
        <v>74</v>
      </c>
      <c r="AK645" s="2" t="s">
        <v>74</v>
      </c>
      <c r="AL645" s="2" t="s">
        <v>74</v>
      </c>
      <c r="AM645" s="2" t="s">
        <v>74</v>
      </c>
      <c r="AN645" s="2" t="s">
        <v>74</v>
      </c>
      <c r="AO645" s="2" t="s">
        <v>5965</v>
      </c>
      <c r="AP645" s="2" t="s">
        <v>5966</v>
      </c>
      <c r="AQ645" s="2" t="s">
        <v>74</v>
      </c>
      <c r="AR645" s="2" t="s">
        <v>74</v>
      </c>
      <c r="AS645" s="2" t="s">
        <v>74</v>
      </c>
      <c r="AT645" s="2" t="s">
        <v>175</v>
      </c>
      <c r="AU645" s="2">
        <v>2015</v>
      </c>
      <c r="AV645" s="2">
        <v>40</v>
      </c>
      <c r="AW645" s="2">
        <v>4</v>
      </c>
      <c r="AX645" s="2" t="s">
        <v>74</v>
      </c>
      <c r="AY645" s="2" t="s">
        <v>74</v>
      </c>
      <c r="AZ645" s="2" t="s">
        <v>74</v>
      </c>
      <c r="BA645" s="2" t="s">
        <v>74</v>
      </c>
      <c r="BB645" s="2">
        <v>881</v>
      </c>
      <c r="BC645" s="2">
        <v>890</v>
      </c>
      <c r="BD645" s="2" t="s">
        <v>74</v>
      </c>
      <c r="BE645" s="2" t="s">
        <v>5967</v>
      </c>
      <c r="BF645" s="2" t="str">
        <f>HYPERLINK("http://dx.doi.org/10.1111/syen.12137","http://dx.doi.org/10.1111/syen.12137")</f>
        <v>http://dx.doi.org/10.1111/syen.12137</v>
      </c>
      <c r="BG645" s="2" t="s">
        <v>74</v>
      </c>
      <c r="BH645" s="2" t="s">
        <v>74</v>
      </c>
      <c r="BI645" s="2" t="s">
        <v>74</v>
      </c>
      <c r="BJ645" s="2" t="s">
        <v>74</v>
      </c>
      <c r="BK645" s="2" t="s">
        <v>74</v>
      </c>
      <c r="BL645" s="2" t="s">
        <v>74</v>
      </c>
      <c r="BM645" s="2" t="s">
        <v>74</v>
      </c>
      <c r="BN645" s="2" t="s">
        <v>74</v>
      </c>
      <c r="BO645" s="2" t="s">
        <v>74</v>
      </c>
      <c r="BP645" s="2" t="s">
        <v>74</v>
      </c>
      <c r="BQ645" s="2" t="s">
        <v>74</v>
      </c>
      <c r="BR645" s="2" t="s">
        <v>74</v>
      </c>
      <c r="BS645" s="2" t="s">
        <v>5968</v>
      </c>
      <c r="BT645" s="2" t="str">
        <f>HYPERLINK("https%3A%2F%2Fwww.webofscience.com%2Fwos%2Fwoscc%2Ffull-record%2FWOS:000360760000010","View Full Record in Web of Science")</f>
        <v>View Full Record in Web of Science</v>
      </c>
    </row>
    <row r="646" spans="1:72" s="2" customFormat="1" x14ac:dyDescent="0.4">
      <c r="A646" s="2" t="s">
        <v>72</v>
      </c>
      <c r="B646" s="2" t="s">
        <v>6433</v>
      </c>
      <c r="C646" s="2" t="s">
        <v>74</v>
      </c>
      <c r="D646" s="2" t="s">
        <v>74</v>
      </c>
      <c r="E646" s="2" t="s">
        <v>74</v>
      </c>
      <c r="F646" s="2" t="s">
        <v>6434</v>
      </c>
      <c r="G646" s="2" t="s">
        <v>74</v>
      </c>
      <c r="H646" s="2" t="s">
        <v>74</v>
      </c>
      <c r="I646" s="2" t="s">
        <v>6435</v>
      </c>
      <c r="J646" s="2" t="s">
        <v>6436</v>
      </c>
      <c r="K646" s="2" t="s">
        <v>74</v>
      </c>
      <c r="L646" s="2" t="s">
        <v>74</v>
      </c>
      <c r="M646" s="2" t="s">
        <v>74</v>
      </c>
      <c r="N646" s="2" t="s">
        <v>74</v>
      </c>
      <c r="O646" s="2" t="s">
        <v>74</v>
      </c>
      <c r="P646" s="2" t="s">
        <v>74</v>
      </c>
      <c r="Q646" s="2" t="s">
        <v>74</v>
      </c>
      <c r="R646" s="2" t="s">
        <v>74</v>
      </c>
      <c r="S646" s="2" t="s">
        <v>74</v>
      </c>
      <c r="T646" s="2" t="s">
        <v>74</v>
      </c>
      <c r="U646" s="2" t="s">
        <v>74</v>
      </c>
      <c r="V646" s="5" t="s">
        <v>6437</v>
      </c>
      <c r="W646" s="2" t="s">
        <v>74</v>
      </c>
      <c r="X646" s="2" t="s">
        <v>74</v>
      </c>
      <c r="Y646" s="2" t="s">
        <v>74</v>
      </c>
      <c r="Z646" s="2" t="s">
        <v>74</v>
      </c>
      <c r="AA646" s="2" t="s">
        <v>6438</v>
      </c>
      <c r="AB646" s="2" t="s">
        <v>74</v>
      </c>
      <c r="AC646" s="2" t="s">
        <v>74</v>
      </c>
      <c r="AD646" s="2" t="s">
        <v>74</v>
      </c>
      <c r="AE646" s="2" t="s">
        <v>74</v>
      </c>
      <c r="AF646" s="2" t="s">
        <v>74</v>
      </c>
      <c r="AG646" s="2" t="s">
        <v>74</v>
      </c>
      <c r="AH646" s="2" t="s">
        <v>74</v>
      </c>
      <c r="AI646" s="2" t="s">
        <v>74</v>
      </c>
      <c r="AJ646" s="2" t="s">
        <v>74</v>
      </c>
      <c r="AK646" s="2" t="s">
        <v>74</v>
      </c>
      <c r="AL646" s="2" t="s">
        <v>74</v>
      </c>
      <c r="AM646" s="2" t="s">
        <v>74</v>
      </c>
      <c r="AN646" s="2" t="s">
        <v>74</v>
      </c>
      <c r="AO646" s="2" t="s">
        <v>6439</v>
      </c>
      <c r="AP646" s="2" t="s">
        <v>74</v>
      </c>
      <c r="AQ646" s="2" t="s">
        <v>74</v>
      </c>
      <c r="AR646" s="2" t="s">
        <v>74</v>
      </c>
      <c r="AS646" s="2" t="s">
        <v>74</v>
      </c>
      <c r="AT646" s="2" t="s">
        <v>4830</v>
      </c>
      <c r="AU646" s="2">
        <v>2007</v>
      </c>
      <c r="AV646" s="2">
        <v>20</v>
      </c>
      <c r="AW646" s="2">
        <v>1</v>
      </c>
      <c r="AX646" s="2" t="s">
        <v>74</v>
      </c>
      <c r="AY646" s="2" t="s">
        <v>74</v>
      </c>
      <c r="AZ646" s="2" t="s">
        <v>74</v>
      </c>
      <c r="BA646" s="2" t="s">
        <v>74</v>
      </c>
      <c r="BB646" s="2">
        <v>72</v>
      </c>
      <c r="BC646" s="2">
        <v>81</v>
      </c>
      <c r="BD646" s="2" t="s">
        <v>74</v>
      </c>
      <c r="BE646" s="2" t="s">
        <v>6440</v>
      </c>
      <c r="BF646" s="2" t="str">
        <f>HYPERLINK("http://dx.doi.org/10.1071/SB06010","http://dx.doi.org/10.1071/SB06010")</f>
        <v>http://dx.doi.org/10.1071/SB06010</v>
      </c>
      <c r="BG646" s="2" t="s">
        <v>74</v>
      </c>
      <c r="BH646" s="2" t="s">
        <v>74</v>
      </c>
      <c r="BI646" s="2" t="s">
        <v>74</v>
      </c>
      <c r="BJ646" s="2" t="s">
        <v>74</v>
      </c>
      <c r="BK646" s="2" t="s">
        <v>74</v>
      </c>
      <c r="BL646" s="2" t="s">
        <v>74</v>
      </c>
      <c r="BM646" s="2" t="s">
        <v>74</v>
      </c>
      <c r="BN646" s="2" t="s">
        <v>74</v>
      </c>
      <c r="BO646" s="2" t="s">
        <v>74</v>
      </c>
      <c r="BP646" s="2" t="s">
        <v>74</v>
      </c>
      <c r="BQ646" s="2" t="s">
        <v>74</v>
      </c>
      <c r="BR646" s="2" t="s">
        <v>74</v>
      </c>
      <c r="BS646" s="2" t="s">
        <v>6441</v>
      </c>
      <c r="BT646" s="2" t="str">
        <f>HYPERLINK("https%3A%2F%2Fwww.webofscience.com%2Fwos%2Fwoscc%2Ffull-record%2FWOS:000244420200005","View Full Record in Web of Science")</f>
        <v>View Full Record in Web of Science</v>
      </c>
    </row>
    <row r="647" spans="1:72" s="2" customFormat="1" x14ac:dyDescent="0.4">
      <c r="A647" s="2" t="s">
        <v>72</v>
      </c>
      <c r="B647" s="2" t="s">
        <v>6134</v>
      </c>
      <c r="C647" s="2" t="s">
        <v>74</v>
      </c>
      <c r="D647" s="2" t="s">
        <v>74</v>
      </c>
      <c r="E647" s="2" t="s">
        <v>74</v>
      </c>
      <c r="F647" s="2" t="s">
        <v>6135</v>
      </c>
      <c r="G647" s="2" t="s">
        <v>74</v>
      </c>
      <c r="H647" s="2" t="s">
        <v>74</v>
      </c>
      <c r="I647" s="2" t="s">
        <v>6136</v>
      </c>
      <c r="J647" s="2" t="s">
        <v>6137</v>
      </c>
      <c r="K647" s="2" t="s">
        <v>74</v>
      </c>
      <c r="L647" s="2" t="s">
        <v>74</v>
      </c>
      <c r="M647" s="2" t="s">
        <v>74</v>
      </c>
      <c r="N647" s="2" t="s">
        <v>74</v>
      </c>
      <c r="O647" s="2" t="s">
        <v>74</v>
      </c>
      <c r="P647" s="2" t="s">
        <v>74</v>
      </c>
      <c r="Q647" s="2" t="s">
        <v>74</v>
      </c>
      <c r="R647" s="2" t="s">
        <v>74</v>
      </c>
      <c r="S647" s="2" t="s">
        <v>74</v>
      </c>
      <c r="T647" s="2" t="s">
        <v>74</v>
      </c>
      <c r="U647" s="2" t="s">
        <v>74</v>
      </c>
      <c r="V647" s="5" t="s">
        <v>6138</v>
      </c>
      <c r="W647" s="2" t="s">
        <v>74</v>
      </c>
      <c r="X647" s="2" t="s">
        <v>74</v>
      </c>
      <c r="Y647" s="2" t="s">
        <v>74</v>
      </c>
      <c r="Z647" s="2" t="s">
        <v>74</v>
      </c>
      <c r="AA647" s="2" t="s">
        <v>6139</v>
      </c>
      <c r="AB647" s="2" t="s">
        <v>74</v>
      </c>
      <c r="AC647" s="2" t="s">
        <v>74</v>
      </c>
      <c r="AD647" s="2" t="s">
        <v>74</v>
      </c>
      <c r="AE647" s="2" t="s">
        <v>74</v>
      </c>
      <c r="AF647" s="2" t="s">
        <v>74</v>
      </c>
      <c r="AG647" s="2" t="s">
        <v>74</v>
      </c>
      <c r="AH647" s="2" t="s">
        <v>74</v>
      </c>
      <c r="AI647" s="2" t="s">
        <v>74</v>
      </c>
      <c r="AJ647" s="2" t="s">
        <v>74</v>
      </c>
      <c r="AK647" s="2" t="s">
        <v>74</v>
      </c>
      <c r="AL647" s="2" t="s">
        <v>74</v>
      </c>
      <c r="AM647" s="2" t="s">
        <v>74</v>
      </c>
      <c r="AN647" s="2" t="s">
        <v>74</v>
      </c>
      <c r="AO647" s="2" t="s">
        <v>6140</v>
      </c>
      <c r="AP647" s="2" t="s">
        <v>6141</v>
      </c>
      <c r="AQ647" s="2" t="s">
        <v>74</v>
      </c>
      <c r="AR647" s="2" t="s">
        <v>74</v>
      </c>
      <c r="AS647" s="2" t="s">
        <v>74</v>
      </c>
      <c r="AT647" s="2" t="s">
        <v>6142</v>
      </c>
      <c r="AU647" s="2">
        <v>2015</v>
      </c>
      <c r="AV647" s="2" t="s">
        <v>74</v>
      </c>
      <c r="AW647" s="2" t="s">
        <v>74</v>
      </c>
      <c r="AX647" s="2" t="s">
        <v>74</v>
      </c>
      <c r="AY647" s="2">
        <v>31</v>
      </c>
      <c r="AZ647" s="2" t="s">
        <v>74</v>
      </c>
      <c r="BA647" s="2" t="s">
        <v>74</v>
      </c>
      <c r="BB647" s="2">
        <v>75</v>
      </c>
      <c r="BC647" s="2">
        <v>95</v>
      </c>
      <c r="BD647" s="2" t="s">
        <v>74</v>
      </c>
      <c r="BE647" s="2" t="s">
        <v>74</v>
      </c>
      <c r="BF647" s="2" t="s">
        <v>74</v>
      </c>
      <c r="BG647" s="2" t="s">
        <v>74</v>
      </c>
      <c r="BH647" s="2" t="s">
        <v>74</v>
      </c>
      <c r="BI647" s="2" t="s">
        <v>74</v>
      </c>
      <c r="BJ647" s="2" t="s">
        <v>74</v>
      </c>
      <c r="BK647" s="2" t="s">
        <v>74</v>
      </c>
      <c r="BL647" s="2" t="s">
        <v>74</v>
      </c>
      <c r="BM647" s="2" t="s">
        <v>74</v>
      </c>
      <c r="BN647" s="2" t="s">
        <v>74</v>
      </c>
      <c r="BO647" s="2" t="s">
        <v>74</v>
      </c>
      <c r="BP647" s="2" t="s">
        <v>74</v>
      </c>
      <c r="BQ647" s="2" t="s">
        <v>74</v>
      </c>
      <c r="BR647" s="2" t="s">
        <v>74</v>
      </c>
      <c r="BS647" s="2" t="s">
        <v>6143</v>
      </c>
      <c r="BT647" s="2" t="str">
        <f>HYPERLINK("https%3A%2F%2Fwww.webofscience.com%2Fwos%2Fwoscc%2Ffull-record%2FWOS:000360400000009","View Full Record in Web of Science")</f>
        <v>View Full Record in Web of Science</v>
      </c>
    </row>
    <row r="648" spans="1:72" s="2" customFormat="1" x14ac:dyDescent="0.4">
      <c r="A648" s="2" t="s">
        <v>72</v>
      </c>
      <c r="B648" s="2" t="s">
        <v>238</v>
      </c>
      <c r="C648" s="2" t="s">
        <v>74</v>
      </c>
      <c r="D648" s="2" t="s">
        <v>74</v>
      </c>
      <c r="E648" s="2" t="s">
        <v>74</v>
      </c>
      <c r="F648" s="2" t="s">
        <v>239</v>
      </c>
      <c r="G648" s="2" t="s">
        <v>74</v>
      </c>
      <c r="H648" s="2" t="s">
        <v>74</v>
      </c>
      <c r="I648" s="2" t="s">
        <v>240</v>
      </c>
      <c r="J648" s="2" t="s">
        <v>241</v>
      </c>
      <c r="K648" s="2" t="s">
        <v>74</v>
      </c>
      <c r="L648" s="2" t="s">
        <v>74</v>
      </c>
      <c r="M648" s="2" t="s">
        <v>74</v>
      </c>
      <c r="N648" s="2" t="s">
        <v>74</v>
      </c>
      <c r="O648" s="2" t="s">
        <v>74</v>
      </c>
      <c r="P648" s="2" t="s">
        <v>74</v>
      </c>
      <c r="Q648" s="2" t="s">
        <v>74</v>
      </c>
      <c r="R648" s="2" t="s">
        <v>74</v>
      </c>
      <c r="S648" s="2" t="s">
        <v>74</v>
      </c>
      <c r="T648" s="2" t="s">
        <v>74</v>
      </c>
      <c r="U648" s="2" t="s">
        <v>74</v>
      </c>
      <c r="V648" s="5" t="s">
        <v>242</v>
      </c>
      <c r="W648" s="2" t="s">
        <v>74</v>
      </c>
      <c r="X648" s="2" t="s">
        <v>74</v>
      </c>
      <c r="Y648" s="2" t="s">
        <v>74</v>
      </c>
      <c r="Z648" s="2" t="s">
        <v>74</v>
      </c>
      <c r="AA648" s="2" t="s">
        <v>243</v>
      </c>
      <c r="AB648" s="2" t="s">
        <v>244</v>
      </c>
      <c r="AC648" s="2" t="s">
        <v>74</v>
      </c>
      <c r="AD648" s="2" t="s">
        <v>74</v>
      </c>
      <c r="AE648" s="2" t="s">
        <v>74</v>
      </c>
      <c r="AF648" s="2" t="s">
        <v>74</v>
      </c>
      <c r="AG648" s="2" t="s">
        <v>74</v>
      </c>
      <c r="AH648" s="2" t="s">
        <v>74</v>
      </c>
      <c r="AI648" s="2" t="s">
        <v>74</v>
      </c>
      <c r="AJ648" s="2" t="s">
        <v>74</v>
      </c>
      <c r="AK648" s="2" t="s">
        <v>74</v>
      </c>
      <c r="AL648" s="2" t="s">
        <v>74</v>
      </c>
      <c r="AM648" s="2" t="s">
        <v>74</v>
      </c>
      <c r="AN648" s="2" t="s">
        <v>74</v>
      </c>
      <c r="AO648" s="2" t="s">
        <v>245</v>
      </c>
      <c r="AP648" s="2" t="s">
        <v>246</v>
      </c>
      <c r="AQ648" s="2" t="s">
        <v>74</v>
      </c>
      <c r="AR648" s="2" t="s">
        <v>74</v>
      </c>
      <c r="AS648" s="2" t="s">
        <v>74</v>
      </c>
      <c r="AT648" s="2" t="s">
        <v>134</v>
      </c>
      <c r="AU648" s="2">
        <v>2014</v>
      </c>
      <c r="AV648" s="2">
        <v>175</v>
      </c>
      <c r="AW648" s="2">
        <v>1</v>
      </c>
      <c r="AX648" s="2" t="s">
        <v>74</v>
      </c>
      <c r="AY648" s="2" t="s">
        <v>74</v>
      </c>
      <c r="AZ648" s="2" t="s">
        <v>74</v>
      </c>
      <c r="BA648" s="2" t="s">
        <v>74</v>
      </c>
      <c r="BB648" s="2">
        <v>85</v>
      </c>
      <c r="BC648" s="2">
        <v>93</v>
      </c>
      <c r="BD648" s="2" t="s">
        <v>74</v>
      </c>
      <c r="BE648" s="2" t="s">
        <v>247</v>
      </c>
      <c r="BF648" s="2" t="str">
        <f>HYPERLINK("http://dx.doi.org/10.1007/s00442-013-2879-1","http://dx.doi.org/10.1007/s00442-013-2879-1")</f>
        <v>http://dx.doi.org/10.1007/s00442-013-2879-1</v>
      </c>
      <c r="BG648" s="2" t="s">
        <v>74</v>
      </c>
      <c r="BH648" s="2" t="s">
        <v>74</v>
      </c>
      <c r="BI648" s="2" t="s">
        <v>74</v>
      </c>
      <c r="BJ648" s="2" t="s">
        <v>74</v>
      </c>
      <c r="BK648" s="2" t="s">
        <v>74</v>
      </c>
      <c r="BL648" s="2" t="s">
        <v>74</v>
      </c>
      <c r="BM648" s="2" t="s">
        <v>74</v>
      </c>
      <c r="BN648" s="2">
        <v>24414236</v>
      </c>
      <c r="BO648" s="2" t="s">
        <v>74</v>
      </c>
      <c r="BP648" s="2" t="s">
        <v>74</v>
      </c>
      <c r="BQ648" s="2" t="s">
        <v>74</v>
      </c>
      <c r="BR648" s="2" t="s">
        <v>74</v>
      </c>
      <c r="BS648" s="2" t="s">
        <v>248</v>
      </c>
      <c r="BT648" s="2" t="str">
        <f>HYPERLINK("https%3A%2F%2Fwww.webofscience.com%2Fwos%2Fwoscc%2Ffull-record%2FWOS:000334691600008","View Full Record in Web of Science")</f>
        <v>View Full Record in Web of Science</v>
      </c>
    </row>
    <row r="649" spans="1:72" s="2" customFormat="1" x14ac:dyDescent="0.4">
      <c r="A649" s="2" t="s">
        <v>72</v>
      </c>
      <c r="B649" s="2" t="s">
        <v>238</v>
      </c>
      <c r="C649" s="2" t="s">
        <v>74</v>
      </c>
      <c r="D649" s="2" t="s">
        <v>74</v>
      </c>
      <c r="E649" s="2" t="s">
        <v>74</v>
      </c>
      <c r="F649" s="2" t="s">
        <v>239</v>
      </c>
      <c r="G649" s="2" t="s">
        <v>74</v>
      </c>
      <c r="H649" s="2" t="s">
        <v>74</v>
      </c>
      <c r="I649" s="2" t="s">
        <v>1149</v>
      </c>
      <c r="J649" s="2" t="s">
        <v>333</v>
      </c>
      <c r="K649" s="2" t="s">
        <v>74</v>
      </c>
      <c r="L649" s="2" t="s">
        <v>74</v>
      </c>
      <c r="M649" s="2" t="s">
        <v>74</v>
      </c>
      <c r="N649" s="2" t="s">
        <v>74</v>
      </c>
      <c r="O649" s="2" t="s">
        <v>74</v>
      </c>
      <c r="P649" s="2" t="s">
        <v>74</v>
      </c>
      <c r="Q649" s="2" t="s">
        <v>74</v>
      </c>
      <c r="R649" s="2" t="s">
        <v>74</v>
      </c>
      <c r="S649" s="2" t="s">
        <v>74</v>
      </c>
      <c r="T649" s="2" t="s">
        <v>74</v>
      </c>
      <c r="U649" s="2" t="s">
        <v>74</v>
      </c>
      <c r="V649" s="5" t="s">
        <v>1150</v>
      </c>
      <c r="W649" s="2" t="s">
        <v>74</v>
      </c>
      <c r="X649" s="2" t="s">
        <v>74</v>
      </c>
      <c r="Y649" s="2" t="s">
        <v>74</v>
      </c>
      <c r="Z649" s="2" t="s">
        <v>74</v>
      </c>
      <c r="AA649" s="2" t="s">
        <v>243</v>
      </c>
      <c r="AB649" s="2" t="s">
        <v>244</v>
      </c>
      <c r="AC649" s="2" t="s">
        <v>74</v>
      </c>
      <c r="AD649" s="2" t="s">
        <v>74</v>
      </c>
      <c r="AE649" s="2" t="s">
        <v>74</v>
      </c>
      <c r="AF649" s="2" t="s">
        <v>74</v>
      </c>
      <c r="AG649" s="2" t="s">
        <v>74</v>
      </c>
      <c r="AH649" s="2" t="s">
        <v>74</v>
      </c>
      <c r="AI649" s="2" t="s">
        <v>74</v>
      </c>
      <c r="AJ649" s="2" t="s">
        <v>74</v>
      </c>
      <c r="AK649" s="2" t="s">
        <v>74</v>
      </c>
      <c r="AL649" s="2" t="s">
        <v>74</v>
      </c>
      <c r="AM649" s="2" t="s">
        <v>74</v>
      </c>
      <c r="AN649" s="2" t="s">
        <v>74</v>
      </c>
      <c r="AO649" s="2" t="s">
        <v>337</v>
      </c>
      <c r="AP649" s="2" t="s">
        <v>338</v>
      </c>
      <c r="AQ649" s="2" t="s">
        <v>74</v>
      </c>
      <c r="AR649" s="2" t="s">
        <v>74</v>
      </c>
      <c r="AS649" s="2" t="s">
        <v>74</v>
      </c>
      <c r="AT649" s="2" t="s">
        <v>808</v>
      </c>
      <c r="AU649" s="2">
        <v>2017</v>
      </c>
      <c r="AV649" s="2">
        <v>28</v>
      </c>
      <c r="AW649" s="2">
        <v>3</v>
      </c>
      <c r="AX649" s="2" t="s">
        <v>74</v>
      </c>
      <c r="AY649" s="2" t="s">
        <v>74</v>
      </c>
      <c r="AZ649" s="2" t="s">
        <v>74</v>
      </c>
      <c r="BA649" s="2" t="s">
        <v>74</v>
      </c>
      <c r="BB649" s="2">
        <v>925</v>
      </c>
      <c r="BC649" s="2">
        <v>933</v>
      </c>
      <c r="BD649" s="2" t="s">
        <v>74</v>
      </c>
      <c r="BE649" s="2" t="s">
        <v>1151</v>
      </c>
      <c r="BF649" s="2" t="str">
        <f>HYPERLINK("http://dx.doi.org/10.1093/beheco/arx052","http://dx.doi.org/10.1093/beheco/arx052")</f>
        <v>http://dx.doi.org/10.1093/beheco/arx052</v>
      </c>
      <c r="BG649" s="2" t="s">
        <v>74</v>
      </c>
      <c r="BH649" s="2" t="s">
        <v>74</v>
      </c>
      <c r="BI649" s="2" t="s">
        <v>74</v>
      </c>
      <c r="BJ649" s="2" t="s">
        <v>74</v>
      </c>
      <c r="BK649" s="2" t="s">
        <v>74</v>
      </c>
      <c r="BL649" s="2" t="s">
        <v>74</v>
      </c>
      <c r="BM649" s="2" t="s">
        <v>74</v>
      </c>
      <c r="BN649" s="2" t="s">
        <v>74</v>
      </c>
      <c r="BO649" s="2" t="s">
        <v>74</v>
      </c>
      <c r="BP649" s="2" t="s">
        <v>74</v>
      </c>
      <c r="BQ649" s="2" t="s">
        <v>74</v>
      </c>
      <c r="BR649" s="2" t="s">
        <v>74</v>
      </c>
      <c r="BS649" s="2" t="s">
        <v>1152</v>
      </c>
      <c r="BT649" s="2" t="str">
        <f>HYPERLINK("https%3A%2F%2Fwww.webofscience.com%2Fwos%2Fwoscc%2Ffull-record%2FWOS:000401942800043","View Full Record in Web of Science")</f>
        <v>View Full Record in Web of Science</v>
      </c>
    </row>
    <row r="650" spans="1:72" s="2" customFormat="1" x14ac:dyDescent="0.4">
      <c r="A650" s="2" t="s">
        <v>72</v>
      </c>
      <c r="B650" s="2" t="s">
        <v>417</v>
      </c>
      <c r="C650" s="2" t="s">
        <v>74</v>
      </c>
      <c r="D650" s="2" t="s">
        <v>74</v>
      </c>
      <c r="E650" s="2" t="s">
        <v>74</v>
      </c>
      <c r="F650" s="2" t="s">
        <v>418</v>
      </c>
      <c r="G650" s="2" t="s">
        <v>74</v>
      </c>
      <c r="H650" s="2" t="s">
        <v>74</v>
      </c>
      <c r="I650" s="2" t="s">
        <v>419</v>
      </c>
      <c r="J650" s="2" t="s">
        <v>420</v>
      </c>
      <c r="K650" s="2" t="s">
        <v>74</v>
      </c>
      <c r="L650" s="2" t="s">
        <v>74</v>
      </c>
      <c r="M650" s="2" t="s">
        <v>74</v>
      </c>
      <c r="N650" s="2" t="s">
        <v>74</v>
      </c>
      <c r="O650" s="2" t="s">
        <v>74</v>
      </c>
      <c r="P650" s="2" t="s">
        <v>74</v>
      </c>
      <c r="Q650" s="2" t="s">
        <v>74</v>
      </c>
      <c r="R650" s="2" t="s">
        <v>74</v>
      </c>
      <c r="S650" s="2" t="s">
        <v>74</v>
      </c>
      <c r="T650" s="2" t="s">
        <v>74</v>
      </c>
      <c r="U650" s="2" t="s">
        <v>74</v>
      </c>
      <c r="V650" s="5" t="s">
        <v>421</v>
      </c>
      <c r="W650" s="2" t="s">
        <v>74</v>
      </c>
      <c r="X650" s="2" t="s">
        <v>74</v>
      </c>
      <c r="Y650" s="2" t="s">
        <v>74</v>
      </c>
      <c r="Z650" s="2" t="s">
        <v>74</v>
      </c>
      <c r="AA650" s="2" t="s">
        <v>422</v>
      </c>
      <c r="AB650" s="2" t="s">
        <v>423</v>
      </c>
      <c r="AC650" s="2" t="s">
        <v>74</v>
      </c>
      <c r="AD650" s="2" t="s">
        <v>74</v>
      </c>
      <c r="AE650" s="2" t="s">
        <v>74</v>
      </c>
      <c r="AF650" s="2" t="s">
        <v>74</v>
      </c>
      <c r="AG650" s="2" t="s">
        <v>74</v>
      </c>
      <c r="AH650" s="2" t="s">
        <v>74</v>
      </c>
      <c r="AI650" s="2" t="s">
        <v>74</v>
      </c>
      <c r="AJ650" s="2" t="s">
        <v>74</v>
      </c>
      <c r="AK650" s="2" t="s">
        <v>74</v>
      </c>
      <c r="AL650" s="2" t="s">
        <v>74</v>
      </c>
      <c r="AM650" s="2" t="s">
        <v>74</v>
      </c>
      <c r="AN650" s="2" t="s">
        <v>74</v>
      </c>
      <c r="AO650" s="2" t="s">
        <v>424</v>
      </c>
      <c r="AP650" s="2" t="s">
        <v>74</v>
      </c>
      <c r="AQ650" s="2" t="s">
        <v>74</v>
      </c>
      <c r="AR650" s="2" t="s">
        <v>74</v>
      </c>
      <c r="AS650" s="2" t="s">
        <v>74</v>
      </c>
      <c r="AT650" s="2" t="s">
        <v>425</v>
      </c>
      <c r="AU650" s="2">
        <v>2016</v>
      </c>
      <c r="AV650" s="2">
        <v>16</v>
      </c>
      <c r="AW650" s="2" t="s">
        <v>74</v>
      </c>
      <c r="AX650" s="2" t="s">
        <v>74</v>
      </c>
      <c r="AY650" s="2" t="s">
        <v>74</v>
      </c>
      <c r="AZ650" s="2" t="s">
        <v>74</v>
      </c>
      <c r="BA650" s="2" t="s">
        <v>74</v>
      </c>
      <c r="BB650" s="2" t="s">
        <v>74</v>
      </c>
      <c r="BC650" s="2" t="s">
        <v>74</v>
      </c>
      <c r="BD650" s="2">
        <v>3</v>
      </c>
      <c r="BE650" s="2" t="s">
        <v>426</v>
      </c>
      <c r="BF650" s="2" t="str">
        <f>HYPERLINK("http://dx.doi.org/10.1186/s12862-015-0569-9","http://dx.doi.org/10.1186/s12862-015-0569-9")</f>
        <v>http://dx.doi.org/10.1186/s12862-015-0569-9</v>
      </c>
      <c r="BG650" s="2" t="s">
        <v>74</v>
      </c>
      <c r="BH650" s="2" t="s">
        <v>74</v>
      </c>
      <c r="BI650" s="2" t="s">
        <v>74</v>
      </c>
      <c r="BJ650" s="2" t="s">
        <v>74</v>
      </c>
      <c r="BK650" s="2" t="s">
        <v>74</v>
      </c>
      <c r="BL650" s="2" t="s">
        <v>74</v>
      </c>
      <c r="BM650" s="2" t="s">
        <v>74</v>
      </c>
      <c r="BN650" s="2">
        <v>26729482</v>
      </c>
      <c r="BO650" s="2" t="s">
        <v>74</v>
      </c>
      <c r="BP650" s="2" t="s">
        <v>74</v>
      </c>
      <c r="BQ650" s="2" t="s">
        <v>74</v>
      </c>
      <c r="BR650" s="2" t="s">
        <v>74</v>
      </c>
      <c r="BS650" s="2" t="s">
        <v>427</v>
      </c>
      <c r="BT650" s="2" t="str">
        <f>HYPERLINK("https%3A%2F%2Fwww.webofscience.com%2Fwos%2Fwoscc%2Ffull-record%2FWOS:000367430900003","View Full Record in Web of Science")</f>
        <v>View Full Record in Web of Science</v>
      </c>
    </row>
    <row r="651" spans="1:72" s="2" customFormat="1" x14ac:dyDescent="0.4">
      <c r="A651" s="2" t="s">
        <v>72</v>
      </c>
      <c r="B651" s="2" t="s">
        <v>1221</v>
      </c>
      <c r="C651" s="2" t="s">
        <v>74</v>
      </c>
      <c r="D651" s="2" t="s">
        <v>74</v>
      </c>
      <c r="E651" s="2" t="s">
        <v>74</v>
      </c>
      <c r="F651" s="2" t="s">
        <v>1222</v>
      </c>
      <c r="G651" s="2" t="s">
        <v>74</v>
      </c>
      <c r="H651" s="2" t="s">
        <v>74</v>
      </c>
      <c r="I651" s="2" t="s">
        <v>1223</v>
      </c>
      <c r="J651" s="2" t="s">
        <v>312</v>
      </c>
      <c r="K651" s="2" t="s">
        <v>74</v>
      </c>
      <c r="L651" s="2" t="s">
        <v>74</v>
      </c>
      <c r="M651" s="2" t="s">
        <v>74</v>
      </c>
      <c r="N651" s="2" t="s">
        <v>74</v>
      </c>
      <c r="O651" s="2" t="s">
        <v>74</v>
      </c>
      <c r="P651" s="2" t="s">
        <v>74</v>
      </c>
      <c r="Q651" s="2" t="s">
        <v>74</v>
      </c>
      <c r="R651" s="2" t="s">
        <v>74</v>
      </c>
      <c r="S651" s="2" t="s">
        <v>74</v>
      </c>
      <c r="T651" s="2" t="s">
        <v>74</v>
      </c>
      <c r="U651" s="2" t="s">
        <v>74</v>
      </c>
      <c r="V651" s="5" t="s">
        <v>1224</v>
      </c>
      <c r="W651" s="2" t="s">
        <v>74</v>
      </c>
      <c r="X651" s="2" t="s">
        <v>74</v>
      </c>
      <c r="Y651" s="2" t="s">
        <v>74</v>
      </c>
      <c r="Z651" s="2" t="s">
        <v>74</v>
      </c>
      <c r="AA651" s="2" t="s">
        <v>1225</v>
      </c>
      <c r="AB651" s="2" t="s">
        <v>1226</v>
      </c>
      <c r="AC651" s="2" t="s">
        <v>74</v>
      </c>
      <c r="AD651" s="2" t="s">
        <v>74</v>
      </c>
      <c r="AE651" s="2" t="s">
        <v>74</v>
      </c>
      <c r="AF651" s="2" t="s">
        <v>74</v>
      </c>
      <c r="AG651" s="2" t="s">
        <v>74</v>
      </c>
      <c r="AH651" s="2" t="s">
        <v>74</v>
      </c>
      <c r="AI651" s="2" t="s">
        <v>74</v>
      </c>
      <c r="AJ651" s="2" t="s">
        <v>74</v>
      </c>
      <c r="AK651" s="2" t="s">
        <v>74</v>
      </c>
      <c r="AL651" s="2" t="s">
        <v>74</v>
      </c>
      <c r="AM651" s="2" t="s">
        <v>74</v>
      </c>
      <c r="AN651" s="2" t="s">
        <v>74</v>
      </c>
      <c r="AO651" s="2" t="s">
        <v>314</v>
      </c>
      <c r="AP651" s="2" t="s">
        <v>315</v>
      </c>
      <c r="AQ651" s="2" t="s">
        <v>74</v>
      </c>
      <c r="AR651" s="2" t="s">
        <v>74</v>
      </c>
      <c r="AS651" s="2" t="s">
        <v>74</v>
      </c>
      <c r="AT651" s="2" t="s">
        <v>175</v>
      </c>
      <c r="AU651" s="2">
        <v>2015</v>
      </c>
      <c r="AV651" s="2">
        <v>186</v>
      </c>
      <c r="AW651" s="2">
        <v>4</v>
      </c>
      <c r="AX651" s="2" t="s">
        <v>74</v>
      </c>
      <c r="AY651" s="2" t="s">
        <v>74</v>
      </c>
      <c r="AZ651" s="2" t="s">
        <v>74</v>
      </c>
      <c r="BA651" s="2" t="s">
        <v>74</v>
      </c>
      <c r="BB651" s="2">
        <v>547</v>
      </c>
      <c r="BC651" s="2">
        <v>552</v>
      </c>
      <c r="BD651" s="2" t="s">
        <v>74</v>
      </c>
      <c r="BE651" s="2" t="s">
        <v>1227</v>
      </c>
      <c r="BF651" s="2" t="str">
        <f>HYPERLINK("http://dx.doi.org/10.1086/682711","http://dx.doi.org/10.1086/682711")</f>
        <v>http://dx.doi.org/10.1086/682711</v>
      </c>
      <c r="BG651" s="2" t="s">
        <v>74</v>
      </c>
      <c r="BH651" s="2" t="s">
        <v>74</v>
      </c>
      <c r="BI651" s="2" t="s">
        <v>74</v>
      </c>
      <c r="BJ651" s="2" t="s">
        <v>74</v>
      </c>
      <c r="BK651" s="2" t="s">
        <v>74</v>
      </c>
      <c r="BL651" s="2" t="s">
        <v>74</v>
      </c>
      <c r="BM651" s="2" t="s">
        <v>74</v>
      </c>
      <c r="BN651" s="2">
        <v>26655577</v>
      </c>
      <c r="BO651" s="2" t="s">
        <v>74</v>
      </c>
      <c r="BP651" s="2" t="s">
        <v>74</v>
      </c>
      <c r="BQ651" s="2" t="s">
        <v>74</v>
      </c>
      <c r="BR651" s="2" t="s">
        <v>74</v>
      </c>
      <c r="BS651" s="2" t="s">
        <v>1228</v>
      </c>
      <c r="BT651" s="2" t="str">
        <f>HYPERLINK("https%3A%2F%2Fwww.webofscience.com%2Fwos%2Fwoscc%2Ffull-record%2FWOS:000362840100013","View Full Record in Web of Science")</f>
        <v>View Full Record in Web of Science</v>
      </c>
    </row>
    <row r="652" spans="1:72" s="2" customFormat="1" x14ac:dyDescent="0.4">
      <c r="A652" s="2" t="s">
        <v>72</v>
      </c>
      <c r="B652" s="2" t="s">
        <v>159</v>
      </c>
      <c r="C652" s="2" t="s">
        <v>74</v>
      </c>
      <c r="D652" s="2" t="s">
        <v>74</v>
      </c>
      <c r="E652" s="2" t="s">
        <v>74</v>
      </c>
      <c r="F652" s="2" t="s">
        <v>160</v>
      </c>
      <c r="G652" s="2" t="s">
        <v>74</v>
      </c>
      <c r="H652" s="2" t="s">
        <v>74</v>
      </c>
      <c r="I652" s="2" t="s">
        <v>161</v>
      </c>
      <c r="J652" s="2" t="s">
        <v>108</v>
      </c>
      <c r="K652" s="2" t="s">
        <v>74</v>
      </c>
      <c r="L652" s="2" t="s">
        <v>74</v>
      </c>
      <c r="M652" s="2" t="s">
        <v>74</v>
      </c>
      <c r="N652" s="2" t="s">
        <v>74</v>
      </c>
      <c r="O652" s="2" t="s">
        <v>74</v>
      </c>
      <c r="P652" s="2" t="s">
        <v>74</v>
      </c>
      <c r="Q652" s="2" t="s">
        <v>74</v>
      </c>
      <c r="R652" s="2" t="s">
        <v>74</v>
      </c>
      <c r="S652" s="2" t="s">
        <v>74</v>
      </c>
      <c r="T652" s="2" t="s">
        <v>74</v>
      </c>
      <c r="U652" s="2" t="s">
        <v>74</v>
      </c>
      <c r="V652" s="5" t="s">
        <v>162</v>
      </c>
      <c r="W652" s="2" t="s">
        <v>74</v>
      </c>
      <c r="X652" s="2" t="s">
        <v>74</v>
      </c>
      <c r="Y652" s="2" t="s">
        <v>74</v>
      </c>
      <c r="Z652" s="2" t="s">
        <v>74</v>
      </c>
      <c r="AA652" s="2" t="s">
        <v>163</v>
      </c>
      <c r="AB652" s="2" t="s">
        <v>164</v>
      </c>
      <c r="AC652" s="2" t="s">
        <v>74</v>
      </c>
      <c r="AD652" s="2" t="s">
        <v>74</v>
      </c>
      <c r="AE652" s="2" t="s">
        <v>74</v>
      </c>
      <c r="AF652" s="2" t="s">
        <v>74</v>
      </c>
      <c r="AG652" s="2" t="s">
        <v>74</v>
      </c>
      <c r="AH652" s="2" t="s">
        <v>74</v>
      </c>
      <c r="AI652" s="2" t="s">
        <v>74</v>
      </c>
      <c r="AJ652" s="2" t="s">
        <v>74</v>
      </c>
      <c r="AK652" s="2" t="s">
        <v>74</v>
      </c>
      <c r="AL652" s="2" t="s">
        <v>74</v>
      </c>
      <c r="AM652" s="2" t="s">
        <v>74</v>
      </c>
      <c r="AN652" s="2" t="s">
        <v>74</v>
      </c>
      <c r="AO652" s="2" t="s">
        <v>111</v>
      </c>
      <c r="AP652" s="2" t="s">
        <v>112</v>
      </c>
      <c r="AQ652" s="2" t="s">
        <v>74</v>
      </c>
      <c r="AR652" s="2" t="s">
        <v>74</v>
      </c>
      <c r="AS652" s="2" t="s">
        <v>74</v>
      </c>
      <c r="AT652" s="2" t="s">
        <v>165</v>
      </c>
      <c r="AU652" s="2">
        <v>2015</v>
      </c>
      <c r="AV652" s="2">
        <v>282</v>
      </c>
      <c r="AW652" s="2">
        <v>1815</v>
      </c>
      <c r="AX652" s="2" t="s">
        <v>74</v>
      </c>
      <c r="AY652" s="2" t="s">
        <v>74</v>
      </c>
      <c r="AZ652" s="2" t="s">
        <v>74</v>
      </c>
      <c r="BA652" s="2" t="s">
        <v>74</v>
      </c>
      <c r="BB652" s="2" t="s">
        <v>74</v>
      </c>
      <c r="BC652" s="2" t="s">
        <v>74</v>
      </c>
      <c r="BD652" s="2">
        <v>20151551</v>
      </c>
      <c r="BE652" s="2" t="s">
        <v>166</v>
      </c>
      <c r="BF652" s="2" t="str">
        <f>HYPERLINK("http://dx.doi.org/10.1098/rspb.2015.1551","http://dx.doi.org/10.1098/rspb.2015.1551")</f>
        <v>http://dx.doi.org/10.1098/rspb.2015.1551</v>
      </c>
      <c r="BG652" s="2" t="s">
        <v>74</v>
      </c>
      <c r="BH652" s="2" t="s">
        <v>74</v>
      </c>
      <c r="BI652" s="2" t="s">
        <v>74</v>
      </c>
      <c r="BJ652" s="2" t="s">
        <v>74</v>
      </c>
      <c r="BK652" s="2" t="s">
        <v>74</v>
      </c>
      <c r="BL652" s="2" t="s">
        <v>74</v>
      </c>
      <c r="BM652" s="2" t="s">
        <v>74</v>
      </c>
      <c r="BN652" s="2">
        <v>26378216</v>
      </c>
      <c r="BO652" s="2" t="s">
        <v>74</v>
      </c>
      <c r="BP652" s="2" t="s">
        <v>74</v>
      </c>
      <c r="BQ652" s="2" t="s">
        <v>74</v>
      </c>
      <c r="BR652" s="2" t="s">
        <v>74</v>
      </c>
      <c r="BS652" s="2" t="s">
        <v>167</v>
      </c>
      <c r="BT652" s="2" t="str">
        <f>HYPERLINK("https%3A%2F%2Fwww.webofscience.com%2Fwos%2Fwoscc%2Ffull-record%2FWOS:000363357100008","View Full Record in Web of Science")</f>
        <v>View Full Record in Web of Science</v>
      </c>
    </row>
    <row r="653" spans="1:72" s="2" customFormat="1" x14ac:dyDescent="0.4">
      <c r="A653" s="2" t="s">
        <v>72</v>
      </c>
      <c r="B653" s="2" t="s">
        <v>4006</v>
      </c>
      <c r="C653" s="2" t="s">
        <v>74</v>
      </c>
      <c r="D653" s="2" t="s">
        <v>74</v>
      </c>
      <c r="E653" s="2" t="s">
        <v>74</v>
      </c>
      <c r="F653" s="2" t="s">
        <v>4007</v>
      </c>
      <c r="G653" s="2" t="s">
        <v>74</v>
      </c>
      <c r="H653" s="2" t="s">
        <v>74</v>
      </c>
      <c r="I653" s="2" t="s">
        <v>4008</v>
      </c>
      <c r="J653" s="2" t="s">
        <v>140</v>
      </c>
      <c r="K653" s="2" t="s">
        <v>74</v>
      </c>
      <c r="L653" s="2" t="s">
        <v>74</v>
      </c>
      <c r="M653" s="2" t="s">
        <v>74</v>
      </c>
      <c r="N653" s="2" t="s">
        <v>74</v>
      </c>
      <c r="O653" s="2" t="s">
        <v>74</v>
      </c>
      <c r="P653" s="2" t="s">
        <v>74</v>
      </c>
      <c r="Q653" s="2" t="s">
        <v>74</v>
      </c>
      <c r="R653" s="2" t="s">
        <v>74</v>
      </c>
      <c r="S653" s="2" t="s">
        <v>74</v>
      </c>
      <c r="T653" s="2" t="s">
        <v>74</v>
      </c>
      <c r="U653" s="2" t="s">
        <v>74</v>
      </c>
      <c r="V653" s="5" t="s">
        <v>4009</v>
      </c>
      <c r="W653" s="2" t="s">
        <v>74</v>
      </c>
      <c r="X653" s="2" t="s">
        <v>74</v>
      </c>
      <c r="Y653" s="2" t="s">
        <v>74</v>
      </c>
      <c r="Z653" s="2" t="s">
        <v>74</v>
      </c>
      <c r="AA653" s="2" t="s">
        <v>4010</v>
      </c>
      <c r="AB653" s="2" t="s">
        <v>4011</v>
      </c>
      <c r="AC653" s="2" t="s">
        <v>74</v>
      </c>
      <c r="AD653" s="2" t="s">
        <v>74</v>
      </c>
      <c r="AE653" s="2" t="s">
        <v>74</v>
      </c>
      <c r="AF653" s="2" t="s">
        <v>74</v>
      </c>
      <c r="AG653" s="2" t="s">
        <v>74</v>
      </c>
      <c r="AH653" s="2" t="s">
        <v>74</v>
      </c>
      <c r="AI653" s="2" t="s">
        <v>74</v>
      </c>
      <c r="AJ653" s="2" t="s">
        <v>74</v>
      </c>
      <c r="AK653" s="2" t="s">
        <v>74</v>
      </c>
      <c r="AL653" s="2" t="s">
        <v>74</v>
      </c>
      <c r="AM653" s="2" t="s">
        <v>74</v>
      </c>
      <c r="AN653" s="2" t="s">
        <v>74</v>
      </c>
      <c r="AO653" s="2" t="s">
        <v>143</v>
      </c>
      <c r="AP653" s="2" t="s">
        <v>144</v>
      </c>
      <c r="AQ653" s="2" t="s">
        <v>74</v>
      </c>
      <c r="AR653" s="2" t="s">
        <v>74</v>
      </c>
      <c r="AS653" s="2" t="s">
        <v>74</v>
      </c>
      <c r="AT653" s="2" t="s">
        <v>123</v>
      </c>
      <c r="AU653" s="2">
        <v>2018</v>
      </c>
      <c r="AV653" s="2">
        <v>137</v>
      </c>
      <c r="AW653" s="2" t="s">
        <v>74</v>
      </c>
      <c r="AX653" s="2" t="s">
        <v>74</v>
      </c>
      <c r="AY653" s="2" t="s">
        <v>74</v>
      </c>
      <c r="AZ653" s="2" t="s">
        <v>74</v>
      </c>
      <c r="BA653" s="2" t="s">
        <v>74</v>
      </c>
      <c r="BB653" s="2">
        <v>141</v>
      </c>
      <c r="BC653" s="2">
        <v>148</v>
      </c>
      <c r="BD653" s="2" t="s">
        <v>74</v>
      </c>
      <c r="BE653" s="2" t="s">
        <v>4012</v>
      </c>
      <c r="BF653" s="2" t="str">
        <f>HYPERLINK("http://dx.doi.org/10.1016/j.anbehav.2018.01.012","http://dx.doi.org/10.1016/j.anbehav.2018.01.012")</f>
        <v>http://dx.doi.org/10.1016/j.anbehav.2018.01.012</v>
      </c>
      <c r="BG653" s="2" t="s">
        <v>74</v>
      </c>
      <c r="BH653" s="2" t="s">
        <v>74</v>
      </c>
      <c r="BI653" s="2" t="s">
        <v>74</v>
      </c>
      <c r="BJ653" s="2" t="s">
        <v>74</v>
      </c>
      <c r="BK653" s="2" t="s">
        <v>74</v>
      </c>
      <c r="BL653" s="2" t="s">
        <v>74</v>
      </c>
      <c r="BM653" s="2" t="s">
        <v>74</v>
      </c>
      <c r="BN653" s="2" t="s">
        <v>74</v>
      </c>
      <c r="BO653" s="2" t="s">
        <v>74</v>
      </c>
      <c r="BP653" s="2" t="s">
        <v>74</v>
      </c>
      <c r="BQ653" s="2" t="s">
        <v>74</v>
      </c>
      <c r="BR653" s="2" t="s">
        <v>74</v>
      </c>
      <c r="BS653" s="2" t="s">
        <v>4013</v>
      </c>
      <c r="BT653" s="2" t="str">
        <f>HYPERLINK("https%3A%2F%2Fwww.webofscience.com%2Fwos%2Fwoscc%2Ffull-record%2FWOS:000427436600015","View Full Record in Web of Science")</f>
        <v>View Full Record in Web of Science</v>
      </c>
    </row>
    <row r="654" spans="1:72" s="2" customFormat="1" x14ac:dyDescent="0.4">
      <c r="A654" s="2" t="s">
        <v>72</v>
      </c>
      <c r="B654" s="2" t="s">
        <v>8042</v>
      </c>
      <c r="C654" s="2" t="s">
        <v>74</v>
      </c>
      <c r="D654" s="2" t="s">
        <v>74</v>
      </c>
      <c r="E654" s="2" t="s">
        <v>74</v>
      </c>
      <c r="F654" s="2" t="s">
        <v>8043</v>
      </c>
      <c r="G654" s="2" t="s">
        <v>74</v>
      </c>
      <c r="H654" s="2" t="s">
        <v>74</v>
      </c>
      <c r="I654" s="2" t="s">
        <v>8044</v>
      </c>
      <c r="J654" s="2" t="s">
        <v>129</v>
      </c>
      <c r="K654" s="2" t="s">
        <v>74</v>
      </c>
      <c r="L654" s="2" t="s">
        <v>74</v>
      </c>
      <c r="M654" s="2" t="s">
        <v>74</v>
      </c>
      <c r="N654" s="2" t="s">
        <v>74</v>
      </c>
      <c r="O654" s="2" t="s">
        <v>74</v>
      </c>
      <c r="P654" s="2" t="s">
        <v>74</v>
      </c>
      <c r="Q654" s="2" t="s">
        <v>74</v>
      </c>
      <c r="R654" s="2" t="s">
        <v>74</v>
      </c>
      <c r="S654" s="2" t="s">
        <v>74</v>
      </c>
      <c r="T654" s="2" t="s">
        <v>74</v>
      </c>
      <c r="U654" s="2" t="s">
        <v>74</v>
      </c>
      <c r="V654" s="5" t="s">
        <v>8045</v>
      </c>
      <c r="W654" s="2" t="s">
        <v>74</v>
      </c>
      <c r="X654" s="2" t="s">
        <v>74</v>
      </c>
      <c r="Y654" s="2" t="s">
        <v>74</v>
      </c>
      <c r="Z654" s="2" t="s">
        <v>74</v>
      </c>
      <c r="AA654" s="2" t="s">
        <v>8046</v>
      </c>
      <c r="AB654" s="2" t="s">
        <v>8047</v>
      </c>
      <c r="AC654" s="2" t="s">
        <v>74</v>
      </c>
      <c r="AD654" s="2" t="s">
        <v>74</v>
      </c>
      <c r="AE654" s="2" t="s">
        <v>74</v>
      </c>
      <c r="AF654" s="2" t="s">
        <v>74</v>
      </c>
      <c r="AG654" s="2" t="s">
        <v>74</v>
      </c>
      <c r="AH654" s="2" t="s">
        <v>74</v>
      </c>
      <c r="AI654" s="2" t="s">
        <v>74</v>
      </c>
      <c r="AJ654" s="2" t="s">
        <v>74</v>
      </c>
      <c r="AK654" s="2" t="s">
        <v>74</v>
      </c>
      <c r="AL654" s="2" t="s">
        <v>74</v>
      </c>
      <c r="AM654" s="2" t="s">
        <v>74</v>
      </c>
      <c r="AN654" s="2" t="s">
        <v>74</v>
      </c>
      <c r="AO654" s="2" t="s">
        <v>132</v>
      </c>
      <c r="AP654" s="2" t="s">
        <v>133</v>
      </c>
      <c r="AQ654" s="2" t="s">
        <v>74</v>
      </c>
      <c r="AR654" s="2" t="s">
        <v>74</v>
      </c>
      <c r="AS654" s="2" t="s">
        <v>74</v>
      </c>
      <c r="AT654" s="2" t="s">
        <v>213</v>
      </c>
      <c r="AU654" s="2">
        <v>2013</v>
      </c>
      <c r="AV654" s="2">
        <v>67</v>
      </c>
      <c r="AW654" s="2">
        <v>11</v>
      </c>
      <c r="AX654" s="2" t="s">
        <v>74</v>
      </c>
      <c r="AY654" s="2" t="s">
        <v>74</v>
      </c>
      <c r="AZ654" s="2" t="s">
        <v>74</v>
      </c>
      <c r="BA654" s="2" t="s">
        <v>74</v>
      </c>
      <c r="BB654" s="2">
        <v>1817</v>
      </c>
      <c r="BC654" s="2">
        <v>1824</v>
      </c>
      <c r="BD654" s="2" t="s">
        <v>74</v>
      </c>
      <c r="BE654" s="2" t="s">
        <v>8048</v>
      </c>
      <c r="BF654" s="2" t="str">
        <f>HYPERLINK("http://dx.doi.org/10.1007/s00265-013-1591-9","http://dx.doi.org/10.1007/s00265-013-1591-9")</f>
        <v>http://dx.doi.org/10.1007/s00265-013-1591-9</v>
      </c>
      <c r="BG654" s="2" t="s">
        <v>74</v>
      </c>
      <c r="BH654" s="2" t="s">
        <v>74</v>
      </c>
      <c r="BI654" s="2" t="s">
        <v>74</v>
      </c>
      <c r="BJ654" s="2" t="s">
        <v>74</v>
      </c>
      <c r="BK654" s="2" t="s">
        <v>74</v>
      </c>
      <c r="BL654" s="2" t="s">
        <v>74</v>
      </c>
      <c r="BM654" s="2" t="s">
        <v>74</v>
      </c>
      <c r="BN654" s="2" t="s">
        <v>74</v>
      </c>
      <c r="BO654" s="2" t="s">
        <v>74</v>
      </c>
      <c r="BP654" s="2" t="s">
        <v>74</v>
      </c>
      <c r="BQ654" s="2" t="s">
        <v>74</v>
      </c>
      <c r="BR654" s="2" t="s">
        <v>74</v>
      </c>
      <c r="BS654" s="2" t="s">
        <v>8049</v>
      </c>
      <c r="BT654" s="2" t="str">
        <f>HYPERLINK("https%3A%2F%2Fwww.webofscience.com%2Fwos%2Fwoscc%2Ffull-record%2FWOS:000325765800010","View Full Record in Web of Science")</f>
        <v>View Full Record in Web of Science</v>
      </c>
    </row>
    <row r="655" spans="1:72" s="2" customFormat="1" x14ac:dyDescent="0.4">
      <c r="A655" s="2" t="s">
        <v>72</v>
      </c>
      <c r="B655" s="2" t="s">
        <v>6451</v>
      </c>
      <c r="C655" s="2" t="s">
        <v>74</v>
      </c>
      <c r="D655" s="2" t="s">
        <v>74</v>
      </c>
      <c r="E655" s="2" t="s">
        <v>74</v>
      </c>
      <c r="F655" s="2" t="s">
        <v>6452</v>
      </c>
      <c r="G655" s="2" t="s">
        <v>74</v>
      </c>
      <c r="H655" s="2" t="s">
        <v>74</v>
      </c>
      <c r="I655" s="2" t="s">
        <v>6453</v>
      </c>
      <c r="J655" s="2" t="s">
        <v>6454</v>
      </c>
      <c r="K655" s="2" t="s">
        <v>74</v>
      </c>
      <c r="L655" s="2" t="s">
        <v>74</v>
      </c>
      <c r="M655" s="2" t="s">
        <v>74</v>
      </c>
      <c r="N655" s="2" t="s">
        <v>74</v>
      </c>
      <c r="O655" s="2" t="s">
        <v>74</v>
      </c>
      <c r="P655" s="2" t="s">
        <v>74</v>
      </c>
      <c r="Q655" s="2" t="s">
        <v>74</v>
      </c>
      <c r="R655" s="2" t="s">
        <v>74</v>
      </c>
      <c r="S655" s="2" t="s">
        <v>74</v>
      </c>
      <c r="T655" s="2" t="s">
        <v>74</v>
      </c>
      <c r="U655" s="2" t="s">
        <v>74</v>
      </c>
      <c r="V655" s="5" t="s">
        <v>6455</v>
      </c>
      <c r="W655" s="2" t="s">
        <v>74</v>
      </c>
      <c r="X655" s="2" t="s">
        <v>74</v>
      </c>
      <c r="Y655" s="2" t="s">
        <v>74</v>
      </c>
      <c r="Z655" s="2" t="s">
        <v>74</v>
      </c>
      <c r="AA655" s="2" t="s">
        <v>6456</v>
      </c>
      <c r="AB655" s="2" t="s">
        <v>6457</v>
      </c>
      <c r="AC655" s="2" t="s">
        <v>74</v>
      </c>
      <c r="AD655" s="2" t="s">
        <v>74</v>
      </c>
      <c r="AE655" s="2" t="s">
        <v>74</v>
      </c>
      <c r="AF655" s="2" t="s">
        <v>74</v>
      </c>
      <c r="AG655" s="2" t="s">
        <v>74</v>
      </c>
      <c r="AH655" s="2" t="s">
        <v>74</v>
      </c>
      <c r="AI655" s="2" t="s">
        <v>74</v>
      </c>
      <c r="AJ655" s="2" t="s">
        <v>74</v>
      </c>
      <c r="AK655" s="2" t="s">
        <v>74</v>
      </c>
      <c r="AL655" s="2" t="s">
        <v>74</v>
      </c>
      <c r="AM655" s="2" t="s">
        <v>74</v>
      </c>
      <c r="AN655" s="2" t="s">
        <v>74</v>
      </c>
      <c r="AO655" s="2" t="s">
        <v>6458</v>
      </c>
      <c r="AP655" s="2" t="s">
        <v>6459</v>
      </c>
      <c r="AQ655" s="2" t="s">
        <v>74</v>
      </c>
      <c r="AR655" s="2" t="s">
        <v>74</v>
      </c>
      <c r="AS655" s="2" t="s">
        <v>74</v>
      </c>
      <c r="AT655" s="2" t="s">
        <v>74</v>
      </c>
      <c r="AU655" s="2">
        <v>2020</v>
      </c>
      <c r="AV655" s="2">
        <v>72</v>
      </c>
      <c r="AW655" s="2">
        <v>1</v>
      </c>
      <c r="AX655" s="2" t="s">
        <v>74</v>
      </c>
      <c r="AY655" s="2" t="s">
        <v>74</v>
      </c>
      <c r="AZ655" s="2" t="s">
        <v>74</v>
      </c>
      <c r="BA655" s="2" t="s">
        <v>74</v>
      </c>
      <c r="BB655" s="2">
        <v>45</v>
      </c>
      <c r="BC655" s="2">
        <v>52</v>
      </c>
      <c r="BD655" s="2" t="s">
        <v>74</v>
      </c>
      <c r="BE655" s="2" t="s">
        <v>6460</v>
      </c>
      <c r="BF655" s="2" t="str">
        <f>HYPERLINK("http://dx.doi.org/10.2298/ABS190823065L","http://dx.doi.org/10.2298/ABS190823065L")</f>
        <v>http://dx.doi.org/10.2298/ABS190823065L</v>
      </c>
      <c r="BG655" s="2" t="s">
        <v>74</v>
      </c>
      <c r="BH655" s="2" t="s">
        <v>74</v>
      </c>
      <c r="BI655" s="2" t="s">
        <v>74</v>
      </c>
      <c r="BJ655" s="2" t="s">
        <v>74</v>
      </c>
      <c r="BK655" s="2" t="s">
        <v>74</v>
      </c>
      <c r="BL655" s="2" t="s">
        <v>74</v>
      </c>
      <c r="BM655" s="2" t="s">
        <v>74</v>
      </c>
      <c r="BN655" s="2" t="s">
        <v>74</v>
      </c>
      <c r="BO655" s="2" t="s">
        <v>74</v>
      </c>
      <c r="BP655" s="2" t="s">
        <v>74</v>
      </c>
      <c r="BQ655" s="2" t="s">
        <v>74</v>
      </c>
      <c r="BR655" s="2" t="s">
        <v>74</v>
      </c>
      <c r="BS655" s="2" t="s">
        <v>6461</v>
      </c>
      <c r="BT655" s="2" t="str">
        <f>HYPERLINK("https%3A%2F%2Fwww.webofscience.com%2Fwos%2Fwoscc%2Ffull-record%2FWOS:000524505000006","View Full Record in Web of Science")</f>
        <v>View Full Record in Web of Science</v>
      </c>
    </row>
    <row r="656" spans="1:72" s="2" customFormat="1" x14ac:dyDescent="0.4">
      <c r="A656" s="2" t="s">
        <v>72</v>
      </c>
      <c r="B656" s="2" t="s">
        <v>8629</v>
      </c>
      <c r="C656" s="2" t="s">
        <v>74</v>
      </c>
      <c r="D656" s="2" t="s">
        <v>74</v>
      </c>
      <c r="E656" s="2" t="s">
        <v>74</v>
      </c>
      <c r="F656" s="2" t="s">
        <v>8630</v>
      </c>
      <c r="G656" s="2" t="s">
        <v>74</v>
      </c>
      <c r="H656" s="2" t="s">
        <v>74</v>
      </c>
      <c r="I656" s="2" t="s">
        <v>8631</v>
      </c>
      <c r="J656" s="2" t="s">
        <v>842</v>
      </c>
      <c r="K656" s="2" t="s">
        <v>74</v>
      </c>
      <c r="L656" s="2" t="s">
        <v>74</v>
      </c>
      <c r="M656" s="2" t="s">
        <v>74</v>
      </c>
      <c r="N656" s="2" t="s">
        <v>74</v>
      </c>
      <c r="O656" s="2" t="s">
        <v>74</v>
      </c>
      <c r="P656" s="2" t="s">
        <v>74</v>
      </c>
      <c r="Q656" s="2" t="s">
        <v>74</v>
      </c>
      <c r="R656" s="2" t="s">
        <v>74</v>
      </c>
      <c r="S656" s="2" t="s">
        <v>74</v>
      </c>
      <c r="T656" s="2" t="s">
        <v>74</v>
      </c>
      <c r="U656" s="2" t="s">
        <v>74</v>
      </c>
      <c r="V656" s="5" t="s">
        <v>8632</v>
      </c>
      <c r="W656" s="2" t="s">
        <v>74</v>
      </c>
      <c r="X656" s="2" t="s">
        <v>74</v>
      </c>
      <c r="Y656" s="2" t="s">
        <v>74</v>
      </c>
      <c r="Z656" s="2" t="s">
        <v>74</v>
      </c>
      <c r="AA656" s="2" t="s">
        <v>8633</v>
      </c>
      <c r="AB656" s="2" t="s">
        <v>8634</v>
      </c>
      <c r="AC656" s="2" t="s">
        <v>74</v>
      </c>
      <c r="AD656" s="2" t="s">
        <v>74</v>
      </c>
      <c r="AE656" s="2" t="s">
        <v>74</v>
      </c>
      <c r="AF656" s="2" t="s">
        <v>74</v>
      </c>
      <c r="AG656" s="2" t="s">
        <v>74</v>
      </c>
      <c r="AH656" s="2" t="s">
        <v>74</v>
      </c>
      <c r="AI656" s="2" t="s">
        <v>74</v>
      </c>
      <c r="AJ656" s="2" t="s">
        <v>74</v>
      </c>
      <c r="AK656" s="2" t="s">
        <v>74</v>
      </c>
      <c r="AL656" s="2" t="s">
        <v>74</v>
      </c>
      <c r="AM656" s="2" t="s">
        <v>74</v>
      </c>
      <c r="AN656" s="2" t="s">
        <v>74</v>
      </c>
      <c r="AO656" s="2" t="s">
        <v>846</v>
      </c>
      <c r="AP656" s="2" t="s">
        <v>847</v>
      </c>
      <c r="AQ656" s="2" t="s">
        <v>74</v>
      </c>
      <c r="AR656" s="2" t="s">
        <v>74</v>
      </c>
      <c r="AS656" s="2" t="s">
        <v>74</v>
      </c>
      <c r="AT656" s="2" t="s">
        <v>102</v>
      </c>
      <c r="AU656" s="2">
        <v>2022</v>
      </c>
      <c r="AV656" s="2">
        <v>84</v>
      </c>
      <c r="AW656" s="2">
        <v>6</v>
      </c>
      <c r="AX656" s="2" t="s">
        <v>74</v>
      </c>
      <c r="AY656" s="2" t="s">
        <v>74</v>
      </c>
      <c r="AZ656" s="2" t="s">
        <v>74</v>
      </c>
      <c r="BA656" s="2" t="s">
        <v>74</v>
      </c>
      <c r="BB656" s="2" t="s">
        <v>74</v>
      </c>
      <c r="BC656" s="2" t="s">
        <v>74</v>
      </c>
      <c r="BD656" s="2" t="s">
        <v>8635</v>
      </c>
      <c r="BE656" s="2" t="s">
        <v>8636</v>
      </c>
      <c r="BF656" s="2" t="str">
        <f>HYPERLINK("http://dx.doi.org/10.1002/ajp.23305","http://dx.doi.org/10.1002/ajp.23305")</f>
        <v>http://dx.doi.org/10.1002/ajp.23305</v>
      </c>
      <c r="BG656" s="2" t="s">
        <v>74</v>
      </c>
      <c r="BH656" s="2" t="s">
        <v>3826</v>
      </c>
      <c r="BI656" s="2" t="s">
        <v>74</v>
      </c>
      <c r="BJ656" s="2" t="s">
        <v>74</v>
      </c>
      <c r="BK656" s="2" t="s">
        <v>74</v>
      </c>
      <c r="BL656" s="2" t="s">
        <v>74</v>
      </c>
      <c r="BM656" s="2" t="s">
        <v>74</v>
      </c>
      <c r="BN656" s="2">
        <v>34270104</v>
      </c>
      <c r="BO656" s="2" t="s">
        <v>74</v>
      </c>
      <c r="BP656" s="2" t="s">
        <v>74</v>
      </c>
      <c r="BQ656" s="2" t="s">
        <v>74</v>
      </c>
      <c r="BR656" s="2" t="s">
        <v>74</v>
      </c>
      <c r="BS656" s="2" t="s">
        <v>8637</v>
      </c>
      <c r="BT656" s="2" t="str">
        <f>HYPERLINK("https%3A%2F%2Fwww.webofscience.com%2Fwos%2Fwoscc%2Ffull-record%2FWOS:000673989800001","View Full Record in Web of Science")</f>
        <v>View Full Record in Web of Science</v>
      </c>
    </row>
    <row r="657" spans="1:72" s="2" customFormat="1" x14ac:dyDescent="0.4">
      <c r="A657" s="2" t="s">
        <v>72</v>
      </c>
      <c r="B657" s="2" t="s">
        <v>3682</v>
      </c>
      <c r="C657" s="2" t="s">
        <v>74</v>
      </c>
      <c r="D657" s="2" t="s">
        <v>74</v>
      </c>
      <c r="E657" s="2" t="s">
        <v>74</v>
      </c>
      <c r="F657" s="2" t="s">
        <v>3682</v>
      </c>
      <c r="G657" s="2" t="s">
        <v>74</v>
      </c>
      <c r="H657" s="2" t="s">
        <v>74</v>
      </c>
      <c r="I657" s="2" t="s">
        <v>3683</v>
      </c>
      <c r="J657" s="2" t="s">
        <v>1341</v>
      </c>
      <c r="K657" s="2" t="s">
        <v>74</v>
      </c>
      <c r="L657" s="2" t="s">
        <v>74</v>
      </c>
      <c r="M657" s="2" t="s">
        <v>74</v>
      </c>
      <c r="N657" s="2" t="s">
        <v>74</v>
      </c>
      <c r="O657" s="2" t="s">
        <v>74</v>
      </c>
      <c r="P657" s="2" t="s">
        <v>74</v>
      </c>
      <c r="Q657" s="2" t="s">
        <v>74</v>
      </c>
      <c r="R657" s="2" t="s">
        <v>74</v>
      </c>
      <c r="S657" s="2" t="s">
        <v>74</v>
      </c>
      <c r="T657" s="2" t="s">
        <v>74</v>
      </c>
      <c r="U657" s="2" t="s">
        <v>74</v>
      </c>
      <c r="V657" s="5" t="s">
        <v>3684</v>
      </c>
      <c r="W657" s="2" t="s">
        <v>74</v>
      </c>
      <c r="X657" s="2" t="s">
        <v>74</v>
      </c>
      <c r="Y657" s="2" t="s">
        <v>74</v>
      </c>
      <c r="Z657" s="2" t="s">
        <v>74</v>
      </c>
      <c r="AA657" s="2" t="s">
        <v>3685</v>
      </c>
      <c r="AB657" s="2" t="s">
        <v>74</v>
      </c>
      <c r="AC657" s="2" t="s">
        <v>74</v>
      </c>
      <c r="AD657" s="2" t="s">
        <v>74</v>
      </c>
      <c r="AE657" s="2" t="s">
        <v>74</v>
      </c>
      <c r="AF657" s="2" t="s">
        <v>74</v>
      </c>
      <c r="AG657" s="2" t="s">
        <v>74</v>
      </c>
      <c r="AH657" s="2" t="s">
        <v>74</v>
      </c>
      <c r="AI657" s="2" t="s">
        <v>74</v>
      </c>
      <c r="AJ657" s="2" t="s">
        <v>74</v>
      </c>
      <c r="AK657" s="2" t="s">
        <v>74</v>
      </c>
      <c r="AL657" s="2" t="s">
        <v>74</v>
      </c>
      <c r="AM657" s="2" t="s">
        <v>74</v>
      </c>
      <c r="AN657" s="2" t="s">
        <v>74</v>
      </c>
      <c r="AO657" s="2" t="s">
        <v>1343</v>
      </c>
      <c r="AP657" s="2" t="s">
        <v>3686</v>
      </c>
      <c r="AQ657" s="2" t="s">
        <v>74</v>
      </c>
      <c r="AR657" s="2" t="s">
        <v>74</v>
      </c>
      <c r="AS657" s="2" t="s">
        <v>74</v>
      </c>
      <c r="AT657" s="2" t="s">
        <v>204</v>
      </c>
      <c r="AU657" s="2">
        <v>2005</v>
      </c>
      <c r="AV657" s="2">
        <v>51</v>
      </c>
      <c r="AW657" s="2">
        <v>7</v>
      </c>
      <c r="AX657" s="2" t="s">
        <v>74</v>
      </c>
      <c r="AY657" s="2" t="s">
        <v>74</v>
      </c>
      <c r="AZ657" s="2" t="s">
        <v>74</v>
      </c>
      <c r="BA657" s="2" t="s">
        <v>74</v>
      </c>
      <c r="BB657" s="2">
        <v>737</v>
      </c>
      <c r="BC657" s="2">
        <v>747</v>
      </c>
      <c r="BD657" s="2" t="s">
        <v>74</v>
      </c>
      <c r="BE657" s="2" t="s">
        <v>3687</v>
      </c>
      <c r="BF657" s="2" t="str">
        <f>HYPERLINK("http://dx.doi.org/10.1016/j.jinsphys.2005.03.015","http://dx.doi.org/10.1016/j.jinsphys.2005.03.015")</f>
        <v>http://dx.doi.org/10.1016/j.jinsphys.2005.03.015</v>
      </c>
      <c r="BG657" s="2" t="s">
        <v>74</v>
      </c>
      <c r="BH657" s="2" t="s">
        <v>74</v>
      </c>
      <c r="BI657" s="2" t="s">
        <v>74</v>
      </c>
      <c r="BJ657" s="2" t="s">
        <v>74</v>
      </c>
      <c r="BK657" s="2" t="s">
        <v>74</v>
      </c>
      <c r="BL657" s="2" t="s">
        <v>74</v>
      </c>
      <c r="BM657" s="2" t="s">
        <v>74</v>
      </c>
      <c r="BN657" s="2" t="s">
        <v>74</v>
      </c>
      <c r="BO657" s="2" t="s">
        <v>74</v>
      </c>
      <c r="BP657" s="2" t="s">
        <v>74</v>
      </c>
      <c r="BQ657" s="2" t="s">
        <v>74</v>
      </c>
      <c r="BR657" s="2" t="s">
        <v>74</v>
      </c>
      <c r="BS657" s="2" t="s">
        <v>3688</v>
      </c>
      <c r="BT657" s="2" t="str">
        <f>HYPERLINK("https%3A%2F%2Fwww.webofscience.com%2Fwos%2Fwoscc%2Ffull-record%2FWOS:000231717400001","View Full Record in Web of Science")</f>
        <v>View Full Record in Web of Science</v>
      </c>
    </row>
    <row r="658" spans="1:72" s="2" customFormat="1" x14ac:dyDescent="0.4">
      <c r="A658" s="2" t="s">
        <v>72</v>
      </c>
      <c r="B658" s="2" t="s">
        <v>5416</v>
      </c>
      <c r="C658" s="2" t="s">
        <v>74</v>
      </c>
      <c r="D658" s="2" t="s">
        <v>74</v>
      </c>
      <c r="E658" s="2" t="s">
        <v>74</v>
      </c>
      <c r="F658" s="2" t="s">
        <v>5417</v>
      </c>
      <c r="G658" s="2" t="s">
        <v>74</v>
      </c>
      <c r="H658" s="2" t="s">
        <v>74</v>
      </c>
      <c r="I658" s="2" t="s">
        <v>5418</v>
      </c>
      <c r="J658" s="2" t="s">
        <v>1396</v>
      </c>
      <c r="K658" s="2" t="s">
        <v>74</v>
      </c>
      <c r="L658" s="2" t="s">
        <v>74</v>
      </c>
      <c r="M658" s="2" t="s">
        <v>74</v>
      </c>
      <c r="N658" s="2" t="s">
        <v>74</v>
      </c>
      <c r="O658" s="2" t="s">
        <v>74</v>
      </c>
      <c r="P658" s="2" t="s">
        <v>74</v>
      </c>
      <c r="Q658" s="2" t="s">
        <v>74</v>
      </c>
      <c r="R658" s="2" t="s">
        <v>74</v>
      </c>
      <c r="S658" s="2" t="s">
        <v>74</v>
      </c>
      <c r="T658" s="2" t="s">
        <v>74</v>
      </c>
      <c r="U658" s="2" t="s">
        <v>74</v>
      </c>
      <c r="V658" s="5" t="s">
        <v>5419</v>
      </c>
      <c r="W658" s="2" t="s">
        <v>74</v>
      </c>
      <c r="X658" s="2" t="s">
        <v>74</v>
      </c>
      <c r="Y658" s="2" t="s">
        <v>74</v>
      </c>
      <c r="Z658" s="2" t="s">
        <v>74</v>
      </c>
      <c r="AA658" s="2" t="s">
        <v>5420</v>
      </c>
      <c r="AB658" s="2" t="s">
        <v>5421</v>
      </c>
      <c r="AC658" s="2" t="s">
        <v>74</v>
      </c>
      <c r="AD658" s="2" t="s">
        <v>74</v>
      </c>
      <c r="AE658" s="2" t="s">
        <v>74</v>
      </c>
      <c r="AF658" s="2" t="s">
        <v>74</v>
      </c>
      <c r="AG658" s="2" t="s">
        <v>74</v>
      </c>
      <c r="AH658" s="2" t="s">
        <v>74</v>
      </c>
      <c r="AI658" s="2" t="s">
        <v>74</v>
      </c>
      <c r="AJ658" s="2" t="s">
        <v>74</v>
      </c>
      <c r="AK658" s="2" t="s">
        <v>74</v>
      </c>
      <c r="AL658" s="2" t="s">
        <v>74</v>
      </c>
      <c r="AM658" s="2" t="s">
        <v>74</v>
      </c>
      <c r="AN658" s="2" t="s">
        <v>74</v>
      </c>
      <c r="AO658" s="2" t="s">
        <v>1400</v>
      </c>
      <c r="AP658" s="2" t="s">
        <v>5422</v>
      </c>
      <c r="AQ658" s="2" t="s">
        <v>74</v>
      </c>
      <c r="AR658" s="2" t="s">
        <v>74</v>
      </c>
      <c r="AS658" s="2" t="s">
        <v>74</v>
      </c>
      <c r="AT658" s="2" t="s">
        <v>964</v>
      </c>
      <c r="AU658" s="2">
        <v>2018</v>
      </c>
      <c r="AV658" s="2">
        <v>56</v>
      </c>
      <c r="AW658" s="2">
        <v>1</v>
      </c>
      <c r="AX658" s="2" t="s">
        <v>74</v>
      </c>
      <c r="AY658" s="2" t="s">
        <v>74</v>
      </c>
      <c r="AZ658" s="2" t="s">
        <v>74</v>
      </c>
      <c r="BA658" s="2" t="s">
        <v>74</v>
      </c>
      <c r="BB658" s="2">
        <v>61</v>
      </c>
      <c r="BC658" s="2">
        <v>76</v>
      </c>
      <c r="BD658" s="2" t="s">
        <v>74</v>
      </c>
      <c r="BE658" s="2" t="s">
        <v>5423</v>
      </c>
      <c r="BF658" s="2" t="str">
        <f>HYPERLINK("http://dx.doi.org/10.1111/jzs.12186","http://dx.doi.org/10.1111/jzs.12186")</f>
        <v>http://dx.doi.org/10.1111/jzs.12186</v>
      </c>
      <c r="BG658" s="2" t="s">
        <v>74</v>
      </c>
      <c r="BH658" s="2" t="s">
        <v>74</v>
      </c>
      <c r="BI658" s="2" t="s">
        <v>74</v>
      </c>
      <c r="BJ658" s="2" t="s">
        <v>74</v>
      </c>
      <c r="BK658" s="2" t="s">
        <v>74</v>
      </c>
      <c r="BL658" s="2" t="s">
        <v>74</v>
      </c>
      <c r="BM658" s="2" t="s">
        <v>74</v>
      </c>
      <c r="BN658" s="2" t="s">
        <v>74</v>
      </c>
      <c r="BO658" s="2" t="s">
        <v>74</v>
      </c>
      <c r="BP658" s="2" t="s">
        <v>74</v>
      </c>
      <c r="BQ658" s="2" t="s">
        <v>74</v>
      </c>
      <c r="BR658" s="2" t="s">
        <v>74</v>
      </c>
      <c r="BS658" s="2" t="s">
        <v>5424</v>
      </c>
      <c r="BT658" s="2" t="str">
        <f>HYPERLINK("https%3A%2F%2Fwww.webofscience.com%2Fwos%2Fwoscc%2Ffull-record%2FWOS:000419657600005","View Full Record in Web of Science")</f>
        <v>View Full Record in Web of Science</v>
      </c>
    </row>
    <row r="659" spans="1:72" s="2" customFormat="1" x14ac:dyDescent="0.4">
      <c r="A659" s="2" t="s">
        <v>72</v>
      </c>
      <c r="B659" s="2" t="s">
        <v>8029</v>
      </c>
      <c r="C659" s="2" t="s">
        <v>74</v>
      </c>
      <c r="D659" s="2" t="s">
        <v>74</v>
      </c>
      <c r="E659" s="2" t="s">
        <v>74</v>
      </c>
      <c r="F659" s="2" t="s">
        <v>8030</v>
      </c>
      <c r="G659" s="2" t="s">
        <v>74</v>
      </c>
      <c r="H659" s="2" t="s">
        <v>74</v>
      </c>
      <c r="I659" s="2" t="s">
        <v>8031</v>
      </c>
      <c r="J659" s="2" t="s">
        <v>3026</v>
      </c>
      <c r="K659" s="2" t="s">
        <v>74</v>
      </c>
      <c r="L659" s="2" t="s">
        <v>74</v>
      </c>
      <c r="M659" s="2" t="s">
        <v>74</v>
      </c>
      <c r="N659" s="2" t="s">
        <v>74</v>
      </c>
      <c r="O659" s="2" t="s">
        <v>74</v>
      </c>
      <c r="P659" s="2" t="s">
        <v>74</v>
      </c>
      <c r="Q659" s="2" t="s">
        <v>74</v>
      </c>
      <c r="R659" s="2" t="s">
        <v>74</v>
      </c>
      <c r="S659" s="2" t="s">
        <v>74</v>
      </c>
      <c r="T659" s="2" t="s">
        <v>74</v>
      </c>
      <c r="U659" s="2" t="s">
        <v>74</v>
      </c>
      <c r="V659" s="5" t="s">
        <v>8032</v>
      </c>
      <c r="W659" s="2" t="s">
        <v>74</v>
      </c>
      <c r="X659" s="2" t="s">
        <v>74</v>
      </c>
      <c r="Y659" s="2" t="s">
        <v>74</v>
      </c>
      <c r="Z659" s="2" t="s">
        <v>74</v>
      </c>
      <c r="AA659" s="2" t="s">
        <v>8033</v>
      </c>
      <c r="AB659" s="2" t="s">
        <v>8034</v>
      </c>
      <c r="AC659" s="2" t="s">
        <v>74</v>
      </c>
      <c r="AD659" s="2" t="s">
        <v>74</v>
      </c>
      <c r="AE659" s="2" t="s">
        <v>74</v>
      </c>
      <c r="AF659" s="2" t="s">
        <v>74</v>
      </c>
      <c r="AG659" s="2" t="s">
        <v>74</v>
      </c>
      <c r="AH659" s="2" t="s">
        <v>74</v>
      </c>
      <c r="AI659" s="2" t="s">
        <v>74</v>
      </c>
      <c r="AJ659" s="2" t="s">
        <v>74</v>
      </c>
      <c r="AK659" s="2" t="s">
        <v>74</v>
      </c>
      <c r="AL659" s="2" t="s">
        <v>74</v>
      </c>
      <c r="AM659" s="2" t="s">
        <v>74</v>
      </c>
      <c r="AN659" s="2" t="s">
        <v>74</v>
      </c>
      <c r="AO659" s="2" t="s">
        <v>3030</v>
      </c>
      <c r="AP659" s="2" t="s">
        <v>74</v>
      </c>
      <c r="AQ659" s="2" t="s">
        <v>74</v>
      </c>
      <c r="AR659" s="2" t="s">
        <v>74</v>
      </c>
      <c r="AS659" s="2" t="s">
        <v>74</v>
      </c>
      <c r="AT659" s="2" t="s">
        <v>4557</v>
      </c>
      <c r="AU659" s="2">
        <v>2014</v>
      </c>
      <c r="AV659" s="2">
        <v>3</v>
      </c>
      <c r="AW659" s="2">
        <v>12</v>
      </c>
      <c r="AX659" s="2" t="s">
        <v>74</v>
      </c>
      <c r="AY659" s="2" t="s">
        <v>74</v>
      </c>
      <c r="AZ659" s="2" t="s">
        <v>74</v>
      </c>
      <c r="BA659" s="2" t="s">
        <v>74</v>
      </c>
      <c r="BB659" s="2">
        <v>1245</v>
      </c>
      <c r="BC659" s="2">
        <v>1251</v>
      </c>
      <c r="BD659" s="2" t="s">
        <v>74</v>
      </c>
      <c r="BE659" s="2" t="s">
        <v>8035</v>
      </c>
      <c r="BF659" s="2" t="str">
        <f>HYPERLINK("http://dx.doi.org/10.1242/bio.20149175","http://dx.doi.org/10.1242/bio.20149175")</f>
        <v>http://dx.doi.org/10.1242/bio.20149175</v>
      </c>
      <c r="BG659" s="2" t="s">
        <v>74</v>
      </c>
      <c r="BH659" s="2" t="s">
        <v>74</v>
      </c>
      <c r="BI659" s="2" t="s">
        <v>74</v>
      </c>
      <c r="BJ659" s="2" t="s">
        <v>74</v>
      </c>
      <c r="BK659" s="2" t="s">
        <v>74</v>
      </c>
      <c r="BL659" s="2" t="s">
        <v>74</v>
      </c>
      <c r="BM659" s="2" t="s">
        <v>74</v>
      </c>
      <c r="BN659" s="2">
        <v>25432516</v>
      </c>
      <c r="BO659" s="2" t="s">
        <v>74</v>
      </c>
      <c r="BP659" s="2" t="s">
        <v>74</v>
      </c>
      <c r="BQ659" s="2" t="s">
        <v>74</v>
      </c>
      <c r="BR659" s="2" t="s">
        <v>74</v>
      </c>
      <c r="BS659" s="2" t="s">
        <v>8036</v>
      </c>
      <c r="BT659" s="2" t="str">
        <f>HYPERLINK("https%3A%2F%2Fwww.webofscience.com%2Fwos%2Fwoscc%2Ffull-record%2FWOS:000348098800012","View Full Record in Web of Science")</f>
        <v>View Full Record in Web of Science</v>
      </c>
    </row>
    <row r="660" spans="1:72" s="2" customFormat="1" x14ac:dyDescent="0.4">
      <c r="A660" s="2" t="s">
        <v>72</v>
      </c>
      <c r="B660" s="2" t="s">
        <v>1353</v>
      </c>
      <c r="C660" s="2" t="s">
        <v>74</v>
      </c>
      <c r="D660" s="2" t="s">
        <v>74</v>
      </c>
      <c r="E660" s="2" t="s">
        <v>74</v>
      </c>
      <c r="F660" s="2" t="s">
        <v>1354</v>
      </c>
      <c r="G660" s="2" t="s">
        <v>74</v>
      </c>
      <c r="H660" s="2" t="s">
        <v>74</v>
      </c>
      <c r="I660" s="2" t="s">
        <v>1355</v>
      </c>
      <c r="J660" s="2" t="s">
        <v>408</v>
      </c>
      <c r="K660" s="2" t="s">
        <v>74</v>
      </c>
      <c r="L660" s="2" t="s">
        <v>74</v>
      </c>
      <c r="M660" s="2" t="s">
        <v>74</v>
      </c>
      <c r="N660" s="2" t="s">
        <v>74</v>
      </c>
      <c r="O660" s="2" t="s">
        <v>74</v>
      </c>
      <c r="P660" s="2" t="s">
        <v>74</v>
      </c>
      <c r="Q660" s="2" t="s">
        <v>74</v>
      </c>
      <c r="R660" s="2" t="s">
        <v>74</v>
      </c>
      <c r="S660" s="2" t="s">
        <v>74</v>
      </c>
      <c r="T660" s="2" t="s">
        <v>74</v>
      </c>
      <c r="U660" s="2" t="s">
        <v>74</v>
      </c>
      <c r="V660" s="5" t="s">
        <v>1356</v>
      </c>
      <c r="W660" s="2" t="s">
        <v>74</v>
      </c>
      <c r="X660" s="2" t="s">
        <v>74</v>
      </c>
      <c r="Y660" s="2" t="s">
        <v>74</v>
      </c>
      <c r="Z660" s="2" t="s">
        <v>74</v>
      </c>
      <c r="AA660" s="2" t="s">
        <v>74</v>
      </c>
      <c r="AB660" s="2" t="s">
        <v>1357</v>
      </c>
      <c r="AC660" s="2" t="s">
        <v>74</v>
      </c>
      <c r="AD660" s="2" t="s">
        <v>74</v>
      </c>
      <c r="AE660" s="2" t="s">
        <v>74</v>
      </c>
      <c r="AF660" s="2" t="s">
        <v>74</v>
      </c>
      <c r="AG660" s="2" t="s">
        <v>74</v>
      </c>
      <c r="AH660" s="2" t="s">
        <v>74</v>
      </c>
      <c r="AI660" s="2" t="s">
        <v>74</v>
      </c>
      <c r="AJ660" s="2" t="s">
        <v>74</v>
      </c>
      <c r="AK660" s="2" t="s">
        <v>74</v>
      </c>
      <c r="AL660" s="2" t="s">
        <v>74</v>
      </c>
      <c r="AM660" s="2" t="s">
        <v>74</v>
      </c>
      <c r="AN660" s="2" t="s">
        <v>74</v>
      </c>
      <c r="AO660" s="2" t="s">
        <v>412</v>
      </c>
      <c r="AP660" s="2" t="s">
        <v>413</v>
      </c>
      <c r="AQ660" s="2" t="s">
        <v>74</v>
      </c>
      <c r="AR660" s="2" t="s">
        <v>74</v>
      </c>
      <c r="AS660" s="2" t="s">
        <v>74</v>
      </c>
      <c r="AT660" s="2" t="s">
        <v>145</v>
      </c>
      <c r="AU660" s="2">
        <v>2008</v>
      </c>
      <c r="AV660" s="2">
        <v>94</v>
      </c>
      <c r="AW660" s="2">
        <v>4</v>
      </c>
      <c r="AX660" s="2" t="s">
        <v>74</v>
      </c>
      <c r="AY660" s="2" t="s">
        <v>74</v>
      </c>
      <c r="AZ660" s="2" t="s">
        <v>74</v>
      </c>
      <c r="BA660" s="2" t="s">
        <v>74</v>
      </c>
      <c r="BB660" s="2">
        <v>663</v>
      </c>
      <c r="BC660" s="2">
        <v>673</v>
      </c>
      <c r="BD660" s="2" t="s">
        <v>74</v>
      </c>
      <c r="BE660" s="2" t="s">
        <v>1358</v>
      </c>
      <c r="BF660" s="2" t="str">
        <f>HYPERLINK("http://dx.doi.org/10.1111/j.1095-8312.2008.01021.x","http://dx.doi.org/10.1111/j.1095-8312.2008.01021.x")</f>
        <v>http://dx.doi.org/10.1111/j.1095-8312.2008.01021.x</v>
      </c>
      <c r="BG660" s="2" t="s">
        <v>74</v>
      </c>
      <c r="BH660" s="2" t="s">
        <v>74</v>
      </c>
      <c r="BI660" s="2" t="s">
        <v>74</v>
      </c>
      <c r="BJ660" s="2" t="s">
        <v>74</v>
      </c>
      <c r="BK660" s="2" t="s">
        <v>74</v>
      </c>
      <c r="BL660" s="2" t="s">
        <v>74</v>
      </c>
      <c r="BM660" s="2" t="s">
        <v>74</v>
      </c>
      <c r="BN660" s="2" t="s">
        <v>74</v>
      </c>
      <c r="BO660" s="2" t="s">
        <v>74</v>
      </c>
      <c r="BP660" s="2" t="s">
        <v>74</v>
      </c>
      <c r="BQ660" s="2" t="s">
        <v>74</v>
      </c>
      <c r="BR660" s="2" t="s">
        <v>74</v>
      </c>
      <c r="BS660" s="2" t="s">
        <v>1359</v>
      </c>
      <c r="BT660" s="2" t="str">
        <f>HYPERLINK("https%3A%2F%2Fwww.webofscience.com%2Fwos%2Fwoscc%2Ffull-record%2FWOS:000258458500002","View Full Record in Web of Science")</f>
        <v>View Full Record in Web of Science</v>
      </c>
    </row>
    <row r="661" spans="1:72" s="2" customFormat="1" x14ac:dyDescent="0.4">
      <c r="A661" s="2" t="s">
        <v>72</v>
      </c>
      <c r="B661" s="2" t="s">
        <v>967</v>
      </c>
      <c r="C661" s="2" t="s">
        <v>74</v>
      </c>
      <c r="D661" s="2" t="s">
        <v>74</v>
      </c>
      <c r="E661" s="2" t="s">
        <v>74</v>
      </c>
      <c r="F661" s="2" t="s">
        <v>968</v>
      </c>
      <c r="G661" s="2" t="s">
        <v>74</v>
      </c>
      <c r="H661" s="2" t="s">
        <v>74</v>
      </c>
      <c r="I661" s="2" t="s">
        <v>969</v>
      </c>
      <c r="J661" s="2" t="s">
        <v>970</v>
      </c>
      <c r="K661" s="2" t="s">
        <v>74</v>
      </c>
      <c r="L661" s="2" t="s">
        <v>74</v>
      </c>
      <c r="M661" s="2" t="s">
        <v>74</v>
      </c>
      <c r="N661" s="2" t="s">
        <v>74</v>
      </c>
      <c r="O661" s="2" t="s">
        <v>74</v>
      </c>
      <c r="P661" s="2" t="s">
        <v>74</v>
      </c>
      <c r="Q661" s="2" t="s">
        <v>74</v>
      </c>
      <c r="R661" s="2" t="s">
        <v>74</v>
      </c>
      <c r="S661" s="2" t="s">
        <v>74</v>
      </c>
      <c r="T661" s="2" t="s">
        <v>74</v>
      </c>
      <c r="U661" s="2" t="s">
        <v>74</v>
      </c>
      <c r="V661" s="5" t="s">
        <v>971</v>
      </c>
      <c r="W661" s="2" t="s">
        <v>74</v>
      </c>
      <c r="X661" s="2" t="s">
        <v>74</v>
      </c>
      <c r="Y661" s="2" t="s">
        <v>74</v>
      </c>
      <c r="Z661" s="2" t="s">
        <v>74</v>
      </c>
      <c r="AA661" s="2" t="s">
        <v>972</v>
      </c>
      <c r="AB661" s="2" t="s">
        <v>973</v>
      </c>
      <c r="AC661" s="2" t="s">
        <v>74</v>
      </c>
      <c r="AD661" s="2" t="s">
        <v>74</v>
      </c>
      <c r="AE661" s="2" t="s">
        <v>74</v>
      </c>
      <c r="AF661" s="2" t="s">
        <v>74</v>
      </c>
      <c r="AG661" s="2" t="s">
        <v>74</v>
      </c>
      <c r="AH661" s="2" t="s">
        <v>74</v>
      </c>
      <c r="AI661" s="2" t="s">
        <v>74</v>
      </c>
      <c r="AJ661" s="2" t="s">
        <v>74</v>
      </c>
      <c r="AK661" s="2" t="s">
        <v>74</v>
      </c>
      <c r="AL661" s="2" t="s">
        <v>74</v>
      </c>
      <c r="AM661" s="2" t="s">
        <v>74</v>
      </c>
      <c r="AN661" s="2" t="s">
        <v>74</v>
      </c>
      <c r="AO661" s="2" t="s">
        <v>974</v>
      </c>
      <c r="AP661" s="2" t="s">
        <v>975</v>
      </c>
      <c r="AQ661" s="2" t="s">
        <v>74</v>
      </c>
      <c r="AR661" s="2" t="s">
        <v>74</v>
      </c>
      <c r="AS661" s="2" t="s">
        <v>74</v>
      </c>
      <c r="AT661" s="2" t="s">
        <v>204</v>
      </c>
      <c r="AU661" s="2">
        <v>2008</v>
      </c>
      <c r="AV661" s="2">
        <v>149</v>
      </c>
      <c r="AW661" s="2">
        <v>3</v>
      </c>
      <c r="AX661" s="2" t="s">
        <v>74</v>
      </c>
      <c r="AY661" s="2" t="s">
        <v>74</v>
      </c>
      <c r="AZ661" s="2" t="s">
        <v>74</v>
      </c>
      <c r="BA661" s="2" t="s">
        <v>74</v>
      </c>
      <c r="BB661" s="2">
        <v>415</v>
      </c>
      <c r="BC661" s="2">
        <v>421</v>
      </c>
      <c r="BD661" s="2" t="s">
        <v>74</v>
      </c>
      <c r="BE661" s="2" t="s">
        <v>976</v>
      </c>
      <c r="BF661" s="2" t="str">
        <f>HYPERLINK("http://dx.doi.org/10.1007/s10336-008-0283-0","http://dx.doi.org/10.1007/s10336-008-0283-0")</f>
        <v>http://dx.doi.org/10.1007/s10336-008-0283-0</v>
      </c>
      <c r="BG661" s="2" t="s">
        <v>74</v>
      </c>
      <c r="BH661" s="2" t="s">
        <v>74</v>
      </c>
      <c r="BI661" s="2" t="s">
        <v>74</v>
      </c>
      <c r="BJ661" s="2" t="s">
        <v>74</v>
      </c>
      <c r="BK661" s="2" t="s">
        <v>74</v>
      </c>
      <c r="BL661" s="2" t="s">
        <v>74</v>
      </c>
      <c r="BM661" s="2" t="s">
        <v>74</v>
      </c>
      <c r="BN661" s="2" t="s">
        <v>74</v>
      </c>
      <c r="BO661" s="2" t="s">
        <v>74</v>
      </c>
      <c r="BP661" s="2" t="s">
        <v>74</v>
      </c>
      <c r="BQ661" s="2" t="s">
        <v>74</v>
      </c>
      <c r="BR661" s="2" t="s">
        <v>74</v>
      </c>
      <c r="BS661" s="2" t="s">
        <v>977</v>
      </c>
      <c r="BT661" s="2" t="str">
        <f>HYPERLINK("https%3A%2F%2Fwww.webofscience.com%2Fwos%2Fwoscc%2Ffull-record%2FWOS:000256660000013","View Full Record in Web of Science")</f>
        <v>View Full Record in Web of Science</v>
      </c>
    </row>
    <row r="662" spans="1:72" s="2" customFormat="1" x14ac:dyDescent="0.4">
      <c r="A662" s="2" t="s">
        <v>72</v>
      </c>
      <c r="B662" s="2" t="s">
        <v>6357</v>
      </c>
      <c r="C662" s="2" t="s">
        <v>74</v>
      </c>
      <c r="D662" s="2" t="s">
        <v>74</v>
      </c>
      <c r="E662" s="2" t="s">
        <v>74</v>
      </c>
      <c r="F662" s="2" t="s">
        <v>6358</v>
      </c>
      <c r="G662" s="2" t="s">
        <v>74</v>
      </c>
      <c r="H662" s="2" t="s">
        <v>74</v>
      </c>
      <c r="I662" s="2" t="s">
        <v>6359</v>
      </c>
      <c r="J662" s="2" t="s">
        <v>77</v>
      </c>
      <c r="K662" s="2" t="s">
        <v>74</v>
      </c>
      <c r="L662" s="2" t="s">
        <v>74</v>
      </c>
      <c r="M662" s="2" t="s">
        <v>74</v>
      </c>
      <c r="N662" s="2" t="s">
        <v>74</v>
      </c>
      <c r="O662" s="2" t="s">
        <v>74</v>
      </c>
      <c r="P662" s="2" t="s">
        <v>74</v>
      </c>
      <c r="Q662" s="2" t="s">
        <v>74</v>
      </c>
      <c r="R662" s="2" t="s">
        <v>74</v>
      </c>
      <c r="S662" s="2" t="s">
        <v>74</v>
      </c>
      <c r="T662" s="2" t="s">
        <v>74</v>
      </c>
      <c r="U662" s="2" t="s">
        <v>74</v>
      </c>
      <c r="V662" s="5" t="s">
        <v>6360</v>
      </c>
      <c r="W662" s="2" t="s">
        <v>74</v>
      </c>
      <c r="X662" s="2" t="s">
        <v>74</v>
      </c>
      <c r="Y662" s="2" t="s">
        <v>74</v>
      </c>
      <c r="Z662" s="2" t="s">
        <v>74</v>
      </c>
      <c r="AA662" s="2" t="s">
        <v>74</v>
      </c>
      <c r="AB662" s="2" t="s">
        <v>6361</v>
      </c>
      <c r="AC662" s="2" t="s">
        <v>74</v>
      </c>
      <c r="AD662" s="2" t="s">
        <v>74</v>
      </c>
      <c r="AE662" s="2" t="s">
        <v>74</v>
      </c>
      <c r="AF662" s="2" t="s">
        <v>74</v>
      </c>
      <c r="AG662" s="2" t="s">
        <v>74</v>
      </c>
      <c r="AH662" s="2" t="s">
        <v>74</v>
      </c>
      <c r="AI662" s="2" t="s">
        <v>74</v>
      </c>
      <c r="AJ662" s="2" t="s">
        <v>74</v>
      </c>
      <c r="AK662" s="2" t="s">
        <v>74</v>
      </c>
      <c r="AL662" s="2" t="s">
        <v>74</v>
      </c>
      <c r="AM662" s="2" t="s">
        <v>74</v>
      </c>
      <c r="AN662" s="2" t="s">
        <v>74</v>
      </c>
      <c r="AO662" s="2" t="s">
        <v>81</v>
      </c>
      <c r="AP662" s="2" t="s">
        <v>82</v>
      </c>
      <c r="AQ662" s="2" t="s">
        <v>74</v>
      </c>
      <c r="AR662" s="2" t="s">
        <v>74</v>
      </c>
      <c r="AS662" s="2" t="s">
        <v>74</v>
      </c>
      <c r="AT662" s="2" t="s">
        <v>74</v>
      </c>
      <c r="AU662" s="2">
        <v>2015</v>
      </c>
      <c r="AV662" s="2">
        <v>152</v>
      </c>
      <c r="AW662" s="2" t="s">
        <v>6362</v>
      </c>
      <c r="AX662" s="2" t="s">
        <v>74</v>
      </c>
      <c r="AY662" s="2" t="s">
        <v>74</v>
      </c>
      <c r="AZ662" s="2" t="s">
        <v>74</v>
      </c>
      <c r="BA662" s="2" t="s">
        <v>74</v>
      </c>
      <c r="BB662" s="2">
        <v>1601</v>
      </c>
      <c r="BC662" s="2">
        <v>1621</v>
      </c>
      <c r="BD662" s="2" t="s">
        <v>74</v>
      </c>
      <c r="BE662" s="2" t="s">
        <v>6363</v>
      </c>
      <c r="BF662" s="2" t="str">
        <f>HYPERLINK("http://dx.doi.org/10.1163/1568539X-00003295","http://dx.doi.org/10.1163/1568539X-00003295")</f>
        <v>http://dx.doi.org/10.1163/1568539X-00003295</v>
      </c>
      <c r="BG662" s="2" t="s">
        <v>74</v>
      </c>
      <c r="BH662" s="2" t="s">
        <v>74</v>
      </c>
      <c r="BI662" s="2" t="s">
        <v>74</v>
      </c>
      <c r="BJ662" s="2" t="s">
        <v>74</v>
      </c>
      <c r="BK662" s="2" t="s">
        <v>74</v>
      </c>
      <c r="BL662" s="2" t="s">
        <v>74</v>
      </c>
      <c r="BM662" s="2" t="s">
        <v>74</v>
      </c>
      <c r="BN662" s="2" t="s">
        <v>74</v>
      </c>
      <c r="BO662" s="2" t="s">
        <v>74</v>
      </c>
      <c r="BP662" s="2" t="s">
        <v>74</v>
      </c>
      <c r="BQ662" s="2" t="s">
        <v>74</v>
      </c>
      <c r="BR662" s="2" t="s">
        <v>74</v>
      </c>
      <c r="BS662" s="2" t="s">
        <v>6364</v>
      </c>
      <c r="BT662" s="2" t="str">
        <f>HYPERLINK("https%3A%2F%2Fwww.webofscience.com%2Fwos%2Fwoscc%2Ffull-record%2FWOS:000362911000001","View Full Record in Web of Science")</f>
        <v>View Full Record in Web of Science</v>
      </c>
    </row>
    <row r="663" spans="1:72" s="2" customFormat="1" x14ac:dyDescent="0.4">
      <c r="A663" s="2" t="s">
        <v>72</v>
      </c>
      <c r="B663" s="2" t="s">
        <v>8706</v>
      </c>
      <c r="C663" s="2" t="s">
        <v>74</v>
      </c>
      <c r="D663" s="2" t="s">
        <v>74</v>
      </c>
      <c r="E663" s="2" t="s">
        <v>74</v>
      </c>
      <c r="F663" s="2" t="s">
        <v>8707</v>
      </c>
      <c r="G663" s="2" t="s">
        <v>74</v>
      </c>
      <c r="H663" s="2" t="s">
        <v>74</v>
      </c>
      <c r="I663" s="2" t="s">
        <v>8708</v>
      </c>
      <c r="J663" s="2" t="s">
        <v>4522</v>
      </c>
      <c r="K663" s="2" t="s">
        <v>74</v>
      </c>
      <c r="L663" s="2" t="s">
        <v>74</v>
      </c>
      <c r="M663" s="2" t="s">
        <v>74</v>
      </c>
      <c r="N663" s="2" t="s">
        <v>74</v>
      </c>
      <c r="O663" s="2" t="s">
        <v>74</v>
      </c>
      <c r="P663" s="2" t="s">
        <v>74</v>
      </c>
      <c r="Q663" s="2" t="s">
        <v>74</v>
      </c>
      <c r="R663" s="2" t="s">
        <v>74</v>
      </c>
      <c r="S663" s="2" t="s">
        <v>74</v>
      </c>
      <c r="T663" s="2" t="s">
        <v>74</v>
      </c>
      <c r="U663" s="2" t="s">
        <v>74</v>
      </c>
      <c r="V663" s="5" t="s">
        <v>8709</v>
      </c>
      <c r="W663" s="2" t="s">
        <v>74</v>
      </c>
      <c r="X663" s="2" t="s">
        <v>74</v>
      </c>
      <c r="Y663" s="2" t="s">
        <v>74</v>
      </c>
      <c r="Z663" s="2" t="s">
        <v>74</v>
      </c>
      <c r="AA663" s="2" t="s">
        <v>8710</v>
      </c>
      <c r="AB663" s="2" t="s">
        <v>8711</v>
      </c>
      <c r="AC663" s="2" t="s">
        <v>74</v>
      </c>
      <c r="AD663" s="2" t="s">
        <v>74</v>
      </c>
      <c r="AE663" s="2" t="s">
        <v>74</v>
      </c>
      <c r="AF663" s="2" t="s">
        <v>74</v>
      </c>
      <c r="AG663" s="2" t="s">
        <v>74</v>
      </c>
      <c r="AH663" s="2" t="s">
        <v>74</v>
      </c>
      <c r="AI663" s="2" t="s">
        <v>74</v>
      </c>
      <c r="AJ663" s="2" t="s">
        <v>74</v>
      </c>
      <c r="AK663" s="2" t="s">
        <v>74</v>
      </c>
      <c r="AL663" s="2" t="s">
        <v>74</v>
      </c>
      <c r="AM663" s="2" t="s">
        <v>74</v>
      </c>
      <c r="AN663" s="2" t="s">
        <v>74</v>
      </c>
      <c r="AO663" s="2" t="s">
        <v>4526</v>
      </c>
      <c r="AP663" s="2" t="s">
        <v>4527</v>
      </c>
      <c r="AQ663" s="2" t="s">
        <v>74</v>
      </c>
      <c r="AR663" s="2" t="s">
        <v>74</v>
      </c>
      <c r="AS663" s="2" t="s">
        <v>74</v>
      </c>
      <c r="AT663" s="2" t="s">
        <v>8712</v>
      </c>
      <c r="AU663" s="2">
        <v>2016</v>
      </c>
      <c r="AV663" s="2">
        <v>50</v>
      </c>
      <c r="AW663" s="2" t="s">
        <v>8713</v>
      </c>
      <c r="AX663" s="2" t="s">
        <v>74</v>
      </c>
      <c r="AY663" s="2" t="s">
        <v>74</v>
      </c>
      <c r="AZ663" s="2" t="s">
        <v>74</v>
      </c>
      <c r="BA663" s="2" t="s">
        <v>74</v>
      </c>
      <c r="BB663" s="2">
        <v>1283</v>
      </c>
      <c r="BC663" s="2">
        <v>1289</v>
      </c>
      <c r="BD663" s="2" t="s">
        <v>74</v>
      </c>
      <c r="BE663" s="2" t="s">
        <v>8714</v>
      </c>
      <c r="BF663" s="2" t="str">
        <f>HYPERLINK("http://dx.doi.org/10.1080/00222933.2015.1105318","http://dx.doi.org/10.1080/00222933.2015.1105318")</f>
        <v>http://dx.doi.org/10.1080/00222933.2015.1105318</v>
      </c>
      <c r="BG663" s="2" t="s">
        <v>74</v>
      </c>
      <c r="BH663" s="2" t="s">
        <v>74</v>
      </c>
      <c r="BI663" s="2" t="s">
        <v>74</v>
      </c>
      <c r="BJ663" s="2" t="s">
        <v>74</v>
      </c>
      <c r="BK663" s="2" t="s">
        <v>74</v>
      </c>
      <c r="BL663" s="2" t="s">
        <v>74</v>
      </c>
      <c r="BM663" s="2" t="s">
        <v>74</v>
      </c>
      <c r="BN663" s="2" t="s">
        <v>74</v>
      </c>
      <c r="BO663" s="2" t="s">
        <v>74</v>
      </c>
      <c r="BP663" s="2" t="s">
        <v>74</v>
      </c>
      <c r="BQ663" s="2" t="s">
        <v>74</v>
      </c>
      <c r="BR663" s="2" t="s">
        <v>74</v>
      </c>
      <c r="BS663" s="2" t="s">
        <v>8715</v>
      </c>
      <c r="BT663" s="2" t="str">
        <f>HYPERLINK("https%3A%2F%2Fwww.webofscience.com%2Fwos%2Fwoscc%2Ffull-record%2FWOS:000373297600001","View Full Record in Web of Science")</f>
        <v>View Full Record in Web of Science</v>
      </c>
    </row>
    <row r="664" spans="1:72" s="2" customFormat="1" x14ac:dyDescent="0.4">
      <c r="A664" s="2" t="s">
        <v>72</v>
      </c>
      <c r="B664" s="2" t="s">
        <v>4512</v>
      </c>
      <c r="C664" s="2" t="s">
        <v>74</v>
      </c>
      <c r="D664" s="2" t="s">
        <v>74</v>
      </c>
      <c r="E664" s="2" t="s">
        <v>74</v>
      </c>
      <c r="F664" s="2" t="s">
        <v>4513</v>
      </c>
      <c r="G664" s="2" t="s">
        <v>74</v>
      </c>
      <c r="H664" s="2" t="s">
        <v>74</v>
      </c>
      <c r="I664" s="2" t="s">
        <v>4514</v>
      </c>
      <c r="J664" s="2" t="s">
        <v>1949</v>
      </c>
      <c r="K664" s="2" t="s">
        <v>74</v>
      </c>
      <c r="L664" s="2" t="s">
        <v>74</v>
      </c>
      <c r="M664" s="2" t="s">
        <v>74</v>
      </c>
      <c r="N664" s="2" t="s">
        <v>74</v>
      </c>
      <c r="O664" s="2" t="s">
        <v>74</v>
      </c>
      <c r="P664" s="2" t="s">
        <v>74</v>
      </c>
      <c r="Q664" s="2" t="s">
        <v>74</v>
      </c>
      <c r="R664" s="2" t="s">
        <v>74</v>
      </c>
      <c r="S664" s="2" t="s">
        <v>74</v>
      </c>
      <c r="T664" s="2" t="s">
        <v>74</v>
      </c>
      <c r="U664" s="2" t="s">
        <v>74</v>
      </c>
      <c r="V664" s="5" t="s">
        <v>4515</v>
      </c>
      <c r="W664" s="2" t="s">
        <v>74</v>
      </c>
      <c r="X664" s="2" t="s">
        <v>74</v>
      </c>
      <c r="Y664" s="2" t="s">
        <v>74</v>
      </c>
      <c r="Z664" s="2" t="s">
        <v>74</v>
      </c>
      <c r="AA664" s="2" t="s">
        <v>74</v>
      </c>
      <c r="AB664" s="2" t="s">
        <v>4516</v>
      </c>
      <c r="AC664" s="2" t="s">
        <v>74</v>
      </c>
      <c r="AD664" s="2" t="s">
        <v>74</v>
      </c>
      <c r="AE664" s="2" t="s">
        <v>74</v>
      </c>
      <c r="AF664" s="2" t="s">
        <v>74</v>
      </c>
      <c r="AG664" s="2" t="s">
        <v>74</v>
      </c>
      <c r="AH664" s="2" t="s">
        <v>74</v>
      </c>
      <c r="AI664" s="2" t="s">
        <v>74</v>
      </c>
      <c r="AJ664" s="2" t="s">
        <v>74</v>
      </c>
      <c r="AK664" s="2" t="s">
        <v>74</v>
      </c>
      <c r="AL664" s="2" t="s">
        <v>74</v>
      </c>
      <c r="AM664" s="2" t="s">
        <v>74</v>
      </c>
      <c r="AN664" s="2" t="s">
        <v>74</v>
      </c>
      <c r="AO664" s="2" t="s">
        <v>74</v>
      </c>
      <c r="AP664" s="2" t="s">
        <v>1953</v>
      </c>
      <c r="AQ664" s="2" t="s">
        <v>74</v>
      </c>
      <c r="AR664" s="2" t="s">
        <v>74</v>
      </c>
      <c r="AS664" s="2" t="s">
        <v>74</v>
      </c>
      <c r="AT664" s="2" t="s">
        <v>204</v>
      </c>
      <c r="AU664" s="2">
        <v>2024</v>
      </c>
      <c r="AV664" s="2">
        <v>15</v>
      </c>
      <c r="AW664" s="2">
        <v>7</v>
      </c>
      <c r="AX664" s="2" t="s">
        <v>74</v>
      </c>
      <c r="AY664" s="2" t="s">
        <v>74</v>
      </c>
      <c r="AZ664" s="2" t="s">
        <v>74</v>
      </c>
      <c r="BA664" s="2" t="s">
        <v>74</v>
      </c>
      <c r="BB664" s="2" t="s">
        <v>74</v>
      </c>
      <c r="BC664" s="2" t="s">
        <v>74</v>
      </c>
      <c r="BD664" s="2">
        <v>548</v>
      </c>
      <c r="BE664" s="2" t="s">
        <v>4517</v>
      </c>
      <c r="BF664" s="2" t="str">
        <f>HYPERLINK("http://dx.doi.org/10.3390/insects15070548","http://dx.doi.org/10.3390/insects15070548")</f>
        <v>http://dx.doi.org/10.3390/insects15070548</v>
      </c>
      <c r="BG664" s="2" t="s">
        <v>74</v>
      </c>
      <c r="BH664" s="2" t="s">
        <v>74</v>
      </c>
      <c r="BI664" s="2" t="s">
        <v>74</v>
      </c>
      <c r="BJ664" s="2" t="s">
        <v>74</v>
      </c>
      <c r="BK664" s="2" t="s">
        <v>74</v>
      </c>
      <c r="BL664" s="2" t="s">
        <v>74</v>
      </c>
      <c r="BM664" s="2" t="s">
        <v>74</v>
      </c>
      <c r="BN664" s="2">
        <v>39057280</v>
      </c>
      <c r="BO664" s="2" t="s">
        <v>74</v>
      </c>
      <c r="BP664" s="2" t="s">
        <v>74</v>
      </c>
      <c r="BQ664" s="2" t="s">
        <v>74</v>
      </c>
      <c r="BR664" s="2" t="s">
        <v>74</v>
      </c>
      <c r="BS664" s="2" t="s">
        <v>4518</v>
      </c>
      <c r="BT664" s="2" t="str">
        <f>HYPERLINK("https%3A%2F%2Fwww.webofscience.com%2Fwos%2Fwoscc%2Ffull-record%2FWOS:001278556300001","View Full Record in Web of Science")</f>
        <v>View Full Record in Web of Science</v>
      </c>
    </row>
    <row r="665" spans="1:72" s="2" customFormat="1" x14ac:dyDescent="0.4">
      <c r="A665" s="2" t="s">
        <v>72</v>
      </c>
      <c r="B665" s="2" t="s">
        <v>7648</v>
      </c>
      <c r="C665" s="2" t="s">
        <v>74</v>
      </c>
      <c r="D665" s="2" t="s">
        <v>74</v>
      </c>
      <c r="E665" s="2" t="s">
        <v>74</v>
      </c>
      <c r="F665" s="2" t="s">
        <v>7649</v>
      </c>
      <c r="G665" s="2" t="s">
        <v>74</v>
      </c>
      <c r="H665" s="2" t="s">
        <v>74</v>
      </c>
      <c r="I665" s="2" t="s">
        <v>7650</v>
      </c>
      <c r="J665" s="2" t="s">
        <v>6968</v>
      </c>
      <c r="K665" s="2" t="s">
        <v>74</v>
      </c>
      <c r="L665" s="2" t="s">
        <v>74</v>
      </c>
      <c r="M665" s="2" t="s">
        <v>74</v>
      </c>
      <c r="N665" s="2" t="s">
        <v>74</v>
      </c>
      <c r="O665" s="2" t="s">
        <v>74</v>
      </c>
      <c r="P665" s="2" t="s">
        <v>74</v>
      </c>
      <c r="Q665" s="2" t="s">
        <v>74</v>
      </c>
      <c r="R665" s="2" t="s">
        <v>74</v>
      </c>
      <c r="S665" s="2" t="s">
        <v>74</v>
      </c>
      <c r="T665" s="2" t="s">
        <v>74</v>
      </c>
      <c r="U665" s="2" t="s">
        <v>74</v>
      </c>
      <c r="V665" s="5" t="s">
        <v>7651</v>
      </c>
      <c r="W665" s="2" t="s">
        <v>74</v>
      </c>
      <c r="X665" s="2" t="s">
        <v>74</v>
      </c>
      <c r="Y665" s="2" t="s">
        <v>74</v>
      </c>
      <c r="Z665" s="2" t="s">
        <v>74</v>
      </c>
      <c r="AA665" s="2" t="s">
        <v>74</v>
      </c>
      <c r="AB665" s="2" t="s">
        <v>74</v>
      </c>
      <c r="AC665" s="2" t="s">
        <v>74</v>
      </c>
      <c r="AD665" s="2" t="s">
        <v>74</v>
      </c>
      <c r="AE665" s="2" t="s">
        <v>74</v>
      </c>
      <c r="AF665" s="2" t="s">
        <v>74</v>
      </c>
      <c r="AG665" s="2" t="s">
        <v>74</v>
      </c>
      <c r="AH665" s="2" t="s">
        <v>74</v>
      </c>
      <c r="AI665" s="2" t="s">
        <v>74</v>
      </c>
      <c r="AJ665" s="2" t="s">
        <v>74</v>
      </c>
      <c r="AK665" s="2" t="s">
        <v>74</v>
      </c>
      <c r="AL665" s="2" t="s">
        <v>74</v>
      </c>
      <c r="AM665" s="2" t="s">
        <v>74</v>
      </c>
      <c r="AN665" s="2" t="s">
        <v>74</v>
      </c>
      <c r="AO665" s="2" t="s">
        <v>6970</v>
      </c>
      <c r="AP665" s="2" t="s">
        <v>6971</v>
      </c>
      <c r="AQ665" s="2" t="s">
        <v>74</v>
      </c>
      <c r="AR665" s="2" t="s">
        <v>74</v>
      </c>
      <c r="AS665" s="2" t="s">
        <v>74</v>
      </c>
      <c r="AT665" s="2" t="s">
        <v>352</v>
      </c>
      <c r="AU665" s="2">
        <v>2021</v>
      </c>
      <c r="AV665" s="2">
        <v>21</v>
      </c>
      <c r="AW665" s="2">
        <v>3</v>
      </c>
      <c r="AX665" s="2" t="s">
        <v>74</v>
      </c>
      <c r="AY665" s="2" t="s">
        <v>74</v>
      </c>
      <c r="AZ665" s="2" t="s">
        <v>74</v>
      </c>
      <c r="BA665" s="2" t="s">
        <v>74</v>
      </c>
      <c r="BB665" s="2">
        <v>533</v>
      </c>
      <c r="BC665" s="2">
        <v>545</v>
      </c>
      <c r="BD665" s="2" t="s">
        <v>74</v>
      </c>
      <c r="BE665" s="2" t="s">
        <v>7652</v>
      </c>
      <c r="BF665" s="2" t="str">
        <f>HYPERLINK("http://dx.doi.org/10.1007/s13127-021-00498-9","http://dx.doi.org/10.1007/s13127-021-00498-9")</f>
        <v>http://dx.doi.org/10.1007/s13127-021-00498-9</v>
      </c>
      <c r="BG665" s="2" t="s">
        <v>74</v>
      </c>
      <c r="BH665" s="2" t="s">
        <v>224</v>
      </c>
      <c r="BI665" s="2" t="s">
        <v>74</v>
      </c>
      <c r="BJ665" s="2" t="s">
        <v>74</v>
      </c>
      <c r="BK665" s="2" t="s">
        <v>74</v>
      </c>
      <c r="BL665" s="2" t="s">
        <v>74</v>
      </c>
      <c r="BM665" s="2" t="s">
        <v>74</v>
      </c>
      <c r="BN665" s="2" t="s">
        <v>74</v>
      </c>
      <c r="BO665" s="2" t="s">
        <v>74</v>
      </c>
      <c r="BP665" s="2" t="s">
        <v>74</v>
      </c>
      <c r="BQ665" s="2" t="s">
        <v>74</v>
      </c>
      <c r="BR665" s="2" t="s">
        <v>74</v>
      </c>
      <c r="BS665" s="2" t="s">
        <v>7653</v>
      </c>
      <c r="BT665" s="2" t="str">
        <f>HYPERLINK("https%3A%2F%2Fwww.webofscience.com%2Fwos%2Fwoscc%2Ffull-record%2FWOS:000665705600001","View Full Record in Web of Science")</f>
        <v>View Full Record in Web of Science</v>
      </c>
    </row>
    <row r="666" spans="1:72" s="2" customFormat="1" x14ac:dyDescent="0.4">
      <c r="A666" s="2" t="s">
        <v>72</v>
      </c>
      <c r="B666" s="2" t="s">
        <v>8227</v>
      </c>
      <c r="C666" s="2" t="s">
        <v>74</v>
      </c>
      <c r="D666" s="2" t="s">
        <v>74</v>
      </c>
      <c r="E666" s="2" t="s">
        <v>74</v>
      </c>
      <c r="F666" s="2" t="s">
        <v>8228</v>
      </c>
      <c r="G666" s="2" t="s">
        <v>74</v>
      </c>
      <c r="H666" s="2" t="s">
        <v>74</v>
      </c>
      <c r="I666" s="2" t="s">
        <v>8229</v>
      </c>
      <c r="J666" s="2" t="s">
        <v>8230</v>
      </c>
      <c r="K666" s="2" t="s">
        <v>74</v>
      </c>
      <c r="L666" s="2" t="s">
        <v>74</v>
      </c>
      <c r="M666" s="2" t="s">
        <v>74</v>
      </c>
      <c r="N666" s="2" t="s">
        <v>74</v>
      </c>
      <c r="O666" s="2" t="s">
        <v>74</v>
      </c>
      <c r="P666" s="2" t="s">
        <v>74</v>
      </c>
      <c r="Q666" s="2" t="s">
        <v>74</v>
      </c>
      <c r="R666" s="2" t="s">
        <v>74</v>
      </c>
      <c r="S666" s="2" t="s">
        <v>74</v>
      </c>
      <c r="T666" s="2" t="s">
        <v>74</v>
      </c>
      <c r="U666" s="2" t="s">
        <v>74</v>
      </c>
      <c r="V666" s="5" t="s">
        <v>8231</v>
      </c>
      <c r="W666" s="2" t="s">
        <v>74</v>
      </c>
      <c r="X666" s="2" t="s">
        <v>74</v>
      </c>
      <c r="Y666" s="2" t="s">
        <v>74</v>
      </c>
      <c r="Z666" s="2" t="s">
        <v>74</v>
      </c>
      <c r="AA666" s="2" t="s">
        <v>74</v>
      </c>
      <c r="AB666" s="2" t="s">
        <v>8232</v>
      </c>
      <c r="AC666" s="2" t="s">
        <v>74</v>
      </c>
      <c r="AD666" s="2" t="s">
        <v>74</v>
      </c>
      <c r="AE666" s="2" t="s">
        <v>74</v>
      </c>
      <c r="AF666" s="2" t="s">
        <v>74</v>
      </c>
      <c r="AG666" s="2" t="s">
        <v>74</v>
      </c>
      <c r="AH666" s="2" t="s">
        <v>74</v>
      </c>
      <c r="AI666" s="2" t="s">
        <v>74</v>
      </c>
      <c r="AJ666" s="2" t="s">
        <v>74</v>
      </c>
      <c r="AK666" s="2" t="s">
        <v>74</v>
      </c>
      <c r="AL666" s="2" t="s">
        <v>74</v>
      </c>
      <c r="AM666" s="2" t="s">
        <v>74</v>
      </c>
      <c r="AN666" s="2" t="s">
        <v>74</v>
      </c>
      <c r="AO666" s="2" t="s">
        <v>8233</v>
      </c>
      <c r="AP666" s="2" t="s">
        <v>8234</v>
      </c>
      <c r="AQ666" s="2" t="s">
        <v>74</v>
      </c>
      <c r="AR666" s="2" t="s">
        <v>74</v>
      </c>
      <c r="AS666" s="2" t="s">
        <v>74</v>
      </c>
      <c r="AT666" s="2" t="s">
        <v>204</v>
      </c>
      <c r="AU666" s="2">
        <v>2010</v>
      </c>
      <c r="AV666" s="2">
        <v>23</v>
      </c>
      <c r="AW666" s="2">
        <v>7</v>
      </c>
      <c r="AX666" s="2" t="s">
        <v>74</v>
      </c>
      <c r="AY666" s="2" t="s">
        <v>74</v>
      </c>
      <c r="AZ666" s="2" t="s">
        <v>74</v>
      </c>
      <c r="BA666" s="2" t="s">
        <v>74</v>
      </c>
      <c r="BB666" s="2">
        <v>952</v>
      </c>
      <c r="BC666" s="2">
        <v>959</v>
      </c>
      <c r="BD666" s="2" t="s">
        <v>74</v>
      </c>
      <c r="BE666" s="2" t="s">
        <v>8235</v>
      </c>
      <c r="BF666" s="2" t="str">
        <f>HYPERLINK("http://dx.doi.org/10.5713/ajas.2010.90276","http://dx.doi.org/10.5713/ajas.2010.90276")</f>
        <v>http://dx.doi.org/10.5713/ajas.2010.90276</v>
      </c>
      <c r="BG666" s="2" t="s">
        <v>74</v>
      </c>
      <c r="BH666" s="2" t="s">
        <v>74</v>
      </c>
      <c r="BI666" s="2" t="s">
        <v>74</v>
      </c>
      <c r="BJ666" s="2" t="s">
        <v>74</v>
      </c>
      <c r="BK666" s="2" t="s">
        <v>74</v>
      </c>
      <c r="BL666" s="2" t="s">
        <v>74</v>
      </c>
      <c r="BM666" s="2" t="s">
        <v>74</v>
      </c>
      <c r="BN666" s="2" t="s">
        <v>74</v>
      </c>
      <c r="BO666" s="2" t="s">
        <v>74</v>
      </c>
      <c r="BP666" s="2" t="s">
        <v>74</v>
      </c>
      <c r="BQ666" s="2" t="s">
        <v>74</v>
      </c>
      <c r="BR666" s="2" t="s">
        <v>74</v>
      </c>
      <c r="BS666" s="2" t="s">
        <v>8236</v>
      </c>
      <c r="BT666" s="2" t="str">
        <f>HYPERLINK("https%3A%2F%2Fwww.webofscience.com%2Fwos%2Fwoscc%2Ffull-record%2FWOS:000279576700016","View Full Record in Web of Science")</f>
        <v>View Full Record in Web of Science</v>
      </c>
    </row>
    <row r="667" spans="1:72" s="2" customFormat="1" x14ac:dyDescent="0.4">
      <c r="A667" s="2" t="s">
        <v>72</v>
      </c>
      <c r="B667" s="2" t="s">
        <v>6510</v>
      </c>
      <c r="C667" s="2" t="s">
        <v>74</v>
      </c>
      <c r="D667" s="2" t="s">
        <v>74</v>
      </c>
      <c r="E667" s="2" t="s">
        <v>74</v>
      </c>
      <c r="F667" s="2" t="s">
        <v>6511</v>
      </c>
      <c r="G667" s="2" t="s">
        <v>74</v>
      </c>
      <c r="H667" s="2" t="s">
        <v>74</v>
      </c>
      <c r="I667" s="2" t="s">
        <v>6512</v>
      </c>
      <c r="J667" s="2" t="s">
        <v>6513</v>
      </c>
      <c r="K667" s="2" t="s">
        <v>74</v>
      </c>
      <c r="L667" s="2" t="s">
        <v>74</v>
      </c>
      <c r="M667" s="2" t="s">
        <v>74</v>
      </c>
      <c r="N667" s="2" t="s">
        <v>74</v>
      </c>
      <c r="O667" s="2" t="s">
        <v>74</v>
      </c>
      <c r="P667" s="2" t="s">
        <v>74</v>
      </c>
      <c r="Q667" s="2" t="s">
        <v>74</v>
      </c>
      <c r="R667" s="2" t="s">
        <v>74</v>
      </c>
      <c r="S667" s="2" t="s">
        <v>74</v>
      </c>
      <c r="T667" s="2" t="s">
        <v>74</v>
      </c>
      <c r="U667" s="2" t="s">
        <v>74</v>
      </c>
      <c r="V667" s="5" t="s">
        <v>6514</v>
      </c>
      <c r="W667" s="2" t="s">
        <v>74</v>
      </c>
      <c r="X667" s="2" t="s">
        <v>74</v>
      </c>
      <c r="Y667" s="2" t="s">
        <v>74</v>
      </c>
      <c r="Z667" s="2" t="s">
        <v>74</v>
      </c>
      <c r="AA667" s="2" t="s">
        <v>6515</v>
      </c>
      <c r="AB667" s="2" t="s">
        <v>6516</v>
      </c>
      <c r="AC667" s="2" t="s">
        <v>74</v>
      </c>
      <c r="AD667" s="2" t="s">
        <v>74</v>
      </c>
      <c r="AE667" s="2" t="s">
        <v>74</v>
      </c>
      <c r="AF667" s="2" t="s">
        <v>74</v>
      </c>
      <c r="AG667" s="2" t="s">
        <v>74</v>
      </c>
      <c r="AH667" s="2" t="s">
        <v>74</v>
      </c>
      <c r="AI667" s="2" t="s">
        <v>74</v>
      </c>
      <c r="AJ667" s="2" t="s">
        <v>74</v>
      </c>
      <c r="AK667" s="2" t="s">
        <v>74</v>
      </c>
      <c r="AL667" s="2" t="s">
        <v>74</v>
      </c>
      <c r="AM667" s="2" t="s">
        <v>74</v>
      </c>
      <c r="AN667" s="2" t="s">
        <v>74</v>
      </c>
      <c r="AO667" s="2" t="s">
        <v>74</v>
      </c>
      <c r="AP667" s="2" t="s">
        <v>6517</v>
      </c>
      <c r="AQ667" s="2" t="s">
        <v>74</v>
      </c>
      <c r="AR667" s="2" t="s">
        <v>74</v>
      </c>
      <c r="AS667" s="2" t="s">
        <v>74</v>
      </c>
      <c r="AT667" s="2" t="s">
        <v>352</v>
      </c>
      <c r="AU667" s="2">
        <v>2022</v>
      </c>
      <c r="AV667" s="2">
        <v>4</v>
      </c>
      <c r="AW667" s="2">
        <v>5</v>
      </c>
      <c r="AX667" s="2" t="s">
        <v>74</v>
      </c>
      <c r="AY667" s="2" t="s">
        <v>74</v>
      </c>
      <c r="AZ667" s="2" t="s">
        <v>74</v>
      </c>
      <c r="BA667" s="2" t="s">
        <v>74</v>
      </c>
      <c r="BB667" s="2">
        <v>499</v>
      </c>
      <c r="BC667" s="2">
        <v>510</v>
      </c>
      <c r="BD667" s="2" t="s">
        <v>74</v>
      </c>
      <c r="BE667" s="2" t="s">
        <v>6518</v>
      </c>
      <c r="BF667" s="2" t="str">
        <f>HYPERLINK("http://dx.doi.org/10.1002/ppp3.10286","http://dx.doi.org/10.1002/ppp3.10286")</f>
        <v>http://dx.doi.org/10.1002/ppp3.10286</v>
      </c>
      <c r="BG667" s="2" t="s">
        <v>74</v>
      </c>
      <c r="BH667" s="2" t="s">
        <v>2832</v>
      </c>
      <c r="BI667" s="2" t="s">
        <v>74</v>
      </c>
      <c r="BJ667" s="2" t="s">
        <v>74</v>
      </c>
      <c r="BK667" s="2" t="s">
        <v>74</v>
      </c>
      <c r="BL667" s="2" t="s">
        <v>74</v>
      </c>
      <c r="BM667" s="2" t="s">
        <v>74</v>
      </c>
      <c r="BN667" s="2" t="s">
        <v>74</v>
      </c>
      <c r="BO667" s="2" t="s">
        <v>74</v>
      </c>
      <c r="BP667" s="2" t="s">
        <v>74</v>
      </c>
      <c r="BQ667" s="2" t="s">
        <v>74</v>
      </c>
      <c r="BR667" s="2" t="s">
        <v>74</v>
      </c>
      <c r="BS667" s="2" t="s">
        <v>6519</v>
      </c>
      <c r="BT667" s="2" t="str">
        <f>HYPERLINK("https%3A%2F%2Fwww.webofscience.com%2Fwos%2Fwoscc%2Ffull-record%2FWOS:000820245800001","View Full Record in Web of Science")</f>
        <v>View Full Record in Web of Science</v>
      </c>
    </row>
    <row r="668" spans="1:72" s="2" customFormat="1" x14ac:dyDescent="0.4">
      <c r="A668" s="2" t="s">
        <v>72</v>
      </c>
      <c r="B668" s="2" t="s">
        <v>6150</v>
      </c>
      <c r="C668" s="2" t="s">
        <v>74</v>
      </c>
      <c r="D668" s="2" t="s">
        <v>74</v>
      </c>
      <c r="E668" s="2" t="s">
        <v>74</v>
      </c>
      <c r="F668" s="2" t="s">
        <v>6150</v>
      </c>
      <c r="G668" s="2" t="s">
        <v>74</v>
      </c>
      <c r="H668" s="2" t="s">
        <v>74</v>
      </c>
      <c r="I668" s="2" t="s">
        <v>6151</v>
      </c>
      <c r="J668" s="2" t="s">
        <v>6152</v>
      </c>
      <c r="K668" s="2" t="s">
        <v>74</v>
      </c>
      <c r="L668" s="2" t="s">
        <v>74</v>
      </c>
      <c r="M668" s="2" t="s">
        <v>74</v>
      </c>
      <c r="N668" s="2" t="s">
        <v>74</v>
      </c>
      <c r="O668" s="2" t="s">
        <v>74</v>
      </c>
      <c r="P668" s="2" t="s">
        <v>74</v>
      </c>
      <c r="Q668" s="2" t="s">
        <v>74</v>
      </c>
      <c r="R668" s="2" t="s">
        <v>74</v>
      </c>
      <c r="S668" s="2" t="s">
        <v>74</v>
      </c>
      <c r="T668" s="2" t="s">
        <v>74</v>
      </c>
      <c r="U668" s="2" t="s">
        <v>74</v>
      </c>
      <c r="V668" s="5" t="s">
        <v>6153</v>
      </c>
      <c r="W668" s="2" t="s">
        <v>74</v>
      </c>
      <c r="X668" s="2" t="s">
        <v>74</v>
      </c>
      <c r="Y668" s="2" t="s">
        <v>74</v>
      </c>
      <c r="Z668" s="2" t="s">
        <v>74</v>
      </c>
      <c r="AA668" s="2" t="s">
        <v>6154</v>
      </c>
      <c r="AB668" s="2" t="s">
        <v>6155</v>
      </c>
      <c r="AC668" s="2" t="s">
        <v>74</v>
      </c>
      <c r="AD668" s="2" t="s">
        <v>74</v>
      </c>
      <c r="AE668" s="2" t="s">
        <v>74</v>
      </c>
      <c r="AF668" s="2" t="s">
        <v>74</v>
      </c>
      <c r="AG668" s="2" t="s">
        <v>74</v>
      </c>
      <c r="AH668" s="2" t="s">
        <v>74</v>
      </c>
      <c r="AI668" s="2" t="s">
        <v>74</v>
      </c>
      <c r="AJ668" s="2" t="s">
        <v>74</v>
      </c>
      <c r="AK668" s="2" t="s">
        <v>74</v>
      </c>
      <c r="AL668" s="2" t="s">
        <v>74</v>
      </c>
      <c r="AM668" s="2" t="s">
        <v>74</v>
      </c>
      <c r="AN668" s="2" t="s">
        <v>74</v>
      </c>
      <c r="AO668" s="2" t="s">
        <v>6156</v>
      </c>
      <c r="AP668" s="2" t="s">
        <v>6157</v>
      </c>
      <c r="AQ668" s="2" t="s">
        <v>74</v>
      </c>
      <c r="AR668" s="2" t="s">
        <v>74</v>
      </c>
      <c r="AS668" s="2" t="s">
        <v>74</v>
      </c>
      <c r="AT668" s="2" t="s">
        <v>74</v>
      </c>
      <c r="AU668" s="2">
        <v>1984</v>
      </c>
      <c r="AV668" s="2">
        <v>116</v>
      </c>
      <c r="AW668" s="2">
        <v>6</v>
      </c>
      <c r="AX668" s="2" t="s">
        <v>74</v>
      </c>
      <c r="AY668" s="2" t="s">
        <v>74</v>
      </c>
      <c r="AZ668" s="2" t="s">
        <v>74</v>
      </c>
      <c r="BA668" s="2" t="s">
        <v>74</v>
      </c>
      <c r="BB668" s="2">
        <v>827</v>
      </c>
      <c r="BC668" s="2">
        <v>840</v>
      </c>
      <c r="BD668" s="2" t="s">
        <v>74</v>
      </c>
      <c r="BE668" s="2" t="s">
        <v>6158</v>
      </c>
      <c r="BF668" s="2" t="str">
        <f>HYPERLINK("http://dx.doi.org/10.4039/Ent116827-6","http://dx.doi.org/10.4039/Ent116827-6")</f>
        <v>http://dx.doi.org/10.4039/Ent116827-6</v>
      </c>
      <c r="BG668" s="2" t="s">
        <v>74</v>
      </c>
      <c r="BH668" s="2" t="s">
        <v>74</v>
      </c>
      <c r="BI668" s="2" t="s">
        <v>74</v>
      </c>
      <c r="BJ668" s="2" t="s">
        <v>74</v>
      </c>
      <c r="BK668" s="2" t="s">
        <v>74</v>
      </c>
      <c r="BL668" s="2" t="s">
        <v>74</v>
      </c>
      <c r="BM668" s="2" t="s">
        <v>74</v>
      </c>
      <c r="BN668" s="2" t="s">
        <v>74</v>
      </c>
      <c r="BO668" s="2" t="s">
        <v>74</v>
      </c>
      <c r="BP668" s="2" t="s">
        <v>74</v>
      </c>
      <c r="BQ668" s="2" t="s">
        <v>74</v>
      </c>
      <c r="BR668" s="2" t="s">
        <v>74</v>
      </c>
      <c r="BS668" s="2" t="s">
        <v>6159</v>
      </c>
      <c r="BT668" s="2" t="str">
        <f>HYPERLINK("https%3A%2F%2Fwww.webofscience.com%2Fwos%2Fwoscc%2Ffull-record%2FWOS:A1984SW69600006","View Full Record in Web of Science")</f>
        <v>View Full Record in Web of Science</v>
      </c>
    </row>
    <row r="669" spans="1:72" s="2" customFormat="1" x14ac:dyDescent="0.4">
      <c r="A669" s="2" t="s">
        <v>72</v>
      </c>
      <c r="B669" s="2" t="s">
        <v>6019</v>
      </c>
      <c r="C669" s="2" t="s">
        <v>74</v>
      </c>
      <c r="D669" s="2" t="s">
        <v>74</v>
      </c>
      <c r="E669" s="2" t="s">
        <v>74</v>
      </c>
      <c r="F669" s="2" t="s">
        <v>6020</v>
      </c>
      <c r="G669" s="2" t="s">
        <v>74</v>
      </c>
      <c r="H669" s="2" t="s">
        <v>74</v>
      </c>
      <c r="I669" s="2" t="s">
        <v>6021</v>
      </c>
      <c r="J669" s="2" t="s">
        <v>129</v>
      </c>
      <c r="K669" s="2" t="s">
        <v>74</v>
      </c>
      <c r="L669" s="2" t="s">
        <v>74</v>
      </c>
      <c r="M669" s="2" t="s">
        <v>74</v>
      </c>
      <c r="N669" s="2" t="s">
        <v>74</v>
      </c>
      <c r="O669" s="2" t="s">
        <v>74</v>
      </c>
      <c r="P669" s="2" t="s">
        <v>74</v>
      </c>
      <c r="Q669" s="2" t="s">
        <v>74</v>
      </c>
      <c r="R669" s="2" t="s">
        <v>74</v>
      </c>
      <c r="S669" s="2" t="s">
        <v>74</v>
      </c>
      <c r="T669" s="2" t="s">
        <v>74</v>
      </c>
      <c r="U669" s="2" t="s">
        <v>74</v>
      </c>
      <c r="V669" s="5" t="s">
        <v>6022</v>
      </c>
      <c r="W669" s="2" t="s">
        <v>74</v>
      </c>
      <c r="X669" s="2" t="s">
        <v>74</v>
      </c>
      <c r="Y669" s="2" t="s">
        <v>74</v>
      </c>
      <c r="Z669" s="2" t="s">
        <v>74</v>
      </c>
      <c r="AA669" s="2" t="s">
        <v>74</v>
      </c>
      <c r="AB669" s="2" t="s">
        <v>74</v>
      </c>
      <c r="AC669" s="2" t="s">
        <v>74</v>
      </c>
      <c r="AD669" s="2" t="s">
        <v>74</v>
      </c>
      <c r="AE669" s="2" t="s">
        <v>74</v>
      </c>
      <c r="AF669" s="2" t="s">
        <v>74</v>
      </c>
      <c r="AG669" s="2" t="s">
        <v>74</v>
      </c>
      <c r="AH669" s="2" t="s">
        <v>74</v>
      </c>
      <c r="AI669" s="2" t="s">
        <v>74</v>
      </c>
      <c r="AJ669" s="2" t="s">
        <v>74</v>
      </c>
      <c r="AK669" s="2" t="s">
        <v>74</v>
      </c>
      <c r="AL669" s="2" t="s">
        <v>74</v>
      </c>
      <c r="AM669" s="2" t="s">
        <v>74</v>
      </c>
      <c r="AN669" s="2" t="s">
        <v>74</v>
      </c>
      <c r="AO669" s="2" t="s">
        <v>132</v>
      </c>
      <c r="AP669" s="2" t="s">
        <v>133</v>
      </c>
      <c r="AQ669" s="2" t="s">
        <v>74</v>
      </c>
      <c r="AR669" s="2" t="s">
        <v>74</v>
      </c>
      <c r="AS669" s="2" t="s">
        <v>74</v>
      </c>
      <c r="AT669" s="2" t="s">
        <v>102</v>
      </c>
      <c r="AU669" s="2">
        <v>2019</v>
      </c>
      <c r="AV669" s="2">
        <v>73</v>
      </c>
      <c r="AW669" s="2">
        <v>6</v>
      </c>
      <c r="AX669" s="2" t="s">
        <v>74</v>
      </c>
      <c r="AY669" s="2" t="s">
        <v>74</v>
      </c>
      <c r="AZ669" s="2" t="s">
        <v>74</v>
      </c>
      <c r="BA669" s="2" t="s">
        <v>74</v>
      </c>
      <c r="BB669" s="2" t="s">
        <v>74</v>
      </c>
      <c r="BC669" s="2" t="s">
        <v>74</v>
      </c>
      <c r="BD669" s="2">
        <v>83</v>
      </c>
      <c r="BE669" s="2" t="s">
        <v>6023</v>
      </c>
      <c r="BF669" s="2" t="str">
        <f>HYPERLINK("http://dx.doi.org/10.1007/s00265-019-2691-y","http://dx.doi.org/10.1007/s00265-019-2691-y")</f>
        <v>http://dx.doi.org/10.1007/s00265-019-2691-y</v>
      </c>
      <c r="BG669" s="2" t="s">
        <v>74</v>
      </c>
      <c r="BH669" s="2" t="s">
        <v>74</v>
      </c>
      <c r="BI669" s="2" t="s">
        <v>74</v>
      </c>
      <c r="BJ669" s="2" t="s">
        <v>74</v>
      </c>
      <c r="BK669" s="2" t="s">
        <v>74</v>
      </c>
      <c r="BL669" s="2" t="s">
        <v>74</v>
      </c>
      <c r="BM669" s="2" t="s">
        <v>74</v>
      </c>
      <c r="BN669" s="2" t="s">
        <v>74</v>
      </c>
      <c r="BO669" s="2" t="s">
        <v>74</v>
      </c>
      <c r="BP669" s="2" t="s">
        <v>74</v>
      </c>
      <c r="BQ669" s="2" t="s">
        <v>74</v>
      </c>
      <c r="BR669" s="2" t="s">
        <v>74</v>
      </c>
      <c r="BS669" s="2" t="s">
        <v>6024</v>
      </c>
      <c r="BT669" s="2" t="str">
        <f>HYPERLINK("https%3A%2F%2Fwww.webofscience.com%2Fwos%2Fwoscc%2Ffull-record%2FWOS:000469197100001","View Full Record in Web of Science")</f>
        <v>View Full Record in Web of Science</v>
      </c>
    </row>
    <row r="670" spans="1:72" s="2" customFormat="1" x14ac:dyDescent="0.4">
      <c r="A670" s="2" t="s">
        <v>72</v>
      </c>
      <c r="B670" s="2" t="s">
        <v>1728</v>
      </c>
      <c r="C670" s="2" t="s">
        <v>74</v>
      </c>
      <c r="D670" s="2" t="s">
        <v>74</v>
      </c>
      <c r="E670" s="2" t="s">
        <v>74</v>
      </c>
      <c r="F670" s="2" t="s">
        <v>1729</v>
      </c>
      <c r="G670" s="2" t="s">
        <v>74</v>
      </c>
      <c r="H670" s="2" t="s">
        <v>74</v>
      </c>
      <c r="I670" s="2" t="s">
        <v>1730</v>
      </c>
      <c r="J670" s="2" t="s">
        <v>129</v>
      </c>
      <c r="K670" s="2" t="s">
        <v>74</v>
      </c>
      <c r="L670" s="2" t="s">
        <v>74</v>
      </c>
      <c r="M670" s="2" t="s">
        <v>74</v>
      </c>
      <c r="N670" s="2" t="s">
        <v>74</v>
      </c>
      <c r="O670" s="2" t="s">
        <v>74</v>
      </c>
      <c r="P670" s="2" t="s">
        <v>74</v>
      </c>
      <c r="Q670" s="2" t="s">
        <v>74</v>
      </c>
      <c r="R670" s="2" t="s">
        <v>74</v>
      </c>
      <c r="S670" s="2" t="s">
        <v>74</v>
      </c>
      <c r="T670" s="2" t="s">
        <v>74</v>
      </c>
      <c r="U670" s="2" t="s">
        <v>74</v>
      </c>
      <c r="V670" s="5" t="s">
        <v>1731</v>
      </c>
      <c r="W670" s="2" t="s">
        <v>74</v>
      </c>
      <c r="X670" s="2" t="s">
        <v>74</v>
      </c>
      <c r="Y670" s="2" t="s">
        <v>74</v>
      </c>
      <c r="Z670" s="2" t="s">
        <v>74</v>
      </c>
      <c r="AA670" s="2" t="s">
        <v>1011</v>
      </c>
      <c r="AB670" s="2" t="s">
        <v>1012</v>
      </c>
      <c r="AC670" s="2" t="s">
        <v>74</v>
      </c>
      <c r="AD670" s="2" t="s">
        <v>74</v>
      </c>
      <c r="AE670" s="2" t="s">
        <v>74</v>
      </c>
      <c r="AF670" s="2" t="s">
        <v>74</v>
      </c>
      <c r="AG670" s="2" t="s">
        <v>74</v>
      </c>
      <c r="AH670" s="2" t="s">
        <v>74</v>
      </c>
      <c r="AI670" s="2" t="s">
        <v>74</v>
      </c>
      <c r="AJ670" s="2" t="s">
        <v>74</v>
      </c>
      <c r="AK670" s="2" t="s">
        <v>74</v>
      </c>
      <c r="AL670" s="2" t="s">
        <v>74</v>
      </c>
      <c r="AM670" s="2" t="s">
        <v>74</v>
      </c>
      <c r="AN670" s="2" t="s">
        <v>74</v>
      </c>
      <c r="AO670" s="2" t="s">
        <v>132</v>
      </c>
      <c r="AP670" s="2" t="s">
        <v>133</v>
      </c>
      <c r="AQ670" s="2" t="s">
        <v>74</v>
      </c>
      <c r="AR670" s="2" t="s">
        <v>74</v>
      </c>
      <c r="AS670" s="2" t="s">
        <v>74</v>
      </c>
      <c r="AT670" s="2" t="s">
        <v>102</v>
      </c>
      <c r="AU670" s="2">
        <v>2014</v>
      </c>
      <c r="AV670" s="2">
        <v>68</v>
      </c>
      <c r="AW670" s="2">
        <v>6</v>
      </c>
      <c r="AX670" s="2" t="s">
        <v>74</v>
      </c>
      <c r="AY670" s="2" t="s">
        <v>74</v>
      </c>
      <c r="AZ670" s="2" t="s">
        <v>74</v>
      </c>
      <c r="BA670" s="2" t="s">
        <v>74</v>
      </c>
      <c r="BB670" s="2">
        <v>1007</v>
      </c>
      <c r="BC670" s="2">
        <v>1017</v>
      </c>
      <c r="BD670" s="2" t="s">
        <v>74</v>
      </c>
      <c r="BE670" s="2" t="s">
        <v>1732</v>
      </c>
      <c r="BF670" s="2" t="str">
        <f>HYPERLINK("http://dx.doi.org/10.1007/s00265-014-1713-z","http://dx.doi.org/10.1007/s00265-014-1713-z")</f>
        <v>http://dx.doi.org/10.1007/s00265-014-1713-z</v>
      </c>
      <c r="BG670" s="2" t="s">
        <v>74</v>
      </c>
      <c r="BH670" s="2" t="s">
        <v>74</v>
      </c>
      <c r="BI670" s="2" t="s">
        <v>74</v>
      </c>
      <c r="BJ670" s="2" t="s">
        <v>74</v>
      </c>
      <c r="BK670" s="2" t="s">
        <v>74</v>
      </c>
      <c r="BL670" s="2" t="s">
        <v>74</v>
      </c>
      <c r="BM670" s="2" t="s">
        <v>74</v>
      </c>
      <c r="BN670" s="2" t="s">
        <v>74</v>
      </c>
      <c r="BO670" s="2" t="s">
        <v>74</v>
      </c>
      <c r="BP670" s="2" t="s">
        <v>74</v>
      </c>
      <c r="BQ670" s="2" t="s">
        <v>74</v>
      </c>
      <c r="BR670" s="2" t="s">
        <v>74</v>
      </c>
      <c r="BS670" s="2" t="s">
        <v>1733</v>
      </c>
      <c r="BT670" s="2" t="str">
        <f>HYPERLINK("https%3A%2F%2Fwww.webofscience.com%2Fwos%2Fwoscc%2Ffull-record%2FWOS:000336022700013","View Full Record in Web of Science")</f>
        <v>View Full Record in Web of Science</v>
      </c>
    </row>
    <row r="671" spans="1:72" s="1" customFormat="1" x14ac:dyDescent="0.4">
      <c r="A671" s="2" t="s">
        <v>72</v>
      </c>
      <c r="B671" s="2" t="s">
        <v>3725</v>
      </c>
      <c r="C671" s="2" t="s">
        <v>74</v>
      </c>
      <c r="D671" s="2" t="s">
        <v>74</v>
      </c>
      <c r="E671" s="2" t="s">
        <v>74</v>
      </c>
      <c r="F671" s="2" t="s">
        <v>3726</v>
      </c>
      <c r="G671" s="2" t="s">
        <v>74</v>
      </c>
      <c r="H671" s="2" t="s">
        <v>74</v>
      </c>
      <c r="I671" s="2" t="s">
        <v>3727</v>
      </c>
      <c r="J671" s="2" t="s">
        <v>119</v>
      </c>
      <c r="K671" s="2" t="s">
        <v>74</v>
      </c>
      <c r="L671" s="2" t="s">
        <v>74</v>
      </c>
      <c r="M671" s="2" t="s">
        <v>74</v>
      </c>
      <c r="N671" s="2" t="s">
        <v>74</v>
      </c>
      <c r="O671" s="2" t="s">
        <v>74</v>
      </c>
      <c r="P671" s="2" t="s">
        <v>74</v>
      </c>
      <c r="Q671" s="2" t="s">
        <v>74</v>
      </c>
      <c r="R671" s="2" t="s">
        <v>74</v>
      </c>
      <c r="S671" s="2" t="s">
        <v>74</v>
      </c>
      <c r="T671" s="2" t="s">
        <v>74</v>
      </c>
      <c r="U671" s="2" t="s">
        <v>74</v>
      </c>
      <c r="V671" s="5" t="s">
        <v>3728</v>
      </c>
      <c r="W671" s="2" t="s">
        <v>74</v>
      </c>
      <c r="X671" s="2" t="s">
        <v>74</v>
      </c>
      <c r="Y671" s="2" t="s">
        <v>74</v>
      </c>
      <c r="Z671" s="2" t="s">
        <v>74</v>
      </c>
      <c r="AA671" s="2" t="s">
        <v>3729</v>
      </c>
      <c r="AB671" s="2" t="s">
        <v>3730</v>
      </c>
      <c r="AC671" s="2" t="s">
        <v>74</v>
      </c>
      <c r="AD671" s="2" t="s">
        <v>74</v>
      </c>
      <c r="AE671" s="2" t="s">
        <v>74</v>
      </c>
      <c r="AF671" s="2" t="s">
        <v>74</v>
      </c>
      <c r="AG671" s="2" t="s">
        <v>74</v>
      </c>
      <c r="AH671" s="2" t="s">
        <v>74</v>
      </c>
      <c r="AI671" s="2" t="s">
        <v>74</v>
      </c>
      <c r="AJ671" s="2" t="s">
        <v>74</v>
      </c>
      <c r="AK671" s="2" t="s">
        <v>74</v>
      </c>
      <c r="AL671" s="2" t="s">
        <v>74</v>
      </c>
      <c r="AM671" s="2" t="s">
        <v>74</v>
      </c>
      <c r="AN671" s="2" t="s">
        <v>74</v>
      </c>
      <c r="AO671" s="2" t="s">
        <v>121</v>
      </c>
      <c r="AP671" s="2" t="s">
        <v>122</v>
      </c>
      <c r="AQ671" s="2" t="s">
        <v>74</v>
      </c>
      <c r="AR671" s="2" t="s">
        <v>74</v>
      </c>
      <c r="AS671" s="2" t="s">
        <v>74</v>
      </c>
      <c r="AT671" s="2" t="s">
        <v>175</v>
      </c>
      <c r="AU671" s="2">
        <v>2016</v>
      </c>
      <c r="AV671" s="2">
        <v>131</v>
      </c>
      <c r="AW671" s="2" t="s">
        <v>74</v>
      </c>
      <c r="AX671" s="2" t="s">
        <v>74</v>
      </c>
      <c r="AY671" s="2" t="s">
        <v>74</v>
      </c>
      <c r="AZ671" s="2" t="s">
        <v>74</v>
      </c>
      <c r="BA671" s="2" t="s">
        <v>74</v>
      </c>
      <c r="BB671" s="2">
        <v>59</v>
      </c>
      <c r="BC671" s="2">
        <v>67</v>
      </c>
      <c r="BD671" s="2" t="s">
        <v>74</v>
      </c>
      <c r="BE671" s="2" t="s">
        <v>3731</v>
      </c>
      <c r="BF671" s="2" t="str">
        <f>HYPERLINK("http://dx.doi.org/10.1016/j.beproc.2016.08.010","http://dx.doi.org/10.1016/j.beproc.2016.08.010")</f>
        <v>http://dx.doi.org/10.1016/j.beproc.2016.08.010</v>
      </c>
      <c r="BG671" s="2" t="s">
        <v>74</v>
      </c>
      <c r="BH671" s="2" t="s">
        <v>74</v>
      </c>
      <c r="BI671" s="2" t="s">
        <v>74</v>
      </c>
      <c r="BJ671" s="2" t="s">
        <v>74</v>
      </c>
      <c r="BK671" s="2" t="s">
        <v>74</v>
      </c>
      <c r="BL671" s="2" t="s">
        <v>74</v>
      </c>
      <c r="BM671" s="2" t="s">
        <v>74</v>
      </c>
      <c r="BN671" s="2">
        <v>27561967</v>
      </c>
      <c r="BO671" s="2" t="s">
        <v>74</v>
      </c>
      <c r="BP671" s="2" t="s">
        <v>74</v>
      </c>
      <c r="BQ671" s="2" t="s">
        <v>74</v>
      </c>
      <c r="BR671" s="2" t="s">
        <v>74</v>
      </c>
      <c r="BS671" s="2" t="s">
        <v>3732</v>
      </c>
      <c r="BT671" s="2" t="str">
        <f>HYPERLINK("https%3A%2F%2Fwww.webofscience.com%2Fwos%2Fwoscc%2Ffull-record%2FWOS:000384383500009","View Full Record in Web of Science")</f>
        <v>View Full Record in Web of Science</v>
      </c>
    </row>
    <row r="672" spans="1:72" s="2" customFormat="1" x14ac:dyDescent="0.4">
      <c r="A672" s="2" t="s">
        <v>72</v>
      </c>
      <c r="B672" s="2" t="s">
        <v>1393</v>
      </c>
      <c r="C672" s="2" t="s">
        <v>74</v>
      </c>
      <c r="D672" s="2" t="s">
        <v>74</v>
      </c>
      <c r="E672" s="2" t="s">
        <v>74</v>
      </c>
      <c r="F672" s="2" t="s">
        <v>1394</v>
      </c>
      <c r="G672" s="2" t="s">
        <v>74</v>
      </c>
      <c r="H672" s="2" t="s">
        <v>74</v>
      </c>
      <c r="I672" s="2" t="s">
        <v>1395</v>
      </c>
      <c r="J672" s="2" t="s">
        <v>1396</v>
      </c>
      <c r="K672" s="2" t="s">
        <v>74</v>
      </c>
      <c r="L672" s="2" t="s">
        <v>74</v>
      </c>
      <c r="M672" s="2" t="s">
        <v>74</v>
      </c>
      <c r="N672" s="2" t="s">
        <v>74</v>
      </c>
      <c r="O672" s="2" t="s">
        <v>74</v>
      </c>
      <c r="P672" s="2" t="s">
        <v>74</v>
      </c>
      <c r="Q672" s="2" t="s">
        <v>74</v>
      </c>
      <c r="R672" s="2" t="s">
        <v>74</v>
      </c>
      <c r="S672" s="2" t="s">
        <v>74</v>
      </c>
      <c r="T672" s="2" t="s">
        <v>74</v>
      </c>
      <c r="U672" s="2" t="s">
        <v>74</v>
      </c>
      <c r="V672" s="5" t="s">
        <v>1397</v>
      </c>
      <c r="W672" s="2" t="s">
        <v>74</v>
      </c>
      <c r="X672" s="2" t="s">
        <v>74</v>
      </c>
      <c r="Y672" s="2" t="s">
        <v>74</v>
      </c>
      <c r="Z672" s="2" t="s">
        <v>74</v>
      </c>
      <c r="AA672" s="2" t="s">
        <v>1398</v>
      </c>
      <c r="AB672" s="2" t="s">
        <v>1399</v>
      </c>
      <c r="AC672" s="2" t="s">
        <v>74</v>
      </c>
      <c r="AD672" s="2" t="s">
        <v>74</v>
      </c>
      <c r="AE672" s="2" t="s">
        <v>74</v>
      </c>
      <c r="AF672" s="2" t="s">
        <v>74</v>
      </c>
      <c r="AG672" s="2" t="s">
        <v>74</v>
      </c>
      <c r="AH672" s="2" t="s">
        <v>74</v>
      </c>
      <c r="AI672" s="2" t="s">
        <v>74</v>
      </c>
      <c r="AJ672" s="2" t="s">
        <v>74</v>
      </c>
      <c r="AK672" s="2" t="s">
        <v>74</v>
      </c>
      <c r="AL672" s="2" t="s">
        <v>74</v>
      </c>
      <c r="AM672" s="2" t="s">
        <v>74</v>
      </c>
      <c r="AN672" s="2" t="s">
        <v>74</v>
      </c>
      <c r="AO672" s="2" t="s">
        <v>1400</v>
      </c>
      <c r="AP672" s="2" t="s">
        <v>74</v>
      </c>
      <c r="AQ672" s="2" t="s">
        <v>74</v>
      </c>
      <c r="AR672" s="2" t="s">
        <v>74</v>
      </c>
      <c r="AS672" s="2" t="s">
        <v>74</v>
      </c>
      <c r="AT672" s="2" t="s">
        <v>964</v>
      </c>
      <c r="AU672" s="2">
        <v>2013</v>
      </c>
      <c r="AV672" s="2">
        <v>51</v>
      </c>
      <c r="AW672" s="2">
        <v>1</v>
      </c>
      <c r="AX672" s="2" t="s">
        <v>74</v>
      </c>
      <c r="AY672" s="2" t="s">
        <v>74</v>
      </c>
      <c r="AZ672" s="2" t="s">
        <v>74</v>
      </c>
      <c r="BA672" s="2" t="s">
        <v>74</v>
      </c>
      <c r="BB672" s="2">
        <v>64</v>
      </c>
      <c r="BC672" s="2">
        <v>71</v>
      </c>
      <c r="BD672" s="2" t="s">
        <v>74</v>
      </c>
      <c r="BE672" s="2" t="s">
        <v>1401</v>
      </c>
      <c r="BF672" s="2" t="str">
        <f>HYPERLINK("http://dx.doi.org/10.1111/j.1439-0469.2012.00668.x","http://dx.doi.org/10.1111/j.1439-0469.2012.00668.x")</f>
        <v>http://dx.doi.org/10.1111/j.1439-0469.2012.00668.x</v>
      </c>
      <c r="BG672" s="2" t="s">
        <v>74</v>
      </c>
      <c r="BH672" s="2" t="s">
        <v>74</v>
      </c>
      <c r="BI672" s="2" t="s">
        <v>74</v>
      </c>
      <c r="BJ672" s="2" t="s">
        <v>74</v>
      </c>
      <c r="BK672" s="2" t="s">
        <v>74</v>
      </c>
      <c r="BL672" s="2" t="s">
        <v>74</v>
      </c>
      <c r="BM672" s="2" t="s">
        <v>74</v>
      </c>
      <c r="BN672" s="2" t="s">
        <v>74</v>
      </c>
      <c r="BO672" s="2" t="s">
        <v>74</v>
      </c>
      <c r="BP672" s="2" t="s">
        <v>74</v>
      </c>
      <c r="BQ672" s="2" t="s">
        <v>74</v>
      </c>
      <c r="BR672" s="2" t="s">
        <v>74</v>
      </c>
      <c r="BS672" s="2" t="s">
        <v>1402</v>
      </c>
      <c r="BT672" s="2" t="str">
        <f>HYPERLINK("https%3A%2F%2Fwww.webofscience.com%2Fwos%2Fwoscc%2Ffull-record%2FWOS:000313753400008","View Full Record in Web of Science")</f>
        <v>View Full Record in Web of Science</v>
      </c>
    </row>
    <row r="673" spans="1:72" s="2" customFormat="1" x14ac:dyDescent="0.4">
      <c r="A673" s="2" t="s">
        <v>72</v>
      </c>
      <c r="B673" s="2" t="s">
        <v>1393</v>
      </c>
      <c r="C673" s="2" t="s">
        <v>74</v>
      </c>
      <c r="D673" s="2" t="s">
        <v>74</v>
      </c>
      <c r="E673" s="2" t="s">
        <v>74</v>
      </c>
      <c r="F673" s="2" t="s">
        <v>1394</v>
      </c>
      <c r="G673" s="2" t="s">
        <v>74</v>
      </c>
      <c r="H673" s="2" t="s">
        <v>74</v>
      </c>
      <c r="I673" s="2" t="s">
        <v>1749</v>
      </c>
      <c r="J673" s="2" t="s">
        <v>140</v>
      </c>
      <c r="K673" s="2" t="s">
        <v>74</v>
      </c>
      <c r="L673" s="2" t="s">
        <v>74</v>
      </c>
      <c r="M673" s="2" t="s">
        <v>74</v>
      </c>
      <c r="N673" s="2" t="s">
        <v>74</v>
      </c>
      <c r="O673" s="2" t="s">
        <v>74</v>
      </c>
      <c r="P673" s="2" t="s">
        <v>74</v>
      </c>
      <c r="Q673" s="2" t="s">
        <v>74</v>
      </c>
      <c r="R673" s="2" t="s">
        <v>74</v>
      </c>
      <c r="S673" s="2" t="s">
        <v>74</v>
      </c>
      <c r="T673" s="2" t="s">
        <v>74</v>
      </c>
      <c r="U673" s="2" t="s">
        <v>74</v>
      </c>
      <c r="V673" s="5" t="s">
        <v>1750</v>
      </c>
      <c r="W673" s="2" t="s">
        <v>74</v>
      </c>
      <c r="X673" s="2" t="s">
        <v>74</v>
      </c>
      <c r="Y673" s="2" t="s">
        <v>74</v>
      </c>
      <c r="Z673" s="2" t="s">
        <v>74</v>
      </c>
      <c r="AA673" s="2" t="s">
        <v>1398</v>
      </c>
      <c r="AB673" s="2" t="s">
        <v>1399</v>
      </c>
      <c r="AC673" s="2" t="s">
        <v>74</v>
      </c>
      <c r="AD673" s="2" t="s">
        <v>74</v>
      </c>
      <c r="AE673" s="2" t="s">
        <v>74</v>
      </c>
      <c r="AF673" s="2" t="s">
        <v>74</v>
      </c>
      <c r="AG673" s="2" t="s">
        <v>74</v>
      </c>
      <c r="AH673" s="2" t="s">
        <v>74</v>
      </c>
      <c r="AI673" s="2" t="s">
        <v>74</v>
      </c>
      <c r="AJ673" s="2" t="s">
        <v>74</v>
      </c>
      <c r="AK673" s="2" t="s">
        <v>74</v>
      </c>
      <c r="AL673" s="2" t="s">
        <v>74</v>
      </c>
      <c r="AM673" s="2" t="s">
        <v>74</v>
      </c>
      <c r="AN673" s="2" t="s">
        <v>74</v>
      </c>
      <c r="AO673" s="2" t="s">
        <v>143</v>
      </c>
      <c r="AP673" s="2" t="s">
        <v>74</v>
      </c>
      <c r="AQ673" s="2" t="s">
        <v>74</v>
      </c>
      <c r="AR673" s="2" t="s">
        <v>74</v>
      </c>
      <c r="AS673" s="2" t="s">
        <v>74</v>
      </c>
      <c r="AT673" s="2" t="s">
        <v>134</v>
      </c>
      <c r="AU673" s="2">
        <v>2009</v>
      </c>
      <c r="AV673" s="2">
        <v>77</v>
      </c>
      <c r="AW673" s="2">
        <v>5</v>
      </c>
      <c r="AX673" s="2" t="s">
        <v>74</v>
      </c>
      <c r="AY673" s="2" t="s">
        <v>74</v>
      </c>
      <c r="AZ673" s="2" t="s">
        <v>74</v>
      </c>
      <c r="BA673" s="2" t="s">
        <v>74</v>
      </c>
      <c r="BB673" s="2">
        <v>1267</v>
      </c>
      <c r="BC673" s="2">
        <v>1272</v>
      </c>
      <c r="BD673" s="2" t="s">
        <v>74</v>
      </c>
      <c r="BE673" s="2" t="s">
        <v>1751</v>
      </c>
      <c r="BF673" s="2" t="str">
        <f>HYPERLINK("http://dx.doi.org/10.1016/j.anbehav.2009.01.031","http://dx.doi.org/10.1016/j.anbehav.2009.01.031")</f>
        <v>http://dx.doi.org/10.1016/j.anbehav.2009.01.031</v>
      </c>
      <c r="BG673" s="2" t="s">
        <v>74</v>
      </c>
      <c r="BH673" s="2" t="s">
        <v>74</v>
      </c>
      <c r="BI673" s="2" t="s">
        <v>74</v>
      </c>
      <c r="BJ673" s="2" t="s">
        <v>74</v>
      </c>
      <c r="BK673" s="2" t="s">
        <v>74</v>
      </c>
      <c r="BL673" s="2" t="s">
        <v>74</v>
      </c>
      <c r="BM673" s="2" t="s">
        <v>74</v>
      </c>
      <c r="BN673" s="2">
        <v>20161226</v>
      </c>
      <c r="BO673" s="2" t="s">
        <v>74</v>
      </c>
      <c r="BP673" s="2" t="s">
        <v>74</v>
      </c>
      <c r="BQ673" s="2" t="s">
        <v>74</v>
      </c>
      <c r="BR673" s="2" t="s">
        <v>74</v>
      </c>
      <c r="BS673" s="2" t="s">
        <v>1752</v>
      </c>
      <c r="BT673" s="2" t="str">
        <f>HYPERLINK("https%3A%2F%2Fwww.webofscience.com%2Fwos%2Fwoscc%2Ffull-record%2FWOS:000265283900036","View Full Record in Web of Science")</f>
        <v>View Full Record in Web of Science</v>
      </c>
    </row>
    <row r="674" spans="1:72" s="2" customFormat="1" x14ac:dyDescent="0.4">
      <c r="A674" s="2" t="s">
        <v>72</v>
      </c>
      <c r="B674" s="2" t="s">
        <v>1007</v>
      </c>
      <c r="C674" s="2" t="s">
        <v>74</v>
      </c>
      <c r="D674" s="2" t="s">
        <v>74</v>
      </c>
      <c r="E674" s="2" t="s">
        <v>74</v>
      </c>
      <c r="F674" s="2" t="s">
        <v>1008</v>
      </c>
      <c r="G674" s="2" t="s">
        <v>74</v>
      </c>
      <c r="H674" s="2" t="s">
        <v>74</v>
      </c>
      <c r="I674" s="2" t="s">
        <v>1009</v>
      </c>
      <c r="J674" s="2" t="s">
        <v>333</v>
      </c>
      <c r="K674" s="2" t="s">
        <v>74</v>
      </c>
      <c r="L674" s="2" t="s">
        <v>74</v>
      </c>
      <c r="M674" s="2" t="s">
        <v>74</v>
      </c>
      <c r="N674" s="2" t="s">
        <v>74</v>
      </c>
      <c r="O674" s="2" t="s">
        <v>74</v>
      </c>
      <c r="P674" s="2" t="s">
        <v>74</v>
      </c>
      <c r="Q674" s="2" t="s">
        <v>74</v>
      </c>
      <c r="R674" s="2" t="s">
        <v>74</v>
      </c>
      <c r="S674" s="2" t="s">
        <v>74</v>
      </c>
      <c r="T674" s="2" t="s">
        <v>74</v>
      </c>
      <c r="U674" s="2" t="s">
        <v>74</v>
      </c>
      <c r="V674" s="5" t="s">
        <v>1010</v>
      </c>
      <c r="W674" s="2" t="s">
        <v>74</v>
      </c>
      <c r="X674" s="2" t="s">
        <v>74</v>
      </c>
      <c r="Y674" s="2" t="s">
        <v>74</v>
      </c>
      <c r="Z674" s="2" t="s">
        <v>74</v>
      </c>
      <c r="AA674" s="2" t="s">
        <v>1011</v>
      </c>
      <c r="AB674" s="2" t="s">
        <v>1012</v>
      </c>
      <c r="AC674" s="2" t="s">
        <v>74</v>
      </c>
      <c r="AD674" s="2" t="s">
        <v>74</v>
      </c>
      <c r="AE674" s="2" t="s">
        <v>74</v>
      </c>
      <c r="AF674" s="2" t="s">
        <v>74</v>
      </c>
      <c r="AG674" s="2" t="s">
        <v>74</v>
      </c>
      <c r="AH674" s="2" t="s">
        <v>74</v>
      </c>
      <c r="AI674" s="2" t="s">
        <v>74</v>
      </c>
      <c r="AJ674" s="2" t="s">
        <v>74</v>
      </c>
      <c r="AK674" s="2" t="s">
        <v>74</v>
      </c>
      <c r="AL674" s="2" t="s">
        <v>74</v>
      </c>
      <c r="AM674" s="2" t="s">
        <v>74</v>
      </c>
      <c r="AN674" s="2" t="s">
        <v>74</v>
      </c>
      <c r="AO674" s="2" t="s">
        <v>337</v>
      </c>
      <c r="AP674" s="2" t="s">
        <v>338</v>
      </c>
      <c r="AQ674" s="2" t="s">
        <v>74</v>
      </c>
      <c r="AR674" s="2" t="s">
        <v>74</v>
      </c>
      <c r="AS674" s="2" t="s">
        <v>74</v>
      </c>
      <c r="AT674" s="2" t="s">
        <v>1013</v>
      </c>
      <c r="AU674" s="2">
        <v>2018</v>
      </c>
      <c r="AV674" s="2">
        <v>29</v>
      </c>
      <c r="AW674" s="2">
        <v>5</v>
      </c>
      <c r="AX674" s="2" t="s">
        <v>74</v>
      </c>
      <c r="AY674" s="2" t="s">
        <v>74</v>
      </c>
      <c r="AZ674" s="2" t="s">
        <v>74</v>
      </c>
      <c r="BA674" s="2" t="s">
        <v>74</v>
      </c>
      <c r="BB674" s="2">
        <v>1075</v>
      </c>
      <c r="BC674" s="2">
        <v>1087</v>
      </c>
      <c r="BD674" s="2" t="s">
        <v>74</v>
      </c>
      <c r="BE674" s="2" t="s">
        <v>1014</v>
      </c>
      <c r="BF674" s="2" t="str">
        <f>HYPERLINK("http://dx.doi.org/10.1093/beheco/ary076","http://dx.doi.org/10.1093/beheco/ary076")</f>
        <v>http://dx.doi.org/10.1093/beheco/ary076</v>
      </c>
      <c r="BG674" s="2" t="s">
        <v>74</v>
      </c>
      <c r="BH674" s="2" t="s">
        <v>74</v>
      </c>
      <c r="BI674" s="2" t="s">
        <v>74</v>
      </c>
      <c r="BJ674" s="2" t="s">
        <v>74</v>
      </c>
      <c r="BK674" s="2" t="s">
        <v>74</v>
      </c>
      <c r="BL674" s="2" t="s">
        <v>74</v>
      </c>
      <c r="BM674" s="2" t="s">
        <v>74</v>
      </c>
      <c r="BN674" s="2" t="s">
        <v>74</v>
      </c>
      <c r="BO674" s="2" t="s">
        <v>74</v>
      </c>
      <c r="BP674" s="2" t="s">
        <v>74</v>
      </c>
      <c r="BQ674" s="2" t="s">
        <v>74</v>
      </c>
      <c r="BR674" s="2" t="s">
        <v>74</v>
      </c>
      <c r="BS674" s="2" t="s">
        <v>1015</v>
      </c>
      <c r="BT674" s="2" t="str">
        <f>HYPERLINK("https%3A%2F%2Fwww.webofscience.com%2Fwos%2Fwoscc%2Ffull-record%2FWOS:000444301900027","View Full Record in Web of Science")</f>
        <v>View Full Record in Web of Science</v>
      </c>
    </row>
    <row r="675" spans="1:72" s="2" customFormat="1" x14ac:dyDescent="0.4">
      <c r="A675" s="2" t="s">
        <v>72</v>
      </c>
      <c r="B675" s="2" t="s">
        <v>1007</v>
      </c>
      <c r="C675" s="2" t="s">
        <v>74</v>
      </c>
      <c r="D675" s="2" t="s">
        <v>74</v>
      </c>
      <c r="E675" s="2" t="s">
        <v>74</v>
      </c>
      <c r="F675" s="2" t="s">
        <v>1008</v>
      </c>
      <c r="G675" s="2" t="s">
        <v>74</v>
      </c>
      <c r="H675" s="2" t="s">
        <v>74</v>
      </c>
      <c r="I675" s="2" t="s">
        <v>2285</v>
      </c>
      <c r="J675" s="2" t="s">
        <v>108</v>
      </c>
      <c r="K675" s="2" t="s">
        <v>74</v>
      </c>
      <c r="L675" s="2" t="s">
        <v>74</v>
      </c>
      <c r="M675" s="2" t="s">
        <v>74</v>
      </c>
      <c r="N675" s="2" t="s">
        <v>74</v>
      </c>
      <c r="O675" s="2" t="s">
        <v>74</v>
      </c>
      <c r="P675" s="2" t="s">
        <v>74</v>
      </c>
      <c r="Q675" s="2" t="s">
        <v>74</v>
      </c>
      <c r="R675" s="2" t="s">
        <v>74</v>
      </c>
      <c r="S675" s="2" t="s">
        <v>74</v>
      </c>
      <c r="T675" s="2" t="s">
        <v>74</v>
      </c>
      <c r="U675" s="2" t="s">
        <v>74</v>
      </c>
      <c r="V675" s="5" t="s">
        <v>2286</v>
      </c>
      <c r="W675" s="2" t="s">
        <v>74</v>
      </c>
      <c r="X675" s="2" t="s">
        <v>74</v>
      </c>
      <c r="Y675" s="2" t="s">
        <v>74</v>
      </c>
      <c r="Z675" s="2" t="s">
        <v>74</v>
      </c>
      <c r="AA675" s="2" t="s">
        <v>1011</v>
      </c>
      <c r="AB675" s="2" t="s">
        <v>1012</v>
      </c>
      <c r="AC675" s="2" t="s">
        <v>74</v>
      </c>
      <c r="AD675" s="2" t="s">
        <v>74</v>
      </c>
      <c r="AE675" s="2" t="s">
        <v>74</v>
      </c>
      <c r="AF675" s="2" t="s">
        <v>74</v>
      </c>
      <c r="AG675" s="2" t="s">
        <v>74</v>
      </c>
      <c r="AH675" s="2" t="s">
        <v>74</v>
      </c>
      <c r="AI675" s="2" t="s">
        <v>74</v>
      </c>
      <c r="AJ675" s="2" t="s">
        <v>74</v>
      </c>
      <c r="AK675" s="2" t="s">
        <v>74</v>
      </c>
      <c r="AL675" s="2" t="s">
        <v>74</v>
      </c>
      <c r="AM675" s="2" t="s">
        <v>74</v>
      </c>
      <c r="AN675" s="2" t="s">
        <v>74</v>
      </c>
      <c r="AO675" s="2" t="s">
        <v>111</v>
      </c>
      <c r="AP675" s="2" t="s">
        <v>112</v>
      </c>
      <c r="AQ675" s="2" t="s">
        <v>74</v>
      </c>
      <c r="AR675" s="2" t="s">
        <v>74</v>
      </c>
      <c r="AS675" s="2" t="s">
        <v>74</v>
      </c>
      <c r="AT675" s="2" t="s">
        <v>2287</v>
      </c>
      <c r="AU675" s="2">
        <v>2016</v>
      </c>
      <c r="AV675" s="2">
        <v>283</v>
      </c>
      <c r="AW675" s="2">
        <v>1841</v>
      </c>
      <c r="AX675" s="2" t="s">
        <v>74</v>
      </c>
      <c r="AY675" s="2" t="s">
        <v>74</v>
      </c>
      <c r="AZ675" s="2" t="s">
        <v>74</v>
      </c>
      <c r="BA675" s="2" t="s">
        <v>74</v>
      </c>
      <c r="BB675" s="2" t="s">
        <v>74</v>
      </c>
      <c r="BC675" s="2" t="s">
        <v>74</v>
      </c>
      <c r="BD675" s="2">
        <v>20161873</v>
      </c>
      <c r="BE675" s="2" t="s">
        <v>2288</v>
      </c>
      <c r="BF675" s="2" t="str">
        <f>HYPERLINK("http://dx.doi.org/10.1098/rspb.2016.1873","http://dx.doi.org/10.1098/rspb.2016.1873")</f>
        <v>http://dx.doi.org/10.1098/rspb.2016.1873</v>
      </c>
      <c r="BG675" s="2" t="s">
        <v>74</v>
      </c>
      <c r="BH675" s="2" t="s">
        <v>74</v>
      </c>
      <c r="BI675" s="2" t="s">
        <v>74</v>
      </c>
      <c r="BJ675" s="2" t="s">
        <v>74</v>
      </c>
      <c r="BK675" s="2" t="s">
        <v>74</v>
      </c>
      <c r="BL675" s="2" t="s">
        <v>74</v>
      </c>
      <c r="BM675" s="2" t="s">
        <v>74</v>
      </c>
      <c r="BN675" s="2">
        <v>27798310</v>
      </c>
      <c r="BO675" s="2" t="s">
        <v>74</v>
      </c>
      <c r="BP675" s="2" t="s">
        <v>74</v>
      </c>
      <c r="BQ675" s="2" t="s">
        <v>74</v>
      </c>
      <c r="BR675" s="2" t="s">
        <v>74</v>
      </c>
      <c r="BS675" s="2" t="s">
        <v>2289</v>
      </c>
      <c r="BT675" s="2" t="str">
        <f>HYPERLINK("https%3A%2F%2Fwww.webofscience.com%2Fwos%2Fwoscc%2Ffull-record%2FWOS:000386492600019","View Full Record in Web of Science")</f>
        <v>View Full Record in Web of Science</v>
      </c>
    </row>
    <row r="676" spans="1:72" s="2" customFormat="1" x14ac:dyDescent="0.4">
      <c r="A676" s="2" t="s">
        <v>72</v>
      </c>
      <c r="B676" s="2" t="s">
        <v>2222</v>
      </c>
      <c r="C676" s="2" t="s">
        <v>74</v>
      </c>
      <c r="D676" s="2" t="s">
        <v>74</v>
      </c>
      <c r="E676" s="2" t="s">
        <v>74</v>
      </c>
      <c r="F676" s="2" t="s">
        <v>2223</v>
      </c>
      <c r="G676" s="2" t="s">
        <v>74</v>
      </c>
      <c r="H676" s="2" t="s">
        <v>74</v>
      </c>
      <c r="I676" s="2" t="s">
        <v>2224</v>
      </c>
      <c r="J676" s="2" t="s">
        <v>1803</v>
      </c>
      <c r="K676" s="2" t="s">
        <v>74</v>
      </c>
      <c r="L676" s="2" t="s">
        <v>74</v>
      </c>
      <c r="M676" s="2" t="s">
        <v>74</v>
      </c>
      <c r="N676" s="2" t="s">
        <v>74</v>
      </c>
      <c r="O676" s="2" t="s">
        <v>74</v>
      </c>
      <c r="P676" s="2" t="s">
        <v>74</v>
      </c>
      <c r="Q676" s="2" t="s">
        <v>74</v>
      </c>
      <c r="R676" s="2" t="s">
        <v>74</v>
      </c>
      <c r="S676" s="2" t="s">
        <v>74</v>
      </c>
      <c r="T676" s="2" t="s">
        <v>74</v>
      </c>
      <c r="U676" s="2" t="s">
        <v>74</v>
      </c>
      <c r="V676" s="5" t="s">
        <v>2225</v>
      </c>
      <c r="W676" s="2" t="s">
        <v>74</v>
      </c>
      <c r="X676" s="2" t="s">
        <v>74</v>
      </c>
      <c r="Y676" s="2" t="s">
        <v>74</v>
      </c>
      <c r="Z676" s="2" t="s">
        <v>74</v>
      </c>
      <c r="AA676" s="2" t="s">
        <v>2226</v>
      </c>
      <c r="AB676" s="2" t="s">
        <v>2227</v>
      </c>
      <c r="AC676" s="2" t="s">
        <v>74</v>
      </c>
      <c r="AD676" s="2" t="s">
        <v>74</v>
      </c>
      <c r="AE676" s="2" t="s">
        <v>74</v>
      </c>
      <c r="AF676" s="2" t="s">
        <v>74</v>
      </c>
      <c r="AG676" s="2" t="s">
        <v>74</v>
      </c>
      <c r="AH676" s="2" t="s">
        <v>74</v>
      </c>
      <c r="AI676" s="2" t="s">
        <v>74</v>
      </c>
      <c r="AJ676" s="2" t="s">
        <v>74</v>
      </c>
      <c r="AK676" s="2" t="s">
        <v>74</v>
      </c>
      <c r="AL676" s="2" t="s">
        <v>74</v>
      </c>
      <c r="AM676" s="2" t="s">
        <v>74</v>
      </c>
      <c r="AN676" s="2" t="s">
        <v>74</v>
      </c>
      <c r="AO676" s="2" t="s">
        <v>1807</v>
      </c>
      <c r="AP676" s="2" t="s">
        <v>1808</v>
      </c>
      <c r="AQ676" s="2" t="s">
        <v>74</v>
      </c>
      <c r="AR676" s="2" t="s">
        <v>74</v>
      </c>
      <c r="AS676" s="2" t="s">
        <v>74</v>
      </c>
      <c r="AT676" s="2" t="s">
        <v>175</v>
      </c>
      <c r="AU676" s="2">
        <v>2014</v>
      </c>
      <c r="AV676" s="2">
        <v>28</v>
      </c>
      <c r="AW676" s="2">
        <v>5</v>
      </c>
      <c r="AX676" s="2" t="s">
        <v>74</v>
      </c>
      <c r="AY676" s="2" t="s">
        <v>74</v>
      </c>
      <c r="AZ676" s="2" t="s">
        <v>74</v>
      </c>
      <c r="BA676" s="2" t="s">
        <v>74</v>
      </c>
      <c r="BB676" s="2">
        <v>1197</v>
      </c>
      <c r="BC676" s="2">
        <v>1207</v>
      </c>
      <c r="BD676" s="2" t="s">
        <v>74</v>
      </c>
      <c r="BE676" s="2" t="s">
        <v>2228</v>
      </c>
      <c r="BF676" s="2" t="str">
        <f>HYPERLINK("http://dx.doi.org/10.1111/1365-2435.12244","http://dx.doi.org/10.1111/1365-2435.12244")</f>
        <v>http://dx.doi.org/10.1111/1365-2435.12244</v>
      </c>
      <c r="BG676" s="2" t="s">
        <v>74</v>
      </c>
      <c r="BH676" s="2" t="s">
        <v>74</v>
      </c>
      <c r="BI676" s="2" t="s">
        <v>74</v>
      </c>
      <c r="BJ676" s="2" t="s">
        <v>74</v>
      </c>
      <c r="BK676" s="2" t="s">
        <v>74</v>
      </c>
      <c r="BL676" s="2" t="s">
        <v>74</v>
      </c>
      <c r="BM676" s="2" t="s">
        <v>74</v>
      </c>
      <c r="BN676" s="2" t="s">
        <v>74</v>
      </c>
      <c r="BO676" s="2" t="s">
        <v>74</v>
      </c>
      <c r="BP676" s="2" t="s">
        <v>74</v>
      </c>
      <c r="BQ676" s="2" t="s">
        <v>74</v>
      </c>
      <c r="BR676" s="2" t="s">
        <v>74</v>
      </c>
      <c r="BS676" s="2" t="s">
        <v>2229</v>
      </c>
      <c r="BT676" s="2" t="str">
        <f>HYPERLINK("https%3A%2F%2Fwww.webofscience.com%2Fwos%2Fwoscc%2Ffull-record%2FWOS:000342615100015","View Full Record in Web of Science")</f>
        <v>View Full Record in Web of Science</v>
      </c>
    </row>
    <row r="677" spans="1:72" s="2" customFormat="1" x14ac:dyDescent="0.4">
      <c r="A677" s="2" t="s">
        <v>72</v>
      </c>
      <c r="B677" s="2" t="s">
        <v>4212</v>
      </c>
      <c r="C677" s="2" t="s">
        <v>74</v>
      </c>
      <c r="D677" s="2" t="s">
        <v>74</v>
      </c>
      <c r="E677" s="2" t="s">
        <v>74</v>
      </c>
      <c r="F677" s="2" t="s">
        <v>4213</v>
      </c>
      <c r="G677" s="2" t="s">
        <v>74</v>
      </c>
      <c r="H677" s="2" t="s">
        <v>74</v>
      </c>
      <c r="I677" s="2" t="s">
        <v>4214</v>
      </c>
      <c r="J677" s="2" t="s">
        <v>140</v>
      </c>
      <c r="K677" s="2" t="s">
        <v>74</v>
      </c>
      <c r="L677" s="2" t="s">
        <v>74</v>
      </c>
      <c r="M677" s="2" t="s">
        <v>74</v>
      </c>
      <c r="N677" s="2" t="s">
        <v>74</v>
      </c>
      <c r="O677" s="2" t="s">
        <v>74</v>
      </c>
      <c r="P677" s="2" t="s">
        <v>74</v>
      </c>
      <c r="Q677" s="2" t="s">
        <v>74</v>
      </c>
      <c r="R677" s="2" t="s">
        <v>74</v>
      </c>
      <c r="S677" s="2" t="s">
        <v>74</v>
      </c>
      <c r="T677" s="2" t="s">
        <v>74</v>
      </c>
      <c r="U677" s="2" t="s">
        <v>74</v>
      </c>
      <c r="V677" s="5" t="s">
        <v>4215</v>
      </c>
      <c r="W677" s="2" t="s">
        <v>74</v>
      </c>
      <c r="X677" s="2" t="s">
        <v>74</v>
      </c>
      <c r="Y677" s="2" t="s">
        <v>74</v>
      </c>
      <c r="Z677" s="2" t="s">
        <v>74</v>
      </c>
      <c r="AA677" s="2" t="s">
        <v>4216</v>
      </c>
      <c r="AB677" s="2" t="s">
        <v>4217</v>
      </c>
      <c r="AC677" s="2" t="s">
        <v>74</v>
      </c>
      <c r="AD677" s="2" t="s">
        <v>74</v>
      </c>
      <c r="AE677" s="2" t="s">
        <v>74</v>
      </c>
      <c r="AF677" s="2" t="s">
        <v>74</v>
      </c>
      <c r="AG677" s="2" t="s">
        <v>74</v>
      </c>
      <c r="AH677" s="2" t="s">
        <v>74</v>
      </c>
      <c r="AI677" s="2" t="s">
        <v>74</v>
      </c>
      <c r="AJ677" s="2" t="s">
        <v>74</v>
      </c>
      <c r="AK677" s="2" t="s">
        <v>74</v>
      </c>
      <c r="AL677" s="2" t="s">
        <v>74</v>
      </c>
      <c r="AM677" s="2" t="s">
        <v>74</v>
      </c>
      <c r="AN677" s="2" t="s">
        <v>74</v>
      </c>
      <c r="AO677" s="2" t="s">
        <v>143</v>
      </c>
      <c r="AP677" s="2" t="s">
        <v>144</v>
      </c>
      <c r="AQ677" s="2" t="s">
        <v>74</v>
      </c>
      <c r="AR677" s="2" t="s">
        <v>74</v>
      </c>
      <c r="AS677" s="2" t="s">
        <v>74</v>
      </c>
      <c r="AT677" s="2" t="s">
        <v>102</v>
      </c>
      <c r="AU677" s="2">
        <v>2009</v>
      </c>
      <c r="AV677" s="2">
        <v>77</v>
      </c>
      <c r="AW677" s="2">
        <v>6</v>
      </c>
      <c r="AX677" s="2" t="s">
        <v>74</v>
      </c>
      <c r="AY677" s="2" t="s">
        <v>74</v>
      </c>
      <c r="AZ677" s="2" t="s">
        <v>74</v>
      </c>
      <c r="BA677" s="2" t="s">
        <v>74</v>
      </c>
      <c r="BB677" s="2">
        <v>1525</v>
      </c>
      <c r="BC677" s="2">
        <v>1532</v>
      </c>
      <c r="BD677" s="2" t="s">
        <v>74</v>
      </c>
      <c r="BE677" s="2" t="s">
        <v>4218</v>
      </c>
      <c r="BF677" s="2" t="str">
        <f>HYPERLINK("http://dx.doi.org/10.1016/j.anbehav.2009.02.027","http://dx.doi.org/10.1016/j.anbehav.2009.02.027")</f>
        <v>http://dx.doi.org/10.1016/j.anbehav.2009.02.027</v>
      </c>
      <c r="BG677" s="2" t="s">
        <v>74</v>
      </c>
      <c r="BH677" s="2" t="s">
        <v>74</v>
      </c>
      <c r="BI677" s="2" t="s">
        <v>74</v>
      </c>
      <c r="BJ677" s="2" t="s">
        <v>74</v>
      </c>
      <c r="BK677" s="2" t="s">
        <v>74</v>
      </c>
      <c r="BL677" s="2" t="s">
        <v>74</v>
      </c>
      <c r="BM677" s="2" t="s">
        <v>74</v>
      </c>
      <c r="BN677" s="2" t="s">
        <v>74</v>
      </c>
      <c r="BO677" s="2" t="s">
        <v>74</v>
      </c>
      <c r="BP677" s="2" t="s">
        <v>74</v>
      </c>
      <c r="BQ677" s="2" t="s">
        <v>74</v>
      </c>
      <c r="BR677" s="2" t="s">
        <v>74</v>
      </c>
      <c r="BS677" s="2" t="s">
        <v>4219</v>
      </c>
      <c r="BT677" s="2" t="str">
        <f>HYPERLINK("https%3A%2F%2Fwww.webofscience.com%2Fwos%2Fwoscc%2Ffull-record%2FWOS:000266884200022","View Full Record in Web of Science")</f>
        <v>View Full Record in Web of Science</v>
      </c>
    </row>
    <row r="678" spans="1:72" s="2" customFormat="1" x14ac:dyDescent="0.4">
      <c r="A678" s="2" t="s">
        <v>72</v>
      </c>
      <c r="B678" s="2" t="s">
        <v>6000</v>
      </c>
      <c r="C678" s="2" t="s">
        <v>74</v>
      </c>
      <c r="D678" s="2" t="s">
        <v>74</v>
      </c>
      <c r="E678" s="2" t="s">
        <v>74</v>
      </c>
      <c r="F678" s="2" t="s">
        <v>6001</v>
      </c>
      <c r="G678" s="2" t="s">
        <v>74</v>
      </c>
      <c r="H678" s="2" t="s">
        <v>74</v>
      </c>
      <c r="I678" s="2" t="s">
        <v>6002</v>
      </c>
      <c r="J678" s="2" t="s">
        <v>1384</v>
      </c>
      <c r="K678" s="2" t="s">
        <v>74</v>
      </c>
      <c r="L678" s="2" t="s">
        <v>74</v>
      </c>
      <c r="M678" s="2" t="s">
        <v>74</v>
      </c>
      <c r="N678" s="2" t="s">
        <v>74</v>
      </c>
      <c r="O678" s="2" t="s">
        <v>74</v>
      </c>
      <c r="P678" s="2" t="s">
        <v>74</v>
      </c>
      <c r="Q678" s="2" t="s">
        <v>74</v>
      </c>
      <c r="R678" s="2" t="s">
        <v>74</v>
      </c>
      <c r="S678" s="2" t="s">
        <v>74</v>
      </c>
      <c r="T678" s="2" t="s">
        <v>74</v>
      </c>
      <c r="U678" s="2" t="s">
        <v>74</v>
      </c>
      <c r="V678" s="5" t="s">
        <v>6003</v>
      </c>
      <c r="W678" s="2" t="s">
        <v>74</v>
      </c>
      <c r="X678" s="2" t="s">
        <v>74</v>
      </c>
      <c r="Y678" s="2" t="s">
        <v>74</v>
      </c>
      <c r="Z678" s="2" t="s">
        <v>74</v>
      </c>
      <c r="AA678" s="2" t="s">
        <v>74</v>
      </c>
      <c r="AB678" s="2" t="s">
        <v>6004</v>
      </c>
      <c r="AC678" s="2" t="s">
        <v>74</v>
      </c>
      <c r="AD678" s="2" t="s">
        <v>74</v>
      </c>
      <c r="AE678" s="2" t="s">
        <v>74</v>
      </c>
      <c r="AF678" s="2" t="s">
        <v>74</v>
      </c>
      <c r="AG678" s="2" t="s">
        <v>74</v>
      </c>
      <c r="AH678" s="2" t="s">
        <v>74</v>
      </c>
      <c r="AI678" s="2" t="s">
        <v>74</v>
      </c>
      <c r="AJ678" s="2" t="s">
        <v>74</v>
      </c>
      <c r="AK678" s="2" t="s">
        <v>74</v>
      </c>
      <c r="AL678" s="2" t="s">
        <v>74</v>
      </c>
      <c r="AM678" s="2" t="s">
        <v>74</v>
      </c>
      <c r="AN678" s="2" t="s">
        <v>74</v>
      </c>
      <c r="AO678" s="2" t="s">
        <v>1388</v>
      </c>
      <c r="AP678" s="2" t="s">
        <v>1389</v>
      </c>
      <c r="AQ678" s="2" t="s">
        <v>74</v>
      </c>
      <c r="AR678" s="2" t="s">
        <v>74</v>
      </c>
      <c r="AS678" s="2" t="s">
        <v>74</v>
      </c>
      <c r="AT678" s="2" t="s">
        <v>633</v>
      </c>
      <c r="AU678" s="2">
        <v>2023</v>
      </c>
      <c r="AV678" s="2">
        <v>165</v>
      </c>
      <c r="AW678" s="2">
        <v>2</v>
      </c>
      <c r="AX678" s="2" t="s">
        <v>74</v>
      </c>
      <c r="AY678" s="2" t="s">
        <v>74</v>
      </c>
      <c r="AZ678" s="2" t="s">
        <v>74</v>
      </c>
      <c r="BA678" s="2" t="s">
        <v>74</v>
      </c>
      <c r="BB678" s="2">
        <v>561</v>
      </c>
      <c r="BC678" s="2">
        <v>570</v>
      </c>
      <c r="BD678" s="2" t="s">
        <v>74</v>
      </c>
      <c r="BE678" s="2" t="s">
        <v>6005</v>
      </c>
      <c r="BF678" s="2" t="str">
        <f>HYPERLINK("http://dx.doi.org/10.1111/ibi.13141","http://dx.doi.org/10.1111/ibi.13141")</f>
        <v>http://dx.doi.org/10.1111/ibi.13141</v>
      </c>
      <c r="BG678" s="2" t="s">
        <v>74</v>
      </c>
      <c r="BH678" s="2" t="s">
        <v>6006</v>
      </c>
      <c r="BI678" s="2" t="s">
        <v>74</v>
      </c>
      <c r="BJ678" s="2" t="s">
        <v>74</v>
      </c>
      <c r="BK678" s="2" t="s">
        <v>74</v>
      </c>
      <c r="BL678" s="2" t="s">
        <v>74</v>
      </c>
      <c r="BM678" s="2" t="s">
        <v>74</v>
      </c>
      <c r="BN678" s="2" t="s">
        <v>74</v>
      </c>
      <c r="BO678" s="2" t="s">
        <v>74</v>
      </c>
      <c r="BP678" s="2" t="s">
        <v>74</v>
      </c>
      <c r="BQ678" s="2" t="s">
        <v>74</v>
      </c>
      <c r="BR678" s="2" t="s">
        <v>74</v>
      </c>
      <c r="BS678" s="2" t="s">
        <v>6007</v>
      </c>
      <c r="BT678" s="2" t="str">
        <f>HYPERLINK("https%3A%2F%2Fwww.webofscience.com%2Fwos%2Fwoscc%2Ffull-record%2FWOS:000864028600001","View Full Record in Web of Science")</f>
        <v>View Full Record in Web of Science</v>
      </c>
    </row>
    <row r="679" spans="1:72" s="2" customFormat="1" x14ac:dyDescent="0.4">
      <c r="A679" s="2" t="s">
        <v>72</v>
      </c>
      <c r="B679" s="2" t="s">
        <v>8406</v>
      </c>
      <c r="C679" s="2" t="s">
        <v>74</v>
      </c>
      <c r="D679" s="2" t="s">
        <v>74</v>
      </c>
      <c r="E679" s="2" t="s">
        <v>74</v>
      </c>
      <c r="F679" s="2" t="s">
        <v>8407</v>
      </c>
      <c r="G679" s="2" t="s">
        <v>74</v>
      </c>
      <c r="H679" s="2" t="s">
        <v>74</v>
      </c>
      <c r="I679" s="2" t="s">
        <v>8408</v>
      </c>
      <c r="J679" s="2" t="s">
        <v>5937</v>
      </c>
      <c r="K679" s="2" t="s">
        <v>74</v>
      </c>
      <c r="L679" s="2" t="s">
        <v>74</v>
      </c>
      <c r="M679" s="2" t="s">
        <v>74</v>
      </c>
      <c r="N679" s="2" t="s">
        <v>74</v>
      </c>
      <c r="O679" s="2" t="s">
        <v>74</v>
      </c>
      <c r="P679" s="2" t="s">
        <v>74</v>
      </c>
      <c r="Q679" s="2" t="s">
        <v>74</v>
      </c>
      <c r="R679" s="2" t="s">
        <v>74</v>
      </c>
      <c r="S679" s="2" t="s">
        <v>74</v>
      </c>
      <c r="T679" s="2" t="s">
        <v>74</v>
      </c>
      <c r="U679" s="2" t="s">
        <v>74</v>
      </c>
      <c r="V679" s="5" t="s">
        <v>8409</v>
      </c>
      <c r="W679" s="2" t="s">
        <v>74</v>
      </c>
      <c r="X679" s="2" t="s">
        <v>74</v>
      </c>
      <c r="Y679" s="2" t="s">
        <v>74</v>
      </c>
      <c r="Z679" s="2" t="s">
        <v>74</v>
      </c>
      <c r="AA679" s="2" t="s">
        <v>612</v>
      </c>
      <c r="AB679" s="2" t="s">
        <v>613</v>
      </c>
      <c r="AC679" s="2" t="s">
        <v>74</v>
      </c>
      <c r="AD679" s="2" t="s">
        <v>74</v>
      </c>
      <c r="AE679" s="2" t="s">
        <v>74</v>
      </c>
      <c r="AF679" s="2" t="s">
        <v>74</v>
      </c>
      <c r="AG679" s="2" t="s">
        <v>74</v>
      </c>
      <c r="AH679" s="2" t="s">
        <v>74</v>
      </c>
      <c r="AI679" s="2" t="s">
        <v>74</v>
      </c>
      <c r="AJ679" s="2" t="s">
        <v>74</v>
      </c>
      <c r="AK679" s="2" t="s">
        <v>74</v>
      </c>
      <c r="AL679" s="2" t="s">
        <v>74</v>
      </c>
      <c r="AM679" s="2" t="s">
        <v>74</v>
      </c>
      <c r="AN679" s="2" t="s">
        <v>74</v>
      </c>
      <c r="AO679" s="2" t="s">
        <v>5941</v>
      </c>
      <c r="AP679" s="2" t="s">
        <v>74</v>
      </c>
      <c r="AQ679" s="2" t="s">
        <v>74</v>
      </c>
      <c r="AR679" s="2" t="s">
        <v>74</v>
      </c>
      <c r="AS679" s="2" t="s">
        <v>74</v>
      </c>
      <c r="AT679" s="2" t="s">
        <v>145</v>
      </c>
      <c r="AU679" s="2">
        <v>2023</v>
      </c>
      <c r="AV679" s="2">
        <v>13</v>
      </c>
      <c r="AW679" s="2">
        <v>16</v>
      </c>
      <c r="AX679" s="2" t="s">
        <v>74</v>
      </c>
      <c r="AY679" s="2" t="s">
        <v>74</v>
      </c>
      <c r="AZ679" s="2" t="s">
        <v>74</v>
      </c>
      <c r="BA679" s="2" t="s">
        <v>74</v>
      </c>
      <c r="BB679" s="2" t="s">
        <v>74</v>
      </c>
      <c r="BC679" s="2" t="s">
        <v>74</v>
      </c>
      <c r="BD679" s="2">
        <v>2623</v>
      </c>
      <c r="BE679" s="2" t="s">
        <v>8410</v>
      </c>
      <c r="BF679" s="2" t="str">
        <f>HYPERLINK("http://dx.doi.org/10.3390/ani13162623","http://dx.doi.org/10.3390/ani13162623")</f>
        <v>http://dx.doi.org/10.3390/ani13162623</v>
      </c>
      <c r="BG679" s="2" t="s">
        <v>74</v>
      </c>
      <c r="BH679" s="2" t="s">
        <v>74</v>
      </c>
      <c r="BI679" s="2" t="s">
        <v>74</v>
      </c>
      <c r="BJ679" s="2" t="s">
        <v>74</v>
      </c>
      <c r="BK679" s="2" t="s">
        <v>74</v>
      </c>
      <c r="BL679" s="2" t="s">
        <v>74</v>
      </c>
      <c r="BM679" s="2" t="s">
        <v>74</v>
      </c>
      <c r="BN679" s="2">
        <v>37627414</v>
      </c>
      <c r="BO679" s="2" t="s">
        <v>74</v>
      </c>
      <c r="BP679" s="2" t="s">
        <v>74</v>
      </c>
      <c r="BQ679" s="2" t="s">
        <v>74</v>
      </c>
      <c r="BR679" s="2" t="s">
        <v>74</v>
      </c>
      <c r="BS679" s="2" t="s">
        <v>8411</v>
      </c>
      <c r="BT679" s="2" t="str">
        <f>HYPERLINK("https%3A%2F%2Fwww.webofscience.com%2Fwos%2Fwoscc%2Ffull-record%2FWOS:001055601600001","View Full Record in Web of Science")</f>
        <v>View Full Record in Web of Science</v>
      </c>
    </row>
    <row r="680" spans="1:72" s="2" customFormat="1" x14ac:dyDescent="0.4">
      <c r="A680" s="2" t="s">
        <v>72</v>
      </c>
      <c r="B680" s="2" t="s">
        <v>7345</v>
      </c>
      <c r="C680" s="2" t="s">
        <v>74</v>
      </c>
      <c r="D680" s="2" t="s">
        <v>74</v>
      </c>
      <c r="E680" s="2" t="s">
        <v>74</v>
      </c>
      <c r="F680" s="2" t="s">
        <v>7346</v>
      </c>
      <c r="G680" s="2" t="s">
        <v>74</v>
      </c>
      <c r="H680" s="2" t="s">
        <v>74</v>
      </c>
      <c r="I680" s="2" t="s">
        <v>7347</v>
      </c>
      <c r="J680" s="2" t="s">
        <v>1112</v>
      </c>
      <c r="K680" s="2" t="s">
        <v>74</v>
      </c>
      <c r="L680" s="2" t="s">
        <v>74</v>
      </c>
      <c r="M680" s="2" t="s">
        <v>74</v>
      </c>
      <c r="N680" s="2" t="s">
        <v>74</v>
      </c>
      <c r="O680" s="2" t="s">
        <v>74</v>
      </c>
      <c r="P680" s="2" t="s">
        <v>74</v>
      </c>
      <c r="Q680" s="2" t="s">
        <v>74</v>
      </c>
      <c r="R680" s="2" t="s">
        <v>74</v>
      </c>
      <c r="S680" s="2" t="s">
        <v>74</v>
      </c>
      <c r="T680" s="2" t="s">
        <v>74</v>
      </c>
      <c r="U680" s="2" t="s">
        <v>74</v>
      </c>
      <c r="V680" s="5" t="s">
        <v>7348</v>
      </c>
      <c r="W680" s="2" t="s">
        <v>74</v>
      </c>
      <c r="X680" s="2" t="s">
        <v>74</v>
      </c>
      <c r="Y680" s="2" t="s">
        <v>74</v>
      </c>
      <c r="Z680" s="2" t="s">
        <v>74</v>
      </c>
      <c r="AA680" s="2" t="s">
        <v>7349</v>
      </c>
      <c r="AB680" s="2" t="s">
        <v>7350</v>
      </c>
      <c r="AC680" s="2" t="s">
        <v>74</v>
      </c>
      <c r="AD680" s="2" t="s">
        <v>74</v>
      </c>
      <c r="AE680" s="2" t="s">
        <v>74</v>
      </c>
      <c r="AF680" s="2" t="s">
        <v>74</v>
      </c>
      <c r="AG680" s="2" t="s">
        <v>74</v>
      </c>
      <c r="AH680" s="2" t="s">
        <v>74</v>
      </c>
      <c r="AI680" s="2" t="s">
        <v>74</v>
      </c>
      <c r="AJ680" s="2" t="s">
        <v>74</v>
      </c>
      <c r="AK680" s="2" t="s">
        <v>74</v>
      </c>
      <c r="AL680" s="2" t="s">
        <v>74</v>
      </c>
      <c r="AM680" s="2" t="s">
        <v>74</v>
      </c>
      <c r="AN680" s="2" t="s">
        <v>74</v>
      </c>
      <c r="AO680" s="2" t="s">
        <v>1114</v>
      </c>
      <c r="AP680" s="2" t="s">
        <v>1115</v>
      </c>
      <c r="AQ680" s="2" t="s">
        <v>74</v>
      </c>
      <c r="AR680" s="2" t="s">
        <v>74</v>
      </c>
      <c r="AS680" s="2" t="s">
        <v>74</v>
      </c>
      <c r="AT680" s="2" t="s">
        <v>204</v>
      </c>
      <c r="AU680" s="2">
        <v>2014</v>
      </c>
      <c r="AV680" s="2">
        <v>156</v>
      </c>
      <c r="AW680" s="2" t="s">
        <v>74</v>
      </c>
      <c r="AX680" s="2" t="s">
        <v>74</v>
      </c>
      <c r="AY680" s="2" t="s">
        <v>74</v>
      </c>
      <c r="AZ680" s="2" t="s">
        <v>74</v>
      </c>
      <c r="BA680" s="2" t="s">
        <v>74</v>
      </c>
      <c r="BB680" s="2">
        <v>44</v>
      </c>
      <c r="BC680" s="2">
        <v>53</v>
      </c>
      <c r="BD680" s="2" t="s">
        <v>74</v>
      </c>
      <c r="BE680" s="2" t="s">
        <v>7351</v>
      </c>
      <c r="BF680" s="2" t="str">
        <f>HYPERLINK("http://dx.doi.org/10.1016/j.applanim.2014.04.006","http://dx.doi.org/10.1016/j.applanim.2014.04.006")</f>
        <v>http://dx.doi.org/10.1016/j.applanim.2014.04.006</v>
      </c>
      <c r="BG680" s="2" t="s">
        <v>74</v>
      </c>
      <c r="BH680" s="2" t="s">
        <v>74</v>
      </c>
      <c r="BI680" s="2" t="s">
        <v>74</v>
      </c>
      <c r="BJ680" s="2" t="s">
        <v>74</v>
      </c>
      <c r="BK680" s="2" t="s">
        <v>74</v>
      </c>
      <c r="BL680" s="2" t="s">
        <v>74</v>
      </c>
      <c r="BM680" s="2" t="s">
        <v>74</v>
      </c>
      <c r="BN680" s="2" t="s">
        <v>74</v>
      </c>
      <c r="BO680" s="2" t="s">
        <v>74</v>
      </c>
      <c r="BP680" s="2" t="s">
        <v>74</v>
      </c>
      <c r="BQ680" s="2" t="s">
        <v>74</v>
      </c>
      <c r="BR680" s="2" t="s">
        <v>74</v>
      </c>
      <c r="BS680" s="2" t="s">
        <v>7352</v>
      </c>
      <c r="BT680" s="2" t="str">
        <f>HYPERLINK("https%3A%2F%2Fwww.webofscience.com%2Fwos%2Fwoscc%2Ffull-record%2FWOS:000337998000006","View Full Record in Web of Science")</f>
        <v>View Full Record in Web of Science</v>
      </c>
    </row>
    <row r="681" spans="1:72" s="2" customFormat="1" x14ac:dyDescent="0.4">
      <c r="A681" s="2" t="s">
        <v>72</v>
      </c>
      <c r="B681" s="2" t="s">
        <v>5790</v>
      </c>
      <c r="C681" s="2" t="s">
        <v>74</v>
      </c>
      <c r="D681" s="2" t="s">
        <v>74</v>
      </c>
      <c r="E681" s="2" t="s">
        <v>74</v>
      </c>
      <c r="F681" s="2" t="s">
        <v>5791</v>
      </c>
      <c r="G681" s="2" t="s">
        <v>74</v>
      </c>
      <c r="H681" s="2" t="s">
        <v>74</v>
      </c>
      <c r="I681" s="2" t="s">
        <v>5792</v>
      </c>
      <c r="J681" s="2" t="s">
        <v>281</v>
      </c>
      <c r="K681" s="2" t="s">
        <v>74</v>
      </c>
      <c r="L681" s="2" t="s">
        <v>74</v>
      </c>
      <c r="M681" s="2" t="s">
        <v>74</v>
      </c>
      <c r="N681" s="2" t="s">
        <v>74</v>
      </c>
      <c r="O681" s="2" t="s">
        <v>74</v>
      </c>
      <c r="P681" s="2" t="s">
        <v>74</v>
      </c>
      <c r="Q681" s="2" t="s">
        <v>74</v>
      </c>
      <c r="R681" s="2" t="s">
        <v>74</v>
      </c>
      <c r="S681" s="2" t="s">
        <v>74</v>
      </c>
      <c r="T681" s="2" t="s">
        <v>74</v>
      </c>
      <c r="U681" s="2" t="s">
        <v>74</v>
      </c>
      <c r="V681" s="5" t="s">
        <v>5793</v>
      </c>
      <c r="W681" s="2" t="s">
        <v>74</v>
      </c>
      <c r="X681" s="2" t="s">
        <v>74</v>
      </c>
      <c r="Y681" s="2" t="s">
        <v>74</v>
      </c>
      <c r="Z681" s="2" t="s">
        <v>74</v>
      </c>
      <c r="AA681" s="2" t="s">
        <v>5794</v>
      </c>
      <c r="AB681" s="2" t="s">
        <v>5795</v>
      </c>
      <c r="AC681" s="2" t="s">
        <v>74</v>
      </c>
      <c r="AD681" s="2" t="s">
        <v>74</v>
      </c>
      <c r="AE681" s="2" t="s">
        <v>74</v>
      </c>
      <c r="AF681" s="2" t="s">
        <v>74</v>
      </c>
      <c r="AG681" s="2" t="s">
        <v>74</v>
      </c>
      <c r="AH681" s="2" t="s">
        <v>74</v>
      </c>
      <c r="AI681" s="2" t="s">
        <v>74</v>
      </c>
      <c r="AJ681" s="2" t="s">
        <v>74</v>
      </c>
      <c r="AK681" s="2" t="s">
        <v>74</v>
      </c>
      <c r="AL681" s="2" t="s">
        <v>74</v>
      </c>
      <c r="AM681" s="2" t="s">
        <v>74</v>
      </c>
      <c r="AN681" s="2" t="s">
        <v>74</v>
      </c>
      <c r="AO681" s="2" t="s">
        <v>285</v>
      </c>
      <c r="AP681" s="2" t="s">
        <v>286</v>
      </c>
      <c r="AQ681" s="2" t="s">
        <v>74</v>
      </c>
      <c r="AR681" s="2" t="s">
        <v>74</v>
      </c>
      <c r="AS681" s="2" t="s">
        <v>74</v>
      </c>
      <c r="AT681" s="2" t="s">
        <v>255</v>
      </c>
      <c r="AU681" s="2">
        <v>2021</v>
      </c>
      <c r="AV681" s="2">
        <v>24</v>
      </c>
      <c r="AW681" s="2">
        <v>1</v>
      </c>
      <c r="AX681" s="2" t="s">
        <v>74</v>
      </c>
      <c r="AY681" s="2" t="s">
        <v>74</v>
      </c>
      <c r="AZ681" s="2" t="s">
        <v>74</v>
      </c>
      <c r="BA681" s="2" t="s">
        <v>74</v>
      </c>
      <c r="BB681" s="2">
        <v>205</v>
      </c>
      <c r="BC681" s="2">
        <v>212</v>
      </c>
      <c r="BD681" s="2" t="s">
        <v>74</v>
      </c>
      <c r="BE681" s="2" t="s">
        <v>5796</v>
      </c>
      <c r="BF681" s="2" t="str">
        <f>HYPERLINK("http://dx.doi.org/10.1007/s10071-020-01434-8","http://dx.doi.org/10.1007/s10071-020-01434-8")</f>
        <v>http://dx.doi.org/10.1007/s10071-020-01434-8</v>
      </c>
      <c r="BG681" s="2" t="s">
        <v>74</v>
      </c>
      <c r="BH681" s="2" t="s">
        <v>1067</v>
      </c>
      <c r="BI681" s="2" t="s">
        <v>74</v>
      </c>
      <c r="BJ681" s="2" t="s">
        <v>74</v>
      </c>
      <c r="BK681" s="2" t="s">
        <v>74</v>
      </c>
      <c r="BL681" s="2" t="s">
        <v>74</v>
      </c>
      <c r="BM681" s="2" t="s">
        <v>74</v>
      </c>
      <c r="BN681" s="2">
        <v>32980971</v>
      </c>
      <c r="BO681" s="2" t="s">
        <v>74</v>
      </c>
      <c r="BP681" s="2" t="s">
        <v>74</v>
      </c>
      <c r="BQ681" s="2" t="s">
        <v>74</v>
      </c>
      <c r="BR681" s="2" t="s">
        <v>74</v>
      </c>
      <c r="BS681" s="2" t="s">
        <v>5797</v>
      </c>
      <c r="BT681" s="2" t="str">
        <f>HYPERLINK("https%3A%2F%2Fwww.webofscience.com%2Fwos%2Fwoscc%2Ffull-record%2FWOS:000573200000001","View Full Record in Web of Science")</f>
        <v>View Full Record in Web of Science</v>
      </c>
    </row>
    <row r="682" spans="1:72" s="2" customFormat="1" x14ac:dyDescent="0.4">
      <c r="A682" s="2" t="s">
        <v>72</v>
      </c>
      <c r="B682" s="2" t="s">
        <v>4391</v>
      </c>
      <c r="C682" s="2" t="s">
        <v>74</v>
      </c>
      <c r="D682" s="2" t="s">
        <v>74</v>
      </c>
      <c r="E682" s="2" t="s">
        <v>74</v>
      </c>
      <c r="F682" s="2" t="s">
        <v>4391</v>
      </c>
      <c r="G682" s="2" t="s">
        <v>74</v>
      </c>
      <c r="H682" s="2" t="s">
        <v>74</v>
      </c>
      <c r="I682" s="2" t="s">
        <v>4392</v>
      </c>
      <c r="J682" s="2" t="s">
        <v>1533</v>
      </c>
      <c r="K682" s="2" t="s">
        <v>74</v>
      </c>
      <c r="L682" s="2" t="s">
        <v>74</v>
      </c>
      <c r="M682" s="2" t="s">
        <v>74</v>
      </c>
      <c r="N682" s="2" t="s">
        <v>74</v>
      </c>
      <c r="O682" s="2" t="s">
        <v>74</v>
      </c>
      <c r="P682" s="2" t="s">
        <v>74</v>
      </c>
      <c r="Q682" s="2" t="s">
        <v>74</v>
      </c>
      <c r="R682" s="2" t="s">
        <v>74</v>
      </c>
      <c r="S682" s="2" t="s">
        <v>74</v>
      </c>
      <c r="T682" s="2" t="s">
        <v>74</v>
      </c>
      <c r="U682" s="2" t="s">
        <v>74</v>
      </c>
      <c r="V682" s="5" t="s">
        <v>4393</v>
      </c>
      <c r="W682" s="2" t="s">
        <v>74</v>
      </c>
      <c r="X682" s="2" t="s">
        <v>74</v>
      </c>
      <c r="Y682" s="2" t="s">
        <v>74</v>
      </c>
      <c r="Z682" s="2" t="s">
        <v>74</v>
      </c>
      <c r="AA682" s="2" t="s">
        <v>74</v>
      </c>
      <c r="AB682" s="2" t="s">
        <v>74</v>
      </c>
      <c r="AC682" s="2" t="s">
        <v>74</v>
      </c>
      <c r="AD682" s="2" t="s">
        <v>74</v>
      </c>
      <c r="AE682" s="2" t="s">
        <v>74</v>
      </c>
      <c r="AF682" s="2" t="s">
        <v>74</v>
      </c>
      <c r="AG682" s="2" t="s">
        <v>74</v>
      </c>
      <c r="AH682" s="2" t="s">
        <v>74</v>
      </c>
      <c r="AI682" s="2" t="s">
        <v>74</v>
      </c>
      <c r="AJ682" s="2" t="s">
        <v>74</v>
      </c>
      <c r="AK682" s="2" t="s">
        <v>74</v>
      </c>
      <c r="AL682" s="2" t="s">
        <v>74</v>
      </c>
      <c r="AM682" s="2" t="s">
        <v>74</v>
      </c>
      <c r="AN682" s="2" t="s">
        <v>74</v>
      </c>
      <c r="AO682" s="2" t="s">
        <v>1535</v>
      </c>
      <c r="AP682" s="2" t="s">
        <v>1536</v>
      </c>
      <c r="AQ682" s="2" t="s">
        <v>74</v>
      </c>
      <c r="AR682" s="2" t="s">
        <v>74</v>
      </c>
      <c r="AS682" s="2" t="s">
        <v>74</v>
      </c>
      <c r="AT682" s="2" t="s">
        <v>74</v>
      </c>
      <c r="AU682" s="2">
        <v>1976</v>
      </c>
      <c r="AV682" s="2">
        <v>26</v>
      </c>
      <c r="AW682" s="2">
        <v>3</v>
      </c>
      <c r="AX682" s="2" t="s">
        <v>74</v>
      </c>
      <c r="AY682" s="2" t="s">
        <v>74</v>
      </c>
      <c r="AZ682" s="2" t="s">
        <v>74</v>
      </c>
      <c r="BA682" s="2" t="s">
        <v>74</v>
      </c>
      <c r="BB682" s="2">
        <v>349</v>
      </c>
      <c r="BC682" s="2">
        <v>360</v>
      </c>
      <c r="BD682" s="2" t="s">
        <v>74</v>
      </c>
      <c r="BE682" s="2" t="s">
        <v>4394</v>
      </c>
      <c r="BF682" s="2" t="str">
        <f>HYPERLINK("http://dx.doi.org/10.1901/jeab.1976.26-349","http://dx.doi.org/10.1901/jeab.1976.26-349")</f>
        <v>http://dx.doi.org/10.1901/jeab.1976.26-349</v>
      </c>
      <c r="BG682" s="2" t="s">
        <v>74</v>
      </c>
      <c r="BH682" s="2" t="s">
        <v>74</v>
      </c>
      <c r="BI682" s="2" t="s">
        <v>74</v>
      </c>
      <c r="BJ682" s="2" t="s">
        <v>74</v>
      </c>
      <c r="BK682" s="2" t="s">
        <v>74</v>
      </c>
      <c r="BL682" s="2" t="s">
        <v>74</v>
      </c>
      <c r="BM682" s="2" t="s">
        <v>74</v>
      </c>
      <c r="BN682" s="2">
        <v>1033979</v>
      </c>
      <c r="BO682" s="2" t="s">
        <v>74</v>
      </c>
      <c r="BP682" s="2" t="s">
        <v>74</v>
      </c>
      <c r="BQ682" s="2" t="s">
        <v>74</v>
      </c>
      <c r="BR682" s="2" t="s">
        <v>74</v>
      </c>
      <c r="BS682" s="2" t="s">
        <v>4395</v>
      </c>
      <c r="BT682" s="2" t="str">
        <f>HYPERLINK("https%3A%2F%2Fwww.webofscience.com%2Fwos%2Fwoscc%2Ffull-record%2FWOS:A1976CN54900004","View Full Record in Web of Science")</f>
        <v>View Full Record in Web of Science</v>
      </c>
    </row>
    <row r="683" spans="1:72" s="2" customFormat="1" x14ac:dyDescent="0.4">
      <c r="A683" s="2" t="s">
        <v>72</v>
      </c>
      <c r="B683" s="2" t="s">
        <v>7604</v>
      </c>
      <c r="C683" s="2" t="s">
        <v>74</v>
      </c>
      <c r="D683" s="2" t="s">
        <v>74</v>
      </c>
      <c r="E683" s="2" t="s">
        <v>74</v>
      </c>
      <c r="F683" s="2" t="s">
        <v>7604</v>
      </c>
      <c r="G683" s="2" t="s">
        <v>74</v>
      </c>
      <c r="H683" s="2" t="s">
        <v>74</v>
      </c>
      <c r="I683" s="2" t="s">
        <v>7605</v>
      </c>
      <c r="J683" s="2" t="s">
        <v>610</v>
      </c>
      <c r="K683" s="2" t="s">
        <v>74</v>
      </c>
      <c r="L683" s="2" t="s">
        <v>74</v>
      </c>
      <c r="M683" s="2" t="s">
        <v>74</v>
      </c>
      <c r="N683" s="2" t="s">
        <v>74</v>
      </c>
      <c r="O683" s="2" t="s">
        <v>74</v>
      </c>
      <c r="P683" s="2" t="s">
        <v>74</v>
      </c>
      <c r="Q683" s="2" t="s">
        <v>74</v>
      </c>
      <c r="R683" s="2" t="s">
        <v>74</v>
      </c>
      <c r="S683" s="2" t="s">
        <v>74</v>
      </c>
      <c r="T683" s="2" t="s">
        <v>74</v>
      </c>
      <c r="U683" s="2" t="s">
        <v>74</v>
      </c>
      <c r="V683" s="5" t="s">
        <v>7606</v>
      </c>
      <c r="W683" s="2" t="s">
        <v>74</v>
      </c>
      <c r="X683" s="2" t="s">
        <v>74</v>
      </c>
      <c r="Y683" s="2" t="s">
        <v>74</v>
      </c>
      <c r="Z683" s="2" t="s">
        <v>74</v>
      </c>
      <c r="AA683" s="2" t="s">
        <v>1933</v>
      </c>
      <c r="AB683" s="2" t="s">
        <v>1934</v>
      </c>
      <c r="AC683" s="2" t="s">
        <v>74</v>
      </c>
      <c r="AD683" s="2" t="s">
        <v>74</v>
      </c>
      <c r="AE683" s="2" t="s">
        <v>74</v>
      </c>
      <c r="AF683" s="2" t="s">
        <v>74</v>
      </c>
      <c r="AG683" s="2" t="s">
        <v>74</v>
      </c>
      <c r="AH683" s="2" t="s">
        <v>74</v>
      </c>
      <c r="AI683" s="2" t="s">
        <v>74</v>
      </c>
      <c r="AJ683" s="2" t="s">
        <v>74</v>
      </c>
      <c r="AK683" s="2" t="s">
        <v>74</v>
      </c>
      <c r="AL683" s="2" t="s">
        <v>74</v>
      </c>
      <c r="AM683" s="2" t="s">
        <v>74</v>
      </c>
      <c r="AN683" s="2" t="s">
        <v>74</v>
      </c>
      <c r="AO683" s="2" t="s">
        <v>614</v>
      </c>
      <c r="AP683" s="2" t="s">
        <v>615</v>
      </c>
      <c r="AQ683" s="2" t="s">
        <v>74</v>
      </c>
      <c r="AR683" s="2" t="s">
        <v>74</v>
      </c>
      <c r="AS683" s="2" t="s">
        <v>74</v>
      </c>
      <c r="AT683" s="2" t="s">
        <v>175</v>
      </c>
      <c r="AU683" s="2">
        <v>2001</v>
      </c>
      <c r="AV683" s="2">
        <v>107</v>
      </c>
      <c r="AW683" s="2">
        <v>10</v>
      </c>
      <c r="AX683" s="2" t="s">
        <v>74</v>
      </c>
      <c r="AY683" s="2" t="s">
        <v>74</v>
      </c>
      <c r="AZ683" s="2" t="s">
        <v>74</v>
      </c>
      <c r="BA683" s="2" t="s">
        <v>74</v>
      </c>
      <c r="BB683" s="2">
        <v>901</v>
      </c>
      <c r="BC683" s="2">
        <v>912</v>
      </c>
      <c r="BD683" s="2" t="s">
        <v>74</v>
      </c>
      <c r="BE683" s="2" t="s">
        <v>7607</v>
      </c>
      <c r="BF683" s="2" t="str">
        <f>HYPERLINK("http://dx.doi.org/10.1046/j.1439-0310.2001.00724.x","http://dx.doi.org/10.1046/j.1439-0310.2001.00724.x")</f>
        <v>http://dx.doi.org/10.1046/j.1439-0310.2001.00724.x</v>
      </c>
      <c r="BG683" s="2" t="s">
        <v>74</v>
      </c>
      <c r="BH683" s="2" t="s">
        <v>74</v>
      </c>
      <c r="BI683" s="2" t="s">
        <v>74</v>
      </c>
      <c r="BJ683" s="2" t="s">
        <v>74</v>
      </c>
      <c r="BK683" s="2" t="s">
        <v>74</v>
      </c>
      <c r="BL683" s="2" t="s">
        <v>74</v>
      </c>
      <c r="BM683" s="2" t="s">
        <v>74</v>
      </c>
      <c r="BN683" s="2" t="s">
        <v>74</v>
      </c>
      <c r="BO683" s="2" t="s">
        <v>74</v>
      </c>
      <c r="BP683" s="2" t="s">
        <v>74</v>
      </c>
      <c r="BQ683" s="2" t="s">
        <v>74</v>
      </c>
      <c r="BR683" s="2" t="s">
        <v>74</v>
      </c>
      <c r="BS683" s="2" t="s">
        <v>7608</v>
      </c>
      <c r="BT683" s="2" t="str">
        <f>HYPERLINK("https%3A%2F%2Fwww.webofscience.com%2Fwos%2Fwoscc%2Ffull-record%2FWOS:000172914000004","View Full Record in Web of Science")</f>
        <v>View Full Record in Web of Science</v>
      </c>
    </row>
    <row r="684" spans="1:72" s="2" customFormat="1" x14ac:dyDescent="0.4">
      <c r="A684" s="2" t="s">
        <v>72</v>
      </c>
      <c r="B684" s="2" t="s">
        <v>1930</v>
      </c>
      <c r="C684" s="2" t="s">
        <v>74</v>
      </c>
      <c r="D684" s="2" t="s">
        <v>74</v>
      </c>
      <c r="E684" s="2" t="s">
        <v>74</v>
      </c>
      <c r="F684" s="2" t="s">
        <v>1930</v>
      </c>
      <c r="G684" s="2" t="s">
        <v>74</v>
      </c>
      <c r="H684" s="2" t="s">
        <v>74</v>
      </c>
      <c r="I684" s="2" t="s">
        <v>1931</v>
      </c>
      <c r="J684" s="2" t="s">
        <v>229</v>
      </c>
      <c r="K684" s="2" t="s">
        <v>74</v>
      </c>
      <c r="L684" s="2" t="s">
        <v>74</v>
      </c>
      <c r="M684" s="2" t="s">
        <v>74</v>
      </c>
      <c r="N684" s="2" t="s">
        <v>74</v>
      </c>
      <c r="O684" s="2" t="s">
        <v>74</v>
      </c>
      <c r="P684" s="2" t="s">
        <v>74</v>
      </c>
      <c r="Q684" s="2" t="s">
        <v>74</v>
      </c>
      <c r="R684" s="2" t="s">
        <v>74</v>
      </c>
      <c r="S684" s="2" t="s">
        <v>74</v>
      </c>
      <c r="T684" s="2" t="s">
        <v>74</v>
      </c>
      <c r="U684" s="2" t="s">
        <v>74</v>
      </c>
      <c r="V684" s="5" t="s">
        <v>1932</v>
      </c>
      <c r="W684" s="2" t="s">
        <v>74</v>
      </c>
      <c r="X684" s="2" t="s">
        <v>74</v>
      </c>
      <c r="Y684" s="2" t="s">
        <v>74</v>
      </c>
      <c r="Z684" s="2" t="s">
        <v>74</v>
      </c>
      <c r="AA684" s="2" t="s">
        <v>1933</v>
      </c>
      <c r="AB684" s="2" t="s">
        <v>1934</v>
      </c>
      <c r="AC684" s="2" t="s">
        <v>74</v>
      </c>
      <c r="AD684" s="2" t="s">
        <v>74</v>
      </c>
      <c r="AE684" s="2" t="s">
        <v>74</v>
      </c>
      <c r="AF684" s="2" t="s">
        <v>74</v>
      </c>
      <c r="AG684" s="2" t="s">
        <v>74</v>
      </c>
      <c r="AH684" s="2" t="s">
        <v>74</v>
      </c>
      <c r="AI684" s="2" t="s">
        <v>74</v>
      </c>
      <c r="AJ684" s="2" t="s">
        <v>74</v>
      </c>
      <c r="AK684" s="2" t="s">
        <v>74</v>
      </c>
      <c r="AL684" s="2" t="s">
        <v>74</v>
      </c>
      <c r="AM684" s="2" t="s">
        <v>74</v>
      </c>
      <c r="AN684" s="2" t="s">
        <v>74</v>
      </c>
      <c r="AO684" s="2" t="s">
        <v>233</v>
      </c>
      <c r="AP684" s="2" t="s">
        <v>234</v>
      </c>
      <c r="AQ684" s="2" t="s">
        <v>74</v>
      </c>
      <c r="AR684" s="2" t="s">
        <v>74</v>
      </c>
      <c r="AS684" s="2" t="s">
        <v>74</v>
      </c>
      <c r="AT684" s="2" t="s">
        <v>1038</v>
      </c>
      <c r="AU684" s="2">
        <v>2002</v>
      </c>
      <c r="AV684" s="2">
        <v>28</v>
      </c>
      <c r="AW684" s="2">
        <v>2</v>
      </c>
      <c r="AX684" s="2" t="s">
        <v>74</v>
      </c>
      <c r="AY684" s="2" t="s">
        <v>74</v>
      </c>
      <c r="AZ684" s="2" t="s">
        <v>74</v>
      </c>
      <c r="BA684" s="2" t="s">
        <v>74</v>
      </c>
      <c r="BB684" s="2">
        <v>154</v>
      </c>
      <c r="BC684" s="2">
        <v>163</v>
      </c>
      <c r="BD684" s="2" t="s">
        <v>74</v>
      </c>
      <c r="BE684" s="2" t="s">
        <v>1935</v>
      </c>
      <c r="BF684" s="2" t="str">
        <f>HYPERLINK("http://dx.doi.org/10.1002/ab.90017","http://dx.doi.org/10.1002/ab.90017")</f>
        <v>http://dx.doi.org/10.1002/ab.90017</v>
      </c>
      <c r="BG684" s="2" t="s">
        <v>74</v>
      </c>
      <c r="BH684" s="2" t="s">
        <v>74</v>
      </c>
      <c r="BI684" s="2" t="s">
        <v>74</v>
      </c>
      <c r="BJ684" s="2" t="s">
        <v>74</v>
      </c>
      <c r="BK684" s="2" t="s">
        <v>74</v>
      </c>
      <c r="BL684" s="2" t="s">
        <v>74</v>
      </c>
      <c r="BM684" s="2" t="s">
        <v>74</v>
      </c>
      <c r="BN684" s="2" t="s">
        <v>74</v>
      </c>
      <c r="BO684" s="2" t="s">
        <v>74</v>
      </c>
      <c r="BP684" s="2" t="s">
        <v>74</v>
      </c>
      <c r="BQ684" s="2" t="s">
        <v>74</v>
      </c>
      <c r="BR684" s="2" t="s">
        <v>74</v>
      </c>
      <c r="BS684" s="2" t="s">
        <v>1936</v>
      </c>
      <c r="BT684" s="2" t="str">
        <f>HYPERLINK("https%3A%2F%2Fwww.webofscience.com%2Fwos%2Fwoscc%2Ffull-record%2FWOS:000174435600008","View Full Record in Web of Science")</f>
        <v>View Full Record in Web of Science</v>
      </c>
    </row>
    <row r="685" spans="1:72" s="2" customFormat="1" x14ac:dyDescent="0.4">
      <c r="A685" s="2" t="s">
        <v>72</v>
      </c>
      <c r="B685" s="2" t="s">
        <v>1930</v>
      </c>
      <c r="C685" s="2" t="s">
        <v>74</v>
      </c>
      <c r="D685" s="2" t="s">
        <v>74</v>
      </c>
      <c r="E685" s="2" t="s">
        <v>74</v>
      </c>
      <c r="F685" s="2" t="s">
        <v>1930</v>
      </c>
      <c r="G685" s="2" t="s">
        <v>74</v>
      </c>
      <c r="H685" s="2" t="s">
        <v>74</v>
      </c>
      <c r="I685" s="2" t="s">
        <v>5603</v>
      </c>
      <c r="J685" s="2" t="s">
        <v>129</v>
      </c>
      <c r="K685" s="2" t="s">
        <v>74</v>
      </c>
      <c r="L685" s="2" t="s">
        <v>74</v>
      </c>
      <c r="M685" s="2" t="s">
        <v>74</v>
      </c>
      <c r="N685" s="2" t="s">
        <v>74</v>
      </c>
      <c r="O685" s="2" t="s">
        <v>74</v>
      </c>
      <c r="P685" s="2" t="s">
        <v>74</v>
      </c>
      <c r="Q685" s="2" t="s">
        <v>74</v>
      </c>
      <c r="R685" s="2" t="s">
        <v>74</v>
      </c>
      <c r="S685" s="2" t="s">
        <v>74</v>
      </c>
      <c r="T685" s="2" t="s">
        <v>74</v>
      </c>
      <c r="U685" s="2" t="s">
        <v>74</v>
      </c>
      <c r="V685" s="5" t="s">
        <v>5604</v>
      </c>
      <c r="W685" s="2" t="s">
        <v>74</v>
      </c>
      <c r="X685" s="2" t="s">
        <v>74</v>
      </c>
      <c r="Y685" s="2" t="s">
        <v>74</v>
      </c>
      <c r="Z685" s="2" t="s">
        <v>74</v>
      </c>
      <c r="AA685" s="2" t="s">
        <v>1933</v>
      </c>
      <c r="AB685" s="2" t="s">
        <v>1934</v>
      </c>
      <c r="AC685" s="2" t="s">
        <v>74</v>
      </c>
      <c r="AD685" s="2" t="s">
        <v>74</v>
      </c>
      <c r="AE685" s="2" t="s">
        <v>74</v>
      </c>
      <c r="AF685" s="2" t="s">
        <v>74</v>
      </c>
      <c r="AG685" s="2" t="s">
        <v>74</v>
      </c>
      <c r="AH685" s="2" t="s">
        <v>74</v>
      </c>
      <c r="AI685" s="2" t="s">
        <v>74</v>
      </c>
      <c r="AJ685" s="2" t="s">
        <v>74</v>
      </c>
      <c r="AK685" s="2" t="s">
        <v>74</v>
      </c>
      <c r="AL685" s="2" t="s">
        <v>74</v>
      </c>
      <c r="AM685" s="2" t="s">
        <v>74</v>
      </c>
      <c r="AN685" s="2" t="s">
        <v>74</v>
      </c>
      <c r="AO685" s="2" t="s">
        <v>132</v>
      </c>
      <c r="AP685" s="2" t="s">
        <v>74</v>
      </c>
      <c r="AQ685" s="2" t="s">
        <v>74</v>
      </c>
      <c r="AR685" s="2" t="s">
        <v>74</v>
      </c>
      <c r="AS685" s="2" t="s">
        <v>74</v>
      </c>
      <c r="AT685" s="2" t="s">
        <v>145</v>
      </c>
      <c r="AU685" s="2">
        <v>2003</v>
      </c>
      <c r="AV685" s="2">
        <v>54</v>
      </c>
      <c r="AW685" s="2">
        <v>3</v>
      </c>
      <c r="AX685" s="2" t="s">
        <v>74</v>
      </c>
      <c r="AY685" s="2" t="s">
        <v>74</v>
      </c>
      <c r="AZ685" s="2" t="s">
        <v>74</v>
      </c>
      <c r="BA685" s="2" t="s">
        <v>74</v>
      </c>
      <c r="BB685" s="2">
        <v>218</v>
      </c>
      <c r="BC685" s="2">
        <v>224</v>
      </c>
      <c r="BD685" s="2" t="s">
        <v>74</v>
      </c>
      <c r="BE685" s="2" t="s">
        <v>5605</v>
      </c>
      <c r="BF685" s="2" t="str">
        <f>HYPERLINK("http://dx.doi.org/10.1007/s00265-003-0623-2","http://dx.doi.org/10.1007/s00265-003-0623-2")</f>
        <v>http://dx.doi.org/10.1007/s00265-003-0623-2</v>
      </c>
      <c r="BG685" s="2" t="s">
        <v>74</v>
      </c>
      <c r="BH685" s="2" t="s">
        <v>74</v>
      </c>
      <c r="BI685" s="2" t="s">
        <v>74</v>
      </c>
      <c r="BJ685" s="2" t="s">
        <v>74</v>
      </c>
      <c r="BK685" s="2" t="s">
        <v>74</v>
      </c>
      <c r="BL685" s="2" t="s">
        <v>74</v>
      </c>
      <c r="BM685" s="2" t="s">
        <v>74</v>
      </c>
      <c r="BN685" s="2" t="s">
        <v>74</v>
      </c>
      <c r="BO685" s="2" t="s">
        <v>74</v>
      </c>
      <c r="BP685" s="2" t="s">
        <v>74</v>
      </c>
      <c r="BQ685" s="2" t="s">
        <v>74</v>
      </c>
      <c r="BR685" s="2" t="s">
        <v>74</v>
      </c>
      <c r="BS685" s="2" t="s">
        <v>5606</v>
      </c>
      <c r="BT685" s="2" t="str">
        <f>HYPERLINK("https%3A%2F%2Fwww.webofscience.com%2Fwos%2Fwoscc%2Ffull-record%2FWOS:000184754900003","View Full Record in Web of Science")</f>
        <v>View Full Record in Web of Science</v>
      </c>
    </row>
    <row r="686" spans="1:72" s="2" customFormat="1" x14ac:dyDescent="0.4">
      <c r="A686" s="2" t="s">
        <v>72</v>
      </c>
      <c r="B686" s="2" t="s">
        <v>1930</v>
      </c>
      <c r="C686" s="2" t="s">
        <v>74</v>
      </c>
      <c r="D686" s="2" t="s">
        <v>74</v>
      </c>
      <c r="E686" s="2" t="s">
        <v>74</v>
      </c>
      <c r="F686" s="2" t="s">
        <v>1930</v>
      </c>
      <c r="G686" s="2" t="s">
        <v>74</v>
      </c>
      <c r="H686" s="2" t="s">
        <v>74</v>
      </c>
      <c r="I686" s="2" t="s">
        <v>7276</v>
      </c>
      <c r="J686" s="2" t="s">
        <v>610</v>
      </c>
      <c r="K686" s="2" t="s">
        <v>74</v>
      </c>
      <c r="L686" s="2" t="s">
        <v>74</v>
      </c>
      <c r="M686" s="2" t="s">
        <v>74</v>
      </c>
      <c r="N686" s="2" t="s">
        <v>74</v>
      </c>
      <c r="O686" s="2" t="s">
        <v>74</v>
      </c>
      <c r="P686" s="2" t="s">
        <v>74</v>
      </c>
      <c r="Q686" s="2" t="s">
        <v>74</v>
      </c>
      <c r="R686" s="2" t="s">
        <v>74</v>
      </c>
      <c r="S686" s="2" t="s">
        <v>74</v>
      </c>
      <c r="T686" s="2" t="s">
        <v>74</v>
      </c>
      <c r="U686" s="2" t="s">
        <v>74</v>
      </c>
      <c r="V686" s="5" t="s">
        <v>7277</v>
      </c>
      <c r="W686" s="2" t="s">
        <v>74</v>
      </c>
      <c r="X686" s="2" t="s">
        <v>74</v>
      </c>
      <c r="Y686" s="2" t="s">
        <v>74</v>
      </c>
      <c r="Z686" s="2" t="s">
        <v>74</v>
      </c>
      <c r="AA686" s="2" t="s">
        <v>1933</v>
      </c>
      <c r="AB686" s="2" t="s">
        <v>1934</v>
      </c>
      <c r="AC686" s="2" t="s">
        <v>74</v>
      </c>
      <c r="AD686" s="2" t="s">
        <v>74</v>
      </c>
      <c r="AE686" s="2" t="s">
        <v>74</v>
      </c>
      <c r="AF686" s="2" t="s">
        <v>74</v>
      </c>
      <c r="AG686" s="2" t="s">
        <v>74</v>
      </c>
      <c r="AH686" s="2" t="s">
        <v>74</v>
      </c>
      <c r="AI686" s="2" t="s">
        <v>74</v>
      </c>
      <c r="AJ686" s="2" t="s">
        <v>74</v>
      </c>
      <c r="AK686" s="2" t="s">
        <v>74</v>
      </c>
      <c r="AL686" s="2" t="s">
        <v>74</v>
      </c>
      <c r="AM686" s="2" t="s">
        <v>74</v>
      </c>
      <c r="AN686" s="2" t="s">
        <v>74</v>
      </c>
      <c r="AO686" s="2" t="s">
        <v>614</v>
      </c>
      <c r="AP686" s="2" t="s">
        <v>615</v>
      </c>
      <c r="AQ686" s="2" t="s">
        <v>74</v>
      </c>
      <c r="AR686" s="2" t="s">
        <v>74</v>
      </c>
      <c r="AS686" s="2" t="s">
        <v>74</v>
      </c>
      <c r="AT686" s="2" t="s">
        <v>204</v>
      </c>
      <c r="AU686" s="2">
        <v>2004</v>
      </c>
      <c r="AV686" s="2">
        <v>110</v>
      </c>
      <c r="AW686" s="2">
        <v>7</v>
      </c>
      <c r="AX686" s="2" t="s">
        <v>74</v>
      </c>
      <c r="AY686" s="2" t="s">
        <v>74</v>
      </c>
      <c r="AZ686" s="2" t="s">
        <v>74</v>
      </c>
      <c r="BA686" s="2" t="s">
        <v>74</v>
      </c>
      <c r="BB686" s="2">
        <v>543</v>
      </c>
      <c r="BC686" s="2">
        <v>561</v>
      </c>
      <c r="BD686" s="2" t="s">
        <v>74</v>
      </c>
      <c r="BE686" s="2" t="s">
        <v>7278</v>
      </c>
      <c r="BF686" s="2" t="str">
        <f>HYPERLINK("http://dx.doi.org/10.1111/j.1439-0310.2004.00996.x","http://dx.doi.org/10.1111/j.1439-0310.2004.00996.x")</f>
        <v>http://dx.doi.org/10.1111/j.1439-0310.2004.00996.x</v>
      </c>
      <c r="BG686" s="2" t="s">
        <v>74</v>
      </c>
      <c r="BH686" s="2" t="s">
        <v>74</v>
      </c>
      <c r="BI686" s="2" t="s">
        <v>74</v>
      </c>
      <c r="BJ686" s="2" t="s">
        <v>74</v>
      </c>
      <c r="BK686" s="2" t="s">
        <v>74</v>
      </c>
      <c r="BL686" s="2" t="s">
        <v>74</v>
      </c>
      <c r="BM686" s="2" t="s">
        <v>74</v>
      </c>
      <c r="BN686" s="2" t="s">
        <v>74</v>
      </c>
      <c r="BO686" s="2" t="s">
        <v>74</v>
      </c>
      <c r="BP686" s="2" t="s">
        <v>74</v>
      </c>
      <c r="BQ686" s="2" t="s">
        <v>74</v>
      </c>
      <c r="BR686" s="2" t="s">
        <v>74</v>
      </c>
      <c r="BS686" s="2" t="s">
        <v>7279</v>
      </c>
      <c r="BT686" s="2" t="str">
        <f>HYPERLINK("https%3A%2F%2Fwww.webofscience.com%2Fwos%2Fwoscc%2Ffull-record%2FWOS:000222483900004","View Full Record in Web of Science")</f>
        <v>View Full Record in Web of Science</v>
      </c>
    </row>
    <row r="687" spans="1:72" s="2" customFormat="1" x14ac:dyDescent="0.4">
      <c r="A687" s="2" t="s">
        <v>72</v>
      </c>
      <c r="B687" s="2" t="s">
        <v>249</v>
      </c>
      <c r="C687" s="2" t="s">
        <v>74</v>
      </c>
      <c r="D687" s="2" t="s">
        <v>74</v>
      </c>
      <c r="E687" s="2" t="s">
        <v>74</v>
      </c>
      <c r="F687" s="2" t="s">
        <v>250</v>
      </c>
      <c r="G687" s="2" t="s">
        <v>74</v>
      </c>
      <c r="H687" s="2" t="s">
        <v>74</v>
      </c>
      <c r="I687" s="2" t="s">
        <v>251</v>
      </c>
      <c r="J687" s="2" t="s">
        <v>129</v>
      </c>
      <c r="K687" s="2" t="s">
        <v>74</v>
      </c>
      <c r="L687" s="2" t="s">
        <v>74</v>
      </c>
      <c r="M687" s="2" t="s">
        <v>74</v>
      </c>
      <c r="N687" s="2" t="s">
        <v>74</v>
      </c>
      <c r="O687" s="2" t="s">
        <v>74</v>
      </c>
      <c r="P687" s="2" t="s">
        <v>74</v>
      </c>
      <c r="Q687" s="2" t="s">
        <v>74</v>
      </c>
      <c r="R687" s="2" t="s">
        <v>74</v>
      </c>
      <c r="S687" s="2" t="s">
        <v>74</v>
      </c>
      <c r="T687" s="2" t="s">
        <v>74</v>
      </c>
      <c r="U687" s="2" t="s">
        <v>74</v>
      </c>
      <c r="V687" s="5" t="s">
        <v>252</v>
      </c>
      <c r="W687" s="2" t="s">
        <v>74</v>
      </c>
      <c r="X687" s="2" t="s">
        <v>74</v>
      </c>
      <c r="Y687" s="2" t="s">
        <v>74</v>
      </c>
      <c r="Z687" s="2" t="s">
        <v>74</v>
      </c>
      <c r="AA687" s="2" t="s">
        <v>253</v>
      </c>
      <c r="AB687" s="2" t="s">
        <v>254</v>
      </c>
      <c r="AC687" s="2" t="s">
        <v>74</v>
      </c>
      <c r="AD687" s="2" t="s">
        <v>74</v>
      </c>
      <c r="AE687" s="2" t="s">
        <v>74</v>
      </c>
      <c r="AF687" s="2" t="s">
        <v>74</v>
      </c>
      <c r="AG687" s="2" t="s">
        <v>74</v>
      </c>
      <c r="AH687" s="2" t="s">
        <v>74</v>
      </c>
      <c r="AI687" s="2" t="s">
        <v>74</v>
      </c>
      <c r="AJ687" s="2" t="s">
        <v>74</v>
      </c>
      <c r="AK687" s="2" t="s">
        <v>74</v>
      </c>
      <c r="AL687" s="2" t="s">
        <v>74</v>
      </c>
      <c r="AM687" s="2" t="s">
        <v>74</v>
      </c>
      <c r="AN687" s="2" t="s">
        <v>74</v>
      </c>
      <c r="AO687" s="2" t="s">
        <v>132</v>
      </c>
      <c r="AP687" s="2" t="s">
        <v>133</v>
      </c>
      <c r="AQ687" s="2" t="s">
        <v>74</v>
      </c>
      <c r="AR687" s="2" t="s">
        <v>74</v>
      </c>
      <c r="AS687" s="2" t="s">
        <v>74</v>
      </c>
      <c r="AT687" s="2" t="s">
        <v>255</v>
      </c>
      <c r="AU687" s="2">
        <v>2010</v>
      </c>
      <c r="AV687" s="2">
        <v>64</v>
      </c>
      <c r="AW687" s="2">
        <v>3</v>
      </c>
      <c r="AX687" s="2" t="s">
        <v>74</v>
      </c>
      <c r="AY687" s="2" t="s">
        <v>74</v>
      </c>
      <c r="AZ687" s="2" t="s">
        <v>74</v>
      </c>
      <c r="BA687" s="2" t="s">
        <v>74</v>
      </c>
      <c r="BB687" s="2">
        <v>317</v>
      </c>
      <c r="BC687" s="2">
        <v>324</v>
      </c>
      <c r="BD687" s="2" t="s">
        <v>74</v>
      </c>
      <c r="BE687" s="2" t="s">
        <v>256</v>
      </c>
      <c r="BF687" s="2" t="str">
        <f>HYPERLINK("http://dx.doi.org/10.1007/s00265-009-0811-9","http://dx.doi.org/10.1007/s00265-009-0811-9")</f>
        <v>http://dx.doi.org/10.1007/s00265-009-0811-9</v>
      </c>
      <c r="BG687" s="2" t="s">
        <v>74</v>
      </c>
      <c r="BH687" s="2" t="s">
        <v>74</v>
      </c>
      <c r="BI687" s="2" t="s">
        <v>74</v>
      </c>
      <c r="BJ687" s="2" t="s">
        <v>74</v>
      </c>
      <c r="BK687" s="2" t="s">
        <v>74</v>
      </c>
      <c r="BL687" s="2" t="s">
        <v>74</v>
      </c>
      <c r="BM687" s="2" t="s">
        <v>74</v>
      </c>
      <c r="BN687" s="2" t="s">
        <v>74</v>
      </c>
      <c r="BO687" s="2" t="s">
        <v>74</v>
      </c>
      <c r="BP687" s="2" t="s">
        <v>74</v>
      </c>
      <c r="BQ687" s="2" t="s">
        <v>74</v>
      </c>
      <c r="BR687" s="2" t="s">
        <v>74</v>
      </c>
      <c r="BS687" s="2" t="s">
        <v>257</v>
      </c>
      <c r="BT687" s="2" t="str">
        <f>HYPERLINK("https%3A%2F%2Fwww.webofscience.com%2Fwos%2Fwoscc%2Ffull-record%2FWOS:000274433500002","View Full Record in Web of Science")</f>
        <v>View Full Record in Web of Science</v>
      </c>
    </row>
    <row r="688" spans="1:72" s="2" customFormat="1" x14ac:dyDescent="0.4">
      <c r="A688" s="2" t="s">
        <v>72</v>
      </c>
      <c r="B688" s="2" t="s">
        <v>5272</v>
      </c>
      <c r="C688" s="2" t="s">
        <v>74</v>
      </c>
      <c r="D688" s="2" t="s">
        <v>74</v>
      </c>
      <c r="E688" s="2" t="s">
        <v>74</v>
      </c>
      <c r="F688" s="2" t="s">
        <v>5273</v>
      </c>
      <c r="G688" s="2" t="s">
        <v>74</v>
      </c>
      <c r="H688" s="2" t="s">
        <v>74</v>
      </c>
      <c r="I688" s="2" t="s">
        <v>5274</v>
      </c>
      <c r="J688" s="2" t="s">
        <v>1656</v>
      </c>
      <c r="K688" s="2" t="s">
        <v>74</v>
      </c>
      <c r="L688" s="2" t="s">
        <v>74</v>
      </c>
      <c r="M688" s="2" t="s">
        <v>74</v>
      </c>
      <c r="N688" s="2" t="s">
        <v>74</v>
      </c>
      <c r="O688" s="2" t="s">
        <v>74</v>
      </c>
      <c r="P688" s="2" t="s">
        <v>74</v>
      </c>
      <c r="Q688" s="2" t="s">
        <v>74</v>
      </c>
      <c r="R688" s="2" t="s">
        <v>74</v>
      </c>
      <c r="S688" s="2" t="s">
        <v>74</v>
      </c>
      <c r="T688" s="2" t="s">
        <v>74</v>
      </c>
      <c r="U688" s="2" t="s">
        <v>74</v>
      </c>
      <c r="V688" s="5" t="s">
        <v>5275</v>
      </c>
      <c r="W688" s="2" t="s">
        <v>74</v>
      </c>
      <c r="X688" s="2" t="s">
        <v>74</v>
      </c>
      <c r="Y688" s="2" t="s">
        <v>74</v>
      </c>
      <c r="Z688" s="2" t="s">
        <v>74</v>
      </c>
      <c r="AA688" s="2" t="s">
        <v>5276</v>
      </c>
      <c r="AB688" s="2" t="s">
        <v>5277</v>
      </c>
      <c r="AC688" s="2" t="s">
        <v>74</v>
      </c>
      <c r="AD688" s="2" t="s">
        <v>74</v>
      </c>
      <c r="AE688" s="2" t="s">
        <v>74</v>
      </c>
      <c r="AF688" s="2" t="s">
        <v>74</v>
      </c>
      <c r="AG688" s="2" t="s">
        <v>74</v>
      </c>
      <c r="AH688" s="2" t="s">
        <v>74</v>
      </c>
      <c r="AI688" s="2" t="s">
        <v>74</v>
      </c>
      <c r="AJ688" s="2" t="s">
        <v>74</v>
      </c>
      <c r="AK688" s="2" t="s">
        <v>74</v>
      </c>
      <c r="AL688" s="2" t="s">
        <v>74</v>
      </c>
      <c r="AM688" s="2" t="s">
        <v>74</v>
      </c>
      <c r="AN688" s="2" t="s">
        <v>74</v>
      </c>
      <c r="AO688" s="2" t="s">
        <v>1658</v>
      </c>
      <c r="AP688" s="2" t="s">
        <v>1659</v>
      </c>
      <c r="AQ688" s="2" t="s">
        <v>74</v>
      </c>
      <c r="AR688" s="2" t="s">
        <v>74</v>
      </c>
      <c r="AS688" s="2" t="s">
        <v>74</v>
      </c>
      <c r="AT688" s="2" t="s">
        <v>5278</v>
      </c>
      <c r="AU688" s="2">
        <v>2013</v>
      </c>
      <c r="AV688" s="2">
        <v>3664</v>
      </c>
      <c r="AW688" s="2">
        <v>4</v>
      </c>
      <c r="AX688" s="2" t="s">
        <v>74</v>
      </c>
      <c r="AY688" s="2" t="s">
        <v>74</v>
      </c>
      <c r="AZ688" s="2" t="s">
        <v>74</v>
      </c>
      <c r="BA688" s="2" t="s">
        <v>74</v>
      </c>
      <c r="BB688" s="2">
        <v>505</v>
      </c>
      <c r="BC688" s="2">
        <v>524</v>
      </c>
      <c r="BD688" s="2" t="s">
        <v>74</v>
      </c>
      <c r="BE688" s="2" t="s">
        <v>5279</v>
      </c>
      <c r="BF688" s="2" t="str">
        <f>HYPERLINK("http://dx.doi.org/10.11646/zootaxa.3664.4.5","http://dx.doi.org/10.11646/zootaxa.3664.4.5")</f>
        <v>http://dx.doi.org/10.11646/zootaxa.3664.4.5</v>
      </c>
      <c r="BG688" s="2" t="s">
        <v>74</v>
      </c>
      <c r="BH688" s="2" t="s">
        <v>74</v>
      </c>
      <c r="BI688" s="2" t="s">
        <v>74</v>
      </c>
      <c r="BJ688" s="2" t="s">
        <v>74</v>
      </c>
      <c r="BK688" s="2" t="s">
        <v>74</v>
      </c>
      <c r="BL688" s="2" t="s">
        <v>74</v>
      </c>
      <c r="BM688" s="2" t="s">
        <v>74</v>
      </c>
      <c r="BN688" s="2">
        <v>26266316</v>
      </c>
      <c r="BO688" s="2" t="s">
        <v>74</v>
      </c>
      <c r="BP688" s="2" t="s">
        <v>74</v>
      </c>
      <c r="BQ688" s="2" t="s">
        <v>74</v>
      </c>
      <c r="BR688" s="2" t="s">
        <v>74</v>
      </c>
      <c r="BS688" s="2" t="s">
        <v>5280</v>
      </c>
      <c r="BT688" s="2" t="str">
        <f>HYPERLINK("https%3A%2F%2Fwww.webofscience.com%2Fwos%2Fwoscc%2Ffull-record%2FWOS:000319727800005","View Full Record in Web of Science")</f>
        <v>View Full Record in Web of Science</v>
      </c>
    </row>
    <row r="689" spans="1:72" s="1" customFormat="1" x14ac:dyDescent="0.4">
      <c r="A689" s="2" t="s">
        <v>72</v>
      </c>
      <c r="B689" s="2" t="s">
        <v>5499</v>
      </c>
      <c r="C689" s="2" t="s">
        <v>74</v>
      </c>
      <c r="D689" s="2" t="s">
        <v>74</v>
      </c>
      <c r="E689" s="2" t="s">
        <v>74</v>
      </c>
      <c r="F689" s="2" t="s">
        <v>5499</v>
      </c>
      <c r="G689" s="2" t="s">
        <v>74</v>
      </c>
      <c r="H689" s="2" t="s">
        <v>74</v>
      </c>
      <c r="I689" s="2" t="s">
        <v>5500</v>
      </c>
      <c r="J689" s="2" t="s">
        <v>140</v>
      </c>
      <c r="K689" s="2" t="s">
        <v>74</v>
      </c>
      <c r="L689" s="2" t="s">
        <v>74</v>
      </c>
      <c r="M689" s="2" t="s">
        <v>74</v>
      </c>
      <c r="N689" s="2" t="s">
        <v>74</v>
      </c>
      <c r="O689" s="2" t="s">
        <v>74</v>
      </c>
      <c r="P689" s="2" t="s">
        <v>74</v>
      </c>
      <c r="Q689" s="2" t="s">
        <v>74</v>
      </c>
      <c r="R689" s="2" t="s">
        <v>74</v>
      </c>
      <c r="S689" s="2" t="s">
        <v>74</v>
      </c>
      <c r="T689" s="2" t="s">
        <v>74</v>
      </c>
      <c r="U689" s="2" t="s">
        <v>74</v>
      </c>
      <c r="V689" s="5" t="s">
        <v>5501</v>
      </c>
      <c r="W689" s="2" t="s">
        <v>74</v>
      </c>
      <c r="X689" s="2" t="s">
        <v>74</v>
      </c>
      <c r="Y689" s="2" t="s">
        <v>74</v>
      </c>
      <c r="Z689" s="2" t="s">
        <v>74</v>
      </c>
      <c r="AA689" s="2" t="s">
        <v>74</v>
      </c>
      <c r="AB689" s="2" t="s">
        <v>74</v>
      </c>
      <c r="AC689" s="2" t="s">
        <v>74</v>
      </c>
      <c r="AD689" s="2" t="s">
        <v>74</v>
      </c>
      <c r="AE689" s="2" t="s">
        <v>74</v>
      </c>
      <c r="AF689" s="2" t="s">
        <v>74</v>
      </c>
      <c r="AG689" s="2" t="s">
        <v>74</v>
      </c>
      <c r="AH689" s="2" t="s">
        <v>74</v>
      </c>
      <c r="AI689" s="2" t="s">
        <v>74</v>
      </c>
      <c r="AJ689" s="2" t="s">
        <v>74</v>
      </c>
      <c r="AK689" s="2" t="s">
        <v>74</v>
      </c>
      <c r="AL689" s="2" t="s">
        <v>74</v>
      </c>
      <c r="AM689" s="2" t="s">
        <v>74</v>
      </c>
      <c r="AN689" s="2" t="s">
        <v>74</v>
      </c>
      <c r="AO689" s="2" t="s">
        <v>143</v>
      </c>
      <c r="AP689" s="2" t="s">
        <v>144</v>
      </c>
      <c r="AQ689" s="2" t="s">
        <v>74</v>
      </c>
      <c r="AR689" s="2" t="s">
        <v>74</v>
      </c>
      <c r="AS689" s="2" t="s">
        <v>74</v>
      </c>
      <c r="AT689" s="2" t="s">
        <v>145</v>
      </c>
      <c r="AU689" s="2">
        <v>2003</v>
      </c>
      <c r="AV689" s="2">
        <v>66</v>
      </c>
      <c r="AW689" s="2" t="s">
        <v>74</v>
      </c>
      <c r="AX689" s="2">
        <v>2</v>
      </c>
      <c r="AY689" s="2" t="s">
        <v>74</v>
      </c>
      <c r="AZ689" s="2" t="s">
        <v>74</v>
      </c>
      <c r="BA689" s="2" t="s">
        <v>74</v>
      </c>
      <c r="BB689" s="2">
        <v>299</v>
      </c>
      <c r="BC689" s="2">
        <v>307</v>
      </c>
      <c r="BD689" s="2" t="s">
        <v>74</v>
      </c>
      <c r="BE689" s="2" t="s">
        <v>5502</v>
      </c>
      <c r="BF689" s="2" t="str">
        <f>HYPERLINK("http://dx.doi.org/10.1006/anbe.2003.2214","http://dx.doi.org/10.1006/anbe.2003.2214")</f>
        <v>http://dx.doi.org/10.1006/anbe.2003.2214</v>
      </c>
      <c r="BG689" s="2" t="s">
        <v>74</v>
      </c>
      <c r="BH689" s="2" t="s">
        <v>74</v>
      </c>
      <c r="BI689" s="2" t="s">
        <v>74</v>
      </c>
      <c r="BJ689" s="2" t="s">
        <v>74</v>
      </c>
      <c r="BK689" s="2" t="s">
        <v>74</v>
      </c>
      <c r="BL689" s="2" t="s">
        <v>74</v>
      </c>
      <c r="BM689" s="2" t="s">
        <v>74</v>
      </c>
      <c r="BN689" s="2" t="s">
        <v>74</v>
      </c>
      <c r="BO689" s="2" t="s">
        <v>74</v>
      </c>
      <c r="BP689" s="2" t="s">
        <v>74</v>
      </c>
      <c r="BQ689" s="2" t="s">
        <v>74</v>
      </c>
      <c r="BR689" s="2" t="s">
        <v>74</v>
      </c>
      <c r="BS689" s="2" t="s">
        <v>5503</v>
      </c>
      <c r="BT689" s="2" t="str">
        <f>HYPERLINK("https%3A%2F%2Fwww.webofscience.com%2Fwos%2Fwoscc%2Ffull-record%2FWOS:000184899600013","View Full Record in Web of Science")</f>
        <v>View Full Record in Web of Science</v>
      </c>
    </row>
    <row r="690" spans="1:72" s="1" customFormat="1" x14ac:dyDescent="0.4">
      <c r="A690" s="2" t="s">
        <v>72</v>
      </c>
      <c r="B690" s="2" t="s">
        <v>2025</v>
      </c>
      <c r="C690" s="2" t="s">
        <v>74</v>
      </c>
      <c r="D690" s="2" t="s">
        <v>74</v>
      </c>
      <c r="E690" s="2" t="s">
        <v>74</v>
      </c>
      <c r="F690" s="2" t="s">
        <v>2025</v>
      </c>
      <c r="G690" s="2" t="s">
        <v>74</v>
      </c>
      <c r="H690" s="2" t="s">
        <v>74</v>
      </c>
      <c r="I690" s="2" t="s">
        <v>2026</v>
      </c>
      <c r="J690" s="2" t="s">
        <v>1126</v>
      </c>
      <c r="K690" s="2" t="s">
        <v>74</v>
      </c>
      <c r="L690" s="2" t="s">
        <v>74</v>
      </c>
      <c r="M690" s="2" t="s">
        <v>74</v>
      </c>
      <c r="N690" s="2" t="s">
        <v>74</v>
      </c>
      <c r="O690" s="2" t="s">
        <v>74</v>
      </c>
      <c r="P690" s="2" t="s">
        <v>74</v>
      </c>
      <c r="Q690" s="2" t="s">
        <v>74</v>
      </c>
      <c r="R690" s="2" t="s">
        <v>74</v>
      </c>
      <c r="S690" s="2" t="s">
        <v>74</v>
      </c>
      <c r="T690" s="2" t="s">
        <v>74</v>
      </c>
      <c r="U690" s="2" t="s">
        <v>74</v>
      </c>
      <c r="V690" s="5" t="s">
        <v>2027</v>
      </c>
      <c r="W690" s="2" t="s">
        <v>74</v>
      </c>
      <c r="X690" s="2" t="s">
        <v>74</v>
      </c>
      <c r="Y690" s="2" t="s">
        <v>74</v>
      </c>
      <c r="Z690" s="2" t="s">
        <v>74</v>
      </c>
      <c r="AA690" s="2" t="s">
        <v>74</v>
      </c>
      <c r="AB690" s="2" t="s">
        <v>74</v>
      </c>
      <c r="AC690" s="2" t="s">
        <v>74</v>
      </c>
      <c r="AD690" s="2" t="s">
        <v>74</v>
      </c>
      <c r="AE690" s="2" t="s">
        <v>74</v>
      </c>
      <c r="AF690" s="2" t="s">
        <v>74</v>
      </c>
      <c r="AG690" s="2" t="s">
        <v>74</v>
      </c>
      <c r="AH690" s="2" t="s">
        <v>74</v>
      </c>
      <c r="AI690" s="2" t="s">
        <v>74</v>
      </c>
      <c r="AJ690" s="2" t="s">
        <v>74</v>
      </c>
      <c r="AK690" s="2" t="s">
        <v>74</v>
      </c>
      <c r="AL690" s="2" t="s">
        <v>74</v>
      </c>
      <c r="AM690" s="2" t="s">
        <v>74</v>
      </c>
      <c r="AN690" s="2" t="s">
        <v>74</v>
      </c>
      <c r="AO690" s="2" t="s">
        <v>1128</v>
      </c>
      <c r="AP690" s="2" t="s">
        <v>1129</v>
      </c>
      <c r="AQ690" s="2" t="s">
        <v>74</v>
      </c>
      <c r="AR690" s="2" t="s">
        <v>74</v>
      </c>
      <c r="AS690" s="2" t="s">
        <v>74</v>
      </c>
      <c r="AT690" s="2" t="s">
        <v>2028</v>
      </c>
      <c r="AU690" s="2">
        <v>1985</v>
      </c>
      <c r="AV690" s="2" t="s">
        <v>74</v>
      </c>
      <c r="AW690" s="2">
        <v>4</v>
      </c>
      <c r="AX690" s="2" t="s">
        <v>74</v>
      </c>
      <c r="AY690" s="2" t="s">
        <v>74</v>
      </c>
      <c r="AZ690" s="2" t="s">
        <v>74</v>
      </c>
      <c r="BA690" s="2" t="s">
        <v>74</v>
      </c>
      <c r="BB690" s="2">
        <v>905</v>
      </c>
      <c r="BC690" s="2">
        <v>910</v>
      </c>
      <c r="BD690" s="2" t="s">
        <v>74</v>
      </c>
      <c r="BE690" s="2" t="s">
        <v>2029</v>
      </c>
      <c r="BF690" s="2" t="str">
        <f>HYPERLINK("http://dx.doi.org/10.2307/1445240","http://dx.doi.org/10.2307/1445240")</f>
        <v>http://dx.doi.org/10.2307/1445240</v>
      </c>
      <c r="BG690" s="2" t="s">
        <v>74</v>
      </c>
      <c r="BH690" s="2" t="s">
        <v>74</v>
      </c>
      <c r="BI690" s="2" t="s">
        <v>74</v>
      </c>
      <c r="BJ690" s="2" t="s">
        <v>74</v>
      </c>
      <c r="BK690" s="2" t="s">
        <v>74</v>
      </c>
      <c r="BL690" s="2" t="s">
        <v>74</v>
      </c>
      <c r="BM690" s="2" t="s">
        <v>74</v>
      </c>
      <c r="BN690" s="2" t="s">
        <v>74</v>
      </c>
      <c r="BO690" s="2" t="s">
        <v>74</v>
      </c>
      <c r="BP690" s="2" t="s">
        <v>74</v>
      </c>
      <c r="BQ690" s="2" t="s">
        <v>74</v>
      </c>
      <c r="BR690" s="2" t="s">
        <v>74</v>
      </c>
      <c r="BS690" s="2" t="s">
        <v>2030</v>
      </c>
      <c r="BT690" s="2" t="str">
        <f>HYPERLINK("https%3A%2F%2Fwww.webofscience.com%2Fwos%2Fwoscc%2Ffull-record%2FWOS:A1985AXC0800010","View Full Record in Web of Science")</f>
        <v>View Full Record in Web of Science</v>
      </c>
    </row>
    <row r="691" spans="1:72" s="2" customFormat="1" x14ac:dyDescent="0.4">
      <c r="A691" s="2" t="s">
        <v>72</v>
      </c>
      <c r="B691" s="2" t="s">
        <v>1381</v>
      </c>
      <c r="C691" s="2" t="s">
        <v>74</v>
      </c>
      <c r="D691" s="2" t="s">
        <v>74</v>
      </c>
      <c r="E691" s="2" t="s">
        <v>74</v>
      </c>
      <c r="F691" s="2" t="s">
        <v>1382</v>
      </c>
      <c r="G691" s="2" t="s">
        <v>74</v>
      </c>
      <c r="H691" s="2" t="s">
        <v>74</v>
      </c>
      <c r="I691" s="2" t="s">
        <v>1383</v>
      </c>
      <c r="J691" s="2" t="s">
        <v>1384</v>
      </c>
      <c r="K691" s="2" t="s">
        <v>74</v>
      </c>
      <c r="L691" s="2" t="s">
        <v>74</v>
      </c>
      <c r="M691" s="2" t="s">
        <v>74</v>
      </c>
      <c r="N691" s="2" t="s">
        <v>74</v>
      </c>
      <c r="O691" s="2" t="s">
        <v>74</v>
      </c>
      <c r="P691" s="2" t="s">
        <v>74</v>
      </c>
      <c r="Q691" s="2" t="s">
        <v>74</v>
      </c>
      <c r="R691" s="2" t="s">
        <v>74</v>
      </c>
      <c r="S691" s="2" t="s">
        <v>74</v>
      </c>
      <c r="T691" s="2" t="s">
        <v>74</v>
      </c>
      <c r="U691" s="2" t="s">
        <v>74</v>
      </c>
      <c r="V691" s="5" t="s">
        <v>1385</v>
      </c>
      <c r="W691" s="2" t="s">
        <v>74</v>
      </c>
      <c r="X691" s="2" t="s">
        <v>74</v>
      </c>
      <c r="Y691" s="2" t="s">
        <v>74</v>
      </c>
      <c r="Z691" s="2" t="s">
        <v>74</v>
      </c>
      <c r="AA691" s="2" t="s">
        <v>1386</v>
      </c>
      <c r="AB691" s="2" t="s">
        <v>1387</v>
      </c>
      <c r="AC691" s="2" t="s">
        <v>74</v>
      </c>
      <c r="AD691" s="2" t="s">
        <v>74</v>
      </c>
      <c r="AE691" s="2" t="s">
        <v>74</v>
      </c>
      <c r="AF691" s="2" t="s">
        <v>74</v>
      </c>
      <c r="AG691" s="2" t="s">
        <v>74</v>
      </c>
      <c r="AH691" s="2" t="s">
        <v>74</v>
      </c>
      <c r="AI691" s="2" t="s">
        <v>74</v>
      </c>
      <c r="AJ691" s="2" t="s">
        <v>74</v>
      </c>
      <c r="AK691" s="2" t="s">
        <v>74</v>
      </c>
      <c r="AL691" s="2" t="s">
        <v>74</v>
      </c>
      <c r="AM691" s="2" t="s">
        <v>74</v>
      </c>
      <c r="AN691" s="2" t="s">
        <v>74</v>
      </c>
      <c r="AO691" s="2" t="s">
        <v>1388</v>
      </c>
      <c r="AP691" s="2" t="s">
        <v>1389</v>
      </c>
      <c r="AQ691" s="2" t="s">
        <v>74</v>
      </c>
      <c r="AR691" s="2" t="s">
        <v>74</v>
      </c>
      <c r="AS691" s="2" t="s">
        <v>74</v>
      </c>
      <c r="AT691" s="2" t="s">
        <v>175</v>
      </c>
      <c r="AU691" s="2">
        <v>2023</v>
      </c>
      <c r="AV691" s="2">
        <v>165</v>
      </c>
      <c r="AW691" s="2">
        <v>4</v>
      </c>
      <c r="AX691" s="2" t="s">
        <v>74</v>
      </c>
      <c r="AY691" s="2" t="s">
        <v>74</v>
      </c>
      <c r="AZ691" s="2" t="s">
        <v>74</v>
      </c>
      <c r="BA691" s="2" t="s">
        <v>74</v>
      </c>
      <c r="BB691" s="2">
        <v>1359</v>
      </c>
      <c r="BC691" s="2">
        <v>1367</v>
      </c>
      <c r="BD691" s="2" t="s">
        <v>74</v>
      </c>
      <c r="BE691" s="2" t="s">
        <v>1390</v>
      </c>
      <c r="BF691" s="2" t="str">
        <f>HYPERLINK("http://dx.doi.org/10.1111/ibi.13219","http://dx.doi.org/10.1111/ibi.13219")</f>
        <v>http://dx.doi.org/10.1111/ibi.13219</v>
      </c>
      <c r="BG691" s="2" t="s">
        <v>74</v>
      </c>
      <c r="BH691" s="2" t="s">
        <v>1391</v>
      </c>
      <c r="BI691" s="2" t="s">
        <v>74</v>
      </c>
      <c r="BJ691" s="2" t="s">
        <v>74</v>
      </c>
      <c r="BK691" s="2" t="s">
        <v>74</v>
      </c>
      <c r="BL691" s="2" t="s">
        <v>74</v>
      </c>
      <c r="BM691" s="2" t="s">
        <v>74</v>
      </c>
      <c r="BN691" s="2" t="s">
        <v>74</v>
      </c>
      <c r="BO691" s="2" t="s">
        <v>74</v>
      </c>
      <c r="BP691" s="2" t="s">
        <v>74</v>
      </c>
      <c r="BQ691" s="2" t="s">
        <v>74</v>
      </c>
      <c r="BR691" s="2" t="s">
        <v>74</v>
      </c>
      <c r="BS691" s="2" t="s">
        <v>1392</v>
      </c>
      <c r="BT691" s="2" t="str">
        <f>HYPERLINK("https%3A%2F%2Fwww.webofscience.com%2Fwos%2Fwoscc%2Ffull-record%2FWOS:000985415400001","View Full Record in Web of Science")</f>
        <v>View Full Record in Web of Science</v>
      </c>
    </row>
    <row r="692" spans="1:72" s="1" customFormat="1" x14ac:dyDescent="0.4">
      <c r="A692" s="2" t="s">
        <v>72</v>
      </c>
      <c r="B692" s="2" t="s">
        <v>7373</v>
      </c>
      <c r="C692" s="2" t="s">
        <v>74</v>
      </c>
      <c r="D692" s="2" t="s">
        <v>74</v>
      </c>
      <c r="E692" s="2" t="s">
        <v>74</v>
      </c>
      <c r="F692" s="2" t="s">
        <v>7374</v>
      </c>
      <c r="G692" s="2" t="s">
        <v>74</v>
      </c>
      <c r="H692" s="2" t="s">
        <v>74</v>
      </c>
      <c r="I692" s="2" t="s">
        <v>7375</v>
      </c>
      <c r="J692" s="2" t="s">
        <v>7376</v>
      </c>
      <c r="K692" s="2" t="s">
        <v>74</v>
      </c>
      <c r="L692" s="2" t="s">
        <v>74</v>
      </c>
      <c r="M692" s="2" t="s">
        <v>74</v>
      </c>
      <c r="N692" s="2" t="s">
        <v>74</v>
      </c>
      <c r="O692" s="2" t="s">
        <v>74</v>
      </c>
      <c r="P692" s="2" t="s">
        <v>74</v>
      </c>
      <c r="Q692" s="2" t="s">
        <v>74</v>
      </c>
      <c r="R692" s="2" t="s">
        <v>74</v>
      </c>
      <c r="S692" s="2" t="s">
        <v>74</v>
      </c>
      <c r="T692" s="2" t="s">
        <v>74</v>
      </c>
      <c r="U692" s="2" t="s">
        <v>74</v>
      </c>
      <c r="V692" s="5" t="s">
        <v>7377</v>
      </c>
      <c r="W692" s="2" t="s">
        <v>74</v>
      </c>
      <c r="X692" s="2" t="s">
        <v>74</v>
      </c>
      <c r="Y692" s="2" t="s">
        <v>74</v>
      </c>
      <c r="Z692" s="2" t="s">
        <v>74</v>
      </c>
      <c r="AA692" s="2" t="s">
        <v>7378</v>
      </c>
      <c r="AB692" s="2" t="s">
        <v>7379</v>
      </c>
      <c r="AC692" s="2" t="s">
        <v>74</v>
      </c>
      <c r="AD692" s="2" t="s">
        <v>74</v>
      </c>
      <c r="AE692" s="2" t="s">
        <v>74</v>
      </c>
      <c r="AF692" s="2" t="s">
        <v>74</v>
      </c>
      <c r="AG692" s="2" t="s">
        <v>74</v>
      </c>
      <c r="AH692" s="2" t="s">
        <v>74</v>
      </c>
      <c r="AI692" s="2" t="s">
        <v>74</v>
      </c>
      <c r="AJ692" s="2" t="s">
        <v>74</v>
      </c>
      <c r="AK692" s="2" t="s">
        <v>74</v>
      </c>
      <c r="AL692" s="2" t="s">
        <v>74</v>
      </c>
      <c r="AM692" s="2" t="s">
        <v>74</v>
      </c>
      <c r="AN692" s="2" t="s">
        <v>74</v>
      </c>
      <c r="AO692" s="2" t="s">
        <v>7380</v>
      </c>
      <c r="AP692" s="2" t="s">
        <v>7381</v>
      </c>
      <c r="AQ692" s="2" t="s">
        <v>74</v>
      </c>
      <c r="AR692" s="2" t="s">
        <v>74</v>
      </c>
      <c r="AS692" s="2" t="s">
        <v>74</v>
      </c>
      <c r="AT692" s="2" t="s">
        <v>255</v>
      </c>
      <c r="AU692" s="2">
        <v>2021</v>
      </c>
      <c r="AV692" s="2">
        <v>62</v>
      </c>
      <c r="AW692" s="2">
        <v>1</v>
      </c>
      <c r="AX692" s="2" t="s">
        <v>74</v>
      </c>
      <c r="AY692" s="2" t="s">
        <v>74</v>
      </c>
      <c r="AZ692" s="2" t="s">
        <v>74</v>
      </c>
      <c r="BA692" s="2" t="s">
        <v>74</v>
      </c>
      <c r="BB692" s="2">
        <v>11</v>
      </c>
      <c r="BC692" s="2">
        <v>17</v>
      </c>
      <c r="BD692" s="2" t="s">
        <v>74</v>
      </c>
      <c r="BE692" s="2" t="s">
        <v>7382</v>
      </c>
      <c r="BF692" s="2" t="str">
        <f>HYPERLINK("http://dx.doi.org/10.1007/s10329-020-00852-z","http://dx.doi.org/10.1007/s10329-020-00852-z")</f>
        <v>http://dx.doi.org/10.1007/s10329-020-00852-z</v>
      </c>
      <c r="BG692" s="2" t="s">
        <v>74</v>
      </c>
      <c r="BH692" s="2" t="s">
        <v>2560</v>
      </c>
      <c r="BI692" s="2" t="s">
        <v>74</v>
      </c>
      <c r="BJ692" s="2" t="s">
        <v>74</v>
      </c>
      <c r="BK692" s="2" t="s">
        <v>74</v>
      </c>
      <c r="BL692" s="2" t="s">
        <v>74</v>
      </c>
      <c r="BM692" s="2" t="s">
        <v>74</v>
      </c>
      <c r="BN692" s="2">
        <v>32804328</v>
      </c>
      <c r="BO692" s="2" t="s">
        <v>74</v>
      </c>
      <c r="BP692" s="2" t="s">
        <v>74</v>
      </c>
      <c r="BQ692" s="2" t="s">
        <v>74</v>
      </c>
      <c r="BR692" s="2" t="s">
        <v>74</v>
      </c>
      <c r="BS692" s="2" t="s">
        <v>7383</v>
      </c>
      <c r="BT692" s="2" t="str">
        <f>HYPERLINK("https%3A%2F%2Fwww.webofscience.com%2Fwos%2Fwoscc%2Ffull-record%2FWOS:000560278300001","View Full Record in Web of Science")</f>
        <v>View Full Record in Web of Science</v>
      </c>
    </row>
    <row r="693" spans="1:72" s="2" customFormat="1" x14ac:dyDescent="0.4">
      <c r="A693" s="2" t="s">
        <v>72</v>
      </c>
      <c r="B693" s="2" t="s">
        <v>3322</v>
      </c>
      <c r="C693" s="2" t="s">
        <v>74</v>
      </c>
      <c r="D693" s="2" t="s">
        <v>74</v>
      </c>
      <c r="E693" s="2" t="s">
        <v>74</v>
      </c>
      <c r="F693" s="2" t="s">
        <v>3323</v>
      </c>
      <c r="G693" s="2" t="s">
        <v>74</v>
      </c>
      <c r="H693" s="2" t="s">
        <v>74</v>
      </c>
      <c r="I693" s="2" t="s">
        <v>3324</v>
      </c>
      <c r="J693" s="2" t="s">
        <v>119</v>
      </c>
      <c r="K693" s="2" t="s">
        <v>74</v>
      </c>
      <c r="L693" s="2" t="s">
        <v>74</v>
      </c>
      <c r="M693" s="2" t="s">
        <v>74</v>
      </c>
      <c r="N693" s="2" t="s">
        <v>74</v>
      </c>
      <c r="O693" s="2" t="s">
        <v>74</v>
      </c>
      <c r="P693" s="2" t="s">
        <v>74</v>
      </c>
      <c r="Q693" s="2" t="s">
        <v>74</v>
      </c>
      <c r="R693" s="2" t="s">
        <v>74</v>
      </c>
      <c r="S693" s="2" t="s">
        <v>74</v>
      </c>
      <c r="T693" s="2" t="s">
        <v>74</v>
      </c>
      <c r="U693" s="2" t="s">
        <v>74</v>
      </c>
      <c r="V693" s="5" t="s">
        <v>3325</v>
      </c>
      <c r="W693" s="2" t="s">
        <v>74</v>
      </c>
      <c r="X693" s="2" t="s">
        <v>74</v>
      </c>
      <c r="Y693" s="2" t="s">
        <v>74</v>
      </c>
      <c r="Z693" s="2" t="s">
        <v>74</v>
      </c>
      <c r="AA693" s="2" t="s">
        <v>3163</v>
      </c>
      <c r="AB693" s="2" t="s">
        <v>3326</v>
      </c>
      <c r="AC693" s="2" t="s">
        <v>74</v>
      </c>
      <c r="AD693" s="2" t="s">
        <v>74</v>
      </c>
      <c r="AE693" s="2" t="s">
        <v>74</v>
      </c>
      <c r="AF693" s="2" t="s">
        <v>74</v>
      </c>
      <c r="AG693" s="2" t="s">
        <v>74</v>
      </c>
      <c r="AH693" s="2" t="s">
        <v>74</v>
      </c>
      <c r="AI693" s="2" t="s">
        <v>74</v>
      </c>
      <c r="AJ693" s="2" t="s">
        <v>74</v>
      </c>
      <c r="AK693" s="2" t="s">
        <v>74</v>
      </c>
      <c r="AL693" s="2" t="s">
        <v>74</v>
      </c>
      <c r="AM693" s="2" t="s">
        <v>74</v>
      </c>
      <c r="AN693" s="2" t="s">
        <v>74</v>
      </c>
      <c r="AO693" s="2" t="s">
        <v>121</v>
      </c>
      <c r="AP693" s="2" t="s">
        <v>122</v>
      </c>
      <c r="AQ693" s="2" t="s">
        <v>74</v>
      </c>
      <c r="AR693" s="2" t="s">
        <v>74</v>
      </c>
      <c r="AS693" s="2" t="s">
        <v>74</v>
      </c>
      <c r="AT693" s="2" t="s">
        <v>123</v>
      </c>
      <c r="AU693" s="2">
        <v>2016</v>
      </c>
      <c r="AV693" s="2">
        <v>124</v>
      </c>
      <c r="AW693" s="2" t="s">
        <v>74</v>
      </c>
      <c r="AX693" s="2" t="s">
        <v>74</v>
      </c>
      <c r="AY693" s="2" t="s">
        <v>74</v>
      </c>
      <c r="AZ693" s="2" t="s">
        <v>74</v>
      </c>
      <c r="BA693" s="2" t="s">
        <v>74</v>
      </c>
      <c r="BB693" s="2">
        <v>47</v>
      </c>
      <c r="BC693" s="2">
        <v>51</v>
      </c>
      <c r="BD693" s="2" t="s">
        <v>74</v>
      </c>
      <c r="BE693" s="2" t="s">
        <v>3327</v>
      </c>
      <c r="BF693" s="2" t="str">
        <f>HYPERLINK("http://dx.doi.org/10.1016/j.beproc.2015.11.021","http://dx.doi.org/10.1016/j.beproc.2015.11.021")</f>
        <v>http://dx.doi.org/10.1016/j.beproc.2015.11.021</v>
      </c>
      <c r="BG693" s="2" t="s">
        <v>74</v>
      </c>
      <c r="BH693" s="2" t="s">
        <v>74</v>
      </c>
      <c r="BI693" s="2" t="s">
        <v>74</v>
      </c>
      <c r="BJ693" s="2" t="s">
        <v>74</v>
      </c>
      <c r="BK693" s="2" t="s">
        <v>74</v>
      </c>
      <c r="BL693" s="2" t="s">
        <v>74</v>
      </c>
      <c r="BM693" s="2" t="s">
        <v>74</v>
      </c>
      <c r="BN693" s="2">
        <v>26655891</v>
      </c>
      <c r="BO693" s="2" t="s">
        <v>74</v>
      </c>
      <c r="BP693" s="2" t="s">
        <v>74</v>
      </c>
      <c r="BQ693" s="2" t="s">
        <v>74</v>
      </c>
      <c r="BR693" s="2" t="s">
        <v>74</v>
      </c>
      <c r="BS693" s="2" t="s">
        <v>3328</v>
      </c>
      <c r="BT693" s="2" t="str">
        <f>HYPERLINK("https%3A%2F%2Fwww.webofscience.com%2Fwos%2Fwoscc%2Ffull-record%2FWOS:000371552600007","View Full Record in Web of Science")</f>
        <v>View Full Record in Web of Science</v>
      </c>
    </row>
    <row r="694" spans="1:72" s="1" customFormat="1" x14ac:dyDescent="0.4">
      <c r="A694" s="2" t="s">
        <v>72</v>
      </c>
      <c r="B694" s="2" t="s">
        <v>7235</v>
      </c>
      <c r="C694" s="2" t="s">
        <v>74</v>
      </c>
      <c r="D694" s="2" t="s">
        <v>74</v>
      </c>
      <c r="E694" s="2" t="s">
        <v>74</v>
      </c>
      <c r="F694" s="2" t="s">
        <v>7236</v>
      </c>
      <c r="G694" s="2" t="s">
        <v>74</v>
      </c>
      <c r="H694" s="2" t="s">
        <v>74</v>
      </c>
      <c r="I694" s="2" t="s">
        <v>7237</v>
      </c>
      <c r="J694" s="2" t="s">
        <v>654</v>
      </c>
      <c r="K694" s="2" t="s">
        <v>74</v>
      </c>
      <c r="L694" s="2" t="s">
        <v>74</v>
      </c>
      <c r="M694" s="2" t="s">
        <v>74</v>
      </c>
      <c r="N694" s="2" t="s">
        <v>74</v>
      </c>
      <c r="O694" s="2" t="s">
        <v>74</v>
      </c>
      <c r="P694" s="2" t="s">
        <v>74</v>
      </c>
      <c r="Q694" s="2" t="s">
        <v>74</v>
      </c>
      <c r="R694" s="2" t="s">
        <v>74</v>
      </c>
      <c r="S694" s="2" t="s">
        <v>74</v>
      </c>
      <c r="T694" s="2" t="s">
        <v>74</v>
      </c>
      <c r="U694" s="2" t="s">
        <v>74</v>
      </c>
      <c r="V694" s="5" t="s">
        <v>7238</v>
      </c>
      <c r="W694" s="2" t="s">
        <v>74</v>
      </c>
      <c r="X694" s="2" t="s">
        <v>74</v>
      </c>
      <c r="Y694" s="2" t="s">
        <v>74</v>
      </c>
      <c r="Z694" s="2" t="s">
        <v>74</v>
      </c>
      <c r="AA694" s="2" t="s">
        <v>7239</v>
      </c>
      <c r="AB694" s="2" t="s">
        <v>7240</v>
      </c>
      <c r="AC694" s="2" t="s">
        <v>74</v>
      </c>
      <c r="AD694" s="2" t="s">
        <v>74</v>
      </c>
      <c r="AE694" s="2" t="s">
        <v>74</v>
      </c>
      <c r="AF694" s="2" t="s">
        <v>74</v>
      </c>
      <c r="AG694" s="2" t="s">
        <v>74</v>
      </c>
      <c r="AH694" s="2" t="s">
        <v>74</v>
      </c>
      <c r="AI694" s="2" t="s">
        <v>74</v>
      </c>
      <c r="AJ694" s="2" t="s">
        <v>74</v>
      </c>
      <c r="AK694" s="2" t="s">
        <v>74</v>
      </c>
      <c r="AL694" s="2" t="s">
        <v>74</v>
      </c>
      <c r="AM694" s="2" t="s">
        <v>74</v>
      </c>
      <c r="AN694" s="2" t="s">
        <v>74</v>
      </c>
      <c r="AO694" s="2" t="s">
        <v>658</v>
      </c>
      <c r="AP694" s="2" t="s">
        <v>74</v>
      </c>
      <c r="AQ694" s="2" t="s">
        <v>74</v>
      </c>
      <c r="AR694" s="2" t="s">
        <v>74</v>
      </c>
      <c r="AS694" s="2" t="s">
        <v>74</v>
      </c>
      <c r="AT694" s="2" t="s">
        <v>633</v>
      </c>
      <c r="AU694" s="2">
        <v>2019</v>
      </c>
      <c r="AV694" s="2">
        <v>9</v>
      </c>
      <c r="AW694" s="2">
        <v>7</v>
      </c>
      <c r="AX694" s="2" t="s">
        <v>74</v>
      </c>
      <c r="AY694" s="2" t="s">
        <v>74</v>
      </c>
      <c r="AZ694" s="2" t="s">
        <v>74</v>
      </c>
      <c r="BA694" s="2" t="s">
        <v>74</v>
      </c>
      <c r="BB694" s="2">
        <v>4001</v>
      </c>
      <c r="BC694" s="2">
        <v>4012</v>
      </c>
      <c r="BD694" s="2" t="s">
        <v>74</v>
      </c>
      <c r="BE694" s="2" t="s">
        <v>7241</v>
      </c>
      <c r="BF694" s="2" t="str">
        <f>HYPERLINK("http://dx.doi.org/10.1002/ece3.5029","http://dx.doi.org/10.1002/ece3.5029")</f>
        <v>http://dx.doi.org/10.1002/ece3.5029</v>
      </c>
      <c r="BG694" s="2" t="s">
        <v>74</v>
      </c>
      <c r="BH694" s="2" t="s">
        <v>74</v>
      </c>
      <c r="BI694" s="2" t="s">
        <v>74</v>
      </c>
      <c r="BJ694" s="2" t="s">
        <v>74</v>
      </c>
      <c r="BK694" s="2" t="s">
        <v>74</v>
      </c>
      <c r="BL694" s="2" t="s">
        <v>74</v>
      </c>
      <c r="BM694" s="2" t="s">
        <v>74</v>
      </c>
      <c r="BN694" s="2">
        <v>31015983</v>
      </c>
      <c r="BO694" s="2" t="s">
        <v>74</v>
      </c>
      <c r="BP694" s="2" t="s">
        <v>74</v>
      </c>
      <c r="BQ694" s="2" t="s">
        <v>74</v>
      </c>
      <c r="BR694" s="2" t="s">
        <v>74</v>
      </c>
      <c r="BS694" s="2" t="s">
        <v>7242</v>
      </c>
      <c r="BT694" s="2" t="str">
        <f>HYPERLINK("https%3A%2F%2Fwww.webofscience.com%2Fwos%2Fwoscc%2Ffull-record%2FWOS:000465089500027","View Full Record in Web of Science")</f>
        <v>View Full Record in Web of Science</v>
      </c>
    </row>
    <row r="695" spans="1:72" s="2" customFormat="1" x14ac:dyDescent="0.4">
      <c r="A695" s="2" t="s">
        <v>72</v>
      </c>
      <c r="B695" s="2" t="s">
        <v>7826</v>
      </c>
      <c r="C695" s="2" t="s">
        <v>74</v>
      </c>
      <c r="D695" s="2" t="s">
        <v>74</v>
      </c>
      <c r="E695" s="2" t="s">
        <v>74</v>
      </c>
      <c r="F695" s="2" t="s">
        <v>7827</v>
      </c>
      <c r="G695" s="2" t="s">
        <v>74</v>
      </c>
      <c r="H695" s="2" t="s">
        <v>74</v>
      </c>
      <c r="I695" s="2" t="s">
        <v>7828</v>
      </c>
      <c r="J695" s="2" t="s">
        <v>218</v>
      </c>
      <c r="K695" s="2" t="s">
        <v>74</v>
      </c>
      <c r="L695" s="2" t="s">
        <v>74</v>
      </c>
      <c r="M695" s="2" t="s">
        <v>74</v>
      </c>
      <c r="N695" s="2" t="s">
        <v>74</v>
      </c>
      <c r="O695" s="2" t="s">
        <v>74</v>
      </c>
      <c r="P695" s="2" t="s">
        <v>74</v>
      </c>
      <c r="Q695" s="2" t="s">
        <v>74</v>
      </c>
      <c r="R695" s="2" t="s">
        <v>74</v>
      </c>
      <c r="S695" s="2" t="s">
        <v>74</v>
      </c>
      <c r="T695" s="2" t="s">
        <v>74</v>
      </c>
      <c r="U695" s="2" t="s">
        <v>74</v>
      </c>
      <c r="V695" s="5" t="s">
        <v>7829</v>
      </c>
      <c r="W695" s="2" t="s">
        <v>74</v>
      </c>
      <c r="X695" s="2" t="s">
        <v>74</v>
      </c>
      <c r="Y695" s="2" t="s">
        <v>74</v>
      </c>
      <c r="Z695" s="2" t="s">
        <v>74</v>
      </c>
      <c r="AA695" s="2" t="s">
        <v>74</v>
      </c>
      <c r="AB695" s="2" t="s">
        <v>7830</v>
      </c>
      <c r="AC695" s="2" t="s">
        <v>74</v>
      </c>
      <c r="AD695" s="2" t="s">
        <v>74</v>
      </c>
      <c r="AE695" s="2" t="s">
        <v>74</v>
      </c>
      <c r="AF695" s="2" t="s">
        <v>74</v>
      </c>
      <c r="AG695" s="2" t="s">
        <v>74</v>
      </c>
      <c r="AH695" s="2" t="s">
        <v>74</v>
      </c>
      <c r="AI695" s="2" t="s">
        <v>74</v>
      </c>
      <c r="AJ695" s="2" t="s">
        <v>74</v>
      </c>
      <c r="AK695" s="2" t="s">
        <v>74</v>
      </c>
      <c r="AL695" s="2" t="s">
        <v>74</v>
      </c>
      <c r="AM695" s="2" t="s">
        <v>74</v>
      </c>
      <c r="AN695" s="2" t="s">
        <v>74</v>
      </c>
      <c r="AO695" s="2" t="s">
        <v>221</v>
      </c>
      <c r="AP695" s="2" t="s">
        <v>222</v>
      </c>
      <c r="AQ695" s="2" t="s">
        <v>74</v>
      </c>
      <c r="AR695" s="2" t="s">
        <v>74</v>
      </c>
      <c r="AS695" s="2" t="s">
        <v>74</v>
      </c>
      <c r="AT695" s="2" t="s">
        <v>213</v>
      </c>
      <c r="AU695" s="2">
        <v>2022</v>
      </c>
      <c r="AV695" s="2">
        <v>35</v>
      </c>
      <c r="AW695" s="2">
        <v>11</v>
      </c>
      <c r="AX695" s="2" t="s">
        <v>74</v>
      </c>
      <c r="AY695" s="2" t="s">
        <v>74</v>
      </c>
      <c r="AZ695" s="2" t="s">
        <v>74</v>
      </c>
      <c r="BA695" s="2" t="s">
        <v>74</v>
      </c>
      <c r="BB695" s="2">
        <v>1558</v>
      </c>
      <c r="BC695" s="2">
        <v>1567</v>
      </c>
      <c r="BD695" s="2" t="s">
        <v>74</v>
      </c>
      <c r="BE695" s="2" t="s">
        <v>7831</v>
      </c>
      <c r="BF695" s="2" t="str">
        <f>HYPERLINK("http://dx.doi.org/10.1111/jeb.14089","http://dx.doi.org/10.1111/jeb.14089")</f>
        <v>http://dx.doi.org/10.1111/jeb.14089</v>
      </c>
      <c r="BG695" s="2" t="s">
        <v>74</v>
      </c>
      <c r="BH695" s="2" t="s">
        <v>6006</v>
      </c>
      <c r="BI695" s="2" t="s">
        <v>74</v>
      </c>
      <c r="BJ695" s="2" t="s">
        <v>74</v>
      </c>
      <c r="BK695" s="2" t="s">
        <v>74</v>
      </c>
      <c r="BL695" s="2" t="s">
        <v>74</v>
      </c>
      <c r="BM695" s="2" t="s">
        <v>74</v>
      </c>
      <c r="BN695" s="2">
        <v>36196886</v>
      </c>
      <c r="BO695" s="2" t="s">
        <v>74</v>
      </c>
      <c r="BP695" s="2" t="s">
        <v>74</v>
      </c>
      <c r="BQ695" s="2" t="s">
        <v>74</v>
      </c>
      <c r="BR695" s="2" t="s">
        <v>74</v>
      </c>
      <c r="BS695" s="2" t="s">
        <v>7832</v>
      </c>
      <c r="BT695" s="2" t="str">
        <f>HYPERLINK("https%3A%2F%2Fwww.webofscience.com%2Fwos%2Fwoscc%2Ffull-record%2FWOS:000863852000001","View Full Record in Web of Science")</f>
        <v>View Full Record in Web of Science</v>
      </c>
    </row>
    <row r="696" spans="1:72" s="2" customFormat="1" x14ac:dyDescent="0.4">
      <c r="A696" s="2" t="s">
        <v>72</v>
      </c>
      <c r="B696" s="2" t="s">
        <v>8492</v>
      </c>
      <c r="C696" s="2" t="s">
        <v>74</v>
      </c>
      <c r="D696" s="2" t="s">
        <v>74</v>
      </c>
      <c r="E696" s="2" t="s">
        <v>74</v>
      </c>
      <c r="F696" s="2" t="s">
        <v>8492</v>
      </c>
      <c r="G696" s="2" t="s">
        <v>74</v>
      </c>
      <c r="H696" s="2" t="s">
        <v>74</v>
      </c>
      <c r="I696" s="2" t="s">
        <v>8493</v>
      </c>
      <c r="J696" s="2" t="s">
        <v>140</v>
      </c>
      <c r="K696" s="2" t="s">
        <v>74</v>
      </c>
      <c r="L696" s="2" t="s">
        <v>74</v>
      </c>
      <c r="M696" s="2" t="s">
        <v>74</v>
      </c>
      <c r="N696" s="2" t="s">
        <v>74</v>
      </c>
      <c r="O696" s="2" t="s">
        <v>74</v>
      </c>
      <c r="P696" s="2" t="s">
        <v>74</v>
      </c>
      <c r="Q696" s="2" t="s">
        <v>74</v>
      </c>
      <c r="R696" s="2" t="s">
        <v>74</v>
      </c>
      <c r="S696" s="2" t="s">
        <v>74</v>
      </c>
      <c r="T696" s="2" t="s">
        <v>74</v>
      </c>
      <c r="U696" s="2" t="s">
        <v>74</v>
      </c>
      <c r="V696" s="5" t="s">
        <v>8494</v>
      </c>
      <c r="W696" s="2" t="s">
        <v>74</v>
      </c>
      <c r="X696" s="2" t="s">
        <v>74</v>
      </c>
      <c r="Y696" s="2" t="s">
        <v>74</v>
      </c>
      <c r="Z696" s="2" t="s">
        <v>74</v>
      </c>
      <c r="AA696" s="2" t="s">
        <v>468</v>
      </c>
      <c r="AB696" s="2" t="s">
        <v>74</v>
      </c>
      <c r="AC696" s="2" t="s">
        <v>74</v>
      </c>
      <c r="AD696" s="2" t="s">
        <v>74</v>
      </c>
      <c r="AE696" s="2" t="s">
        <v>74</v>
      </c>
      <c r="AF696" s="2" t="s">
        <v>74</v>
      </c>
      <c r="AG696" s="2" t="s">
        <v>74</v>
      </c>
      <c r="AH696" s="2" t="s">
        <v>74</v>
      </c>
      <c r="AI696" s="2" t="s">
        <v>74</v>
      </c>
      <c r="AJ696" s="2" t="s">
        <v>74</v>
      </c>
      <c r="AK696" s="2" t="s">
        <v>74</v>
      </c>
      <c r="AL696" s="2" t="s">
        <v>74</v>
      </c>
      <c r="AM696" s="2" t="s">
        <v>74</v>
      </c>
      <c r="AN696" s="2" t="s">
        <v>74</v>
      </c>
      <c r="AO696" s="2" t="s">
        <v>143</v>
      </c>
      <c r="AP696" s="2" t="s">
        <v>144</v>
      </c>
      <c r="AQ696" s="2" t="s">
        <v>74</v>
      </c>
      <c r="AR696" s="2" t="s">
        <v>74</v>
      </c>
      <c r="AS696" s="2" t="s">
        <v>74</v>
      </c>
      <c r="AT696" s="2" t="s">
        <v>175</v>
      </c>
      <c r="AU696" s="2">
        <v>1997</v>
      </c>
      <c r="AV696" s="2">
        <v>54</v>
      </c>
      <c r="AW696" s="2" t="s">
        <v>74</v>
      </c>
      <c r="AX696" s="2">
        <v>4</v>
      </c>
      <c r="AY696" s="2" t="s">
        <v>74</v>
      </c>
      <c r="AZ696" s="2" t="s">
        <v>74</v>
      </c>
      <c r="BA696" s="2" t="s">
        <v>74</v>
      </c>
      <c r="BB696" s="2">
        <v>927</v>
      </c>
      <c r="BC696" s="2">
        <v>939</v>
      </c>
      <c r="BD696" s="2" t="s">
        <v>74</v>
      </c>
      <c r="BE696" s="2" t="s">
        <v>8495</v>
      </c>
      <c r="BF696" s="2" t="str">
        <f>HYPERLINK("http://dx.doi.org/10.1006/anbe.1997.0476","http://dx.doi.org/10.1006/anbe.1997.0476")</f>
        <v>http://dx.doi.org/10.1006/anbe.1997.0476</v>
      </c>
      <c r="BG696" s="2" t="s">
        <v>74</v>
      </c>
      <c r="BH696" s="2" t="s">
        <v>74</v>
      </c>
      <c r="BI696" s="2" t="s">
        <v>74</v>
      </c>
      <c r="BJ696" s="2" t="s">
        <v>74</v>
      </c>
      <c r="BK696" s="2" t="s">
        <v>74</v>
      </c>
      <c r="BL696" s="2" t="s">
        <v>74</v>
      </c>
      <c r="BM696" s="2" t="s">
        <v>74</v>
      </c>
      <c r="BN696" s="2">
        <v>9344445</v>
      </c>
      <c r="BO696" s="2" t="s">
        <v>74</v>
      </c>
      <c r="BP696" s="2" t="s">
        <v>74</v>
      </c>
      <c r="BQ696" s="2" t="s">
        <v>74</v>
      </c>
      <c r="BR696" s="2" t="s">
        <v>74</v>
      </c>
      <c r="BS696" s="2" t="s">
        <v>8496</v>
      </c>
      <c r="BT696" s="2" t="str">
        <f>HYPERLINK("https%3A%2F%2Fwww.webofscience.com%2Fwos%2Fwoscc%2Ffull-record%2FWOS:A1997YE30600016","View Full Record in Web of Science")</f>
        <v>View Full Record in Web of Science</v>
      </c>
    </row>
    <row r="697" spans="1:72" s="2" customFormat="1" x14ac:dyDescent="0.4">
      <c r="A697" s="2" t="s">
        <v>72</v>
      </c>
      <c r="B697" s="2" t="s">
        <v>6388</v>
      </c>
      <c r="C697" s="2" t="s">
        <v>74</v>
      </c>
      <c r="D697" s="2" t="s">
        <v>74</v>
      </c>
      <c r="E697" s="2" t="s">
        <v>74</v>
      </c>
      <c r="F697" s="2" t="s">
        <v>6388</v>
      </c>
      <c r="G697" s="2" t="s">
        <v>74</v>
      </c>
      <c r="H697" s="2" t="s">
        <v>74</v>
      </c>
      <c r="I697" s="2" t="s">
        <v>6389</v>
      </c>
      <c r="J697" s="2" t="s">
        <v>171</v>
      </c>
      <c r="K697" s="2" t="s">
        <v>74</v>
      </c>
      <c r="L697" s="2" t="s">
        <v>74</v>
      </c>
      <c r="M697" s="2" t="s">
        <v>74</v>
      </c>
      <c r="N697" s="2" t="s">
        <v>74</v>
      </c>
      <c r="O697" s="2" t="s">
        <v>74</v>
      </c>
      <c r="P697" s="2" t="s">
        <v>74</v>
      </c>
      <c r="Q697" s="2" t="s">
        <v>74</v>
      </c>
      <c r="R697" s="2" t="s">
        <v>74</v>
      </c>
      <c r="S697" s="2" t="s">
        <v>74</v>
      </c>
      <c r="T697" s="2" t="s">
        <v>74</v>
      </c>
      <c r="U697" s="2" t="s">
        <v>74</v>
      </c>
      <c r="V697" s="5" t="s">
        <v>6390</v>
      </c>
      <c r="W697" s="2" t="s">
        <v>74</v>
      </c>
      <c r="X697" s="2" t="s">
        <v>74</v>
      </c>
      <c r="Y697" s="2" t="s">
        <v>74</v>
      </c>
      <c r="Z697" s="2" t="s">
        <v>74</v>
      </c>
      <c r="AA697" s="2" t="s">
        <v>6391</v>
      </c>
      <c r="AB697" s="2" t="s">
        <v>74</v>
      </c>
      <c r="AC697" s="2" t="s">
        <v>74</v>
      </c>
      <c r="AD697" s="2" t="s">
        <v>74</v>
      </c>
      <c r="AE697" s="2" t="s">
        <v>74</v>
      </c>
      <c r="AF697" s="2" t="s">
        <v>74</v>
      </c>
      <c r="AG697" s="2" t="s">
        <v>74</v>
      </c>
      <c r="AH697" s="2" t="s">
        <v>74</v>
      </c>
      <c r="AI697" s="2" t="s">
        <v>74</v>
      </c>
      <c r="AJ697" s="2" t="s">
        <v>74</v>
      </c>
      <c r="AK697" s="2" t="s">
        <v>74</v>
      </c>
      <c r="AL697" s="2" t="s">
        <v>74</v>
      </c>
      <c r="AM697" s="2" t="s">
        <v>74</v>
      </c>
      <c r="AN697" s="2" t="s">
        <v>74</v>
      </c>
      <c r="AO697" s="2" t="s">
        <v>173</v>
      </c>
      <c r="AP697" s="2" t="s">
        <v>174</v>
      </c>
      <c r="AQ697" s="2" t="s">
        <v>74</v>
      </c>
      <c r="AR697" s="2" t="s">
        <v>74</v>
      </c>
      <c r="AS697" s="2" t="s">
        <v>74</v>
      </c>
      <c r="AT697" s="2" t="s">
        <v>134</v>
      </c>
      <c r="AU697" s="2">
        <v>1986</v>
      </c>
      <c r="AV697" s="2">
        <v>40</v>
      </c>
      <c r="AW697" s="2">
        <v>3</v>
      </c>
      <c r="AX697" s="2" t="s">
        <v>74</v>
      </c>
      <c r="AY697" s="2" t="s">
        <v>74</v>
      </c>
      <c r="AZ697" s="2" t="s">
        <v>74</v>
      </c>
      <c r="BA697" s="2" t="s">
        <v>74</v>
      </c>
      <c r="BB697" s="2">
        <v>605</v>
      </c>
      <c r="BC697" s="2">
        <v>615</v>
      </c>
      <c r="BD697" s="2" t="s">
        <v>74</v>
      </c>
      <c r="BE697" s="2" t="s">
        <v>6392</v>
      </c>
      <c r="BF697" s="2" t="str">
        <f>HYPERLINK("http://dx.doi.org/10.2307/2408581","http://dx.doi.org/10.2307/2408581")</f>
        <v>http://dx.doi.org/10.2307/2408581</v>
      </c>
      <c r="BG697" s="2" t="s">
        <v>74</v>
      </c>
      <c r="BH697" s="2" t="s">
        <v>74</v>
      </c>
      <c r="BI697" s="2" t="s">
        <v>74</v>
      </c>
      <c r="BJ697" s="2" t="s">
        <v>74</v>
      </c>
      <c r="BK697" s="2" t="s">
        <v>74</v>
      </c>
      <c r="BL697" s="2" t="s">
        <v>74</v>
      </c>
      <c r="BM697" s="2" t="s">
        <v>74</v>
      </c>
      <c r="BN697" s="2">
        <v>28556339</v>
      </c>
      <c r="BO697" s="2" t="s">
        <v>74</v>
      </c>
      <c r="BP697" s="2" t="s">
        <v>74</v>
      </c>
      <c r="BQ697" s="2" t="s">
        <v>74</v>
      </c>
      <c r="BR697" s="2" t="s">
        <v>74</v>
      </c>
      <c r="BS697" s="2" t="s">
        <v>6393</v>
      </c>
      <c r="BT697" s="2" t="str">
        <f>HYPERLINK("https%3A%2F%2Fwww.webofscience.com%2Fwos%2Fwoscc%2Ffull-record%2FWOS:A1986C438800014","View Full Record in Web of Science")</f>
        <v>View Full Record in Web of Science</v>
      </c>
    </row>
    <row r="698" spans="1:72" s="2" customFormat="1" x14ac:dyDescent="0.4">
      <c r="A698" s="2" t="s">
        <v>72</v>
      </c>
      <c r="B698" s="2" t="s">
        <v>464</v>
      </c>
      <c r="C698" s="2" t="s">
        <v>74</v>
      </c>
      <c r="D698" s="2" t="s">
        <v>74</v>
      </c>
      <c r="E698" s="2" t="s">
        <v>74</v>
      </c>
      <c r="F698" s="2" t="s">
        <v>465</v>
      </c>
      <c r="G698" s="2" t="s">
        <v>74</v>
      </c>
      <c r="H698" s="2" t="s">
        <v>74</v>
      </c>
      <c r="I698" s="2" t="s">
        <v>466</v>
      </c>
      <c r="J698" s="2" t="s">
        <v>140</v>
      </c>
      <c r="K698" s="2" t="s">
        <v>74</v>
      </c>
      <c r="L698" s="2" t="s">
        <v>74</v>
      </c>
      <c r="M698" s="2" t="s">
        <v>74</v>
      </c>
      <c r="N698" s="2" t="s">
        <v>74</v>
      </c>
      <c r="O698" s="2" t="s">
        <v>74</v>
      </c>
      <c r="P698" s="2" t="s">
        <v>74</v>
      </c>
      <c r="Q698" s="2" t="s">
        <v>74</v>
      </c>
      <c r="R698" s="2" t="s">
        <v>74</v>
      </c>
      <c r="S698" s="2" t="s">
        <v>74</v>
      </c>
      <c r="T698" s="2" t="s">
        <v>74</v>
      </c>
      <c r="U698" s="2" t="s">
        <v>74</v>
      </c>
      <c r="V698" s="5" t="s">
        <v>467</v>
      </c>
      <c r="W698" s="2" t="s">
        <v>74</v>
      </c>
      <c r="X698" s="2" t="s">
        <v>74</v>
      </c>
      <c r="Y698" s="2" t="s">
        <v>74</v>
      </c>
      <c r="Z698" s="2" t="s">
        <v>74</v>
      </c>
      <c r="AA698" s="2" t="s">
        <v>468</v>
      </c>
      <c r="AB698" s="2" t="s">
        <v>469</v>
      </c>
      <c r="AC698" s="2" t="s">
        <v>74</v>
      </c>
      <c r="AD698" s="2" t="s">
        <v>74</v>
      </c>
      <c r="AE698" s="2" t="s">
        <v>74</v>
      </c>
      <c r="AF698" s="2" t="s">
        <v>74</v>
      </c>
      <c r="AG698" s="2" t="s">
        <v>74</v>
      </c>
      <c r="AH698" s="2" t="s">
        <v>74</v>
      </c>
      <c r="AI698" s="2" t="s">
        <v>74</v>
      </c>
      <c r="AJ698" s="2" t="s">
        <v>74</v>
      </c>
      <c r="AK698" s="2" t="s">
        <v>74</v>
      </c>
      <c r="AL698" s="2" t="s">
        <v>74</v>
      </c>
      <c r="AM698" s="2" t="s">
        <v>74</v>
      </c>
      <c r="AN698" s="2" t="s">
        <v>74</v>
      </c>
      <c r="AO698" s="2" t="s">
        <v>143</v>
      </c>
      <c r="AP698" s="2" t="s">
        <v>144</v>
      </c>
      <c r="AQ698" s="2" t="s">
        <v>74</v>
      </c>
      <c r="AR698" s="2" t="s">
        <v>74</v>
      </c>
      <c r="AS698" s="2" t="s">
        <v>74</v>
      </c>
      <c r="AT698" s="2" t="s">
        <v>134</v>
      </c>
      <c r="AU698" s="2">
        <v>2015</v>
      </c>
      <c r="AV698" s="2">
        <v>103</v>
      </c>
      <c r="AW698" s="2" t="s">
        <v>74</v>
      </c>
      <c r="AX698" s="2" t="s">
        <v>74</v>
      </c>
      <c r="AY698" s="2" t="s">
        <v>74</v>
      </c>
      <c r="AZ698" s="2" t="s">
        <v>74</v>
      </c>
      <c r="BA698" s="2" t="s">
        <v>74</v>
      </c>
      <c r="BB698" s="2">
        <v>117</v>
      </c>
      <c r="BC698" s="2">
        <v>124</v>
      </c>
      <c r="BD698" s="2" t="s">
        <v>74</v>
      </c>
      <c r="BE698" s="2" t="s">
        <v>470</v>
      </c>
      <c r="BF698" s="2" t="str">
        <f>HYPERLINK("http://dx.doi.org/10.1016/j.anbehav.2015.02.010","http://dx.doi.org/10.1016/j.anbehav.2015.02.010")</f>
        <v>http://dx.doi.org/10.1016/j.anbehav.2015.02.010</v>
      </c>
      <c r="BG698" s="2" t="s">
        <v>74</v>
      </c>
      <c r="BH698" s="2" t="s">
        <v>74</v>
      </c>
      <c r="BI698" s="2" t="s">
        <v>74</v>
      </c>
      <c r="BJ698" s="2" t="s">
        <v>74</v>
      </c>
      <c r="BK698" s="2" t="s">
        <v>74</v>
      </c>
      <c r="BL698" s="2" t="s">
        <v>74</v>
      </c>
      <c r="BM698" s="2" t="s">
        <v>74</v>
      </c>
      <c r="BN698" s="2" t="s">
        <v>74</v>
      </c>
      <c r="BO698" s="2" t="s">
        <v>74</v>
      </c>
      <c r="BP698" s="2" t="s">
        <v>74</v>
      </c>
      <c r="BQ698" s="2" t="s">
        <v>74</v>
      </c>
      <c r="BR698" s="2" t="s">
        <v>74</v>
      </c>
      <c r="BS698" s="2" t="s">
        <v>471</v>
      </c>
      <c r="BT698" s="2" t="str">
        <f>HYPERLINK("https%3A%2F%2Fwww.webofscience.com%2Fwos%2Fwoscc%2Ffull-record%2FWOS:000353378200015","View Full Record in Web of Science")</f>
        <v>View Full Record in Web of Science</v>
      </c>
    </row>
    <row r="699" spans="1:72" s="2" customFormat="1" x14ac:dyDescent="0.4">
      <c r="A699" s="2" t="s">
        <v>72</v>
      </c>
      <c r="B699" s="2" t="s">
        <v>2163</v>
      </c>
      <c r="C699" s="2" t="s">
        <v>74</v>
      </c>
      <c r="D699" s="2" t="s">
        <v>74</v>
      </c>
      <c r="E699" s="2" t="s">
        <v>74</v>
      </c>
      <c r="F699" s="2" t="s">
        <v>2164</v>
      </c>
      <c r="G699" s="2" t="s">
        <v>74</v>
      </c>
      <c r="H699" s="2" t="s">
        <v>74</v>
      </c>
      <c r="I699" s="2" t="s">
        <v>2165</v>
      </c>
      <c r="J699" s="2" t="s">
        <v>312</v>
      </c>
      <c r="K699" s="2" t="s">
        <v>74</v>
      </c>
      <c r="L699" s="2" t="s">
        <v>74</v>
      </c>
      <c r="M699" s="2" t="s">
        <v>74</v>
      </c>
      <c r="N699" s="2" t="s">
        <v>74</v>
      </c>
      <c r="O699" s="2" t="s">
        <v>74</v>
      </c>
      <c r="P699" s="2" t="s">
        <v>74</v>
      </c>
      <c r="Q699" s="2" t="s">
        <v>74</v>
      </c>
      <c r="R699" s="2" t="s">
        <v>74</v>
      </c>
      <c r="S699" s="2" t="s">
        <v>74</v>
      </c>
      <c r="T699" s="2" t="s">
        <v>74</v>
      </c>
      <c r="U699" s="2" t="s">
        <v>74</v>
      </c>
      <c r="V699" s="5" t="s">
        <v>2166</v>
      </c>
      <c r="W699" s="2" t="s">
        <v>74</v>
      </c>
      <c r="X699" s="2" t="s">
        <v>74</v>
      </c>
      <c r="Y699" s="2" t="s">
        <v>74</v>
      </c>
      <c r="Z699" s="2" t="s">
        <v>74</v>
      </c>
      <c r="AA699" s="2" t="s">
        <v>2167</v>
      </c>
      <c r="AB699" s="2" t="s">
        <v>2168</v>
      </c>
      <c r="AC699" s="2" t="s">
        <v>74</v>
      </c>
      <c r="AD699" s="2" t="s">
        <v>74</v>
      </c>
      <c r="AE699" s="2" t="s">
        <v>74</v>
      </c>
      <c r="AF699" s="2" t="s">
        <v>74</v>
      </c>
      <c r="AG699" s="2" t="s">
        <v>74</v>
      </c>
      <c r="AH699" s="2" t="s">
        <v>74</v>
      </c>
      <c r="AI699" s="2" t="s">
        <v>74</v>
      </c>
      <c r="AJ699" s="2" t="s">
        <v>74</v>
      </c>
      <c r="AK699" s="2" t="s">
        <v>74</v>
      </c>
      <c r="AL699" s="2" t="s">
        <v>74</v>
      </c>
      <c r="AM699" s="2" t="s">
        <v>74</v>
      </c>
      <c r="AN699" s="2" t="s">
        <v>74</v>
      </c>
      <c r="AO699" s="2" t="s">
        <v>314</v>
      </c>
      <c r="AP699" s="2" t="s">
        <v>74</v>
      </c>
      <c r="AQ699" s="2" t="s">
        <v>74</v>
      </c>
      <c r="AR699" s="2" t="s">
        <v>74</v>
      </c>
      <c r="AS699" s="2" t="s">
        <v>74</v>
      </c>
      <c r="AT699" s="2" t="s">
        <v>255</v>
      </c>
      <c r="AU699" s="2">
        <v>2012</v>
      </c>
      <c r="AV699" s="2">
        <v>179</v>
      </c>
      <c r="AW699" s="2">
        <v>1</v>
      </c>
      <c r="AX699" s="2" t="s">
        <v>74</v>
      </c>
      <c r="AY699" s="2" t="s">
        <v>74</v>
      </c>
      <c r="AZ699" s="2" t="s">
        <v>74</v>
      </c>
      <c r="BA699" s="2" t="s">
        <v>74</v>
      </c>
      <c r="BB699" s="2" t="s">
        <v>2169</v>
      </c>
      <c r="BC699" s="2" t="s">
        <v>2170</v>
      </c>
      <c r="BD699" s="2" t="s">
        <v>74</v>
      </c>
      <c r="BE699" s="2" t="s">
        <v>2171</v>
      </c>
      <c r="BF699" s="2" t="str">
        <f>HYPERLINK("http://dx.doi.org/10.1086/663197","http://dx.doi.org/10.1086/663197")</f>
        <v>http://dx.doi.org/10.1086/663197</v>
      </c>
      <c r="BG699" s="2" t="s">
        <v>74</v>
      </c>
      <c r="BH699" s="2" t="s">
        <v>74</v>
      </c>
      <c r="BI699" s="2" t="s">
        <v>74</v>
      </c>
      <c r="BJ699" s="2" t="s">
        <v>74</v>
      </c>
      <c r="BK699" s="2" t="s">
        <v>74</v>
      </c>
      <c r="BL699" s="2" t="s">
        <v>74</v>
      </c>
      <c r="BM699" s="2" t="s">
        <v>74</v>
      </c>
      <c r="BN699" s="2">
        <v>22173468</v>
      </c>
      <c r="BO699" s="2" t="s">
        <v>74</v>
      </c>
      <c r="BP699" s="2" t="s">
        <v>74</v>
      </c>
      <c r="BQ699" s="2" t="s">
        <v>74</v>
      </c>
      <c r="BR699" s="2" t="s">
        <v>74</v>
      </c>
      <c r="BS699" s="2" t="s">
        <v>2172</v>
      </c>
      <c r="BT699" s="2" t="str">
        <f>HYPERLINK("https%3A%2F%2Fwww.webofscience.com%2Fwos%2Fwoscc%2Ffull-record%2FWOS:000298379200001","View Full Record in Web of Science")</f>
        <v>View Full Record in Web of Science</v>
      </c>
    </row>
    <row r="700" spans="1:72" s="2" customFormat="1" x14ac:dyDescent="0.4">
      <c r="A700" s="2" t="s">
        <v>72</v>
      </c>
      <c r="B700" s="2" t="s">
        <v>1272</v>
      </c>
      <c r="C700" s="2" t="s">
        <v>74</v>
      </c>
      <c r="D700" s="2" t="s">
        <v>74</v>
      </c>
      <c r="E700" s="2" t="s">
        <v>74</v>
      </c>
      <c r="F700" s="2" t="s">
        <v>1272</v>
      </c>
      <c r="G700" s="2" t="s">
        <v>74</v>
      </c>
      <c r="H700" s="2" t="s">
        <v>74</v>
      </c>
      <c r="I700" s="2" t="s">
        <v>1273</v>
      </c>
      <c r="J700" s="2" t="s">
        <v>610</v>
      </c>
      <c r="K700" s="2" t="s">
        <v>74</v>
      </c>
      <c r="L700" s="2" t="s">
        <v>74</v>
      </c>
      <c r="M700" s="2" t="s">
        <v>74</v>
      </c>
      <c r="N700" s="2" t="s">
        <v>74</v>
      </c>
      <c r="O700" s="2" t="s">
        <v>74</v>
      </c>
      <c r="P700" s="2" t="s">
        <v>74</v>
      </c>
      <c r="Q700" s="2" t="s">
        <v>74</v>
      </c>
      <c r="R700" s="2" t="s">
        <v>74</v>
      </c>
      <c r="S700" s="2" t="s">
        <v>74</v>
      </c>
      <c r="T700" s="2" t="s">
        <v>74</v>
      </c>
      <c r="U700" s="2" t="s">
        <v>74</v>
      </c>
      <c r="V700" s="5" t="s">
        <v>1274</v>
      </c>
      <c r="W700" s="2" t="s">
        <v>74</v>
      </c>
      <c r="X700" s="2" t="s">
        <v>74</v>
      </c>
      <c r="Y700" s="2" t="s">
        <v>74</v>
      </c>
      <c r="Z700" s="2" t="s">
        <v>74</v>
      </c>
      <c r="AA700" s="2" t="s">
        <v>1275</v>
      </c>
      <c r="AB700" s="2" t="s">
        <v>74</v>
      </c>
      <c r="AC700" s="2" t="s">
        <v>74</v>
      </c>
      <c r="AD700" s="2" t="s">
        <v>74</v>
      </c>
      <c r="AE700" s="2" t="s">
        <v>74</v>
      </c>
      <c r="AF700" s="2" t="s">
        <v>74</v>
      </c>
      <c r="AG700" s="2" t="s">
        <v>74</v>
      </c>
      <c r="AH700" s="2" t="s">
        <v>74</v>
      </c>
      <c r="AI700" s="2" t="s">
        <v>74</v>
      </c>
      <c r="AJ700" s="2" t="s">
        <v>74</v>
      </c>
      <c r="AK700" s="2" t="s">
        <v>74</v>
      </c>
      <c r="AL700" s="2" t="s">
        <v>74</v>
      </c>
      <c r="AM700" s="2" t="s">
        <v>74</v>
      </c>
      <c r="AN700" s="2" t="s">
        <v>74</v>
      </c>
      <c r="AO700" s="2" t="s">
        <v>614</v>
      </c>
      <c r="AP700" s="2" t="s">
        <v>74</v>
      </c>
      <c r="AQ700" s="2" t="s">
        <v>74</v>
      </c>
      <c r="AR700" s="2" t="s">
        <v>74</v>
      </c>
      <c r="AS700" s="2" t="s">
        <v>74</v>
      </c>
      <c r="AT700" s="2" t="s">
        <v>1075</v>
      </c>
      <c r="AU700" s="2">
        <v>1994</v>
      </c>
      <c r="AV700" s="2">
        <v>98</v>
      </c>
      <c r="AW700" s="2" t="s">
        <v>1276</v>
      </c>
      <c r="AX700" s="2" t="s">
        <v>74</v>
      </c>
      <c r="AY700" s="2" t="s">
        <v>74</v>
      </c>
      <c r="AZ700" s="2" t="s">
        <v>74</v>
      </c>
      <c r="BA700" s="2" t="s">
        <v>74</v>
      </c>
      <c r="BB700" s="2">
        <v>246</v>
      </c>
      <c r="BC700" s="2">
        <v>264</v>
      </c>
      <c r="BD700" s="2" t="s">
        <v>74</v>
      </c>
      <c r="BE700" s="2" t="s">
        <v>74</v>
      </c>
      <c r="BF700" s="2" t="s">
        <v>74</v>
      </c>
      <c r="BG700" s="2" t="s">
        <v>74</v>
      </c>
      <c r="BH700" s="2" t="s">
        <v>74</v>
      </c>
      <c r="BI700" s="2" t="s">
        <v>74</v>
      </c>
      <c r="BJ700" s="2" t="s">
        <v>74</v>
      </c>
      <c r="BK700" s="2" t="s">
        <v>74</v>
      </c>
      <c r="BL700" s="2" t="s">
        <v>74</v>
      </c>
      <c r="BM700" s="2" t="s">
        <v>74</v>
      </c>
      <c r="BN700" s="2" t="s">
        <v>74</v>
      </c>
      <c r="BO700" s="2" t="s">
        <v>74</v>
      </c>
      <c r="BP700" s="2" t="s">
        <v>74</v>
      </c>
      <c r="BQ700" s="2" t="s">
        <v>74</v>
      </c>
      <c r="BR700" s="2" t="s">
        <v>74</v>
      </c>
      <c r="BS700" s="2" t="s">
        <v>1277</v>
      </c>
      <c r="BT700" s="2" t="str">
        <f>HYPERLINK("https%3A%2F%2Fwww.webofscience.com%2Fwos%2Fwoscc%2Ffull-record%2FWOS:A1994QA66800006","View Full Record in Web of Science")</f>
        <v>View Full Record in Web of Science</v>
      </c>
    </row>
    <row r="701" spans="1:72" s="2" customFormat="1" x14ac:dyDescent="0.4">
      <c r="A701" s="2" t="s">
        <v>72</v>
      </c>
      <c r="B701" s="2" t="s">
        <v>3860</v>
      </c>
      <c r="C701" s="2" t="s">
        <v>74</v>
      </c>
      <c r="D701" s="2" t="s">
        <v>74</v>
      </c>
      <c r="E701" s="2" t="s">
        <v>74</v>
      </c>
      <c r="F701" s="2" t="s">
        <v>3861</v>
      </c>
      <c r="G701" s="2" t="s">
        <v>74</v>
      </c>
      <c r="H701" s="2" t="s">
        <v>74</v>
      </c>
      <c r="I701" s="2" t="s">
        <v>3862</v>
      </c>
      <c r="J701" s="2" t="s">
        <v>1198</v>
      </c>
      <c r="K701" s="2" t="s">
        <v>74</v>
      </c>
      <c r="L701" s="2" t="s">
        <v>74</v>
      </c>
      <c r="M701" s="2" t="s">
        <v>74</v>
      </c>
      <c r="N701" s="2" t="s">
        <v>74</v>
      </c>
      <c r="O701" s="2" t="s">
        <v>74</v>
      </c>
      <c r="P701" s="2" t="s">
        <v>74</v>
      </c>
      <c r="Q701" s="2" t="s">
        <v>74</v>
      </c>
      <c r="R701" s="2" t="s">
        <v>74</v>
      </c>
      <c r="S701" s="2" t="s">
        <v>74</v>
      </c>
      <c r="T701" s="2" t="s">
        <v>74</v>
      </c>
      <c r="U701" s="2" t="s">
        <v>74</v>
      </c>
      <c r="V701" s="5" t="s">
        <v>3863</v>
      </c>
      <c r="W701" s="2" t="s">
        <v>74</v>
      </c>
      <c r="X701" s="2" t="s">
        <v>74</v>
      </c>
      <c r="Y701" s="2" t="s">
        <v>74</v>
      </c>
      <c r="Z701" s="2" t="s">
        <v>74</v>
      </c>
      <c r="AA701" s="2" t="s">
        <v>74</v>
      </c>
      <c r="AB701" s="2" t="s">
        <v>2709</v>
      </c>
      <c r="AC701" s="2" t="s">
        <v>74</v>
      </c>
      <c r="AD701" s="2" t="s">
        <v>74</v>
      </c>
      <c r="AE701" s="2" t="s">
        <v>74</v>
      </c>
      <c r="AF701" s="2" t="s">
        <v>74</v>
      </c>
      <c r="AG701" s="2" t="s">
        <v>74</v>
      </c>
      <c r="AH701" s="2" t="s">
        <v>74</v>
      </c>
      <c r="AI701" s="2" t="s">
        <v>74</v>
      </c>
      <c r="AJ701" s="2" t="s">
        <v>74</v>
      </c>
      <c r="AK701" s="2" t="s">
        <v>74</v>
      </c>
      <c r="AL701" s="2" t="s">
        <v>74</v>
      </c>
      <c r="AM701" s="2" t="s">
        <v>74</v>
      </c>
      <c r="AN701" s="2" t="s">
        <v>74</v>
      </c>
      <c r="AO701" s="2" t="s">
        <v>1202</v>
      </c>
      <c r="AP701" s="2" t="s">
        <v>1203</v>
      </c>
      <c r="AQ701" s="2" t="s">
        <v>74</v>
      </c>
      <c r="AR701" s="2" t="s">
        <v>74</v>
      </c>
      <c r="AS701" s="2" t="s">
        <v>74</v>
      </c>
      <c r="AT701" s="2" t="s">
        <v>102</v>
      </c>
      <c r="AU701" s="2">
        <v>2015</v>
      </c>
      <c r="AV701" s="2">
        <v>71</v>
      </c>
      <c r="AW701" s="2">
        <v>2</v>
      </c>
      <c r="AX701" s="2" t="s">
        <v>74</v>
      </c>
      <c r="AY701" s="2" t="s">
        <v>74</v>
      </c>
      <c r="AZ701" s="2" t="s">
        <v>74</v>
      </c>
      <c r="BA701" s="2" t="s">
        <v>74</v>
      </c>
      <c r="BB701" s="2">
        <v>110</v>
      </c>
      <c r="BC701" s="2">
        <v>116</v>
      </c>
      <c r="BD701" s="2" t="s">
        <v>74</v>
      </c>
      <c r="BE701" s="2" t="s">
        <v>3864</v>
      </c>
      <c r="BF701" s="2" t="str">
        <f>HYPERLINK("http://dx.doi.org/10.1655/HERPETOLOGICA-D-14-00044","http://dx.doi.org/10.1655/HERPETOLOGICA-D-14-00044")</f>
        <v>http://dx.doi.org/10.1655/HERPETOLOGICA-D-14-00044</v>
      </c>
      <c r="BG701" s="2" t="s">
        <v>74</v>
      </c>
      <c r="BH701" s="2" t="s">
        <v>74</v>
      </c>
      <c r="BI701" s="2" t="s">
        <v>74</v>
      </c>
      <c r="BJ701" s="2" t="s">
        <v>74</v>
      </c>
      <c r="BK701" s="2" t="s">
        <v>74</v>
      </c>
      <c r="BL701" s="2" t="s">
        <v>74</v>
      </c>
      <c r="BM701" s="2" t="s">
        <v>74</v>
      </c>
      <c r="BN701" s="2" t="s">
        <v>74</v>
      </c>
      <c r="BO701" s="2" t="s">
        <v>74</v>
      </c>
      <c r="BP701" s="2" t="s">
        <v>74</v>
      </c>
      <c r="BQ701" s="2" t="s">
        <v>74</v>
      </c>
      <c r="BR701" s="2" t="s">
        <v>74</v>
      </c>
      <c r="BS701" s="2" t="s">
        <v>3865</v>
      </c>
      <c r="BT701" s="2" t="str">
        <f>HYPERLINK("https%3A%2F%2Fwww.webofscience.com%2Fwos%2Fwoscc%2Ffull-record%2FWOS:000357733800005","View Full Record in Web of Science")</f>
        <v>View Full Record in Web of Science</v>
      </c>
    </row>
    <row r="702" spans="1:72" s="2" customFormat="1" x14ac:dyDescent="0.4">
      <c r="A702" s="2" t="s">
        <v>72</v>
      </c>
      <c r="B702" s="2" t="s">
        <v>7069</v>
      </c>
      <c r="C702" s="2" t="s">
        <v>74</v>
      </c>
      <c r="D702" s="2" t="s">
        <v>74</v>
      </c>
      <c r="E702" s="2" t="s">
        <v>74</v>
      </c>
      <c r="F702" s="2" t="s">
        <v>7070</v>
      </c>
      <c r="G702" s="2" t="s">
        <v>74</v>
      </c>
      <c r="H702" s="2" t="s">
        <v>74</v>
      </c>
      <c r="I702" s="2" t="s">
        <v>7071</v>
      </c>
      <c r="J702" s="2" t="s">
        <v>1198</v>
      </c>
      <c r="K702" s="2" t="s">
        <v>74</v>
      </c>
      <c r="L702" s="2" t="s">
        <v>74</v>
      </c>
      <c r="M702" s="2" t="s">
        <v>74</v>
      </c>
      <c r="N702" s="2" t="s">
        <v>74</v>
      </c>
      <c r="O702" s="2" t="s">
        <v>74</v>
      </c>
      <c r="P702" s="2" t="s">
        <v>74</v>
      </c>
      <c r="Q702" s="2" t="s">
        <v>74</v>
      </c>
      <c r="R702" s="2" t="s">
        <v>74</v>
      </c>
      <c r="S702" s="2" t="s">
        <v>74</v>
      </c>
      <c r="T702" s="2" t="s">
        <v>74</v>
      </c>
      <c r="U702" s="2" t="s">
        <v>74</v>
      </c>
      <c r="V702" s="5" t="s">
        <v>7072</v>
      </c>
      <c r="W702" s="2" t="s">
        <v>74</v>
      </c>
      <c r="X702" s="2" t="s">
        <v>74</v>
      </c>
      <c r="Y702" s="2" t="s">
        <v>74</v>
      </c>
      <c r="Z702" s="2" t="s">
        <v>74</v>
      </c>
      <c r="AA702" s="2" t="s">
        <v>74</v>
      </c>
      <c r="AB702" s="2" t="s">
        <v>74</v>
      </c>
      <c r="AC702" s="2" t="s">
        <v>74</v>
      </c>
      <c r="AD702" s="2" t="s">
        <v>74</v>
      </c>
      <c r="AE702" s="2" t="s">
        <v>74</v>
      </c>
      <c r="AF702" s="2" t="s">
        <v>74</v>
      </c>
      <c r="AG702" s="2" t="s">
        <v>74</v>
      </c>
      <c r="AH702" s="2" t="s">
        <v>74</v>
      </c>
      <c r="AI702" s="2" t="s">
        <v>74</v>
      </c>
      <c r="AJ702" s="2" t="s">
        <v>74</v>
      </c>
      <c r="AK702" s="2" t="s">
        <v>74</v>
      </c>
      <c r="AL702" s="2" t="s">
        <v>74</v>
      </c>
      <c r="AM702" s="2" t="s">
        <v>74</v>
      </c>
      <c r="AN702" s="2" t="s">
        <v>74</v>
      </c>
      <c r="AO702" s="2" t="s">
        <v>1202</v>
      </c>
      <c r="AP702" s="2" t="s">
        <v>1203</v>
      </c>
      <c r="AQ702" s="2" t="s">
        <v>74</v>
      </c>
      <c r="AR702" s="2" t="s">
        <v>74</v>
      </c>
      <c r="AS702" s="2" t="s">
        <v>74</v>
      </c>
      <c r="AT702" s="2" t="s">
        <v>305</v>
      </c>
      <c r="AU702" s="2">
        <v>2023</v>
      </c>
      <c r="AV702" s="2">
        <v>79</v>
      </c>
      <c r="AW702" s="2">
        <v>4</v>
      </c>
      <c r="AX702" s="2" t="s">
        <v>74</v>
      </c>
      <c r="AY702" s="2" t="s">
        <v>74</v>
      </c>
      <c r="AZ702" s="2" t="s">
        <v>74</v>
      </c>
      <c r="BA702" s="2" t="s">
        <v>74</v>
      </c>
      <c r="BB702" s="2">
        <v>196</v>
      </c>
      <c r="BC702" s="2">
        <v>206</v>
      </c>
      <c r="BD702" s="2" t="s">
        <v>74</v>
      </c>
      <c r="BE702" s="2" t="s">
        <v>7073</v>
      </c>
      <c r="BF702" s="2" t="str">
        <f>HYPERLINK("http://dx.doi.org/10.1655/Herpetologica-D-23-00011.s1","http://dx.doi.org/10.1655/Herpetologica-D-23-00011.s1")</f>
        <v>http://dx.doi.org/10.1655/Herpetologica-D-23-00011.s1</v>
      </c>
      <c r="BG702" s="2" t="s">
        <v>74</v>
      </c>
      <c r="BH702" s="2" t="s">
        <v>74</v>
      </c>
      <c r="BI702" s="2" t="s">
        <v>74</v>
      </c>
      <c r="BJ702" s="2" t="s">
        <v>74</v>
      </c>
      <c r="BK702" s="2" t="s">
        <v>74</v>
      </c>
      <c r="BL702" s="2" t="s">
        <v>74</v>
      </c>
      <c r="BM702" s="2" t="s">
        <v>74</v>
      </c>
      <c r="BN702" s="2" t="s">
        <v>74</v>
      </c>
      <c r="BO702" s="2" t="s">
        <v>74</v>
      </c>
      <c r="BP702" s="2" t="s">
        <v>74</v>
      </c>
      <c r="BQ702" s="2" t="s">
        <v>74</v>
      </c>
      <c r="BR702" s="2" t="s">
        <v>74</v>
      </c>
      <c r="BS702" s="2" t="s">
        <v>7074</v>
      </c>
      <c r="BT702" s="2" t="str">
        <f>HYPERLINK("https%3A%2F%2Fwww.webofscience.com%2Fwos%2Fwoscc%2Ffull-record%2FWOS:001208746500005","View Full Record in Web of Science")</f>
        <v>View Full Record in Web of Science</v>
      </c>
    </row>
    <row r="703" spans="1:72" s="2" customFormat="1" x14ac:dyDescent="0.4">
      <c r="A703" s="2" t="s">
        <v>72</v>
      </c>
      <c r="B703" s="2" t="s">
        <v>2180</v>
      </c>
      <c r="C703" s="2" t="s">
        <v>74</v>
      </c>
      <c r="D703" s="2" t="s">
        <v>74</v>
      </c>
      <c r="E703" s="2" t="s">
        <v>74</v>
      </c>
      <c r="F703" s="2" t="s">
        <v>2181</v>
      </c>
      <c r="G703" s="2" t="s">
        <v>74</v>
      </c>
      <c r="H703" s="2" t="s">
        <v>74</v>
      </c>
      <c r="I703" s="2" t="s">
        <v>2182</v>
      </c>
      <c r="J703" s="2" t="s">
        <v>333</v>
      </c>
      <c r="K703" s="2" t="s">
        <v>74</v>
      </c>
      <c r="L703" s="2" t="s">
        <v>74</v>
      </c>
      <c r="M703" s="2" t="s">
        <v>74</v>
      </c>
      <c r="N703" s="2" t="s">
        <v>74</v>
      </c>
      <c r="O703" s="2" t="s">
        <v>74</v>
      </c>
      <c r="P703" s="2" t="s">
        <v>74</v>
      </c>
      <c r="Q703" s="2" t="s">
        <v>74</v>
      </c>
      <c r="R703" s="2" t="s">
        <v>74</v>
      </c>
      <c r="S703" s="2" t="s">
        <v>74</v>
      </c>
      <c r="T703" s="2" t="s">
        <v>74</v>
      </c>
      <c r="U703" s="2" t="s">
        <v>74</v>
      </c>
      <c r="V703" s="5" t="s">
        <v>2183</v>
      </c>
      <c r="W703" s="2" t="s">
        <v>74</v>
      </c>
      <c r="X703" s="2" t="s">
        <v>74</v>
      </c>
      <c r="Y703" s="2" t="s">
        <v>74</v>
      </c>
      <c r="Z703" s="2" t="s">
        <v>74</v>
      </c>
      <c r="AA703" s="2" t="s">
        <v>2184</v>
      </c>
      <c r="AB703" s="2" t="s">
        <v>2185</v>
      </c>
      <c r="AC703" s="2" t="s">
        <v>74</v>
      </c>
      <c r="AD703" s="2" t="s">
        <v>74</v>
      </c>
      <c r="AE703" s="2" t="s">
        <v>74</v>
      </c>
      <c r="AF703" s="2" t="s">
        <v>74</v>
      </c>
      <c r="AG703" s="2" t="s">
        <v>74</v>
      </c>
      <c r="AH703" s="2" t="s">
        <v>74</v>
      </c>
      <c r="AI703" s="2" t="s">
        <v>74</v>
      </c>
      <c r="AJ703" s="2" t="s">
        <v>74</v>
      </c>
      <c r="AK703" s="2" t="s">
        <v>74</v>
      </c>
      <c r="AL703" s="2" t="s">
        <v>74</v>
      </c>
      <c r="AM703" s="2" t="s">
        <v>74</v>
      </c>
      <c r="AN703" s="2" t="s">
        <v>74</v>
      </c>
      <c r="AO703" s="2" t="s">
        <v>337</v>
      </c>
      <c r="AP703" s="2" t="s">
        <v>338</v>
      </c>
      <c r="AQ703" s="2" t="s">
        <v>74</v>
      </c>
      <c r="AR703" s="2" t="s">
        <v>74</v>
      </c>
      <c r="AS703" s="2" t="s">
        <v>74</v>
      </c>
      <c r="AT703" s="2" t="s">
        <v>339</v>
      </c>
      <c r="AU703" s="2">
        <v>2013</v>
      </c>
      <c r="AV703" s="2">
        <v>24</v>
      </c>
      <c r="AW703" s="2">
        <v>4</v>
      </c>
      <c r="AX703" s="2" t="s">
        <v>74</v>
      </c>
      <c r="AY703" s="2" t="s">
        <v>74</v>
      </c>
      <c r="AZ703" s="2" t="s">
        <v>74</v>
      </c>
      <c r="BA703" s="2" t="s">
        <v>74</v>
      </c>
      <c r="BB703" s="2">
        <v>846</v>
      </c>
      <c r="BC703" s="2">
        <v>852</v>
      </c>
      <c r="BD703" s="2" t="s">
        <v>74</v>
      </c>
      <c r="BE703" s="2" t="s">
        <v>2186</v>
      </c>
      <c r="BF703" s="2" t="str">
        <f>HYPERLINK("http://dx.doi.org/10.1093/beheco/art027","http://dx.doi.org/10.1093/beheco/art027")</f>
        <v>http://dx.doi.org/10.1093/beheco/art027</v>
      </c>
      <c r="BG703" s="2" t="s">
        <v>74</v>
      </c>
      <c r="BH703" s="2" t="s">
        <v>74</v>
      </c>
      <c r="BI703" s="2" t="s">
        <v>74</v>
      </c>
      <c r="BJ703" s="2" t="s">
        <v>74</v>
      </c>
      <c r="BK703" s="2" t="s">
        <v>74</v>
      </c>
      <c r="BL703" s="2" t="s">
        <v>74</v>
      </c>
      <c r="BM703" s="2" t="s">
        <v>74</v>
      </c>
      <c r="BN703" s="2" t="s">
        <v>74</v>
      </c>
      <c r="BO703" s="2" t="s">
        <v>74</v>
      </c>
      <c r="BP703" s="2" t="s">
        <v>74</v>
      </c>
      <c r="BQ703" s="2" t="s">
        <v>74</v>
      </c>
      <c r="BR703" s="2" t="s">
        <v>74</v>
      </c>
      <c r="BS703" s="2" t="s">
        <v>2187</v>
      </c>
      <c r="BT703" s="2" t="str">
        <f>HYPERLINK("https%3A%2F%2Fwww.webofscience.com%2Fwos%2Fwoscc%2Ffull-record%2FWOS:000320409900014","View Full Record in Web of Science")</f>
        <v>View Full Record in Web of Science</v>
      </c>
    </row>
    <row r="704" spans="1:72" s="2" customFormat="1" x14ac:dyDescent="0.4">
      <c r="A704" s="2" t="s">
        <v>72</v>
      </c>
      <c r="B704" s="2" t="s">
        <v>2705</v>
      </c>
      <c r="C704" s="2" t="s">
        <v>74</v>
      </c>
      <c r="D704" s="2" t="s">
        <v>74</v>
      </c>
      <c r="E704" s="2" t="s">
        <v>74</v>
      </c>
      <c r="F704" s="2" t="s">
        <v>2706</v>
      </c>
      <c r="G704" s="2" t="s">
        <v>74</v>
      </c>
      <c r="H704" s="2" t="s">
        <v>74</v>
      </c>
      <c r="I704" s="2" t="s">
        <v>2707</v>
      </c>
      <c r="J704" s="2" t="s">
        <v>1198</v>
      </c>
      <c r="K704" s="2" t="s">
        <v>74</v>
      </c>
      <c r="L704" s="2" t="s">
        <v>74</v>
      </c>
      <c r="M704" s="2" t="s">
        <v>74</v>
      </c>
      <c r="N704" s="2" t="s">
        <v>74</v>
      </c>
      <c r="O704" s="2" t="s">
        <v>74</v>
      </c>
      <c r="P704" s="2" t="s">
        <v>74</v>
      </c>
      <c r="Q704" s="2" t="s">
        <v>74</v>
      </c>
      <c r="R704" s="2" t="s">
        <v>74</v>
      </c>
      <c r="S704" s="2" t="s">
        <v>74</v>
      </c>
      <c r="T704" s="2" t="s">
        <v>74</v>
      </c>
      <c r="U704" s="2" t="s">
        <v>74</v>
      </c>
      <c r="V704" s="5" t="s">
        <v>2708</v>
      </c>
      <c r="W704" s="2" t="s">
        <v>74</v>
      </c>
      <c r="X704" s="2" t="s">
        <v>74</v>
      </c>
      <c r="Y704" s="2" t="s">
        <v>74</v>
      </c>
      <c r="Z704" s="2" t="s">
        <v>74</v>
      </c>
      <c r="AA704" s="2" t="s">
        <v>74</v>
      </c>
      <c r="AB704" s="2" t="s">
        <v>2709</v>
      </c>
      <c r="AC704" s="2" t="s">
        <v>74</v>
      </c>
      <c r="AD704" s="2" t="s">
        <v>74</v>
      </c>
      <c r="AE704" s="2" t="s">
        <v>74</v>
      </c>
      <c r="AF704" s="2" t="s">
        <v>74</v>
      </c>
      <c r="AG704" s="2" t="s">
        <v>74</v>
      </c>
      <c r="AH704" s="2" t="s">
        <v>74</v>
      </c>
      <c r="AI704" s="2" t="s">
        <v>74</v>
      </c>
      <c r="AJ704" s="2" t="s">
        <v>74</v>
      </c>
      <c r="AK704" s="2" t="s">
        <v>74</v>
      </c>
      <c r="AL704" s="2" t="s">
        <v>74</v>
      </c>
      <c r="AM704" s="2" t="s">
        <v>74</v>
      </c>
      <c r="AN704" s="2" t="s">
        <v>74</v>
      </c>
      <c r="AO704" s="2" t="s">
        <v>1202</v>
      </c>
      <c r="AP704" s="2" t="s">
        <v>1203</v>
      </c>
      <c r="AQ704" s="2" t="s">
        <v>74</v>
      </c>
      <c r="AR704" s="2" t="s">
        <v>74</v>
      </c>
      <c r="AS704" s="2" t="s">
        <v>74</v>
      </c>
      <c r="AT704" s="2" t="s">
        <v>102</v>
      </c>
      <c r="AU704" s="2">
        <v>2014</v>
      </c>
      <c r="AV704" s="2">
        <v>70</v>
      </c>
      <c r="AW704" s="2">
        <v>2</v>
      </c>
      <c r="AX704" s="2" t="s">
        <v>74</v>
      </c>
      <c r="AY704" s="2" t="s">
        <v>74</v>
      </c>
      <c r="AZ704" s="2" t="s">
        <v>74</v>
      </c>
      <c r="BA704" s="2" t="s">
        <v>74</v>
      </c>
      <c r="BB704" s="2">
        <v>157</v>
      </c>
      <c r="BC704" s="2">
        <v>170</v>
      </c>
      <c r="BD704" s="2" t="s">
        <v>74</v>
      </c>
      <c r="BE704" s="2" t="s">
        <v>2710</v>
      </c>
      <c r="BF704" s="2" t="str">
        <f>HYPERLINK("http://dx.doi.org/10.1655/HERPETOLOGICA-D-13-00073","http://dx.doi.org/10.1655/HERPETOLOGICA-D-13-00073")</f>
        <v>http://dx.doi.org/10.1655/HERPETOLOGICA-D-13-00073</v>
      </c>
      <c r="BG704" s="2" t="s">
        <v>74</v>
      </c>
      <c r="BH704" s="2" t="s">
        <v>74</v>
      </c>
      <c r="BI704" s="2" t="s">
        <v>74</v>
      </c>
      <c r="BJ704" s="2" t="s">
        <v>74</v>
      </c>
      <c r="BK704" s="2" t="s">
        <v>74</v>
      </c>
      <c r="BL704" s="2" t="s">
        <v>74</v>
      </c>
      <c r="BM704" s="2" t="s">
        <v>74</v>
      </c>
      <c r="BN704" s="2" t="s">
        <v>74</v>
      </c>
      <c r="BO704" s="2" t="s">
        <v>74</v>
      </c>
      <c r="BP704" s="2" t="s">
        <v>74</v>
      </c>
      <c r="BQ704" s="2" t="s">
        <v>74</v>
      </c>
      <c r="BR704" s="2" t="s">
        <v>74</v>
      </c>
      <c r="BS704" s="2" t="s">
        <v>2711</v>
      </c>
      <c r="BT704" s="2" t="str">
        <f>HYPERLINK("https%3A%2F%2Fwww.webofscience.com%2Fwos%2Fwoscc%2Ffull-record%2FWOS:000336047900004","View Full Record in Web of Science")</f>
        <v>View Full Record in Web of Science</v>
      </c>
    </row>
    <row r="705" spans="1:72" s="2" customFormat="1" x14ac:dyDescent="0.4">
      <c r="A705" s="2" t="s">
        <v>72</v>
      </c>
      <c r="B705" s="2" t="s">
        <v>3989</v>
      </c>
      <c r="C705" s="2" t="s">
        <v>74</v>
      </c>
      <c r="D705" s="2" t="s">
        <v>74</v>
      </c>
      <c r="E705" s="2" t="s">
        <v>74</v>
      </c>
      <c r="F705" s="2" t="s">
        <v>3990</v>
      </c>
      <c r="G705" s="2" t="s">
        <v>74</v>
      </c>
      <c r="H705" s="2" t="s">
        <v>74</v>
      </c>
      <c r="I705" s="2" t="s">
        <v>3991</v>
      </c>
      <c r="J705" s="2" t="s">
        <v>129</v>
      </c>
      <c r="K705" s="2" t="s">
        <v>74</v>
      </c>
      <c r="L705" s="2" t="s">
        <v>74</v>
      </c>
      <c r="M705" s="2" t="s">
        <v>74</v>
      </c>
      <c r="N705" s="2" t="s">
        <v>74</v>
      </c>
      <c r="O705" s="2" t="s">
        <v>74</v>
      </c>
      <c r="P705" s="2" t="s">
        <v>74</v>
      </c>
      <c r="Q705" s="2" t="s">
        <v>74</v>
      </c>
      <c r="R705" s="2" t="s">
        <v>74</v>
      </c>
      <c r="S705" s="2" t="s">
        <v>74</v>
      </c>
      <c r="T705" s="2" t="s">
        <v>74</v>
      </c>
      <c r="U705" s="2" t="s">
        <v>74</v>
      </c>
      <c r="V705" s="5" t="s">
        <v>3992</v>
      </c>
      <c r="W705" s="2" t="s">
        <v>74</v>
      </c>
      <c r="X705" s="2" t="s">
        <v>74</v>
      </c>
      <c r="Y705" s="2" t="s">
        <v>74</v>
      </c>
      <c r="Z705" s="2" t="s">
        <v>74</v>
      </c>
      <c r="AA705" s="2" t="s">
        <v>3993</v>
      </c>
      <c r="AB705" s="2" t="s">
        <v>3994</v>
      </c>
      <c r="AC705" s="2" t="s">
        <v>74</v>
      </c>
      <c r="AD705" s="2" t="s">
        <v>74</v>
      </c>
      <c r="AE705" s="2" t="s">
        <v>74</v>
      </c>
      <c r="AF705" s="2" t="s">
        <v>74</v>
      </c>
      <c r="AG705" s="2" t="s">
        <v>74</v>
      </c>
      <c r="AH705" s="2" t="s">
        <v>74</v>
      </c>
      <c r="AI705" s="2" t="s">
        <v>74</v>
      </c>
      <c r="AJ705" s="2" t="s">
        <v>74</v>
      </c>
      <c r="AK705" s="2" t="s">
        <v>74</v>
      </c>
      <c r="AL705" s="2" t="s">
        <v>74</v>
      </c>
      <c r="AM705" s="2" t="s">
        <v>74</v>
      </c>
      <c r="AN705" s="2" t="s">
        <v>74</v>
      </c>
      <c r="AO705" s="2" t="s">
        <v>132</v>
      </c>
      <c r="AP705" s="2" t="s">
        <v>133</v>
      </c>
      <c r="AQ705" s="2" t="s">
        <v>74</v>
      </c>
      <c r="AR705" s="2" t="s">
        <v>74</v>
      </c>
      <c r="AS705" s="2" t="s">
        <v>74</v>
      </c>
      <c r="AT705" s="2" t="s">
        <v>633</v>
      </c>
      <c r="AU705" s="2">
        <v>2008</v>
      </c>
      <c r="AV705" s="2">
        <v>62</v>
      </c>
      <c r="AW705" s="2">
        <v>8</v>
      </c>
      <c r="AX705" s="2" t="s">
        <v>74</v>
      </c>
      <c r="AY705" s="2" t="s">
        <v>74</v>
      </c>
      <c r="AZ705" s="2" t="s">
        <v>74</v>
      </c>
      <c r="BA705" s="2" t="s">
        <v>74</v>
      </c>
      <c r="BB705" s="2">
        <v>1341</v>
      </c>
      <c r="BC705" s="2">
        <v>1350</v>
      </c>
      <c r="BD705" s="2" t="s">
        <v>74</v>
      </c>
      <c r="BE705" s="2" t="s">
        <v>3995</v>
      </c>
      <c r="BF705" s="2" t="str">
        <f>HYPERLINK("http://dx.doi.org/10.1007/s00265-008-0562-z","http://dx.doi.org/10.1007/s00265-008-0562-z")</f>
        <v>http://dx.doi.org/10.1007/s00265-008-0562-z</v>
      </c>
      <c r="BG705" s="2" t="s">
        <v>74</v>
      </c>
      <c r="BH705" s="2" t="s">
        <v>74</v>
      </c>
      <c r="BI705" s="2" t="s">
        <v>74</v>
      </c>
      <c r="BJ705" s="2" t="s">
        <v>74</v>
      </c>
      <c r="BK705" s="2" t="s">
        <v>74</v>
      </c>
      <c r="BL705" s="2" t="s">
        <v>74</v>
      </c>
      <c r="BM705" s="2" t="s">
        <v>74</v>
      </c>
      <c r="BN705" s="2" t="s">
        <v>74</v>
      </c>
      <c r="BO705" s="2" t="s">
        <v>74</v>
      </c>
      <c r="BP705" s="2" t="s">
        <v>74</v>
      </c>
      <c r="BQ705" s="2" t="s">
        <v>74</v>
      </c>
      <c r="BR705" s="2" t="s">
        <v>74</v>
      </c>
      <c r="BS705" s="2" t="s">
        <v>3996</v>
      </c>
      <c r="BT705" s="2" t="str">
        <f>HYPERLINK("https%3A%2F%2Fwww.webofscience.com%2Fwos%2Fwoscc%2Ffull-record%2FWOS:000255851400013","View Full Record in Web of Science")</f>
        <v>View Full Record in Web of Science</v>
      </c>
    </row>
    <row r="706" spans="1:72" s="2" customFormat="1" x14ac:dyDescent="0.4">
      <c r="A706" s="2" t="s">
        <v>72</v>
      </c>
      <c r="B706" s="2" t="s">
        <v>7673</v>
      </c>
      <c r="C706" s="2" t="s">
        <v>74</v>
      </c>
      <c r="D706" s="2" t="s">
        <v>74</v>
      </c>
      <c r="E706" s="2" t="s">
        <v>74</v>
      </c>
      <c r="F706" s="2" t="s">
        <v>7674</v>
      </c>
      <c r="G706" s="2" t="s">
        <v>74</v>
      </c>
      <c r="H706" s="2" t="s">
        <v>74</v>
      </c>
      <c r="I706" s="2" t="s">
        <v>7675</v>
      </c>
      <c r="J706" s="2" t="s">
        <v>610</v>
      </c>
      <c r="K706" s="2" t="s">
        <v>74</v>
      </c>
      <c r="L706" s="2" t="s">
        <v>74</v>
      </c>
      <c r="M706" s="2" t="s">
        <v>74</v>
      </c>
      <c r="N706" s="2" t="s">
        <v>74</v>
      </c>
      <c r="O706" s="2" t="s">
        <v>74</v>
      </c>
      <c r="P706" s="2" t="s">
        <v>74</v>
      </c>
      <c r="Q706" s="2" t="s">
        <v>74</v>
      </c>
      <c r="R706" s="2" t="s">
        <v>74</v>
      </c>
      <c r="S706" s="2" t="s">
        <v>74</v>
      </c>
      <c r="T706" s="2" t="s">
        <v>74</v>
      </c>
      <c r="U706" s="2" t="s">
        <v>74</v>
      </c>
      <c r="V706" s="5" t="s">
        <v>7676</v>
      </c>
      <c r="W706" s="2" t="s">
        <v>74</v>
      </c>
      <c r="X706" s="2" t="s">
        <v>74</v>
      </c>
      <c r="Y706" s="2" t="s">
        <v>74</v>
      </c>
      <c r="Z706" s="2" t="s">
        <v>74</v>
      </c>
      <c r="AA706" s="2" t="s">
        <v>74</v>
      </c>
      <c r="AB706" s="2" t="s">
        <v>74</v>
      </c>
      <c r="AC706" s="2" t="s">
        <v>74</v>
      </c>
      <c r="AD706" s="2" t="s">
        <v>74</v>
      </c>
      <c r="AE706" s="2" t="s">
        <v>74</v>
      </c>
      <c r="AF706" s="2" t="s">
        <v>74</v>
      </c>
      <c r="AG706" s="2" t="s">
        <v>74</v>
      </c>
      <c r="AH706" s="2" t="s">
        <v>74</v>
      </c>
      <c r="AI706" s="2" t="s">
        <v>74</v>
      </c>
      <c r="AJ706" s="2" t="s">
        <v>74</v>
      </c>
      <c r="AK706" s="2" t="s">
        <v>74</v>
      </c>
      <c r="AL706" s="2" t="s">
        <v>74</v>
      </c>
      <c r="AM706" s="2" t="s">
        <v>74</v>
      </c>
      <c r="AN706" s="2" t="s">
        <v>74</v>
      </c>
      <c r="AO706" s="2" t="s">
        <v>614</v>
      </c>
      <c r="AP706" s="2" t="s">
        <v>615</v>
      </c>
      <c r="AQ706" s="2" t="s">
        <v>74</v>
      </c>
      <c r="AR706" s="2" t="s">
        <v>74</v>
      </c>
      <c r="AS706" s="2" t="s">
        <v>74</v>
      </c>
      <c r="AT706" s="2" t="s">
        <v>145</v>
      </c>
      <c r="AU706" s="2">
        <v>2019</v>
      </c>
      <c r="AV706" s="2">
        <v>125</v>
      </c>
      <c r="AW706" s="2">
        <v>8</v>
      </c>
      <c r="AX706" s="2" t="s">
        <v>74</v>
      </c>
      <c r="AY706" s="2" t="s">
        <v>74</v>
      </c>
      <c r="AZ706" s="2" t="s">
        <v>74</v>
      </c>
      <c r="BA706" s="2" t="s">
        <v>74</v>
      </c>
      <c r="BB706" s="2">
        <v>575</v>
      </c>
      <c r="BC706" s="2">
        <v>586</v>
      </c>
      <c r="BD706" s="2" t="s">
        <v>74</v>
      </c>
      <c r="BE706" s="2" t="s">
        <v>7677</v>
      </c>
      <c r="BF706" s="2" t="str">
        <f>HYPERLINK("http://dx.doi.org/10.1111/eth.12885","http://dx.doi.org/10.1111/eth.12885")</f>
        <v>http://dx.doi.org/10.1111/eth.12885</v>
      </c>
      <c r="BG706" s="2" t="s">
        <v>74</v>
      </c>
      <c r="BH706" s="2" t="s">
        <v>74</v>
      </c>
      <c r="BI706" s="2" t="s">
        <v>74</v>
      </c>
      <c r="BJ706" s="2" t="s">
        <v>74</v>
      </c>
      <c r="BK706" s="2" t="s">
        <v>74</v>
      </c>
      <c r="BL706" s="2" t="s">
        <v>74</v>
      </c>
      <c r="BM706" s="2" t="s">
        <v>74</v>
      </c>
      <c r="BN706" s="2" t="s">
        <v>74</v>
      </c>
      <c r="BO706" s="2" t="s">
        <v>74</v>
      </c>
      <c r="BP706" s="2" t="s">
        <v>74</v>
      </c>
      <c r="BQ706" s="2" t="s">
        <v>74</v>
      </c>
      <c r="BR706" s="2" t="s">
        <v>74</v>
      </c>
      <c r="BS706" s="2" t="s">
        <v>7678</v>
      </c>
      <c r="BT706" s="2" t="str">
        <f>HYPERLINK("https%3A%2F%2Fwww.webofscience.com%2Fwos%2Fwoscc%2Ffull-record%2FWOS:000474271600009","View Full Record in Web of Science")</f>
        <v>View Full Record in Web of Science</v>
      </c>
    </row>
    <row r="707" spans="1:72" s="2" customFormat="1" x14ac:dyDescent="0.4">
      <c r="A707" s="2" t="s">
        <v>72</v>
      </c>
      <c r="B707" s="2" t="s">
        <v>5631</v>
      </c>
      <c r="C707" s="2" t="s">
        <v>74</v>
      </c>
      <c r="D707" s="2" t="s">
        <v>74</v>
      </c>
      <c r="E707" s="2" t="s">
        <v>74</v>
      </c>
      <c r="F707" s="2" t="s">
        <v>5632</v>
      </c>
      <c r="G707" s="2" t="s">
        <v>74</v>
      </c>
      <c r="H707" s="2" t="s">
        <v>74</v>
      </c>
      <c r="I707" s="2" t="s">
        <v>5633</v>
      </c>
      <c r="J707" s="2" t="s">
        <v>1549</v>
      </c>
      <c r="K707" s="2" t="s">
        <v>74</v>
      </c>
      <c r="L707" s="2" t="s">
        <v>74</v>
      </c>
      <c r="M707" s="2" t="s">
        <v>74</v>
      </c>
      <c r="N707" s="2" t="s">
        <v>74</v>
      </c>
      <c r="O707" s="2" t="s">
        <v>74</v>
      </c>
      <c r="P707" s="2" t="s">
        <v>74</v>
      </c>
      <c r="Q707" s="2" t="s">
        <v>74</v>
      </c>
      <c r="R707" s="2" t="s">
        <v>74</v>
      </c>
      <c r="S707" s="2" t="s">
        <v>74</v>
      </c>
      <c r="T707" s="2" t="s">
        <v>74</v>
      </c>
      <c r="U707" s="2" t="s">
        <v>74</v>
      </c>
      <c r="V707" s="5" t="s">
        <v>5634</v>
      </c>
      <c r="W707" s="2" t="s">
        <v>74</v>
      </c>
      <c r="X707" s="2" t="s">
        <v>74</v>
      </c>
      <c r="Y707" s="2" t="s">
        <v>74</v>
      </c>
      <c r="Z707" s="2" t="s">
        <v>74</v>
      </c>
      <c r="AA707" s="2" t="s">
        <v>74</v>
      </c>
      <c r="AB707" s="2" t="s">
        <v>5635</v>
      </c>
      <c r="AC707" s="2" t="s">
        <v>74</v>
      </c>
      <c r="AD707" s="2" t="s">
        <v>74</v>
      </c>
      <c r="AE707" s="2" t="s">
        <v>74</v>
      </c>
      <c r="AF707" s="2" t="s">
        <v>74</v>
      </c>
      <c r="AG707" s="2" t="s">
        <v>74</v>
      </c>
      <c r="AH707" s="2" t="s">
        <v>74</v>
      </c>
      <c r="AI707" s="2" t="s">
        <v>74</v>
      </c>
      <c r="AJ707" s="2" t="s">
        <v>74</v>
      </c>
      <c r="AK707" s="2" t="s">
        <v>74</v>
      </c>
      <c r="AL707" s="2" t="s">
        <v>74</v>
      </c>
      <c r="AM707" s="2" t="s">
        <v>74</v>
      </c>
      <c r="AN707" s="2" t="s">
        <v>74</v>
      </c>
      <c r="AO707" s="2" t="s">
        <v>1551</v>
      </c>
      <c r="AP707" s="2" t="s">
        <v>74</v>
      </c>
      <c r="AQ707" s="2" t="s">
        <v>74</v>
      </c>
      <c r="AR707" s="2" t="s">
        <v>74</v>
      </c>
      <c r="AS707" s="2" t="s">
        <v>74</v>
      </c>
      <c r="AT707" s="2" t="s">
        <v>102</v>
      </c>
      <c r="AU707" s="2">
        <v>2012</v>
      </c>
      <c r="AV707" s="2">
        <v>37</v>
      </c>
      <c r="AW707" s="2">
        <v>2</v>
      </c>
      <c r="AX707" s="2" t="s">
        <v>74</v>
      </c>
      <c r="AY707" s="2" t="s">
        <v>74</v>
      </c>
      <c r="AZ707" s="2" t="s">
        <v>74</v>
      </c>
      <c r="BA707" s="2" t="s">
        <v>74</v>
      </c>
      <c r="BB707" s="2">
        <v>109</v>
      </c>
      <c r="BC707" s="2">
        <v>118</v>
      </c>
      <c r="BD707" s="2" t="s">
        <v>74</v>
      </c>
      <c r="BE707" s="2" t="s">
        <v>5636</v>
      </c>
      <c r="BF707" s="2" t="str">
        <f>HYPERLINK("http://dx.doi.org/10.1111/j.1365-3032.2011.00812.x","http://dx.doi.org/10.1111/j.1365-3032.2011.00812.x")</f>
        <v>http://dx.doi.org/10.1111/j.1365-3032.2011.00812.x</v>
      </c>
      <c r="BG707" s="2" t="s">
        <v>74</v>
      </c>
      <c r="BH707" s="2" t="s">
        <v>74</v>
      </c>
      <c r="BI707" s="2" t="s">
        <v>74</v>
      </c>
      <c r="BJ707" s="2" t="s">
        <v>74</v>
      </c>
      <c r="BK707" s="2" t="s">
        <v>74</v>
      </c>
      <c r="BL707" s="2" t="s">
        <v>74</v>
      </c>
      <c r="BM707" s="2" t="s">
        <v>74</v>
      </c>
      <c r="BN707" s="2" t="s">
        <v>74</v>
      </c>
      <c r="BO707" s="2" t="s">
        <v>74</v>
      </c>
      <c r="BP707" s="2" t="s">
        <v>74</v>
      </c>
      <c r="BQ707" s="2" t="s">
        <v>74</v>
      </c>
      <c r="BR707" s="2" t="s">
        <v>74</v>
      </c>
      <c r="BS707" s="2" t="s">
        <v>5637</v>
      </c>
      <c r="BT707" s="2" t="str">
        <f>HYPERLINK("https%3A%2F%2Fwww.webofscience.com%2Fwos%2Fwoscc%2Ffull-record%2FWOS:000304091500002","View Full Record in Web of Science")</f>
        <v>View Full Record in Web of Science</v>
      </c>
    </row>
    <row r="708" spans="1:72" s="2" customFormat="1" x14ac:dyDescent="0.4">
      <c r="A708" s="2" t="s">
        <v>72</v>
      </c>
      <c r="B708" s="2" t="s">
        <v>1102</v>
      </c>
      <c r="C708" s="2" t="s">
        <v>74</v>
      </c>
      <c r="D708" s="2" t="s">
        <v>74</v>
      </c>
      <c r="E708" s="2" t="s">
        <v>74</v>
      </c>
      <c r="F708" s="2" t="s">
        <v>1103</v>
      </c>
      <c r="G708" s="2" t="s">
        <v>74</v>
      </c>
      <c r="H708" s="2" t="s">
        <v>74</v>
      </c>
      <c r="I708" s="2" t="s">
        <v>1104</v>
      </c>
      <c r="J708" s="2" t="s">
        <v>1044</v>
      </c>
      <c r="K708" s="2" t="s">
        <v>74</v>
      </c>
      <c r="L708" s="2" t="s">
        <v>74</v>
      </c>
      <c r="M708" s="2" t="s">
        <v>74</v>
      </c>
      <c r="N708" s="2" t="s">
        <v>74</v>
      </c>
      <c r="O708" s="2" t="s">
        <v>74</v>
      </c>
      <c r="P708" s="2" t="s">
        <v>74</v>
      </c>
      <c r="Q708" s="2" t="s">
        <v>74</v>
      </c>
      <c r="R708" s="2" t="s">
        <v>74</v>
      </c>
      <c r="S708" s="2" t="s">
        <v>74</v>
      </c>
      <c r="T708" s="2" t="s">
        <v>74</v>
      </c>
      <c r="U708" s="2" t="s">
        <v>74</v>
      </c>
      <c r="V708" s="5" t="s">
        <v>1105</v>
      </c>
      <c r="W708" s="2" t="s">
        <v>74</v>
      </c>
      <c r="X708" s="2" t="s">
        <v>74</v>
      </c>
      <c r="Y708" s="2" t="s">
        <v>74</v>
      </c>
      <c r="Z708" s="2" t="s">
        <v>74</v>
      </c>
      <c r="AA708" s="2" t="s">
        <v>1106</v>
      </c>
      <c r="AB708" s="2" t="s">
        <v>1107</v>
      </c>
      <c r="AC708" s="2" t="s">
        <v>74</v>
      </c>
      <c r="AD708" s="2" t="s">
        <v>74</v>
      </c>
      <c r="AE708" s="2" t="s">
        <v>74</v>
      </c>
      <c r="AF708" s="2" t="s">
        <v>74</v>
      </c>
      <c r="AG708" s="2" t="s">
        <v>74</v>
      </c>
      <c r="AH708" s="2" t="s">
        <v>74</v>
      </c>
      <c r="AI708" s="2" t="s">
        <v>74</v>
      </c>
      <c r="AJ708" s="2" t="s">
        <v>74</v>
      </c>
      <c r="AK708" s="2" t="s">
        <v>74</v>
      </c>
      <c r="AL708" s="2" t="s">
        <v>74</v>
      </c>
      <c r="AM708" s="2" t="s">
        <v>74</v>
      </c>
      <c r="AN708" s="2" t="s">
        <v>74</v>
      </c>
      <c r="AO708" s="2" t="s">
        <v>1048</v>
      </c>
      <c r="AP708" s="2" t="s">
        <v>74</v>
      </c>
      <c r="AQ708" s="2" t="s">
        <v>74</v>
      </c>
      <c r="AR708" s="2" t="s">
        <v>74</v>
      </c>
      <c r="AS708" s="2" t="s">
        <v>74</v>
      </c>
      <c r="AT708" s="2" t="s">
        <v>145</v>
      </c>
      <c r="AU708" s="2">
        <v>2010</v>
      </c>
      <c r="AV708" s="2">
        <v>19</v>
      </c>
      <c r="AW708" s="2">
        <v>16</v>
      </c>
      <c r="AX708" s="2" t="s">
        <v>74</v>
      </c>
      <c r="AY708" s="2" t="s">
        <v>74</v>
      </c>
      <c r="AZ708" s="2" t="s">
        <v>74</v>
      </c>
      <c r="BA708" s="2" t="s">
        <v>74</v>
      </c>
      <c r="BB708" s="2">
        <v>3285</v>
      </c>
      <c r="BC708" s="2">
        <v>3300</v>
      </c>
      <c r="BD708" s="2" t="s">
        <v>74</v>
      </c>
      <c r="BE708" s="2" t="s">
        <v>1108</v>
      </c>
      <c r="BF708" s="2" t="str">
        <f>HYPERLINK("http://dx.doi.org/10.1111/j.1365-294X.2010.04751.x","http://dx.doi.org/10.1111/j.1365-294X.2010.04751.x")</f>
        <v>http://dx.doi.org/10.1111/j.1365-294X.2010.04751.x</v>
      </c>
      <c r="BG708" s="2" t="s">
        <v>74</v>
      </c>
      <c r="BH708" s="2" t="s">
        <v>74</v>
      </c>
      <c r="BI708" s="2" t="s">
        <v>74</v>
      </c>
      <c r="BJ708" s="2" t="s">
        <v>74</v>
      </c>
      <c r="BK708" s="2" t="s">
        <v>74</v>
      </c>
      <c r="BL708" s="2" t="s">
        <v>74</v>
      </c>
      <c r="BM708" s="2" t="s">
        <v>74</v>
      </c>
      <c r="BN708" s="2">
        <v>20659245</v>
      </c>
      <c r="BO708" s="2" t="s">
        <v>74</v>
      </c>
      <c r="BP708" s="2" t="s">
        <v>74</v>
      </c>
      <c r="BQ708" s="2" t="s">
        <v>74</v>
      </c>
      <c r="BR708" s="2" t="s">
        <v>74</v>
      </c>
      <c r="BS708" s="2" t="s">
        <v>1109</v>
      </c>
      <c r="BT708" s="2" t="str">
        <f>HYPERLINK("https%3A%2F%2Fwww.webofscience.com%2Fwos%2Fwoscc%2Ffull-record%2FWOS:000208393200001","View Full Record in Web of Science")</f>
        <v>View Full Record in Web of Science</v>
      </c>
    </row>
    <row r="709" spans="1:72" s="2" customFormat="1" x14ac:dyDescent="0.4">
      <c r="A709" s="2" t="s">
        <v>72</v>
      </c>
      <c r="B709" s="2" t="s">
        <v>3448</v>
      </c>
      <c r="C709" s="2" t="s">
        <v>74</v>
      </c>
      <c r="D709" s="2" t="s">
        <v>74</v>
      </c>
      <c r="E709" s="2" t="s">
        <v>74</v>
      </c>
      <c r="F709" s="2" t="s">
        <v>3449</v>
      </c>
      <c r="G709" s="2" t="s">
        <v>74</v>
      </c>
      <c r="H709" s="2" t="s">
        <v>74</v>
      </c>
      <c r="I709" s="2" t="s">
        <v>3450</v>
      </c>
      <c r="J709" s="2" t="s">
        <v>3451</v>
      </c>
      <c r="K709" s="2" t="s">
        <v>74</v>
      </c>
      <c r="L709" s="2" t="s">
        <v>74</v>
      </c>
      <c r="M709" s="2" t="s">
        <v>74</v>
      </c>
      <c r="N709" s="2" t="s">
        <v>74</v>
      </c>
      <c r="O709" s="2" t="s">
        <v>74</v>
      </c>
      <c r="P709" s="2" t="s">
        <v>74</v>
      </c>
      <c r="Q709" s="2" t="s">
        <v>74</v>
      </c>
      <c r="R709" s="2" t="s">
        <v>74</v>
      </c>
      <c r="S709" s="2" t="s">
        <v>74</v>
      </c>
      <c r="T709" s="2" t="s">
        <v>74</v>
      </c>
      <c r="U709" s="2" t="s">
        <v>74</v>
      </c>
      <c r="V709" s="5" t="s">
        <v>3452</v>
      </c>
      <c r="W709" s="2" t="s">
        <v>74</v>
      </c>
      <c r="X709" s="2" t="s">
        <v>74</v>
      </c>
      <c r="Y709" s="2" t="s">
        <v>74</v>
      </c>
      <c r="Z709" s="2" t="s">
        <v>74</v>
      </c>
      <c r="AA709" s="2" t="s">
        <v>3453</v>
      </c>
      <c r="AB709" s="2" t="s">
        <v>1610</v>
      </c>
      <c r="AC709" s="2" t="s">
        <v>74</v>
      </c>
      <c r="AD709" s="2" t="s">
        <v>74</v>
      </c>
      <c r="AE709" s="2" t="s">
        <v>74</v>
      </c>
      <c r="AF709" s="2" t="s">
        <v>74</v>
      </c>
      <c r="AG709" s="2" t="s">
        <v>74</v>
      </c>
      <c r="AH709" s="2" t="s">
        <v>74</v>
      </c>
      <c r="AI709" s="2" t="s">
        <v>74</v>
      </c>
      <c r="AJ709" s="2" t="s">
        <v>74</v>
      </c>
      <c r="AK709" s="2" t="s">
        <v>74</v>
      </c>
      <c r="AL709" s="2" t="s">
        <v>74</v>
      </c>
      <c r="AM709" s="2" t="s">
        <v>74</v>
      </c>
      <c r="AN709" s="2" t="s">
        <v>74</v>
      </c>
      <c r="AO709" s="2" t="s">
        <v>3454</v>
      </c>
      <c r="AP709" s="2" t="s">
        <v>74</v>
      </c>
      <c r="AQ709" s="2" t="s">
        <v>74</v>
      </c>
      <c r="AR709" s="2" t="s">
        <v>74</v>
      </c>
      <c r="AS709" s="2" t="s">
        <v>74</v>
      </c>
      <c r="AT709" s="2" t="s">
        <v>213</v>
      </c>
      <c r="AU709" s="2">
        <v>2010</v>
      </c>
      <c r="AV709" s="2">
        <v>81</v>
      </c>
      <c r="AW709" s="2">
        <v>3</v>
      </c>
      <c r="AX709" s="2" t="s">
        <v>74</v>
      </c>
      <c r="AY709" s="2" t="s">
        <v>74</v>
      </c>
      <c r="AZ709" s="2" t="s">
        <v>74</v>
      </c>
      <c r="BA709" s="2" t="s">
        <v>74</v>
      </c>
      <c r="BB709" s="2">
        <v>247</v>
      </c>
      <c r="BC709" s="2">
        <v>250</v>
      </c>
      <c r="BD709" s="2" t="s">
        <v>3455</v>
      </c>
      <c r="BE709" s="2" t="s">
        <v>3456</v>
      </c>
      <c r="BF709" s="2" t="str">
        <f>HYPERLINK("http://dx.doi.org/10.2989/00306525.2010.519864","http://dx.doi.org/10.2989/00306525.2010.519864")</f>
        <v>http://dx.doi.org/10.2989/00306525.2010.519864</v>
      </c>
      <c r="BG709" s="2" t="s">
        <v>74</v>
      </c>
      <c r="BH709" s="2" t="s">
        <v>74</v>
      </c>
      <c r="BI709" s="2" t="s">
        <v>74</v>
      </c>
      <c r="BJ709" s="2" t="s">
        <v>74</v>
      </c>
      <c r="BK709" s="2" t="s">
        <v>74</v>
      </c>
      <c r="BL709" s="2" t="s">
        <v>74</v>
      </c>
      <c r="BM709" s="2" t="s">
        <v>74</v>
      </c>
      <c r="BN709" s="2" t="s">
        <v>74</v>
      </c>
      <c r="BO709" s="2" t="s">
        <v>74</v>
      </c>
      <c r="BP709" s="2" t="s">
        <v>74</v>
      </c>
      <c r="BQ709" s="2" t="s">
        <v>74</v>
      </c>
      <c r="BR709" s="2" t="s">
        <v>74</v>
      </c>
      <c r="BS709" s="2" t="s">
        <v>3457</v>
      </c>
      <c r="BT709" s="2" t="str">
        <f>HYPERLINK("https%3A%2F%2Fwww.webofscience.com%2Fwos%2Fwoscc%2Ffull-record%2FWOS:000284229300012","View Full Record in Web of Science")</f>
        <v>View Full Record in Web of Science</v>
      </c>
    </row>
    <row r="710" spans="1:72" s="2" customFormat="1" x14ac:dyDescent="0.4">
      <c r="A710" s="2" t="s">
        <v>72</v>
      </c>
      <c r="B710" s="2" t="s">
        <v>2121</v>
      </c>
      <c r="C710" s="2" t="s">
        <v>74</v>
      </c>
      <c r="D710" s="2" t="s">
        <v>74</v>
      </c>
      <c r="E710" s="2" t="s">
        <v>74</v>
      </c>
      <c r="F710" s="2" t="s">
        <v>2121</v>
      </c>
      <c r="G710" s="2" t="s">
        <v>74</v>
      </c>
      <c r="H710" s="2" t="s">
        <v>74</v>
      </c>
      <c r="I710" s="2" t="s">
        <v>2122</v>
      </c>
      <c r="J710" s="2" t="s">
        <v>77</v>
      </c>
      <c r="K710" s="2" t="s">
        <v>74</v>
      </c>
      <c r="L710" s="2" t="s">
        <v>74</v>
      </c>
      <c r="M710" s="2" t="s">
        <v>74</v>
      </c>
      <c r="N710" s="2" t="s">
        <v>74</v>
      </c>
      <c r="O710" s="2" t="s">
        <v>74</v>
      </c>
      <c r="P710" s="2" t="s">
        <v>74</v>
      </c>
      <c r="Q710" s="2" t="s">
        <v>74</v>
      </c>
      <c r="R710" s="2" t="s">
        <v>74</v>
      </c>
      <c r="S710" s="2" t="s">
        <v>74</v>
      </c>
      <c r="T710" s="2" t="s">
        <v>74</v>
      </c>
      <c r="U710" s="2" t="s">
        <v>74</v>
      </c>
      <c r="V710" s="5" t="s">
        <v>2123</v>
      </c>
      <c r="W710" s="2" t="s">
        <v>74</v>
      </c>
      <c r="X710" s="2" t="s">
        <v>74</v>
      </c>
      <c r="Y710" s="2" t="s">
        <v>74</v>
      </c>
      <c r="Z710" s="2" t="s">
        <v>74</v>
      </c>
      <c r="AA710" s="2" t="s">
        <v>2124</v>
      </c>
      <c r="AB710" s="2" t="s">
        <v>2125</v>
      </c>
      <c r="AC710" s="2" t="s">
        <v>74</v>
      </c>
      <c r="AD710" s="2" t="s">
        <v>74</v>
      </c>
      <c r="AE710" s="2" t="s">
        <v>74</v>
      </c>
      <c r="AF710" s="2" t="s">
        <v>74</v>
      </c>
      <c r="AG710" s="2" t="s">
        <v>74</v>
      </c>
      <c r="AH710" s="2" t="s">
        <v>74</v>
      </c>
      <c r="AI710" s="2" t="s">
        <v>74</v>
      </c>
      <c r="AJ710" s="2" t="s">
        <v>74</v>
      </c>
      <c r="AK710" s="2" t="s">
        <v>74</v>
      </c>
      <c r="AL710" s="2" t="s">
        <v>74</v>
      </c>
      <c r="AM710" s="2" t="s">
        <v>74</v>
      </c>
      <c r="AN710" s="2" t="s">
        <v>74</v>
      </c>
      <c r="AO710" s="2" t="s">
        <v>81</v>
      </c>
      <c r="AP710" s="2" t="s">
        <v>74</v>
      </c>
      <c r="AQ710" s="2" t="s">
        <v>74</v>
      </c>
      <c r="AR710" s="2" t="s">
        <v>74</v>
      </c>
      <c r="AS710" s="2" t="s">
        <v>74</v>
      </c>
      <c r="AT710" s="2" t="s">
        <v>352</v>
      </c>
      <c r="AU710" s="2">
        <v>1991</v>
      </c>
      <c r="AV710" s="2">
        <v>118</v>
      </c>
      <c r="AW710" s="2" t="s">
        <v>74</v>
      </c>
      <c r="AX710" s="2" t="s">
        <v>1276</v>
      </c>
      <c r="AY710" s="2" t="s">
        <v>74</v>
      </c>
      <c r="AZ710" s="2" t="s">
        <v>74</v>
      </c>
      <c r="BA710" s="2" t="s">
        <v>74</v>
      </c>
      <c r="BB710" s="2">
        <v>214</v>
      </c>
      <c r="BC710" s="2">
        <v>234</v>
      </c>
      <c r="BD710" s="2" t="s">
        <v>74</v>
      </c>
      <c r="BE710" s="2" t="s">
        <v>2126</v>
      </c>
      <c r="BF710" s="2" t="str">
        <f>HYPERLINK("http://dx.doi.org/10.1163/156853991X00292","http://dx.doi.org/10.1163/156853991X00292")</f>
        <v>http://dx.doi.org/10.1163/156853991X00292</v>
      </c>
      <c r="BG710" s="2" t="s">
        <v>74</v>
      </c>
      <c r="BH710" s="2" t="s">
        <v>74</v>
      </c>
      <c r="BI710" s="2" t="s">
        <v>74</v>
      </c>
      <c r="BJ710" s="2" t="s">
        <v>74</v>
      </c>
      <c r="BK710" s="2" t="s">
        <v>74</v>
      </c>
      <c r="BL710" s="2" t="s">
        <v>74</v>
      </c>
      <c r="BM710" s="2" t="s">
        <v>74</v>
      </c>
      <c r="BN710" s="2" t="s">
        <v>74</v>
      </c>
      <c r="BO710" s="2" t="s">
        <v>74</v>
      </c>
      <c r="BP710" s="2" t="s">
        <v>74</v>
      </c>
      <c r="BQ710" s="2" t="s">
        <v>74</v>
      </c>
      <c r="BR710" s="2" t="s">
        <v>74</v>
      </c>
      <c r="BS710" s="2" t="s">
        <v>2127</v>
      </c>
      <c r="BT710" s="2" t="str">
        <f>HYPERLINK("https%3A%2F%2Fwww.webofscience.com%2Fwos%2Fwoscc%2Ffull-record%2FWOS:A1991GT42800004","View Full Record in Web of Science")</f>
        <v>View Full Record in Web of Science</v>
      </c>
    </row>
    <row r="711" spans="1:72" s="2" customFormat="1" x14ac:dyDescent="0.4">
      <c r="A711" s="2" t="s">
        <v>72</v>
      </c>
      <c r="B711" s="2" t="s">
        <v>7943</v>
      </c>
      <c r="C711" s="2" t="s">
        <v>74</v>
      </c>
      <c r="D711" s="2" t="s">
        <v>74</v>
      </c>
      <c r="E711" s="2" t="s">
        <v>74</v>
      </c>
      <c r="F711" s="2" t="s">
        <v>7943</v>
      </c>
      <c r="G711" s="2" t="s">
        <v>74</v>
      </c>
      <c r="H711" s="2" t="s">
        <v>74</v>
      </c>
      <c r="I711" s="2" t="s">
        <v>7944</v>
      </c>
      <c r="J711" s="2" t="s">
        <v>5065</v>
      </c>
      <c r="K711" s="2" t="s">
        <v>74</v>
      </c>
      <c r="L711" s="2" t="s">
        <v>74</v>
      </c>
      <c r="M711" s="2" t="s">
        <v>74</v>
      </c>
      <c r="N711" s="2" t="s">
        <v>74</v>
      </c>
      <c r="O711" s="2" t="s">
        <v>7945</v>
      </c>
      <c r="P711" s="2" t="s">
        <v>7946</v>
      </c>
      <c r="Q711" s="2" t="s">
        <v>7947</v>
      </c>
      <c r="R711" s="2" t="s">
        <v>7948</v>
      </c>
      <c r="S711" s="2" t="s">
        <v>7949</v>
      </c>
      <c r="T711" s="2" t="s">
        <v>74</v>
      </c>
      <c r="U711" s="2" t="s">
        <v>74</v>
      </c>
      <c r="V711" s="5" t="s">
        <v>7950</v>
      </c>
      <c r="W711" s="2" t="s">
        <v>74</v>
      </c>
      <c r="X711" s="2" t="s">
        <v>74</v>
      </c>
      <c r="Y711" s="2" t="s">
        <v>74</v>
      </c>
      <c r="Z711" s="2" t="s">
        <v>74</v>
      </c>
      <c r="AA711" s="2" t="s">
        <v>2124</v>
      </c>
      <c r="AB711" s="2" t="s">
        <v>74</v>
      </c>
      <c r="AC711" s="2" t="s">
        <v>74</v>
      </c>
      <c r="AD711" s="2" t="s">
        <v>74</v>
      </c>
      <c r="AE711" s="2" t="s">
        <v>74</v>
      </c>
      <c r="AF711" s="2" t="s">
        <v>74</v>
      </c>
      <c r="AG711" s="2" t="s">
        <v>74</v>
      </c>
      <c r="AH711" s="2" t="s">
        <v>74</v>
      </c>
      <c r="AI711" s="2" t="s">
        <v>74</v>
      </c>
      <c r="AJ711" s="2" t="s">
        <v>74</v>
      </c>
      <c r="AK711" s="2" t="s">
        <v>74</v>
      </c>
      <c r="AL711" s="2" t="s">
        <v>74</v>
      </c>
      <c r="AM711" s="2" t="s">
        <v>74</v>
      </c>
      <c r="AN711" s="2" t="s">
        <v>74</v>
      </c>
      <c r="AO711" s="2" t="s">
        <v>5068</v>
      </c>
      <c r="AP711" s="2" t="s">
        <v>74</v>
      </c>
      <c r="AQ711" s="2" t="s">
        <v>74</v>
      </c>
      <c r="AR711" s="2" t="s">
        <v>74</v>
      </c>
      <c r="AS711" s="2" t="s">
        <v>74</v>
      </c>
      <c r="AT711" s="2" t="s">
        <v>74</v>
      </c>
      <c r="AU711" s="2">
        <v>1993</v>
      </c>
      <c r="AV711" s="2">
        <v>23</v>
      </c>
      <c r="AW711" s="2" t="s">
        <v>3743</v>
      </c>
      <c r="AX711" s="2" t="s">
        <v>74</v>
      </c>
      <c r="AY711" s="2" t="s">
        <v>74</v>
      </c>
      <c r="AZ711" s="2" t="s">
        <v>74</v>
      </c>
      <c r="BA711" s="2" t="s">
        <v>74</v>
      </c>
      <c r="BB711" s="2">
        <v>29</v>
      </c>
      <c r="BC711" s="2">
        <v>44</v>
      </c>
      <c r="BD711" s="2" t="s">
        <v>74</v>
      </c>
      <c r="BE711" s="2" t="s">
        <v>7951</v>
      </c>
      <c r="BF711" s="2" t="str">
        <f>HYPERLINK("http://dx.doi.org/10.1080/10236249309378855","http://dx.doi.org/10.1080/10236249309378855")</f>
        <v>http://dx.doi.org/10.1080/10236249309378855</v>
      </c>
      <c r="BG711" s="2" t="s">
        <v>74</v>
      </c>
      <c r="BH711" s="2" t="s">
        <v>74</v>
      </c>
      <c r="BI711" s="2" t="s">
        <v>74</v>
      </c>
      <c r="BJ711" s="2" t="s">
        <v>74</v>
      </c>
      <c r="BK711" s="2" t="s">
        <v>74</v>
      </c>
      <c r="BL711" s="2" t="s">
        <v>74</v>
      </c>
      <c r="BM711" s="2" t="s">
        <v>74</v>
      </c>
      <c r="BN711" s="2" t="s">
        <v>74</v>
      </c>
      <c r="BO711" s="2" t="s">
        <v>74</v>
      </c>
      <c r="BP711" s="2" t="s">
        <v>74</v>
      </c>
      <c r="BQ711" s="2" t="s">
        <v>74</v>
      </c>
      <c r="BR711" s="2" t="s">
        <v>74</v>
      </c>
      <c r="BS711" s="2" t="s">
        <v>7952</v>
      </c>
      <c r="BT711" s="2" t="str">
        <f>HYPERLINK("https%3A%2F%2Fwww.webofscience.com%2Fwos%2Fwoscc%2Ffull-record%2FWOS:A1993MN22500006","View Full Record in Web of Science")</f>
        <v>View Full Record in Web of Science</v>
      </c>
    </row>
    <row r="712" spans="1:72" s="2" customFormat="1" x14ac:dyDescent="0.4">
      <c r="A712" s="2" t="s">
        <v>72</v>
      </c>
      <c r="B712" s="2" t="s">
        <v>7220</v>
      </c>
      <c r="C712" s="2" t="s">
        <v>74</v>
      </c>
      <c r="D712" s="2" t="s">
        <v>74</v>
      </c>
      <c r="E712" s="2" t="s">
        <v>74</v>
      </c>
      <c r="F712" s="2" t="s">
        <v>7221</v>
      </c>
      <c r="G712" s="2" t="s">
        <v>74</v>
      </c>
      <c r="H712" s="2" t="s">
        <v>74</v>
      </c>
      <c r="I712" s="2" t="s">
        <v>7222</v>
      </c>
      <c r="J712" s="2" t="s">
        <v>1656</v>
      </c>
      <c r="K712" s="2" t="s">
        <v>74</v>
      </c>
      <c r="L712" s="2" t="s">
        <v>74</v>
      </c>
      <c r="M712" s="2" t="s">
        <v>74</v>
      </c>
      <c r="N712" s="2" t="s">
        <v>74</v>
      </c>
      <c r="O712" s="2" t="s">
        <v>74</v>
      </c>
      <c r="P712" s="2" t="s">
        <v>74</v>
      </c>
      <c r="Q712" s="2" t="s">
        <v>74</v>
      </c>
      <c r="R712" s="2" t="s">
        <v>74</v>
      </c>
      <c r="S712" s="2" t="s">
        <v>74</v>
      </c>
      <c r="T712" s="2" t="s">
        <v>74</v>
      </c>
      <c r="U712" s="2" t="s">
        <v>74</v>
      </c>
      <c r="V712" s="5" t="s">
        <v>7223</v>
      </c>
      <c r="W712" s="2" t="s">
        <v>74</v>
      </c>
      <c r="X712" s="2" t="s">
        <v>74</v>
      </c>
      <c r="Y712" s="2" t="s">
        <v>74</v>
      </c>
      <c r="Z712" s="2" t="s">
        <v>74</v>
      </c>
      <c r="AA712" s="2" t="s">
        <v>7224</v>
      </c>
      <c r="AB712" s="2" t="s">
        <v>7225</v>
      </c>
      <c r="AC712" s="2" t="s">
        <v>74</v>
      </c>
      <c r="AD712" s="2" t="s">
        <v>74</v>
      </c>
      <c r="AE712" s="2" t="s">
        <v>74</v>
      </c>
      <c r="AF712" s="2" t="s">
        <v>74</v>
      </c>
      <c r="AG712" s="2" t="s">
        <v>74</v>
      </c>
      <c r="AH712" s="2" t="s">
        <v>74</v>
      </c>
      <c r="AI712" s="2" t="s">
        <v>74</v>
      </c>
      <c r="AJ712" s="2" t="s">
        <v>74</v>
      </c>
      <c r="AK712" s="2" t="s">
        <v>74</v>
      </c>
      <c r="AL712" s="2" t="s">
        <v>74</v>
      </c>
      <c r="AM712" s="2" t="s">
        <v>74</v>
      </c>
      <c r="AN712" s="2" t="s">
        <v>74</v>
      </c>
      <c r="AO712" s="2" t="s">
        <v>1658</v>
      </c>
      <c r="AP712" s="2" t="s">
        <v>1659</v>
      </c>
      <c r="AQ712" s="2" t="s">
        <v>74</v>
      </c>
      <c r="AR712" s="2" t="s">
        <v>74</v>
      </c>
      <c r="AS712" s="2" t="s">
        <v>74</v>
      </c>
      <c r="AT712" s="2" t="s">
        <v>2492</v>
      </c>
      <c r="AU712" s="2">
        <v>2021</v>
      </c>
      <c r="AV712" s="2">
        <v>5072</v>
      </c>
      <c r="AW712" s="2">
        <v>3</v>
      </c>
      <c r="AX712" s="2" t="s">
        <v>74</v>
      </c>
      <c r="AY712" s="2" t="s">
        <v>74</v>
      </c>
      <c r="AZ712" s="2" t="s">
        <v>74</v>
      </c>
      <c r="BA712" s="2" t="s">
        <v>74</v>
      </c>
      <c r="BB712" s="2">
        <v>201</v>
      </c>
      <c r="BC712" s="2">
        <v>237</v>
      </c>
      <c r="BD712" s="2" t="s">
        <v>74</v>
      </c>
      <c r="BE712" s="2" t="s">
        <v>7226</v>
      </c>
      <c r="BF712" s="2" t="str">
        <f>HYPERLINK("http://dx.doi.org/10.11646/zootaxa.5072.3.1","http://dx.doi.org/10.11646/zootaxa.5072.3.1")</f>
        <v>http://dx.doi.org/10.11646/zootaxa.5072.3.1</v>
      </c>
      <c r="BG712" s="2" t="s">
        <v>74</v>
      </c>
      <c r="BH712" s="2" t="s">
        <v>74</v>
      </c>
      <c r="BI712" s="2" t="s">
        <v>74</v>
      </c>
      <c r="BJ712" s="2" t="s">
        <v>74</v>
      </c>
      <c r="BK712" s="2" t="s">
        <v>74</v>
      </c>
      <c r="BL712" s="2" t="s">
        <v>74</v>
      </c>
      <c r="BM712" s="2" t="s">
        <v>74</v>
      </c>
      <c r="BN712" s="2">
        <v>35390870</v>
      </c>
      <c r="BO712" s="2" t="s">
        <v>74</v>
      </c>
      <c r="BP712" s="2" t="s">
        <v>74</v>
      </c>
      <c r="BQ712" s="2" t="s">
        <v>74</v>
      </c>
      <c r="BR712" s="2" t="s">
        <v>74</v>
      </c>
      <c r="BS712" s="2" t="s">
        <v>7227</v>
      </c>
      <c r="BT712" s="2" t="str">
        <f>HYPERLINK("https%3A%2F%2Fwww.webofscience.com%2Fwos%2Fwoscc%2Ffull-record%2FWOS:000725866700001","View Full Record in Web of Science")</f>
        <v>View Full Record in Web of Science</v>
      </c>
    </row>
    <row r="713" spans="1:72" s="2" customFormat="1" x14ac:dyDescent="0.4">
      <c r="A713" s="2" t="s">
        <v>72</v>
      </c>
      <c r="B713" s="2" t="s">
        <v>4548</v>
      </c>
      <c r="C713" s="2" t="s">
        <v>74</v>
      </c>
      <c r="D713" s="2" t="s">
        <v>74</v>
      </c>
      <c r="E713" s="2" t="s">
        <v>74</v>
      </c>
      <c r="F713" s="2" t="s">
        <v>4549</v>
      </c>
      <c r="G713" s="2" t="s">
        <v>74</v>
      </c>
      <c r="H713" s="2" t="s">
        <v>74</v>
      </c>
      <c r="I713" s="2" t="s">
        <v>4550</v>
      </c>
      <c r="J713" s="2" t="s">
        <v>4551</v>
      </c>
      <c r="K713" s="2" t="s">
        <v>74</v>
      </c>
      <c r="L713" s="2" t="s">
        <v>74</v>
      </c>
      <c r="M713" s="2" t="s">
        <v>74</v>
      </c>
      <c r="N713" s="2" t="s">
        <v>74</v>
      </c>
      <c r="O713" s="2" t="s">
        <v>74</v>
      </c>
      <c r="P713" s="2" t="s">
        <v>74</v>
      </c>
      <c r="Q713" s="2" t="s">
        <v>74</v>
      </c>
      <c r="R713" s="2" t="s">
        <v>74</v>
      </c>
      <c r="S713" s="2" t="s">
        <v>74</v>
      </c>
      <c r="T713" s="2" t="s">
        <v>74</v>
      </c>
      <c r="U713" s="2" t="s">
        <v>74</v>
      </c>
      <c r="V713" s="5" t="s">
        <v>4552</v>
      </c>
      <c r="W713" s="2" t="s">
        <v>74</v>
      </c>
      <c r="X713" s="2" t="s">
        <v>74</v>
      </c>
      <c r="Y713" s="2" t="s">
        <v>74</v>
      </c>
      <c r="Z713" s="2" t="s">
        <v>74</v>
      </c>
      <c r="AA713" s="2" t="s">
        <v>4553</v>
      </c>
      <c r="AB713" s="2" t="s">
        <v>4554</v>
      </c>
      <c r="AC713" s="2" t="s">
        <v>74</v>
      </c>
      <c r="AD713" s="2" t="s">
        <v>74</v>
      </c>
      <c r="AE713" s="2" t="s">
        <v>74</v>
      </c>
      <c r="AF713" s="2" t="s">
        <v>74</v>
      </c>
      <c r="AG713" s="2" t="s">
        <v>74</v>
      </c>
      <c r="AH713" s="2" t="s">
        <v>74</v>
      </c>
      <c r="AI713" s="2" t="s">
        <v>74</v>
      </c>
      <c r="AJ713" s="2" t="s">
        <v>74</v>
      </c>
      <c r="AK713" s="2" t="s">
        <v>74</v>
      </c>
      <c r="AL713" s="2" t="s">
        <v>74</v>
      </c>
      <c r="AM713" s="2" t="s">
        <v>74</v>
      </c>
      <c r="AN713" s="2" t="s">
        <v>74</v>
      </c>
      <c r="AO713" s="2" t="s">
        <v>4555</v>
      </c>
      <c r="AP713" s="2" t="s">
        <v>4556</v>
      </c>
      <c r="AQ713" s="2" t="s">
        <v>74</v>
      </c>
      <c r="AR713" s="2" t="s">
        <v>74</v>
      </c>
      <c r="AS713" s="2" t="s">
        <v>74</v>
      </c>
      <c r="AT713" s="2" t="s">
        <v>4557</v>
      </c>
      <c r="AU713" s="2">
        <v>2023</v>
      </c>
      <c r="AV713" s="2">
        <v>577</v>
      </c>
      <c r="AW713" s="2" t="s">
        <v>74</v>
      </c>
      <c r="AX713" s="2" t="s">
        <v>74</v>
      </c>
      <c r="AY713" s="2" t="s">
        <v>74</v>
      </c>
      <c r="AZ713" s="2" t="s">
        <v>74</v>
      </c>
      <c r="BA713" s="2" t="s">
        <v>74</v>
      </c>
      <c r="BB713" s="2" t="s">
        <v>74</v>
      </c>
      <c r="BC713" s="2" t="s">
        <v>74</v>
      </c>
      <c r="BD713" s="2">
        <v>739980</v>
      </c>
      <c r="BE713" s="2" t="s">
        <v>4558</v>
      </c>
      <c r="BF713" s="2" t="str">
        <f>HYPERLINK("http://dx.doi.org/10.1016/j.aquaculture.2023.739980","http://dx.doi.org/10.1016/j.aquaculture.2023.739980")</f>
        <v>http://dx.doi.org/10.1016/j.aquaculture.2023.739980</v>
      </c>
      <c r="BG713" s="2" t="s">
        <v>74</v>
      </c>
      <c r="BH713" s="2" t="s">
        <v>4559</v>
      </c>
      <c r="BI713" s="2" t="s">
        <v>74</v>
      </c>
      <c r="BJ713" s="2" t="s">
        <v>74</v>
      </c>
      <c r="BK713" s="2" t="s">
        <v>74</v>
      </c>
      <c r="BL713" s="2" t="s">
        <v>74</v>
      </c>
      <c r="BM713" s="2" t="s">
        <v>74</v>
      </c>
      <c r="BN713" s="2" t="s">
        <v>74</v>
      </c>
      <c r="BO713" s="2" t="s">
        <v>74</v>
      </c>
      <c r="BP713" s="2" t="s">
        <v>74</v>
      </c>
      <c r="BQ713" s="2" t="s">
        <v>74</v>
      </c>
      <c r="BR713" s="2" t="s">
        <v>74</v>
      </c>
      <c r="BS713" s="2" t="s">
        <v>4560</v>
      </c>
      <c r="BT713" s="2" t="str">
        <f>HYPERLINK("https%3A%2F%2Fwww.webofscience.com%2Fwos%2Fwoscc%2Ffull-record%2FWOS:001065191600001","View Full Record in Web of Science")</f>
        <v>View Full Record in Web of Science</v>
      </c>
    </row>
    <row r="714" spans="1:72" s="2" customFormat="1" x14ac:dyDescent="0.4">
      <c r="A714" s="2" t="s">
        <v>72</v>
      </c>
      <c r="B714" s="2" t="s">
        <v>1346</v>
      </c>
      <c r="C714" s="2" t="s">
        <v>74</v>
      </c>
      <c r="D714" s="2" t="s">
        <v>74</v>
      </c>
      <c r="E714" s="2" t="s">
        <v>74</v>
      </c>
      <c r="F714" s="2" t="s">
        <v>1346</v>
      </c>
      <c r="G714" s="2" t="s">
        <v>74</v>
      </c>
      <c r="H714" s="2" t="s">
        <v>74</v>
      </c>
      <c r="I714" s="2" t="s">
        <v>1347</v>
      </c>
      <c r="J714" s="2" t="s">
        <v>192</v>
      </c>
      <c r="K714" s="2" t="s">
        <v>74</v>
      </c>
      <c r="L714" s="2" t="s">
        <v>74</v>
      </c>
      <c r="M714" s="2" t="s">
        <v>74</v>
      </c>
      <c r="N714" s="2" t="s">
        <v>74</v>
      </c>
      <c r="O714" s="2" t="s">
        <v>74</v>
      </c>
      <c r="P714" s="2" t="s">
        <v>74</v>
      </c>
      <c r="Q714" s="2" t="s">
        <v>74</v>
      </c>
      <c r="R714" s="2" t="s">
        <v>74</v>
      </c>
      <c r="S714" s="2" t="s">
        <v>74</v>
      </c>
      <c r="T714" s="2" t="s">
        <v>74</v>
      </c>
      <c r="U714" s="2" t="s">
        <v>74</v>
      </c>
      <c r="V714" s="5" t="s">
        <v>1348</v>
      </c>
      <c r="W714" s="2" t="s">
        <v>74</v>
      </c>
      <c r="X714" s="2" t="s">
        <v>74</v>
      </c>
      <c r="Y714" s="2" t="s">
        <v>74</v>
      </c>
      <c r="Z714" s="2" t="s">
        <v>74</v>
      </c>
      <c r="AA714" s="2" t="s">
        <v>74</v>
      </c>
      <c r="AB714" s="2" t="s">
        <v>74</v>
      </c>
      <c r="AC714" s="2" t="s">
        <v>74</v>
      </c>
      <c r="AD714" s="2" t="s">
        <v>74</v>
      </c>
      <c r="AE714" s="2" t="s">
        <v>74</v>
      </c>
      <c r="AF714" s="2" t="s">
        <v>74</v>
      </c>
      <c r="AG714" s="2" t="s">
        <v>74</v>
      </c>
      <c r="AH714" s="2" t="s">
        <v>74</v>
      </c>
      <c r="AI714" s="2" t="s">
        <v>74</v>
      </c>
      <c r="AJ714" s="2" t="s">
        <v>74</v>
      </c>
      <c r="AK714" s="2" t="s">
        <v>74</v>
      </c>
      <c r="AL714" s="2" t="s">
        <v>74</v>
      </c>
      <c r="AM714" s="2" t="s">
        <v>74</v>
      </c>
      <c r="AN714" s="2" t="s">
        <v>74</v>
      </c>
      <c r="AO714" s="2" t="s">
        <v>195</v>
      </c>
      <c r="AP714" s="2" t="s">
        <v>196</v>
      </c>
      <c r="AQ714" s="2" t="s">
        <v>74</v>
      </c>
      <c r="AR714" s="2" t="s">
        <v>74</v>
      </c>
      <c r="AS714" s="2" t="s">
        <v>74</v>
      </c>
      <c r="AT714" s="2" t="s">
        <v>1349</v>
      </c>
      <c r="AU714" s="2">
        <v>1996</v>
      </c>
      <c r="AV714" s="2">
        <v>337</v>
      </c>
      <c r="AW714" s="2" t="s">
        <v>1350</v>
      </c>
      <c r="AX714" s="2" t="s">
        <v>74</v>
      </c>
      <c r="AY714" s="2" t="s">
        <v>74</v>
      </c>
      <c r="AZ714" s="2" t="s">
        <v>74</v>
      </c>
      <c r="BA714" s="2" t="s">
        <v>74</v>
      </c>
      <c r="BB714" s="2">
        <v>69</v>
      </c>
      <c r="BC714" s="2">
        <v>76</v>
      </c>
      <c r="BD714" s="2" t="s">
        <v>74</v>
      </c>
      <c r="BE714" s="2" t="s">
        <v>1351</v>
      </c>
      <c r="BF714" s="2" t="str">
        <f>HYPERLINK("http://dx.doi.org/10.1007/BF00028507","http://dx.doi.org/10.1007/BF00028507")</f>
        <v>http://dx.doi.org/10.1007/BF00028507</v>
      </c>
      <c r="BG714" s="2" t="s">
        <v>74</v>
      </c>
      <c r="BH714" s="2" t="s">
        <v>74</v>
      </c>
      <c r="BI714" s="2" t="s">
        <v>74</v>
      </c>
      <c r="BJ714" s="2" t="s">
        <v>74</v>
      </c>
      <c r="BK714" s="2" t="s">
        <v>74</v>
      </c>
      <c r="BL714" s="2" t="s">
        <v>74</v>
      </c>
      <c r="BM714" s="2" t="s">
        <v>74</v>
      </c>
      <c r="BN714" s="2" t="s">
        <v>74</v>
      </c>
      <c r="BO714" s="2" t="s">
        <v>74</v>
      </c>
      <c r="BP714" s="2" t="s">
        <v>74</v>
      </c>
      <c r="BQ714" s="2" t="s">
        <v>74</v>
      </c>
      <c r="BR714" s="2" t="s">
        <v>74</v>
      </c>
      <c r="BS714" s="2" t="s">
        <v>1352</v>
      </c>
      <c r="BT714" s="2" t="str">
        <f>HYPERLINK("https%3A%2F%2Fwww.webofscience.com%2Fwos%2Fwoscc%2Ffull-record%2FWOS:A1996WB14600006","View Full Record in Web of Science")</f>
        <v>View Full Record in Web of Science</v>
      </c>
    </row>
    <row r="715" spans="1:72" s="2" customFormat="1" x14ac:dyDescent="0.4">
      <c r="A715" s="2" t="s">
        <v>72</v>
      </c>
      <c r="B715" s="2" t="s">
        <v>4294</v>
      </c>
      <c r="C715" s="2" t="s">
        <v>74</v>
      </c>
      <c r="D715" s="2" t="s">
        <v>74</v>
      </c>
      <c r="E715" s="2" t="s">
        <v>74</v>
      </c>
      <c r="F715" s="2" t="s">
        <v>4294</v>
      </c>
      <c r="G715" s="2" t="s">
        <v>74</v>
      </c>
      <c r="H715" s="2" t="s">
        <v>74</v>
      </c>
      <c r="I715" s="2" t="s">
        <v>4295</v>
      </c>
      <c r="J715" s="2" t="s">
        <v>140</v>
      </c>
      <c r="K715" s="2" t="s">
        <v>74</v>
      </c>
      <c r="L715" s="2" t="s">
        <v>74</v>
      </c>
      <c r="M715" s="2" t="s">
        <v>74</v>
      </c>
      <c r="N715" s="2" t="s">
        <v>74</v>
      </c>
      <c r="O715" s="2" t="s">
        <v>74</v>
      </c>
      <c r="P715" s="2" t="s">
        <v>74</v>
      </c>
      <c r="Q715" s="2" t="s">
        <v>74</v>
      </c>
      <c r="R715" s="2" t="s">
        <v>74</v>
      </c>
      <c r="S715" s="2" t="s">
        <v>74</v>
      </c>
      <c r="T715" s="2" t="s">
        <v>74</v>
      </c>
      <c r="U715" s="2" t="s">
        <v>74</v>
      </c>
      <c r="V715" s="5" t="s">
        <v>4296</v>
      </c>
      <c r="W715" s="2" t="s">
        <v>74</v>
      </c>
      <c r="X715" s="2" t="s">
        <v>74</v>
      </c>
      <c r="Y715" s="2" t="s">
        <v>74</v>
      </c>
      <c r="Z715" s="2" t="s">
        <v>74</v>
      </c>
      <c r="AA715" s="2" t="s">
        <v>74</v>
      </c>
      <c r="AB715" s="2" t="s">
        <v>74</v>
      </c>
      <c r="AC715" s="2" t="s">
        <v>74</v>
      </c>
      <c r="AD715" s="2" t="s">
        <v>74</v>
      </c>
      <c r="AE715" s="2" t="s">
        <v>74</v>
      </c>
      <c r="AF715" s="2" t="s">
        <v>74</v>
      </c>
      <c r="AG715" s="2" t="s">
        <v>74</v>
      </c>
      <c r="AH715" s="2" t="s">
        <v>74</v>
      </c>
      <c r="AI715" s="2" t="s">
        <v>74</v>
      </c>
      <c r="AJ715" s="2" t="s">
        <v>74</v>
      </c>
      <c r="AK715" s="2" t="s">
        <v>74</v>
      </c>
      <c r="AL715" s="2" t="s">
        <v>74</v>
      </c>
      <c r="AM715" s="2" t="s">
        <v>74</v>
      </c>
      <c r="AN715" s="2" t="s">
        <v>74</v>
      </c>
      <c r="AO715" s="2" t="s">
        <v>143</v>
      </c>
      <c r="AP715" s="2" t="s">
        <v>144</v>
      </c>
      <c r="AQ715" s="2" t="s">
        <v>74</v>
      </c>
      <c r="AR715" s="2" t="s">
        <v>74</v>
      </c>
      <c r="AS715" s="2" t="s">
        <v>74</v>
      </c>
      <c r="AT715" s="2" t="s">
        <v>123</v>
      </c>
      <c r="AU715" s="2">
        <v>2004</v>
      </c>
      <c r="AV715" s="2">
        <v>67</v>
      </c>
      <c r="AW715" s="2" t="s">
        <v>74</v>
      </c>
      <c r="AX715" s="2">
        <v>3</v>
      </c>
      <c r="AY715" s="2" t="s">
        <v>74</v>
      </c>
      <c r="AZ715" s="2" t="s">
        <v>74</v>
      </c>
      <c r="BA715" s="2" t="s">
        <v>74</v>
      </c>
      <c r="BB715" s="2">
        <v>397</v>
      </c>
      <c r="BC715" s="2">
        <v>402</v>
      </c>
      <c r="BD715" s="2" t="s">
        <v>74</v>
      </c>
      <c r="BE715" s="2" t="s">
        <v>4297</v>
      </c>
      <c r="BF715" s="2" t="str">
        <f>HYPERLINK("http://dx.doi.org/10.1016/j.anbehav.2003.03.017","http://dx.doi.org/10.1016/j.anbehav.2003.03.017")</f>
        <v>http://dx.doi.org/10.1016/j.anbehav.2003.03.017</v>
      </c>
      <c r="BG715" s="2" t="s">
        <v>74</v>
      </c>
      <c r="BH715" s="2" t="s">
        <v>74</v>
      </c>
      <c r="BI715" s="2" t="s">
        <v>74</v>
      </c>
      <c r="BJ715" s="2" t="s">
        <v>74</v>
      </c>
      <c r="BK715" s="2" t="s">
        <v>74</v>
      </c>
      <c r="BL715" s="2" t="s">
        <v>74</v>
      </c>
      <c r="BM715" s="2" t="s">
        <v>74</v>
      </c>
      <c r="BN715" s="2" t="s">
        <v>74</v>
      </c>
      <c r="BO715" s="2" t="s">
        <v>74</v>
      </c>
      <c r="BP715" s="2" t="s">
        <v>74</v>
      </c>
      <c r="BQ715" s="2" t="s">
        <v>74</v>
      </c>
      <c r="BR715" s="2" t="s">
        <v>74</v>
      </c>
      <c r="BS715" s="2" t="s">
        <v>4298</v>
      </c>
      <c r="BT715" s="2" t="str">
        <f>HYPERLINK("https%3A%2F%2Fwww.webofscience.com%2Fwos%2Fwoscc%2Ffull-record%2FWOS:000220540800003","View Full Record in Web of Science")</f>
        <v>View Full Record in Web of Science</v>
      </c>
    </row>
    <row r="716" spans="1:72" s="2" customFormat="1" x14ac:dyDescent="0.4">
      <c r="A716" s="2" t="s">
        <v>72</v>
      </c>
      <c r="B716" s="2" t="s">
        <v>2940</v>
      </c>
      <c r="C716" s="2" t="s">
        <v>74</v>
      </c>
      <c r="D716" s="2" t="s">
        <v>74</v>
      </c>
      <c r="E716" s="2" t="s">
        <v>74</v>
      </c>
      <c r="F716" s="2" t="s">
        <v>2941</v>
      </c>
      <c r="G716" s="2" t="s">
        <v>74</v>
      </c>
      <c r="H716" s="2" t="s">
        <v>74</v>
      </c>
      <c r="I716" s="2" t="s">
        <v>2942</v>
      </c>
      <c r="J716" s="2" t="s">
        <v>970</v>
      </c>
      <c r="K716" s="2" t="s">
        <v>74</v>
      </c>
      <c r="L716" s="2" t="s">
        <v>74</v>
      </c>
      <c r="M716" s="2" t="s">
        <v>74</v>
      </c>
      <c r="N716" s="2" t="s">
        <v>74</v>
      </c>
      <c r="O716" s="2" t="s">
        <v>74</v>
      </c>
      <c r="P716" s="2" t="s">
        <v>74</v>
      </c>
      <c r="Q716" s="2" t="s">
        <v>74</v>
      </c>
      <c r="R716" s="2" t="s">
        <v>74</v>
      </c>
      <c r="S716" s="2" t="s">
        <v>74</v>
      </c>
      <c r="T716" s="2" t="s">
        <v>74</v>
      </c>
      <c r="U716" s="2" t="s">
        <v>74</v>
      </c>
      <c r="V716" s="5" t="s">
        <v>2943</v>
      </c>
      <c r="W716" s="2" t="s">
        <v>74</v>
      </c>
      <c r="X716" s="2" t="s">
        <v>74</v>
      </c>
      <c r="Y716" s="2" t="s">
        <v>74</v>
      </c>
      <c r="Z716" s="2" t="s">
        <v>74</v>
      </c>
      <c r="AA716" s="2" t="s">
        <v>2944</v>
      </c>
      <c r="AB716" s="2" t="s">
        <v>2945</v>
      </c>
      <c r="AC716" s="2" t="s">
        <v>74</v>
      </c>
      <c r="AD716" s="2" t="s">
        <v>74</v>
      </c>
      <c r="AE716" s="2" t="s">
        <v>74</v>
      </c>
      <c r="AF716" s="2" t="s">
        <v>74</v>
      </c>
      <c r="AG716" s="2" t="s">
        <v>74</v>
      </c>
      <c r="AH716" s="2" t="s">
        <v>74</v>
      </c>
      <c r="AI716" s="2" t="s">
        <v>74</v>
      </c>
      <c r="AJ716" s="2" t="s">
        <v>74</v>
      </c>
      <c r="AK716" s="2" t="s">
        <v>74</v>
      </c>
      <c r="AL716" s="2" t="s">
        <v>74</v>
      </c>
      <c r="AM716" s="2" t="s">
        <v>74</v>
      </c>
      <c r="AN716" s="2" t="s">
        <v>74</v>
      </c>
      <c r="AO716" s="2" t="s">
        <v>974</v>
      </c>
      <c r="AP716" s="2" t="s">
        <v>975</v>
      </c>
      <c r="AQ716" s="2" t="s">
        <v>74</v>
      </c>
      <c r="AR716" s="2" t="s">
        <v>74</v>
      </c>
      <c r="AS716" s="2" t="s">
        <v>74</v>
      </c>
      <c r="AT716" s="2" t="s">
        <v>204</v>
      </c>
      <c r="AU716" s="2">
        <v>2015</v>
      </c>
      <c r="AV716" s="2">
        <v>156</v>
      </c>
      <c r="AW716" s="2">
        <v>3</v>
      </c>
      <c r="AX716" s="2" t="s">
        <v>74</v>
      </c>
      <c r="AY716" s="2" t="s">
        <v>74</v>
      </c>
      <c r="AZ716" s="2" t="s">
        <v>74</v>
      </c>
      <c r="BA716" s="2" t="s">
        <v>74</v>
      </c>
      <c r="BB716" s="2">
        <v>783</v>
      </c>
      <c r="BC716" s="2">
        <v>793</v>
      </c>
      <c r="BD716" s="2" t="s">
        <v>74</v>
      </c>
      <c r="BE716" s="2" t="s">
        <v>2946</v>
      </c>
      <c r="BF716" s="2" t="str">
        <f>HYPERLINK("http://dx.doi.org/10.1007/s10336-015-1168-7","http://dx.doi.org/10.1007/s10336-015-1168-7")</f>
        <v>http://dx.doi.org/10.1007/s10336-015-1168-7</v>
      </c>
      <c r="BG716" s="2" t="s">
        <v>74</v>
      </c>
      <c r="BH716" s="2" t="s">
        <v>74</v>
      </c>
      <c r="BI716" s="2" t="s">
        <v>74</v>
      </c>
      <c r="BJ716" s="2" t="s">
        <v>74</v>
      </c>
      <c r="BK716" s="2" t="s">
        <v>74</v>
      </c>
      <c r="BL716" s="2" t="s">
        <v>74</v>
      </c>
      <c r="BM716" s="2" t="s">
        <v>74</v>
      </c>
      <c r="BN716" s="2" t="s">
        <v>74</v>
      </c>
      <c r="BO716" s="2" t="s">
        <v>74</v>
      </c>
      <c r="BP716" s="2" t="s">
        <v>74</v>
      </c>
      <c r="BQ716" s="2" t="s">
        <v>74</v>
      </c>
      <c r="BR716" s="2" t="s">
        <v>74</v>
      </c>
      <c r="BS716" s="2" t="s">
        <v>2947</v>
      </c>
      <c r="BT716" s="2" t="str">
        <f>HYPERLINK("https%3A%2F%2Fwww.webofscience.com%2Fwos%2Fwoscc%2Ffull-record%2FWOS:000356447100022","View Full Record in Web of Science")</f>
        <v>View Full Record in Web of Science</v>
      </c>
    </row>
    <row r="717" spans="1:72" s="2" customFormat="1" x14ac:dyDescent="0.4">
      <c r="A717" s="2" t="s">
        <v>72</v>
      </c>
      <c r="B717" s="2" t="s">
        <v>7061</v>
      </c>
      <c r="C717" s="2" t="s">
        <v>74</v>
      </c>
      <c r="D717" s="2" t="s">
        <v>74</v>
      </c>
      <c r="E717" s="2" t="s">
        <v>74</v>
      </c>
      <c r="F717" s="2" t="s">
        <v>7062</v>
      </c>
      <c r="G717" s="2" t="s">
        <v>74</v>
      </c>
      <c r="H717" s="2" t="s">
        <v>74</v>
      </c>
      <c r="I717" s="2" t="s">
        <v>7063</v>
      </c>
      <c r="J717" s="2" t="s">
        <v>108</v>
      </c>
      <c r="K717" s="2" t="s">
        <v>74</v>
      </c>
      <c r="L717" s="2" t="s">
        <v>74</v>
      </c>
      <c r="M717" s="2" t="s">
        <v>74</v>
      </c>
      <c r="N717" s="2" t="s">
        <v>74</v>
      </c>
      <c r="O717" s="2" t="s">
        <v>74</v>
      </c>
      <c r="P717" s="2" t="s">
        <v>74</v>
      </c>
      <c r="Q717" s="2" t="s">
        <v>74</v>
      </c>
      <c r="R717" s="2" t="s">
        <v>74</v>
      </c>
      <c r="S717" s="2" t="s">
        <v>74</v>
      </c>
      <c r="T717" s="2" t="s">
        <v>74</v>
      </c>
      <c r="U717" s="2" t="s">
        <v>74</v>
      </c>
      <c r="V717" s="5" t="s">
        <v>7064</v>
      </c>
      <c r="W717" s="2" t="s">
        <v>74</v>
      </c>
      <c r="X717" s="2" t="s">
        <v>74</v>
      </c>
      <c r="Y717" s="2" t="s">
        <v>74</v>
      </c>
      <c r="Z717" s="2" t="s">
        <v>74</v>
      </c>
      <c r="AA717" s="2" t="s">
        <v>7065</v>
      </c>
      <c r="AB717" s="2" t="s">
        <v>7066</v>
      </c>
      <c r="AC717" s="2" t="s">
        <v>74</v>
      </c>
      <c r="AD717" s="2" t="s">
        <v>74</v>
      </c>
      <c r="AE717" s="2" t="s">
        <v>74</v>
      </c>
      <c r="AF717" s="2" t="s">
        <v>74</v>
      </c>
      <c r="AG717" s="2" t="s">
        <v>74</v>
      </c>
      <c r="AH717" s="2" t="s">
        <v>74</v>
      </c>
      <c r="AI717" s="2" t="s">
        <v>74</v>
      </c>
      <c r="AJ717" s="2" t="s">
        <v>74</v>
      </c>
      <c r="AK717" s="2" t="s">
        <v>74</v>
      </c>
      <c r="AL717" s="2" t="s">
        <v>74</v>
      </c>
      <c r="AM717" s="2" t="s">
        <v>74</v>
      </c>
      <c r="AN717" s="2" t="s">
        <v>74</v>
      </c>
      <c r="AO717" s="2" t="s">
        <v>111</v>
      </c>
      <c r="AP717" s="2" t="s">
        <v>112</v>
      </c>
      <c r="AQ717" s="2" t="s">
        <v>74</v>
      </c>
      <c r="AR717" s="2" t="s">
        <v>74</v>
      </c>
      <c r="AS717" s="2" t="s">
        <v>74</v>
      </c>
      <c r="AT717" s="2" t="s">
        <v>493</v>
      </c>
      <c r="AU717" s="2">
        <v>2015</v>
      </c>
      <c r="AV717" s="2">
        <v>282</v>
      </c>
      <c r="AW717" s="2">
        <v>1811</v>
      </c>
      <c r="AX717" s="2" t="s">
        <v>74</v>
      </c>
      <c r="AY717" s="2" t="s">
        <v>74</v>
      </c>
      <c r="AZ717" s="2" t="s">
        <v>74</v>
      </c>
      <c r="BA717" s="2" t="s">
        <v>74</v>
      </c>
      <c r="BB717" s="2" t="s">
        <v>74</v>
      </c>
      <c r="BC717" s="2" t="s">
        <v>74</v>
      </c>
      <c r="BD717" s="2">
        <v>20150624</v>
      </c>
      <c r="BE717" s="2" t="s">
        <v>7067</v>
      </c>
      <c r="BF717" s="2" t="str">
        <f>HYPERLINK("http://dx.doi.org/10.1098/rspb.2015.0624","http://dx.doi.org/10.1098/rspb.2015.0624")</f>
        <v>http://dx.doi.org/10.1098/rspb.2015.0624</v>
      </c>
      <c r="BG717" s="2" t="s">
        <v>74</v>
      </c>
      <c r="BH717" s="2" t="s">
        <v>74</v>
      </c>
      <c r="BI717" s="2" t="s">
        <v>74</v>
      </c>
      <c r="BJ717" s="2" t="s">
        <v>74</v>
      </c>
      <c r="BK717" s="2" t="s">
        <v>74</v>
      </c>
      <c r="BL717" s="2" t="s">
        <v>74</v>
      </c>
      <c r="BM717" s="2" t="s">
        <v>74</v>
      </c>
      <c r="BN717" s="2">
        <v>26136445</v>
      </c>
      <c r="BO717" s="2" t="s">
        <v>74</v>
      </c>
      <c r="BP717" s="2" t="s">
        <v>74</v>
      </c>
      <c r="BQ717" s="2" t="s">
        <v>74</v>
      </c>
      <c r="BR717" s="2" t="s">
        <v>74</v>
      </c>
      <c r="BS717" s="2" t="s">
        <v>7068</v>
      </c>
      <c r="BT717" s="2" t="str">
        <f>HYPERLINK("https%3A%2F%2Fwww.webofscience.com%2Fwos%2Fwoscc%2Ffull-record%2FWOS:000358735700011","View Full Record in Web of Science")</f>
        <v>View Full Record in Web of Science</v>
      </c>
    </row>
    <row r="718" spans="1:72" s="2" customFormat="1" x14ac:dyDescent="0.4">
      <c r="A718" s="2" t="s">
        <v>72</v>
      </c>
      <c r="B718" s="2" t="s">
        <v>5257</v>
      </c>
      <c r="C718" s="2" t="s">
        <v>74</v>
      </c>
      <c r="D718" s="2" t="s">
        <v>74</v>
      </c>
      <c r="E718" s="2" t="s">
        <v>74</v>
      </c>
      <c r="F718" s="2" t="s">
        <v>5257</v>
      </c>
      <c r="G718" s="2" t="s">
        <v>74</v>
      </c>
      <c r="H718" s="2" t="s">
        <v>74</v>
      </c>
      <c r="I718" s="2" t="s">
        <v>5258</v>
      </c>
      <c r="J718" s="2" t="s">
        <v>3817</v>
      </c>
      <c r="K718" s="2" t="s">
        <v>74</v>
      </c>
      <c r="L718" s="2" t="s">
        <v>74</v>
      </c>
      <c r="M718" s="2" t="s">
        <v>74</v>
      </c>
      <c r="N718" s="2" t="s">
        <v>74</v>
      </c>
      <c r="O718" s="2" t="s">
        <v>74</v>
      </c>
      <c r="P718" s="2" t="s">
        <v>74</v>
      </c>
      <c r="Q718" s="2" t="s">
        <v>74</v>
      </c>
      <c r="R718" s="2" t="s">
        <v>74</v>
      </c>
      <c r="S718" s="2" t="s">
        <v>74</v>
      </c>
      <c r="T718" s="2" t="s">
        <v>74</v>
      </c>
      <c r="U718" s="2" t="s">
        <v>74</v>
      </c>
      <c r="V718" s="5" t="s">
        <v>5259</v>
      </c>
      <c r="W718" s="2" t="s">
        <v>74</v>
      </c>
      <c r="X718" s="2" t="s">
        <v>74</v>
      </c>
      <c r="Y718" s="2" t="s">
        <v>74</v>
      </c>
      <c r="Z718" s="2" t="s">
        <v>74</v>
      </c>
      <c r="AA718" s="2" t="s">
        <v>74</v>
      </c>
      <c r="AB718" s="2" t="s">
        <v>74</v>
      </c>
      <c r="AC718" s="2" t="s">
        <v>74</v>
      </c>
      <c r="AD718" s="2" t="s">
        <v>74</v>
      </c>
      <c r="AE718" s="2" t="s">
        <v>74</v>
      </c>
      <c r="AF718" s="2" t="s">
        <v>74</v>
      </c>
      <c r="AG718" s="2" t="s">
        <v>74</v>
      </c>
      <c r="AH718" s="2" t="s">
        <v>74</v>
      </c>
      <c r="AI718" s="2" t="s">
        <v>74</v>
      </c>
      <c r="AJ718" s="2" t="s">
        <v>74</v>
      </c>
      <c r="AK718" s="2" t="s">
        <v>74</v>
      </c>
      <c r="AL718" s="2" t="s">
        <v>74</v>
      </c>
      <c r="AM718" s="2" t="s">
        <v>74</v>
      </c>
      <c r="AN718" s="2" t="s">
        <v>74</v>
      </c>
      <c r="AO718" s="2" t="s">
        <v>3821</v>
      </c>
      <c r="AP718" s="2" t="s">
        <v>3822</v>
      </c>
      <c r="AQ718" s="2" t="s">
        <v>74</v>
      </c>
      <c r="AR718" s="2" t="s">
        <v>74</v>
      </c>
      <c r="AS718" s="2" t="s">
        <v>74</v>
      </c>
      <c r="AT718" s="2" t="s">
        <v>74</v>
      </c>
      <c r="AU718" s="2">
        <v>1981</v>
      </c>
      <c r="AV718" s="2">
        <v>71</v>
      </c>
      <c r="AW718" s="2">
        <v>3</v>
      </c>
      <c r="AX718" s="2" t="s">
        <v>74</v>
      </c>
      <c r="AY718" s="2" t="s">
        <v>74</v>
      </c>
      <c r="AZ718" s="2" t="s">
        <v>74</v>
      </c>
      <c r="BA718" s="2" t="s">
        <v>74</v>
      </c>
      <c r="BB718" s="2">
        <v>253</v>
      </c>
      <c r="BC718" s="2">
        <v>264</v>
      </c>
      <c r="BD718" s="2" t="s">
        <v>74</v>
      </c>
      <c r="BE718" s="2" t="s">
        <v>5260</v>
      </c>
      <c r="BF718" s="2" t="str">
        <f>HYPERLINK("http://dx.doi.org/10.1111/j.1096-3642.1981.tb01132.x","http://dx.doi.org/10.1111/j.1096-3642.1981.tb01132.x")</f>
        <v>http://dx.doi.org/10.1111/j.1096-3642.1981.tb01132.x</v>
      </c>
      <c r="BG718" s="2" t="s">
        <v>74</v>
      </c>
      <c r="BH718" s="2" t="s">
        <v>74</v>
      </c>
      <c r="BI718" s="2" t="s">
        <v>74</v>
      </c>
      <c r="BJ718" s="2" t="s">
        <v>74</v>
      </c>
      <c r="BK718" s="2" t="s">
        <v>74</v>
      </c>
      <c r="BL718" s="2" t="s">
        <v>74</v>
      </c>
      <c r="BM718" s="2" t="s">
        <v>74</v>
      </c>
      <c r="BN718" s="2" t="s">
        <v>74</v>
      </c>
      <c r="BO718" s="2" t="s">
        <v>74</v>
      </c>
      <c r="BP718" s="2" t="s">
        <v>74</v>
      </c>
      <c r="BQ718" s="2" t="s">
        <v>74</v>
      </c>
      <c r="BR718" s="2" t="s">
        <v>74</v>
      </c>
      <c r="BS718" s="2" t="s">
        <v>5261</v>
      </c>
      <c r="BT718" s="2" t="str">
        <f>HYPERLINK("https%3A%2F%2Fwww.webofscience.com%2Fwos%2Fwoscc%2Ffull-record%2FWOS:A1981LF81100001","View Full Record in Web of Science")</f>
        <v>View Full Record in Web of Science</v>
      </c>
    </row>
    <row r="719" spans="1:72" s="2" customFormat="1" x14ac:dyDescent="0.4">
      <c r="A719" s="2" t="s">
        <v>72</v>
      </c>
      <c r="B719" s="2" t="s">
        <v>4183</v>
      </c>
      <c r="C719" s="2" t="s">
        <v>74</v>
      </c>
      <c r="D719" s="2" t="s">
        <v>74</v>
      </c>
      <c r="E719" s="2" t="s">
        <v>74</v>
      </c>
      <c r="F719" s="2" t="s">
        <v>4184</v>
      </c>
      <c r="G719" s="2" t="s">
        <v>74</v>
      </c>
      <c r="H719" s="2" t="s">
        <v>74</v>
      </c>
      <c r="I719" s="2" t="s">
        <v>4185</v>
      </c>
      <c r="J719" s="2" t="s">
        <v>333</v>
      </c>
      <c r="K719" s="2" t="s">
        <v>74</v>
      </c>
      <c r="L719" s="2" t="s">
        <v>74</v>
      </c>
      <c r="M719" s="2" t="s">
        <v>74</v>
      </c>
      <c r="N719" s="2" t="s">
        <v>74</v>
      </c>
      <c r="O719" s="2" t="s">
        <v>74</v>
      </c>
      <c r="P719" s="2" t="s">
        <v>74</v>
      </c>
      <c r="Q719" s="2" t="s">
        <v>74</v>
      </c>
      <c r="R719" s="2" t="s">
        <v>74</v>
      </c>
      <c r="S719" s="2" t="s">
        <v>74</v>
      </c>
      <c r="T719" s="2" t="s">
        <v>74</v>
      </c>
      <c r="U719" s="2" t="s">
        <v>74</v>
      </c>
      <c r="V719" s="5" t="s">
        <v>4186</v>
      </c>
      <c r="W719" s="2" t="s">
        <v>74</v>
      </c>
      <c r="X719" s="2" t="s">
        <v>74</v>
      </c>
      <c r="Y719" s="2" t="s">
        <v>74</v>
      </c>
      <c r="Z719" s="2" t="s">
        <v>74</v>
      </c>
      <c r="AA719" s="2" t="s">
        <v>74</v>
      </c>
      <c r="AB719" s="2" t="s">
        <v>4187</v>
      </c>
      <c r="AC719" s="2" t="s">
        <v>74</v>
      </c>
      <c r="AD719" s="2" t="s">
        <v>74</v>
      </c>
      <c r="AE719" s="2" t="s">
        <v>74</v>
      </c>
      <c r="AF719" s="2" t="s">
        <v>74</v>
      </c>
      <c r="AG719" s="2" t="s">
        <v>74</v>
      </c>
      <c r="AH719" s="2" t="s">
        <v>74</v>
      </c>
      <c r="AI719" s="2" t="s">
        <v>74</v>
      </c>
      <c r="AJ719" s="2" t="s">
        <v>74</v>
      </c>
      <c r="AK719" s="2" t="s">
        <v>74</v>
      </c>
      <c r="AL719" s="2" t="s">
        <v>74</v>
      </c>
      <c r="AM719" s="2" t="s">
        <v>74</v>
      </c>
      <c r="AN719" s="2" t="s">
        <v>74</v>
      </c>
      <c r="AO719" s="2" t="s">
        <v>337</v>
      </c>
      <c r="AP719" s="2" t="s">
        <v>338</v>
      </c>
      <c r="AQ719" s="2" t="s">
        <v>74</v>
      </c>
      <c r="AR719" s="2" t="s">
        <v>74</v>
      </c>
      <c r="AS719" s="2" t="s">
        <v>74</v>
      </c>
      <c r="AT719" s="2" t="s">
        <v>1075</v>
      </c>
      <c r="AU719" s="2">
        <v>2014</v>
      </c>
      <c r="AV719" s="2">
        <v>25</v>
      </c>
      <c r="AW719" s="2">
        <v>6</v>
      </c>
      <c r="AX719" s="2" t="s">
        <v>74</v>
      </c>
      <c r="AY719" s="2" t="s">
        <v>74</v>
      </c>
      <c r="AZ719" s="2" t="s">
        <v>74</v>
      </c>
      <c r="BA719" s="2" t="s">
        <v>74</v>
      </c>
      <c r="BB719" s="2">
        <v>1325</v>
      </c>
      <c r="BC719" s="2">
        <v>1337</v>
      </c>
      <c r="BD719" s="2" t="s">
        <v>74</v>
      </c>
      <c r="BE719" s="2" t="s">
        <v>4188</v>
      </c>
      <c r="BF719" s="2" t="str">
        <f>HYPERLINK("http://dx.doi.org/10.1093/beheco/aru126","http://dx.doi.org/10.1093/beheco/aru126")</f>
        <v>http://dx.doi.org/10.1093/beheco/aru126</v>
      </c>
      <c r="BG719" s="2" t="s">
        <v>74</v>
      </c>
      <c r="BH719" s="2" t="s">
        <v>74</v>
      </c>
      <c r="BI719" s="2" t="s">
        <v>74</v>
      </c>
      <c r="BJ719" s="2" t="s">
        <v>74</v>
      </c>
      <c r="BK719" s="2" t="s">
        <v>74</v>
      </c>
      <c r="BL719" s="2" t="s">
        <v>74</v>
      </c>
      <c r="BM719" s="2" t="s">
        <v>74</v>
      </c>
      <c r="BN719" s="2">
        <v>25419083</v>
      </c>
      <c r="BO719" s="2" t="s">
        <v>74</v>
      </c>
      <c r="BP719" s="2" t="s">
        <v>74</v>
      </c>
      <c r="BQ719" s="2" t="s">
        <v>74</v>
      </c>
      <c r="BR719" s="2" t="s">
        <v>74</v>
      </c>
      <c r="BS719" s="2" t="s">
        <v>4189</v>
      </c>
      <c r="BT719" s="2" t="str">
        <f>HYPERLINK("https%3A%2F%2Fwww.webofscience.com%2Fwos%2Fwoscc%2Ffull-record%2FWOS:000345432900014","View Full Record in Web of Science")</f>
        <v>View Full Record in Web of Science</v>
      </c>
    </row>
    <row r="720" spans="1:72" s="2" customFormat="1" x14ac:dyDescent="0.4">
      <c r="A720" s="2" t="s">
        <v>72</v>
      </c>
      <c r="B720" s="2" t="s">
        <v>5047</v>
      </c>
      <c r="C720" s="2" t="s">
        <v>74</v>
      </c>
      <c r="D720" s="2" t="s">
        <v>74</v>
      </c>
      <c r="E720" s="2" t="s">
        <v>74</v>
      </c>
      <c r="F720" s="2" t="s">
        <v>5047</v>
      </c>
      <c r="G720" s="2" t="s">
        <v>74</v>
      </c>
      <c r="H720" s="2" t="s">
        <v>74</v>
      </c>
      <c r="I720" s="2" t="s">
        <v>5048</v>
      </c>
      <c r="J720" s="2" t="s">
        <v>5049</v>
      </c>
      <c r="K720" s="2" t="s">
        <v>74</v>
      </c>
      <c r="L720" s="2" t="s">
        <v>74</v>
      </c>
      <c r="M720" s="2" t="s">
        <v>74</v>
      </c>
      <c r="N720" s="2" t="s">
        <v>74</v>
      </c>
      <c r="O720" s="2" t="s">
        <v>74</v>
      </c>
      <c r="P720" s="2" t="s">
        <v>74</v>
      </c>
      <c r="Q720" s="2" t="s">
        <v>74</v>
      </c>
      <c r="R720" s="2" t="s">
        <v>74</v>
      </c>
      <c r="S720" s="2" t="s">
        <v>74</v>
      </c>
      <c r="T720" s="2" t="s">
        <v>74</v>
      </c>
      <c r="U720" s="2" t="s">
        <v>74</v>
      </c>
      <c r="V720" s="5" t="s">
        <v>5050</v>
      </c>
      <c r="W720" s="2" t="s">
        <v>74</v>
      </c>
      <c r="X720" s="2" t="s">
        <v>74</v>
      </c>
      <c r="Y720" s="2" t="s">
        <v>74</v>
      </c>
      <c r="Z720" s="2" t="s">
        <v>74</v>
      </c>
      <c r="AA720" s="2" t="s">
        <v>5051</v>
      </c>
      <c r="AB720" s="2" t="s">
        <v>5052</v>
      </c>
      <c r="AC720" s="2" t="s">
        <v>74</v>
      </c>
      <c r="AD720" s="2" t="s">
        <v>74</v>
      </c>
      <c r="AE720" s="2" t="s">
        <v>74</v>
      </c>
      <c r="AF720" s="2" t="s">
        <v>74</v>
      </c>
      <c r="AG720" s="2" t="s">
        <v>74</v>
      </c>
      <c r="AH720" s="2" t="s">
        <v>74</v>
      </c>
      <c r="AI720" s="2" t="s">
        <v>74</v>
      </c>
      <c r="AJ720" s="2" t="s">
        <v>74</v>
      </c>
      <c r="AK720" s="2" t="s">
        <v>74</v>
      </c>
      <c r="AL720" s="2" t="s">
        <v>74</v>
      </c>
      <c r="AM720" s="2" t="s">
        <v>74</v>
      </c>
      <c r="AN720" s="2" t="s">
        <v>74</v>
      </c>
      <c r="AO720" s="2" t="s">
        <v>5053</v>
      </c>
      <c r="AP720" s="2" t="s">
        <v>74</v>
      </c>
      <c r="AQ720" s="2" t="s">
        <v>74</v>
      </c>
      <c r="AR720" s="2" t="s">
        <v>74</v>
      </c>
      <c r="AS720" s="2" t="s">
        <v>74</v>
      </c>
      <c r="AT720" s="2" t="s">
        <v>255</v>
      </c>
      <c r="AU720" s="2">
        <v>2006</v>
      </c>
      <c r="AV720" s="2">
        <v>22</v>
      </c>
      <c r="AW720" s="2">
        <v>1</v>
      </c>
      <c r="AX720" s="2" t="s">
        <v>74</v>
      </c>
      <c r="AY720" s="2" t="s">
        <v>74</v>
      </c>
      <c r="AZ720" s="2" t="s">
        <v>74</v>
      </c>
      <c r="BA720" s="2" t="s">
        <v>74</v>
      </c>
      <c r="BB720" s="2">
        <v>25</v>
      </c>
      <c r="BC720" s="2">
        <v>33</v>
      </c>
      <c r="BD720" s="2" t="s">
        <v>74</v>
      </c>
      <c r="BE720" s="2" t="s">
        <v>5054</v>
      </c>
      <c r="BF720" s="2" t="str">
        <f>HYPERLINK("http://dx.doi.org/10.1111/j.1748-7692.2006.00003.x","http://dx.doi.org/10.1111/j.1748-7692.2006.00003.x")</f>
        <v>http://dx.doi.org/10.1111/j.1748-7692.2006.00003.x</v>
      </c>
      <c r="BG720" s="2" t="s">
        <v>74</v>
      </c>
      <c r="BH720" s="2" t="s">
        <v>74</v>
      </c>
      <c r="BI720" s="2" t="s">
        <v>74</v>
      </c>
      <c r="BJ720" s="2" t="s">
        <v>74</v>
      </c>
      <c r="BK720" s="2" t="s">
        <v>74</v>
      </c>
      <c r="BL720" s="2" t="s">
        <v>74</v>
      </c>
      <c r="BM720" s="2" t="s">
        <v>74</v>
      </c>
      <c r="BN720" s="2" t="s">
        <v>74</v>
      </c>
      <c r="BO720" s="2" t="s">
        <v>74</v>
      </c>
      <c r="BP720" s="2" t="s">
        <v>74</v>
      </c>
      <c r="BQ720" s="2" t="s">
        <v>74</v>
      </c>
      <c r="BR720" s="2" t="s">
        <v>74</v>
      </c>
      <c r="BS720" s="2" t="s">
        <v>5055</v>
      </c>
      <c r="BT720" s="2" t="str">
        <f>HYPERLINK("https%3A%2F%2Fwww.webofscience.com%2Fwos%2Fwoscc%2Ffull-record%2FWOS:000234942300003","View Full Record in Web of Science")</f>
        <v>View Full Record in Web of Science</v>
      </c>
    </row>
    <row r="721" spans="1:72" s="2" customFormat="1" x14ac:dyDescent="0.4">
      <c r="A721" s="2" t="s">
        <v>72</v>
      </c>
      <c r="B721" s="2" t="s">
        <v>3953</v>
      </c>
      <c r="C721" s="2" t="s">
        <v>74</v>
      </c>
      <c r="D721" s="2" t="s">
        <v>74</v>
      </c>
      <c r="E721" s="2" t="s">
        <v>74</v>
      </c>
      <c r="F721" s="2" t="s">
        <v>3954</v>
      </c>
      <c r="G721" s="2" t="s">
        <v>74</v>
      </c>
      <c r="H721" s="2" t="s">
        <v>74</v>
      </c>
      <c r="I721" s="2" t="s">
        <v>3955</v>
      </c>
      <c r="J721" s="2" t="s">
        <v>201</v>
      </c>
      <c r="K721" s="2" t="s">
        <v>74</v>
      </c>
      <c r="L721" s="2" t="s">
        <v>74</v>
      </c>
      <c r="M721" s="2" t="s">
        <v>74</v>
      </c>
      <c r="N721" s="2" t="s">
        <v>74</v>
      </c>
      <c r="O721" s="2" t="s">
        <v>74</v>
      </c>
      <c r="P721" s="2" t="s">
        <v>74</v>
      </c>
      <c r="Q721" s="2" t="s">
        <v>74</v>
      </c>
      <c r="R721" s="2" t="s">
        <v>74</v>
      </c>
      <c r="S721" s="2" t="s">
        <v>74</v>
      </c>
      <c r="T721" s="2" t="s">
        <v>74</v>
      </c>
      <c r="U721" s="2" t="s">
        <v>74</v>
      </c>
      <c r="V721" s="5" t="s">
        <v>3956</v>
      </c>
      <c r="W721" s="2" t="s">
        <v>74</v>
      </c>
      <c r="X721" s="2" t="s">
        <v>74</v>
      </c>
      <c r="Y721" s="2" t="s">
        <v>74</v>
      </c>
      <c r="Z721" s="2" t="s">
        <v>74</v>
      </c>
      <c r="AA721" s="2" t="s">
        <v>379</v>
      </c>
      <c r="AB721" s="2" t="s">
        <v>3957</v>
      </c>
      <c r="AC721" s="2" t="s">
        <v>74</v>
      </c>
      <c r="AD721" s="2" t="s">
        <v>74</v>
      </c>
      <c r="AE721" s="2" t="s">
        <v>74</v>
      </c>
      <c r="AF721" s="2" t="s">
        <v>74</v>
      </c>
      <c r="AG721" s="2" t="s">
        <v>74</v>
      </c>
      <c r="AH721" s="2" t="s">
        <v>74</v>
      </c>
      <c r="AI721" s="2" t="s">
        <v>74</v>
      </c>
      <c r="AJ721" s="2" t="s">
        <v>74</v>
      </c>
      <c r="AK721" s="2" t="s">
        <v>74</v>
      </c>
      <c r="AL721" s="2" t="s">
        <v>74</v>
      </c>
      <c r="AM721" s="2" t="s">
        <v>74</v>
      </c>
      <c r="AN721" s="2" t="s">
        <v>74</v>
      </c>
      <c r="AO721" s="2" t="s">
        <v>203</v>
      </c>
      <c r="AP721" s="2" t="s">
        <v>1192</v>
      </c>
      <c r="AQ721" s="2" t="s">
        <v>74</v>
      </c>
      <c r="AR721" s="2" t="s">
        <v>74</v>
      </c>
      <c r="AS721" s="2" t="s">
        <v>74</v>
      </c>
      <c r="AT721" s="2" t="s">
        <v>213</v>
      </c>
      <c r="AU721" s="2">
        <v>2013</v>
      </c>
      <c r="AV721" s="2">
        <v>83</v>
      </c>
      <c r="AW721" s="2">
        <v>5</v>
      </c>
      <c r="AX721" s="2" t="s">
        <v>74</v>
      </c>
      <c r="AY721" s="2" t="s">
        <v>74</v>
      </c>
      <c r="AZ721" s="2" t="s">
        <v>74</v>
      </c>
      <c r="BA721" s="2" t="s">
        <v>74</v>
      </c>
      <c r="BB721" s="2">
        <v>1371</v>
      </c>
      <c r="BC721" s="2">
        <v>1380</v>
      </c>
      <c r="BD721" s="2" t="s">
        <v>74</v>
      </c>
      <c r="BE721" s="2" t="s">
        <v>3958</v>
      </c>
      <c r="BF721" s="2" t="str">
        <f>HYPERLINK("http://dx.doi.org/10.1111/jfb.12239","http://dx.doi.org/10.1111/jfb.12239")</f>
        <v>http://dx.doi.org/10.1111/jfb.12239</v>
      </c>
      <c r="BG721" s="2" t="s">
        <v>74</v>
      </c>
      <c r="BH721" s="2" t="s">
        <v>74</v>
      </c>
      <c r="BI721" s="2" t="s">
        <v>74</v>
      </c>
      <c r="BJ721" s="2" t="s">
        <v>74</v>
      </c>
      <c r="BK721" s="2" t="s">
        <v>74</v>
      </c>
      <c r="BL721" s="2" t="s">
        <v>74</v>
      </c>
      <c r="BM721" s="2" t="s">
        <v>74</v>
      </c>
      <c r="BN721" s="2">
        <v>24580670</v>
      </c>
      <c r="BO721" s="2" t="s">
        <v>74</v>
      </c>
      <c r="BP721" s="2" t="s">
        <v>74</v>
      </c>
      <c r="BQ721" s="2" t="s">
        <v>74</v>
      </c>
      <c r="BR721" s="2" t="s">
        <v>74</v>
      </c>
      <c r="BS721" s="2" t="s">
        <v>3959</v>
      </c>
      <c r="BT721" s="2" t="str">
        <f>HYPERLINK("https%3A%2F%2Fwww.webofscience.com%2Fwos%2Fwoscc%2Ffull-record%2FWOS:000326476700019","View Full Record in Web of Science")</f>
        <v>View Full Record in Web of Science</v>
      </c>
    </row>
    <row r="722" spans="1:72" s="2" customFormat="1" x14ac:dyDescent="0.4">
      <c r="A722" s="2" t="s">
        <v>72</v>
      </c>
      <c r="B722" s="2" t="s">
        <v>5638</v>
      </c>
      <c r="C722" s="2" t="s">
        <v>74</v>
      </c>
      <c r="D722" s="2" t="s">
        <v>74</v>
      </c>
      <c r="E722" s="2" t="s">
        <v>74</v>
      </c>
      <c r="F722" s="2" t="s">
        <v>5639</v>
      </c>
      <c r="G722" s="2" t="s">
        <v>74</v>
      </c>
      <c r="H722" s="2" t="s">
        <v>74</v>
      </c>
      <c r="I722" s="2" t="s">
        <v>5640</v>
      </c>
      <c r="J722" s="2" t="s">
        <v>408</v>
      </c>
      <c r="K722" s="2" t="s">
        <v>74</v>
      </c>
      <c r="L722" s="2" t="s">
        <v>74</v>
      </c>
      <c r="M722" s="2" t="s">
        <v>74</v>
      </c>
      <c r="N722" s="2" t="s">
        <v>74</v>
      </c>
      <c r="O722" s="2" t="s">
        <v>74</v>
      </c>
      <c r="P722" s="2" t="s">
        <v>74</v>
      </c>
      <c r="Q722" s="2" t="s">
        <v>74</v>
      </c>
      <c r="R722" s="2" t="s">
        <v>74</v>
      </c>
      <c r="S722" s="2" t="s">
        <v>74</v>
      </c>
      <c r="T722" s="2" t="s">
        <v>74</v>
      </c>
      <c r="U722" s="2" t="s">
        <v>74</v>
      </c>
      <c r="V722" s="5" t="s">
        <v>5641</v>
      </c>
      <c r="W722" s="2" t="s">
        <v>74</v>
      </c>
      <c r="X722" s="2" t="s">
        <v>74</v>
      </c>
      <c r="Y722" s="2" t="s">
        <v>74</v>
      </c>
      <c r="Z722" s="2" t="s">
        <v>74</v>
      </c>
      <c r="AA722" s="2" t="s">
        <v>5642</v>
      </c>
      <c r="AB722" s="2" t="s">
        <v>5643</v>
      </c>
      <c r="AC722" s="2" t="s">
        <v>74</v>
      </c>
      <c r="AD722" s="2" t="s">
        <v>74</v>
      </c>
      <c r="AE722" s="2" t="s">
        <v>74</v>
      </c>
      <c r="AF722" s="2" t="s">
        <v>74</v>
      </c>
      <c r="AG722" s="2" t="s">
        <v>74</v>
      </c>
      <c r="AH722" s="2" t="s">
        <v>74</v>
      </c>
      <c r="AI722" s="2" t="s">
        <v>74</v>
      </c>
      <c r="AJ722" s="2" t="s">
        <v>74</v>
      </c>
      <c r="AK722" s="2" t="s">
        <v>74</v>
      </c>
      <c r="AL722" s="2" t="s">
        <v>74</v>
      </c>
      <c r="AM722" s="2" t="s">
        <v>74</v>
      </c>
      <c r="AN722" s="2" t="s">
        <v>74</v>
      </c>
      <c r="AO722" s="2" t="s">
        <v>412</v>
      </c>
      <c r="AP722" s="2" t="s">
        <v>413</v>
      </c>
      <c r="AQ722" s="2" t="s">
        <v>74</v>
      </c>
      <c r="AR722" s="2" t="s">
        <v>74</v>
      </c>
      <c r="AS722" s="2" t="s">
        <v>74</v>
      </c>
      <c r="AT722" s="2" t="s">
        <v>352</v>
      </c>
      <c r="AU722" s="2">
        <v>2013</v>
      </c>
      <c r="AV722" s="2">
        <v>110</v>
      </c>
      <c r="AW722" s="2">
        <v>1</v>
      </c>
      <c r="AX722" s="2" t="s">
        <v>74</v>
      </c>
      <c r="AY722" s="2" t="s">
        <v>74</v>
      </c>
      <c r="AZ722" s="2" t="s">
        <v>74</v>
      </c>
      <c r="BA722" s="2" t="s">
        <v>74</v>
      </c>
      <c r="BB722" s="2">
        <v>128</v>
      </c>
      <c r="BC722" s="2">
        <v>141</v>
      </c>
      <c r="BD722" s="2" t="s">
        <v>74</v>
      </c>
      <c r="BE722" s="2" t="s">
        <v>5644</v>
      </c>
      <c r="BF722" s="2" t="str">
        <f>HYPERLINK("http://dx.doi.org/10.1111/bij.12104","http://dx.doi.org/10.1111/bij.12104")</f>
        <v>http://dx.doi.org/10.1111/bij.12104</v>
      </c>
      <c r="BG722" s="2" t="s">
        <v>74</v>
      </c>
      <c r="BH722" s="2" t="s">
        <v>74</v>
      </c>
      <c r="BI722" s="2" t="s">
        <v>74</v>
      </c>
      <c r="BJ722" s="2" t="s">
        <v>74</v>
      </c>
      <c r="BK722" s="2" t="s">
        <v>74</v>
      </c>
      <c r="BL722" s="2" t="s">
        <v>74</v>
      </c>
      <c r="BM722" s="2" t="s">
        <v>74</v>
      </c>
      <c r="BN722" s="2" t="s">
        <v>74</v>
      </c>
      <c r="BO722" s="2" t="s">
        <v>74</v>
      </c>
      <c r="BP722" s="2" t="s">
        <v>74</v>
      </c>
      <c r="BQ722" s="2" t="s">
        <v>74</v>
      </c>
      <c r="BR722" s="2" t="s">
        <v>74</v>
      </c>
      <c r="BS722" s="2" t="s">
        <v>5645</v>
      </c>
      <c r="BT722" s="2" t="str">
        <f>HYPERLINK("https%3A%2F%2Fwww.webofscience.com%2Fwos%2Fwoscc%2Ffull-record%2FWOS:000323040200010","View Full Record in Web of Science")</f>
        <v>View Full Record in Web of Science</v>
      </c>
    </row>
    <row r="723" spans="1:72" s="2" customFormat="1" x14ac:dyDescent="0.4">
      <c r="A723" s="2" t="s">
        <v>72</v>
      </c>
      <c r="B723" s="2" t="s">
        <v>3806</v>
      </c>
      <c r="C723" s="2" t="s">
        <v>74</v>
      </c>
      <c r="D723" s="2" t="s">
        <v>74</v>
      </c>
      <c r="E723" s="2" t="s">
        <v>74</v>
      </c>
      <c r="F723" s="2" t="s">
        <v>3807</v>
      </c>
      <c r="G723" s="2" t="s">
        <v>74</v>
      </c>
      <c r="H723" s="2" t="s">
        <v>74</v>
      </c>
      <c r="I723" s="2" t="s">
        <v>3808</v>
      </c>
      <c r="J723" s="2" t="s">
        <v>333</v>
      </c>
      <c r="K723" s="2" t="s">
        <v>74</v>
      </c>
      <c r="L723" s="2" t="s">
        <v>74</v>
      </c>
      <c r="M723" s="2" t="s">
        <v>74</v>
      </c>
      <c r="N723" s="2" t="s">
        <v>74</v>
      </c>
      <c r="O723" s="2" t="s">
        <v>74</v>
      </c>
      <c r="P723" s="2" t="s">
        <v>74</v>
      </c>
      <c r="Q723" s="2" t="s">
        <v>74</v>
      </c>
      <c r="R723" s="2" t="s">
        <v>74</v>
      </c>
      <c r="S723" s="2" t="s">
        <v>74</v>
      </c>
      <c r="T723" s="2" t="s">
        <v>74</v>
      </c>
      <c r="U723" s="2" t="s">
        <v>74</v>
      </c>
      <c r="V723" s="5" t="s">
        <v>3809</v>
      </c>
      <c r="W723" s="2" t="s">
        <v>74</v>
      </c>
      <c r="X723" s="2" t="s">
        <v>74</v>
      </c>
      <c r="Y723" s="2" t="s">
        <v>74</v>
      </c>
      <c r="Z723" s="2" t="s">
        <v>74</v>
      </c>
      <c r="AA723" s="2" t="s">
        <v>3810</v>
      </c>
      <c r="AB723" s="2" t="s">
        <v>3811</v>
      </c>
      <c r="AC723" s="2" t="s">
        <v>74</v>
      </c>
      <c r="AD723" s="2" t="s">
        <v>74</v>
      </c>
      <c r="AE723" s="2" t="s">
        <v>74</v>
      </c>
      <c r="AF723" s="2" t="s">
        <v>74</v>
      </c>
      <c r="AG723" s="2" t="s">
        <v>74</v>
      </c>
      <c r="AH723" s="2" t="s">
        <v>74</v>
      </c>
      <c r="AI723" s="2" t="s">
        <v>74</v>
      </c>
      <c r="AJ723" s="2" t="s">
        <v>74</v>
      </c>
      <c r="AK723" s="2" t="s">
        <v>74</v>
      </c>
      <c r="AL723" s="2" t="s">
        <v>74</v>
      </c>
      <c r="AM723" s="2" t="s">
        <v>74</v>
      </c>
      <c r="AN723" s="2" t="s">
        <v>74</v>
      </c>
      <c r="AO723" s="2" t="s">
        <v>337</v>
      </c>
      <c r="AP723" s="2" t="s">
        <v>338</v>
      </c>
      <c r="AQ723" s="2" t="s">
        <v>74</v>
      </c>
      <c r="AR723" s="2" t="s">
        <v>74</v>
      </c>
      <c r="AS723" s="2" t="s">
        <v>74</v>
      </c>
      <c r="AT723" s="2" t="s">
        <v>1475</v>
      </c>
      <c r="AU723" s="2">
        <v>2016</v>
      </c>
      <c r="AV723" s="2">
        <v>27</v>
      </c>
      <c r="AW723" s="2">
        <v>1</v>
      </c>
      <c r="AX723" s="2" t="s">
        <v>74</v>
      </c>
      <c r="AY723" s="2" t="s">
        <v>74</v>
      </c>
      <c r="AZ723" s="2" t="s">
        <v>74</v>
      </c>
      <c r="BA723" s="2" t="s">
        <v>74</v>
      </c>
      <c r="BB723" s="2">
        <v>262</v>
      </c>
      <c r="BC723" s="2">
        <v>270</v>
      </c>
      <c r="BD723" s="2" t="s">
        <v>74</v>
      </c>
      <c r="BE723" s="2" t="s">
        <v>3812</v>
      </c>
      <c r="BF723" s="2" t="str">
        <f>HYPERLINK("http://dx.doi.org/10.1093/beheco/arv149","http://dx.doi.org/10.1093/beheco/arv149")</f>
        <v>http://dx.doi.org/10.1093/beheco/arv149</v>
      </c>
      <c r="BG723" s="2" t="s">
        <v>74</v>
      </c>
      <c r="BH723" s="2" t="s">
        <v>74</v>
      </c>
      <c r="BI723" s="2" t="s">
        <v>74</v>
      </c>
      <c r="BJ723" s="2" t="s">
        <v>74</v>
      </c>
      <c r="BK723" s="2" t="s">
        <v>74</v>
      </c>
      <c r="BL723" s="2" t="s">
        <v>74</v>
      </c>
      <c r="BM723" s="2" t="s">
        <v>74</v>
      </c>
      <c r="BN723" s="2" t="s">
        <v>74</v>
      </c>
      <c r="BO723" s="2" t="s">
        <v>74</v>
      </c>
      <c r="BP723" s="2" t="s">
        <v>74</v>
      </c>
      <c r="BQ723" s="2" t="s">
        <v>74</v>
      </c>
      <c r="BR723" s="2" t="s">
        <v>74</v>
      </c>
      <c r="BS723" s="2" t="s">
        <v>3813</v>
      </c>
      <c r="BT723" s="2" t="str">
        <f>HYPERLINK("https%3A%2F%2Fwww.webofscience.com%2Fwos%2Fwoscc%2Ffull-record%2FWOS:000374768300038","View Full Record in Web of Science")</f>
        <v>View Full Record in Web of Science</v>
      </c>
    </row>
    <row r="724" spans="1:72" s="2" customFormat="1" x14ac:dyDescent="0.4">
      <c r="A724" s="2" t="s">
        <v>72</v>
      </c>
      <c r="B724" s="2" t="s">
        <v>1412</v>
      </c>
      <c r="C724" s="2" t="s">
        <v>74</v>
      </c>
      <c r="D724" s="2" t="s">
        <v>74</v>
      </c>
      <c r="E724" s="2" t="s">
        <v>74</v>
      </c>
      <c r="F724" s="2" t="s">
        <v>1413</v>
      </c>
      <c r="G724" s="2" t="s">
        <v>74</v>
      </c>
      <c r="H724" s="2" t="s">
        <v>74</v>
      </c>
      <c r="I724" s="2" t="s">
        <v>1414</v>
      </c>
      <c r="J724" s="2" t="s">
        <v>312</v>
      </c>
      <c r="K724" s="2" t="s">
        <v>74</v>
      </c>
      <c r="L724" s="2" t="s">
        <v>74</v>
      </c>
      <c r="M724" s="2" t="s">
        <v>74</v>
      </c>
      <c r="N724" s="2" t="s">
        <v>74</v>
      </c>
      <c r="O724" s="2" t="s">
        <v>74</v>
      </c>
      <c r="P724" s="2" t="s">
        <v>74</v>
      </c>
      <c r="Q724" s="2" t="s">
        <v>74</v>
      </c>
      <c r="R724" s="2" t="s">
        <v>74</v>
      </c>
      <c r="S724" s="2" t="s">
        <v>74</v>
      </c>
      <c r="T724" s="2" t="s">
        <v>74</v>
      </c>
      <c r="U724" s="2" t="s">
        <v>74</v>
      </c>
      <c r="V724" s="5" t="s">
        <v>1415</v>
      </c>
      <c r="W724" s="2" t="s">
        <v>74</v>
      </c>
      <c r="X724" s="2" t="s">
        <v>74</v>
      </c>
      <c r="Y724" s="2" t="s">
        <v>74</v>
      </c>
      <c r="Z724" s="2" t="s">
        <v>74</v>
      </c>
      <c r="AA724" s="2" t="s">
        <v>1416</v>
      </c>
      <c r="AB724" s="2" t="s">
        <v>74</v>
      </c>
      <c r="AC724" s="2" t="s">
        <v>74</v>
      </c>
      <c r="AD724" s="2" t="s">
        <v>74</v>
      </c>
      <c r="AE724" s="2" t="s">
        <v>74</v>
      </c>
      <c r="AF724" s="2" t="s">
        <v>74</v>
      </c>
      <c r="AG724" s="2" t="s">
        <v>74</v>
      </c>
      <c r="AH724" s="2" t="s">
        <v>74</v>
      </c>
      <c r="AI724" s="2" t="s">
        <v>74</v>
      </c>
      <c r="AJ724" s="2" t="s">
        <v>74</v>
      </c>
      <c r="AK724" s="2" t="s">
        <v>74</v>
      </c>
      <c r="AL724" s="2" t="s">
        <v>74</v>
      </c>
      <c r="AM724" s="2" t="s">
        <v>74</v>
      </c>
      <c r="AN724" s="2" t="s">
        <v>74</v>
      </c>
      <c r="AO724" s="2" t="s">
        <v>314</v>
      </c>
      <c r="AP724" s="2" t="s">
        <v>315</v>
      </c>
      <c r="AQ724" s="2" t="s">
        <v>74</v>
      </c>
      <c r="AR724" s="2" t="s">
        <v>74</v>
      </c>
      <c r="AS724" s="2" t="s">
        <v>74</v>
      </c>
      <c r="AT724" s="2" t="s">
        <v>633</v>
      </c>
      <c r="AU724" s="2">
        <v>2015</v>
      </c>
      <c r="AV724" s="2">
        <v>185</v>
      </c>
      <c r="AW724" s="2">
        <v>4</v>
      </c>
      <c r="AX724" s="2" t="s">
        <v>74</v>
      </c>
      <c r="AY724" s="2" t="s">
        <v>74</v>
      </c>
      <c r="AZ724" s="2" t="s">
        <v>74</v>
      </c>
      <c r="BA724" s="2" t="s">
        <v>74</v>
      </c>
      <c r="BB724" s="2">
        <v>443</v>
      </c>
      <c r="BC724" s="2">
        <v>451</v>
      </c>
      <c r="BD724" s="2" t="s">
        <v>74</v>
      </c>
      <c r="BE724" s="2" t="s">
        <v>1417</v>
      </c>
      <c r="BF724" s="2" t="str">
        <f>HYPERLINK("http://dx.doi.org/10.1086/680206","http://dx.doi.org/10.1086/680206")</f>
        <v>http://dx.doi.org/10.1086/680206</v>
      </c>
      <c r="BG724" s="2" t="s">
        <v>74</v>
      </c>
      <c r="BH724" s="2" t="s">
        <v>74</v>
      </c>
      <c r="BI724" s="2" t="s">
        <v>74</v>
      </c>
      <c r="BJ724" s="2" t="s">
        <v>74</v>
      </c>
      <c r="BK724" s="2" t="s">
        <v>74</v>
      </c>
      <c r="BL724" s="2" t="s">
        <v>74</v>
      </c>
      <c r="BM724" s="2" t="s">
        <v>74</v>
      </c>
      <c r="BN724" s="2">
        <v>25811081</v>
      </c>
      <c r="BO724" s="2" t="s">
        <v>74</v>
      </c>
      <c r="BP724" s="2" t="s">
        <v>74</v>
      </c>
      <c r="BQ724" s="2" t="s">
        <v>74</v>
      </c>
      <c r="BR724" s="2" t="s">
        <v>74</v>
      </c>
      <c r="BS724" s="2" t="s">
        <v>1418</v>
      </c>
      <c r="BT724" s="2" t="str">
        <f>HYPERLINK("https%3A%2F%2Fwww.webofscience.com%2Fwos%2Fwoscc%2Ffull-record%2FWOS:000351859700005","View Full Record in Web of Science")</f>
        <v>View Full Record in Web of Science</v>
      </c>
    </row>
    <row r="725" spans="1:72" s="2" customFormat="1" x14ac:dyDescent="0.4">
      <c r="A725" s="2" t="s">
        <v>72</v>
      </c>
      <c r="B725" s="2" t="s">
        <v>689</v>
      </c>
      <c r="C725" s="2" t="s">
        <v>74</v>
      </c>
      <c r="D725" s="2" t="s">
        <v>74</v>
      </c>
      <c r="E725" s="2" t="s">
        <v>74</v>
      </c>
      <c r="F725" s="2" t="s">
        <v>689</v>
      </c>
      <c r="G725" s="2" t="s">
        <v>74</v>
      </c>
      <c r="H725" s="2" t="s">
        <v>74</v>
      </c>
      <c r="I725" s="2" t="s">
        <v>690</v>
      </c>
      <c r="J725" s="2" t="s">
        <v>691</v>
      </c>
      <c r="K725" s="2" t="s">
        <v>74</v>
      </c>
      <c r="L725" s="2" t="s">
        <v>74</v>
      </c>
      <c r="M725" s="2" t="s">
        <v>74</v>
      </c>
      <c r="N725" s="2" t="s">
        <v>74</v>
      </c>
      <c r="O725" s="2" t="s">
        <v>74</v>
      </c>
      <c r="P725" s="2" t="s">
        <v>74</v>
      </c>
      <c r="Q725" s="2" t="s">
        <v>74</v>
      </c>
      <c r="R725" s="2" t="s">
        <v>74</v>
      </c>
      <c r="S725" s="2" t="s">
        <v>74</v>
      </c>
      <c r="T725" s="2" t="s">
        <v>74</v>
      </c>
      <c r="U725" s="2" t="s">
        <v>74</v>
      </c>
      <c r="V725" s="5" t="s">
        <v>692</v>
      </c>
      <c r="W725" s="2" t="s">
        <v>74</v>
      </c>
      <c r="X725" s="2" t="s">
        <v>74</v>
      </c>
      <c r="Y725" s="2" t="s">
        <v>74</v>
      </c>
      <c r="Z725" s="2" t="s">
        <v>74</v>
      </c>
      <c r="AA725" s="2" t="s">
        <v>693</v>
      </c>
      <c r="AB725" s="2" t="s">
        <v>694</v>
      </c>
      <c r="AC725" s="2" t="s">
        <v>74</v>
      </c>
      <c r="AD725" s="2" t="s">
        <v>74</v>
      </c>
      <c r="AE725" s="2" t="s">
        <v>74</v>
      </c>
      <c r="AF725" s="2" t="s">
        <v>74</v>
      </c>
      <c r="AG725" s="2" t="s">
        <v>74</v>
      </c>
      <c r="AH725" s="2" t="s">
        <v>74</v>
      </c>
      <c r="AI725" s="2" t="s">
        <v>74</v>
      </c>
      <c r="AJ725" s="2" t="s">
        <v>74</v>
      </c>
      <c r="AK725" s="2" t="s">
        <v>74</v>
      </c>
      <c r="AL725" s="2" t="s">
        <v>74</v>
      </c>
      <c r="AM725" s="2" t="s">
        <v>74</v>
      </c>
      <c r="AN725" s="2" t="s">
        <v>74</v>
      </c>
      <c r="AO725" s="2" t="s">
        <v>695</v>
      </c>
      <c r="AP725" s="2" t="s">
        <v>74</v>
      </c>
      <c r="AQ725" s="2" t="s">
        <v>74</v>
      </c>
      <c r="AR725" s="2" t="s">
        <v>74</v>
      </c>
      <c r="AS725" s="2" t="s">
        <v>74</v>
      </c>
      <c r="AT725" s="2" t="s">
        <v>145</v>
      </c>
      <c r="AU725" s="2">
        <v>1995</v>
      </c>
      <c r="AV725" s="2">
        <v>58</v>
      </c>
      <c r="AW725" s="2">
        <v>2</v>
      </c>
      <c r="AX725" s="2" t="s">
        <v>74</v>
      </c>
      <c r="AY725" s="2" t="s">
        <v>74</v>
      </c>
      <c r="AZ725" s="2" t="s">
        <v>74</v>
      </c>
      <c r="BA725" s="2" t="s">
        <v>74</v>
      </c>
      <c r="BB725" s="2">
        <v>323</v>
      </c>
      <c r="BC725" s="2">
        <v>328</v>
      </c>
      <c r="BD725" s="2" t="s">
        <v>74</v>
      </c>
      <c r="BE725" s="2" t="s">
        <v>696</v>
      </c>
      <c r="BF725" s="2" t="str">
        <f>HYPERLINK("http://dx.doi.org/10.1016/0031-9384(95)00061-M","http://dx.doi.org/10.1016/0031-9384(95)00061-M")</f>
        <v>http://dx.doi.org/10.1016/0031-9384(95)00061-M</v>
      </c>
      <c r="BG725" s="2" t="s">
        <v>74</v>
      </c>
      <c r="BH725" s="2" t="s">
        <v>74</v>
      </c>
      <c r="BI725" s="2" t="s">
        <v>74</v>
      </c>
      <c r="BJ725" s="2" t="s">
        <v>74</v>
      </c>
      <c r="BK725" s="2" t="s">
        <v>74</v>
      </c>
      <c r="BL725" s="2" t="s">
        <v>74</v>
      </c>
      <c r="BM725" s="2" t="s">
        <v>74</v>
      </c>
      <c r="BN725" s="2">
        <v>7568436</v>
      </c>
      <c r="BO725" s="2" t="s">
        <v>74</v>
      </c>
      <c r="BP725" s="2" t="s">
        <v>74</v>
      </c>
      <c r="BQ725" s="2" t="s">
        <v>74</v>
      </c>
      <c r="BR725" s="2" t="s">
        <v>74</v>
      </c>
      <c r="BS725" s="2" t="s">
        <v>697</v>
      </c>
      <c r="BT725" s="2" t="str">
        <f>HYPERLINK("https%3A%2F%2Fwww.webofscience.com%2Fwos%2Fwoscc%2Ffull-record%2FWOS:A1995RH18300016","View Full Record in Web of Science")</f>
        <v>View Full Record in Web of Science</v>
      </c>
    </row>
    <row r="726" spans="1:72" s="2" customFormat="1" x14ac:dyDescent="0.4">
      <c r="A726" s="2" t="s">
        <v>72</v>
      </c>
      <c r="B726" s="2" t="s">
        <v>7812</v>
      </c>
      <c r="C726" s="2" t="s">
        <v>74</v>
      </c>
      <c r="D726" s="2" t="s">
        <v>74</v>
      </c>
      <c r="E726" s="2" t="s">
        <v>74</v>
      </c>
      <c r="F726" s="2" t="s">
        <v>7813</v>
      </c>
      <c r="G726" s="2" t="s">
        <v>74</v>
      </c>
      <c r="H726" s="2" t="s">
        <v>74</v>
      </c>
      <c r="I726" s="2" t="s">
        <v>7814</v>
      </c>
      <c r="J726" s="2" t="s">
        <v>803</v>
      </c>
      <c r="K726" s="2" t="s">
        <v>74</v>
      </c>
      <c r="L726" s="2" t="s">
        <v>74</v>
      </c>
      <c r="M726" s="2" t="s">
        <v>74</v>
      </c>
      <c r="N726" s="2" t="s">
        <v>74</v>
      </c>
      <c r="O726" s="2" t="s">
        <v>74</v>
      </c>
      <c r="P726" s="2" t="s">
        <v>74</v>
      </c>
      <c r="Q726" s="2" t="s">
        <v>74</v>
      </c>
      <c r="R726" s="2" t="s">
        <v>74</v>
      </c>
      <c r="S726" s="2" t="s">
        <v>74</v>
      </c>
      <c r="T726" s="2" t="s">
        <v>74</v>
      </c>
      <c r="U726" s="2" t="s">
        <v>74</v>
      </c>
      <c r="V726" s="5" t="s">
        <v>7815</v>
      </c>
      <c r="W726" s="2" t="s">
        <v>74</v>
      </c>
      <c r="X726" s="2" t="s">
        <v>74</v>
      </c>
      <c r="Y726" s="2" t="s">
        <v>74</v>
      </c>
      <c r="Z726" s="2" t="s">
        <v>74</v>
      </c>
      <c r="AA726" s="2" t="s">
        <v>7816</v>
      </c>
      <c r="AB726" s="2" t="s">
        <v>7817</v>
      </c>
      <c r="AC726" s="2" t="s">
        <v>74</v>
      </c>
      <c r="AD726" s="2" t="s">
        <v>74</v>
      </c>
      <c r="AE726" s="2" t="s">
        <v>74</v>
      </c>
      <c r="AF726" s="2" t="s">
        <v>74</v>
      </c>
      <c r="AG726" s="2" t="s">
        <v>74</v>
      </c>
      <c r="AH726" s="2" t="s">
        <v>74</v>
      </c>
      <c r="AI726" s="2" t="s">
        <v>74</v>
      </c>
      <c r="AJ726" s="2" t="s">
        <v>74</v>
      </c>
      <c r="AK726" s="2" t="s">
        <v>74</v>
      </c>
      <c r="AL726" s="2" t="s">
        <v>74</v>
      </c>
      <c r="AM726" s="2" t="s">
        <v>74</v>
      </c>
      <c r="AN726" s="2" t="s">
        <v>74</v>
      </c>
      <c r="AO726" s="2" t="s">
        <v>806</v>
      </c>
      <c r="AP726" s="2" t="s">
        <v>807</v>
      </c>
      <c r="AQ726" s="2" t="s">
        <v>74</v>
      </c>
      <c r="AR726" s="2" t="s">
        <v>74</v>
      </c>
      <c r="AS726" s="2" t="s">
        <v>74</v>
      </c>
      <c r="AT726" s="2" t="s">
        <v>1475</v>
      </c>
      <c r="AU726" s="2">
        <v>2021</v>
      </c>
      <c r="AV726" s="2">
        <v>41</v>
      </c>
      <c r="AW726" s="2" t="s">
        <v>74</v>
      </c>
      <c r="AX726" s="2" t="s">
        <v>74</v>
      </c>
      <c r="AY726" s="2" t="s">
        <v>74</v>
      </c>
      <c r="AZ726" s="2" t="s">
        <v>74</v>
      </c>
      <c r="BA726" s="2" t="s">
        <v>74</v>
      </c>
      <c r="BB726" s="2">
        <v>12</v>
      </c>
      <c r="BC726" s="2">
        <v>21</v>
      </c>
      <c r="BD726" s="2" t="s">
        <v>74</v>
      </c>
      <c r="BE726" s="2" t="s">
        <v>7818</v>
      </c>
      <c r="BF726" s="2" t="str">
        <f>HYPERLINK("http://dx.doi.org/10.1016/j.jveb.2020.10.007","http://dx.doi.org/10.1016/j.jveb.2020.10.007")</f>
        <v>http://dx.doi.org/10.1016/j.jveb.2020.10.007</v>
      </c>
      <c r="BG726" s="2" t="s">
        <v>74</v>
      </c>
      <c r="BH726" s="2" t="s">
        <v>74</v>
      </c>
      <c r="BI726" s="2" t="s">
        <v>74</v>
      </c>
      <c r="BJ726" s="2" t="s">
        <v>74</v>
      </c>
      <c r="BK726" s="2" t="s">
        <v>74</v>
      </c>
      <c r="BL726" s="2" t="s">
        <v>74</v>
      </c>
      <c r="BM726" s="2" t="s">
        <v>74</v>
      </c>
      <c r="BN726" s="2" t="s">
        <v>74</v>
      </c>
      <c r="BO726" s="2" t="s">
        <v>74</v>
      </c>
      <c r="BP726" s="2" t="s">
        <v>74</v>
      </c>
      <c r="BQ726" s="2" t="s">
        <v>74</v>
      </c>
      <c r="BR726" s="2" t="s">
        <v>74</v>
      </c>
      <c r="BS726" s="2" t="s">
        <v>7819</v>
      </c>
      <c r="BT726" s="2" t="str">
        <f>HYPERLINK("https%3A%2F%2Fwww.webofscience.com%2Fwos%2Fwoscc%2Ffull-record%2FWOS:000632186500001","View Full Record in Web of Science")</f>
        <v>View Full Record in Web of Science</v>
      </c>
    </row>
    <row r="727" spans="1:72" s="2" customFormat="1" x14ac:dyDescent="0.4">
      <c r="A727" s="2" t="s">
        <v>72</v>
      </c>
      <c r="B727" s="2" t="s">
        <v>5673</v>
      </c>
      <c r="C727" s="2" t="s">
        <v>74</v>
      </c>
      <c r="D727" s="2" t="s">
        <v>74</v>
      </c>
      <c r="E727" s="2" t="s">
        <v>74</v>
      </c>
      <c r="F727" s="2" t="s">
        <v>5674</v>
      </c>
      <c r="G727" s="2" t="s">
        <v>74</v>
      </c>
      <c r="H727" s="2" t="s">
        <v>74</v>
      </c>
      <c r="I727" s="2" t="s">
        <v>5675</v>
      </c>
      <c r="J727" s="2" t="s">
        <v>129</v>
      </c>
      <c r="K727" s="2" t="s">
        <v>74</v>
      </c>
      <c r="L727" s="2" t="s">
        <v>74</v>
      </c>
      <c r="M727" s="2" t="s">
        <v>74</v>
      </c>
      <c r="N727" s="2" t="s">
        <v>74</v>
      </c>
      <c r="O727" s="2" t="s">
        <v>74</v>
      </c>
      <c r="P727" s="2" t="s">
        <v>74</v>
      </c>
      <c r="Q727" s="2" t="s">
        <v>74</v>
      </c>
      <c r="R727" s="2" t="s">
        <v>74</v>
      </c>
      <c r="S727" s="2" t="s">
        <v>74</v>
      </c>
      <c r="T727" s="2" t="s">
        <v>74</v>
      </c>
      <c r="U727" s="2" t="s">
        <v>74</v>
      </c>
      <c r="V727" s="5" t="s">
        <v>5676</v>
      </c>
      <c r="W727" s="2" t="s">
        <v>74</v>
      </c>
      <c r="X727" s="2" t="s">
        <v>74</v>
      </c>
      <c r="Y727" s="2" t="s">
        <v>74</v>
      </c>
      <c r="Z727" s="2" t="s">
        <v>74</v>
      </c>
      <c r="AA727" s="2" t="s">
        <v>5677</v>
      </c>
      <c r="AB727" s="2" t="s">
        <v>5678</v>
      </c>
      <c r="AC727" s="2" t="s">
        <v>74</v>
      </c>
      <c r="AD727" s="2" t="s">
        <v>74</v>
      </c>
      <c r="AE727" s="2" t="s">
        <v>74</v>
      </c>
      <c r="AF727" s="2" t="s">
        <v>74</v>
      </c>
      <c r="AG727" s="2" t="s">
        <v>74</v>
      </c>
      <c r="AH727" s="2" t="s">
        <v>74</v>
      </c>
      <c r="AI727" s="2" t="s">
        <v>74</v>
      </c>
      <c r="AJ727" s="2" t="s">
        <v>74</v>
      </c>
      <c r="AK727" s="2" t="s">
        <v>74</v>
      </c>
      <c r="AL727" s="2" t="s">
        <v>74</v>
      </c>
      <c r="AM727" s="2" t="s">
        <v>74</v>
      </c>
      <c r="AN727" s="2" t="s">
        <v>74</v>
      </c>
      <c r="AO727" s="2" t="s">
        <v>132</v>
      </c>
      <c r="AP727" s="2" t="s">
        <v>133</v>
      </c>
      <c r="AQ727" s="2" t="s">
        <v>74</v>
      </c>
      <c r="AR727" s="2" t="s">
        <v>74</v>
      </c>
      <c r="AS727" s="2" t="s">
        <v>74</v>
      </c>
      <c r="AT727" s="2" t="s">
        <v>305</v>
      </c>
      <c r="AU727" s="2">
        <v>2018</v>
      </c>
      <c r="AV727" s="2">
        <v>72</v>
      </c>
      <c r="AW727" s="2">
        <v>12</v>
      </c>
      <c r="AX727" s="2" t="s">
        <v>74</v>
      </c>
      <c r="AY727" s="2" t="s">
        <v>74</v>
      </c>
      <c r="AZ727" s="2" t="s">
        <v>74</v>
      </c>
      <c r="BA727" s="2" t="s">
        <v>74</v>
      </c>
      <c r="BB727" s="2" t="s">
        <v>74</v>
      </c>
      <c r="BC727" s="2" t="s">
        <v>74</v>
      </c>
      <c r="BD727" s="2">
        <v>189</v>
      </c>
      <c r="BE727" s="2" t="s">
        <v>5679</v>
      </c>
      <c r="BF727" s="2" t="str">
        <f>HYPERLINK("http://dx.doi.org/10.1007/s00265-018-2617-0","http://dx.doi.org/10.1007/s00265-018-2617-0")</f>
        <v>http://dx.doi.org/10.1007/s00265-018-2617-0</v>
      </c>
      <c r="BG727" s="2" t="s">
        <v>74</v>
      </c>
      <c r="BH727" s="2" t="s">
        <v>74</v>
      </c>
      <c r="BI727" s="2" t="s">
        <v>74</v>
      </c>
      <c r="BJ727" s="2" t="s">
        <v>74</v>
      </c>
      <c r="BK727" s="2" t="s">
        <v>74</v>
      </c>
      <c r="BL727" s="2" t="s">
        <v>74</v>
      </c>
      <c r="BM727" s="2" t="s">
        <v>74</v>
      </c>
      <c r="BN727" s="2" t="s">
        <v>74</v>
      </c>
      <c r="BO727" s="2" t="s">
        <v>74</v>
      </c>
      <c r="BP727" s="2" t="s">
        <v>74</v>
      </c>
      <c r="BQ727" s="2" t="s">
        <v>74</v>
      </c>
      <c r="BR727" s="2" t="s">
        <v>74</v>
      </c>
      <c r="BS727" s="2" t="s">
        <v>5680</v>
      </c>
      <c r="BT727" s="2" t="str">
        <f>HYPERLINK("https%3A%2F%2Fwww.webofscience.com%2Fwos%2Fwoscc%2Ffull-record%2FWOS:000451753200001","View Full Record in Web of Science")</f>
        <v>View Full Record in Web of Science</v>
      </c>
    </row>
    <row r="728" spans="1:72" s="2" customFormat="1" x14ac:dyDescent="0.4">
      <c r="A728" s="2" t="s">
        <v>72</v>
      </c>
      <c r="B728" s="2" t="s">
        <v>5395</v>
      </c>
      <c r="C728" s="2" t="s">
        <v>74</v>
      </c>
      <c r="D728" s="2" t="s">
        <v>74</v>
      </c>
      <c r="E728" s="2" t="s">
        <v>74</v>
      </c>
      <c r="F728" s="2" t="s">
        <v>5396</v>
      </c>
      <c r="G728" s="2" t="s">
        <v>74</v>
      </c>
      <c r="H728" s="2" t="s">
        <v>74</v>
      </c>
      <c r="I728" s="2" t="s">
        <v>5397</v>
      </c>
      <c r="J728" s="2" t="s">
        <v>1656</v>
      </c>
      <c r="K728" s="2" t="s">
        <v>74</v>
      </c>
      <c r="L728" s="2" t="s">
        <v>74</v>
      </c>
      <c r="M728" s="2" t="s">
        <v>74</v>
      </c>
      <c r="N728" s="2" t="s">
        <v>74</v>
      </c>
      <c r="O728" s="2" t="s">
        <v>74</v>
      </c>
      <c r="P728" s="2" t="s">
        <v>74</v>
      </c>
      <c r="Q728" s="2" t="s">
        <v>74</v>
      </c>
      <c r="R728" s="2" t="s">
        <v>74</v>
      </c>
      <c r="S728" s="2" t="s">
        <v>74</v>
      </c>
      <c r="T728" s="2" t="s">
        <v>74</v>
      </c>
      <c r="U728" s="2" t="s">
        <v>74</v>
      </c>
      <c r="V728" s="5" t="s">
        <v>5398</v>
      </c>
      <c r="W728" s="2" t="s">
        <v>74</v>
      </c>
      <c r="X728" s="2" t="s">
        <v>74</v>
      </c>
      <c r="Y728" s="2" t="s">
        <v>74</v>
      </c>
      <c r="Z728" s="2" t="s">
        <v>74</v>
      </c>
      <c r="AA728" s="2" t="s">
        <v>5399</v>
      </c>
      <c r="AB728" s="2" t="s">
        <v>5400</v>
      </c>
      <c r="AC728" s="2" t="s">
        <v>74</v>
      </c>
      <c r="AD728" s="2" t="s">
        <v>74</v>
      </c>
      <c r="AE728" s="2" t="s">
        <v>74</v>
      </c>
      <c r="AF728" s="2" t="s">
        <v>74</v>
      </c>
      <c r="AG728" s="2" t="s">
        <v>74</v>
      </c>
      <c r="AH728" s="2" t="s">
        <v>74</v>
      </c>
      <c r="AI728" s="2" t="s">
        <v>74</v>
      </c>
      <c r="AJ728" s="2" t="s">
        <v>74</v>
      </c>
      <c r="AK728" s="2" t="s">
        <v>74</v>
      </c>
      <c r="AL728" s="2" t="s">
        <v>74</v>
      </c>
      <c r="AM728" s="2" t="s">
        <v>74</v>
      </c>
      <c r="AN728" s="2" t="s">
        <v>74</v>
      </c>
      <c r="AO728" s="2" t="s">
        <v>1658</v>
      </c>
      <c r="AP728" s="2" t="s">
        <v>1659</v>
      </c>
      <c r="AQ728" s="2" t="s">
        <v>74</v>
      </c>
      <c r="AR728" s="2" t="s">
        <v>74</v>
      </c>
      <c r="AS728" s="2" t="s">
        <v>74</v>
      </c>
      <c r="AT728" s="2" t="s">
        <v>5401</v>
      </c>
      <c r="AU728" s="2">
        <v>2014</v>
      </c>
      <c r="AV728" s="2">
        <v>3893</v>
      </c>
      <c r="AW728" s="2">
        <v>2</v>
      </c>
      <c r="AX728" s="2" t="s">
        <v>74</v>
      </c>
      <c r="AY728" s="2" t="s">
        <v>74</v>
      </c>
      <c r="AZ728" s="2" t="s">
        <v>74</v>
      </c>
      <c r="BA728" s="2" t="s">
        <v>74</v>
      </c>
      <c r="BB728" s="2">
        <v>277</v>
      </c>
      <c r="BC728" s="2">
        <v>292</v>
      </c>
      <c r="BD728" s="2" t="s">
        <v>74</v>
      </c>
      <c r="BE728" s="2" t="s">
        <v>5402</v>
      </c>
      <c r="BF728" s="2" t="str">
        <f>HYPERLINK("http://dx.doi.org/10.11646/zootaxa.3893.2.7","http://dx.doi.org/10.11646/zootaxa.3893.2.7")</f>
        <v>http://dx.doi.org/10.11646/zootaxa.3893.2.7</v>
      </c>
      <c r="BG728" s="2" t="s">
        <v>74</v>
      </c>
      <c r="BH728" s="2" t="s">
        <v>74</v>
      </c>
      <c r="BI728" s="2" t="s">
        <v>74</v>
      </c>
      <c r="BJ728" s="2" t="s">
        <v>74</v>
      </c>
      <c r="BK728" s="2" t="s">
        <v>74</v>
      </c>
      <c r="BL728" s="2" t="s">
        <v>74</v>
      </c>
      <c r="BM728" s="2" t="s">
        <v>74</v>
      </c>
      <c r="BN728" s="2">
        <v>25544523</v>
      </c>
      <c r="BO728" s="2" t="s">
        <v>74</v>
      </c>
      <c r="BP728" s="2" t="s">
        <v>74</v>
      </c>
      <c r="BQ728" s="2" t="s">
        <v>74</v>
      </c>
      <c r="BR728" s="2" t="s">
        <v>74</v>
      </c>
      <c r="BS728" s="2" t="s">
        <v>5403</v>
      </c>
      <c r="BT728" s="2" t="str">
        <f>HYPERLINK("https%3A%2F%2Fwww.webofscience.com%2Fwos%2Fwoscc%2Ffull-record%2FWOS:000346874900007","View Full Record in Web of Science")</f>
        <v>View Full Record in Web of Science</v>
      </c>
    </row>
    <row r="729" spans="1:72" s="7" customFormat="1" x14ac:dyDescent="0.4">
      <c r="A729" s="2" t="s">
        <v>72</v>
      </c>
      <c r="B729" s="2" t="s">
        <v>5188</v>
      </c>
      <c r="C729" s="2" t="s">
        <v>74</v>
      </c>
      <c r="D729" s="2" t="s">
        <v>74</v>
      </c>
      <c r="E729" s="2" t="s">
        <v>74</v>
      </c>
      <c r="F729" s="2" t="s">
        <v>5188</v>
      </c>
      <c r="G729" s="2" t="s">
        <v>74</v>
      </c>
      <c r="H729" s="2" t="s">
        <v>74</v>
      </c>
      <c r="I729" s="2" t="s">
        <v>5189</v>
      </c>
      <c r="J729" s="2" t="s">
        <v>431</v>
      </c>
      <c r="K729" s="2" t="s">
        <v>74</v>
      </c>
      <c r="L729" s="2" t="s">
        <v>74</v>
      </c>
      <c r="M729" s="2" t="s">
        <v>74</v>
      </c>
      <c r="N729" s="2" t="s">
        <v>74</v>
      </c>
      <c r="O729" s="2" t="s">
        <v>74</v>
      </c>
      <c r="P729" s="2" t="s">
        <v>74</v>
      </c>
      <c r="Q729" s="2" t="s">
        <v>74</v>
      </c>
      <c r="R729" s="2" t="s">
        <v>74</v>
      </c>
      <c r="S729" s="2" t="s">
        <v>74</v>
      </c>
      <c r="T729" s="2" t="s">
        <v>74</v>
      </c>
      <c r="U729" s="2" t="s">
        <v>74</v>
      </c>
      <c r="V729" s="5" t="s">
        <v>5190</v>
      </c>
      <c r="W729" s="2" t="s">
        <v>74</v>
      </c>
      <c r="X729" s="2" t="s">
        <v>74</v>
      </c>
      <c r="Y729" s="2" t="s">
        <v>74</v>
      </c>
      <c r="Z729" s="2" t="s">
        <v>74</v>
      </c>
      <c r="AA729" s="2" t="s">
        <v>74</v>
      </c>
      <c r="AB729" s="2" t="s">
        <v>74</v>
      </c>
      <c r="AC729" s="2" t="s">
        <v>74</v>
      </c>
      <c r="AD729" s="2" t="s">
        <v>74</v>
      </c>
      <c r="AE729" s="2" t="s">
        <v>74</v>
      </c>
      <c r="AF729" s="2" t="s">
        <v>74</v>
      </c>
      <c r="AG729" s="2" t="s">
        <v>74</v>
      </c>
      <c r="AH729" s="2" t="s">
        <v>74</v>
      </c>
      <c r="AI729" s="2" t="s">
        <v>74</v>
      </c>
      <c r="AJ729" s="2" t="s">
        <v>74</v>
      </c>
      <c r="AK729" s="2" t="s">
        <v>74</v>
      </c>
      <c r="AL729" s="2" t="s">
        <v>74</v>
      </c>
      <c r="AM729" s="2" t="s">
        <v>74</v>
      </c>
      <c r="AN729" s="2" t="s">
        <v>74</v>
      </c>
      <c r="AO729" s="2" t="s">
        <v>74</v>
      </c>
      <c r="AP729" s="2" t="s">
        <v>435</v>
      </c>
      <c r="AQ729" s="2" t="s">
        <v>74</v>
      </c>
      <c r="AR729" s="2" t="s">
        <v>74</v>
      </c>
      <c r="AS729" s="2" t="s">
        <v>74</v>
      </c>
      <c r="AT729" s="2" t="s">
        <v>74</v>
      </c>
      <c r="AU729" s="2">
        <v>1982</v>
      </c>
      <c r="AV729" s="2">
        <v>99</v>
      </c>
      <c r="AW729" s="2">
        <v>3</v>
      </c>
      <c r="AX729" s="2" t="s">
        <v>74</v>
      </c>
      <c r="AY729" s="2" t="s">
        <v>74</v>
      </c>
      <c r="AZ729" s="2" t="s">
        <v>74</v>
      </c>
      <c r="BA729" s="2" t="s">
        <v>74</v>
      </c>
      <c r="BB729" s="2">
        <v>548</v>
      </c>
      <c r="BC729" s="2">
        <v>554</v>
      </c>
      <c r="BD729" s="2" t="s">
        <v>74</v>
      </c>
      <c r="BE729" s="2" t="s">
        <v>74</v>
      </c>
      <c r="BF729" s="2" t="s">
        <v>74</v>
      </c>
      <c r="BG729" s="2" t="s">
        <v>74</v>
      </c>
      <c r="BH729" s="2" t="s">
        <v>74</v>
      </c>
      <c r="BI729" s="2" t="s">
        <v>74</v>
      </c>
      <c r="BJ729" s="2" t="s">
        <v>74</v>
      </c>
      <c r="BK729" s="2" t="s">
        <v>74</v>
      </c>
      <c r="BL729" s="2" t="s">
        <v>74</v>
      </c>
      <c r="BM729" s="2" t="s">
        <v>74</v>
      </c>
      <c r="BN729" s="2" t="s">
        <v>74</v>
      </c>
      <c r="BO729" s="2" t="s">
        <v>74</v>
      </c>
      <c r="BP729" s="2" t="s">
        <v>74</v>
      </c>
      <c r="BQ729" s="2" t="s">
        <v>74</v>
      </c>
      <c r="BR729" s="2" t="s">
        <v>74</v>
      </c>
      <c r="BS729" s="2" t="s">
        <v>5191</v>
      </c>
      <c r="BT729" s="2" t="str">
        <f>HYPERLINK("https%3A%2F%2Fwww.webofscience.com%2Fwos%2Fwoscc%2Ffull-record%2FWOS:A1982NY39800015","View Full Record in Web of Science")</f>
        <v>View Full Record in Web of Science</v>
      </c>
    </row>
    <row r="730" spans="1:72" s="2" customFormat="1" x14ac:dyDescent="0.4">
      <c r="A730" s="2" t="s">
        <v>72</v>
      </c>
      <c r="B730" s="2" t="s">
        <v>2964</v>
      </c>
      <c r="C730" s="2" t="s">
        <v>74</v>
      </c>
      <c r="D730" s="2" t="s">
        <v>74</v>
      </c>
      <c r="E730" s="2" t="s">
        <v>74</v>
      </c>
      <c r="F730" s="2" t="s">
        <v>2964</v>
      </c>
      <c r="G730" s="2" t="s">
        <v>74</v>
      </c>
      <c r="H730" s="2" t="s">
        <v>74</v>
      </c>
      <c r="I730" s="2" t="s">
        <v>2965</v>
      </c>
      <c r="J730" s="2" t="s">
        <v>2966</v>
      </c>
      <c r="K730" s="2" t="s">
        <v>74</v>
      </c>
      <c r="L730" s="2" t="s">
        <v>74</v>
      </c>
      <c r="M730" s="2" t="s">
        <v>74</v>
      </c>
      <c r="N730" s="2" t="s">
        <v>74</v>
      </c>
      <c r="O730" s="2" t="s">
        <v>74</v>
      </c>
      <c r="P730" s="2" t="s">
        <v>74</v>
      </c>
      <c r="Q730" s="2" t="s">
        <v>74</v>
      </c>
      <c r="R730" s="2" t="s">
        <v>74</v>
      </c>
      <c r="S730" s="2" t="s">
        <v>74</v>
      </c>
      <c r="T730" s="2" t="s">
        <v>74</v>
      </c>
      <c r="U730" s="2" t="s">
        <v>74</v>
      </c>
      <c r="V730" s="5" t="s">
        <v>2967</v>
      </c>
      <c r="W730" s="2" t="s">
        <v>74</v>
      </c>
      <c r="X730" s="2" t="s">
        <v>74</v>
      </c>
      <c r="Y730" s="2" t="s">
        <v>74</v>
      </c>
      <c r="Z730" s="2" t="s">
        <v>74</v>
      </c>
      <c r="AA730" s="2" t="s">
        <v>74</v>
      </c>
      <c r="AB730" s="2" t="s">
        <v>74</v>
      </c>
      <c r="AC730" s="2" t="s">
        <v>74</v>
      </c>
      <c r="AD730" s="2" t="s">
        <v>74</v>
      </c>
      <c r="AE730" s="2" t="s">
        <v>74</v>
      </c>
      <c r="AF730" s="2" t="s">
        <v>74</v>
      </c>
      <c r="AG730" s="2" t="s">
        <v>74</v>
      </c>
      <c r="AH730" s="2" t="s">
        <v>74</v>
      </c>
      <c r="AI730" s="2" t="s">
        <v>74</v>
      </c>
      <c r="AJ730" s="2" t="s">
        <v>74</v>
      </c>
      <c r="AK730" s="2" t="s">
        <v>74</v>
      </c>
      <c r="AL730" s="2" t="s">
        <v>74</v>
      </c>
      <c r="AM730" s="2" t="s">
        <v>74</v>
      </c>
      <c r="AN730" s="2" t="s">
        <v>74</v>
      </c>
      <c r="AO730" s="2" t="s">
        <v>2968</v>
      </c>
      <c r="AP730" s="2" t="s">
        <v>2969</v>
      </c>
      <c r="AQ730" s="2" t="s">
        <v>74</v>
      </c>
      <c r="AR730" s="2" t="s">
        <v>74</v>
      </c>
      <c r="AS730" s="2" t="s">
        <v>74</v>
      </c>
      <c r="AT730" s="2" t="s">
        <v>957</v>
      </c>
      <c r="AU730" s="2">
        <v>1989</v>
      </c>
      <c r="AV730" s="2">
        <v>36</v>
      </c>
      <c r="AW730" s="2">
        <v>1</v>
      </c>
      <c r="AX730" s="2" t="s">
        <v>74</v>
      </c>
      <c r="AY730" s="2" t="s">
        <v>74</v>
      </c>
      <c r="AZ730" s="2" t="s">
        <v>74</v>
      </c>
      <c r="BA730" s="2" t="s">
        <v>74</v>
      </c>
      <c r="BB730" s="2">
        <v>30</v>
      </c>
      <c r="BC730" s="2">
        <v>41</v>
      </c>
      <c r="BD730" s="2" t="s">
        <v>74</v>
      </c>
      <c r="BE730" s="2" t="s">
        <v>2970</v>
      </c>
      <c r="BF730" s="2" t="str">
        <f>HYPERLINK("http://dx.doi.org/10.1007/BF02905670","http://dx.doi.org/10.1007/BF02905670")</f>
        <v>http://dx.doi.org/10.1007/BF02905670</v>
      </c>
      <c r="BG730" s="2" t="s">
        <v>74</v>
      </c>
      <c r="BH730" s="2" t="s">
        <v>74</v>
      </c>
      <c r="BI730" s="2" t="s">
        <v>74</v>
      </c>
      <c r="BJ730" s="2" t="s">
        <v>74</v>
      </c>
      <c r="BK730" s="2" t="s">
        <v>74</v>
      </c>
      <c r="BL730" s="2" t="s">
        <v>74</v>
      </c>
      <c r="BM730" s="2" t="s">
        <v>74</v>
      </c>
      <c r="BN730" s="2" t="s">
        <v>74</v>
      </c>
      <c r="BO730" s="2" t="s">
        <v>74</v>
      </c>
      <c r="BP730" s="2" t="s">
        <v>74</v>
      </c>
      <c r="BQ730" s="2" t="s">
        <v>74</v>
      </c>
      <c r="BR730" s="2" t="s">
        <v>74</v>
      </c>
      <c r="BS730" s="2" t="s">
        <v>2971</v>
      </c>
      <c r="BT730" s="2" t="str">
        <f>HYPERLINK("https%3A%2F%2Fwww.webofscience.com%2Fwos%2Fwoscc%2Ffull-record%2FWOS:A1989AD70900004","View Full Record in Web of Science")</f>
        <v>View Full Record in Web of Science</v>
      </c>
    </row>
    <row r="731" spans="1:72" s="2" customFormat="1" x14ac:dyDescent="0.4">
      <c r="A731" s="2" t="s">
        <v>72</v>
      </c>
      <c r="B731" s="2" t="s">
        <v>6008</v>
      </c>
      <c r="C731" s="2" t="s">
        <v>74</v>
      </c>
      <c r="D731" s="2" t="s">
        <v>74</v>
      </c>
      <c r="E731" s="2" t="s">
        <v>74</v>
      </c>
      <c r="F731" s="2" t="s">
        <v>6008</v>
      </c>
      <c r="G731" s="2" t="s">
        <v>74</v>
      </c>
      <c r="H731" s="2" t="s">
        <v>74</v>
      </c>
      <c r="I731" s="2" t="s">
        <v>6009</v>
      </c>
      <c r="J731" s="2" t="s">
        <v>140</v>
      </c>
      <c r="K731" s="2" t="s">
        <v>74</v>
      </c>
      <c r="L731" s="2" t="s">
        <v>74</v>
      </c>
      <c r="M731" s="2" t="s">
        <v>74</v>
      </c>
      <c r="N731" s="2" t="s">
        <v>74</v>
      </c>
      <c r="O731" s="2" t="s">
        <v>74</v>
      </c>
      <c r="P731" s="2" t="s">
        <v>74</v>
      </c>
      <c r="Q731" s="2" t="s">
        <v>74</v>
      </c>
      <c r="R731" s="2" t="s">
        <v>74</v>
      </c>
      <c r="S731" s="2" t="s">
        <v>74</v>
      </c>
      <c r="T731" s="2" t="s">
        <v>74</v>
      </c>
      <c r="U731" s="2" t="s">
        <v>74</v>
      </c>
      <c r="V731" s="5" t="s">
        <v>6010</v>
      </c>
      <c r="W731" s="2" t="s">
        <v>74</v>
      </c>
      <c r="X731" s="2" t="s">
        <v>74</v>
      </c>
      <c r="Y731" s="2" t="s">
        <v>74</v>
      </c>
      <c r="Z731" s="2" t="s">
        <v>74</v>
      </c>
      <c r="AA731" s="2" t="s">
        <v>6011</v>
      </c>
      <c r="AB731" s="2" t="s">
        <v>6012</v>
      </c>
      <c r="AC731" s="2" t="s">
        <v>74</v>
      </c>
      <c r="AD731" s="2" t="s">
        <v>74</v>
      </c>
      <c r="AE731" s="2" t="s">
        <v>74</v>
      </c>
      <c r="AF731" s="2" t="s">
        <v>74</v>
      </c>
      <c r="AG731" s="2" t="s">
        <v>74</v>
      </c>
      <c r="AH731" s="2" t="s">
        <v>74</v>
      </c>
      <c r="AI731" s="2" t="s">
        <v>74</v>
      </c>
      <c r="AJ731" s="2" t="s">
        <v>74</v>
      </c>
      <c r="AK731" s="2" t="s">
        <v>74</v>
      </c>
      <c r="AL731" s="2" t="s">
        <v>74</v>
      </c>
      <c r="AM731" s="2" t="s">
        <v>74</v>
      </c>
      <c r="AN731" s="2" t="s">
        <v>74</v>
      </c>
      <c r="AO731" s="2" t="s">
        <v>143</v>
      </c>
      <c r="AP731" s="2" t="s">
        <v>144</v>
      </c>
      <c r="AQ731" s="2" t="s">
        <v>74</v>
      </c>
      <c r="AR731" s="2" t="s">
        <v>74</v>
      </c>
      <c r="AS731" s="2" t="s">
        <v>74</v>
      </c>
      <c r="AT731" s="2" t="s">
        <v>213</v>
      </c>
      <c r="AU731" s="2">
        <v>1997</v>
      </c>
      <c r="AV731" s="2">
        <v>54</v>
      </c>
      <c r="AW731" s="2" t="s">
        <v>74</v>
      </c>
      <c r="AX731" s="2">
        <v>5</v>
      </c>
      <c r="AY731" s="2" t="s">
        <v>74</v>
      </c>
      <c r="AZ731" s="2" t="s">
        <v>74</v>
      </c>
      <c r="BA731" s="2" t="s">
        <v>74</v>
      </c>
      <c r="BB731" s="2">
        <v>1205</v>
      </c>
      <c r="BC731" s="2">
        <v>1214</v>
      </c>
      <c r="BD731" s="2" t="s">
        <v>74</v>
      </c>
      <c r="BE731" s="2" t="s">
        <v>6013</v>
      </c>
      <c r="BF731" s="2" t="str">
        <f>HYPERLINK("http://dx.doi.org/10.1006/anbe.1997.0516","http://dx.doi.org/10.1006/anbe.1997.0516")</f>
        <v>http://dx.doi.org/10.1006/anbe.1997.0516</v>
      </c>
      <c r="BG731" s="2" t="s">
        <v>74</v>
      </c>
      <c r="BH731" s="2" t="s">
        <v>74</v>
      </c>
      <c r="BI731" s="2" t="s">
        <v>74</v>
      </c>
      <c r="BJ731" s="2" t="s">
        <v>74</v>
      </c>
      <c r="BK731" s="2" t="s">
        <v>74</v>
      </c>
      <c r="BL731" s="2" t="s">
        <v>74</v>
      </c>
      <c r="BM731" s="2" t="s">
        <v>74</v>
      </c>
      <c r="BN731" s="2">
        <v>9398373</v>
      </c>
      <c r="BO731" s="2" t="s">
        <v>74</v>
      </c>
      <c r="BP731" s="2" t="s">
        <v>74</v>
      </c>
      <c r="BQ731" s="2" t="s">
        <v>74</v>
      </c>
      <c r="BR731" s="2" t="s">
        <v>74</v>
      </c>
      <c r="BS731" s="2" t="s">
        <v>6014</v>
      </c>
      <c r="BT731" s="2" t="str">
        <f>HYPERLINK("https%3A%2F%2Fwww.webofscience.com%2Fwos%2Fwoscc%2Ffull-record%2FWOS:A1997YJ17400014","View Full Record in Web of Science")</f>
        <v>View Full Record in Web of Science</v>
      </c>
    </row>
    <row r="732" spans="1:72" s="2" customFormat="1" x14ac:dyDescent="0.4">
      <c r="A732" s="2" t="s">
        <v>72</v>
      </c>
      <c r="B732" s="2" t="s">
        <v>5619</v>
      </c>
      <c r="C732" s="2" t="s">
        <v>74</v>
      </c>
      <c r="D732" s="2" t="s">
        <v>74</v>
      </c>
      <c r="E732" s="2" t="s">
        <v>74</v>
      </c>
      <c r="F732" s="2" t="s">
        <v>5619</v>
      </c>
      <c r="G732" s="2" t="s">
        <v>74</v>
      </c>
      <c r="H732" s="2" t="s">
        <v>74</v>
      </c>
      <c r="I732" s="2" t="s">
        <v>5620</v>
      </c>
      <c r="J732" s="2" t="s">
        <v>456</v>
      </c>
      <c r="K732" s="2" t="s">
        <v>74</v>
      </c>
      <c r="L732" s="2" t="s">
        <v>74</v>
      </c>
      <c r="M732" s="2" t="s">
        <v>74</v>
      </c>
      <c r="N732" s="2" t="s">
        <v>74</v>
      </c>
      <c r="O732" s="2" t="s">
        <v>74</v>
      </c>
      <c r="P732" s="2" t="s">
        <v>74</v>
      </c>
      <c r="Q732" s="2" t="s">
        <v>74</v>
      </c>
      <c r="R732" s="2" t="s">
        <v>74</v>
      </c>
      <c r="S732" s="2" t="s">
        <v>74</v>
      </c>
      <c r="T732" s="2" t="s">
        <v>74</v>
      </c>
      <c r="U732" s="2" t="s">
        <v>74</v>
      </c>
      <c r="V732" s="5" t="s">
        <v>5621</v>
      </c>
      <c r="W732" s="2" t="s">
        <v>74</v>
      </c>
      <c r="X732" s="2" t="s">
        <v>74</v>
      </c>
      <c r="Y732" s="2" t="s">
        <v>74</v>
      </c>
      <c r="Z732" s="2" t="s">
        <v>74</v>
      </c>
      <c r="AA732" s="2" t="s">
        <v>74</v>
      </c>
      <c r="AB732" s="2" t="s">
        <v>74</v>
      </c>
      <c r="AC732" s="2" t="s">
        <v>74</v>
      </c>
      <c r="AD732" s="2" t="s">
        <v>74</v>
      </c>
      <c r="AE732" s="2" t="s">
        <v>74</v>
      </c>
      <c r="AF732" s="2" t="s">
        <v>74</v>
      </c>
      <c r="AG732" s="2" t="s">
        <v>74</v>
      </c>
      <c r="AH732" s="2" t="s">
        <v>74</v>
      </c>
      <c r="AI732" s="2" t="s">
        <v>74</v>
      </c>
      <c r="AJ732" s="2" t="s">
        <v>74</v>
      </c>
      <c r="AK732" s="2" t="s">
        <v>74</v>
      </c>
      <c r="AL732" s="2" t="s">
        <v>74</v>
      </c>
      <c r="AM732" s="2" t="s">
        <v>74</v>
      </c>
      <c r="AN732" s="2" t="s">
        <v>74</v>
      </c>
      <c r="AO732" s="2" t="s">
        <v>460</v>
      </c>
      <c r="AP732" s="2" t="s">
        <v>461</v>
      </c>
      <c r="AQ732" s="2" t="s">
        <v>74</v>
      </c>
      <c r="AR732" s="2" t="s">
        <v>74</v>
      </c>
      <c r="AS732" s="2" t="s">
        <v>74</v>
      </c>
      <c r="AT732" s="2" t="s">
        <v>134</v>
      </c>
      <c r="AU732" s="2">
        <v>2004</v>
      </c>
      <c r="AV732" s="2">
        <v>263</v>
      </c>
      <c r="AW732" s="2" t="s">
        <v>74</v>
      </c>
      <c r="AX732" s="2">
        <v>1</v>
      </c>
      <c r="AY732" s="2" t="s">
        <v>74</v>
      </c>
      <c r="AZ732" s="2" t="s">
        <v>74</v>
      </c>
      <c r="BA732" s="2" t="s">
        <v>74</v>
      </c>
      <c r="BB732" s="2">
        <v>89</v>
      </c>
      <c r="BC732" s="2">
        <v>94</v>
      </c>
      <c r="BD732" s="2" t="s">
        <v>74</v>
      </c>
      <c r="BE732" s="2" t="s">
        <v>5622</v>
      </c>
      <c r="BF732" s="2" t="str">
        <f>HYPERLINK("http://dx.doi.org/10.1017/S0952836904004911","http://dx.doi.org/10.1017/S0952836904004911")</f>
        <v>http://dx.doi.org/10.1017/S0952836904004911</v>
      </c>
      <c r="BG732" s="2" t="s">
        <v>74</v>
      </c>
      <c r="BH732" s="2" t="s">
        <v>74</v>
      </c>
      <c r="BI732" s="2" t="s">
        <v>74</v>
      </c>
      <c r="BJ732" s="2" t="s">
        <v>74</v>
      </c>
      <c r="BK732" s="2" t="s">
        <v>74</v>
      </c>
      <c r="BL732" s="2" t="s">
        <v>74</v>
      </c>
      <c r="BM732" s="2" t="s">
        <v>74</v>
      </c>
      <c r="BN732" s="2" t="s">
        <v>74</v>
      </c>
      <c r="BO732" s="2" t="s">
        <v>74</v>
      </c>
      <c r="BP732" s="2" t="s">
        <v>74</v>
      </c>
      <c r="BQ732" s="2" t="s">
        <v>74</v>
      </c>
      <c r="BR732" s="2" t="s">
        <v>74</v>
      </c>
      <c r="BS732" s="2" t="s">
        <v>5623</v>
      </c>
      <c r="BT732" s="2" t="str">
        <f>HYPERLINK("https%3A%2F%2Fwww.webofscience.com%2Fwos%2Fwoscc%2Ffull-record%2FWOS:000221567900009","View Full Record in Web of Science")</f>
        <v>View Full Record in Web of Science</v>
      </c>
    </row>
    <row r="733" spans="1:72" s="2" customFormat="1" x14ac:dyDescent="0.4">
      <c r="A733" s="2" t="s">
        <v>72</v>
      </c>
      <c r="B733" s="2" t="s">
        <v>4407</v>
      </c>
      <c r="C733" s="2" t="s">
        <v>74</v>
      </c>
      <c r="D733" s="2" t="s">
        <v>74</v>
      </c>
      <c r="E733" s="2" t="s">
        <v>74</v>
      </c>
      <c r="F733" s="2" t="s">
        <v>4408</v>
      </c>
      <c r="G733" s="2" t="s">
        <v>74</v>
      </c>
      <c r="H733" s="2" t="s">
        <v>74</v>
      </c>
      <c r="I733" s="2" t="s">
        <v>4409</v>
      </c>
      <c r="J733" s="2" t="s">
        <v>88</v>
      </c>
      <c r="K733" s="2" t="s">
        <v>74</v>
      </c>
      <c r="L733" s="2" t="s">
        <v>74</v>
      </c>
      <c r="M733" s="2" t="s">
        <v>74</v>
      </c>
      <c r="N733" s="2" t="s">
        <v>74</v>
      </c>
      <c r="O733" s="2" t="s">
        <v>74</v>
      </c>
      <c r="P733" s="2" t="s">
        <v>74</v>
      </c>
      <c r="Q733" s="2" t="s">
        <v>74</v>
      </c>
      <c r="R733" s="2" t="s">
        <v>74</v>
      </c>
      <c r="S733" s="2" t="s">
        <v>74</v>
      </c>
      <c r="T733" s="2" t="s">
        <v>74</v>
      </c>
      <c r="U733" s="2" t="s">
        <v>74</v>
      </c>
      <c r="V733" s="5" t="s">
        <v>4410</v>
      </c>
      <c r="W733" s="2" t="s">
        <v>74</v>
      </c>
      <c r="X733" s="2" t="s">
        <v>74</v>
      </c>
      <c r="Y733" s="2" t="s">
        <v>74</v>
      </c>
      <c r="Z733" s="2" t="s">
        <v>74</v>
      </c>
      <c r="AA733" s="2" t="s">
        <v>4411</v>
      </c>
      <c r="AB733" s="2" t="s">
        <v>74</v>
      </c>
      <c r="AC733" s="2" t="s">
        <v>74</v>
      </c>
      <c r="AD733" s="2" t="s">
        <v>74</v>
      </c>
      <c r="AE733" s="2" t="s">
        <v>74</v>
      </c>
      <c r="AF733" s="2" t="s">
        <v>74</v>
      </c>
      <c r="AG733" s="2" t="s">
        <v>74</v>
      </c>
      <c r="AH733" s="2" t="s">
        <v>74</v>
      </c>
      <c r="AI733" s="2" t="s">
        <v>74</v>
      </c>
      <c r="AJ733" s="2" t="s">
        <v>74</v>
      </c>
      <c r="AK733" s="2" t="s">
        <v>74</v>
      </c>
      <c r="AL733" s="2" t="s">
        <v>74</v>
      </c>
      <c r="AM733" s="2" t="s">
        <v>74</v>
      </c>
      <c r="AN733" s="2" t="s">
        <v>74</v>
      </c>
      <c r="AO733" s="2" t="s">
        <v>91</v>
      </c>
      <c r="AP733" s="2" t="s">
        <v>74</v>
      </c>
      <c r="AQ733" s="2" t="s">
        <v>74</v>
      </c>
      <c r="AR733" s="2" t="s">
        <v>74</v>
      </c>
      <c r="AS733" s="2" t="s">
        <v>74</v>
      </c>
      <c r="AT733" s="2" t="s">
        <v>1210</v>
      </c>
      <c r="AU733" s="2">
        <v>2006</v>
      </c>
      <c r="AV733" s="2">
        <v>2</v>
      </c>
      <c r="AW733" s="2">
        <v>4</v>
      </c>
      <c r="AX733" s="2" t="s">
        <v>74</v>
      </c>
      <c r="AY733" s="2" t="s">
        <v>74</v>
      </c>
      <c r="AZ733" s="2" t="s">
        <v>74</v>
      </c>
      <c r="BA733" s="2" t="s">
        <v>74</v>
      </c>
      <c r="BB733" s="2">
        <v>494</v>
      </c>
      <c r="BC733" s="2">
        <v>496</v>
      </c>
      <c r="BD733" s="2" t="s">
        <v>74</v>
      </c>
      <c r="BE733" s="2" t="s">
        <v>4412</v>
      </c>
      <c r="BF733" s="2" t="str">
        <f>HYPERLINK("http://dx.doi.org/10.1098/rsbl.2006.0542","http://dx.doi.org/10.1098/rsbl.2006.0542")</f>
        <v>http://dx.doi.org/10.1098/rsbl.2006.0542</v>
      </c>
      <c r="BG733" s="2" t="s">
        <v>74</v>
      </c>
      <c r="BH733" s="2" t="s">
        <v>74</v>
      </c>
      <c r="BI733" s="2" t="s">
        <v>74</v>
      </c>
      <c r="BJ733" s="2" t="s">
        <v>74</v>
      </c>
      <c r="BK733" s="2" t="s">
        <v>74</v>
      </c>
      <c r="BL733" s="2" t="s">
        <v>74</v>
      </c>
      <c r="BM733" s="2" t="s">
        <v>74</v>
      </c>
      <c r="BN733" s="2">
        <v>17148271</v>
      </c>
      <c r="BO733" s="2" t="s">
        <v>74</v>
      </c>
      <c r="BP733" s="2" t="s">
        <v>74</v>
      </c>
      <c r="BQ733" s="2" t="s">
        <v>74</v>
      </c>
      <c r="BR733" s="2" t="s">
        <v>74</v>
      </c>
      <c r="BS733" s="2" t="s">
        <v>4413</v>
      </c>
      <c r="BT733" s="2" t="str">
        <f>HYPERLINK("https%3A%2F%2Fwww.webofscience.com%2Fwos%2Fwoscc%2Ffull-record%2FWOS:000242686500005","View Full Record in Web of Science")</f>
        <v>View Full Record in Web of Science</v>
      </c>
    </row>
    <row r="734" spans="1:72" s="2" customFormat="1" x14ac:dyDescent="0.4">
      <c r="A734" s="2" t="s">
        <v>72</v>
      </c>
      <c r="B734" s="2" t="s">
        <v>7014</v>
      </c>
      <c r="C734" s="2" t="s">
        <v>74</v>
      </c>
      <c r="D734" s="2" t="s">
        <v>74</v>
      </c>
      <c r="E734" s="2" t="s">
        <v>74</v>
      </c>
      <c r="F734" s="2" t="s">
        <v>7014</v>
      </c>
      <c r="G734" s="2" t="s">
        <v>74</v>
      </c>
      <c r="H734" s="2" t="s">
        <v>74</v>
      </c>
      <c r="I734" s="2" t="s">
        <v>7015</v>
      </c>
      <c r="J734" s="2" t="s">
        <v>1743</v>
      </c>
      <c r="K734" s="2" t="s">
        <v>74</v>
      </c>
      <c r="L734" s="2" t="s">
        <v>74</v>
      </c>
      <c r="M734" s="2" t="s">
        <v>74</v>
      </c>
      <c r="N734" s="2" t="s">
        <v>74</v>
      </c>
      <c r="O734" s="2" t="s">
        <v>74</v>
      </c>
      <c r="P734" s="2" t="s">
        <v>74</v>
      </c>
      <c r="Q734" s="2" t="s">
        <v>74</v>
      </c>
      <c r="R734" s="2" t="s">
        <v>74</v>
      </c>
      <c r="S734" s="2" t="s">
        <v>74</v>
      </c>
      <c r="T734" s="2" t="s">
        <v>74</v>
      </c>
      <c r="U734" s="2" t="s">
        <v>74</v>
      </c>
      <c r="V734" s="5" t="s">
        <v>7016</v>
      </c>
      <c r="W734" s="2" t="s">
        <v>74</v>
      </c>
      <c r="X734" s="2" t="s">
        <v>74</v>
      </c>
      <c r="Y734" s="2" t="s">
        <v>74</v>
      </c>
      <c r="Z734" s="2" t="s">
        <v>74</v>
      </c>
      <c r="AA734" s="2" t="s">
        <v>74</v>
      </c>
      <c r="AB734" s="2" t="s">
        <v>74</v>
      </c>
      <c r="AC734" s="2" t="s">
        <v>74</v>
      </c>
      <c r="AD734" s="2" t="s">
        <v>74</v>
      </c>
      <c r="AE734" s="2" t="s">
        <v>74</v>
      </c>
      <c r="AF734" s="2" t="s">
        <v>74</v>
      </c>
      <c r="AG734" s="2" t="s">
        <v>74</v>
      </c>
      <c r="AH734" s="2" t="s">
        <v>74</v>
      </c>
      <c r="AI734" s="2" t="s">
        <v>74</v>
      </c>
      <c r="AJ734" s="2" t="s">
        <v>74</v>
      </c>
      <c r="AK734" s="2" t="s">
        <v>74</v>
      </c>
      <c r="AL734" s="2" t="s">
        <v>74</v>
      </c>
      <c r="AM734" s="2" t="s">
        <v>74</v>
      </c>
      <c r="AN734" s="2" t="s">
        <v>74</v>
      </c>
      <c r="AO734" s="2" t="s">
        <v>1746</v>
      </c>
      <c r="AP734" s="2" t="s">
        <v>74</v>
      </c>
      <c r="AQ734" s="2" t="s">
        <v>74</v>
      </c>
      <c r="AR734" s="2" t="s">
        <v>74</v>
      </c>
      <c r="AS734" s="2" t="s">
        <v>74</v>
      </c>
      <c r="AT734" s="2" t="s">
        <v>964</v>
      </c>
      <c r="AU734" s="2">
        <v>1991</v>
      </c>
      <c r="AV734" s="2">
        <v>8</v>
      </c>
      <c r="AW734" s="2">
        <v>1</v>
      </c>
      <c r="AX734" s="2" t="s">
        <v>74</v>
      </c>
      <c r="AY734" s="2" t="s">
        <v>74</v>
      </c>
      <c r="AZ734" s="2" t="s">
        <v>74</v>
      </c>
      <c r="BA734" s="2" t="s">
        <v>74</v>
      </c>
      <c r="BB734" s="2">
        <v>121</v>
      </c>
      <c r="BC734" s="2">
        <v>133</v>
      </c>
      <c r="BD734" s="2" t="s">
        <v>74</v>
      </c>
      <c r="BE734" s="2" t="s">
        <v>74</v>
      </c>
      <c r="BF734" s="2" t="s">
        <v>74</v>
      </c>
      <c r="BG734" s="2" t="s">
        <v>74</v>
      </c>
      <c r="BH734" s="2" t="s">
        <v>74</v>
      </c>
      <c r="BI734" s="2" t="s">
        <v>74</v>
      </c>
      <c r="BJ734" s="2" t="s">
        <v>74</v>
      </c>
      <c r="BK734" s="2" t="s">
        <v>74</v>
      </c>
      <c r="BL734" s="2" t="s">
        <v>74</v>
      </c>
      <c r="BM734" s="2" t="s">
        <v>74</v>
      </c>
      <c r="BN734" s="2" t="s">
        <v>74</v>
      </c>
      <c r="BO734" s="2" t="s">
        <v>74</v>
      </c>
      <c r="BP734" s="2" t="s">
        <v>74</v>
      </c>
      <c r="BQ734" s="2" t="s">
        <v>74</v>
      </c>
      <c r="BR734" s="2" t="s">
        <v>74</v>
      </c>
      <c r="BS734" s="2" t="s">
        <v>7017</v>
      </c>
      <c r="BT734" s="2" t="str">
        <f>HYPERLINK("https%3A%2F%2Fwww.webofscience.com%2Fwos%2Fwoscc%2Ffull-record%2FWOS:A1991FG50700015","View Full Record in Web of Science")</f>
        <v>View Full Record in Web of Science</v>
      </c>
    </row>
    <row r="735" spans="1:72" s="2" customFormat="1" x14ac:dyDescent="0.4">
      <c r="A735" s="2" t="s">
        <v>72</v>
      </c>
      <c r="B735" s="2" t="s">
        <v>7104</v>
      </c>
      <c r="C735" s="2" t="s">
        <v>74</v>
      </c>
      <c r="D735" s="2" t="s">
        <v>74</v>
      </c>
      <c r="E735" s="2" t="s">
        <v>74</v>
      </c>
      <c r="F735" s="2" t="s">
        <v>7104</v>
      </c>
      <c r="G735" s="2" t="s">
        <v>74</v>
      </c>
      <c r="H735" s="2" t="s">
        <v>74</v>
      </c>
      <c r="I735" s="2" t="s">
        <v>7105</v>
      </c>
      <c r="J735" s="2" t="s">
        <v>5129</v>
      </c>
      <c r="K735" s="2" t="s">
        <v>74</v>
      </c>
      <c r="L735" s="2" t="s">
        <v>74</v>
      </c>
      <c r="M735" s="2" t="s">
        <v>74</v>
      </c>
      <c r="N735" s="2" t="s">
        <v>74</v>
      </c>
      <c r="O735" s="2" t="s">
        <v>74</v>
      </c>
      <c r="P735" s="2" t="s">
        <v>74</v>
      </c>
      <c r="Q735" s="2" t="s">
        <v>74</v>
      </c>
      <c r="R735" s="2" t="s">
        <v>74</v>
      </c>
      <c r="S735" s="2" t="s">
        <v>74</v>
      </c>
      <c r="T735" s="2" t="s">
        <v>74</v>
      </c>
      <c r="U735" s="2" t="s">
        <v>74</v>
      </c>
      <c r="V735" s="5" t="s">
        <v>7106</v>
      </c>
      <c r="W735" s="2" t="s">
        <v>74</v>
      </c>
      <c r="X735" s="2" t="s">
        <v>74</v>
      </c>
      <c r="Y735" s="2" t="s">
        <v>74</v>
      </c>
      <c r="Z735" s="2" t="s">
        <v>74</v>
      </c>
      <c r="AA735" s="2" t="s">
        <v>74</v>
      </c>
      <c r="AB735" s="2" t="s">
        <v>74</v>
      </c>
      <c r="AC735" s="2" t="s">
        <v>74</v>
      </c>
      <c r="AD735" s="2" t="s">
        <v>74</v>
      </c>
      <c r="AE735" s="2" t="s">
        <v>74</v>
      </c>
      <c r="AF735" s="2" t="s">
        <v>74</v>
      </c>
      <c r="AG735" s="2" t="s">
        <v>74</v>
      </c>
      <c r="AH735" s="2" t="s">
        <v>74</v>
      </c>
      <c r="AI735" s="2" t="s">
        <v>74</v>
      </c>
      <c r="AJ735" s="2" t="s">
        <v>74</v>
      </c>
      <c r="AK735" s="2" t="s">
        <v>74</v>
      </c>
      <c r="AL735" s="2" t="s">
        <v>74</v>
      </c>
      <c r="AM735" s="2" t="s">
        <v>74</v>
      </c>
      <c r="AN735" s="2" t="s">
        <v>74</v>
      </c>
      <c r="AO735" s="2" t="s">
        <v>5131</v>
      </c>
      <c r="AP735" s="2" t="s">
        <v>5132</v>
      </c>
      <c r="AQ735" s="2" t="s">
        <v>74</v>
      </c>
      <c r="AR735" s="2" t="s">
        <v>74</v>
      </c>
      <c r="AS735" s="2" t="s">
        <v>74</v>
      </c>
      <c r="AT735" s="2" t="s">
        <v>74</v>
      </c>
      <c r="AU735" s="2">
        <v>1986</v>
      </c>
      <c r="AV735" s="2">
        <v>74</v>
      </c>
      <c r="AW735" s="2">
        <v>2</v>
      </c>
      <c r="AX735" s="2" t="s">
        <v>74</v>
      </c>
      <c r="AY735" s="2" t="s">
        <v>74</v>
      </c>
      <c r="AZ735" s="2" t="s">
        <v>74</v>
      </c>
      <c r="BA735" s="2" t="s">
        <v>74</v>
      </c>
      <c r="BB735" s="2">
        <v>177</v>
      </c>
      <c r="BC735" s="2">
        <v>183</v>
      </c>
      <c r="BD735" s="2" t="s">
        <v>74</v>
      </c>
      <c r="BE735" s="2" t="s">
        <v>74</v>
      </c>
      <c r="BF735" s="2" t="s">
        <v>74</v>
      </c>
      <c r="BG735" s="2" t="s">
        <v>74</v>
      </c>
      <c r="BH735" s="2" t="s">
        <v>74</v>
      </c>
      <c r="BI735" s="2" t="s">
        <v>74</v>
      </c>
      <c r="BJ735" s="2" t="s">
        <v>74</v>
      </c>
      <c r="BK735" s="2" t="s">
        <v>74</v>
      </c>
      <c r="BL735" s="2" t="s">
        <v>74</v>
      </c>
      <c r="BM735" s="2" t="s">
        <v>74</v>
      </c>
      <c r="BN735" s="2" t="s">
        <v>74</v>
      </c>
      <c r="BO735" s="2" t="s">
        <v>74</v>
      </c>
      <c r="BP735" s="2" t="s">
        <v>74</v>
      </c>
      <c r="BQ735" s="2" t="s">
        <v>74</v>
      </c>
      <c r="BR735" s="2" t="s">
        <v>74</v>
      </c>
      <c r="BS735" s="2" t="s">
        <v>7107</v>
      </c>
      <c r="BT735" s="2" t="str">
        <f>HYPERLINK("https%3A%2F%2Fwww.webofscience.com%2Fwos%2Fwoscc%2Ffull-record%2FWOS:A1986D993200007","View Full Record in Web of Science")</f>
        <v>View Full Record in Web of Science</v>
      </c>
    </row>
    <row r="736" spans="1:72" s="2" customFormat="1" x14ac:dyDescent="0.4">
      <c r="A736" s="2" t="s">
        <v>72</v>
      </c>
      <c r="B736" s="2" t="s">
        <v>6827</v>
      </c>
      <c r="C736" s="2" t="s">
        <v>74</v>
      </c>
      <c r="D736" s="2" t="s">
        <v>74</v>
      </c>
      <c r="E736" s="2" t="s">
        <v>74</v>
      </c>
      <c r="F736" s="2" t="s">
        <v>6827</v>
      </c>
      <c r="G736" s="2" t="s">
        <v>74</v>
      </c>
      <c r="H736" s="2" t="s">
        <v>74</v>
      </c>
      <c r="I736" s="2" t="s">
        <v>6828</v>
      </c>
      <c r="J736" s="2" t="s">
        <v>6829</v>
      </c>
      <c r="K736" s="2" t="s">
        <v>74</v>
      </c>
      <c r="L736" s="2" t="s">
        <v>74</v>
      </c>
      <c r="M736" s="2" t="s">
        <v>74</v>
      </c>
      <c r="N736" s="2" t="s">
        <v>74</v>
      </c>
      <c r="O736" s="2" t="s">
        <v>74</v>
      </c>
      <c r="P736" s="2" t="s">
        <v>74</v>
      </c>
      <c r="Q736" s="2" t="s">
        <v>74</v>
      </c>
      <c r="R736" s="2" t="s">
        <v>74</v>
      </c>
      <c r="S736" s="2" t="s">
        <v>74</v>
      </c>
      <c r="T736" s="2" t="s">
        <v>74</v>
      </c>
      <c r="U736" s="2" t="s">
        <v>74</v>
      </c>
      <c r="V736" s="5" t="s">
        <v>6830</v>
      </c>
      <c r="W736" s="2" t="s">
        <v>74</v>
      </c>
      <c r="X736" s="2" t="s">
        <v>74</v>
      </c>
      <c r="Y736" s="2" t="s">
        <v>74</v>
      </c>
      <c r="Z736" s="2" t="s">
        <v>74</v>
      </c>
      <c r="AA736" s="2" t="s">
        <v>74</v>
      </c>
      <c r="AB736" s="2" t="s">
        <v>74</v>
      </c>
      <c r="AC736" s="2" t="s">
        <v>74</v>
      </c>
      <c r="AD736" s="2" t="s">
        <v>74</v>
      </c>
      <c r="AE736" s="2" t="s">
        <v>74</v>
      </c>
      <c r="AF736" s="2" t="s">
        <v>74</v>
      </c>
      <c r="AG736" s="2" t="s">
        <v>74</v>
      </c>
      <c r="AH736" s="2" t="s">
        <v>74</v>
      </c>
      <c r="AI736" s="2" t="s">
        <v>74</v>
      </c>
      <c r="AJ736" s="2" t="s">
        <v>74</v>
      </c>
      <c r="AK736" s="2" t="s">
        <v>74</v>
      </c>
      <c r="AL736" s="2" t="s">
        <v>74</v>
      </c>
      <c r="AM736" s="2" t="s">
        <v>74</v>
      </c>
      <c r="AN736" s="2" t="s">
        <v>74</v>
      </c>
      <c r="AO736" s="2" t="s">
        <v>6831</v>
      </c>
      <c r="AP736" s="2" t="s">
        <v>6832</v>
      </c>
      <c r="AQ736" s="2" t="s">
        <v>74</v>
      </c>
      <c r="AR736" s="2" t="s">
        <v>74</v>
      </c>
      <c r="AS736" s="2" t="s">
        <v>74</v>
      </c>
      <c r="AT736" s="2" t="s">
        <v>305</v>
      </c>
      <c r="AU736" s="2">
        <v>1997</v>
      </c>
      <c r="AV736" s="2">
        <v>87</v>
      </c>
      <c r="AW736" s="2">
        <v>6</v>
      </c>
      <c r="AX736" s="2" t="s">
        <v>74</v>
      </c>
      <c r="AY736" s="2" t="s">
        <v>74</v>
      </c>
      <c r="AZ736" s="2" t="s">
        <v>74</v>
      </c>
      <c r="BA736" s="2" t="s">
        <v>74</v>
      </c>
      <c r="BB736" s="2">
        <v>595</v>
      </c>
      <c r="BC736" s="2">
        <v>608</v>
      </c>
      <c r="BD736" s="2" t="s">
        <v>74</v>
      </c>
      <c r="BE736" s="2" t="s">
        <v>6833</v>
      </c>
      <c r="BF736" s="2" t="str">
        <f>HYPERLINK("http://dx.doi.org/10.1017/S0007485300038694","http://dx.doi.org/10.1017/S0007485300038694")</f>
        <v>http://dx.doi.org/10.1017/S0007485300038694</v>
      </c>
      <c r="BG736" s="2" t="s">
        <v>74</v>
      </c>
      <c r="BH736" s="2" t="s">
        <v>74</v>
      </c>
      <c r="BI736" s="2" t="s">
        <v>74</v>
      </c>
      <c r="BJ736" s="2" t="s">
        <v>74</v>
      </c>
      <c r="BK736" s="2" t="s">
        <v>74</v>
      </c>
      <c r="BL736" s="2" t="s">
        <v>74</v>
      </c>
      <c r="BM736" s="2" t="s">
        <v>74</v>
      </c>
      <c r="BN736" s="2" t="s">
        <v>74</v>
      </c>
      <c r="BO736" s="2" t="s">
        <v>74</v>
      </c>
      <c r="BP736" s="2" t="s">
        <v>74</v>
      </c>
      <c r="BQ736" s="2" t="s">
        <v>74</v>
      </c>
      <c r="BR736" s="2" t="s">
        <v>74</v>
      </c>
      <c r="BS736" s="2" t="s">
        <v>6834</v>
      </c>
      <c r="BT736" s="2" t="str">
        <f>HYPERLINK("https%3A%2F%2Fwww.webofscience.com%2Fwos%2Fwoscc%2Ffull-record%2FWOS:A1997YL39300006","View Full Record in Web of Science")</f>
        <v>View Full Record in Web of Science</v>
      </c>
    </row>
    <row r="737" spans="1:72" s="1" customFormat="1" x14ac:dyDescent="0.4">
      <c r="A737" s="2" t="s">
        <v>72</v>
      </c>
      <c r="B737" s="2" t="s">
        <v>6122</v>
      </c>
      <c r="C737" s="2" t="s">
        <v>74</v>
      </c>
      <c r="D737" s="2" t="s">
        <v>74</v>
      </c>
      <c r="E737" s="2" t="s">
        <v>74</v>
      </c>
      <c r="F737" s="2" t="s">
        <v>6122</v>
      </c>
      <c r="G737" s="2" t="s">
        <v>74</v>
      </c>
      <c r="H737" s="2" t="s">
        <v>74</v>
      </c>
      <c r="I737" s="2" t="s">
        <v>6123</v>
      </c>
      <c r="J737" s="2" t="s">
        <v>6124</v>
      </c>
      <c r="K737" s="2" t="s">
        <v>74</v>
      </c>
      <c r="L737" s="2" t="s">
        <v>74</v>
      </c>
      <c r="M737" s="2" t="s">
        <v>74</v>
      </c>
      <c r="N737" s="2" t="s">
        <v>74</v>
      </c>
      <c r="O737" s="2" t="s">
        <v>74</v>
      </c>
      <c r="P737" s="2" t="s">
        <v>74</v>
      </c>
      <c r="Q737" s="2" t="s">
        <v>74</v>
      </c>
      <c r="R737" s="2" t="s">
        <v>74</v>
      </c>
      <c r="S737" s="2" t="s">
        <v>74</v>
      </c>
      <c r="T737" s="2" t="s">
        <v>74</v>
      </c>
      <c r="U737" s="2" t="s">
        <v>74</v>
      </c>
      <c r="V737" s="5" t="s">
        <v>6125</v>
      </c>
      <c r="W737" s="2" t="s">
        <v>74</v>
      </c>
      <c r="X737" s="2" t="s">
        <v>74</v>
      </c>
      <c r="Y737" s="2" t="s">
        <v>74</v>
      </c>
      <c r="Z737" s="2" t="s">
        <v>74</v>
      </c>
      <c r="AA737" s="2" t="s">
        <v>74</v>
      </c>
      <c r="AB737" s="2" t="s">
        <v>74</v>
      </c>
      <c r="AC737" s="2" t="s">
        <v>74</v>
      </c>
      <c r="AD737" s="2" t="s">
        <v>74</v>
      </c>
      <c r="AE737" s="2" t="s">
        <v>74</v>
      </c>
      <c r="AF737" s="2" t="s">
        <v>74</v>
      </c>
      <c r="AG737" s="2" t="s">
        <v>74</v>
      </c>
      <c r="AH737" s="2" t="s">
        <v>74</v>
      </c>
      <c r="AI737" s="2" t="s">
        <v>74</v>
      </c>
      <c r="AJ737" s="2" t="s">
        <v>74</v>
      </c>
      <c r="AK737" s="2" t="s">
        <v>74</v>
      </c>
      <c r="AL737" s="2" t="s">
        <v>74</v>
      </c>
      <c r="AM737" s="2" t="s">
        <v>74</v>
      </c>
      <c r="AN737" s="2" t="s">
        <v>74</v>
      </c>
      <c r="AO737" s="2" t="s">
        <v>6126</v>
      </c>
      <c r="AP737" s="2" t="s">
        <v>6127</v>
      </c>
      <c r="AQ737" s="2" t="s">
        <v>74</v>
      </c>
      <c r="AR737" s="2" t="s">
        <v>74</v>
      </c>
      <c r="AS737" s="2" t="s">
        <v>74</v>
      </c>
      <c r="AT737" s="2" t="s">
        <v>74</v>
      </c>
      <c r="AU737" s="2">
        <v>1984</v>
      </c>
      <c r="AV737" s="2">
        <v>70</v>
      </c>
      <c r="AW737" s="2">
        <v>4</v>
      </c>
      <c r="AX737" s="2" t="s">
        <v>74</v>
      </c>
      <c r="AY737" s="2" t="s">
        <v>74</v>
      </c>
      <c r="AZ737" s="2" t="s">
        <v>74</v>
      </c>
      <c r="BA737" s="2" t="s">
        <v>74</v>
      </c>
      <c r="BB737" s="2">
        <v>234</v>
      </c>
      <c r="BC737" s="2">
        <v>239</v>
      </c>
      <c r="BD737" s="2" t="s">
        <v>74</v>
      </c>
      <c r="BE737" s="2" t="s">
        <v>74</v>
      </c>
      <c r="BF737" s="2" t="s">
        <v>74</v>
      </c>
      <c r="BG737" s="2" t="s">
        <v>74</v>
      </c>
      <c r="BH737" s="2" t="s">
        <v>74</v>
      </c>
      <c r="BI737" s="2" t="s">
        <v>74</v>
      </c>
      <c r="BJ737" s="2" t="s">
        <v>74</v>
      </c>
      <c r="BK737" s="2" t="s">
        <v>74</v>
      </c>
      <c r="BL737" s="2" t="s">
        <v>74</v>
      </c>
      <c r="BM737" s="2" t="s">
        <v>74</v>
      </c>
      <c r="BN737" s="2" t="s">
        <v>74</v>
      </c>
      <c r="BO737" s="2" t="s">
        <v>74</v>
      </c>
      <c r="BP737" s="2" t="s">
        <v>74</v>
      </c>
      <c r="BQ737" s="2" t="s">
        <v>74</v>
      </c>
      <c r="BR737" s="2" t="s">
        <v>74</v>
      </c>
      <c r="BS737" s="2" t="s">
        <v>6128</v>
      </c>
      <c r="BT737" s="2" t="str">
        <f>HYPERLINK("https%3A%2F%2Fwww.webofscience.com%2Fwos%2Fwoscc%2Ffull-record%2FWOS:A1984TV59800004","View Full Record in Web of Science")</f>
        <v>View Full Record in Web of Science</v>
      </c>
    </row>
    <row r="738" spans="1:72" s="2" customFormat="1" x14ac:dyDescent="0.4">
      <c r="A738" s="2" t="s">
        <v>72</v>
      </c>
      <c r="B738" s="2" t="s">
        <v>8247</v>
      </c>
      <c r="C738" s="2" t="s">
        <v>74</v>
      </c>
      <c r="D738" s="2" t="s">
        <v>74</v>
      </c>
      <c r="E738" s="2" t="s">
        <v>74</v>
      </c>
      <c r="F738" s="2" t="s">
        <v>8248</v>
      </c>
      <c r="G738" s="2" t="s">
        <v>74</v>
      </c>
      <c r="H738" s="2" t="s">
        <v>74</v>
      </c>
      <c r="I738" s="2" t="s">
        <v>8249</v>
      </c>
      <c r="J738" s="2" t="s">
        <v>408</v>
      </c>
      <c r="K738" s="2" t="s">
        <v>74</v>
      </c>
      <c r="L738" s="2" t="s">
        <v>74</v>
      </c>
      <c r="M738" s="2" t="s">
        <v>74</v>
      </c>
      <c r="N738" s="2" t="s">
        <v>74</v>
      </c>
      <c r="O738" s="2" t="s">
        <v>74</v>
      </c>
      <c r="P738" s="2" t="s">
        <v>74</v>
      </c>
      <c r="Q738" s="2" t="s">
        <v>74</v>
      </c>
      <c r="R738" s="2" t="s">
        <v>74</v>
      </c>
      <c r="S738" s="2" t="s">
        <v>74</v>
      </c>
      <c r="T738" s="2" t="s">
        <v>74</v>
      </c>
      <c r="U738" s="2" t="s">
        <v>74</v>
      </c>
      <c r="V738" s="5" t="s">
        <v>8250</v>
      </c>
      <c r="W738" s="2" t="s">
        <v>74</v>
      </c>
      <c r="X738" s="2" t="s">
        <v>74</v>
      </c>
      <c r="Y738" s="2" t="s">
        <v>74</v>
      </c>
      <c r="Z738" s="2" t="s">
        <v>74</v>
      </c>
      <c r="AA738" s="2" t="s">
        <v>74</v>
      </c>
      <c r="AB738" s="2" t="s">
        <v>8251</v>
      </c>
      <c r="AC738" s="2" t="s">
        <v>74</v>
      </c>
      <c r="AD738" s="2" t="s">
        <v>74</v>
      </c>
      <c r="AE738" s="2" t="s">
        <v>74</v>
      </c>
      <c r="AF738" s="2" t="s">
        <v>74</v>
      </c>
      <c r="AG738" s="2" t="s">
        <v>74</v>
      </c>
      <c r="AH738" s="2" t="s">
        <v>74</v>
      </c>
      <c r="AI738" s="2" t="s">
        <v>74</v>
      </c>
      <c r="AJ738" s="2" t="s">
        <v>74</v>
      </c>
      <c r="AK738" s="2" t="s">
        <v>74</v>
      </c>
      <c r="AL738" s="2" t="s">
        <v>74</v>
      </c>
      <c r="AM738" s="2" t="s">
        <v>74</v>
      </c>
      <c r="AN738" s="2" t="s">
        <v>74</v>
      </c>
      <c r="AO738" s="2" t="s">
        <v>412</v>
      </c>
      <c r="AP738" s="2" t="s">
        <v>413</v>
      </c>
      <c r="AQ738" s="2" t="s">
        <v>74</v>
      </c>
      <c r="AR738" s="2" t="s">
        <v>74</v>
      </c>
      <c r="AS738" s="2" t="s">
        <v>74</v>
      </c>
      <c r="AT738" s="2" t="s">
        <v>255</v>
      </c>
      <c r="AU738" s="2">
        <v>2020</v>
      </c>
      <c r="AV738" s="2">
        <v>129</v>
      </c>
      <c r="AW738" s="2">
        <v>1</v>
      </c>
      <c r="AX738" s="2" t="s">
        <v>74</v>
      </c>
      <c r="AY738" s="2" t="s">
        <v>74</v>
      </c>
      <c r="AZ738" s="2" t="s">
        <v>74</v>
      </c>
      <c r="BA738" s="2" t="s">
        <v>74</v>
      </c>
      <c r="BB738" s="2">
        <v>143</v>
      </c>
      <c r="BC738" s="2">
        <v>161</v>
      </c>
      <c r="BD738" s="2" t="s">
        <v>74</v>
      </c>
      <c r="BE738" s="2" t="s">
        <v>8252</v>
      </c>
      <c r="BF738" s="2" t="str">
        <f>HYPERLINK("http://dx.doi.org/10.1093/biolinnean/blz162","http://dx.doi.org/10.1093/biolinnean/blz162")</f>
        <v>http://dx.doi.org/10.1093/biolinnean/blz162</v>
      </c>
      <c r="BG738" s="2" t="s">
        <v>74</v>
      </c>
      <c r="BH738" s="2" t="s">
        <v>74</v>
      </c>
      <c r="BI738" s="2" t="s">
        <v>74</v>
      </c>
      <c r="BJ738" s="2" t="s">
        <v>74</v>
      </c>
      <c r="BK738" s="2" t="s">
        <v>74</v>
      </c>
      <c r="BL738" s="2" t="s">
        <v>74</v>
      </c>
      <c r="BM738" s="2" t="s">
        <v>74</v>
      </c>
      <c r="BN738" s="2" t="s">
        <v>74</v>
      </c>
      <c r="BO738" s="2" t="s">
        <v>74</v>
      </c>
      <c r="BP738" s="2" t="s">
        <v>74</v>
      </c>
      <c r="BQ738" s="2" t="s">
        <v>74</v>
      </c>
      <c r="BR738" s="2" t="s">
        <v>74</v>
      </c>
      <c r="BS738" s="2" t="s">
        <v>8253</v>
      </c>
      <c r="BT738" s="2" t="str">
        <f>HYPERLINK("https%3A%2F%2Fwww.webofscience.com%2Fwos%2Fwoscc%2Ffull-record%2FWOS:000506800100011","View Full Record in Web of Science")</f>
        <v>View Full Record in Web of Science</v>
      </c>
    </row>
    <row r="739" spans="1:72" s="2" customFormat="1" x14ac:dyDescent="0.4">
      <c r="A739" s="2" t="s">
        <v>72</v>
      </c>
      <c r="B739" s="2" t="s">
        <v>7440</v>
      </c>
      <c r="C739" s="2" t="s">
        <v>74</v>
      </c>
      <c r="D739" s="2" t="s">
        <v>74</v>
      </c>
      <c r="E739" s="2" t="s">
        <v>74</v>
      </c>
      <c r="F739" s="2" t="s">
        <v>7440</v>
      </c>
      <c r="G739" s="2" t="s">
        <v>74</v>
      </c>
      <c r="H739" s="2" t="s">
        <v>74</v>
      </c>
      <c r="I739" s="2" t="s">
        <v>7441</v>
      </c>
      <c r="J739" s="2" t="s">
        <v>610</v>
      </c>
      <c r="K739" s="2" t="s">
        <v>74</v>
      </c>
      <c r="L739" s="2" t="s">
        <v>74</v>
      </c>
      <c r="M739" s="2" t="s">
        <v>74</v>
      </c>
      <c r="N739" s="2" t="s">
        <v>74</v>
      </c>
      <c r="O739" s="2" t="s">
        <v>74</v>
      </c>
      <c r="P739" s="2" t="s">
        <v>74</v>
      </c>
      <c r="Q739" s="2" t="s">
        <v>74</v>
      </c>
      <c r="R739" s="2" t="s">
        <v>74</v>
      </c>
      <c r="S739" s="2" t="s">
        <v>74</v>
      </c>
      <c r="T739" s="2" t="s">
        <v>74</v>
      </c>
      <c r="U739" s="2" t="s">
        <v>74</v>
      </c>
      <c r="V739" s="5" t="s">
        <v>7442</v>
      </c>
      <c r="W739" s="2" t="s">
        <v>74</v>
      </c>
      <c r="X739" s="2" t="s">
        <v>74</v>
      </c>
      <c r="Y739" s="2" t="s">
        <v>74</v>
      </c>
      <c r="Z739" s="2" t="s">
        <v>74</v>
      </c>
      <c r="AA739" s="2" t="s">
        <v>74</v>
      </c>
      <c r="AB739" s="2" t="s">
        <v>74</v>
      </c>
      <c r="AC739" s="2" t="s">
        <v>74</v>
      </c>
      <c r="AD739" s="2" t="s">
        <v>74</v>
      </c>
      <c r="AE739" s="2" t="s">
        <v>74</v>
      </c>
      <c r="AF739" s="2" t="s">
        <v>74</v>
      </c>
      <c r="AG739" s="2" t="s">
        <v>74</v>
      </c>
      <c r="AH739" s="2" t="s">
        <v>74</v>
      </c>
      <c r="AI739" s="2" t="s">
        <v>74</v>
      </c>
      <c r="AJ739" s="2" t="s">
        <v>74</v>
      </c>
      <c r="AK739" s="2" t="s">
        <v>74</v>
      </c>
      <c r="AL739" s="2" t="s">
        <v>74</v>
      </c>
      <c r="AM739" s="2" t="s">
        <v>74</v>
      </c>
      <c r="AN739" s="2" t="s">
        <v>74</v>
      </c>
      <c r="AO739" s="2" t="s">
        <v>614</v>
      </c>
      <c r="AP739" s="2" t="s">
        <v>615</v>
      </c>
      <c r="AQ739" s="2" t="s">
        <v>74</v>
      </c>
      <c r="AR739" s="2" t="s">
        <v>74</v>
      </c>
      <c r="AS739" s="2" t="s">
        <v>74</v>
      </c>
      <c r="AT739" s="2" t="s">
        <v>352</v>
      </c>
      <c r="AU739" s="2">
        <v>2004</v>
      </c>
      <c r="AV739" s="2">
        <v>110</v>
      </c>
      <c r="AW739" s="2">
        <v>9</v>
      </c>
      <c r="AX739" s="2" t="s">
        <v>74</v>
      </c>
      <c r="AY739" s="2" t="s">
        <v>74</v>
      </c>
      <c r="AZ739" s="2" t="s">
        <v>74</v>
      </c>
      <c r="BA739" s="2" t="s">
        <v>74</v>
      </c>
      <c r="BB739" s="2">
        <v>707</v>
      </c>
      <c r="BC739" s="2">
        <v>715</v>
      </c>
      <c r="BD739" s="2" t="s">
        <v>74</v>
      </c>
      <c r="BE739" s="2" t="s">
        <v>7443</v>
      </c>
      <c r="BF739" s="2" t="str">
        <f>HYPERLINK("http://dx.doi.org/10.1111/j.1439-0310.2004.01011.x","http://dx.doi.org/10.1111/j.1439-0310.2004.01011.x")</f>
        <v>http://dx.doi.org/10.1111/j.1439-0310.2004.01011.x</v>
      </c>
      <c r="BG739" s="2" t="s">
        <v>74</v>
      </c>
      <c r="BH739" s="2" t="s">
        <v>74</v>
      </c>
      <c r="BI739" s="2" t="s">
        <v>74</v>
      </c>
      <c r="BJ739" s="2" t="s">
        <v>74</v>
      </c>
      <c r="BK739" s="2" t="s">
        <v>74</v>
      </c>
      <c r="BL739" s="2" t="s">
        <v>74</v>
      </c>
      <c r="BM739" s="2" t="s">
        <v>74</v>
      </c>
      <c r="BN739" s="2" t="s">
        <v>74</v>
      </c>
      <c r="BO739" s="2" t="s">
        <v>74</v>
      </c>
      <c r="BP739" s="2" t="s">
        <v>74</v>
      </c>
      <c r="BQ739" s="2" t="s">
        <v>74</v>
      </c>
      <c r="BR739" s="2" t="s">
        <v>74</v>
      </c>
      <c r="BS739" s="2" t="s">
        <v>7444</v>
      </c>
      <c r="BT739" s="2" t="str">
        <f>HYPERLINK("https%3A%2F%2Fwww.webofscience.com%2Fwos%2Fwoscc%2Ffull-record%2FWOS:000223642800004","View Full Record in Web of Science")</f>
        <v>View Full Record in Web of Science</v>
      </c>
    </row>
    <row r="740" spans="1:72" s="2" customFormat="1" x14ac:dyDescent="0.4">
      <c r="A740" s="2" t="s">
        <v>72</v>
      </c>
      <c r="B740" s="2" t="s">
        <v>6106</v>
      </c>
      <c r="C740" s="2" t="s">
        <v>74</v>
      </c>
      <c r="D740" s="2" t="s">
        <v>74</v>
      </c>
      <c r="E740" s="2" t="s">
        <v>74</v>
      </c>
      <c r="F740" s="2" t="s">
        <v>6106</v>
      </c>
      <c r="G740" s="2" t="s">
        <v>74</v>
      </c>
      <c r="H740" s="2" t="s">
        <v>74</v>
      </c>
      <c r="I740" s="2" t="s">
        <v>6107</v>
      </c>
      <c r="J740" s="2" t="s">
        <v>333</v>
      </c>
      <c r="K740" s="2" t="s">
        <v>74</v>
      </c>
      <c r="L740" s="2" t="s">
        <v>74</v>
      </c>
      <c r="M740" s="2" t="s">
        <v>74</v>
      </c>
      <c r="N740" s="2" t="s">
        <v>74</v>
      </c>
      <c r="O740" s="2" t="s">
        <v>74</v>
      </c>
      <c r="P740" s="2" t="s">
        <v>74</v>
      </c>
      <c r="Q740" s="2" t="s">
        <v>74</v>
      </c>
      <c r="R740" s="2" t="s">
        <v>74</v>
      </c>
      <c r="S740" s="2" t="s">
        <v>74</v>
      </c>
      <c r="T740" s="2" t="s">
        <v>74</v>
      </c>
      <c r="U740" s="2" t="s">
        <v>74</v>
      </c>
      <c r="V740" s="5" t="s">
        <v>6108</v>
      </c>
      <c r="W740" s="2" t="s">
        <v>74</v>
      </c>
      <c r="X740" s="2" t="s">
        <v>74</v>
      </c>
      <c r="Y740" s="2" t="s">
        <v>74</v>
      </c>
      <c r="Z740" s="2" t="s">
        <v>74</v>
      </c>
      <c r="AA740" s="2" t="s">
        <v>5351</v>
      </c>
      <c r="AB740" s="2" t="s">
        <v>6109</v>
      </c>
      <c r="AC740" s="2" t="s">
        <v>74</v>
      </c>
      <c r="AD740" s="2" t="s">
        <v>74</v>
      </c>
      <c r="AE740" s="2" t="s">
        <v>74</v>
      </c>
      <c r="AF740" s="2" t="s">
        <v>74</v>
      </c>
      <c r="AG740" s="2" t="s">
        <v>74</v>
      </c>
      <c r="AH740" s="2" t="s">
        <v>74</v>
      </c>
      <c r="AI740" s="2" t="s">
        <v>74</v>
      </c>
      <c r="AJ740" s="2" t="s">
        <v>74</v>
      </c>
      <c r="AK740" s="2" t="s">
        <v>74</v>
      </c>
      <c r="AL740" s="2" t="s">
        <v>74</v>
      </c>
      <c r="AM740" s="2" t="s">
        <v>74</v>
      </c>
      <c r="AN740" s="2" t="s">
        <v>74</v>
      </c>
      <c r="AO740" s="2" t="s">
        <v>337</v>
      </c>
      <c r="AP740" s="2" t="s">
        <v>338</v>
      </c>
      <c r="AQ740" s="2" t="s">
        <v>74</v>
      </c>
      <c r="AR740" s="2" t="s">
        <v>74</v>
      </c>
      <c r="AS740" s="2" t="s">
        <v>74</v>
      </c>
      <c r="AT740" s="2" t="s">
        <v>1013</v>
      </c>
      <c r="AU740" s="2">
        <v>2000</v>
      </c>
      <c r="AV740" s="2">
        <v>11</v>
      </c>
      <c r="AW740" s="2">
        <v>5</v>
      </c>
      <c r="AX740" s="2" t="s">
        <v>74</v>
      </c>
      <c r="AY740" s="2" t="s">
        <v>74</v>
      </c>
      <c r="AZ740" s="2" t="s">
        <v>74</v>
      </c>
      <c r="BA740" s="2" t="s">
        <v>74</v>
      </c>
      <c r="BB740" s="2">
        <v>520</v>
      </c>
      <c r="BC740" s="2">
        <v>527</v>
      </c>
      <c r="BD740" s="2" t="s">
        <v>74</v>
      </c>
      <c r="BE740" s="2" t="s">
        <v>6110</v>
      </c>
      <c r="BF740" s="2" t="str">
        <f>HYPERLINK("http://dx.doi.org/10.1093/beheco/11.5.520","http://dx.doi.org/10.1093/beheco/11.5.520")</f>
        <v>http://dx.doi.org/10.1093/beheco/11.5.520</v>
      </c>
      <c r="BG740" s="2" t="s">
        <v>74</v>
      </c>
      <c r="BH740" s="2" t="s">
        <v>74</v>
      </c>
      <c r="BI740" s="2" t="s">
        <v>74</v>
      </c>
      <c r="BJ740" s="2" t="s">
        <v>74</v>
      </c>
      <c r="BK740" s="2" t="s">
        <v>74</v>
      </c>
      <c r="BL740" s="2" t="s">
        <v>74</v>
      </c>
      <c r="BM740" s="2" t="s">
        <v>74</v>
      </c>
      <c r="BN740" s="2" t="s">
        <v>74</v>
      </c>
      <c r="BO740" s="2" t="s">
        <v>74</v>
      </c>
      <c r="BP740" s="2" t="s">
        <v>74</v>
      </c>
      <c r="BQ740" s="2" t="s">
        <v>74</v>
      </c>
      <c r="BR740" s="2" t="s">
        <v>74</v>
      </c>
      <c r="BS740" s="2" t="s">
        <v>6111</v>
      </c>
      <c r="BT740" s="2" t="str">
        <f>HYPERLINK("https%3A%2F%2Fwww.webofscience.com%2Fwos%2Fwoscc%2Ffull-record%2FWOS:000089580100008","View Full Record in Web of Science")</f>
        <v>View Full Record in Web of Science</v>
      </c>
    </row>
    <row r="741" spans="1:72" s="2" customFormat="1" x14ac:dyDescent="0.4">
      <c r="A741" s="2" t="s">
        <v>72</v>
      </c>
      <c r="B741" s="2" t="s">
        <v>1235</v>
      </c>
      <c r="C741" s="2" t="s">
        <v>74</v>
      </c>
      <c r="D741" s="2" t="s">
        <v>74</v>
      </c>
      <c r="E741" s="2" t="s">
        <v>74</v>
      </c>
      <c r="F741" s="2" t="s">
        <v>1235</v>
      </c>
      <c r="G741" s="2" t="s">
        <v>74</v>
      </c>
      <c r="H741" s="2" t="s">
        <v>74</v>
      </c>
      <c r="I741" s="2" t="s">
        <v>1236</v>
      </c>
      <c r="J741" s="2" t="s">
        <v>1237</v>
      </c>
      <c r="K741" s="2" t="s">
        <v>74</v>
      </c>
      <c r="L741" s="2" t="s">
        <v>74</v>
      </c>
      <c r="M741" s="2" t="s">
        <v>74</v>
      </c>
      <c r="N741" s="2" t="s">
        <v>74</v>
      </c>
      <c r="O741" s="2" t="s">
        <v>74</v>
      </c>
      <c r="P741" s="2" t="s">
        <v>74</v>
      </c>
      <c r="Q741" s="2" t="s">
        <v>74</v>
      </c>
      <c r="R741" s="2" t="s">
        <v>74</v>
      </c>
      <c r="S741" s="2" t="s">
        <v>74</v>
      </c>
      <c r="T741" s="2" t="s">
        <v>74</v>
      </c>
      <c r="U741" s="2" t="s">
        <v>74</v>
      </c>
      <c r="V741" s="5" t="s">
        <v>1238</v>
      </c>
      <c r="W741" s="2" t="s">
        <v>74</v>
      </c>
      <c r="X741" s="2" t="s">
        <v>74</v>
      </c>
      <c r="Y741" s="2" t="s">
        <v>74</v>
      </c>
      <c r="Z741" s="2" t="s">
        <v>74</v>
      </c>
      <c r="AA741" s="2" t="s">
        <v>74</v>
      </c>
      <c r="AB741" s="2" t="s">
        <v>74</v>
      </c>
      <c r="AC741" s="2" t="s">
        <v>74</v>
      </c>
      <c r="AD741" s="2" t="s">
        <v>74</v>
      </c>
      <c r="AE741" s="2" t="s">
        <v>74</v>
      </c>
      <c r="AF741" s="2" t="s">
        <v>74</v>
      </c>
      <c r="AG741" s="2" t="s">
        <v>74</v>
      </c>
      <c r="AH741" s="2" t="s">
        <v>74</v>
      </c>
      <c r="AI741" s="2" t="s">
        <v>74</v>
      </c>
      <c r="AJ741" s="2" t="s">
        <v>74</v>
      </c>
      <c r="AK741" s="2" t="s">
        <v>74</v>
      </c>
      <c r="AL741" s="2" t="s">
        <v>74</v>
      </c>
      <c r="AM741" s="2" t="s">
        <v>74</v>
      </c>
      <c r="AN741" s="2" t="s">
        <v>74</v>
      </c>
      <c r="AO741" s="2" t="s">
        <v>1239</v>
      </c>
      <c r="AP741" s="2" t="s">
        <v>74</v>
      </c>
      <c r="AQ741" s="2" t="s">
        <v>74</v>
      </c>
      <c r="AR741" s="2" t="s">
        <v>74</v>
      </c>
      <c r="AS741" s="2" t="s">
        <v>74</v>
      </c>
      <c r="AT741" s="2" t="s">
        <v>352</v>
      </c>
      <c r="AU741" s="2">
        <v>1996</v>
      </c>
      <c r="AV741" s="2">
        <v>74</v>
      </c>
      <c r="AW741" s="2">
        <v>9</v>
      </c>
      <c r="AX741" s="2" t="s">
        <v>74</v>
      </c>
      <c r="AY741" s="2" t="s">
        <v>74</v>
      </c>
      <c r="AZ741" s="2" t="s">
        <v>74</v>
      </c>
      <c r="BA741" s="2" t="s">
        <v>74</v>
      </c>
      <c r="BB741" s="2">
        <v>1727</v>
      </c>
      <c r="BC741" s="2">
        <v>1733</v>
      </c>
      <c r="BD741" s="2" t="s">
        <v>74</v>
      </c>
      <c r="BE741" s="2" t="s">
        <v>1240</v>
      </c>
      <c r="BF741" s="2" t="str">
        <f>HYPERLINK("http://dx.doi.org/10.1139/z96-191","http://dx.doi.org/10.1139/z96-191")</f>
        <v>http://dx.doi.org/10.1139/z96-191</v>
      </c>
      <c r="BG741" s="2" t="s">
        <v>74</v>
      </c>
      <c r="BH741" s="2" t="s">
        <v>74</v>
      </c>
      <c r="BI741" s="2" t="s">
        <v>74</v>
      </c>
      <c r="BJ741" s="2" t="s">
        <v>74</v>
      </c>
      <c r="BK741" s="2" t="s">
        <v>74</v>
      </c>
      <c r="BL741" s="2" t="s">
        <v>74</v>
      </c>
      <c r="BM741" s="2" t="s">
        <v>74</v>
      </c>
      <c r="BN741" s="2" t="s">
        <v>74</v>
      </c>
      <c r="BO741" s="2" t="s">
        <v>74</v>
      </c>
      <c r="BP741" s="2" t="s">
        <v>74</v>
      </c>
      <c r="BQ741" s="2" t="s">
        <v>74</v>
      </c>
      <c r="BR741" s="2" t="s">
        <v>74</v>
      </c>
      <c r="BS741" s="2" t="s">
        <v>1241</v>
      </c>
      <c r="BT741" s="2" t="str">
        <f>HYPERLINK("https%3A%2F%2Fwww.webofscience.com%2Fwos%2Fwoscc%2Ffull-record%2FWOS:A1996VG77300016","View Full Record in Web of Science")</f>
        <v>View Full Record in Web of Science</v>
      </c>
    </row>
    <row r="742" spans="1:72" s="2" customFormat="1" x14ac:dyDescent="0.4">
      <c r="A742" s="2" t="s">
        <v>72</v>
      </c>
      <c r="B742" s="2" t="s">
        <v>6245</v>
      </c>
      <c r="C742" s="2" t="s">
        <v>74</v>
      </c>
      <c r="D742" s="2" t="s">
        <v>74</v>
      </c>
      <c r="E742" s="2" t="s">
        <v>74</v>
      </c>
      <c r="F742" s="2" t="s">
        <v>6246</v>
      </c>
      <c r="G742" s="2" t="s">
        <v>74</v>
      </c>
      <c r="H742" s="2" t="s">
        <v>74</v>
      </c>
      <c r="I742" s="2" t="s">
        <v>6247</v>
      </c>
      <c r="J742" s="2" t="s">
        <v>88</v>
      </c>
      <c r="K742" s="2" t="s">
        <v>74</v>
      </c>
      <c r="L742" s="2" t="s">
        <v>74</v>
      </c>
      <c r="M742" s="2" t="s">
        <v>74</v>
      </c>
      <c r="N742" s="2" t="s">
        <v>74</v>
      </c>
      <c r="O742" s="2" t="s">
        <v>74</v>
      </c>
      <c r="P742" s="2" t="s">
        <v>74</v>
      </c>
      <c r="Q742" s="2" t="s">
        <v>74</v>
      </c>
      <c r="R742" s="2" t="s">
        <v>74</v>
      </c>
      <c r="S742" s="2" t="s">
        <v>74</v>
      </c>
      <c r="T742" s="2" t="s">
        <v>74</v>
      </c>
      <c r="U742" s="2" t="s">
        <v>74</v>
      </c>
      <c r="V742" s="5" t="s">
        <v>6248</v>
      </c>
      <c r="W742" s="2" t="s">
        <v>74</v>
      </c>
      <c r="X742" s="2" t="s">
        <v>74</v>
      </c>
      <c r="Y742" s="2" t="s">
        <v>74</v>
      </c>
      <c r="Z742" s="2" t="s">
        <v>74</v>
      </c>
      <c r="AA742" s="2" t="s">
        <v>6249</v>
      </c>
      <c r="AB742" s="2" t="s">
        <v>6250</v>
      </c>
      <c r="AC742" s="2" t="s">
        <v>74</v>
      </c>
      <c r="AD742" s="2" t="s">
        <v>74</v>
      </c>
      <c r="AE742" s="2" t="s">
        <v>74</v>
      </c>
      <c r="AF742" s="2" t="s">
        <v>74</v>
      </c>
      <c r="AG742" s="2" t="s">
        <v>74</v>
      </c>
      <c r="AH742" s="2" t="s">
        <v>74</v>
      </c>
      <c r="AI742" s="2" t="s">
        <v>74</v>
      </c>
      <c r="AJ742" s="2" t="s">
        <v>74</v>
      </c>
      <c r="AK742" s="2" t="s">
        <v>74</v>
      </c>
      <c r="AL742" s="2" t="s">
        <v>74</v>
      </c>
      <c r="AM742" s="2" t="s">
        <v>74</v>
      </c>
      <c r="AN742" s="2" t="s">
        <v>74</v>
      </c>
      <c r="AO742" s="2" t="s">
        <v>91</v>
      </c>
      <c r="AP742" s="2" t="s">
        <v>92</v>
      </c>
      <c r="AQ742" s="2" t="s">
        <v>74</v>
      </c>
      <c r="AR742" s="2" t="s">
        <v>74</v>
      </c>
      <c r="AS742" s="2" t="s">
        <v>74</v>
      </c>
      <c r="AT742" s="2" t="s">
        <v>6251</v>
      </c>
      <c r="AU742" s="2">
        <v>2020</v>
      </c>
      <c r="AV742" s="2">
        <v>16</v>
      </c>
      <c r="AW742" s="2">
        <v>5</v>
      </c>
      <c r="AX742" s="2" t="s">
        <v>74</v>
      </c>
      <c r="AY742" s="2" t="s">
        <v>74</v>
      </c>
      <c r="AZ742" s="2" t="s">
        <v>74</v>
      </c>
      <c r="BA742" s="2" t="s">
        <v>74</v>
      </c>
      <c r="BB742" s="2" t="s">
        <v>74</v>
      </c>
      <c r="BC742" s="2" t="s">
        <v>74</v>
      </c>
      <c r="BD742" s="2" t="s">
        <v>74</v>
      </c>
      <c r="BE742" s="2" t="s">
        <v>6252</v>
      </c>
      <c r="BF742" s="2" t="str">
        <f>HYPERLINK("http://dx.doi.org/10.1098/rsbl.2019.0870","http://dx.doi.org/10.1098/rsbl.2019.0870")</f>
        <v>http://dx.doi.org/10.1098/rsbl.2019.0870</v>
      </c>
      <c r="BG742" s="2" t="s">
        <v>74</v>
      </c>
      <c r="BH742" s="2" t="s">
        <v>74</v>
      </c>
      <c r="BI742" s="2" t="s">
        <v>74</v>
      </c>
      <c r="BJ742" s="2" t="s">
        <v>74</v>
      </c>
      <c r="BK742" s="2" t="s">
        <v>74</v>
      </c>
      <c r="BL742" s="2" t="s">
        <v>74</v>
      </c>
      <c r="BM742" s="2" t="s">
        <v>74</v>
      </c>
      <c r="BN742" s="2">
        <v>32396786</v>
      </c>
      <c r="BO742" s="2" t="s">
        <v>74</v>
      </c>
      <c r="BP742" s="2" t="s">
        <v>74</v>
      </c>
      <c r="BQ742" s="2" t="s">
        <v>74</v>
      </c>
      <c r="BR742" s="2" t="s">
        <v>74</v>
      </c>
      <c r="BS742" s="2" t="s">
        <v>6253</v>
      </c>
      <c r="BT742" s="2" t="str">
        <f>HYPERLINK("https%3A%2F%2Fwww.webofscience.com%2Fwos%2Fwoscc%2Ffull-record%2FWOS:000535684800001","View Full Record in Web of Science")</f>
        <v>View Full Record in Web of Science</v>
      </c>
    </row>
    <row r="743" spans="1:72" s="2" customFormat="1" x14ac:dyDescent="0.4">
      <c r="A743" s="2" t="s">
        <v>72</v>
      </c>
      <c r="B743" s="2" t="s">
        <v>2685</v>
      </c>
      <c r="C743" s="2" t="s">
        <v>74</v>
      </c>
      <c r="D743" s="2" t="s">
        <v>74</v>
      </c>
      <c r="E743" s="2" t="s">
        <v>74</v>
      </c>
      <c r="F743" s="2" t="s">
        <v>2685</v>
      </c>
      <c r="G743" s="2" t="s">
        <v>74</v>
      </c>
      <c r="H743" s="2" t="s">
        <v>74</v>
      </c>
      <c r="I743" s="2" t="s">
        <v>2686</v>
      </c>
      <c r="J743" s="2" t="s">
        <v>1237</v>
      </c>
      <c r="K743" s="2" t="s">
        <v>74</v>
      </c>
      <c r="L743" s="2" t="s">
        <v>74</v>
      </c>
      <c r="M743" s="2" t="s">
        <v>74</v>
      </c>
      <c r="N743" s="2" t="s">
        <v>74</v>
      </c>
      <c r="O743" s="2" t="s">
        <v>74</v>
      </c>
      <c r="P743" s="2" t="s">
        <v>74</v>
      </c>
      <c r="Q743" s="2" t="s">
        <v>74</v>
      </c>
      <c r="R743" s="2" t="s">
        <v>74</v>
      </c>
      <c r="S743" s="2" t="s">
        <v>74</v>
      </c>
      <c r="T743" s="2" t="s">
        <v>74</v>
      </c>
      <c r="U743" s="2" t="s">
        <v>74</v>
      </c>
      <c r="V743" s="5" t="s">
        <v>2687</v>
      </c>
      <c r="W743" s="2" t="s">
        <v>74</v>
      </c>
      <c r="X743" s="2" t="s">
        <v>74</v>
      </c>
      <c r="Y743" s="2" t="s">
        <v>74</v>
      </c>
      <c r="Z743" s="2" t="s">
        <v>74</v>
      </c>
      <c r="AA743" s="2" t="s">
        <v>74</v>
      </c>
      <c r="AB743" s="2" t="s">
        <v>74</v>
      </c>
      <c r="AC743" s="2" t="s">
        <v>74</v>
      </c>
      <c r="AD743" s="2" t="s">
        <v>74</v>
      </c>
      <c r="AE743" s="2" t="s">
        <v>74</v>
      </c>
      <c r="AF743" s="2" t="s">
        <v>74</v>
      </c>
      <c r="AG743" s="2" t="s">
        <v>74</v>
      </c>
      <c r="AH743" s="2" t="s">
        <v>74</v>
      </c>
      <c r="AI743" s="2" t="s">
        <v>74</v>
      </c>
      <c r="AJ743" s="2" t="s">
        <v>74</v>
      </c>
      <c r="AK743" s="2" t="s">
        <v>74</v>
      </c>
      <c r="AL743" s="2" t="s">
        <v>74</v>
      </c>
      <c r="AM743" s="2" t="s">
        <v>74</v>
      </c>
      <c r="AN743" s="2" t="s">
        <v>74</v>
      </c>
      <c r="AO743" s="2" t="s">
        <v>1239</v>
      </c>
      <c r="AP743" s="2" t="s">
        <v>74</v>
      </c>
      <c r="AQ743" s="2" t="s">
        <v>74</v>
      </c>
      <c r="AR743" s="2" t="s">
        <v>74</v>
      </c>
      <c r="AS743" s="2" t="s">
        <v>74</v>
      </c>
      <c r="AT743" s="2" t="s">
        <v>102</v>
      </c>
      <c r="AU743" s="2">
        <v>1993</v>
      </c>
      <c r="AV743" s="2">
        <v>71</v>
      </c>
      <c r="AW743" s="2">
        <v>6</v>
      </c>
      <c r="AX743" s="2" t="s">
        <v>74</v>
      </c>
      <c r="AY743" s="2" t="s">
        <v>74</v>
      </c>
      <c r="AZ743" s="2" t="s">
        <v>74</v>
      </c>
      <c r="BA743" s="2" t="s">
        <v>74</v>
      </c>
      <c r="BB743" s="2">
        <v>1111</v>
      </c>
      <c r="BC743" s="2">
        <v>1119</v>
      </c>
      <c r="BD743" s="2" t="s">
        <v>74</v>
      </c>
      <c r="BE743" s="2" t="s">
        <v>2688</v>
      </c>
      <c r="BF743" s="2" t="str">
        <f>HYPERLINK("http://dx.doi.org/10.1139/z93-151","http://dx.doi.org/10.1139/z93-151")</f>
        <v>http://dx.doi.org/10.1139/z93-151</v>
      </c>
      <c r="BG743" s="2" t="s">
        <v>74</v>
      </c>
      <c r="BH743" s="2" t="s">
        <v>74</v>
      </c>
      <c r="BI743" s="2" t="s">
        <v>74</v>
      </c>
      <c r="BJ743" s="2" t="s">
        <v>74</v>
      </c>
      <c r="BK743" s="2" t="s">
        <v>74</v>
      </c>
      <c r="BL743" s="2" t="s">
        <v>74</v>
      </c>
      <c r="BM743" s="2" t="s">
        <v>74</v>
      </c>
      <c r="BN743" s="2" t="s">
        <v>74</v>
      </c>
      <c r="BO743" s="2" t="s">
        <v>74</v>
      </c>
      <c r="BP743" s="2" t="s">
        <v>74</v>
      </c>
      <c r="BQ743" s="2" t="s">
        <v>74</v>
      </c>
      <c r="BR743" s="2" t="s">
        <v>74</v>
      </c>
      <c r="BS743" s="2" t="s">
        <v>2689</v>
      </c>
      <c r="BT743" s="2" t="str">
        <f>HYPERLINK("https%3A%2F%2Fwww.webofscience.com%2Fwos%2Fwoscc%2Ffull-record%2FWOS:A1993LU73200007","View Full Record in Web of Science")</f>
        <v>View Full Record in Web of Science</v>
      </c>
    </row>
    <row r="744" spans="1:72" s="2" customFormat="1" x14ac:dyDescent="0.4">
      <c r="A744" s="2" t="s">
        <v>72</v>
      </c>
      <c r="B744" s="2" t="s">
        <v>2685</v>
      </c>
      <c r="C744" s="2" t="s">
        <v>74</v>
      </c>
      <c r="D744" s="2" t="s">
        <v>74</v>
      </c>
      <c r="E744" s="2" t="s">
        <v>74</v>
      </c>
      <c r="F744" s="2" t="s">
        <v>2685</v>
      </c>
      <c r="G744" s="2" t="s">
        <v>74</v>
      </c>
      <c r="H744" s="2" t="s">
        <v>74</v>
      </c>
      <c r="I744" s="2" t="s">
        <v>3634</v>
      </c>
      <c r="J744" s="2" t="s">
        <v>1673</v>
      </c>
      <c r="K744" s="2" t="s">
        <v>74</v>
      </c>
      <c r="L744" s="2" t="s">
        <v>74</v>
      </c>
      <c r="M744" s="2" t="s">
        <v>74</v>
      </c>
      <c r="N744" s="2" t="s">
        <v>74</v>
      </c>
      <c r="O744" s="2" t="s">
        <v>74</v>
      </c>
      <c r="P744" s="2" t="s">
        <v>74</v>
      </c>
      <c r="Q744" s="2" t="s">
        <v>74</v>
      </c>
      <c r="R744" s="2" t="s">
        <v>74</v>
      </c>
      <c r="S744" s="2" t="s">
        <v>74</v>
      </c>
      <c r="T744" s="2" t="s">
        <v>74</v>
      </c>
      <c r="U744" s="2" t="s">
        <v>74</v>
      </c>
      <c r="V744" s="5" t="s">
        <v>3635</v>
      </c>
      <c r="W744" s="2" t="s">
        <v>74</v>
      </c>
      <c r="X744" s="2" t="s">
        <v>74</v>
      </c>
      <c r="Y744" s="2" t="s">
        <v>74</v>
      </c>
      <c r="Z744" s="2" t="s">
        <v>74</v>
      </c>
      <c r="AA744" s="2" t="s">
        <v>74</v>
      </c>
      <c r="AB744" s="2" t="s">
        <v>74</v>
      </c>
      <c r="AC744" s="2" t="s">
        <v>74</v>
      </c>
      <c r="AD744" s="2" t="s">
        <v>74</v>
      </c>
      <c r="AE744" s="2" t="s">
        <v>74</v>
      </c>
      <c r="AF744" s="2" t="s">
        <v>74</v>
      </c>
      <c r="AG744" s="2" t="s">
        <v>74</v>
      </c>
      <c r="AH744" s="2" t="s">
        <v>74</v>
      </c>
      <c r="AI744" s="2" t="s">
        <v>74</v>
      </c>
      <c r="AJ744" s="2" t="s">
        <v>74</v>
      </c>
      <c r="AK744" s="2" t="s">
        <v>74</v>
      </c>
      <c r="AL744" s="2" t="s">
        <v>74</v>
      </c>
      <c r="AM744" s="2" t="s">
        <v>74</v>
      </c>
      <c r="AN744" s="2" t="s">
        <v>74</v>
      </c>
      <c r="AO744" s="2" t="s">
        <v>1239</v>
      </c>
      <c r="AP744" s="2" t="s">
        <v>1675</v>
      </c>
      <c r="AQ744" s="2" t="s">
        <v>74</v>
      </c>
      <c r="AR744" s="2" t="s">
        <v>74</v>
      </c>
      <c r="AS744" s="2" t="s">
        <v>74</v>
      </c>
      <c r="AT744" s="2" t="s">
        <v>255</v>
      </c>
      <c r="AU744" s="2">
        <v>1994</v>
      </c>
      <c r="AV744" s="2">
        <v>72</v>
      </c>
      <c r="AW744" s="2">
        <v>1</v>
      </c>
      <c r="AX744" s="2" t="s">
        <v>74</v>
      </c>
      <c r="AY744" s="2" t="s">
        <v>74</v>
      </c>
      <c r="AZ744" s="2" t="s">
        <v>74</v>
      </c>
      <c r="BA744" s="2" t="s">
        <v>74</v>
      </c>
      <c r="BB744" s="2">
        <v>144</v>
      </c>
      <c r="BC744" s="2">
        <v>153</v>
      </c>
      <c r="BD744" s="2" t="s">
        <v>74</v>
      </c>
      <c r="BE744" s="2" t="s">
        <v>3636</v>
      </c>
      <c r="BF744" s="2" t="str">
        <f>HYPERLINK("http://dx.doi.org/10.1139/z94-018","http://dx.doi.org/10.1139/z94-018")</f>
        <v>http://dx.doi.org/10.1139/z94-018</v>
      </c>
      <c r="BG744" s="2" t="s">
        <v>74</v>
      </c>
      <c r="BH744" s="2" t="s">
        <v>74</v>
      </c>
      <c r="BI744" s="2" t="s">
        <v>74</v>
      </c>
      <c r="BJ744" s="2" t="s">
        <v>74</v>
      </c>
      <c r="BK744" s="2" t="s">
        <v>74</v>
      </c>
      <c r="BL744" s="2" t="s">
        <v>74</v>
      </c>
      <c r="BM744" s="2" t="s">
        <v>74</v>
      </c>
      <c r="BN744" s="2" t="s">
        <v>74</v>
      </c>
      <c r="BO744" s="2" t="s">
        <v>74</v>
      </c>
      <c r="BP744" s="2" t="s">
        <v>74</v>
      </c>
      <c r="BQ744" s="2" t="s">
        <v>74</v>
      </c>
      <c r="BR744" s="2" t="s">
        <v>74</v>
      </c>
      <c r="BS744" s="2" t="s">
        <v>3637</v>
      </c>
      <c r="BT744" s="2" t="str">
        <f>HYPERLINK("https%3A%2F%2Fwww.webofscience.com%2Fwos%2Fwoscc%2Ffull-record%2FWOS:A1994NK85100018","View Full Record in Web of Science")</f>
        <v>View Full Record in Web of Science</v>
      </c>
    </row>
    <row r="745" spans="1:72" s="2" customFormat="1" x14ac:dyDescent="0.4">
      <c r="A745" s="2" t="s">
        <v>72</v>
      </c>
      <c r="B745" s="2" t="s">
        <v>2685</v>
      </c>
      <c r="C745" s="2" t="s">
        <v>74</v>
      </c>
      <c r="D745" s="2" t="s">
        <v>74</v>
      </c>
      <c r="E745" s="2" t="s">
        <v>74</v>
      </c>
      <c r="F745" s="2" t="s">
        <v>2685</v>
      </c>
      <c r="G745" s="2" t="s">
        <v>74</v>
      </c>
      <c r="H745" s="2" t="s">
        <v>74</v>
      </c>
      <c r="I745" s="2" t="s">
        <v>4476</v>
      </c>
      <c r="J745" s="2" t="s">
        <v>140</v>
      </c>
      <c r="K745" s="2" t="s">
        <v>74</v>
      </c>
      <c r="L745" s="2" t="s">
        <v>74</v>
      </c>
      <c r="M745" s="2" t="s">
        <v>74</v>
      </c>
      <c r="N745" s="2" t="s">
        <v>74</v>
      </c>
      <c r="O745" s="2" t="s">
        <v>74</v>
      </c>
      <c r="P745" s="2" t="s">
        <v>74</v>
      </c>
      <c r="Q745" s="2" t="s">
        <v>74</v>
      </c>
      <c r="R745" s="2" t="s">
        <v>74</v>
      </c>
      <c r="S745" s="2" t="s">
        <v>74</v>
      </c>
      <c r="T745" s="2" t="s">
        <v>74</v>
      </c>
      <c r="U745" s="2" t="s">
        <v>74</v>
      </c>
      <c r="V745" s="5" t="s">
        <v>4477</v>
      </c>
      <c r="W745" s="2" t="s">
        <v>74</v>
      </c>
      <c r="X745" s="2" t="s">
        <v>74</v>
      </c>
      <c r="Y745" s="2" t="s">
        <v>74</v>
      </c>
      <c r="Z745" s="2" t="s">
        <v>74</v>
      </c>
      <c r="AA745" s="2" t="s">
        <v>74</v>
      </c>
      <c r="AB745" s="2" t="s">
        <v>74</v>
      </c>
      <c r="AC745" s="2" t="s">
        <v>74</v>
      </c>
      <c r="AD745" s="2" t="s">
        <v>74</v>
      </c>
      <c r="AE745" s="2" t="s">
        <v>74</v>
      </c>
      <c r="AF745" s="2" t="s">
        <v>74</v>
      </c>
      <c r="AG745" s="2" t="s">
        <v>74</v>
      </c>
      <c r="AH745" s="2" t="s">
        <v>74</v>
      </c>
      <c r="AI745" s="2" t="s">
        <v>74</v>
      </c>
      <c r="AJ745" s="2" t="s">
        <v>74</v>
      </c>
      <c r="AK745" s="2" t="s">
        <v>74</v>
      </c>
      <c r="AL745" s="2" t="s">
        <v>74</v>
      </c>
      <c r="AM745" s="2" t="s">
        <v>74</v>
      </c>
      <c r="AN745" s="2" t="s">
        <v>74</v>
      </c>
      <c r="AO745" s="2" t="s">
        <v>143</v>
      </c>
      <c r="AP745" s="2" t="s">
        <v>74</v>
      </c>
      <c r="AQ745" s="2" t="s">
        <v>74</v>
      </c>
      <c r="AR745" s="2" t="s">
        <v>74</v>
      </c>
      <c r="AS745" s="2" t="s">
        <v>74</v>
      </c>
      <c r="AT745" s="2" t="s">
        <v>204</v>
      </c>
      <c r="AU745" s="2">
        <v>1995</v>
      </c>
      <c r="AV745" s="2">
        <v>50</v>
      </c>
      <c r="AW745" s="2" t="s">
        <v>74</v>
      </c>
      <c r="AX745" s="2">
        <v>1</v>
      </c>
      <c r="AY745" s="2" t="s">
        <v>74</v>
      </c>
      <c r="AZ745" s="2" t="s">
        <v>74</v>
      </c>
      <c r="BA745" s="2" t="s">
        <v>74</v>
      </c>
      <c r="BB745" s="2">
        <v>213</v>
      </c>
      <c r="BC745" s="2">
        <v>221</v>
      </c>
      <c r="BD745" s="2" t="s">
        <v>74</v>
      </c>
      <c r="BE745" s="2" t="s">
        <v>4478</v>
      </c>
      <c r="BF745" s="2" t="str">
        <f>HYPERLINK("http://dx.doi.org/10.1006/anbe.1995.0233","http://dx.doi.org/10.1006/anbe.1995.0233")</f>
        <v>http://dx.doi.org/10.1006/anbe.1995.0233</v>
      </c>
      <c r="BG745" s="2" t="s">
        <v>74</v>
      </c>
      <c r="BH745" s="2" t="s">
        <v>74</v>
      </c>
      <c r="BI745" s="2" t="s">
        <v>74</v>
      </c>
      <c r="BJ745" s="2" t="s">
        <v>74</v>
      </c>
      <c r="BK745" s="2" t="s">
        <v>74</v>
      </c>
      <c r="BL745" s="2" t="s">
        <v>74</v>
      </c>
      <c r="BM745" s="2" t="s">
        <v>74</v>
      </c>
      <c r="BN745" s="2" t="s">
        <v>74</v>
      </c>
      <c r="BO745" s="2" t="s">
        <v>74</v>
      </c>
      <c r="BP745" s="2" t="s">
        <v>74</v>
      </c>
      <c r="BQ745" s="2" t="s">
        <v>74</v>
      </c>
      <c r="BR745" s="2" t="s">
        <v>74</v>
      </c>
      <c r="BS745" s="2" t="s">
        <v>4479</v>
      </c>
      <c r="BT745" s="2" t="str">
        <f>HYPERLINK("https%3A%2F%2Fwww.webofscience.com%2Fwos%2Fwoscc%2Ffull-record%2FWOS:A1995RM19000020","View Full Record in Web of Science")</f>
        <v>View Full Record in Web of Science</v>
      </c>
    </row>
    <row r="746" spans="1:72" s="2" customFormat="1" x14ac:dyDescent="0.4">
      <c r="A746" s="2" t="s">
        <v>72</v>
      </c>
      <c r="B746" s="2" t="s">
        <v>2307</v>
      </c>
      <c r="C746" s="2" t="s">
        <v>74</v>
      </c>
      <c r="D746" s="2" t="s">
        <v>74</v>
      </c>
      <c r="E746" s="2" t="s">
        <v>74</v>
      </c>
      <c r="F746" s="2" t="s">
        <v>2308</v>
      </c>
      <c r="G746" s="2" t="s">
        <v>74</v>
      </c>
      <c r="H746" s="2" t="s">
        <v>74</v>
      </c>
      <c r="I746" s="2" t="s">
        <v>2309</v>
      </c>
      <c r="J746" s="2" t="s">
        <v>2310</v>
      </c>
      <c r="K746" s="2" t="s">
        <v>74</v>
      </c>
      <c r="L746" s="2" t="s">
        <v>74</v>
      </c>
      <c r="M746" s="2" t="s">
        <v>74</v>
      </c>
      <c r="N746" s="2" t="s">
        <v>74</v>
      </c>
      <c r="O746" s="2" t="s">
        <v>74</v>
      </c>
      <c r="P746" s="2" t="s">
        <v>74</v>
      </c>
      <c r="Q746" s="2" t="s">
        <v>74</v>
      </c>
      <c r="R746" s="2" t="s">
        <v>74</v>
      </c>
      <c r="S746" s="2" t="s">
        <v>74</v>
      </c>
      <c r="T746" s="2" t="s">
        <v>74</v>
      </c>
      <c r="U746" s="2" t="s">
        <v>74</v>
      </c>
      <c r="V746" s="5" t="s">
        <v>2311</v>
      </c>
      <c r="W746" s="2" t="s">
        <v>74</v>
      </c>
      <c r="X746" s="2" t="s">
        <v>74</v>
      </c>
      <c r="Y746" s="2" t="s">
        <v>74</v>
      </c>
      <c r="Z746" s="2" t="s">
        <v>74</v>
      </c>
      <c r="AA746" s="2" t="s">
        <v>74</v>
      </c>
      <c r="AB746" s="2" t="s">
        <v>2312</v>
      </c>
      <c r="AC746" s="2" t="s">
        <v>74</v>
      </c>
      <c r="AD746" s="2" t="s">
        <v>74</v>
      </c>
      <c r="AE746" s="2" t="s">
        <v>74</v>
      </c>
      <c r="AF746" s="2" t="s">
        <v>74</v>
      </c>
      <c r="AG746" s="2" t="s">
        <v>74</v>
      </c>
      <c r="AH746" s="2" t="s">
        <v>74</v>
      </c>
      <c r="AI746" s="2" t="s">
        <v>74</v>
      </c>
      <c r="AJ746" s="2" t="s">
        <v>74</v>
      </c>
      <c r="AK746" s="2" t="s">
        <v>74</v>
      </c>
      <c r="AL746" s="2" t="s">
        <v>74</v>
      </c>
      <c r="AM746" s="2" t="s">
        <v>74</v>
      </c>
      <c r="AN746" s="2" t="s">
        <v>74</v>
      </c>
      <c r="AO746" s="2" t="s">
        <v>2313</v>
      </c>
      <c r="AP746" s="2" t="s">
        <v>74</v>
      </c>
      <c r="AQ746" s="2" t="s">
        <v>74</v>
      </c>
      <c r="AR746" s="2" t="s">
        <v>74</v>
      </c>
      <c r="AS746" s="2" t="s">
        <v>74</v>
      </c>
      <c r="AT746" s="2" t="s">
        <v>123</v>
      </c>
      <c r="AU746" s="2">
        <v>2012</v>
      </c>
      <c r="AV746" s="2">
        <v>46</v>
      </c>
      <c r="AW746" s="2">
        <v>1</v>
      </c>
      <c r="AX746" s="2" t="s">
        <v>74</v>
      </c>
      <c r="AY746" s="2" t="s">
        <v>74</v>
      </c>
      <c r="AZ746" s="2" t="s">
        <v>74</v>
      </c>
      <c r="BA746" s="2" t="s">
        <v>74</v>
      </c>
      <c r="BB746" s="2">
        <v>111</v>
      </c>
      <c r="BC746" s="2">
        <v>123</v>
      </c>
      <c r="BD746" s="2" t="s">
        <v>74</v>
      </c>
      <c r="BE746" s="2" t="s">
        <v>2314</v>
      </c>
      <c r="BF746" s="2" t="str">
        <f>HYPERLINK("http://dx.doi.org/10.1080/00288330.2011.608687","http://dx.doi.org/10.1080/00288330.2011.608687")</f>
        <v>http://dx.doi.org/10.1080/00288330.2011.608687</v>
      </c>
      <c r="BG746" s="2" t="s">
        <v>74</v>
      </c>
      <c r="BH746" s="2" t="s">
        <v>74</v>
      </c>
      <c r="BI746" s="2" t="s">
        <v>74</v>
      </c>
      <c r="BJ746" s="2" t="s">
        <v>74</v>
      </c>
      <c r="BK746" s="2" t="s">
        <v>74</v>
      </c>
      <c r="BL746" s="2" t="s">
        <v>74</v>
      </c>
      <c r="BM746" s="2" t="s">
        <v>74</v>
      </c>
      <c r="BN746" s="2" t="s">
        <v>74</v>
      </c>
      <c r="BO746" s="2" t="s">
        <v>74</v>
      </c>
      <c r="BP746" s="2" t="s">
        <v>74</v>
      </c>
      <c r="BQ746" s="2" t="s">
        <v>74</v>
      </c>
      <c r="BR746" s="2" t="s">
        <v>74</v>
      </c>
      <c r="BS746" s="2" t="s">
        <v>2315</v>
      </c>
      <c r="BT746" s="2" t="str">
        <f>HYPERLINK("https%3A%2F%2Fwww.webofscience.com%2Fwos%2Fwoscc%2Ffull-record%2FWOS:000304675700010","View Full Record in Web of Science")</f>
        <v>View Full Record in Web of Science</v>
      </c>
    </row>
    <row r="747" spans="1:72" s="2" customFormat="1" x14ac:dyDescent="0.4">
      <c r="A747" s="2" t="s">
        <v>72</v>
      </c>
      <c r="B747" s="2" t="s">
        <v>4341</v>
      </c>
      <c r="C747" s="2" t="s">
        <v>74</v>
      </c>
      <c r="D747" s="2" t="s">
        <v>74</v>
      </c>
      <c r="E747" s="2" t="s">
        <v>74</v>
      </c>
      <c r="F747" s="2" t="s">
        <v>4342</v>
      </c>
      <c r="G747" s="2" t="s">
        <v>74</v>
      </c>
      <c r="H747" s="2" t="s">
        <v>74</v>
      </c>
      <c r="I747" s="2" t="s">
        <v>4343</v>
      </c>
      <c r="J747" s="2" t="s">
        <v>814</v>
      </c>
      <c r="K747" s="2" t="s">
        <v>74</v>
      </c>
      <c r="L747" s="2" t="s">
        <v>74</v>
      </c>
      <c r="M747" s="2" t="s">
        <v>74</v>
      </c>
      <c r="N747" s="2" t="s">
        <v>74</v>
      </c>
      <c r="O747" s="2" t="s">
        <v>74</v>
      </c>
      <c r="P747" s="2" t="s">
        <v>74</v>
      </c>
      <c r="Q747" s="2" t="s">
        <v>74</v>
      </c>
      <c r="R747" s="2" t="s">
        <v>74</v>
      </c>
      <c r="S747" s="2" t="s">
        <v>74</v>
      </c>
      <c r="T747" s="2" t="s">
        <v>74</v>
      </c>
      <c r="U747" s="2" t="s">
        <v>74</v>
      </c>
      <c r="V747" s="5" t="s">
        <v>4344</v>
      </c>
      <c r="W747" s="2" t="s">
        <v>74</v>
      </c>
      <c r="X747" s="2" t="s">
        <v>74</v>
      </c>
      <c r="Y747" s="2" t="s">
        <v>74</v>
      </c>
      <c r="Z747" s="2" t="s">
        <v>74</v>
      </c>
      <c r="AA747" s="2" t="s">
        <v>4345</v>
      </c>
      <c r="AB747" s="2" t="s">
        <v>4346</v>
      </c>
      <c r="AC747" s="2" t="s">
        <v>74</v>
      </c>
      <c r="AD747" s="2" t="s">
        <v>74</v>
      </c>
      <c r="AE747" s="2" t="s">
        <v>74</v>
      </c>
      <c r="AF747" s="2" t="s">
        <v>74</v>
      </c>
      <c r="AG747" s="2" t="s">
        <v>74</v>
      </c>
      <c r="AH747" s="2" t="s">
        <v>74</v>
      </c>
      <c r="AI747" s="2" t="s">
        <v>74</v>
      </c>
      <c r="AJ747" s="2" t="s">
        <v>74</v>
      </c>
      <c r="AK747" s="2" t="s">
        <v>74</v>
      </c>
      <c r="AL747" s="2" t="s">
        <v>74</v>
      </c>
      <c r="AM747" s="2" t="s">
        <v>74</v>
      </c>
      <c r="AN747" s="2" t="s">
        <v>74</v>
      </c>
      <c r="AO747" s="2" t="s">
        <v>818</v>
      </c>
      <c r="AP747" s="2" t="s">
        <v>1505</v>
      </c>
      <c r="AQ747" s="2" t="s">
        <v>74</v>
      </c>
      <c r="AR747" s="2" t="s">
        <v>74</v>
      </c>
      <c r="AS747" s="2" t="s">
        <v>74</v>
      </c>
      <c r="AT747" s="2" t="s">
        <v>74</v>
      </c>
      <c r="AU747" s="2">
        <v>2009</v>
      </c>
      <c r="AV747" s="2">
        <v>112</v>
      </c>
      <c r="AW747" s="2">
        <v>3</v>
      </c>
      <c r="AX747" s="2" t="s">
        <v>74</v>
      </c>
      <c r="AY747" s="2" t="s">
        <v>74</v>
      </c>
      <c r="AZ747" s="2" t="s">
        <v>74</v>
      </c>
      <c r="BA747" s="2" t="s">
        <v>74</v>
      </c>
      <c r="BB747" s="2">
        <v>217</v>
      </c>
      <c r="BC747" s="2">
        <v>226</v>
      </c>
      <c r="BD747" s="2" t="s">
        <v>74</v>
      </c>
      <c r="BE747" s="2" t="s">
        <v>4347</v>
      </c>
      <c r="BF747" s="2" t="str">
        <f>HYPERLINK("http://dx.doi.org/10.1016/j.zool.2008.09.005","http://dx.doi.org/10.1016/j.zool.2008.09.005")</f>
        <v>http://dx.doi.org/10.1016/j.zool.2008.09.005</v>
      </c>
      <c r="BG747" s="2" t="s">
        <v>74</v>
      </c>
      <c r="BH747" s="2" t="s">
        <v>74</v>
      </c>
      <c r="BI747" s="2" t="s">
        <v>74</v>
      </c>
      <c r="BJ747" s="2" t="s">
        <v>74</v>
      </c>
      <c r="BK747" s="2" t="s">
        <v>74</v>
      </c>
      <c r="BL747" s="2" t="s">
        <v>74</v>
      </c>
      <c r="BM747" s="2" t="s">
        <v>74</v>
      </c>
      <c r="BN747" s="2">
        <v>19230632</v>
      </c>
      <c r="BO747" s="2" t="s">
        <v>74</v>
      </c>
      <c r="BP747" s="2" t="s">
        <v>74</v>
      </c>
      <c r="BQ747" s="2" t="s">
        <v>74</v>
      </c>
      <c r="BR747" s="2" t="s">
        <v>74</v>
      </c>
      <c r="BS747" s="2" t="s">
        <v>4348</v>
      </c>
      <c r="BT747" s="2" t="str">
        <f>HYPERLINK("https%3A%2F%2Fwww.webofscience.com%2Fwos%2Fwoscc%2Ffull-record%2FWOS:000265663200006","View Full Record in Web of Science")</f>
        <v>View Full Record in Web of Science</v>
      </c>
    </row>
    <row r="748" spans="1:72" s="7" customFormat="1" x14ac:dyDescent="0.4">
      <c r="A748" s="2" t="s">
        <v>72</v>
      </c>
      <c r="B748" s="2" t="s">
        <v>3361</v>
      </c>
      <c r="C748" s="2" t="s">
        <v>74</v>
      </c>
      <c r="D748" s="2" t="s">
        <v>74</v>
      </c>
      <c r="E748" s="2" t="s">
        <v>74</v>
      </c>
      <c r="F748" s="2" t="s">
        <v>3361</v>
      </c>
      <c r="G748" s="2" t="s">
        <v>74</v>
      </c>
      <c r="H748" s="2" t="s">
        <v>74</v>
      </c>
      <c r="I748" s="2" t="s">
        <v>3362</v>
      </c>
      <c r="J748" s="2" t="s">
        <v>3363</v>
      </c>
      <c r="K748" s="2" t="s">
        <v>74</v>
      </c>
      <c r="L748" s="2" t="s">
        <v>74</v>
      </c>
      <c r="M748" s="2" t="s">
        <v>74</v>
      </c>
      <c r="N748" s="2" t="s">
        <v>74</v>
      </c>
      <c r="O748" s="2" t="s">
        <v>74</v>
      </c>
      <c r="P748" s="2" t="s">
        <v>74</v>
      </c>
      <c r="Q748" s="2" t="s">
        <v>74</v>
      </c>
      <c r="R748" s="2" t="s">
        <v>74</v>
      </c>
      <c r="S748" s="2" t="s">
        <v>74</v>
      </c>
      <c r="T748" s="2" t="s">
        <v>74</v>
      </c>
      <c r="U748" s="2" t="s">
        <v>74</v>
      </c>
      <c r="V748" s="5" t="s">
        <v>3364</v>
      </c>
      <c r="W748" s="2" t="s">
        <v>74</v>
      </c>
      <c r="X748" s="2" t="s">
        <v>74</v>
      </c>
      <c r="Y748" s="2" t="s">
        <v>74</v>
      </c>
      <c r="Z748" s="2" t="s">
        <v>74</v>
      </c>
      <c r="AA748" s="2" t="s">
        <v>74</v>
      </c>
      <c r="AB748" s="2" t="s">
        <v>74</v>
      </c>
      <c r="AC748" s="2" t="s">
        <v>74</v>
      </c>
      <c r="AD748" s="2" t="s">
        <v>74</v>
      </c>
      <c r="AE748" s="2" t="s">
        <v>74</v>
      </c>
      <c r="AF748" s="2" t="s">
        <v>74</v>
      </c>
      <c r="AG748" s="2" t="s">
        <v>74</v>
      </c>
      <c r="AH748" s="2" t="s">
        <v>74</v>
      </c>
      <c r="AI748" s="2" t="s">
        <v>74</v>
      </c>
      <c r="AJ748" s="2" t="s">
        <v>74</v>
      </c>
      <c r="AK748" s="2" t="s">
        <v>74</v>
      </c>
      <c r="AL748" s="2" t="s">
        <v>74</v>
      </c>
      <c r="AM748" s="2" t="s">
        <v>74</v>
      </c>
      <c r="AN748" s="2" t="s">
        <v>74</v>
      </c>
      <c r="AO748" s="2" t="s">
        <v>3365</v>
      </c>
      <c r="AP748" s="2" t="s">
        <v>3366</v>
      </c>
      <c r="AQ748" s="2" t="s">
        <v>74</v>
      </c>
      <c r="AR748" s="2" t="s">
        <v>74</v>
      </c>
      <c r="AS748" s="2" t="s">
        <v>74</v>
      </c>
      <c r="AT748" s="2" t="s">
        <v>74</v>
      </c>
      <c r="AU748" s="2">
        <v>1979</v>
      </c>
      <c r="AV748" s="2">
        <v>50</v>
      </c>
      <c r="AW748" s="2">
        <v>2</v>
      </c>
      <c r="AX748" s="2" t="s">
        <v>74</v>
      </c>
      <c r="AY748" s="2" t="s">
        <v>74</v>
      </c>
      <c r="AZ748" s="2" t="s">
        <v>74</v>
      </c>
      <c r="BA748" s="2" t="s">
        <v>74</v>
      </c>
      <c r="BB748" s="2">
        <v>97</v>
      </c>
      <c r="BC748" s="2">
        <v>99</v>
      </c>
      <c r="BD748" s="2" t="s">
        <v>74</v>
      </c>
      <c r="BE748" s="2" t="s">
        <v>74</v>
      </c>
      <c r="BF748" s="2" t="s">
        <v>74</v>
      </c>
      <c r="BG748" s="2" t="s">
        <v>74</v>
      </c>
      <c r="BH748" s="2" t="s">
        <v>74</v>
      </c>
      <c r="BI748" s="2" t="s">
        <v>74</v>
      </c>
      <c r="BJ748" s="2" t="s">
        <v>74</v>
      </c>
      <c r="BK748" s="2" t="s">
        <v>74</v>
      </c>
      <c r="BL748" s="2" t="s">
        <v>74</v>
      </c>
      <c r="BM748" s="2" t="s">
        <v>74</v>
      </c>
      <c r="BN748" s="2">
        <v>575907</v>
      </c>
      <c r="BO748" s="2" t="s">
        <v>74</v>
      </c>
      <c r="BP748" s="2" t="s">
        <v>74</v>
      </c>
      <c r="BQ748" s="2" t="s">
        <v>74</v>
      </c>
      <c r="BR748" s="2" t="s">
        <v>74</v>
      </c>
      <c r="BS748" s="2" t="s">
        <v>3367</v>
      </c>
      <c r="BT748" s="2" t="str">
        <f>HYPERLINK("https%3A%2F%2Fwww.webofscience.com%2Fwos%2Fwoscc%2Ffull-record%2FWOS:A1979HS03900007","View Full Record in Web of Science")</f>
        <v>View Full Record in Web of Science</v>
      </c>
    </row>
    <row r="749" spans="1:72" s="2" customFormat="1" x14ac:dyDescent="0.4">
      <c r="A749" s="2" t="s">
        <v>72</v>
      </c>
      <c r="B749" s="2" t="s">
        <v>2290</v>
      </c>
      <c r="C749" s="2" t="s">
        <v>74</v>
      </c>
      <c r="D749" s="2" t="s">
        <v>74</v>
      </c>
      <c r="E749" s="2" t="s">
        <v>74</v>
      </c>
      <c r="F749" s="2" t="s">
        <v>2291</v>
      </c>
      <c r="G749" s="2" t="s">
        <v>74</v>
      </c>
      <c r="H749" s="2" t="s">
        <v>74</v>
      </c>
      <c r="I749" s="2" t="s">
        <v>2292</v>
      </c>
      <c r="J749" s="2" t="s">
        <v>775</v>
      </c>
      <c r="K749" s="2" t="s">
        <v>74</v>
      </c>
      <c r="L749" s="2" t="s">
        <v>74</v>
      </c>
      <c r="M749" s="2" t="s">
        <v>74</v>
      </c>
      <c r="N749" s="2" t="s">
        <v>74</v>
      </c>
      <c r="O749" s="2" t="s">
        <v>74</v>
      </c>
      <c r="P749" s="2" t="s">
        <v>74</v>
      </c>
      <c r="Q749" s="2" t="s">
        <v>74</v>
      </c>
      <c r="R749" s="2" t="s">
        <v>74</v>
      </c>
      <c r="S749" s="2" t="s">
        <v>74</v>
      </c>
      <c r="T749" s="2" t="s">
        <v>74</v>
      </c>
      <c r="U749" s="2" t="s">
        <v>74</v>
      </c>
      <c r="V749" s="5" t="s">
        <v>2293</v>
      </c>
      <c r="W749" s="2" t="s">
        <v>74</v>
      </c>
      <c r="X749" s="2" t="s">
        <v>74</v>
      </c>
      <c r="Y749" s="2" t="s">
        <v>74</v>
      </c>
      <c r="Z749" s="2" t="s">
        <v>74</v>
      </c>
      <c r="AA749" s="2" t="s">
        <v>2294</v>
      </c>
      <c r="AB749" s="2" t="s">
        <v>2295</v>
      </c>
      <c r="AC749" s="2" t="s">
        <v>74</v>
      </c>
      <c r="AD749" s="2" t="s">
        <v>74</v>
      </c>
      <c r="AE749" s="2" t="s">
        <v>74</v>
      </c>
      <c r="AF749" s="2" t="s">
        <v>74</v>
      </c>
      <c r="AG749" s="2" t="s">
        <v>74</v>
      </c>
      <c r="AH749" s="2" t="s">
        <v>74</v>
      </c>
      <c r="AI749" s="2" t="s">
        <v>74</v>
      </c>
      <c r="AJ749" s="2" t="s">
        <v>74</v>
      </c>
      <c r="AK749" s="2" t="s">
        <v>74</v>
      </c>
      <c r="AL749" s="2" t="s">
        <v>74</v>
      </c>
      <c r="AM749" s="2" t="s">
        <v>74</v>
      </c>
      <c r="AN749" s="2" t="s">
        <v>74</v>
      </c>
      <c r="AO749" s="2" t="s">
        <v>778</v>
      </c>
      <c r="AP749" s="2" t="s">
        <v>779</v>
      </c>
      <c r="AQ749" s="2" t="s">
        <v>74</v>
      </c>
      <c r="AR749" s="2" t="s">
        <v>74</v>
      </c>
      <c r="AS749" s="2" t="s">
        <v>74</v>
      </c>
      <c r="AT749" s="2" t="s">
        <v>2296</v>
      </c>
      <c r="AU749" s="2">
        <v>2024</v>
      </c>
      <c r="AV749" s="2">
        <v>70</v>
      </c>
      <c r="AW749" s="2">
        <v>1</v>
      </c>
      <c r="AX749" s="2" t="s">
        <v>74</v>
      </c>
      <c r="AY749" s="2" t="s">
        <v>74</v>
      </c>
      <c r="AZ749" s="2" t="s">
        <v>74</v>
      </c>
      <c r="BA749" s="2" t="s">
        <v>74</v>
      </c>
      <c r="BB749" s="2">
        <v>59</v>
      </c>
      <c r="BC749" s="2">
        <v>69</v>
      </c>
      <c r="BD749" s="2" t="s">
        <v>74</v>
      </c>
      <c r="BE749" s="2" t="s">
        <v>2297</v>
      </c>
      <c r="BF749" s="2" t="str">
        <f>HYPERLINK("http://dx.doi.org/10.1093/cz/zoac095","http://dx.doi.org/10.1093/cz/zoac095")</f>
        <v>http://dx.doi.org/10.1093/cz/zoac095</v>
      </c>
      <c r="BG749" s="2" t="s">
        <v>74</v>
      </c>
      <c r="BH749" s="2" t="s">
        <v>2298</v>
      </c>
      <c r="BI749" s="2" t="s">
        <v>74</v>
      </c>
      <c r="BJ749" s="2" t="s">
        <v>74</v>
      </c>
      <c r="BK749" s="2" t="s">
        <v>74</v>
      </c>
      <c r="BL749" s="2" t="s">
        <v>74</v>
      </c>
      <c r="BM749" s="2" t="s">
        <v>74</v>
      </c>
      <c r="BN749" s="2">
        <v>38476133</v>
      </c>
      <c r="BO749" s="2" t="s">
        <v>74</v>
      </c>
      <c r="BP749" s="2" t="s">
        <v>74</v>
      </c>
      <c r="BQ749" s="2" t="s">
        <v>74</v>
      </c>
      <c r="BR749" s="2" t="s">
        <v>74</v>
      </c>
      <c r="BS749" s="2" t="s">
        <v>2299</v>
      </c>
      <c r="BT749" s="2" t="str">
        <f>HYPERLINK("https%3A%2F%2Fwww.webofscience.com%2Fwos%2Fwoscc%2Ffull-record%2FWOS:000908307000001","View Full Record in Web of Science")</f>
        <v>View Full Record in Web of Science</v>
      </c>
    </row>
    <row r="750" spans="1:72" s="2" customFormat="1" x14ac:dyDescent="0.4">
      <c r="A750" s="2" t="s">
        <v>72</v>
      </c>
      <c r="B750" s="2" t="s">
        <v>1721</v>
      </c>
      <c r="C750" s="2" t="s">
        <v>74</v>
      </c>
      <c r="D750" s="2" t="s">
        <v>74</v>
      </c>
      <c r="E750" s="2" t="s">
        <v>74</v>
      </c>
      <c r="F750" s="2" t="s">
        <v>1721</v>
      </c>
      <c r="G750" s="2" t="s">
        <v>74</v>
      </c>
      <c r="H750" s="2" t="s">
        <v>74</v>
      </c>
      <c r="I750" s="2" t="s">
        <v>1722</v>
      </c>
      <c r="J750" s="2" t="s">
        <v>171</v>
      </c>
      <c r="K750" s="2" t="s">
        <v>74</v>
      </c>
      <c r="L750" s="2" t="s">
        <v>74</v>
      </c>
      <c r="M750" s="2" t="s">
        <v>74</v>
      </c>
      <c r="N750" s="2" t="s">
        <v>74</v>
      </c>
      <c r="O750" s="2" t="s">
        <v>74</v>
      </c>
      <c r="P750" s="2" t="s">
        <v>74</v>
      </c>
      <c r="Q750" s="2" t="s">
        <v>74</v>
      </c>
      <c r="R750" s="2" t="s">
        <v>74</v>
      </c>
      <c r="S750" s="2" t="s">
        <v>74</v>
      </c>
      <c r="T750" s="2" t="s">
        <v>74</v>
      </c>
      <c r="U750" s="2" t="s">
        <v>74</v>
      </c>
      <c r="V750" s="5" t="s">
        <v>1723</v>
      </c>
      <c r="W750" s="2" t="s">
        <v>74</v>
      </c>
      <c r="X750" s="2" t="s">
        <v>74</v>
      </c>
      <c r="Y750" s="2" t="s">
        <v>74</v>
      </c>
      <c r="Z750" s="2" t="s">
        <v>74</v>
      </c>
      <c r="AA750" s="2" t="s">
        <v>1724</v>
      </c>
      <c r="AB750" s="2" t="s">
        <v>1725</v>
      </c>
      <c r="AC750" s="2" t="s">
        <v>74</v>
      </c>
      <c r="AD750" s="2" t="s">
        <v>74</v>
      </c>
      <c r="AE750" s="2" t="s">
        <v>74</v>
      </c>
      <c r="AF750" s="2" t="s">
        <v>74</v>
      </c>
      <c r="AG750" s="2" t="s">
        <v>74</v>
      </c>
      <c r="AH750" s="2" t="s">
        <v>74</v>
      </c>
      <c r="AI750" s="2" t="s">
        <v>74</v>
      </c>
      <c r="AJ750" s="2" t="s">
        <v>74</v>
      </c>
      <c r="AK750" s="2" t="s">
        <v>74</v>
      </c>
      <c r="AL750" s="2" t="s">
        <v>74</v>
      </c>
      <c r="AM750" s="2" t="s">
        <v>74</v>
      </c>
      <c r="AN750" s="2" t="s">
        <v>74</v>
      </c>
      <c r="AO750" s="2" t="s">
        <v>173</v>
      </c>
      <c r="AP750" s="2" t="s">
        <v>174</v>
      </c>
      <c r="AQ750" s="2" t="s">
        <v>74</v>
      </c>
      <c r="AR750" s="2" t="s">
        <v>74</v>
      </c>
      <c r="AS750" s="2" t="s">
        <v>74</v>
      </c>
      <c r="AT750" s="2" t="s">
        <v>175</v>
      </c>
      <c r="AU750" s="2">
        <v>1998</v>
      </c>
      <c r="AV750" s="2">
        <v>52</v>
      </c>
      <c r="AW750" s="2">
        <v>5</v>
      </c>
      <c r="AX750" s="2" t="s">
        <v>74</v>
      </c>
      <c r="AY750" s="2" t="s">
        <v>74</v>
      </c>
      <c r="AZ750" s="2" t="s">
        <v>74</v>
      </c>
      <c r="BA750" s="2" t="s">
        <v>74</v>
      </c>
      <c r="BB750" s="2">
        <v>1293</v>
      </c>
      <c r="BC750" s="2">
        <v>1303</v>
      </c>
      <c r="BD750" s="2" t="s">
        <v>74</v>
      </c>
      <c r="BE750" s="2" t="s">
        <v>1726</v>
      </c>
      <c r="BF750" s="2" t="str">
        <f>HYPERLINK("http://dx.doi.org/10.2307/2411299","http://dx.doi.org/10.2307/2411299")</f>
        <v>http://dx.doi.org/10.2307/2411299</v>
      </c>
      <c r="BG750" s="2" t="s">
        <v>74</v>
      </c>
      <c r="BH750" s="2" t="s">
        <v>74</v>
      </c>
      <c r="BI750" s="2" t="s">
        <v>74</v>
      </c>
      <c r="BJ750" s="2" t="s">
        <v>74</v>
      </c>
      <c r="BK750" s="2" t="s">
        <v>74</v>
      </c>
      <c r="BL750" s="2" t="s">
        <v>74</v>
      </c>
      <c r="BM750" s="2" t="s">
        <v>74</v>
      </c>
      <c r="BN750" s="2">
        <v>28565388</v>
      </c>
      <c r="BO750" s="2" t="s">
        <v>74</v>
      </c>
      <c r="BP750" s="2" t="s">
        <v>74</v>
      </c>
      <c r="BQ750" s="2" t="s">
        <v>74</v>
      </c>
      <c r="BR750" s="2" t="s">
        <v>74</v>
      </c>
      <c r="BS750" s="2" t="s">
        <v>1727</v>
      </c>
      <c r="BT750" s="2" t="str">
        <f>HYPERLINK("https%3A%2F%2Fwww.webofscience.com%2Fwos%2Fwoscc%2Ffull-record%2FWOS:000076931100006","View Full Record in Web of Science")</f>
        <v>View Full Record in Web of Science</v>
      </c>
    </row>
    <row r="751" spans="1:72" s="2" customFormat="1" x14ac:dyDescent="0.4">
      <c r="A751" s="2" t="s">
        <v>72</v>
      </c>
      <c r="B751" s="2" t="s">
        <v>4777</v>
      </c>
      <c r="C751" s="2" t="s">
        <v>74</v>
      </c>
      <c r="D751" s="2" t="s">
        <v>74</v>
      </c>
      <c r="E751" s="2" t="s">
        <v>74</v>
      </c>
      <c r="F751" s="2" t="s">
        <v>4778</v>
      </c>
      <c r="G751" s="2" t="s">
        <v>74</v>
      </c>
      <c r="H751" s="2" t="s">
        <v>74</v>
      </c>
      <c r="I751" s="2" t="s">
        <v>4779</v>
      </c>
      <c r="J751" s="2" t="s">
        <v>171</v>
      </c>
      <c r="K751" s="2" t="s">
        <v>74</v>
      </c>
      <c r="L751" s="2" t="s">
        <v>74</v>
      </c>
      <c r="M751" s="2" t="s">
        <v>74</v>
      </c>
      <c r="N751" s="2" t="s">
        <v>74</v>
      </c>
      <c r="O751" s="2" t="s">
        <v>74</v>
      </c>
      <c r="P751" s="2" t="s">
        <v>74</v>
      </c>
      <c r="Q751" s="2" t="s">
        <v>74</v>
      </c>
      <c r="R751" s="2" t="s">
        <v>74</v>
      </c>
      <c r="S751" s="2" t="s">
        <v>74</v>
      </c>
      <c r="T751" s="2" t="s">
        <v>74</v>
      </c>
      <c r="U751" s="2" t="s">
        <v>74</v>
      </c>
      <c r="V751" s="5" t="s">
        <v>4780</v>
      </c>
      <c r="W751" s="2" t="s">
        <v>74</v>
      </c>
      <c r="X751" s="2" t="s">
        <v>74</v>
      </c>
      <c r="Y751" s="2" t="s">
        <v>74</v>
      </c>
      <c r="Z751" s="2" t="s">
        <v>74</v>
      </c>
      <c r="AA751" s="2" t="s">
        <v>379</v>
      </c>
      <c r="AB751" s="2" t="s">
        <v>3957</v>
      </c>
      <c r="AC751" s="2" t="s">
        <v>74</v>
      </c>
      <c r="AD751" s="2" t="s">
        <v>74</v>
      </c>
      <c r="AE751" s="2" t="s">
        <v>74</v>
      </c>
      <c r="AF751" s="2" t="s">
        <v>74</v>
      </c>
      <c r="AG751" s="2" t="s">
        <v>74</v>
      </c>
      <c r="AH751" s="2" t="s">
        <v>74</v>
      </c>
      <c r="AI751" s="2" t="s">
        <v>74</v>
      </c>
      <c r="AJ751" s="2" t="s">
        <v>74</v>
      </c>
      <c r="AK751" s="2" t="s">
        <v>74</v>
      </c>
      <c r="AL751" s="2" t="s">
        <v>74</v>
      </c>
      <c r="AM751" s="2" t="s">
        <v>74</v>
      </c>
      <c r="AN751" s="2" t="s">
        <v>74</v>
      </c>
      <c r="AO751" s="2" t="s">
        <v>173</v>
      </c>
      <c r="AP751" s="2" t="s">
        <v>174</v>
      </c>
      <c r="AQ751" s="2" t="s">
        <v>74</v>
      </c>
      <c r="AR751" s="2" t="s">
        <v>74</v>
      </c>
      <c r="AS751" s="2" t="s">
        <v>74</v>
      </c>
      <c r="AT751" s="2" t="s">
        <v>964</v>
      </c>
      <c r="AU751" s="2">
        <v>2018</v>
      </c>
      <c r="AV751" s="2">
        <v>72</v>
      </c>
      <c r="AW751" s="2">
        <v>2</v>
      </c>
      <c r="AX751" s="2" t="s">
        <v>74</v>
      </c>
      <c r="AY751" s="2" t="s">
        <v>74</v>
      </c>
      <c r="AZ751" s="2" t="s">
        <v>74</v>
      </c>
      <c r="BA751" s="2" t="s">
        <v>74</v>
      </c>
      <c r="BB751" s="2">
        <v>337</v>
      </c>
      <c r="BC751" s="2">
        <v>347</v>
      </c>
      <c r="BD751" s="2" t="s">
        <v>74</v>
      </c>
      <c r="BE751" s="2" t="s">
        <v>4781</v>
      </c>
      <c r="BF751" s="2" t="str">
        <f>HYPERLINK("http://dx.doi.org/10.1111/evo.13406","http://dx.doi.org/10.1111/evo.13406")</f>
        <v>http://dx.doi.org/10.1111/evo.13406</v>
      </c>
      <c r="BG751" s="2" t="s">
        <v>74</v>
      </c>
      <c r="BH751" s="2" t="s">
        <v>74</v>
      </c>
      <c r="BI751" s="2" t="s">
        <v>74</v>
      </c>
      <c r="BJ751" s="2" t="s">
        <v>74</v>
      </c>
      <c r="BK751" s="2" t="s">
        <v>74</v>
      </c>
      <c r="BL751" s="2" t="s">
        <v>74</v>
      </c>
      <c r="BM751" s="2" t="s">
        <v>74</v>
      </c>
      <c r="BN751" s="2">
        <v>29265367</v>
      </c>
      <c r="BO751" s="2" t="s">
        <v>74</v>
      </c>
      <c r="BP751" s="2" t="s">
        <v>74</v>
      </c>
      <c r="BQ751" s="2" t="s">
        <v>74</v>
      </c>
      <c r="BR751" s="2" t="s">
        <v>74</v>
      </c>
      <c r="BS751" s="2" t="s">
        <v>4782</v>
      </c>
      <c r="BT751" s="2" t="str">
        <f>HYPERLINK("https%3A%2F%2Fwww.webofscience.com%2Fwos%2Fwoscc%2Ffull-record%2FWOS:000424131100009","View Full Record in Web of Science")</f>
        <v>View Full Record in Web of Science</v>
      </c>
    </row>
    <row r="752" spans="1:72" s="2" customFormat="1" x14ac:dyDescent="0.4">
      <c r="A752" s="2" t="s">
        <v>72</v>
      </c>
      <c r="B752" s="2" t="s">
        <v>8682</v>
      </c>
      <c r="C752" s="2" t="s">
        <v>74</v>
      </c>
      <c r="D752" s="2" t="s">
        <v>74</v>
      </c>
      <c r="E752" s="2" t="s">
        <v>74</v>
      </c>
      <c r="F752" s="2" t="s">
        <v>8683</v>
      </c>
      <c r="G752" s="2" t="s">
        <v>74</v>
      </c>
      <c r="H752" s="2" t="s">
        <v>74</v>
      </c>
      <c r="I752" s="2" t="s">
        <v>8684</v>
      </c>
      <c r="J752" s="2" t="s">
        <v>8685</v>
      </c>
      <c r="K752" s="2" t="s">
        <v>74</v>
      </c>
      <c r="L752" s="2" t="s">
        <v>74</v>
      </c>
      <c r="M752" s="2" t="s">
        <v>74</v>
      </c>
      <c r="N752" s="2" t="s">
        <v>74</v>
      </c>
      <c r="O752" s="2" t="s">
        <v>74</v>
      </c>
      <c r="P752" s="2" t="s">
        <v>74</v>
      </c>
      <c r="Q752" s="2" t="s">
        <v>74</v>
      </c>
      <c r="R752" s="2" t="s">
        <v>74</v>
      </c>
      <c r="S752" s="2" t="s">
        <v>74</v>
      </c>
      <c r="T752" s="2" t="s">
        <v>74</v>
      </c>
      <c r="U752" s="2" t="s">
        <v>74</v>
      </c>
      <c r="V752" s="5" t="s">
        <v>8686</v>
      </c>
      <c r="W752" s="2" t="s">
        <v>74</v>
      </c>
      <c r="X752" s="2" t="s">
        <v>74</v>
      </c>
      <c r="Y752" s="2" t="s">
        <v>74</v>
      </c>
      <c r="Z752" s="2" t="s">
        <v>74</v>
      </c>
      <c r="AA752" s="2" t="s">
        <v>8687</v>
      </c>
      <c r="AB752" s="2" t="s">
        <v>8688</v>
      </c>
      <c r="AC752" s="2" t="s">
        <v>74</v>
      </c>
      <c r="AD752" s="2" t="s">
        <v>74</v>
      </c>
      <c r="AE752" s="2" t="s">
        <v>74</v>
      </c>
      <c r="AF752" s="2" t="s">
        <v>74</v>
      </c>
      <c r="AG752" s="2" t="s">
        <v>74</v>
      </c>
      <c r="AH752" s="2" t="s">
        <v>74</v>
      </c>
      <c r="AI752" s="2" t="s">
        <v>74</v>
      </c>
      <c r="AJ752" s="2" t="s">
        <v>74</v>
      </c>
      <c r="AK752" s="2" t="s">
        <v>74</v>
      </c>
      <c r="AL752" s="2" t="s">
        <v>74</v>
      </c>
      <c r="AM752" s="2" t="s">
        <v>74</v>
      </c>
      <c r="AN752" s="2" t="s">
        <v>74</v>
      </c>
      <c r="AO752" s="2" t="s">
        <v>8689</v>
      </c>
      <c r="AP752" s="2" t="s">
        <v>74</v>
      </c>
      <c r="AQ752" s="2" t="s">
        <v>74</v>
      </c>
      <c r="AR752" s="2" t="s">
        <v>74</v>
      </c>
      <c r="AS752" s="2" t="s">
        <v>74</v>
      </c>
      <c r="AT752" s="2" t="s">
        <v>352</v>
      </c>
      <c r="AU752" s="2">
        <v>2008</v>
      </c>
      <c r="AV752" s="2">
        <v>25</v>
      </c>
      <c r="AW752" s="2">
        <v>3</v>
      </c>
      <c r="AX752" s="2" t="s">
        <v>74</v>
      </c>
      <c r="AY752" s="2" t="s">
        <v>74</v>
      </c>
      <c r="AZ752" s="2" t="s">
        <v>74</v>
      </c>
      <c r="BA752" s="2" t="s">
        <v>74</v>
      </c>
      <c r="BB752" s="2">
        <v>413</v>
      </c>
      <c r="BC752" s="2">
        <v>418</v>
      </c>
      <c r="BD752" s="2" t="s">
        <v>74</v>
      </c>
      <c r="BE752" s="2" t="s">
        <v>8690</v>
      </c>
      <c r="BF752" s="2" t="str">
        <f>HYPERLINK("http://dx.doi.org/10.1590/S0101-81752008000300005","http://dx.doi.org/10.1590/S0101-81752008000300005")</f>
        <v>http://dx.doi.org/10.1590/S0101-81752008000300005</v>
      </c>
      <c r="BG752" s="2" t="s">
        <v>74</v>
      </c>
      <c r="BH752" s="2" t="s">
        <v>74</v>
      </c>
      <c r="BI752" s="2" t="s">
        <v>74</v>
      </c>
      <c r="BJ752" s="2" t="s">
        <v>74</v>
      </c>
      <c r="BK752" s="2" t="s">
        <v>74</v>
      </c>
      <c r="BL752" s="2" t="s">
        <v>74</v>
      </c>
      <c r="BM752" s="2" t="s">
        <v>74</v>
      </c>
      <c r="BN752" s="2" t="s">
        <v>74</v>
      </c>
      <c r="BO752" s="2" t="s">
        <v>74</v>
      </c>
      <c r="BP752" s="2" t="s">
        <v>74</v>
      </c>
      <c r="BQ752" s="2" t="s">
        <v>74</v>
      </c>
      <c r="BR752" s="2" t="s">
        <v>74</v>
      </c>
      <c r="BS752" s="2" t="s">
        <v>8691</v>
      </c>
      <c r="BT752" s="2" t="str">
        <f>HYPERLINK("https%3A%2F%2Fwww.webofscience.com%2Fwos%2Fwoscc%2Ffull-record%2FWOS:000260040800006","View Full Record in Web of Science")</f>
        <v>View Full Record in Web of Science</v>
      </c>
    </row>
    <row r="753" spans="1:72" s="2" customFormat="1" x14ac:dyDescent="0.4">
      <c r="A753" s="2" t="s">
        <v>72</v>
      </c>
      <c r="B753" s="2" t="s">
        <v>7592</v>
      </c>
      <c r="C753" s="2" t="s">
        <v>74</v>
      </c>
      <c r="D753" s="2" t="s">
        <v>74</v>
      </c>
      <c r="E753" s="2" t="s">
        <v>74</v>
      </c>
      <c r="F753" s="2" t="s">
        <v>7592</v>
      </c>
      <c r="G753" s="2" t="s">
        <v>74</v>
      </c>
      <c r="H753" s="2" t="s">
        <v>74</v>
      </c>
      <c r="I753" s="2" t="s">
        <v>7593</v>
      </c>
      <c r="J753" s="2" t="s">
        <v>2207</v>
      </c>
      <c r="K753" s="2" t="s">
        <v>74</v>
      </c>
      <c r="L753" s="2" t="s">
        <v>74</v>
      </c>
      <c r="M753" s="2" t="s">
        <v>74</v>
      </c>
      <c r="N753" s="2" t="s">
        <v>74</v>
      </c>
      <c r="O753" s="2" t="s">
        <v>74</v>
      </c>
      <c r="P753" s="2" t="s">
        <v>74</v>
      </c>
      <c r="Q753" s="2" t="s">
        <v>74</v>
      </c>
      <c r="R753" s="2" t="s">
        <v>74</v>
      </c>
      <c r="S753" s="2" t="s">
        <v>74</v>
      </c>
      <c r="T753" s="2" t="s">
        <v>74</v>
      </c>
      <c r="U753" s="2" t="s">
        <v>74</v>
      </c>
      <c r="V753" s="5" t="s">
        <v>7594</v>
      </c>
      <c r="W753" s="2" t="s">
        <v>74</v>
      </c>
      <c r="X753" s="2" t="s">
        <v>74</v>
      </c>
      <c r="Y753" s="2" t="s">
        <v>74</v>
      </c>
      <c r="Z753" s="2" t="s">
        <v>74</v>
      </c>
      <c r="AA753" s="2" t="s">
        <v>74</v>
      </c>
      <c r="AB753" s="2" t="s">
        <v>3387</v>
      </c>
      <c r="AC753" s="2" t="s">
        <v>74</v>
      </c>
      <c r="AD753" s="2" t="s">
        <v>74</v>
      </c>
      <c r="AE753" s="2" t="s">
        <v>74</v>
      </c>
      <c r="AF753" s="2" t="s">
        <v>74</v>
      </c>
      <c r="AG753" s="2" t="s">
        <v>74</v>
      </c>
      <c r="AH753" s="2" t="s">
        <v>74</v>
      </c>
      <c r="AI753" s="2" t="s">
        <v>74</v>
      </c>
      <c r="AJ753" s="2" t="s">
        <v>74</v>
      </c>
      <c r="AK753" s="2" t="s">
        <v>74</v>
      </c>
      <c r="AL753" s="2" t="s">
        <v>74</v>
      </c>
      <c r="AM753" s="2" t="s">
        <v>74</v>
      </c>
      <c r="AN753" s="2" t="s">
        <v>74</v>
      </c>
      <c r="AO753" s="2" t="s">
        <v>2211</v>
      </c>
      <c r="AP753" s="2" t="s">
        <v>2461</v>
      </c>
      <c r="AQ753" s="2" t="s">
        <v>74</v>
      </c>
      <c r="AR753" s="2" t="s">
        <v>74</v>
      </c>
      <c r="AS753" s="2" t="s">
        <v>74</v>
      </c>
      <c r="AT753" s="2" t="s">
        <v>213</v>
      </c>
      <c r="AU753" s="2">
        <v>2004</v>
      </c>
      <c r="AV753" s="2">
        <v>35</v>
      </c>
      <c r="AW753" s="2">
        <v>6</v>
      </c>
      <c r="AX753" s="2" t="s">
        <v>74</v>
      </c>
      <c r="AY753" s="2" t="s">
        <v>74</v>
      </c>
      <c r="AZ753" s="2" t="s">
        <v>74</v>
      </c>
      <c r="BA753" s="2" t="s">
        <v>74</v>
      </c>
      <c r="BB753" s="2">
        <v>477</v>
      </c>
      <c r="BC753" s="2">
        <v>482</v>
      </c>
      <c r="BD753" s="2" t="s">
        <v>74</v>
      </c>
      <c r="BE753" s="2" t="s">
        <v>7595</v>
      </c>
      <c r="BF753" s="2" t="str">
        <f>HYPERLINK("http://dx.doi.org/10.1111/j.0908-8857.2004.03351.x","http://dx.doi.org/10.1111/j.0908-8857.2004.03351.x")</f>
        <v>http://dx.doi.org/10.1111/j.0908-8857.2004.03351.x</v>
      </c>
      <c r="BG753" s="2" t="s">
        <v>74</v>
      </c>
      <c r="BH753" s="2" t="s">
        <v>74</v>
      </c>
      <c r="BI753" s="2" t="s">
        <v>74</v>
      </c>
      <c r="BJ753" s="2" t="s">
        <v>74</v>
      </c>
      <c r="BK753" s="2" t="s">
        <v>74</v>
      </c>
      <c r="BL753" s="2" t="s">
        <v>74</v>
      </c>
      <c r="BM753" s="2" t="s">
        <v>74</v>
      </c>
      <c r="BN753" s="2" t="s">
        <v>74</v>
      </c>
      <c r="BO753" s="2" t="s">
        <v>74</v>
      </c>
      <c r="BP753" s="2" t="s">
        <v>74</v>
      </c>
      <c r="BQ753" s="2" t="s">
        <v>74</v>
      </c>
      <c r="BR753" s="2" t="s">
        <v>74</v>
      </c>
      <c r="BS753" s="2" t="s">
        <v>7596</v>
      </c>
      <c r="BT753" s="2" t="str">
        <f>HYPERLINK("https%3A%2F%2Fwww.webofscience.com%2Fwos%2Fwoscc%2Ffull-record%2FWOS:000225224600004","View Full Record in Web of Science")</f>
        <v>View Full Record in Web of Science</v>
      </c>
    </row>
    <row r="754" spans="1:72" s="2" customFormat="1" x14ac:dyDescent="0.4">
      <c r="A754" s="2" t="s">
        <v>72</v>
      </c>
      <c r="B754" s="2" t="s">
        <v>3080</v>
      </c>
      <c r="C754" s="2" t="s">
        <v>74</v>
      </c>
      <c r="D754" s="2" t="s">
        <v>74</v>
      </c>
      <c r="E754" s="2" t="s">
        <v>74</v>
      </c>
      <c r="F754" s="2" t="s">
        <v>3081</v>
      </c>
      <c r="G754" s="2" t="s">
        <v>74</v>
      </c>
      <c r="H754" s="2" t="s">
        <v>74</v>
      </c>
      <c r="I754" s="2" t="s">
        <v>3082</v>
      </c>
      <c r="J754" s="2" t="s">
        <v>2017</v>
      </c>
      <c r="K754" s="2" t="s">
        <v>74</v>
      </c>
      <c r="L754" s="2" t="s">
        <v>74</v>
      </c>
      <c r="M754" s="2" t="s">
        <v>74</v>
      </c>
      <c r="N754" s="2" t="s">
        <v>74</v>
      </c>
      <c r="O754" s="2" t="s">
        <v>74</v>
      </c>
      <c r="P754" s="2" t="s">
        <v>74</v>
      </c>
      <c r="Q754" s="2" t="s">
        <v>74</v>
      </c>
      <c r="R754" s="2" t="s">
        <v>74</v>
      </c>
      <c r="S754" s="2" t="s">
        <v>74</v>
      </c>
      <c r="T754" s="2" t="s">
        <v>74</v>
      </c>
      <c r="U754" s="2" t="s">
        <v>74</v>
      </c>
      <c r="V754" s="5" t="s">
        <v>3083</v>
      </c>
      <c r="W754" s="2" t="s">
        <v>74</v>
      </c>
      <c r="X754" s="2" t="s">
        <v>74</v>
      </c>
      <c r="Y754" s="2" t="s">
        <v>74</v>
      </c>
      <c r="Z754" s="2" t="s">
        <v>74</v>
      </c>
      <c r="AA754" s="2" t="s">
        <v>74</v>
      </c>
      <c r="AB754" s="2" t="s">
        <v>74</v>
      </c>
      <c r="AC754" s="2" t="s">
        <v>74</v>
      </c>
      <c r="AD754" s="2" t="s">
        <v>74</v>
      </c>
      <c r="AE754" s="2" t="s">
        <v>74</v>
      </c>
      <c r="AF754" s="2" t="s">
        <v>74</v>
      </c>
      <c r="AG754" s="2" t="s">
        <v>74</v>
      </c>
      <c r="AH754" s="2" t="s">
        <v>74</v>
      </c>
      <c r="AI754" s="2" t="s">
        <v>74</v>
      </c>
      <c r="AJ754" s="2" t="s">
        <v>74</v>
      </c>
      <c r="AK754" s="2" t="s">
        <v>74</v>
      </c>
      <c r="AL754" s="2" t="s">
        <v>74</v>
      </c>
      <c r="AM754" s="2" t="s">
        <v>74</v>
      </c>
      <c r="AN754" s="2" t="s">
        <v>74</v>
      </c>
      <c r="AO754" s="2" t="s">
        <v>2021</v>
      </c>
      <c r="AP754" s="2" t="s">
        <v>74</v>
      </c>
      <c r="AQ754" s="2" t="s">
        <v>74</v>
      </c>
      <c r="AR754" s="2" t="s">
        <v>74</v>
      </c>
      <c r="AS754" s="2" t="s">
        <v>74</v>
      </c>
      <c r="AT754" s="2" t="s">
        <v>74</v>
      </c>
      <c r="AU754" s="2">
        <v>2014</v>
      </c>
      <c r="AV754" s="2">
        <v>2</v>
      </c>
      <c r="AW754" s="2" t="s">
        <v>74</v>
      </c>
      <c r="AX754" s="2" t="s">
        <v>74</v>
      </c>
      <c r="AY754" s="2" t="s">
        <v>74</v>
      </c>
      <c r="AZ754" s="2" t="s">
        <v>74</v>
      </c>
      <c r="BA754" s="2" t="s">
        <v>74</v>
      </c>
      <c r="BB754" s="2" t="s">
        <v>74</v>
      </c>
      <c r="BC754" s="2" t="s">
        <v>74</v>
      </c>
      <c r="BD754" s="2">
        <v>24</v>
      </c>
      <c r="BE754" s="2" t="s">
        <v>3084</v>
      </c>
      <c r="BF754" s="2" t="str">
        <f>HYPERLINK("http://dx.doi.org/10.3389/fevo.2014.00024","http://dx.doi.org/10.3389/fevo.2014.00024")</f>
        <v>http://dx.doi.org/10.3389/fevo.2014.00024</v>
      </c>
      <c r="BG754" s="2" t="s">
        <v>74</v>
      </c>
      <c r="BH754" s="2" t="s">
        <v>74</v>
      </c>
      <c r="BI754" s="2" t="s">
        <v>74</v>
      </c>
      <c r="BJ754" s="2" t="s">
        <v>74</v>
      </c>
      <c r="BK754" s="2" t="s">
        <v>74</v>
      </c>
      <c r="BL754" s="2" t="s">
        <v>74</v>
      </c>
      <c r="BM754" s="2" t="s">
        <v>74</v>
      </c>
      <c r="BN754" s="2" t="s">
        <v>74</v>
      </c>
      <c r="BO754" s="2" t="s">
        <v>74</v>
      </c>
      <c r="BP754" s="2" t="s">
        <v>74</v>
      </c>
      <c r="BQ754" s="2" t="s">
        <v>74</v>
      </c>
      <c r="BR754" s="2" t="s">
        <v>74</v>
      </c>
      <c r="BS754" s="2" t="s">
        <v>3085</v>
      </c>
      <c r="BT754" s="2" t="str">
        <f>HYPERLINK("https%3A%2F%2Fwww.webofscience.com%2Fwos%2Fwoscc%2Ffull-record%2FWOS:000517755700023","View Full Record in Web of Science")</f>
        <v>View Full Record in Web of Science</v>
      </c>
    </row>
    <row r="755" spans="1:72" s="2" customFormat="1" x14ac:dyDescent="0.4">
      <c r="A755" s="2" t="s">
        <v>72</v>
      </c>
      <c r="B755" s="2" t="s">
        <v>7522</v>
      </c>
      <c r="C755" s="2" t="s">
        <v>74</v>
      </c>
      <c r="D755" s="2" t="s">
        <v>74</v>
      </c>
      <c r="E755" s="2" t="s">
        <v>74</v>
      </c>
      <c r="F755" s="2" t="s">
        <v>7523</v>
      </c>
      <c r="G755" s="2" t="s">
        <v>74</v>
      </c>
      <c r="H755" s="2" t="s">
        <v>74</v>
      </c>
      <c r="I755" s="2" t="s">
        <v>7524</v>
      </c>
      <c r="J755" s="2" t="s">
        <v>1526</v>
      </c>
      <c r="K755" s="2" t="s">
        <v>74</v>
      </c>
      <c r="L755" s="2" t="s">
        <v>74</v>
      </c>
      <c r="M755" s="2" t="s">
        <v>74</v>
      </c>
      <c r="N755" s="2" t="s">
        <v>74</v>
      </c>
      <c r="O755" s="2" t="s">
        <v>74</v>
      </c>
      <c r="P755" s="2" t="s">
        <v>74</v>
      </c>
      <c r="Q755" s="2" t="s">
        <v>74</v>
      </c>
      <c r="R755" s="2" t="s">
        <v>74</v>
      </c>
      <c r="S755" s="2" t="s">
        <v>74</v>
      </c>
      <c r="T755" s="2" t="s">
        <v>74</v>
      </c>
      <c r="U755" s="2" t="s">
        <v>74</v>
      </c>
      <c r="V755" s="5" t="s">
        <v>7525</v>
      </c>
      <c r="W755" s="2" t="s">
        <v>74</v>
      </c>
      <c r="X755" s="2" t="s">
        <v>74</v>
      </c>
      <c r="Y755" s="2" t="s">
        <v>74</v>
      </c>
      <c r="Z755" s="2" t="s">
        <v>74</v>
      </c>
      <c r="AA755" s="2" t="s">
        <v>7526</v>
      </c>
      <c r="AB755" s="2" t="s">
        <v>74</v>
      </c>
      <c r="AC755" s="2" t="s">
        <v>74</v>
      </c>
      <c r="AD755" s="2" t="s">
        <v>74</v>
      </c>
      <c r="AE755" s="2" t="s">
        <v>74</v>
      </c>
      <c r="AF755" s="2" t="s">
        <v>74</v>
      </c>
      <c r="AG755" s="2" t="s">
        <v>74</v>
      </c>
      <c r="AH755" s="2" t="s">
        <v>74</v>
      </c>
      <c r="AI755" s="2" t="s">
        <v>74</v>
      </c>
      <c r="AJ755" s="2" t="s">
        <v>74</v>
      </c>
      <c r="AK755" s="2" t="s">
        <v>74</v>
      </c>
      <c r="AL755" s="2" t="s">
        <v>74</v>
      </c>
      <c r="AM755" s="2" t="s">
        <v>74</v>
      </c>
      <c r="AN755" s="2" t="s">
        <v>74</v>
      </c>
      <c r="AO755" s="2" t="s">
        <v>1528</v>
      </c>
      <c r="AP755" s="2" t="s">
        <v>2131</v>
      </c>
      <c r="AQ755" s="2" t="s">
        <v>74</v>
      </c>
      <c r="AR755" s="2" t="s">
        <v>74</v>
      </c>
      <c r="AS755" s="2" t="s">
        <v>74</v>
      </c>
      <c r="AT755" s="2" t="s">
        <v>213</v>
      </c>
      <c r="AU755" s="2">
        <v>2013</v>
      </c>
      <c r="AV755" s="2">
        <v>115</v>
      </c>
      <c r="AW755" s="2">
        <v>4</v>
      </c>
      <c r="AX755" s="2" t="s">
        <v>74</v>
      </c>
      <c r="AY755" s="2" t="s">
        <v>74</v>
      </c>
      <c r="AZ755" s="2" t="s">
        <v>74</v>
      </c>
      <c r="BA755" s="2" t="s">
        <v>74</v>
      </c>
      <c r="BB755" s="2">
        <v>910</v>
      </c>
      <c r="BC755" s="2">
        <v>920</v>
      </c>
      <c r="BD755" s="2" t="s">
        <v>74</v>
      </c>
      <c r="BE755" s="2" t="s">
        <v>7527</v>
      </c>
      <c r="BF755" s="2" t="str">
        <f>HYPERLINK("http://dx.doi.org/10.1525/cond.2013.120146","http://dx.doi.org/10.1525/cond.2013.120146")</f>
        <v>http://dx.doi.org/10.1525/cond.2013.120146</v>
      </c>
      <c r="BG755" s="2" t="s">
        <v>74</v>
      </c>
      <c r="BH755" s="2" t="s">
        <v>74</v>
      </c>
      <c r="BI755" s="2" t="s">
        <v>74</v>
      </c>
      <c r="BJ755" s="2" t="s">
        <v>74</v>
      </c>
      <c r="BK755" s="2" t="s">
        <v>74</v>
      </c>
      <c r="BL755" s="2" t="s">
        <v>74</v>
      </c>
      <c r="BM755" s="2" t="s">
        <v>74</v>
      </c>
      <c r="BN755" s="2" t="s">
        <v>74</v>
      </c>
      <c r="BO755" s="2" t="s">
        <v>74</v>
      </c>
      <c r="BP755" s="2" t="s">
        <v>74</v>
      </c>
      <c r="BQ755" s="2" t="s">
        <v>74</v>
      </c>
      <c r="BR755" s="2" t="s">
        <v>74</v>
      </c>
      <c r="BS755" s="2" t="s">
        <v>7528</v>
      </c>
      <c r="BT755" s="2" t="str">
        <f>HYPERLINK("https%3A%2F%2Fwww.webofscience.com%2Fwos%2Fwoscc%2Ffull-record%2FWOS:000328295800023","View Full Record in Web of Science")</f>
        <v>View Full Record in Web of Science</v>
      </c>
    </row>
    <row r="756" spans="1:72" s="2" customFormat="1" x14ac:dyDescent="0.4">
      <c r="A756" s="2" t="s">
        <v>72</v>
      </c>
      <c r="B756" s="2" t="s">
        <v>4609</v>
      </c>
      <c r="C756" s="2" t="s">
        <v>74</v>
      </c>
      <c r="D756" s="2" t="s">
        <v>74</v>
      </c>
      <c r="E756" s="2" t="s">
        <v>74</v>
      </c>
      <c r="F756" s="2" t="s">
        <v>4610</v>
      </c>
      <c r="G756" s="2" t="s">
        <v>74</v>
      </c>
      <c r="H756" s="2" t="s">
        <v>74</v>
      </c>
      <c r="I756" s="2" t="s">
        <v>4611</v>
      </c>
      <c r="J756" s="2" t="s">
        <v>654</v>
      </c>
      <c r="K756" s="2" t="s">
        <v>74</v>
      </c>
      <c r="L756" s="2" t="s">
        <v>74</v>
      </c>
      <c r="M756" s="2" t="s">
        <v>74</v>
      </c>
      <c r="N756" s="2" t="s">
        <v>74</v>
      </c>
      <c r="O756" s="2" t="s">
        <v>74</v>
      </c>
      <c r="P756" s="2" t="s">
        <v>74</v>
      </c>
      <c r="Q756" s="2" t="s">
        <v>74</v>
      </c>
      <c r="R756" s="2" t="s">
        <v>74</v>
      </c>
      <c r="S756" s="2" t="s">
        <v>74</v>
      </c>
      <c r="T756" s="2" t="s">
        <v>74</v>
      </c>
      <c r="U756" s="2" t="s">
        <v>74</v>
      </c>
      <c r="V756" s="5" t="s">
        <v>4612</v>
      </c>
      <c r="W756" s="2" t="s">
        <v>74</v>
      </c>
      <c r="X756" s="2" t="s">
        <v>74</v>
      </c>
      <c r="Y756" s="2" t="s">
        <v>74</v>
      </c>
      <c r="Z756" s="2" t="s">
        <v>74</v>
      </c>
      <c r="AA756" s="2" t="s">
        <v>4613</v>
      </c>
      <c r="AB756" s="2" t="s">
        <v>4614</v>
      </c>
      <c r="AC756" s="2" t="s">
        <v>74</v>
      </c>
      <c r="AD756" s="2" t="s">
        <v>74</v>
      </c>
      <c r="AE756" s="2" t="s">
        <v>74</v>
      </c>
      <c r="AF756" s="2" t="s">
        <v>74</v>
      </c>
      <c r="AG756" s="2" t="s">
        <v>74</v>
      </c>
      <c r="AH756" s="2" t="s">
        <v>74</v>
      </c>
      <c r="AI756" s="2" t="s">
        <v>74</v>
      </c>
      <c r="AJ756" s="2" t="s">
        <v>74</v>
      </c>
      <c r="AK756" s="2" t="s">
        <v>74</v>
      </c>
      <c r="AL756" s="2" t="s">
        <v>74</v>
      </c>
      <c r="AM756" s="2" t="s">
        <v>74</v>
      </c>
      <c r="AN756" s="2" t="s">
        <v>74</v>
      </c>
      <c r="AO756" s="2" t="s">
        <v>658</v>
      </c>
      <c r="AP756" s="2" t="s">
        <v>74</v>
      </c>
      <c r="AQ756" s="2" t="s">
        <v>74</v>
      </c>
      <c r="AR756" s="2" t="s">
        <v>74</v>
      </c>
      <c r="AS756" s="2" t="s">
        <v>74</v>
      </c>
      <c r="AT756" s="2" t="s">
        <v>633</v>
      </c>
      <c r="AU756" s="2">
        <v>2014</v>
      </c>
      <c r="AV756" s="2">
        <v>4</v>
      </c>
      <c r="AW756" s="2">
        <v>7</v>
      </c>
      <c r="AX756" s="2" t="s">
        <v>74</v>
      </c>
      <c r="AY756" s="2" t="s">
        <v>74</v>
      </c>
      <c r="AZ756" s="2" t="s">
        <v>74</v>
      </c>
      <c r="BA756" s="2" t="s">
        <v>74</v>
      </c>
      <c r="BB756" s="2">
        <v>911</v>
      </c>
      <c r="BC756" s="2">
        <v>917</v>
      </c>
      <c r="BD756" s="2" t="s">
        <v>74</v>
      </c>
      <c r="BE756" s="2" t="s">
        <v>4615</v>
      </c>
      <c r="BF756" s="2" t="str">
        <f>HYPERLINK("http://dx.doi.org/10.1002/ece3.996","http://dx.doi.org/10.1002/ece3.996")</f>
        <v>http://dx.doi.org/10.1002/ece3.996</v>
      </c>
      <c r="BG756" s="2" t="s">
        <v>74</v>
      </c>
      <c r="BH756" s="2" t="s">
        <v>74</v>
      </c>
      <c r="BI756" s="2" t="s">
        <v>74</v>
      </c>
      <c r="BJ756" s="2" t="s">
        <v>74</v>
      </c>
      <c r="BK756" s="2" t="s">
        <v>74</v>
      </c>
      <c r="BL756" s="2" t="s">
        <v>74</v>
      </c>
      <c r="BM756" s="2" t="s">
        <v>74</v>
      </c>
      <c r="BN756" s="2">
        <v>24772270</v>
      </c>
      <c r="BO756" s="2" t="s">
        <v>74</v>
      </c>
      <c r="BP756" s="2" t="s">
        <v>74</v>
      </c>
      <c r="BQ756" s="2" t="s">
        <v>74</v>
      </c>
      <c r="BR756" s="2" t="s">
        <v>74</v>
      </c>
      <c r="BS756" s="2" t="s">
        <v>4616</v>
      </c>
      <c r="BT756" s="2" t="str">
        <f>HYPERLINK("https%3A%2F%2Fwww.webofscience.com%2Fwos%2Fwoscc%2Ffull-record%2FWOS:000333809000004","View Full Record in Web of Science")</f>
        <v>View Full Record in Web of Science</v>
      </c>
    </row>
    <row r="757" spans="1:72" s="2" customFormat="1" x14ac:dyDescent="0.4">
      <c r="A757" s="2" t="s">
        <v>72</v>
      </c>
      <c r="B757" s="2" t="s">
        <v>1713</v>
      </c>
      <c r="C757" s="2" t="s">
        <v>74</v>
      </c>
      <c r="D757" s="2" t="s">
        <v>74</v>
      </c>
      <c r="E757" s="2" t="s">
        <v>74</v>
      </c>
      <c r="F757" s="2" t="s">
        <v>1714</v>
      </c>
      <c r="G757" s="2" t="s">
        <v>74</v>
      </c>
      <c r="H757" s="2" t="s">
        <v>74</v>
      </c>
      <c r="I757" s="2" t="s">
        <v>1715</v>
      </c>
      <c r="J757" s="2" t="s">
        <v>1112</v>
      </c>
      <c r="K757" s="2" t="s">
        <v>74</v>
      </c>
      <c r="L757" s="2" t="s">
        <v>74</v>
      </c>
      <c r="M757" s="2" t="s">
        <v>74</v>
      </c>
      <c r="N757" s="2" t="s">
        <v>74</v>
      </c>
      <c r="O757" s="2" t="s">
        <v>74</v>
      </c>
      <c r="P757" s="2" t="s">
        <v>74</v>
      </c>
      <c r="Q757" s="2" t="s">
        <v>74</v>
      </c>
      <c r="R757" s="2" t="s">
        <v>74</v>
      </c>
      <c r="S757" s="2" t="s">
        <v>74</v>
      </c>
      <c r="T757" s="2" t="s">
        <v>74</v>
      </c>
      <c r="U757" s="2" t="s">
        <v>74</v>
      </c>
      <c r="V757" s="5" t="s">
        <v>1716</v>
      </c>
      <c r="W757" s="2" t="s">
        <v>74</v>
      </c>
      <c r="X757" s="2" t="s">
        <v>74</v>
      </c>
      <c r="Y757" s="2" t="s">
        <v>74</v>
      </c>
      <c r="Z757" s="2" t="s">
        <v>74</v>
      </c>
      <c r="AA757" s="2" t="s">
        <v>1717</v>
      </c>
      <c r="AB757" s="2" t="s">
        <v>1718</v>
      </c>
      <c r="AC757" s="2" t="s">
        <v>74</v>
      </c>
      <c r="AD757" s="2" t="s">
        <v>74</v>
      </c>
      <c r="AE757" s="2" t="s">
        <v>74</v>
      </c>
      <c r="AF757" s="2" t="s">
        <v>74</v>
      </c>
      <c r="AG757" s="2" t="s">
        <v>74</v>
      </c>
      <c r="AH757" s="2" t="s">
        <v>74</v>
      </c>
      <c r="AI757" s="2" t="s">
        <v>74</v>
      </c>
      <c r="AJ757" s="2" t="s">
        <v>74</v>
      </c>
      <c r="AK757" s="2" t="s">
        <v>74</v>
      </c>
      <c r="AL757" s="2" t="s">
        <v>74</v>
      </c>
      <c r="AM757" s="2" t="s">
        <v>74</v>
      </c>
      <c r="AN757" s="2" t="s">
        <v>74</v>
      </c>
      <c r="AO757" s="2" t="s">
        <v>1114</v>
      </c>
      <c r="AP757" s="2" t="s">
        <v>1115</v>
      </c>
      <c r="AQ757" s="2" t="s">
        <v>74</v>
      </c>
      <c r="AR757" s="2" t="s">
        <v>74</v>
      </c>
      <c r="AS757" s="2" t="s">
        <v>74</v>
      </c>
      <c r="AT757" s="2" t="s">
        <v>123</v>
      </c>
      <c r="AU757" s="2">
        <v>2020</v>
      </c>
      <c r="AV757" s="2">
        <v>224</v>
      </c>
      <c r="AW757" s="2" t="s">
        <v>74</v>
      </c>
      <c r="AX757" s="2" t="s">
        <v>74</v>
      </c>
      <c r="AY757" s="2" t="s">
        <v>74</v>
      </c>
      <c r="AZ757" s="2" t="s">
        <v>74</v>
      </c>
      <c r="BA757" s="2" t="s">
        <v>74</v>
      </c>
      <c r="BB757" s="2" t="s">
        <v>74</v>
      </c>
      <c r="BC757" s="2" t="s">
        <v>74</v>
      </c>
      <c r="BD757" s="2">
        <v>104939</v>
      </c>
      <c r="BE757" s="2" t="s">
        <v>1719</v>
      </c>
      <c r="BF757" s="2" t="str">
        <f>HYPERLINK("http://dx.doi.org/10.1016/j.applanim.2020.104939","http://dx.doi.org/10.1016/j.applanim.2020.104939")</f>
        <v>http://dx.doi.org/10.1016/j.applanim.2020.104939</v>
      </c>
      <c r="BG757" s="2" t="s">
        <v>74</v>
      </c>
      <c r="BH757" s="2" t="s">
        <v>74</v>
      </c>
      <c r="BI757" s="2" t="s">
        <v>74</v>
      </c>
      <c r="BJ757" s="2" t="s">
        <v>74</v>
      </c>
      <c r="BK757" s="2" t="s">
        <v>74</v>
      </c>
      <c r="BL757" s="2" t="s">
        <v>74</v>
      </c>
      <c r="BM757" s="2" t="s">
        <v>74</v>
      </c>
      <c r="BN757" s="2" t="s">
        <v>74</v>
      </c>
      <c r="BO757" s="2" t="s">
        <v>74</v>
      </c>
      <c r="BP757" s="2" t="s">
        <v>74</v>
      </c>
      <c r="BQ757" s="2" t="s">
        <v>74</v>
      </c>
      <c r="BR757" s="2" t="s">
        <v>74</v>
      </c>
      <c r="BS757" s="2" t="s">
        <v>1720</v>
      </c>
      <c r="BT757" s="2" t="str">
        <f>HYPERLINK("https%3A%2F%2Fwww.webofscience.com%2Fwos%2Fwoscc%2Ffull-record%2FWOS:000524493000008","View Full Record in Web of Science")</f>
        <v>View Full Record in Web of Science</v>
      </c>
    </row>
    <row r="758" spans="1:72" s="7" customFormat="1" x14ac:dyDescent="0.4">
      <c r="A758" s="2" t="s">
        <v>72</v>
      </c>
      <c r="B758" s="2" t="s">
        <v>4811</v>
      </c>
      <c r="C758" s="2" t="s">
        <v>74</v>
      </c>
      <c r="D758" s="2" t="s">
        <v>74</v>
      </c>
      <c r="E758" s="2" t="s">
        <v>74</v>
      </c>
      <c r="F758" s="2" t="s">
        <v>4812</v>
      </c>
      <c r="G758" s="2" t="s">
        <v>74</v>
      </c>
      <c r="H758" s="2" t="s">
        <v>74</v>
      </c>
      <c r="I758" s="2" t="s">
        <v>4813</v>
      </c>
      <c r="J758" s="2" t="s">
        <v>2248</v>
      </c>
      <c r="K758" s="2" t="s">
        <v>74</v>
      </c>
      <c r="L758" s="2" t="s">
        <v>74</v>
      </c>
      <c r="M758" s="2" t="s">
        <v>74</v>
      </c>
      <c r="N758" s="2" t="s">
        <v>74</v>
      </c>
      <c r="O758" s="2" t="s">
        <v>74</v>
      </c>
      <c r="P758" s="2" t="s">
        <v>74</v>
      </c>
      <c r="Q758" s="2" t="s">
        <v>74</v>
      </c>
      <c r="R758" s="2" t="s">
        <v>74</v>
      </c>
      <c r="S758" s="2" t="s">
        <v>74</v>
      </c>
      <c r="T758" s="2" t="s">
        <v>74</v>
      </c>
      <c r="U758" s="2" t="s">
        <v>74</v>
      </c>
      <c r="V758" s="5" t="s">
        <v>4814</v>
      </c>
      <c r="W758" s="2" t="s">
        <v>74</v>
      </c>
      <c r="X758" s="2" t="s">
        <v>74</v>
      </c>
      <c r="Y758" s="2" t="s">
        <v>74</v>
      </c>
      <c r="Z758" s="2" t="s">
        <v>74</v>
      </c>
      <c r="AA758" s="2" t="s">
        <v>4815</v>
      </c>
      <c r="AB758" s="2" t="s">
        <v>4816</v>
      </c>
      <c r="AC758" s="2" t="s">
        <v>74</v>
      </c>
      <c r="AD758" s="2" t="s">
        <v>74</v>
      </c>
      <c r="AE758" s="2" t="s">
        <v>74</v>
      </c>
      <c r="AF758" s="2" t="s">
        <v>74</v>
      </c>
      <c r="AG758" s="2" t="s">
        <v>74</v>
      </c>
      <c r="AH758" s="2" t="s">
        <v>74</v>
      </c>
      <c r="AI758" s="2" t="s">
        <v>74</v>
      </c>
      <c r="AJ758" s="2" t="s">
        <v>74</v>
      </c>
      <c r="AK758" s="2" t="s">
        <v>74</v>
      </c>
      <c r="AL758" s="2" t="s">
        <v>74</v>
      </c>
      <c r="AM758" s="2" t="s">
        <v>74</v>
      </c>
      <c r="AN758" s="2" t="s">
        <v>74</v>
      </c>
      <c r="AO758" s="2" t="s">
        <v>2251</v>
      </c>
      <c r="AP758" s="2" t="s">
        <v>2252</v>
      </c>
      <c r="AQ758" s="2" t="s">
        <v>74</v>
      </c>
      <c r="AR758" s="2" t="s">
        <v>74</v>
      </c>
      <c r="AS758" s="2" t="s">
        <v>74</v>
      </c>
      <c r="AT758" s="2" t="s">
        <v>4817</v>
      </c>
      <c r="AU758" s="2">
        <v>2021</v>
      </c>
      <c r="AV758" s="2">
        <v>24</v>
      </c>
      <c r="AW758" s="2">
        <v>2</v>
      </c>
      <c r="AX758" s="2" t="s">
        <v>74</v>
      </c>
      <c r="AY758" s="2" t="s">
        <v>74</v>
      </c>
      <c r="AZ758" s="2" t="s">
        <v>74</v>
      </c>
      <c r="BA758" s="2" t="s">
        <v>74</v>
      </c>
      <c r="BB758" s="2">
        <v>107</v>
      </c>
      <c r="BC758" s="2">
        <v>116</v>
      </c>
      <c r="BD758" s="2" t="s">
        <v>74</v>
      </c>
      <c r="BE758" s="2" t="s">
        <v>4818</v>
      </c>
      <c r="BF758" s="2" t="str">
        <f>HYPERLINK("http://dx.doi.org/10.1080/10888705.2021.1872026","http://dx.doi.org/10.1080/10888705.2021.1872026")</f>
        <v>http://dx.doi.org/10.1080/10888705.2021.1872026</v>
      </c>
      <c r="BG758" s="2" t="s">
        <v>74</v>
      </c>
      <c r="BH758" s="2" t="s">
        <v>2962</v>
      </c>
      <c r="BI758" s="2" t="s">
        <v>74</v>
      </c>
      <c r="BJ758" s="2" t="s">
        <v>74</v>
      </c>
      <c r="BK758" s="2" t="s">
        <v>74</v>
      </c>
      <c r="BL758" s="2" t="s">
        <v>74</v>
      </c>
      <c r="BM758" s="2" t="s">
        <v>74</v>
      </c>
      <c r="BN758" s="2">
        <v>33508981</v>
      </c>
      <c r="BO758" s="2" t="s">
        <v>74</v>
      </c>
      <c r="BP758" s="2" t="s">
        <v>74</v>
      </c>
      <c r="BQ758" s="2" t="s">
        <v>74</v>
      </c>
      <c r="BR758" s="2" t="s">
        <v>74</v>
      </c>
      <c r="BS758" s="2" t="s">
        <v>4819</v>
      </c>
      <c r="BT758" s="2" t="str">
        <f>HYPERLINK("https%3A%2F%2Fwww.webofscience.com%2Fwos%2Fwoscc%2Ffull-record%2FWOS:000612753900001","View Full Record in Web of Science")</f>
        <v>View Full Record in Web of Science</v>
      </c>
    </row>
    <row r="759" spans="1:72" s="2" customFormat="1" x14ac:dyDescent="0.4">
      <c r="A759" s="2" t="s">
        <v>72</v>
      </c>
      <c r="B759" s="2" t="s">
        <v>2668</v>
      </c>
      <c r="C759" s="2" t="s">
        <v>74</v>
      </c>
      <c r="D759" s="2" t="s">
        <v>74</v>
      </c>
      <c r="E759" s="2" t="s">
        <v>74</v>
      </c>
      <c r="F759" s="2" t="s">
        <v>2669</v>
      </c>
      <c r="G759" s="2" t="s">
        <v>74</v>
      </c>
      <c r="H759" s="2" t="s">
        <v>74</v>
      </c>
      <c r="I759" s="2" t="s">
        <v>2670</v>
      </c>
      <c r="J759" s="2" t="s">
        <v>610</v>
      </c>
      <c r="K759" s="2" t="s">
        <v>74</v>
      </c>
      <c r="L759" s="2" t="s">
        <v>74</v>
      </c>
      <c r="M759" s="2" t="s">
        <v>74</v>
      </c>
      <c r="N759" s="2" t="s">
        <v>74</v>
      </c>
      <c r="O759" s="2" t="s">
        <v>74</v>
      </c>
      <c r="P759" s="2" t="s">
        <v>74</v>
      </c>
      <c r="Q759" s="2" t="s">
        <v>74</v>
      </c>
      <c r="R759" s="2" t="s">
        <v>74</v>
      </c>
      <c r="S759" s="2" t="s">
        <v>74</v>
      </c>
      <c r="T759" s="2" t="s">
        <v>74</v>
      </c>
      <c r="U759" s="2" t="s">
        <v>74</v>
      </c>
      <c r="V759" s="5" t="s">
        <v>2671</v>
      </c>
      <c r="W759" s="2" t="s">
        <v>74</v>
      </c>
      <c r="X759" s="2" t="s">
        <v>74</v>
      </c>
      <c r="Y759" s="2" t="s">
        <v>74</v>
      </c>
      <c r="Z759" s="2" t="s">
        <v>74</v>
      </c>
      <c r="AA759" s="2" t="s">
        <v>74</v>
      </c>
      <c r="AB759" s="2" t="s">
        <v>74</v>
      </c>
      <c r="AC759" s="2" t="s">
        <v>74</v>
      </c>
      <c r="AD759" s="2" t="s">
        <v>74</v>
      </c>
      <c r="AE759" s="2" t="s">
        <v>74</v>
      </c>
      <c r="AF759" s="2" t="s">
        <v>74</v>
      </c>
      <c r="AG759" s="2" t="s">
        <v>74</v>
      </c>
      <c r="AH759" s="2" t="s">
        <v>74</v>
      </c>
      <c r="AI759" s="2" t="s">
        <v>74</v>
      </c>
      <c r="AJ759" s="2" t="s">
        <v>74</v>
      </c>
      <c r="AK759" s="2" t="s">
        <v>74</v>
      </c>
      <c r="AL759" s="2" t="s">
        <v>74</v>
      </c>
      <c r="AM759" s="2" t="s">
        <v>74</v>
      </c>
      <c r="AN759" s="2" t="s">
        <v>74</v>
      </c>
      <c r="AO759" s="2" t="s">
        <v>614</v>
      </c>
      <c r="AP759" s="2" t="s">
        <v>615</v>
      </c>
      <c r="AQ759" s="2" t="s">
        <v>74</v>
      </c>
      <c r="AR759" s="2" t="s">
        <v>74</v>
      </c>
      <c r="AS759" s="2" t="s">
        <v>74</v>
      </c>
      <c r="AT759" s="2" t="s">
        <v>352</v>
      </c>
      <c r="AU759" s="2">
        <v>2012</v>
      </c>
      <c r="AV759" s="2">
        <v>118</v>
      </c>
      <c r="AW759" s="2">
        <v>9</v>
      </c>
      <c r="AX759" s="2" t="s">
        <v>74</v>
      </c>
      <c r="AY759" s="2" t="s">
        <v>74</v>
      </c>
      <c r="AZ759" s="2" t="s">
        <v>74</v>
      </c>
      <c r="BA759" s="2" t="s">
        <v>74</v>
      </c>
      <c r="BB759" s="2">
        <v>906</v>
      </c>
      <c r="BC759" s="2">
        <v>916</v>
      </c>
      <c r="BD759" s="2" t="s">
        <v>74</v>
      </c>
      <c r="BE759" s="2" t="s">
        <v>2672</v>
      </c>
      <c r="BF759" s="2" t="str">
        <f>HYPERLINK("http://dx.doi.org/10.1111/j.1439-0310.2012.02079.x","http://dx.doi.org/10.1111/j.1439-0310.2012.02079.x")</f>
        <v>http://dx.doi.org/10.1111/j.1439-0310.2012.02079.x</v>
      </c>
      <c r="BG759" s="2" t="s">
        <v>74</v>
      </c>
      <c r="BH759" s="2" t="s">
        <v>74</v>
      </c>
      <c r="BI759" s="2" t="s">
        <v>74</v>
      </c>
      <c r="BJ759" s="2" t="s">
        <v>74</v>
      </c>
      <c r="BK759" s="2" t="s">
        <v>74</v>
      </c>
      <c r="BL759" s="2" t="s">
        <v>74</v>
      </c>
      <c r="BM759" s="2" t="s">
        <v>74</v>
      </c>
      <c r="BN759" s="2" t="s">
        <v>74</v>
      </c>
      <c r="BO759" s="2" t="s">
        <v>74</v>
      </c>
      <c r="BP759" s="2" t="s">
        <v>74</v>
      </c>
      <c r="BQ759" s="2" t="s">
        <v>74</v>
      </c>
      <c r="BR759" s="2" t="s">
        <v>74</v>
      </c>
      <c r="BS759" s="2" t="s">
        <v>2673</v>
      </c>
      <c r="BT759" s="2" t="str">
        <f>HYPERLINK("https%3A%2F%2Fwww.webofscience.com%2Fwos%2Fwoscc%2Ffull-record%2FWOS:000306734400012","View Full Record in Web of Science")</f>
        <v>View Full Record in Web of Science</v>
      </c>
    </row>
    <row r="760" spans="1:72" s="2" customFormat="1" x14ac:dyDescent="0.4">
      <c r="A760" s="2" t="s">
        <v>72</v>
      </c>
      <c r="B760" s="2" t="s">
        <v>2668</v>
      </c>
      <c r="C760" s="2" t="s">
        <v>74</v>
      </c>
      <c r="D760" s="2" t="s">
        <v>74</v>
      </c>
      <c r="E760" s="2" t="s">
        <v>74</v>
      </c>
      <c r="F760" s="2" t="s">
        <v>2669</v>
      </c>
      <c r="G760" s="2" t="s">
        <v>74</v>
      </c>
      <c r="H760" s="2" t="s">
        <v>74</v>
      </c>
      <c r="I760" s="2" t="s">
        <v>4726</v>
      </c>
      <c r="J760" s="2" t="s">
        <v>4727</v>
      </c>
      <c r="K760" s="2" t="s">
        <v>74</v>
      </c>
      <c r="L760" s="2" t="s">
        <v>74</v>
      </c>
      <c r="M760" s="2" t="s">
        <v>74</v>
      </c>
      <c r="N760" s="2" t="s">
        <v>74</v>
      </c>
      <c r="O760" s="2" t="s">
        <v>74</v>
      </c>
      <c r="P760" s="2" t="s">
        <v>74</v>
      </c>
      <c r="Q760" s="2" t="s">
        <v>74</v>
      </c>
      <c r="R760" s="2" t="s">
        <v>74</v>
      </c>
      <c r="S760" s="2" t="s">
        <v>74</v>
      </c>
      <c r="T760" s="2" t="s">
        <v>74</v>
      </c>
      <c r="U760" s="2" t="s">
        <v>74</v>
      </c>
      <c r="V760" s="5" t="s">
        <v>4728</v>
      </c>
      <c r="W760" s="2" t="s">
        <v>74</v>
      </c>
      <c r="X760" s="2" t="s">
        <v>74</v>
      </c>
      <c r="Y760" s="2" t="s">
        <v>74</v>
      </c>
      <c r="Z760" s="2" t="s">
        <v>74</v>
      </c>
      <c r="AA760" s="2" t="s">
        <v>74</v>
      </c>
      <c r="AB760" s="2" t="s">
        <v>4729</v>
      </c>
      <c r="AC760" s="2" t="s">
        <v>74</v>
      </c>
      <c r="AD760" s="2" t="s">
        <v>74</v>
      </c>
      <c r="AE760" s="2" t="s">
        <v>74</v>
      </c>
      <c r="AF760" s="2" t="s">
        <v>74</v>
      </c>
      <c r="AG760" s="2" t="s">
        <v>74</v>
      </c>
      <c r="AH760" s="2" t="s">
        <v>74</v>
      </c>
      <c r="AI760" s="2" t="s">
        <v>74</v>
      </c>
      <c r="AJ760" s="2" t="s">
        <v>74</v>
      </c>
      <c r="AK760" s="2" t="s">
        <v>74</v>
      </c>
      <c r="AL760" s="2" t="s">
        <v>74</v>
      </c>
      <c r="AM760" s="2" t="s">
        <v>74</v>
      </c>
      <c r="AN760" s="2" t="s">
        <v>74</v>
      </c>
      <c r="AO760" s="2" t="s">
        <v>74</v>
      </c>
      <c r="AP760" s="2" t="s">
        <v>4730</v>
      </c>
      <c r="AQ760" s="2" t="s">
        <v>74</v>
      </c>
      <c r="AR760" s="2" t="s">
        <v>74</v>
      </c>
      <c r="AS760" s="2" t="s">
        <v>74</v>
      </c>
      <c r="AT760" s="2" t="s">
        <v>305</v>
      </c>
      <c r="AU760" s="2">
        <v>2021</v>
      </c>
      <c r="AV760" s="2">
        <v>2</v>
      </c>
      <c r="AW760" s="2">
        <v>4</v>
      </c>
      <c r="AX760" s="2" t="s">
        <v>74</v>
      </c>
      <c r="AY760" s="2" t="s">
        <v>74</v>
      </c>
      <c r="AZ760" s="2" t="s">
        <v>74</v>
      </c>
      <c r="BA760" s="2" t="s">
        <v>74</v>
      </c>
      <c r="BB760" s="2">
        <v>404</v>
      </c>
      <c r="BC760" s="2">
        <v>414</v>
      </c>
      <c r="BD760" s="2" t="s">
        <v>74</v>
      </c>
      <c r="BE760" s="2" t="s">
        <v>4731</v>
      </c>
      <c r="BF760" s="2" t="str">
        <f>HYPERLINK("http://dx.doi.org/10.3390/birds2040030","http://dx.doi.org/10.3390/birds2040030")</f>
        <v>http://dx.doi.org/10.3390/birds2040030</v>
      </c>
      <c r="BG760" s="2" t="s">
        <v>74</v>
      </c>
      <c r="BH760" s="2" t="s">
        <v>74</v>
      </c>
      <c r="BI760" s="2" t="s">
        <v>74</v>
      </c>
      <c r="BJ760" s="2" t="s">
        <v>74</v>
      </c>
      <c r="BK760" s="2" t="s">
        <v>74</v>
      </c>
      <c r="BL760" s="2" t="s">
        <v>74</v>
      </c>
      <c r="BM760" s="2" t="s">
        <v>74</v>
      </c>
      <c r="BN760" s="2" t="s">
        <v>74</v>
      </c>
      <c r="BO760" s="2" t="s">
        <v>74</v>
      </c>
      <c r="BP760" s="2" t="s">
        <v>74</v>
      </c>
      <c r="BQ760" s="2" t="s">
        <v>74</v>
      </c>
      <c r="BR760" s="2" t="s">
        <v>74</v>
      </c>
      <c r="BS760" s="2" t="s">
        <v>4732</v>
      </c>
      <c r="BT760" s="2" t="str">
        <f>HYPERLINK("https%3A%2F%2Fwww.webofscience.com%2Fwos%2Fwoscc%2Ffull-record%2FWOS:001123340900001","View Full Record in Web of Science")</f>
        <v>View Full Record in Web of Science</v>
      </c>
    </row>
    <row r="761" spans="1:72" s="2" customFormat="1" x14ac:dyDescent="0.4">
      <c r="A761" s="2" t="s">
        <v>72</v>
      </c>
      <c r="B761" s="2" t="s">
        <v>2547</v>
      </c>
      <c r="C761" s="2" t="s">
        <v>74</v>
      </c>
      <c r="D761" s="2" t="s">
        <v>74</v>
      </c>
      <c r="E761" s="2" t="s">
        <v>74</v>
      </c>
      <c r="F761" s="2" t="s">
        <v>2548</v>
      </c>
      <c r="G761" s="2" t="s">
        <v>74</v>
      </c>
      <c r="H761" s="2" t="s">
        <v>74</v>
      </c>
      <c r="I761" s="2" t="s">
        <v>2549</v>
      </c>
      <c r="J761" s="2" t="s">
        <v>2550</v>
      </c>
      <c r="K761" s="2" t="s">
        <v>74</v>
      </c>
      <c r="L761" s="2" t="s">
        <v>74</v>
      </c>
      <c r="M761" s="2" t="s">
        <v>74</v>
      </c>
      <c r="N761" s="2" t="s">
        <v>74</v>
      </c>
      <c r="O761" s="2" t="s">
        <v>74</v>
      </c>
      <c r="P761" s="2" t="s">
        <v>74</v>
      </c>
      <c r="Q761" s="2" t="s">
        <v>74</v>
      </c>
      <c r="R761" s="2" t="s">
        <v>74</v>
      </c>
      <c r="S761" s="2" t="s">
        <v>74</v>
      </c>
      <c r="T761" s="2" t="s">
        <v>74</v>
      </c>
      <c r="U761" s="2" t="s">
        <v>74</v>
      </c>
      <c r="V761" s="5" t="s">
        <v>2551</v>
      </c>
      <c r="W761" s="2" t="s">
        <v>74</v>
      </c>
      <c r="X761" s="2" t="s">
        <v>74</v>
      </c>
      <c r="Y761" s="2" t="s">
        <v>74</v>
      </c>
      <c r="Z761" s="2" t="s">
        <v>74</v>
      </c>
      <c r="AA761" s="2" t="s">
        <v>2552</v>
      </c>
      <c r="AB761" s="2" t="s">
        <v>2553</v>
      </c>
      <c r="AC761" s="2" t="s">
        <v>74</v>
      </c>
      <c r="AD761" s="2" t="s">
        <v>74</v>
      </c>
      <c r="AE761" s="2" t="s">
        <v>74</v>
      </c>
      <c r="AF761" s="2" t="s">
        <v>74</v>
      </c>
      <c r="AG761" s="2" t="s">
        <v>74</v>
      </c>
      <c r="AH761" s="2" t="s">
        <v>74</v>
      </c>
      <c r="AI761" s="2" t="s">
        <v>74</v>
      </c>
      <c r="AJ761" s="2" t="s">
        <v>74</v>
      </c>
      <c r="AK761" s="2" t="s">
        <v>74</v>
      </c>
      <c r="AL761" s="2" t="s">
        <v>74</v>
      </c>
      <c r="AM761" s="2" t="s">
        <v>74</v>
      </c>
      <c r="AN761" s="2" t="s">
        <v>74</v>
      </c>
      <c r="AO761" s="2" t="s">
        <v>2554</v>
      </c>
      <c r="AP761" s="2" t="s">
        <v>74</v>
      </c>
      <c r="AQ761" s="2" t="s">
        <v>74</v>
      </c>
      <c r="AR761" s="2" t="s">
        <v>74</v>
      </c>
      <c r="AS761" s="2" t="s">
        <v>74</v>
      </c>
      <c r="AT761" s="2" t="s">
        <v>633</v>
      </c>
      <c r="AU761" s="2">
        <v>2008</v>
      </c>
      <c r="AV761" s="2">
        <v>31</v>
      </c>
      <c r="AW761" s="2">
        <v>5</v>
      </c>
      <c r="AX761" s="2" t="s">
        <v>74</v>
      </c>
      <c r="AY761" s="2" t="s">
        <v>74</v>
      </c>
      <c r="AZ761" s="2" t="s">
        <v>74</v>
      </c>
      <c r="BA761" s="2" t="s">
        <v>74</v>
      </c>
      <c r="BB761" s="2">
        <v>557</v>
      </c>
      <c r="BC761" s="2">
        <v>560</v>
      </c>
      <c r="BD761" s="2" t="s">
        <v>74</v>
      </c>
      <c r="BE761" s="2" t="s">
        <v>2555</v>
      </c>
      <c r="BF761" s="2" t="str">
        <f>HYPERLINK("http://dx.doi.org/10.1007/s00300-007-0387-7","http://dx.doi.org/10.1007/s00300-007-0387-7")</f>
        <v>http://dx.doi.org/10.1007/s00300-007-0387-7</v>
      </c>
      <c r="BG761" s="2" t="s">
        <v>74</v>
      </c>
      <c r="BH761" s="2" t="s">
        <v>74</v>
      </c>
      <c r="BI761" s="2" t="s">
        <v>74</v>
      </c>
      <c r="BJ761" s="2" t="s">
        <v>74</v>
      </c>
      <c r="BK761" s="2" t="s">
        <v>74</v>
      </c>
      <c r="BL761" s="2" t="s">
        <v>74</v>
      </c>
      <c r="BM761" s="2" t="s">
        <v>74</v>
      </c>
      <c r="BN761" s="2" t="s">
        <v>74</v>
      </c>
      <c r="BO761" s="2" t="s">
        <v>74</v>
      </c>
      <c r="BP761" s="2" t="s">
        <v>74</v>
      </c>
      <c r="BQ761" s="2" t="s">
        <v>74</v>
      </c>
      <c r="BR761" s="2" t="s">
        <v>74</v>
      </c>
      <c r="BS761" s="2" t="s">
        <v>2556</v>
      </c>
      <c r="BT761" s="2" t="str">
        <f>HYPERLINK("https%3A%2F%2Fwww.webofscience.com%2Fwos%2Fwoscc%2Ffull-record%2FWOS:000254486900004","View Full Record in Web of Science")</f>
        <v>View Full Record in Web of Science</v>
      </c>
    </row>
    <row r="762" spans="1:72" s="2" customFormat="1" x14ac:dyDescent="0.4">
      <c r="A762" s="2" t="s">
        <v>72</v>
      </c>
      <c r="B762" s="2" t="s">
        <v>2812</v>
      </c>
      <c r="C762" s="2" t="s">
        <v>74</v>
      </c>
      <c r="D762" s="2" t="s">
        <v>74</v>
      </c>
      <c r="E762" s="2" t="s">
        <v>74</v>
      </c>
      <c r="F762" s="2" t="s">
        <v>2813</v>
      </c>
      <c r="G762" s="2" t="s">
        <v>74</v>
      </c>
      <c r="H762" s="2" t="s">
        <v>74</v>
      </c>
      <c r="I762" s="2" t="s">
        <v>2814</v>
      </c>
      <c r="J762" s="2" t="s">
        <v>1755</v>
      </c>
      <c r="K762" s="2" t="s">
        <v>74</v>
      </c>
      <c r="L762" s="2" t="s">
        <v>74</v>
      </c>
      <c r="M762" s="2" t="s">
        <v>74</v>
      </c>
      <c r="N762" s="2" t="s">
        <v>74</v>
      </c>
      <c r="O762" s="2" t="s">
        <v>74</v>
      </c>
      <c r="P762" s="2" t="s">
        <v>74</v>
      </c>
      <c r="Q762" s="2" t="s">
        <v>74</v>
      </c>
      <c r="R762" s="2" t="s">
        <v>74</v>
      </c>
      <c r="S762" s="2" t="s">
        <v>74</v>
      </c>
      <c r="T762" s="2" t="s">
        <v>74</v>
      </c>
      <c r="U762" s="2" t="s">
        <v>74</v>
      </c>
      <c r="V762" s="5" t="s">
        <v>2815</v>
      </c>
      <c r="W762" s="2" t="s">
        <v>74</v>
      </c>
      <c r="X762" s="2" t="s">
        <v>74</v>
      </c>
      <c r="Y762" s="2" t="s">
        <v>74</v>
      </c>
      <c r="Z762" s="2" t="s">
        <v>74</v>
      </c>
      <c r="AA762" s="2" t="s">
        <v>2816</v>
      </c>
      <c r="AB762" s="2" t="s">
        <v>2817</v>
      </c>
      <c r="AC762" s="2" t="s">
        <v>74</v>
      </c>
      <c r="AD762" s="2" t="s">
        <v>74</v>
      </c>
      <c r="AE762" s="2" t="s">
        <v>74</v>
      </c>
      <c r="AF762" s="2" t="s">
        <v>74</v>
      </c>
      <c r="AG762" s="2" t="s">
        <v>74</v>
      </c>
      <c r="AH762" s="2" t="s">
        <v>74</v>
      </c>
      <c r="AI762" s="2" t="s">
        <v>74</v>
      </c>
      <c r="AJ762" s="2" t="s">
        <v>74</v>
      </c>
      <c r="AK762" s="2" t="s">
        <v>74</v>
      </c>
      <c r="AL762" s="2" t="s">
        <v>74</v>
      </c>
      <c r="AM762" s="2" t="s">
        <v>74</v>
      </c>
      <c r="AN762" s="2" t="s">
        <v>74</v>
      </c>
      <c r="AO762" s="2" t="s">
        <v>1759</v>
      </c>
      <c r="AP762" s="2" t="s">
        <v>1760</v>
      </c>
      <c r="AQ762" s="2" t="s">
        <v>74</v>
      </c>
      <c r="AR762" s="2" t="s">
        <v>74</v>
      </c>
      <c r="AS762" s="2" t="s">
        <v>74</v>
      </c>
      <c r="AT762" s="2" t="s">
        <v>123</v>
      </c>
      <c r="AU762" s="2">
        <v>2015</v>
      </c>
      <c r="AV762" s="2">
        <v>28</v>
      </c>
      <c r="AW762" s="2">
        <v>2</v>
      </c>
      <c r="AX762" s="2" t="s">
        <v>74</v>
      </c>
      <c r="AY762" s="2" t="s">
        <v>74</v>
      </c>
      <c r="AZ762" s="2" t="s">
        <v>74</v>
      </c>
      <c r="BA762" s="2" t="s">
        <v>74</v>
      </c>
      <c r="BB762" s="2">
        <v>175</v>
      </c>
      <c r="BC762" s="2">
        <v>182</v>
      </c>
      <c r="BD762" s="2" t="s">
        <v>74</v>
      </c>
      <c r="BE762" s="2" t="s">
        <v>2818</v>
      </c>
      <c r="BF762" s="2" t="str">
        <f>HYPERLINK("http://dx.doi.org/10.1007/s10905-015-9487-3","http://dx.doi.org/10.1007/s10905-015-9487-3")</f>
        <v>http://dx.doi.org/10.1007/s10905-015-9487-3</v>
      </c>
      <c r="BG762" s="2" t="s">
        <v>74</v>
      </c>
      <c r="BH762" s="2" t="s">
        <v>74</v>
      </c>
      <c r="BI762" s="2" t="s">
        <v>74</v>
      </c>
      <c r="BJ762" s="2" t="s">
        <v>74</v>
      </c>
      <c r="BK762" s="2" t="s">
        <v>74</v>
      </c>
      <c r="BL762" s="2" t="s">
        <v>74</v>
      </c>
      <c r="BM762" s="2" t="s">
        <v>74</v>
      </c>
      <c r="BN762" s="2" t="s">
        <v>74</v>
      </c>
      <c r="BO762" s="2" t="s">
        <v>74</v>
      </c>
      <c r="BP762" s="2" t="s">
        <v>74</v>
      </c>
      <c r="BQ762" s="2" t="s">
        <v>74</v>
      </c>
      <c r="BR762" s="2" t="s">
        <v>74</v>
      </c>
      <c r="BS762" s="2" t="s">
        <v>2819</v>
      </c>
      <c r="BT762" s="2" t="str">
        <f>HYPERLINK("https%3A%2F%2Fwww.webofscience.com%2Fwos%2Fwoscc%2Ffull-record%2FWOS:000351525100009","View Full Record in Web of Science")</f>
        <v>View Full Record in Web of Science</v>
      </c>
    </row>
    <row r="763" spans="1:72" s="2" customFormat="1" x14ac:dyDescent="0.4">
      <c r="A763" s="2" t="s">
        <v>72</v>
      </c>
      <c r="B763" s="2" t="s">
        <v>5587</v>
      </c>
      <c r="C763" s="2" t="s">
        <v>74</v>
      </c>
      <c r="D763" s="2" t="s">
        <v>74</v>
      </c>
      <c r="E763" s="2" t="s">
        <v>74</v>
      </c>
      <c r="F763" s="2" t="s">
        <v>5588</v>
      </c>
      <c r="G763" s="2" t="s">
        <v>74</v>
      </c>
      <c r="H763" s="2" t="s">
        <v>74</v>
      </c>
      <c r="I763" s="2" t="s">
        <v>5589</v>
      </c>
      <c r="J763" s="2" t="s">
        <v>431</v>
      </c>
      <c r="K763" s="2" t="s">
        <v>74</v>
      </c>
      <c r="L763" s="2" t="s">
        <v>74</v>
      </c>
      <c r="M763" s="2" t="s">
        <v>74</v>
      </c>
      <c r="N763" s="2" t="s">
        <v>74</v>
      </c>
      <c r="O763" s="2" t="s">
        <v>74</v>
      </c>
      <c r="P763" s="2" t="s">
        <v>74</v>
      </c>
      <c r="Q763" s="2" t="s">
        <v>74</v>
      </c>
      <c r="R763" s="2" t="s">
        <v>74</v>
      </c>
      <c r="S763" s="2" t="s">
        <v>74</v>
      </c>
      <c r="T763" s="2" t="s">
        <v>74</v>
      </c>
      <c r="U763" s="2" t="s">
        <v>74</v>
      </c>
      <c r="V763" s="5" t="s">
        <v>5590</v>
      </c>
      <c r="W763" s="2" t="s">
        <v>74</v>
      </c>
      <c r="X763" s="2" t="s">
        <v>74</v>
      </c>
      <c r="Y763" s="2" t="s">
        <v>74</v>
      </c>
      <c r="Z763" s="2" t="s">
        <v>74</v>
      </c>
      <c r="AA763" s="2" t="s">
        <v>5591</v>
      </c>
      <c r="AB763" s="2" t="s">
        <v>5592</v>
      </c>
      <c r="AC763" s="2" t="s">
        <v>74</v>
      </c>
      <c r="AD763" s="2" t="s">
        <v>74</v>
      </c>
      <c r="AE763" s="2" t="s">
        <v>74</v>
      </c>
      <c r="AF763" s="2" t="s">
        <v>74</v>
      </c>
      <c r="AG763" s="2" t="s">
        <v>74</v>
      </c>
      <c r="AH763" s="2" t="s">
        <v>74</v>
      </c>
      <c r="AI763" s="2" t="s">
        <v>74</v>
      </c>
      <c r="AJ763" s="2" t="s">
        <v>74</v>
      </c>
      <c r="AK763" s="2" t="s">
        <v>74</v>
      </c>
      <c r="AL763" s="2" t="s">
        <v>74</v>
      </c>
      <c r="AM763" s="2" t="s">
        <v>74</v>
      </c>
      <c r="AN763" s="2" t="s">
        <v>74</v>
      </c>
      <c r="AO763" s="2" t="s">
        <v>1458</v>
      </c>
      <c r="AP763" s="2" t="s">
        <v>435</v>
      </c>
      <c r="AQ763" s="2" t="s">
        <v>74</v>
      </c>
      <c r="AR763" s="2" t="s">
        <v>74</v>
      </c>
      <c r="AS763" s="2" t="s">
        <v>74</v>
      </c>
      <c r="AT763" s="2" t="s">
        <v>175</v>
      </c>
      <c r="AU763" s="2">
        <v>2007</v>
      </c>
      <c r="AV763" s="2">
        <v>124</v>
      </c>
      <c r="AW763" s="2">
        <v>4</v>
      </c>
      <c r="AX763" s="2" t="s">
        <v>74</v>
      </c>
      <c r="AY763" s="2" t="s">
        <v>74</v>
      </c>
      <c r="AZ763" s="2" t="s">
        <v>74</v>
      </c>
      <c r="BA763" s="2" t="s">
        <v>74</v>
      </c>
      <c r="BB763" s="2">
        <v>1330</v>
      </c>
      <c r="BC763" s="2">
        <v>1335</v>
      </c>
      <c r="BD763" s="2" t="s">
        <v>74</v>
      </c>
      <c r="BE763" s="2" t="s">
        <v>5593</v>
      </c>
      <c r="BF763" s="2" t="str">
        <f>HYPERLINK("http://dx.doi.org/10.1642/0004-8038(2007)124[1330:AGATDP]2.0.CO;2","http://dx.doi.org/10.1642/0004-8038(2007)124[1330:AGATDP]2.0.CO;2")</f>
        <v>http://dx.doi.org/10.1642/0004-8038(2007)124[1330:AGATDP]2.0.CO;2</v>
      </c>
      <c r="BG763" s="2" t="s">
        <v>74</v>
      </c>
      <c r="BH763" s="2" t="s">
        <v>74</v>
      </c>
      <c r="BI763" s="2" t="s">
        <v>74</v>
      </c>
      <c r="BJ763" s="2" t="s">
        <v>74</v>
      </c>
      <c r="BK763" s="2" t="s">
        <v>74</v>
      </c>
      <c r="BL763" s="2" t="s">
        <v>74</v>
      </c>
      <c r="BM763" s="2" t="s">
        <v>74</v>
      </c>
      <c r="BN763" s="2" t="s">
        <v>74</v>
      </c>
      <c r="BO763" s="2" t="s">
        <v>74</v>
      </c>
      <c r="BP763" s="2" t="s">
        <v>74</v>
      </c>
      <c r="BQ763" s="2" t="s">
        <v>74</v>
      </c>
      <c r="BR763" s="2" t="s">
        <v>74</v>
      </c>
      <c r="BS763" s="2" t="s">
        <v>5594</v>
      </c>
      <c r="BT763" s="2" t="str">
        <f>HYPERLINK("https%3A%2F%2Fwww.webofscience.com%2Fwos%2Fwoscc%2Ffull-record%2FWOS:000251446100017","View Full Record in Web of Science")</f>
        <v>View Full Record in Web of Science</v>
      </c>
    </row>
    <row r="764" spans="1:72" s="2" customFormat="1" x14ac:dyDescent="0.4">
      <c r="A764" s="2" t="s">
        <v>72</v>
      </c>
      <c r="B764" s="2" t="s">
        <v>3368</v>
      </c>
      <c r="C764" s="2" t="s">
        <v>74</v>
      </c>
      <c r="D764" s="2" t="s">
        <v>74</v>
      </c>
      <c r="E764" s="2" t="s">
        <v>74</v>
      </c>
      <c r="F764" s="2" t="s">
        <v>3368</v>
      </c>
      <c r="G764" s="2" t="s">
        <v>74</v>
      </c>
      <c r="H764" s="2" t="s">
        <v>74</v>
      </c>
      <c r="I764" s="2" t="s">
        <v>3369</v>
      </c>
      <c r="J764" s="2" t="s">
        <v>201</v>
      </c>
      <c r="K764" s="2" t="s">
        <v>74</v>
      </c>
      <c r="L764" s="2" t="s">
        <v>74</v>
      </c>
      <c r="M764" s="2" t="s">
        <v>74</v>
      </c>
      <c r="N764" s="2" t="s">
        <v>74</v>
      </c>
      <c r="O764" s="2" t="s">
        <v>74</v>
      </c>
      <c r="P764" s="2" t="s">
        <v>74</v>
      </c>
      <c r="Q764" s="2" t="s">
        <v>74</v>
      </c>
      <c r="R764" s="2" t="s">
        <v>74</v>
      </c>
      <c r="S764" s="2" t="s">
        <v>74</v>
      </c>
      <c r="T764" s="2" t="s">
        <v>74</v>
      </c>
      <c r="U764" s="2" t="s">
        <v>74</v>
      </c>
      <c r="V764" s="5" t="s">
        <v>3370</v>
      </c>
      <c r="W764" s="2" t="s">
        <v>74</v>
      </c>
      <c r="X764" s="2" t="s">
        <v>74</v>
      </c>
      <c r="Y764" s="2" t="s">
        <v>74</v>
      </c>
      <c r="Z764" s="2" t="s">
        <v>74</v>
      </c>
      <c r="AA764" s="2" t="s">
        <v>74</v>
      </c>
      <c r="AB764" s="2" t="s">
        <v>74</v>
      </c>
      <c r="AC764" s="2" t="s">
        <v>74</v>
      </c>
      <c r="AD764" s="2" t="s">
        <v>74</v>
      </c>
      <c r="AE764" s="2" t="s">
        <v>74</v>
      </c>
      <c r="AF764" s="2" t="s">
        <v>74</v>
      </c>
      <c r="AG764" s="2" t="s">
        <v>74</v>
      </c>
      <c r="AH764" s="2" t="s">
        <v>74</v>
      </c>
      <c r="AI764" s="2" t="s">
        <v>74</v>
      </c>
      <c r="AJ764" s="2" t="s">
        <v>74</v>
      </c>
      <c r="AK764" s="2" t="s">
        <v>74</v>
      </c>
      <c r="AL764" s="2" t="s">
        <v>74</v>
      </c>
      <c r="AM764" s="2" t="s">
        <v>74</v>
      </c>
      <c r="AN764" s="2" t="s">
        <v>74</v>
      </c>
      <c r="AO764" s="2" t="s">
        <v>203</v>
      </c>
      <c r="AP764" s="2" t="s">
        <v>74</v>
      </c>
      <c r="AQ764" s="2" t="s">
        <v>74</v>
      </c>
      <c r="AR764" s="2" t="s">
        <v>74</v>
      </c>
      <c r="AS764" s="2" t="s">
        <v>74</v>
      </c>
      <c r="AT764" s="2" t="s">
        <v>352</v>
      </c>
      <c r="AU764" s="2">
        <v>1996</v>
      </c>
      <c r="AV764" s="2">
        <v>49</v>
      </c>
      <c r="AW764" s="2">
        <v>3</v>
      </c>
      <c r="AX764" s="2" t="s">
        <v>74</v>
      </c>
      <c r="AY764" s="2" t="s">
        <v>74</v>
      </c>
      <c r="AZ764" s="2" t="s">
        <v>74</v>
      </c>
      <c r="BA764" s="2" t="s">
        <v>74</v>
      </c>
      <c r="BB764" s="2">
        <v>494</v>
      </c>
      <c r="BC764" s="2">
        <v>500</v>
      </c>
      <c r="BD764" s="2" t="s">
        <v>74</v>
      </c>
      <c r="BE764" s="2" t="s">
        <v>74</v>
      </c>
      <c r="BF764" s="2" t="s">
        <v>74</v>
      </c>
      <c r="BG764" s="2" t="s">
        <v>74</v>
      </c>
      <c r="BH764" s="2" t="s">
        <v>74</v>
      </c>
      <c r="BI764" s="2" t="s">
        <v>74</v>
      </c>
      <c r="BJ764" s="2" t="s">
        <v>74</v>
      </c>
      <c r="BK764" s="2" t="s">
        <v>74</v>
      </c>
      <c r="BL764" s="2" t="s">
        <v>74</v>
      </c>
      <c r="BM764" s="2" t="s">
        <v>74</v>
      </c>
      <c r="BN764" s="2" t="s">
        <v>74</v>
      </c>
      <c r="BO764" s="2" t="s">
        <v>74</v>
      </c>
      <c r="BP764" s="2" t="s">
        <v>74</v>
      </c>
      <c r="BQ764" s="2" t="s">
        <v>74</v>
      </c>
      <c r="BR764" s="2" t="s">
        <v>74</v>
      </c>
      <c r="BS764" s="2" t="s">
        <v>3371</v>
      </c>
      <c r="BT764" s="2" t="str">
        <f>HYPERLINK("https%3A%2F%2Fwww.webofscience.com%2Fwos%2Fwoscc%2Ffull-record%2FWOS:A1996VQ32100010","View Full Record in Web of Science")</f>
        <v>View Full Record in Web of Science</v>
      </c>
    </row>
    <row r="765" spans="1:72" s="2" customFormat="1" x14ac:dyDescent="0.4">
      <c r="A765" s="2" t="s">
        <v>72</v>
      </c>
      <c r="B765" s="2" t="s">
        <v>3586</v>
      </c>
      <c r="C765" s="2" t="s">
        <v>74</v>
      </c>
      <c r="D765" s="2" t="s">
        <v>74</v>
      </c>
      <c r="E765" s="2" t="s">
        <v>74</v>
      </c>
      <c r="F765" s="2" t="s">
        <v>3587</v>
      </c>
      <c r="G765" s="2" t="s">
        <v>74</v>
      </c>
      <c r="H765" s="2" t="s">
        <v>74</v>
      </c>
      <c r="I765" s="2" t="s">
        <v>3588</v>
      </c>
      <c r="J765" s="2" t="s">
        <v>814</v>
      </c>
      <c r="K765" s="2" t="s">
        <v>74</v>
      </c>
      <c r="L765" s="2" t="s">
        <v>74</v>
      </c>
      <c r="M765" s="2" t="s">
        <v>74</v>
      </c>
      <c r="N765" s="2" t="s">
        <v>74</v>
      </c>
      <c r="O765" s="2" t="s">
        <v>74</v>
      </c>
      <c r="P765" s="2" t="s">
        <v>74</v>
      </c>
      <c r="Q765" s="2" t="s">
        <v>74</v>
      </c>
      <c r="R765" s="2" t="s">
        <v>74</v>
      </c>
      <c r="S765" s="2" t="s">
        <v>74</v>
      </c>
      <c r="T765" s="2" t="s">
        <v>74</v>
      </c>
      <c r="U765" s="2" t="s">
        <v>74</v>
      </c>
      <c r="V765" s="5" t="s">
        <v>3589</v>
      </c>
      <c r="W765" s="2" t="s">
        <v>74</v>
      </c>
      <c r="X765" s="2" t="s">
        <v>74</v>
      </c>
      <c r="Y765" s="2" t="s">
        <v>74</v>
      </c>
      <c r="Z765" s="2" t="s">
        <v>74</v>
      </c>
      <c r="AA765" s="2" t="s">
        <v>74</v>
      </c>
      <c r="AB765" s="2" t="s">
        <v>74</v>
      </c>
      <c r="AC765" s="2" t="s">
        <v>74</v>
      </c>
      <c r="AD765" s="2" t="s">
        <v>74</v>
      </c>
      <c r="AE765" s="2" t="s">
        <v>74</v>
      </c>
      <c r="AF765" s="2" t="s">
        <v>74</v>
      </c>
      <c r="AG765" s="2" t="s">
        <v>74</v>
      </c>
      <c r="AH765" s="2" t="s">
        <v>74</v>
      </c>
      <c r="AI765" s="2" t="s">
        <v>74</v>
      </c>
      <c r="AJ765" s="2" t="s">
        <v>74</v>
      </c>
      <c r="AK765" s="2" t="s">
        <v>74</v>
      </c>
      <c r="AL765" s="2" t="s">
        <v>74</v>
      </c>
      <c r="AM765" s="2" t="s">
        <v>74</v>
      </c>
      <c r="AN765" s="2" t="s">
        <v>74</v>
      </c>
      <c r="AO765" s="2" t="s">
        <v>818</v>
      </c>
      <c r="AP765" s="2" t="s">
        <v>1505</v>
      </c>
      <c r="AQ765" s="2" t="s">
        <v>74</v>
      </c>
      <c r="AR765" s="2" t="s">
        <v>74</v>
      </c>
      <c r="AS765" s="2" t="s">
        <v>74</v>
      </c>
      <c r="AT765" s="2" t="s">
        <v>305</v>
      </c>
      <c r="AU765" s="2">
        <v>2023</v>
      </c>
      <c r="AV765" s="2">
        <v>161</v>
      </c>
      <c r="AW765" s="2" t="s">
        <v>74</v>
      </c>
      <c r="AX765" s="2" t="s">
        <v>74</v>
      </c>
      <c r="AY765" s="2" t="s">
        <v>74</v>
      </c>
      <c r="AZ765" s="2" t="s">
        <v>74</v>
      </c>
      <c r="BA765" s="2" t="s">
        <v>74</v>
      </c>
      <c r="BB765" s="2" t="s">
        <v>74</v>
      </c>
      <c r="BC765" s="2" t="s">
        <v>74</v>
      </c>
      <c r="BD765" s="2">
        <v>126128</v>
      </c>
      <c r="BE765" s="2" t="s">
        <v>3590</v>
      </c>
      <c r="BF765" s="2" t="str">
        <f>HYPERLINK("http://dx.doi.org/10.1016/j.zool.2023.126128","http://dx.doi.org/10.1016/j.zool.2023.126128")</f>
        <v>http://dx.doi.org/10.1016/j.zool.2023.126128</v>
      </c>
      <c r="BG765" s="2" t="s">
        <v>74</v>
      </c>
      <c r="BH765" s="2" t="s">
        <v>902</v>
      </c>
      <c r="BI765" s="2" t="s">
        <v>74</v>
      </c>
      <c r="BJ765" s="2" t="s">
        <v>74</v>
      </c>
      <c r="BK765" s="2" t="s">
        <v>74</v>
      </c>
      <c r="BL765" s="2" t="s">
        <v>74</v>
      </c>
      <c r="BM765" s="2" t="s">
        <v>74</v>
      </c>
      <c r="BN765" s="2">
        <v>37839289</v>
      </c>
      <c r="BO765" s="2" t="s">
        <v>74</v>
      </c>
      <c r="BP765" s="2" t="s">
        <v>74</v>
      </c>
      <c r="BQ765" s="2" t="s">
        <v>74</v>
      </c>
      <c r="BR765" s="2" t="s">
        <v>74</v>
      </c>
      <c r="BS765" s="2" t="s">
        <v>3591</v>
      </c>
      <c r="BT765" s="2" t="str">
        <f>HYPERLINK("https%3A%2F%2Fwww.webofscience.com%2Fwos%2Fwoscc%2Ffull-record%2FWOS:001098666600001","View Full Record in Web of Science")</f>
        <v>View Full Record in Web of Science</v>
      </c>
    </row>
    <row r="766" spans="1:72" s="2" customFormat="1" x14ac:dyDescent="0.4">
      <c r="A766" s="2" t="s">
        <v>72</v>
      </c>
      <c r="B766" s="2" t="s">
        <v>4673</v>
      </c>
      <c r="C766" s="2" t="s">
        <v>74</v>
      </c>
      <c r="D766" s="2" t="s">
        <v>74</v>
      </c>
      <c r="E766" s="2" t="s">
        <v>74</v>
      </c>
      <c r="F766" s="2" t="s">
        <v>4673</v>
      </c>
      <c r="G766" s="2" t="s">
        <v>74</v>
      </c>
      <c r="H766" s="2" t="s">
        <v>74</v>
      </c>
      <c r="I766" s="2" t="s">
        <v>4674</v>
      </c>
      <c r="J766" s="2" t="s">
        <v>1755</v>
      </c>
      <c r="K766" s="2" t="s">
        <v>74</v>
      </c>
      <c r="L766" s="2" t="s">
        <v>74</v>
      </c>
      <c r="M766" s="2" t="s">
        <v>74</v>
      </c>
      <c r="N766" s="2" t="s">
        <v>74</v>
      </c>
      <c r="O766" s="2" t="s">
        <v>74</v>
      </c>
      <c r="P766" s="2" t="s">
        <v>74</v>
      </c>
      <c r="Q766" s="2" t="s">
        <v>74</v>
      </c>
      <c r="R766" s="2" t="s">
        <v>74</v>
      </c>
      <c r="S766" s="2" t="s">
        <v>74</v>
      </c>
      <c r="T766" s="2" t="s">
        <v>74</v>
      </c>
      <c r="U766" s="2" t="s">
        <v>74</v>
      </c>
      <c r="V766" s="5" t="s">
        <v>4675</v>
      </c>
      <c r="W766" s="2" t="s">
        <v>74</v>
      </c>
      <c r="X766" s="2" t="s">
        <v>74</v>
      </c>
      <c r="Y766" s="2" t="s">
        <v>74</v>
      </c>
      <c r="Z766" s="2" t="s">
        <v>74</v>
      </c>
      <c r="AA766" s="2" t="s">
        <v>2989</v>
      </c>
      <c r="AB766" s="2" t="s">
        <v>4093</v>
      </c>
      <c r="AC766" s="2" t="s">
        <v>74</v>
      </c>
      <c r="AD766" s="2" t="s">
        <v>74</v>
      </c>
      <c r="AE766" s="2" t="s">
        <v>74</v>
      </c>
      <c r="AF766" s="2" t="s">
        <v>74</v>
      </c>
      <c r="AG766" s="2" t="s">
        <v>74</v>
      </c>
      <c r="AH766" s="2" t="s">
        <v>74</v>
      </c>
      <c r="AI766" s="2" t="s">
        <v>74</v>
      </c>
      <c r="AJ766" s="2" t="s">
        <v>74</v>
      </c>
      <c r="AK766" s="2" t="s">
        <v>74</v>
      </c>
      <c r="AL766" s="2" t="s">
        <v>74</v>
      </c>
      <c r="AM766" s="2" t="s">
        <v>74</v>
      </c>
      <c r="AN766" s="2" t="s">
        <v>74</v>
      </c>
      <c r="AO766" s="2" t="s">
        <v>1759</v>
      </c>
      <c r="AP766" s="2" t="s">
        <v>1760</v>
      </c>
      <c r="AQ766" s="2" t="s">
        <v>74</v>
      </c>
      <c r="AR766" s="2" t="s">
        <v>74</v>
      </c>
      <c r="AS766" s="2" t="s">
        <v>74</v>
      </c>
      <c r="AT766" s="2" t="s">
        <v>213</v>
      </c>
      <c r="AU766" s="2">
        <v>1999</v>
      </c>
      <c r="AV766" s="2">
        <v>12</v>
      </c>
      <c r="AW766" s="2">
        <v>6</v>
      </c>
      <c r="AX766" s="2" t="s">
        <v>74</v>
      </c>
      <c r="AY766" s="2" t="s">
        <v>74</v>
      </c>
      <c r="AZ766" s="2" t="s">
        <v>74</v>
      </c>
      <c r="BA766" s="2" t="s">
        <v>74</v>
      </c>
      <c r="BB766" s="2">
        <v>801</v>
      </c>
      <c r="BC766" s="2">
        <v>814</v>
      </c>
      <c r="BD766" s="2" t="s">
        <v>74</v>
      </c>
      <c r="BE766" s="2" t="s">
        <v>4676</v>
      </c>
      <c r="BF766" s="2" t="str">
        <f>HYPERLINK("http://dx.doi.org/10.1023/A:1020957110842","http://dx.doi.org/10.1023/A:1020957110842")</f>
        <v>http://dx.doi.org/10.1023/A:1020957110842</v>
      </c>
      <c r="BG766" s="2" t="s">
        <v>74</v>
      </c>
      <c r="BH766" s="2" t="s">
        <v>74</v>
      </c>
      <c r="BI766" s="2" t="s">
        <v>74</v>
      </c>
      <c r="BJ766" s="2" t="s">
        <v>74</v>
      </c>
      <c r="BK766" s="2" t="s">
        <v>74</v>
      </c>
      <c r="BL766" s="2" t="s">
        <v>74</v>
      </c>
      <c r="BM766" s="2" t="s">
        <v>74</v>
      </c>
      <c r="BN766" s="2" t="s">
        <v>74</v>
      </c>
      <c r="BO766" s="2" t="s">
        <v>74</v>
      </c>
      <c r="BP766" s="2" t="s">
        <v>74</v>
      </c>
      <c r="BQ766" s="2" t="s">
        <v>74</v>
      </c>
      <c r="BR766" s="2" t="s">
        <v>74</v>
      </c>
      <c r="BS766" s="2" t="s">
        <v>4677</v>
      </c>
      <c r="BT766" s="2" t="str">
        <f>HYPERLINK("https%3A%2F%2Fwww.webofscience.com%2Fwos%2Fwoscc%2Ffull-record%2FWOS:000087352400006","View Full Record in Web of Science")</f>
        <v>View Full Record in Web of Science</v>
      </c>
    </row>
    <row r="767" spans="1:72" s="2" customFormat="1" x14ac:dyDescent="0.4">
      <c r="A767" s="2" t="s">
        <v>72</v>
      </c>
      <c r="B767" s="2" t="s">
        <v>4957</v>
      </c>
      <c r="C767" s="2" t="s">
        <v>74</v>
      </c>
      <c r="D767" s="2" t="s">
        <v>74</v>
      </c>
      <c r="E767" s="2" t="s">
        <v>74</v>
      </c>
      <c r="F767" s="2" t="s">
        <v>4958</v>
      </c>
      <c r="G767" s="2" t="s">
        <v>74</v>
      </c>
      <c r="H767" s="2" t="s">
        <v>74</v>
      </c>
      <c r="I767" s="2" t="s">
        <v>4959</v>
      </c>
      <c r="J767" s="2" t="s">
        <v>367</v>
      </c>
      <c r="K767" s="2" t="s">
        <v>74</v>
      </c>
      <c r="L767" s="2" t="s">
        <v>74</v>
      </c>
      <c r="M767" s="2" t="s">
        <v>74</v>
      </c>
      <c r="N767" s="2" t="s">
        <v>74</v>
      </c>
      <c r="O767" s="2" t="s">
        <v>74</v>
      </c>
      <c r="P767" s="2" t="s">
        <v>74</v>
      </c>
      <c r="Q767" s="2" t="s">
        <v>74</v>
      </c>
      <c r="R767" s="2" t="s">
        <v>74</v>
      </c>
      <c r="S767" s="2" t="s">
        <v>74</v>
      </c>
      <c r="T767" s="2" t="s">
        <v>74</v>
      </c>
      <c r="U767" s="2" t="s">
        <v>74</v>
      </c>
      <c r="V767" s="5" t="s">
        <v>4960</v>
      </c>
      <c r="W767" s="2" t="s">
        <v>74</v>
      </c>
      <c r="X767" s="2" t="s">
        <v>74</v>
      </c>
      <c r="Y767" s="2" t="s">
        <v>74</v>
      </c>
      <c r="Z767" s="2" t="s">
        <v>74</v>
      </c>
      <c r="AA767" s="2" t="s">
        <v>74</v>
      </c>
      <c r="AB767" s="2" t="s">
        <v>4961</v>
      </c>
      <c r="AC767" s="2" t="s">
        <v>74</v>
      </c>
      <c r="AD767" s="2" t="s">
        <v>74</v>
      </c>
      <c r="AE767" s="2" t="s">
        <v>74</v>
      </c>
      <c r="AF767" s="2" t="s">
        <v>74</v>
      </c>
      <c r="AG767" s="2" t="s">
        <v>74</v>
      </c>
      <c r="AH767" s="2" t="s">
        <v>74</v>
      </c>
      <c r="AI767" s="2" t="s">
        <v>74</v>
      </c>
      <c r="AJ767" s="2" t="s">
        <v>74</v>
      </c>
      <c r="AK767" s="2" t="s">
        <v>74</v>
      </c>
      <c r="AL767" s="2" t="s">
        <v>74</v>
      </c>
      <c r="AM767" s="2" t="s">
        <v>74</v>
      </c>
      <c r="AN767" s="2" t="s">
        <v>74</v>
      </c>
      <c r="AO767" s="2" t="s">
        <v>371</v>
      </c>
      <c r="AP767" s="2" t="s">
        <v>372</v>
      </c>
      <c r="AQ767" s="2" t="s">
        <v>74</v>
      </c>
      <c r="AR767" s="2" t="s">
        <v>74</v>
      </c>
      <c r="AS767" s="2" t="s">
        <v>74</v>
      </c>
      <c r="AT767" s="2" t="s">
        <v>213</v>
      </c>
      <c r="AU767" s="2">
        <v>2016</v>
      </c>
      <c r="AV767" s="2">
        <v>130</v>
      </c>
      <c r="AW767" s="2">
        <v>4</v>
      </c>
      <c r="AX767" s="2" t="s">
        <v>74</v>
      </c>
      <c r="AY767" s="2" t="s">
        <v>74</v>
      </c>
      <c r="AZ767" s="2" t="s">
        <v>74</v>
      </c>
      <c r="BA767" s="2" t="s">
        <v>74</v>
      </c>
      <c r="BB767" s="2">
        <v>328</v>
      </c>
      <c r="BC767" s="2">
        <v>340</v>
      </c>
      <c r="BD767" s="2" t="s">
        <v>74</v>
      </c>
      <c r="BE767" s="2" t="s">
        <v>4962</v>
      </c>
      <c r="BF767" s="2" t="str">
        <f>HYPERLINK("http://dx.doi.org/10.1037/com0000039","http://dx.doi.org/10.1037/com0000039")</f>
        <v>http://dx.doi.org/10.1037/com0000039</v>
      </c>
      <c r="BG767" s="2" t="s">
        <v>74</v>
      </c>
      <c r="BH767" s="2" t="s">
        <v>74</v>
      </c>
      <c r="BI767" s="2" t="s">
        <v>74</v>
      </c>
      <c r="BJ767" s="2" t="s">
        <v>74</v>
      </c>
      <c r="BK767" s="2" t="s">
        <v>74</v>
      </c>
      <c r="BL767" s="2" t="s">
        <v>74</v>
      </c>
      <c r="BM767" s="2" t="s">
        <v>74</v>
      </c>
      <c r="BN767" s="2">
        <v>27359074</v>
      </c>
      <c r="BO767" s="2" t="s">
        <v>74</v>
      </c>
      <c r="BP767" s="2" t="s">
        <v>74</v>
      </c>
      <c r="BQ767" s="2" t="s">
        <v>74</v>
      </c>
      <c r="BR767" s="2" t="s">
        <v>74</v>
      </c>
      <c r="BS767" s="2" t="s">
        <v>4963</v>
      </c>
      <c r="BT767" s="2" t="str">
        <f>HYPERLINK("https%3A%2F%2Fwww.webofscience.com%2Fwos%2Fwoscc%2Ffull-record%2FWOS:000388497000004","View Full Record in Web of Science")</f>
        <v>View Full Record in Web of Science</v>
      </c>
    </row>
    <row r="768" spans="1:72" s="2" customFormat="1" x14ac:dyDescent="0.4">
      <c r="A768" s="2" t="s">
        <v>72</v>
      </c>
      <c r="B768" s="2" t="s">
        <v>8568</v>
      </c>
      <c r="C768" s="2" t="s">
        <v>74</v>
      </c>
      <c r="D768" s="2" t="s">
        <v>74</v>
      </c>
      <c r="E768" s="2" t="s">
        <v>74</v>
      </c>
      <c r="F768" s="2" t="s">
        <v>8569</v>
      </c>
      <c r="G768" s="2" t="s">
        <v>74</v>
      </c>
      <c r="H768" s="2" t="s">
        <v>74</v>
      </c>
      <c r="I768" s="2" t="s">
        <v>8570</v>
      </c>
      <c r="J768" s="2" t="s">
        <v>2662</v>
      </c>
      <c r="K768" s="2" t="s">
        <v>74</v>
      </c>
      <c r="L768" s="2" t="s">
        <v>74</v>
      </c>
      <c r="M768" s="2" t="s">
        <v>74</v>
      </c>
      <c r="N768" s="2" t="s">
        <v>74</v>
      </c>
      <c r="O768" s="2" t="s">
        <v>74</v>
      </c>
      <c r="P768" s="2" t="s">
        <v>74</v>
      </c>
      <c r="Q768" s="2" t="s">
        <v>74</v>
      </c>
      <c r="R768" s="2" t="s">
        <v>74</v>
      </c>
      <c r="S768" s="2" t="s">
        <v>74</v>
      </c>
      <c r="T768" s="2" t="s">
        <v>74</v>
      </c>
      <c r="U768" s="2" t="s">
        <v>74</v>
      </c>
      <c r="V768" s="5" t="s">
        <v>8571</v>
      </c>
      <c r="W768" s="2" t="s">
        <v>74</v>
      </c>
      <c r="X768" s="2" t="s">
        <v>74</v>
      </c>
      <c r="Y768" s="2" t="s">
        <v>74</v>
      </c>
      <c r="Z768" s="2" t="s">
        <v>74</v>
      </c>
      <c r="AA768" s="2" t="s">
        <v>8572</v>
      </c>
      <c r="AB768" s="2" t="s">
        <v>8573</v>
      </c>
      <c r="AC768" s="2" t="s">
        <v>74</v>
      </c>
      <c r="AD768" s="2" t="s">
        <v>74</v>
      </c>
      <c r="AE768" s="2" t="s">
        <v>74</v>
      </c>
      <c r="AF768" s="2" t="s">
        <v>74</v>
      </c>
      <c r="AG768" s="2" t="s">
        <v>74</v>
      </c>
      <c r="AH768" s="2" t="s">
        <v>74</v>
      </c>
      <c r="AI768" s="2" t="s">
        <v>74</v>
      </c>
      <c r="AJ768" s="2" t="s">
        <v>74</v>
      </c>
      <c r="AK768" s="2" t="s">
        <v>74</v>
      </c>
      <c r="AL768" s="2" t="s">
        <v>74</v>
      </c>
      <c r="AM768" s="2" t="s">
        <v>74</v>
      </c>
      <c r="AN768" s="2" t="s">
        <v>74</v>
      </c>
      <c r="AO768" s="2" t="s">
        <v>2664</v>
      </c>
      <c r="AP768" s="2" t="s">
        <v>2665</v>
      </c>
      <c r="AQ768" s="2" t="s">
        <v>74</v>
      </c>
      <c r="AR768" s="2" t="s">
        <v>74</v>
      </c>
      <c r="AS768" s="2" t="s">
        <v>74</v>
      </c>
      <c r="AT768" s="2" t="s">
        <v>305</v>
      </c>
      <c r="AU768" s="2">
        <v>2020</v>
      </c>
      <c r="AV768" s="2">
        <v>54</v>
      </c>
      <c r="AW768" s="2">
        <v>4</v>
      </c>
      <c r="AX768" s="2" t="s">
        <v>74</v>
      </c>
      <c r="AY768" s="2" t="s">
        <v>74</v>
      </c>
      <c r="AZ768" s="2" t="s">
        <v>74</v>
      </c>
      <c r="BA768" s="2" t="s">
        <v>74</v>
      </c>
      <c r="BB768" s="2">
        <v>364</v>
      </c>
      <c r="BC768" s="2">
        <v>375</v>
      </c>
      <c r="BD768" s="2" t="s">
        <v>74</v>
      </c>
      <c r="BE768" s="2" t="s">
        <v>8574</v>
      </c>
      <c r="BF768" s="2" t="str">
        <f>HYPERLINK("http://dx.doi.org/10.3356/0892-1016-54.4.364","http://dx.doi.org/10.3356/0892-1016-54.4.364")</f>
        <v>http://dx.doi.org/10.3356/0892-1016-54.4.364</v>
      </c>
      <c r="BG768" s="2" t="s">
        <v>74</v>
      </c>
      <c r="BH768" s="2" t="s">
        <v>74</v>
      </c>
      <c r="BI768" s="2" t="s">
        <v>74</v>
      </c>
      <c r="BJ768" s="2" t="s">
        <v>74</v>
      </c>
      <c r="BK768" s="2" t="s">
        <v>74</v>
      </c>
      <c r="BL768" s="2" t="s">
        <v>74</v>
      </c>
      <c r="BM768" s="2" t="s">
        <v>74</v>
      </c>
      <c r="BN768" s="2" t="s">
        <v>74</v>
      </c>
      <c r="BO768" s="2" t="s">
        <v>74</v>
      </c>
      <c r="BP768" s="2" t="s">
        <v>74</v>
      </c>
      <c r="BQ768" s="2" t="s">
        <v>74</v>
      </c>
      <c r="BR768" s="2" t="s">
        <v>74</v>
      </c>
      <c r="BS768" s="2" t="s">
        <v>8575</v>
      </c>
      <c r="BT768" s="2" t="str">
        <f>HYPERLINK("https%3A%2F%2Fwww.webofscience.com%2Fwos%2Fwoscc%2Ffull-record%2FWOS:000604780200003","View Full Record in Web of Science")</f>
        <v>View Full Record in Web of Science</v>
      </c>
    </row>
    <row r="769" spans="1:72" s="7" customFormat="1" x14ac:dyDescent="0.4">
      <c r="A769" s="2" t="s">
        <v>72</v>
      </c>
      <c r="B769" s="2" t="s">
        <v>4426</v>
      </c>
      <c r="C769" s="2" t="s">
        <v>74</v>
      </c>
      <c r="D769" s="2" t="s">
        <v>74</v>
      </c>
      <c r="E769" s="2" t="s">
        <v>74</v>
      </c>
      <c r="F769" s="2" t="s">
        <v>4427</v>
      </c>
      <c r="G769" s="2" t="s">
        <v>74</v>
      </c>
      <c r="H769" s="2" t="s">
        <v>74</v>
      </c>
      <c r="I769" s="2" t="s">
        <v>4428</v>
      </c>
      <c r="J769" s="2" t="s">
        <v>1995</v>
      </c>
      <c r="K769" s="2" t="s">
        <v>74</v>
      </c>
      <c r="L769" s="2" t="s">
        <v>74</v>
      </c>
      <c r="M769" s="2" t="s">
        <v>74</v>
      </c>
      <c r="N769" s="2" t="s">
        <v>74</v>
      </c>
      <c r="O769" s="2" t="s">
        <v>74</v>
      </c>
      <c r="P769" s="2" t="s">
        <v>74</v>
      </c>
      <c r="Q769" s="2" t="s">
        <v>74</v>
      </c>
      <c r="R769" s="2" t="s">
        <v>74</v>
      </c>
      <c r="S769" s="2" t="s">
        <v>74</v>
      </c>
      <c r="T769" s="2" t="s">
        <v>74</v>
      </c>
      <c r="U769" s="2" t="s">
        <v>74</v>
      </c>
      <c r="V769" s="5" t="s">
        <v>4429</v>
      </c>
      <c r="W769" s="2" t="s">
        <v>74</v>
      </c>
      <c r="X769" s="2" t="s">
        <v>74</v>
      </c>
      <c r="Y769" s="2" t="s">
        <v>74</v>
      </c>
      <c r="Z769" s="2" t="s">
        <v>74</v>
      </c>
      <c r="AA769" s="2" t="s">
        <v>74</v>
      </c>
      <c r="AB769" s="2" t="s">
        <v>74</v>
      </c>
      <c r="AC769" s="2" t="s">
        <v>74</v>
      </c>
      <c r="AD769" s="2" t="s">
        <v>74</v>
      </c>
      <c r="AE769" s="2" t="s">
        <v>74</v>
      </c>
      <c r="AF769" s="2" t="s">
        <v>74</v>
      </c>
      <c r="AG769" s="2" t="s">
        <v>74</v>
      </c>
      <c r="AH769" s="2" t="s">
        <v>74</v>
      </c>
      <c r="AI769" s="2" t="s">
        <v>74</v>
      </c>
      <c r="AJ769" s="2" t="s">
        <v>74</v>
      </c>
      <c r="AK769" s="2" t="s">
        <v>74</v>
      </c>
      <c r="AL769" s="2" t="s">
        <v>74</v>
      </c>
      <c r="AM769" s="2" t="s">
        <v>74</v>
      </c>
      <c r="AN769" s="2" t="s">
        <v>74</v>
      </c>
      <c r="AO769" s="2" t="s">
        <v>1997</v>
      </c>
      <c r="AP769" s="2" t="s">
        <v>3917</v>
      </c>
      <c r="AQ769" s="2" t="s">
        <v>74</v>
      </c>
      <c r="AR769" s="2" t="s">
        <v>74</v>
      </c>
      <c r="AS769" s="2" t="s">
        <v>74</v>
      </c>
      <c r="AT769" s="2" t="s">
        <v>145</v>
      </c>
      <c r="AU769" s="2">
        <v>2023</v>
      </c>
      <c r="AV769" s="2">
        <v>94</v>
      </c>
      <c r="AW769" s="2">
        <v>3</v>
      </c>
      <c r="AX769" s="2" t="s">
        <v>74</v>
      </c>
      <c r="AY769" s="2" t="s">
        <v>74</v>
      </c>
      <c r="AZ769" s="2" t="s">
        <v>74</v>
      </c>
      <c r="BA769" s="2" t="s">
        <v>74</v>
      </c>
      <c r="BB769" s="2" t="s">
        <v>74</v>
      </c>
      <c r="BC769" s="2" t="s">
        <v>74</v>
      </c>
      <c r="BD769" s="2">
        <v>7</v>
      </c>
      <c r="BE769" s="2" t="s">
        <v>4430</v>
      </c>
      <c r="BF769" s="2" t="str">
        <f>HYPERLINK("http://dx.doi.org/10.5751/JFO-00288-940307","http://dx.doi.org/10.5751/JFO-00288-940307")</f>
        <v>http://dx.doi.org/10.5751/JFO-00288-940307</v>
      </c>
      <c r="BG769" s="2" t="s">
        <v>74</v>
      </c>
      <c r="BH769" s="2" t="s">
        <v>74</v>
      </c>
      <c r="BI769" s="2" t="s">
        <v>74</v>
      </c>
      <c r="BJ769" s="2" t="s">
        <v>74</v>
      </c>
      <c r="BK769" s="2" t="s">
        <v>74</v>
      </c>
      <c r="BL769" s="2" t="s">
        <v>74</v>
      </c>
      <c r="BM769" s="2" t="s">
        <v>74</v>
      </c>
      <c r="BN769" s="2" t="s">
        <v>74</v>
      </c>
      <c r="BO769" s="2" t="s">
        <v>74</v>
      </c>
      <c r="BP769" s="2" t="s">
        <v>74</v>
      </c>
      <c r="BQ769" s="2" t="s">
        <v>74</v>
      </c>
      <c r="BR769" s="2" t="s">
        <v>74</v>
      </c>
      <c r="BS769" s="2" t="s">
        <v>4431</v>
      </c>
      <c r="BT769" s="2" t="str">
        <f>HYPERLINK("https%3A%2F%2Fwww.webofscience.com%2Fwos%2Fwoscc%2Ffull-record%2FWOS:001041634300001","View Full Record in Web of Science")</f>
        <v>View Full Record in Web of Science</v>
      </c>
    </row>
    <row r="770" spans="1:72" s="2" customFormat="1" x14ac:dyDescent="0.4">
      <c r="A770" s="2" t="s">
        <v>72</v>
      </c>
      <c r="B770" s="2" t="s">
        <v>1291</v>
      </c>
      <c r="C770" s="2" t="s">
        <v>74</v>
      </c>
      <c r="D770" s="2" t="s">
        <v>74</v>
      </c>
      <c r="E770" s="2" t="s">
        <v>74</v>
      </c>
      <c r="F770" s="2" t="s">
        <v>1292</v>
      </c>
      <c r="G770" s="2" t="s">
        <v>74</v>
      </c>
      <c r="H770" s="2" t="s">
        <v>74</v>
      </c>
      <c r="I770" s="2" t="s">
        <v>1293</v>
      </c>
      <c r="J770" s="2" t="s">
        <v>108</v>
      </c>
      <c r="K770" s="2" t="s">
        <v>74</v>
      </c>
      <c r="L770" s="2" t="s">
        <v>74</v>
      </c>
      <c r="M770" s="2" t="s">
        <v>74</v>
      </c>
      <c r="N770" s="2" t="s">
        <v>74</v>
      </c>
      <c r="O770" s="2" t="s">
        <v>74</v>
      </c>
      <c r="P770" s="2" t="s">
        <v>74</v>
      </c>
      <c r="Q770" s="2" t="s">
        <v>74</v>
      </c>
      <c r="R770" s="2" t="s">
        <v>74</v>
      </c>
      <c r="S770" s="2" t="s">
        <v>74</v>
      </c>
      <c r="T770" s="2" t="s">
        <v>74</v>
      </c>
      <c r="U770" s="2" t="s">
        <v>74</v>
      </c>
      <c r="V770" s="5" t="s">
        <v>1294</v>
      </c>
      <c r="W770" s="2" t="s">
        <v>74</v>
      </c>
      <c r="X770" s="2" t="s">
        <v>74</v>
      </c>
      <c r="Y770" s="2" t="s">
        <v>74</v>
      </c>
      <c r="Z770" s="2" t="s">
        <v>74</v>
      </c>
      <c r="AA770" s="2" t="s">
        <v>1295</v>
      </c>
      <c r="AB770" s="2" t="s">
        <v>1296</v>
      </c>
      <c r="AC770" s="2" t="s">
        <v>74</v>
      </c>
      <c r="AD770" s="2" t="s">
        <v>74</v>
      </c>
      <c r="AE770" s="2" t="s">
        <v>74</v>
      </c>
      <c r="AF770" s="2" t="s">
        <v>74</v>
      </c>
      <c r="AG770" s="2" t="s">
        <v>74</v>
      </c>
      <c r="AH770" s="2" t="s">
        <v>74</v>
      </c>
      <c r="AI770" s="2" t="s">
        <v>74</v>
      </c>
      <c r="AJ770" s="2" t="s">
        <v>74</v>
      </c>
      <c r="AK770" s="2" t="s">
        <v>74</v>
      </c>
      <c r="AL770" s="2" t="s">
        <v>74</v>
      </c>
      <c r="AM770" s="2" t="s">
        <v>74</v>
      </c>
      <c r="AN770" s="2" t="s">
        <v>74</v>
      </c>
      <c r="AO770" s="2" t="s">
        <v>111</v>
      </c>
      <c r="AP770" s="2" t="s">
        <v>74</v>
      </c>
      <c r="AQ770" s="2" t="s">
        <v>74</v>
      </c>
      <c r="AR770" s="2" t="s">
        <v>74</v>
      </c>
      <c r="AS770" s="2" t="s">
        <v>74</v>
      </c>
      <c r="AT770" s="2" t="s">
        <v>924</v>
      </c>
      <c r="AU770" s="2">
        <v>2009</v>
      </c>
      <c r="AV770" s="2">
        <v>276</v>
      </c>
      <c r="AW770" s="2">
        <v>1675</v>
      </c>
      <c r="AX770" s="2" t="s">
        <v>74</v>
      </c>
      <c r="AY770" s="2" t="s">
        <v>74</v>
      </c>
      <c r="AZ770" s="2" t="s">
        <v>74</v>
      </c>
      <c r="BA770" s="2" t="s">
        <v>74</v>
      </c>
      <c r="BB770" s="2">
        <v>3989</v>
      </c>
      <c r="BC770" s="2">
        <v>3993</v>
      </c>
      <c r="BD770" s="2" t="s">
        <v>74</v>
      </c>
      <c r="BE770" s="2" t="s">
        <v>1297</v>
      </c>
      <c r="BF770" s="2" t="str">
        <f>HYPERLINK("http://dx.doi.org/10.1098/rspb.2009.1219","http://dx.doi.org/10.1098/rspb.2009.1219")</f>
        <v>http://dx.doi.org/10.1098/rspb.2009.1219</v>
      </c>
      <c r="BG770" s="2" t="s">
        <v>74</v>
      </c>
      <c r="BH770" s="2" t="s">
        <v>74</v>
      </c>
      <c r="BI770" s="2" t="s">
        <v>74</v>
      </c>
      <c r="BJ770" s="2" t="s">
        <v>74</v>
      </c>
      <c r="BK770" s="2" t="s">
        <v>74</v>
      </c>
      <c r="BL770" s="2" t="s">
        <v>74</v>
      </c>
      <c r="BM770" s="2" t="s">
        <v>74</v>
      </c>
      <c r="BN770" s="2">
        <v>19710067</v>
      </c>
      <c r="BO770" s="2" t="s">
        <v>74</v>
      </c>
      <c r="BP770" s="2" t="s">
        <v>74</v>
      </c>
      <c r="BQ770" s="2" t="s">
        <v>74</v>
      </c>
      <c r="BR770" s="2" t="s">
        <v>74</v>
      </c>
      <c r="BS770" s="2" t="s">
        <v>1298</v>
      </c>
      <c r="BT770" s="2" t="str">
        <f>HYPERLINK("https%3A%2F%2Fwww.webofscience.com%2Fwos%2Fwoscc%2Ffull-record%2FWOS:000270665100010","View Full Record in Web of Science")</f>
        <v>View Full Record in Web of Science</v>
      </c>
    </row>
    <row r="771" spans="1:72" s="2" customFormat="1" x14ac:dyDescent="0.4">
      <c r="A771" s="2" t="s">
        <v>72</v>
      </c>
      <c r="B771" s="2" t="s">
        <v>2627</v>
      </c>
      <c r="C771" s="2" t="s">
        <v>74</v>
      </c>
      <c r="D771" s="2" t="s">
        <v>74</v>
      </c>
      <c r="E771" s="2" t="s">
        <v>74</v>
      </c>
      <c r="F771" s="2" t="s">
        <v>2627</v>
      </c>
      <c r="G771" s="2" t="s">
        <v>74</v>
      </c>
      <c r="H771" s="2" t="s">
        <v>74</v>
      </c>
      <c r="I771" s="2" t="s">
        <v>2628</v>
      </c>
      <c r="J771" s="2" t="s">
        <v>2629</v>
      </c>
      <c r="K771" s="2" t="s">
        <v>74</v>
      </c>
      <c r="L771" s="2" t="s">
        <v>74</v>
      </c>
      <c r="M771" s="2" t="s">
        <v>74</v>
      </c>
      <c r="N771" s="2" t="s">
        <v>74</v>
      </c>
      <c r="O771" s="2" t="s">
        <v>74</v>
      </c>
      <c r="P771" s="2" t="s">
        <v>74</v>
      </c>
      <c r="Q771" s="2" t="s">
        <v>74</v>
      </c>
      <c r="R771" s="2" t="s">
        <v>74</v>
      </c>
      <c r="S771" s="2" t="s">
        <v>74</v>
      </c>
      <c r="T771" s="2" t="s">
        <v>74</v>
      </c>
      <c r="U771" s="2" t="s">
        <v>74</v>
      </c>
      <c r="V771" s="5" t="s">
        <v>2630</v>
      </c>
      <c r="W771" s="2" t="s">
        <v>74</v>
      </c>
      <c r="X771" s="2" t="s">
        <v>74</v>
      </c>
      <c r="Y771" s="2" t="s">
        <v>74</v>
      </c>
      <c r="Z771" s="2" t="s">
        <v>74</v>
      </c>
      <c r="AA771" s="2" t="s">
        <v>2631</v>
      </c>
      <c r="AB771" s="2" t="s">
        <v>74</v>
      </c>
      <c r="AC771" s="2" t="s">
        <v>74</v>
      </c>
      <c r="AD771" s="2" t="s">
        <v>74</v>
      </c>
      <c r="AE771" s="2" t="s">
        <v>74</v>
      </c>
      <c r="AF771" s="2" t="s">
        <v>74</v>
      </c>
      <c r="AG771" s="2" t="s">
        <v>74</v>
      </c>
      <c r="AH771" s="2" t="s">
        <v>74</v>
      </c>
      <c r="AI771" s="2" t="s">
        <v>74</v>
      </c>
      <c r="AJ771" s="2" t="s">
        <v>74</v>
      </c>
      <c r="AK771" s="2" t="s">
        <v>74</v>
      </c>
      <c r="AL771" s="2" t="s">
        <v>74</v>
      </c>
      <c r="AM771" s="2" t="s">
        <v>74</v>
      </c>
      <c r="AN771" s="2" t="s">
        <v>74</v>
      </c>
      <c r="AO771" s="2" t="s">
        <v>2632</v>
      </c>
      <c r="AP771" s="2" t="s">
        <v>2633</v>
      </c>
      <c r="AQ771" s="2" t="s">
        <v>74</v>
      </c>
      <c r="AR771" s="2" t="s">
        <v>74</v>
      </c>
      <c r="AS771" s="2" t="s">
        <v>74</v>
      </c>
      <c r="AT771" s="2" t="s">
        <v>74</v>
      </c>
      <c r="AU771" s="2">
        <v>1990</v>
      </c>
      <c r="AV771" s="2">
        <v>38</v>
      </c>
      <c r="AW771" s="2">
        <v>2</v>
      </c>
      <c r="AX771" s="2" t="s">
        <v>74</v>
      </c>
      <c r="AY771" s="2" t="s">
        <v>74</v>
      </c>
      <c r="AZ771" s="2" t="s">
        <v>74</v>
      </c>
      <c r="BA771" s="2" t="s">
        <v>74</v>
      </c>
      <c r="BB771" s="2">
        <v>117</v>
      </c>
      <c r="BC771" s="2">
        <v>130</v>
      </c>
      <c r="BD771" s="2" t="s">
        <v>74</v>
      </c>
      <c r="BE771" s="2" t="s">
        <v>2634</v>
      </c>
      <c r="BF771" s="2" t="str">
        <f>HYPERLINK("http://dx.doi.org/10.1071/ZO9900117","http://dx.doi.org/10.1071/ZO9900117")</f>
        <v>http://dx.doi.org/10.1071/ZO9900117</v>
      </c>
      <c r="BG771" s="2" t="s">
        <v>74</v>
      </c>
      <c r="BH771" s="2" t="s">
        <v>74</v>
      </c>
      <c r="BI771" s="2" t="s">
        <v>74</v>
      </c>
      <c r="BJ771" s="2" t="s">
        <v>74</v>
      </c>
      <c r="BK771" s="2" t="s">
        <v>74</v>
      </c>
      <c r="BL771" s="2" t="s">
        <v>74</v>
      </c>
      <c r="BM771" s="2" t="s">
        <v>74</v>
      </c>
      <c r="BN771" s="2" t="s">
        <v>74</v>
      </c>
      <c r="BO771" s="2" t="s">
        <v>74</v>
      </c>
      <c r="BP771" s="2" t="s">
        <v>74</v>
      </c>
      <c r="BQ771" s="2" t="s">
        <v>74</v>
      </c>
      <c r="BR771" s="2" t="s">
        <v>74</v>
      </c>
      <c r="BS771" s="2" t="s">
        <v>2635</v>
      </c>
      <c r="BT771" s="2" t="str">
        <f>HYPERLINK("https%3A%2F%2Fwww.webofscience.com%2Fwos%2Fwoscc%2Ffull-record%2FWOS:A1990ED59400002","View Full Record in Web of Science")</f>
        <v>View Full Record in Web of Science</v>
      </c>
    </row>
    <row r="772" spans="1:72" s="2" customFormat="1" x14ac:dyDescent="0.4">
      <c r="A772" s="2" t="s">
        <v>72</v>
      </c>
      <c r="B772" s="2" t="s">
        <v>5355</v>
      </c>
      <c r="C772" s="2" t="s">
        <v>74</v>
      </c>
      <c r="D772" s="2" t="s">
        <v>74</v>
      </c>
      <c r="E772" s="2" t="s">
        <v>74</v>
      </c>
      <c r="F772" s="2" t="s">
        <v>5355</v>
      </c>
      <c r="G772" s="2" t="s">
        <v>74</v>
      </c>
      <c r="H772" s="2" t="s">
        <v>74</v>
      </c>
      <c r="I772" s="2" t="s">
        <v>5356</v>
      </c>
      <c r="J772" s="2" t="s">
        <v>5357</v>
      </c>
      <c r="K772" s="2" t="s">
        <v>74</v>
      </c>
      <c r="L772" s="2" t="s">
        <v>74</v>
      </c>
      <c r="M772" s="2" t="s">
        <v>74</v>
      </c>
      <c r="N772" s="2" t="s">
        <v>74</v>
      </c>
      <c r="O772" s="2" t="s">
        <v>74</v>
      </c>
      <c r="P772" s="2" t="s">
        <v>74</v>
      </c>
      <c r="Q772" s="2" t="s">
        <v>74</v>
      </c>
      <c r="R772" s="2" t="s">
        <v>74</v>
      </c>
      <c r="S772" s="2" t="s">
        <v>74</v>
      </c>
      <c r="T772" s="2" t="s">
        <v>74</v>
      </c>
      <c r="U772" s="2" t="s">
        <v>74</v>
      </c>
      <c r="V772" s="5" t="s">
        <v>5358</v>
      </c>
      <c r="W772" s="2" t="s">
        <v>74</v>
      </c>
      <c r="X772" s="2" t="s">
        <v>74</v>
      </c>
      <c r="Y772" s="2" t="s">
        <v>74</v>
      </c>
      <c r="Z772" s="2" t="s">
        <v>74</v>
      </c>
      <c r="AA772" s="2" t="s">
        <v>74</v>
      </c>
      <c r="AB772" s="2" t="s">
        <v>74</v>
      </c>
      <c r="AC772" s="2" t="s">
        <v>74</v>
      </c>
      <c r="AD772" s="2" t="s">
        <v>74</v>
      </c>
      <c r="AE772" s="2" t="s">
        <v>74</v>
      </c>
      <c r="AF772" s="2" t="s">
        <v>74</v>
      </c>
      <c r="AG772" s="2" t="s">
        <v>74</v>
      </c>
      <c r="AH772" s="2" t="s">
        <v>74</v>
      </c>
      <c r="AI772" s="2" t="s">
        <v>74</v>
      </c>
      <c r="AJ772" s="2" t="s">
        <v>74</v>
      </c>
      <c r="AK772" s="2" t="s">
        <v>74</v>
      </c>
      <c r="AL772" s="2" t="s">
        <v>74</v>
      </c>
      <c r="AM772" s="2" t="s">
        <v>74</v>
      </c>
      <c r="AN772" s="2" t="s">
        <v>74</v>
      </c>
      <c r="AO772" s="2" t="s">
        <v>5359</v>
      </c>
      <c r="AP772" s="2" t="s">
        <v>5360</v>
      </c>
      <c r="AQ772" s="2" t="s">
        <v>74</v>
      </c>
      <c r="AR772" s="2" t="s">
        <v>74</v>
      </c>
      <c r="AS772" s="2" t="s">
        <v>74</v>
      </c>
      <c r="AT772" s="2" t="s">
        <v>74</v>
      </c>
      <c r="AU772" s="2">
        <v>2001</v>
      </c>
      <c r="AV772" s="2">
        <v>16</v>
      </c>
      <c r="AW772" s="2" t="s">
        <v>548</v>
      </c>
      <c r="AX772" s="2" t="s">
        <v>74</v>
      </c>
      <c r="AY772" s="2" t="s">
        <v>74</v>
      </c>
      <c r="AZ772" s="2" t="s">
        <v>74</v>
      </c>
      <c r="BA772" s="2" t="s">
        <v>74</v>
      </c>
      <c r="BB772" s="2">
        <v>13</v>
      </c>
      <c r="BC772" s="2">
        <v>20</v>
      </c>
      <c r="BD772" s="2" t="s">
        <v>74</v>
      </c>
      <c r="BE772" s="2" t="s">
        <v>74</v>
      </c>
      <c r="BF772" s="2" t="s">
        <v>74</v>
      </c>
      <c r="BG772" s="2" t="s">
        <v>74</v>
      </c>
      <c r="BH772" s="2" t="s">
        <v>74</v>
      </c>
      <c r="BI772" s="2" t="s">
        <v>74</v>
      </c>
      <c r="BJ772" s="2" t="s">
        <v>74</v>
      </c>
      <c r="BK772" s="2" t="s">
        <v>74</v>
      </c>
      <c r="BL772" s="2" t="s">
        <v>74</v>
      </c>
      <c r="BM772" s="2" t="s">
        <v>74</v>
      </c>
      <c r="BN772" s="2" t="s">
        <v>74</v>
      </c>
      <c r="BO772" s="2" t="s">
        <v>74</v>
      </c>
      <c r="BP772" s="2" t="s">
        <v>74</v>
      </c>
      <c r="BQ772" s="2" t="s">
        <v>74</v>
      </c>
      <c r="BR772" s="2" t="s">
        <v>74</v>
      </c>
      <c r="BS772" s="2" t="s">
        <v>5361</v>
      </c>
      <c r="BT772" s="2" t="str">
        <f>HYPERLINK("https%3A%2F%2Fwww.webofscience.com%2Fwos%2Fwoscc%2Ffull-record%2FWOS:000180542900002","View Full Record in Web of Science")</f>
        <v>View Full Record in Web of Science</v>
      </c>
    </row>
    <row r="773" spans="1:72" s="2" customFormat="1" x14ac:dyDescent="0.4">
      <c r="A773" s="2" t="s">
        <v>72</v>
      </c>
      <c r="B773" s="2" t="s">
        <v>5969</v>
      </c>
      <c r="C773" s="2" t="s">
        <v>74</v>
      </c>
      <c r="D773" s="2" t="s">
        <v>74</v>
      </c>
      <c r="E773" s="2" t="s">
        <v>74</v>
      </c>
      <c r="F773" s="2" t="s">
        <v>5970</v>
      </c>
      <c r="G773" s="2" t="s">
        <v>74</v>
      </c>
      <c r="H773" s="2" t="s">
        <v>74</v>
      </c>
      <c r="I773" s="2" t="s">
        <v>5971</v>
      </c>
      <c r="J773" s="2" t="s">
        <v>5972</v>
      </c>
      <c r="K773" s="2" t="s">
        <v>74</v>
      </c>
      <c r="L773" s="2" t="s">
        <v>74</v>
      </c>
      <c r="M773" s="2" t="s">
        <v>74</v>
      </c>
      <c r="N773" s="2" t="s">
        <v>74</v>
      </c>
      <c r="O773" s="2" t="s">
        <v>74</v>
      </c>
      <c r="P773" s="2" t="s">
        <v>74</v>
      </c>
      <c r="Q773" s="2" t="s">
        <v>74</v>
      </c>
      <c r="R773" s="2" t="s">
        <v>74</v>
      </c>
      <c r="S773" s="2" t="s">
        <v>74</v>
      </c>
      <c r="T773" s="2" t="s">
        <v>74</v>
      </c>
      <c r="U773" s="2" t="s">
        <v>74</v>
      </c>
      <c r="V773" s="5" t="s">
        <v>5973</v>
      </c>
      <c r="W773" s="2" t="s">
        <v>74</v>
      </c>
      <c r="X773" s="2" t="s">
        <v>74</v>
      </c>
      <c r="Y773" s="2" t="s">
        <v>74</v>
      </c>
      <c r="Z773" s="2" t="s">
        <v>74</v>
      </c>
      <c r="AA773" s="2" t="s">
        <v>74</v>
      </c>
      <c r="AB773" s="2" t="s">
        <v>5974</v>
      </c>
      <c r="AC773" s="2" t="s">
        <v>74</v>
      </c>
      <c r="AD773" s="2" t="s">
        <v>74</v>
      </c>
      <c r="AE773" s="2" t="s">
        <v>74</v>
      </c>
      <c r="AF773" s="2" t="s">
        <v>74</v>
      </c>
      <c r="AG773" s="2" t="s">
        <v>74</v>
      </c>
      <c r="AH773" s="2" t="s">
        <v>74</v>
      </c>
      <c r="AI773" s="2" t="s">
        <v>74</v>
      </c>
      <c r="AJ773" s="2" t="s">
        <v>74</v>
      </c>
      <c r="AK773" s="2" t="s">
        <v>74</v>
      </c>
      <c r="AL773" s="2" t="s">
        <v>74</v>
      </c>
      <c r="AM773" s="2" t="s">
        <v>74</v>
      </c>
      <c r="AN773" s="2" t="s">
        <v>74</v>
      </c>
      <c r="AO773" s="2" t="s">
        <v>5975</v>
      </c>
      <c r="AP773" s="2" t="s">
        <v>74</v>
      </c>
      <c r="AQ773" s="2" t="s">
        <v>74</v>
      </c>
      <c r="AR773" s="2" t="s">
        <v>74</v>
      </c>
      <c r="AS773" s="2" t="s">
        <v>74</v>
      </c>
      <c r="AT773" s="2" t="s">
        <v>74</v>
      </c>
      <c r="AU773" s="2">
        <v>2017</v>
      </c>
      <c r="AV773" s="2">
        <v>93</v>
      </c>
      <c r="AW773" s="2">
        <v>1</v>
      </c>
      <c r="AX773" s="2" t="s">
        <v>74</v>
      </c>
      <c r="AY773" s="2" t="s">
        <v>74</v>
      </c>
      <c r="AZ773" s="2" t="s">
        <v>74</v>
      </c>
      <c r="BA773" s="2" t="s">
        <v>74</v>
      </c>
      <c r="BB773" s="2">
        <v>95</v>
      </c>
      <c r="BC773" s="2">
        <v>104</v>
      </c>
      <c r="BD773" s="2" t="s">
        <v>74</v>
      </c>
      <c r="BE773" s="2" t="s">
        <v>5976</v>
      </c>
      <c r="BF773" s="2" t="str">
        <f>HYPERLINK("http://dx.doi.org/10.3897/zse.93.10794","http://dx.doi.org/10.3897/zse.93.10794")</f>
        <v>http://dx.doi.org/10.3897/zse.93.10794</v>
      </c>
      <c r="BG773" s="2" t="s">
        <v>74</v>
      </c>
      <c r="BH773" s="2" t="s">
        <v>74</v>
      </c>
      <c r="BI773" s="2" t="s">
        <v>74</v>
      </c>
      <c r="BJ773" s="2" t="s">
        <v>74</v>
      </c>
      <c r="BK773" s="2" t="s">
        <v>74</v>
      </c>
      <c r="BL773" s="2" t="s">
        <v>74</v>
      </c>
      <c r="BM773" s="2" t="s">
        <v>74</v>
      </c>
      <c r="BN773" s="2" t="s">
        <v>74</v>
      </c>
      <c r="BO773" s="2" t="s">
        <v>74</v>
      </c>
      <c r="BP773" s="2" t="s">
        <v>74</v>
      </c>
      <c r="BQ773" s="2" t="s">
        <v>74</v>
      </c>
      <c r="BR773" s="2" t="s">
        <v>74</v>
      </c>
      <c r="BS773" s="2" t="s">
        <v>5977</v>
      </c>
      <c r="BT773" s="2" t="str">
        <f>HYPERLINK("https%3A%2F%2Fwww.webofscience.com%2Fwos%2Fwoscc%2Ffull-record%2FWOS:000393302300005","View Full Record in Web of Science")</f>
        <v>View Full Record in Web of Science</v>
      </c>
    </row>
    <row r="774" spans="1:72" s="2" customFormat="1" x14ac:dyDescent="0.4">
      <c r="A774" s="2" t="s">
        <v>72</v>
      </c>
      <c r="B774" s="2" t="s">
        <v>4909</v>
      </c>
      <c r="C774" s="2" t="s">
        <v>74</v>
      </c>
      <c r="D774" s="2" t="s">
        <v>74</v>
      </c>
      <c r="E774" s="2" t="s">
        <v>74</v>
      </c>
      <c r="F774" s="2" t="s">
        <v>4910</v>
      </c>
      <c r="G774" s="2" t="s">
        <v>74</v>
      </c>
      <c r="H774" s="2" t="s">
        <v>74</v>
      </c>
      <c r="I774" s="2" t="s">
        <v>4911</v>
      </c>
      <c r="J774" s="2" t="s">
        <v>1656</v>
      </c>
      <c r="K774" s="2" t="s">
        <v>74</v>
      </c>
      <c r="L774" s="2" t="s">
        <v>74</v>
      </c>
      <c r="M774" s="2" t="s">
        <v>74</v>
      </c>
      <c r="N774" s="2" t="s">
        <v>74</v>
      </c>
      <c r="O774" s="2" t="s">
        <v>74</v>
      </c>
      <c r="P774" s="2" t="s">
        <v>74</v>
      </c>
      <c r="Q774" s="2" t="s">
        <v>74</v>
      </c>
      <c r="R774" s="2" t="s">
        <v>74</v>
      </c>
      <c r="S774" s="2" t="s">
        <v>74</v>
      </c>
      <c r="T774" s="2" t="s">
        <v>74</v>
      </c>
      <c r="U774" s="2" t="s">
        <v>74</v>
      </c>
      <c r="V774" s="5" t="s">
        <v>4912</v>
      </c>
      <c r="W774" s="2" t="s">
        <v>74</v>
      </c>
      <c r="X774" s="2" t="s">
        <v>74</v>
      </c>
      <c r="Y774" s="2" t="s">
        <v>74</v>
      </c>
      <c r="Z774" s="2" t="s">
        <v>74</v>
      </c>
      <c r="AA774" s="2" t="s">
        <v>74</v>
      </c>
      <c r="AB774" s="2" t="s">
        <v>74</v>
      </c>
      <c r="AC774" s="2" t="s">
        <v>74</v>
      </c>
      <c r="AD774" s="2" t="s">
        <v>74</v>
      </c>
      <c r="AE774" s="2" t="s">
        <v>74</v>
      </c>
      <c r="AF774" s="2" t="s">
        <v>74</v>
      </c>
      <c r="AG774" s="2" t="s">
        <v>74</v>
      </c>
      <c r="AH774" s="2" t="s">
        <v>74</v>
      </c>
      <c r="AI774" s="2" t="s">
        <v>74</v>
      </c>
      <c r="AJ774" s="2" t="s">
        <v>74</v>
      </c>
      <c r="AK774" s="2" t="s">
        <v>74</v>
      </c>
      <c r="AL774" s="2" t="s">
        <v>74</v>
      </c>
      <c r="AM774" s="2" t="s">
        <v>74</v>
      </c>
      <c r="AN774" s="2" t="s">
        <v>74</v>
      </c>
      <c r="AO774" s="2" t="s">
        <v>1658</v>
      </c>
      <c r="AP774" s="2" t="s">
        <v>1659</v>
      </c>
      <c r="AQ774" s="2" t="s">
        <v>74</v>
      </c>
      <c r="AR774" s="2" t="s">
        <v>74</v>
      </c>
      <c r="AS774" s="2" t="s">
        <v>74</v>
      </c>
      <c r="AT774" s="2" t="s">
        <v>4913</v>
      </c>
      <c r="AU774" s="2">
        <v>2008</v>
      </c>
      <c r="AV774" s="2" t="s">
        <v>74</v>
      </c>
      <c r="AW774" s="2">
        <v>1703</v>
      </c>
      <c r="AX774" s="2" t="s">
        <v>74</v>
      </c>
      <c r="AY774" s="2" t="s">
        <v>74</v>
      </c>
      <c r="AZ774" s="2" t="s">
        <v>74</v>
      </c>
      <c r="BA774" s="2" t="s">
        <v>74</v>
      </c>
      <c r="BB774" s="2">
        <v>1</v>
      </c>
      <c r="BC774" s="2">
        <v>24</v>
      </c>
      <c r="BD774" s="2" t="s">
        <v>74</v>
      </c>
      <c r="BE774" s="2" t="s">
        <v>74</v>
      </c>
      <c r="BF774" s="2" t="s">
        <v>74</v>
      </c>
      <c r="BG774" s="2" t="s">
        <v>74</v>
      </c>
      <c r="BH774" s="2" t="s">
        <v>74</v>
      </c>
      <c r="BI774" s="2" t="s">
        <v>74</v>
      </c>
      <c r="BJ774" s="2" t="s">
        <v>74</v>
      </c>
      <c r="BK774" s="2" t="s">
        <v>74</v>
      </c>
      <c r="BL774" s="2" t="s">
        <v>74</v>
      </c>
      <c r="BM774" s="2" t="s">
        <v>74</v>
      </c>
      <c r="BN774" s="2" t="s">
        <v>74</v>
      </c>
      <c r="BO774" s="2" t="s">
        <v>74</v>
      </c>
      <c r="BP774" s="2" t="s">
        <v>74</v>
      </c>
      <c r="BQ774" s="2" t="s">
        <v>74</v>
      </c>
      <c r="BR774" s="2" t="s">
        <v>74</v>
      </c>
      <c r="BS774" s="2" t="s">
        <v>4914</v>
      </c>
      <c r="BT774" s="2" t="str">
        <f>HYPERLINK("https%3A%2F%2Fwww.webofscience.com%2Fwos%2Fwoscc%2Ffull-record%2FWOS:000253163600001","View Full Record in Web of Science")</f>
        <v>View Full Record in Web of Science</v>
      </c>
    </row>
    <row r="775" spans="1:72" s="2" customFormat="1" x14ac:dyDescent="0.4">
      <c r="A775" s="2" t="s">
        <v>72</v>
      </c>
      <c r="B775" s="2" t="s">
        <v>811</v>
      </c>
      <c r="C775" s="2" t="s">
        <v>74</v>
      </c>
      <c r="D775" s="2" t="s">
        <v>74</v>
      </c>
      <c r="E775" s="2" t="s">
        <v>74</v>
      </c>
      <c r="F775" s="2" t="s">
        <v>812</v>
      </c>
      <c r="G775" s="2" t="s">
        <v>74</v>
      </c>
      <c r="H775" s="2" t="s">
        <v>74</v>
      </c>
      <c r="I775" s="2" t="s">
        <v>813</v>
      </c>
      <c r="J775" s="2" t="s">
        <v>814</v>
      </c>
      <c r="K775" s="2" t="s">
        <v>74</v>
      </c>
      <c r="L775" s="2" t="s">
        <v>74</v>
      </c>
      <c r="M775" s="2" t="s">
        <v>74</v>
      </c>
      <c r="N775" s="2" t="s">
        <v>74</v>
      </c>
      <c r="O775" s="2" t="s">
        <v>74</v>
      </c>
      <c r="P775" s="2" t="s">
        <v>74</v>
      </c>
      <c r="Q775" s="2" t="s">
        <v>74</v>
      </c>
      <c r="R775" s="2" t="s">
        <v>74</v>
      </c>
      <c r="S775" s="2" t="s">
        <v>74</v>
      </c>
      <c r="T775" s="2" t="s">
        <v>74</v>
      </c>
      <c r="U775" s="2" t="s">
        <v>74</v>
      </c>
      <c r="V775" s="5" t="s">
        <v>815</v>
      </c>
      <c r="W775" s="2" t="s">
        <v>74</v>
      </c>
      <c r="X775" s="2" t="s">
        <v>74</v>
      </c>
      <c r="Y775" s="2" t="s">
        <v>74</v>
      </c>
      <c r="Z775" s="2" t="s">
        <v>74</v>
      </c>
      <c r="AA775" s="2" t="s">
        <v>816</v>
      </c>
      <c r="AB775" s="2" t="s">
        <v>817</v>
      </c>
      <c r="AC775" s="2" t="s">
        <v>74</v>
      </c>
      <c r="AD775" s="2" t="s">
        <v>74</v>
      </c>
      <c r="AE775" s="2" t="s">
        <v>74</v>
      </c>
      <c r="AF775" s="2" t="s">
        <v>74</v>
      </c>
      <c r="AG775" s="2" t="s">
        <v>74</v>
      </c>
      <c r="AH775" s="2" t="s">
        <v>74</v>
      </c>
      <c r="AI775" s="2" t="s">
        <v>74</v>
      </c>
      <c r="AJ775" s="2" t="s">
        <v>74</v>
      </c>
      <c r="AK775" s="2" t="s">
        <v>74</v>
      </c>
      <c r="AL775" s="2" t="s">
        <v>74</v>
      </c>
      <c r="AM775" s="2" t="s">
        <v>74</v>
      </c>
      <c r="AN775" s="2" t="s">
        <v>74</v>
      </c>
      <c r="AO775" s="2" t="s">
        <v>818</v>
      </c>
      <c r="AP775" s="2" t="s">
        <v>74</v>
      </c>
      <c r="AQ775" s="2" t="s">
        <v>74</v>
      </c>
      <c r="AR775" s="2" t="s">
        <v>74</v>
      </c>
      <c r="AS775" s="2" t="s">
        <v>74</v>
      </c>
      <c r="AT775" s="2" t="s">
        <v>305</v>
      </c>
      <c r="AU775" s="2">
        <v>2011</v>
      </c>
      <c r="AV775" s="2">
        <v>114</v>
      </c>
      <c r="AW775" s="2">
        <v>6</v>
      </c>
      <c r="AX775" s="2" t="s">
        <v>74</v>
      </c>
      <c r="AY775" s="2" t="s">
        <v>74</v>
      </c>
      <c r="AZ775" s="2" t="s">
        <v>74</v>
      </c>
      <c r="BA775" s="2" t="s">
        <v>74</v>
      </c>
      <c r="BB775" s="2">
        <v>335</v>
      </c>
      <c r="BC775" s="2">
        <v>339</v>
      </c>
      <c r="BD775" s="2" t="s">
        <v>74</v>
      </c>
      <c r="BE775" s="2" t="s">
        <v>819</v>
      </c>
      <c r="BF775" s="2" t="str">
        <f>HYPERLINK("http://dx.doi.org/10.1016/j.zool.2011.07.001","http://dx.doi.org/10.1016/j.zool.2011.07.001")</f>
        <v>http://dx.doi.org/10.1016/j.zool.2011.07.001</v>
      </c>
      <c r="BG775" s="2" t="s">
        <v>74</v>
      </c>
      <c r="BH775" s="2" t="s">
        <v>74</v>
      </c>
      <c r="BI775" s="2" t="s">
        <v>74</v>
      </c>
      <c r="BJ775" s="2" t="s">
        <v>74</v>
      </c>
      <c r="BK775" s="2" t="s">
        <v>74</v>
      </c>
      <c r="BL775" s="2" t="s">
        <v>74</v>
      </c>
      <c r="BM775" s="2" t="s">
        <v>74</v>
      </c>
      <c r="BN775" s="2">
        <v>21975142</v>
      </c>
      <c r="BO775" s="2" t="s">
        <v>74</v>
      </c>
      <c r="BP775" s="2" t="s">
        <v>74</v>
      </c>
      <c r="BQ775" s="2" t="s">
        <v>74</v>
      </c>
      <c r="BR775" s="2" t="s">
        <v>74</v>
      </c>
      <c r="BS775" s="2" t="s">
        <v>820</v>
      </c>
      <c r="BT775" s="2" t="str">
        <f>HYPERLINK("https%3A%2F%2Fwww.webofscience.com%2Fwos%2Fwoscc%2Ffull-record%2FWOS:000297909600003","View Full Record in Web of Science")</f>
        <v>View Full Record in Web of Science</v>
      </c>
    </row>
    <row r="776" spans="1:72" s="2" customFormat="1" x14ac:dyDescent="0.4">
      <c r="A776" s="2" t="s">
        <v>72</v>
      </c>
      <c r="B776" s="2" t="s">
        <v>5878</v>
      </c>
      <c r="C776" s="2" t="s">
        <v>74</v>
      </c>
      <c r="D776" s="2" t="s">
        <v>74</v>
      </c>
      <c r="E776" s="2" t="s">
        <v>74</v>
      </c>
      <c r="F776" s="2" t="s">
        <v>5879</v>
      </c>
      <c r="G776" s="2" t="s">
        <v>74</v>
      </c>
      <c r="H776" s="2" t="s">
        <v>74</v>
      </c>
      <c r="I776" s="2" t="s">
        <v>5880</v>
      </c>
      <c r="J776" s="2" t="s">
        <v>5881</v>
      </c>
      <c r="K776" s="2" t="s">
        <v>74</v>
      </c>
      <c r="L776" s="2" t="s">
        <v>74</v>
      </c>
      <c r="M776" s="2" t="s">
        <v>74</v>
      </c>
      <c r="N776" s="2" t="s">
        <v>74</v>
      </c>
      <c r="O776" s="2" t="s">
        <v>74</v>
      </c>
      <c r="P776" s="2" t="s">
        <v>74</v>
      </c>
      <c r="Q776" s="2" t="s">
        <v>74</v>
      </c>
      <c r="R776" s="2" t="s">
        <v>74</v>
      </c>
      <c r="S776" s="2" t="s">
        <v>74</v>
      </c>
      <c r="T776" s="2" t="s">
        <v>74</v>
      </c>
      <c r="U776" s="2" t="s">
        <v>74</v>
      </c>
      <c r="V776" s="5" t="s">
        <v>5882</v>
      </c>
      <c r="W776" s="2" t="s">
        <v>74</v>
      </c>
      <c r="X776" s="2" t="s">
        <v>74</v>
      </c>
      <c r="Y776" s="2" t="s">
        <v>74</v>
      </c>
      <c r="Z776" s="2" t="s">
        <v>74</v>
      </c>
      <c r="AA776" s="2" t="s">
        <v>5883</v>
      </c>
      <c r="AB776" s="2" t="s">
        <v>5884</v>
      </c>
      <c r="AC776" s="2" t="s">
        <v>74</v>
      </c>
      <c r="AD776" s="2" t="s">
        <v>74</v>
      </c>
      <c r="AE776" s="2" t="s">
        <v>74</v>
      </c>
      <c r="AF776" s="2" t="s">
        <v>74</v>
      </c>
      <c r="AG776" s="2" t="s">
        <v>74</v>
      </c>
      <c r="AH776" s="2" t="s">
        <v>74</v>
      </c>
      <c r="AI776" s="2" t="s">
        <v>74</v>
      </c>
      <c r="AJ776" s="2" t="s">
        <v>74</v>
      </c>
      <c r="AK776" s="2" t="s">
        <v>74</v>
      </c>
      <c r="AL776" s="2" t="s">
        <v>74</v>
      </c>
      <c r="AM776" s="2" t="s">
        <v>74</v>
      </c>
      <c r="AN776" s="2" t="s">
        <v>74</v>
      </c>
      <c r="AO776" s="2" t="s">
        <v>5885</v>
      </c>
      <c r="AP776" s="2" t="s">
        <v>5886</v>
      </c>
      <c r="AQ776" s="2" t="s">
        <v>74</v>
      </c>
      <c r="AR776" s="2" t="s">
        <v>74</v>
      </c>
      <c r="AS776" s="2" t="s">
        <v>74</v>
      </c>
      <c r="AT776" s="2" t="s">
        <v>5887</v>
      </c>
      <c r="AU776" s="2">
        <v>2015</v>
      </c>
      <c r="AV776" s="2">
        <v>82</v>
      </c>
      <c r="AW776" s="2">
        <v>3</v>
      </c>
      <c r="AX776" s="2" t="s">
        <v>74</v>
      </c>
      <c r="AY776" s="2" t="s">
        <v>74</v>
      </c>
      <c r="AZ776" s="2" t="s">
        <v>74</v>
      </c>
      <c r="BA776" s="2" t="s">
        <v>74</v>
      </c>
      <c r="BB776" s="2">
        <v>398</v>
      </c>
      <c r="BC776" s="2">
        <v>403</v>
      </c>
      <c r="BD776" s="2" t="s">
        <v>74</v>
      </c>
      <c r="BE776" s="2" t="s">
        <v>5888</v>
      </c>
      <c r="BF776" s="2" t="str">
        <f>HYPERLINK("http://dx.doi.org/10.1080/11250003.2015.1021391","http://dx.doi.org/10.1080/11250003.2015.1021391")</f>
        <v>http://dx.doi.org/10.1080/11250003.2015.1021391</v>
      </c>
      <c r="BG776" s="2" t="s">
        <v>74</v>
      </c>
      <c r="BH776" s="2" t="s">
        <v>74</v>
      </c>
      <c r="BI776" s="2" t="s">
        <v>74</v>
      </c>
      <c r="BJ776" s="2" t="s">
        <v>74</v>
      </c>
      <c r="BK776" s="2" t="s">
        <v>74</v>
      </c>
      <c r="BL776" s="2" t="s">
        <v>74</v>
      </c>
      <c r="BM776" s="2" t="s">
        <v>74</v>
      </c>
      <c r="BN776" s="2" t="s">
        <v>74</v>
      </c>
      <c r="BO776" s="2" t="s">
        <v>74</v>
      </c>
      <c r="BP776" s="2" t="s">
        <v>74</v>
      </c>
      <c r="BQ776" s="2" t="s">
        <v>74</v>
      </c>
      <c r="BR776" s="2" t="s">
        <v>74</v>
      </c>
      <c r="BS776" s="2" t="s">
        <v>5889</v>
      </c>
      <c r="BT776" s="2" t="str">
        <f>HYPERLINK("https%3A%2F%2Fwww.webofscience.com%2Fwos%2Fwoscc%2Ffull-record%2FWOS:000359742100011","View Full Record in Web of Science")</f>
        <v>View Full Record in Web of Science</v>
      </c>
    </row>
    <row r="777" spans="1:72" s="2" customFormat="1" x14ac:dyDescent="0.4">
      <c r="A777" s="2" t="s">
        <v>72</v>
      </c>
      <c r="B777" s="2" t="s">
        <v>296</v>
      </c>
      <c r="C777" s="2" t="s">
        <v>74</v>
      </c>
      <c r="D777" s="2" t="s">
        <v>74</v>
      </c>
      <c r="E777" s="2" t="s">
        <v>74</v>
      </c>
      <c r="F777" s="2" t="s">
        <v>297</v>
      </c>
      <c r="G777" s="2" t="s">
        <v>74</v>
      </c>
      <c r="H777" s="2" t="s">
        <v>74</v>
      </c>
      <c r="I777" s="2" t="s">
        <v>298</v>
      </c>
      <c r="J777" s="2" t="s">
        <v>299</v>
      </c>
      <c r="K777" s="2" t="s">
        <v>74</v>
      </c>
      <c r="L777" s="2" t="s">
        <v>74</v>
      </c>
      <c r="M777" s="2" t="s">
        <v>74</v>
      </c>
      <c r="N777" s="2" t="s">
        <v>74</v>
      </c>
      <c r="O777" s="2" t="s">
        <v>74</v>
      </c>
      <c r="P777" s="2" t="s">
        <v>74</v>
      </c>
      <c r="Q777" s="2" t="s">
        <v>74</v>
      </c>
      <c r="R777" s="2" t="s">
        <v>74</v>
      </c>
      <c r="S777" s="2" t="s">
        <v>74</v>
      </c>
      <c r="T777" s="2" t="s">
        <v>74</v>
      </c>
      <c r="U777" s="2" t="s">
        <v>74</v>
      </c>
      <c r="V777" s="5" t="s">
        <v>300</v>
      </c>
      <c r="W777" s="2" t="s">
        <v>74</v>
      </c>
      <c r="X777" s="2" t="s">
        <v>74</v>
      </c>
      <c r="Y777" s="2" t="s">
        <v>74</v>
      </c>
      <c r="Z777" s="2" t="s">
        <v>74</v>
      </c>
      <c r="AA777" s="2" t="s">
        <v>301</v>
      </c>
      <c r="AB777" s="2" t="s">
        <v>302</v>
      </c>
      <c r="AC777" s="2" t="s">
        <v>74</v>
      </c>
      <c r="AD777" s="2" t="s">
        <v>74</v>
      </c>
      <c r="AE777" s="2" t="s">
        <v>74</v>
      </c>
      <c r="AF777" s="2" t="s">
        <v>74</v>
      </c>
      <c r="AG777" s="2" t="s">
        <v>74</v>
      </c>
      <c r="AH777" s="2" t="s">
        <v>74</v>
      </c>
      <c r="AI777" s="2" t="s">
        <v>74</v>
      </c>
      <c r="AJ777" s="2" t="s">
        <v>74</v>
      </c>
      <c r="AK777" s="2" t="s">
        <v>74</v>
      </c>
      <c r="AL777" s="2" t="s">
        <v>74</v>
      </c>
      <c r="AM777" s="2" t="s">
        <v>74</v>
      </c>
      <c r="AN777" s="2" t="s">
        <v>74</v>
      </c>
      <c r="AO777" s="2" t="s">
        <v>303</v>
      </c>
      <c r="AP777" s="2" t="s">
        <v>304</v>
      </c>
      <c r="AQ777" s="2" t="s">
        <v>74</v>
      </c>
      <c r="AR777" s="2" t="s">
        <v>74</v>
      </c>
      <c r="AS777" s="2" t="s">
        <v>74</v>
      </c>
      <c r="AT777" s="2" t="s">
        <v>305</v>
      </c>
      <c r="AU777" s="2">
        <v>2022</v>
      </c>
      <c r="AV777" s="2">
        <v>53</v>
      </c>
      <c r="AW777" s="2">
        <v>17</v>
      </c>
      <c r="AX777" s="2" t="s">
        <v>74</v>
      </c>
      <c r="AY777" s="2" t="s">
        <v>74</v>
      </c>
      <c r="AZ777" s="2" t="s">
        <v>74</v>
      </c>
      <c r="BA777" s="2" t="s">
        <v>74</v>
      </c>
      <c r="BB777" s="2">
        <v>6407</v>
      </c>
      <c r="BC777" s="2">
        <v>6413</v>
      </c>
      <c r="BD777" s="2" t="s">
        <v>74</v>
      </c>
      <c r="BE777" s="2" t="s">
        <v>306</v>
      </c>
      <c r="BF777" s="2" t="str">
        <f>HYPERLINK("http://dx.doi.org/10.1111/are.16083","http://dx.doi.org/10.1111/are.16083")</f>
        <v>http://dx.doi.org/10.1111/are.16083</v>
      </c>
      <c r="BG777" s="2" t="s">
        <v>74</v>
      </c>
      <c r="BH777" s="2" t="s">
        <v>307</v>
      </c>
      <c r="BI777" s="2" t="s">
        <v>74</v>
      </c>
      <c r="BJ777" s="2" t="s">
        <v>74</v>
      </c>
      <c r="BK777" s="2" t="s">
        <v>74</v>
      </c>
      <c r="BL777" s="2" t="s">
        <v>74</v>
      </c>
      <c r="BM777" s="2" t="s">
        <v>74</v>
      </c>
      <c r="BN777" s="2" t="s">
        <v>74</v>
      </c>
      <c r="BO777" s="2" t="s">
        <v>74</v>
      </c>
      <c r="BP777" s="2" t="s">
        <v>74</v>
      </c>
      <c r="BQ777" s="2" t="s">
        <v>74</v>
      </c>
      <c r="BR777" s="2" t="s">
        <v>74</v>
      </c>
      <c r="BS777" s="2" t="s">
        <v>308</v>
      </c>
      <c r="BT777" s="2" t="str">
        <f>HYPERLINK("https%3A%2F%2Fwww.webofscience.com%2Fwos%2Fwoscc%2Ffull-record%2FWOS:000847232100001","View Full Record in Web of Science")</f>
        <v>View Full Record in Web of Science</v>
      </c>
    </row>
    <row r="778" spans="1:72" s="1" customFormat="1" x14ac:dyDescent="0.4">
      <c r="A778" s="2" t="s">
        <v>72</v>
      </c>
      <c r="B778" s="2" t="s">
        <v>1606</v>
      </c>
      <c r="C778" s="2" t="s">
        <v>74</v>
      </c>
      <c r="D778" s="2" t="s">
        <v>74</v>
      </c>
      <c r="E778" s="2" t="s">
        <v>74</v>
      </c>
      <c r="F778" s="2" t="s">
        <v>1606</v>
      </c>
      <c r="G778" s="2" t="s">
        <v>74</v>
      </c>
      <c r="H778" s="2" t="s">
        <v>74</v>
      </c>
      <c r="I778" s="2" t="s">
        <v>1607</v>
      </c>
      <c r="J778" s="2" t="s">
        <v>1135</v>
      </c>
      <c r="K778" s="2" t="s">
        <v>74</v>
      </c>
      <c r="L778" s="2" t="s">
        <v>74</v>
      </c>
      <c r="M778" s="2" t="s">
        <v>74</v>
      </c>
      <c r="N778" s="2" t="s">
        <v>74</v>
      </c>
      <c r="O778" s="2" t="s">
        <v>74</v>
      </c>
      <c r="P778" s="2" t="s">
        <v>74</v>
      </c>
      <c r="Q778" s="2" t="s">
        <v>74</v>
      </c>
      <c r="R778" s="2" t="s">
        <v>74</v>
      </c>
      <c r="S778" s="2" t="s">
        <v>74</v>
      </c>
      <c r="T778" s="2" t="s">
        <v>74</v>
      </c>
      <c r="U778" s="2" t="s">
        <v>74</v>
      </c>
      <c r="V778" s="5" t="s">
        <v>1608</v>
      </c>
      <c r="W778" s="2" t="s">
        <v>74</v>
      </c>
      <c r="X778" s="2" t="s">
        <v>74</v>
      </c>
      <c r="Y778" s="2" t="s">
        <v>74</v>
      </c>
      <c r="Z778" s="2" t="s">
        <v>74</v>
      </c>
      <c r="AA778" s="2" t="s">
        <v>1609</v>
      </c>
      <c r="AB778" s="2" t="s">
        <v>1610</v>
      </c>
      <c r="AC778" s="2" t="s">
        <v>74</v>
      </c>
      <c r="AD778" s="2" t="s">
        <v>74</v>
      </c>
      <c r="AE778" s="2" t="s">
        <v>74</v>
      </c>
      <c r="AF778" s="2" t="s">
        <v>74</v>
      </c>
      <c r="AG778" s="2" t="s">
        <v>74</v>
      </c>
      <c r="AH778" s="2" t="s">
        <v>74</v>
      </c>
      <c r="AI778" s="2" t="s">
        <v>74</v>
      </c>
      <c r="AJ778" s="2" t="s">
        <v>74</v>
      </c>
      <c r="AK778" s="2" t="s">
        <v>74</v>
      </c>
      <c r="AL778" s="2" t="s">
        <v>74</v>
      </c>
      <c r="AM778" s="2" t="s">
        <v>74</v>
      </c>
      <c r="AN778" s="2" t="s">
        <v>74</v>
      </c>
      <c r="AO778" s="2" t="s">
        <v>1137</v>
      </c>
      <c r="AP778" s="2" t="s">
        <v>74</v>
      </c>
      <c r="AQ778" s="2" t="s">
        <v>74</v>
      </c>
      <c r="AR778" s="2" t="s">
        <v>74</v>
      </c>
      <c r="AS778" s="2" t="s">
        <v>74</v>
      </c>
      <c r="AT778" s="2" t="s">
        <v>1611</v>
      </c>
      <c r="AU778" s="2">
        <v>1992</v>
      </c>
      <c r="AV778" s="2">
        <v>23</v>
      </c>
      <c r="AW778" s="2">
        <v>1</v>
      </c>
      <c r="AX778" s="2" t="s">
        <v>74</v>
      </c>
      <c r="AY778" s="2" t="s">
        <v>74</v>
      </c>
      <c r="AZ778" s="2" t="s">
        <v>74</v>
      </c>
      <c r="BA778" s="2" t="s">
        <v>74</v>
      </c>
      <c r="BB778" s="2">
        <v>17</v>
      </c>
      <c r="BC778" s="2">
        <v>23</v>
      </c>
      <c r="BD778" s="2" t="s">
        <v>74</v>
      </c>
      <c r="BE778" s="2" t="s">
        <v>1612</v>
      </c>
      <c r="BF778" s="2" t="str">
        <f>HYPERLINK("http://dx.doi.org/10.2307/3676422","http://dx.doi.org/10.2307/3676422")</f>
        <v>http://dx.doi.org/10.2307/3676422</v>
      </c>
      <c r="BG778" s="2" t="s">
        <v>74</v>
      </c>
      <c r="BH778" s="2" t="s">
        <v>74</v>
      </c>
      <c r="BI778" s="2" t="s">
        <v>74</v>
      </c>
      <c r="BJ778" s="2" t="s">
        <v>74</v>
      </c>
      <c r="BK778" s="2" t="s">
        <v>74</v>
      </c>
      <c r="BL778" s="2" t="s">
        <v>74</v>
      </c>
      <c r="BM778" s="2" t="s">
        <v>74</v>
      </c>
      <c r="BN778" s="2" t="s">
        <v>74</v>
      </c>
      <c r="BO778" s="2" t="s">
        <v>74</v>
      </c>
      <c r="BP778" s="2" t="s">
        <v>74</v>
      </c>
      <c r="BQ778" s="2" t="s">
        <v>74</v>
      </c>
      <c r="BR778" s="2" t="s">
        <v>74</v>
      </c>
      <c r="BS778" s="2" t="s">
        <v>1613</v>
      </c>
      <c r="BT778" s="2" t="str">
        <f>HYPERLINK("https%3A%2F%2Fwww.webofscience.com%2Fwos%2Fwoscc%2Ffull-record%2FWOS:A1992HN98800004","View Full Record in Web of Science")</f>
        <v>View Full Record in Web of Science</v>
      </c>
    </row>
    <row r="779" spans="1:72" s="1" customFormat="1" x14ac:dyDescent="0.4">
      <c r="A779" s="2" t="s">
        <v>72</v>
      </c>
      <c r="B779" s="2" t="s">
        <v>8412</v>
      </c>
      <c r="C779" s="2" t="s">
        <v>74</v>
      </c>
      <c r="D779" s="2" t="s">
        <v>74</v>
      </c>
      <c r="E779" s="2" t="s">
        <v>74</v>
      </c>
      <c r="F779" s="2" t="s">
        <v>8413</v>
      </c>
      <c r="G779" s="2" t="s">
        <v>74</v>
      </c>
      <c r="H779" s="2" t="s">
        <v>74</v>
      </c>
      <c r="I779" s="2" t="s">
        <v>8414</v>
      </c>
      <c r="J779" s="2" t="s">
        <v>1656</v>
      </c>
      <c r="K779" s="2" t="s">
        <v>74</v>
      </c>
      <c r="L779" s="2" t="s">
        <v>74</v>
      </c>
      <c r="M779" s="2" t="s">
        <v>74</v>
      </c>
      <c r="N779" s="2" t="s">
        <v>74</v>
      </c>
      <c r="O779" s="2" t="s">
        <v>74</v>
      </c>
      <c r="P779" s="2" t="s">
        <v>74</v>
      </c>
      <c r="Q779" s="2" t="s">
        <v>74</v>
      </c>
      <c r="R779" s="2" t="s">
        <v>74</v>
      </c>
      <c r="S779" s="2" t="s">
        <v>74</v>
      </c>
      <c r="T779" s="2" t="s">
        <v>74</v>
      </c>
      <c r="U779" s="2" t="s">
        <v>74</v>
      </c>
      <c r="V779" s="5" t="s">
        <v>8415</v>
      </c>
      <c r="W779" s="2" t="s">
        <v>74</v>
      </c>
      <c r="X779" s="2" t="s">
        <v>74</v>
      </c>
      <c r="Y779" s="2" t="s">
        <v>74</v>
      </c>
      <c r="Z779" s="2" t="s">
        <v>74</v>
      </c>
      <c r="AA779" s="2" t="s">
        <v>8416</v>
      </c>
      <c r="AB779" s="2" t="s">
        <v>8417</v>
      </c>
      <c r="AC779" s="2" t="s">
        <v>74</v>
      </c>
      <c r="AD779" s="2" t="s">
        <v>74</v>
      </c>
      <c r="AE779" s="2" t="s">
        <v>74</v>
      </c>
      <c r="AF779" s="2" t="s">
        <v>74</v>
      </c>
      <c r="AG779" s="2" t="s">
        <v>74</v>
      </c>
      <c r="AH779" s="2" t="s">
        <v>74</v>
      </c>
      <c r="AI779" s="2" t="s">
        <v>74</v>
      </c>
      <c r="AJ779" s="2" t="s">
        <v>74</v>
      </c>
      <c r="AK779" s="2" t="s">
        <v>74</v>
      </c>
      <c r="AL779" s="2" t="s">
        <v>74</v>
      </c>
      <c r="AM779" s="2" t="s">
        <v>74</v>
      </c>
      <c r="AN779" s="2" t="s">
        <v>74</v>
      </c>
      <c r="AO779" s="2" t="s">
        <v>1658</v>
      </c>
      <c r="AP779" s="2" t="s">
        <v>1659</v>
      </c>
      <c r="AQ779" s="2" t="s">
        <v>74</v>
      </c>
      <c r="AR779" s="2" t="s">
        <v>74</v>
      </c>
      <c r="AS779" s="2" t="s">
        <v>74</v>
      </c>
      <c r="AT779" s="2" t="s">
        <v>8418</v>
      </c>
      <c r="AU779" s="2">
        <v>2023</v>
      </c>
      <c r="AV779" s="2">
        <v>5285</v>
      </c>
      <c r="AW779" s="2">
        <v>2</v>
      </c>
      <c r="AX779" s="2" t="s">
        <v>74</v>
      </c>
      <c r="AY779" s="2" t="s">
        <v>74</v>
      </c>
      <c r="AZ779" s="2" t="s">
        <v>74</v>
      </c>
      <c r="BA779" s="2" t="s">
        <v>74</v>
      </c>
      <c r="BB779" s="2">
        <v>201</v>
      </c>
      <c r="BC779" s="2">
        <v>251</v>
      </c>
      <c r="BD779" s="2" t="s">
        <v>74</v>
      </c>
      <c r="BE779" s="2" t="s">
        <v>8419</v>
      </c>
      <c r="BF779" s="2" t="str">
        <f>HYPERLINK("http://dx.doi.org/10.11646/zootaxa.5285.2.1","http://dx.doi.org/10.11646/zootaxa.5285.2.1")</f>
        <v>http://dx.doi.org/10.11646/zootaxa.5285.2.1</v>
      </c>
      <c r="BG779" s="2" t="s">
        <v>74</v>
      </c>
      <c r="BH779" s="2" t="s">
        <v>74</v>
      </c>
      <c r="BI779" s="2" t="s">
        <v>74</v>
      </c>
      <c r="BJ779" s="2" t="s">
        <v>74</v>
      </c>
      <c r="BK779" s="2" t="s">
        <v>74</v>
      </c>
      <c r="BL779" s="2" t="s">
        <v>74</v>
      </c>
      <c r="BM779" s="2" t="s">
        <v>74</v>
      </c>
      <c r="BN779" s="2">
        <v>37518708</v>
      </c>
      <c r="BO779" s="2" t="s">
        <v>74</v>
      </c>
      <c r="BP779" s="2" t="s">
        <v>74</v>
      </c>
      <c r="BQ779" s="2" t="s">
        <v>74</v>
      </c>
      <c r="BR779" s="2" t="s">
        <v>74</v>
      </c>
      <c r="BS779" s="2" t="s">
        <v>8420</v>
      </c>
      <c r="BT779" s="2" t="str">
        <f>HYPERLINK("https%3A%2F%2Fwww.webofscience.com%2Fwos%2Fwoscc%2Ffull-record%2FWOS:000996486900001","View Full Record in Web of Science")</f>
        <v>View Full Record in Web of Science</v>
      </c>
    </row>
    <row r="780" spans="1:72" s="2" customFormat="1" x14ac:dyDescent="0.4">
      <c r="A780" s="2" t="s">
        <v>72</v>
      </c>
      <c r="B780" s="2" t="s">
        <v>8716</v>
      </c>
      <c r="C780" s="2" t="s">
        <v>74</v>
      </c>
      <c r="D780" s="2" t="s">
        <v>74</v>
      </c>
      <c r="E780" s="2" t="s">
        <v>74</v>
      </c>
      <c r="F780" s="2" t="s">
        <v>8717</v>
      </c>
      <c r="G780" s="2" t="s">
        <v>74</v>
      </c>
      <c r="H780" s="2" t="s">
        <v>74</v>
      </c>
      <c r="I780" s="2" t="s">
        <v>8718</v>
      </c>
      <c r="J780" s="2" t="s">
        <v>1112</v>
      </c>
      <c r="K780" s="2" t="s">
        <v>74</v>
      </c>
      <c r="L780" s="2" t="s">
        <v>74</v>
      </c>
      <c r="M780" s="2" t="s">
        <v>74</v>
      </c>
      <c r="N780" s="2" t="s">
        <v>74</v>
      </c>
      <c r="O780" s="2" t="s">
        <v>74</v>
      </c>
      <c r="P780" s="2" t="s">
        <v>74</v>
      </c>
      <c r="Q780" s="2" t="s">
        <v>74</v>
      </c>
      <c r="R780" s="2" t="s">
        <v>74</v>
      </c>
      <c r="S780" s="2" t="s">
        <v>74</v>
      </c>
      <c r="T780" s="2" t="s">
        <v>74</v>
      </c>
      <c r="U780" s="2" t="s">
        <v>74</v>
      </c>
      <c r="V780" s="5" t="s">
        <v>8719</v>
      </c>
      <c r="W780" s="2" t="s">
        <v>74</v>
      </c>
      <c r="X780" s="2" t="s">
        <v>74</v>
      </c>
      <c r="Y780" s="2" t="s">
        <v>74</v>
      </c>
      <c r="Z780" s="2" t="s">
        <v>74</v>
      </c>
      <c r="AA780" s="2" t="s">
        <v>74</v>
      </c>
      <c r="AB780" s="2" t="s">
        <v>8720</v>
      </c>
      <c r="AC780" s="2" t="s">
        <v>74</v>
      </c>
      <c r="AD780" s="2" t="s">
        <v>74</v>
      </c>
      <c r="AE780" s="2" t="s">
        <v>74</v>
      </c>
      <c r="AF780" s="2" t="s">
        <v>74</v>
      </c>
      <c r="AG780" s="2" t="s">
        <v>74</v>
      </c>
      <c r="AH780" s="2" t="s">
        <v>74</v>
      </c>
      <c r="AI780" s="2" t="s">
        <v>74</v>
      </c>
      <c r="AJ780" s="2" t="s">
        <v>74</v>
      </c>
      <c r="AK780" s="2" t="s">
        <v>74</v>
      </c>
      <c r="AL780" s="2" t="s">
        <v>74</v>
      </c>
      <c r="AM780" s="2" t="s">
        <v>74</v>
      </c>
      <c r="AN780" s="2" t="s">
        <v>74</v>
      </c>
      <c r="AO780" s="2" t="s">
        <v>1114</v>
      </c>
      <c r="AP780" s="2" t="s">
        <v>1115</v>
      </c>
      <c r="AQ780" s="2" t="s">
        <v>74</v>
      </c>
      <c r="AR780" s="2" t="s">
        <v>74</v>
      </c>
      <c r="AS780" s="2" t="s">
        <v>74</v>
      </c>
      <c r="AT780" s="2" t="s">
        <v>255</v>
      </c>
      <c r="AU780" s="2">
        <v>2019</v>
      </c>
      <c r="AV780" s="2">
        <v>210</v>
      </c>
      <c r="AW780" s="2" t="s">
        <v>74</v>
      </c>
      <c r="AX780" s="2" t="s">
        <v>74</v>
      </c>
      <c r="AY780" s="2" t="s">
        <v>74</v>
      </c>
      <c r="AZ780" s="2" t="s">
        <v>74</v>
      </c>
      <c r="BA780" s="2" t="s">
        <v>74</v>
      </c>
      <c r="BB780" s="2">
        <v>73</v>
      </c>
      <c r="BC780" s="2">
        <v>80</v>
      </c>
      <c r="BD780" s="2" t="s">
        <v>74</v>
      </c>
      <c r="BE780" s="2" t="s">
        <v>8721</v>
      </c>
      <c r="BF780" s="2" t="str">
        <f>HYPERLINK("http://dx.doi.org/10.1016/j.applanim.2018.10.011","http://dx.doi.org/10.1016/j.applanim.2018.10.011")</f>
        <v>http://dx.doi.org/10.1016/j.applanim.2018.10.011</v>
      </c>
      <c r="BG780" s="2" t="s">
        <v>74</v>
      </c>
      <c r="BH780" s="2" t="s">
        <v>74</v>
      </c>
      <c r="BI780" s="2" t="s">
        <v>74</v>
      </c>
      <c r="BJ780" s="2" t="s">
        <v>74</v>
      </c>
      <c r="BK780" s="2" t="s">
        <v>74</v>
      </c>
      <c r="BL780" s="2" t="s">
        <v>74</v>
      </c>
      <c r="BM780" s="2" t="s">
        <v>74</v>
      </c>
      <c r="BN780" s="2" t="s">
        <v>74</v>
      </c>
      <c r="BO780" s="2" t="s">
        <v>74</v>
      </c>
      <c r="BP780" s="2" t="s">
        <v>74</v>
      </c>
      <c r="BQ780" s="2" t="s">
        <v>74</v>
      </c>
      <c r="BR780" s="2" t="s">
        <v>74</v>
      </c>
      <c r="BS780" s="2" t="s">
        <v>8722</v>
      </c>
      <c r="BT780" s="2" t="str">
        <f>HYPERLINK("https%3A%2F%2Fwww.webofscience.com%2Fwos%2Fwoscc%2Ffull-record%2FWOS:000457661700010","View Full Record in Web of Science")</f>
        <v>View Full Record in Web of Science</v>
      </c>
    </row>
    <row r="781" spans="1:72" s="2" customFormat="1" x14ac:dyDescent="0.4">
      <c r="A781" s="2" t="s">
        <v>72</v>
      </c>
      <c r="B781" s="2" t="s">
        <v>105</v>
      </c>
      <c r="C781" s="2" t="s">
        <v>74</v>
      </c>
      <c r="D781" s="2" t="s">
        <v>74</v>
      </c>
      <c r="E781" s="2" t="s">
        <v>74</v>
      </c>
      <c r="F781" s="2" t="s">
        <v>106</v>
      </c>
      <c r="G781" s="2" t="s">
        <v>74</v>
      </c>
      <c r="H781" s="2" t="s">
        <v>74</v>
      </c>
      <c r="I781" s="2" t="s">
        <v>107</v>
      </c>
      <c r="J781" s="2" t="s">
        <v>108</v>
      </c>
      <c r="K781" s="2" t="s">
        <v>74</v>
      </c>
      <c r="L781" s="2" t="s">
        <v>74</v>
      </c>
      <c r="M781" s="2" t="s">
        <v>74</v>
      </c>
      <c r="N781" s="2" t="s">
        <v>74</v>
      </c>
      <c r="O781" s="2" t="s">
        <v>74</v>
      </c>
      <c r="P781" s="2" t="s">
        <v>74</v>
      </c>
      <c r="Q781" s="2" t="s">
        <v>74</v>
      </c>
      <c r="R781" s="2" t="s">
        <v>74</v>
      </c>
      <c r="S781" s="2" t="s">
        <v>74</v>
      </c>
      <c r="T781" s="2" t="s">
        <v>74</v>
      </c>
      <c r="U781" s="2" t="s">
        <v>74</v>
      </c>
      <c r="V781" s="5" t="s">
        <v>109</v>
      </c>
      <c r="W781" s="2" t="s">
        <v>74</v>
      </c>
      <c r="X781" s="2" t="s">
        <v>74</v>
      </c>
      <c r="Y781" s="2" t="s">
        <v>74</v>
      </c>
      <c r="Z781" s="2" t="s">
        <v>74</v>
      </c>
      <c r="AA781" s="2" t="s">
        <v>74</v>
      </c>
      <c r="AB781" s="2" t="s">
        <v>110</v>
      </c>
      <c r="AC781" s="2" t="s">
        <v>74</v>
      </c>
      <c r="AD781" s="2" t="s">
        <v>74</v>
      </c>
      <c r="AE781" s="2" t="s">
        <v>74</v>
      </c>
      <c r="AF781" s="2" t="s">
        <v>74</v>
      </c>
      <c r="AG781" s="2" t="s">
        <v>74</v>
      </c>
      <c r="AH781" s="2" t="s">
        <v>74</v>
      </c>
      <c r="AI781" s="2" t="s">
        <v>74</v>
      </c>
      <c r="AJ781" s="2" t="s">
        <v>74</v>
      </c>
      <c r="AK781" s="2" t="s">
        <v>74</v>
      </c>
      <c r="AL781" s="2" t="s">
        <v>74</v>
      </c>
      <c r="AM781" s="2" t="s">
        <v>74</v>
      </c>
      <c r="AN781" s="2" t="s">
        <v>74</v>
      </c>
      <c r="AO781" s="2" t="s">
        <v>111</v>
      </c>
      <c r="AP781" s="2" t="s">
        <v>112</v>
      </c>
      <c r="AQ781" s="2" t="s">
        <v>74</v>
      </c>
      <c r="AR781" s="2" t="s">
        <v>74</v>
      </c>
      <c r="AS781" s="2" t="s">
        <v>74</v>
      </c>
      <c r="AT781" s="2" t="s">
        <v>113</v>
      </c>
      <c r="AU781" s="2">
        <v>2018</v>
      </c>
      <c r="AV781" s="2">
        <v>285</v>
      </c>
      <c r="AW781" s="2">
        <v>1884</v>
      </c>
      <c r="AX781" s="2" t="s">
        <v>74</v>
      </c>
      <c r="AY781" s="2" t="s">
        <v>74</v>
      </c>
      <c r="AZ781" s="2" t="s">
        <v>74</v>
      </c>
      <c r="BA781" s="2" t="s">
        <v>74</v>
      </c>
      <c r="BB781" s="2" t="s">
        <v>74</v>
      </c>
      <c r="BC781" s="2" t="s">
        <v>74</v>
      </c>
      <c r="BD781" s="2">
        <v>20181248</v>
      </c>
      <c r="BE781" s="2" t="s">
        <v>114</v>
      </c>
      <c r="BF781" s="2" t="str">
        <f>HYPERLINK("http://dx.doi.org/10.1098/rspb.2018.1248","http://dx.doi.org/10.1098/rspb.2018.1248")</f>
        <v>http://dx.doi.org/10.1098/rspb.2018.1248</v>
      </c>
      <c r="BG781" s="2" t="s">
        <v>74</v>
      </c>
      <c r="BH781" s="2" t="s">
        <v>74</v>
      </c>
      <c r="BI781" s="2" t="s">
        <v>74</v>
      </c>
      <c r="BJ781" s="2" t="s">
        <v>74</v>
      </c>
      <c r="BK781" s="2" t="s">
        <v>74</v>
      </c>
      <c r="BL781" s="2" t="s">
        <v>74</v>
      </c>
      <c r="BM781" s="2" t="s">
        <v>74</v>
      </c>
      <c r="BN781" s="2">
        <v>30068684</v>
      </c>
      <c r="BO781" s="2" t="s">
        <v>74</v>
      </c>
      <c r="BP781" s="2" t="s">
        <v>74</v>
      </c>
      <c r="BQ781" s="2" t="s">
        <v>74</v>
      </c>
      <c r="BR781" s="2" t="s">
        <v>74</v>
      </c>
      <c r="BS781" s="2" t="s">
        <v>115</v>
      </c>
      <c r="BT781" s="2" t="str">
        <f>HYPERLINK("https%3A%2F%2Fwww.webofscience.com%2Fwos%2Fwoscc%2Ffull-record%2FWOS:000441725900027","View Full Record in Web of Science")</f>
        <v>View Full Record in Web of Science</v>
      </c>
    </row>
    <row r="782" spans="1:72" s="2" customFormat="1" x14ac:dyDescent="0.4">
      <c r="A782" s="2" t="s">
        <v>72</v>
      </c>
      <c r="B782" s="2" t="s">
        <v>168</v>
      </c>
      <c r="C782" s="2" t="s">
        <v>74</v>
      </c>
      <c r="D782" s="2" t="s">
        <v>74</v>
      </c>
      <c r="E782" s="2" t="s">
        <v>74</v>
      </c>
      <c r="F782" s="2" t="s">
        <v>169</v>
      </c>
      <c r="G782" s="2" t="s">
        <v>74</v>
      </c>
      <c r="H782" s="2" t="s">
        <v>74</v>
      </c>
      <c r="I782" s="2" t="s">
        <v>170</v>
      </c>
      <c r="J782" s="2" t="s">
        <v>171</v>
      </c>
      <c r="K782" s="2" t="s">
        <v>74</v>
      </c>
      <c r="L782" s="2" t="s">
        <v>74</v>
      </c>
      <c r="M782" s="2" t="s">
        <v>74</v>
      </c>
      <c r="N782" s="2" t="s">
        <v>74</v>
      </c>
      <c r="O782" s="2" t="s">
        <v>74</v>
      </c>
      <c r="P782" s="2" t="s">
        <v>74</v>
      </c>
      <c r="Q782" s="2" t="s">
        <v>74</v>
      </c>
      <c r="R782" s="2" t="s">
        <v>74</v>
      </c>
      <c r="S782" s="2" t="s">
        <v>74</v>
      </c>
      <c r="T782" s="2" t="s">
        <v>74</v>
      </c>
      <c r="U782" s="2" t="s">
        <v>74</v>
      </c>
      <c r="V782" s="5" t="s">
        <v>172</v>
      </c>
      <c r="W782" s="2" t="s">
        <v>74</v>
      </c>
      <c r="X782" s="2" t="s">
        <v>74</v>
      </c>
      <c r="Y782" s="2" t="s">
        <v>74</v>
      </c>
      <c r="Z782" s="2" t="s">
        <v>74</v>
      </c>
      <c r="AA782" s="2" t="s">
        <v>74</v>
      </c>
      <c r="AB782" s="2" t="s">
        <v>110</v>
      </c>
      <c r="AC782" s="2" t="s">
        <v>74</v>
      </c>
      <c r="AD782" s="2" t="s">
        <v>74</v>
      </c>
      <c r="AE782" s="2" t="s">
        <v>74</v>
      </c>
      <c r="AF782" s="2" t="s">
        <v>74</v>
      </c>
      <c r="AG782" s="2" t="s">
        <v>74</v>
      </c>
      <c r="AH782" s="2" t="s">
        <v>74</v>
      </c>
      <c r="AI782" s="2" t="s">
        <v>74</v>
      </c>
      <c r="AJ782" s="2" t="s">
        <v>74</v>
      </c>
      <c r="AK782" s="2" t="s">
        <v>74</v>
      </c>
      <c r="AL782" s="2" t="s">
        <v>74</v>
      </c>
      <c r="AM782" s="2" t="s">
        <v>74</v>
      </c>
      <c r="AN782" s="2" t="s">
        <v>74</v>
      </c>
      <c r="AO782" s="2" t="s">
        <v>173</v>
      </c>
      <c r="AP782" s="2" t="s">
        <v>174</v>
      </c>
      <c r="AQ782" s="2" t="s">
        <v>74</v>
      </c>
      <c r="AR782" s="2" t="s">
        <v>74</v>
      </c>
      <c r="AS782" s="2" t="s">
        <v>74</v>
      </c>
      <c r="AT782" s="2" t="s">
        <v>175</v>
      </c>
      <c r="AU782" s="2">
        <v>2017</v>
      </c>
      <c r="AV782" s="2">
        <v>71</v>
      </c>
      <c r="AW782" s="2">
        <v>10</v>
      </c>
      <c r="AX782" s="2" t="s">
        <v>74</v>
      </c>
      <c r="AY782" s="2" t="s">
        <v>74</v>
      </c>
      <c r="AZ782" s="2" t="s">
        <v>74</v>
      </c>
      <c r="BA782" s="2" t="s">
        <v>74</v>
      </c>
      <c r="BB782" s="2">
        <v>2428</v>
      </c>
      <c r="BC782" s="2">
        <v>2444</v>
      </c>
      <c r="BD782" s="2" t="s">
        <v>74</v>
      </c>
      <c r="BE782" s="2" t="s">
        <v>176</v>
      </c>
      <c r="BF782" s="2" t="str">
        <f>HYPERLINK("http://dx.doi.org/10.1111/evo.13321","http://dx.doi.org/10.1111/evo.13321")</f>
        <v>http://dx.doi.org/10.1111/evo.13321</v>
      </c>
      <c r="BG782" s="2" t="s">
        <v>74</v>
      </c>
      <c r="BH782" s="2" t="s">
        <v>74</v>
      </c>
      <c r="BI782" s="2" t="s">
        <v>74</v>
      </c>
      <c r="BJ782" s="2" t="s">
        <v>74</v>
      </c>
      <c r="BK782" s="2" t="s">
        <v>74</v>
      </c>
      <c r="BL782" s="2" t="s">
        <v>74</v>
      </c>
      <c r="BM782" s="2" t="s">
        <v>74</v>
      </c>
      <c r="BN782" s="2">
        <v>28776645</v>
      </c>
      <c r="BO782" s="2" t="s">
        <v>74</v>
      </c>
      <c r="BP782" s="2" t="s">
        <v>74</v>
      </c>
      <c r="BQ782" s="2" t="s">
        <v>74</v>
      </c>
      <c r="BR782" s="2" t="s">
        <v>74</v>
      </c>
      <c r="BS782" s="2" t="s">
        <v>177</v>
      </c>
      <c r="BT782" s="2" t="str">
        <f>HYPERLINK("https%3A%2F%2Fwww.webofscience.com%2Fwos%2Fwoscc%2Ffull-record%2FWOS:000412834700011","View Full Record in Web of Science")</f>
        <v>View Full Record in Web of Science</v>
      </c>
    </row>
    <row r="783" spans="1:72" s="2" customFormat="1" x14ac:dyDescent="0.4">
      <c r="A783" s="2" t="s">
        <v>72</v>
      </c>
      <c r="B783" s="2" t="s">
        <v>6835</v>
      </c>
      <c r="C783" s="2" t="s">
        <v>74</v>
      </c>
      <c r="D783" s="2" t="s">
        <v>74</v>
      </c>
      <c r="E783" s="2" t="s">
        <v>74</v>
      </c>
      <c r="F783" s="2" t="s">
        <v>6836</v>
      </c>
      <c r="G783" s="2" t="s">
        <v>74</v>
      </c>
      <c r="H783" s="2" t="s">
        <v>74</v>
      </c>
      <c r="I783" s="2" t="s">
        <v>6837</v>
      </c>
      <c r="J783" s="2" t="s">
        <v>1656</v>
      </c>
      <c r="K783" s="2" t="s">
        <v>74</v>
      </c>
      <c r="L783" s="2" t="s">
        <v>74</v>
      </c>
      <c r="M783" s="2" t="s">
        <v>74</v>
      </c>
      <c r="N783" s="2" t="s">
        <v>74</v>
      </c>
      <c r="O783" s="2" t="s">
        <v>74</v>
      </c>
      <c r="P783" s="2" t="s">
        <v>74</v>
      </c>
      <c r="Q783" s="2" t="s">
        <v>74</v>
      </c>
      <c r="R783" s="2" t="s">
        <v>74</v>
      </c>
      <c r="S783" s="2" t="s">
        <v>74</v>
      </c>
      <c r="T783" s="2" t="s">
        <v>74</v>
      </c>
      <c r="U783" s="2" t="s">
        <v>74</v>
      </c>
      <c r="V783" s="5" t="s">
        <v>6838</v>
      </c>
      <c r="W783" s="2" t="s">
        <v>74</v>
      </c>
      <c r="X783" s="2" t="s">
        <v>74</v>
      </c>
      <c r="Y783" s="2" t="s">
        <v>74</v>
      </c>
      <c r="Z783" s="2" t="s">
        <v>74</v>
      </c>
      <c r="AA783" s="2" t="s">
        <v>74</v>
      </c>
      <c r="AB783" s="2" t="s">
        <v>6839</v>
      </c>
      <c r="AC783" s="2" t="s">
        <v>74</v>
      </c>
      <c r="AD783" s="2" t="s">
        <v>74</v>
      </c>
      <c r="AE783" s="2" t="s">
        <v>74</v>
      </c>
      <c r="AF783" s="2" t="s">
        <v>74</v>
      </c>
      <c r="AG783" s="2" t="s">
        <v>74</v>
      </c>
      <c r="AH783" s="2" t="s">
        <v>74</v>
      </c>
      <c r="AI783" s="2" t="s">
        <v>74</v>
      </c>
      <c r="AJ783" s="2" t="s">
        <v>74</v>
      </c>
      <c r="AK783" s="2" t="s">
        <v>74</v>
      </c>
      <c r="AL783" s="2" t="s">
        <v>74</v>
      </c>
      <c r="AM783" s="2" t="s">
        <v>74</v>
      </c>
      <c r="AN783" s="2" t="s">
        <v>74</v>
      </c>
      <c r="AO783" s="2" t="s">
        <v>1658</v>
      </c>
      <c r="AP783" s="2" t="s">
        <v>1659</v>
      </c>
      <c r="AQ783" s="2" t="s">
        <v>74</v>
      </c>
      <c r="AR783" s="2" t="s">
        <v>74</v>
      </c>
      <c r="AS783" s="2" t="s">
        <v>74</v>
      </c>
      <c r="AT783" s="2" t="s">
        <v>6840</v>
      </c>
      <c r="AU783" s="2">
        <v>2019</v>
      </c>
      <c r="AV783" s="2">
        <v>4700</v>
      </c>
      <c r="AW783" s="2">
        <v>4</v>
      </c>
      <c r="AX783" s="2" t="s">
        <v>74</v>
      </c>
      <c r="AY783" s="2" t="s">
        <v>74</v>
      </c>
      <c r="AZ783" s="2" t="s">
        <v>74</v>
      </c>
      <c r="BA783" s="2" t="s">
        <v>74</v>
      </c>
      <c r="BB783" s="2">
        <v>501</v>
      </c>
      <c r="BC783" s="2">
        <v>534</v>
      </c>
      <c r="BD783" s="2" t="s">
        <v>74</v>
      </c>
      <c r="BE783" s="2" t="s">
        <v>6841</v>
      </c>
      <c r="BF783" s="2" t="str">
        <f>HYPERLINK("http://dx.doi.org/10.11646/zootaxa.4700.4.9","http://dx.doi.org/10.11646/zootaxa.4700.4.9")</f>
        <v>http://dx.doi.org/10.11646/zootaxa.4700.4.9</v>
      </c>
      <c r="BG783" s="2" t="s">
        <v>74</v>
      </c>
      <c r="BH783" s="2" t="s">
        <v>74</v>
      </c>
      <c r="BI783" s="2" t="s">
        <v>74</v>
      </c>
      <c r="BJ783" s="2" t="s">
        <v>74</v>
      </c>
      <c r="BK783" s="2" t="s">
        <v>74</v>
      </c>
      <c r="BL783" s="2" t="s">
        <v>74</v>
      </c>
      <c r="BM783" s="2" t="s">
        <v>74</v>
      </c>
      <c r="BN783" s="2">
        <v>32229960</v>
      </c>
      <c r="BO783" s="2" t="s">
        <v>74</v>
      </c>
      <c r="BP783" s="2" t="s">
        <v>74</v>
      </c>
      <c r="BQ783" s="2" t="s">
        <v>74</v>
      </c>
      <c r="BR783" s="2" t="s">
        <v>74</v>
      </c>
      <c r="BS783" s="2" t="s">
        <v>6842</v>
      </c>
      <c r="BT783" s="2" t="str">
        <f>HYPERLINK("https%3A%2F%2Fwww.webofscience.com%2Fwos%2Fwoscc%2Ffull-record%2FWOS:000498944700009","View Full Record in Web of Science")</f>
        <v>View Full Record in Web of Science</v>
      </c>
    </row>
    <row r="784" spans="1:72" s="2" customFormat="1" x14ac:dyDescent="0.4">
      <c r="A784" s="2" t="s">
        <v>72</v>
      </c>
      <c r="B784" s="2" t="s">
        <v>559</v>
      </c>
      <c r="C784" s="2" t="s">
        <v>74</v>
      </c>
      <c r="D784" s="2" t="s">
        <v>74</v>
      </c>
      <c r="E784" s="2" t="s">
        <v>74</v>
      </c>
      <c r="F784" s="2" t="s">
        <v>559</v>
      </c>
      <c r="G784" s="2" t="s">
        <v>74</v>
      </c>
      <c r="H784" s="2" t="s">
        <v>74</v>
      </c>
      <c r="I784" s="2" t="s">
        <v>560</v>
      </c>
      <c r="J784" s="2" t="s">
        <v>129</v>
      </c>
      <c r="K784" s="2" t="s">
        <v>74</v>
      </c>
      <c r="L784" s="2" t="s">
        <v>74</v>
      </c>
      <c r="M784" s="2" t="s">
        <v>74</v>
      </c>
      <c r="N784" s="2" t="s">
        <v>74</v>
      </c>
      <c r="O784" s="2" t="s">
        <v>74</v>
      </c>
      <c r="P784" s="2" t="s">
        <v>74</v>
      </c>
      <c r="Q784" s="2" t="s">
        <v>74</v>
      </c>
      <c r="R784" s="2" t="s">
        <v>74</v>
      </c>
      <c r="S784" s="2" t="s">
        <v>74</v>
      </c>
      <c r="T784" s="2" t="s">
        <v>74</v>
      </c>
      <c r="U784" s="2" t="s">
        <v>74</v>
      </c>
      <c r="V784" s="5" t="s">
        <v>561</v>
      </c>
      <c r="W784" s="2" t="s">
        <v>74</v>
      </c>
      <c r="X784" s="2" t="s">
        <v>74</v>
      </c>
      <c r="Y784" s="2" t="s">
        <v>74</v>
      </c>
      <c r="Z784" s="2" t="s">
        <v>74</v>
      </c>
      <c r="AA784" s="2" t="s">
        <v>74</v>
      </c>
      <c r="AB784" s="2" t="s">
        <v>74</v>
      </c>
      <c r="AC784" s="2" t="s">
        <v>74</v>
      </c>
      <c r="AD784" s="2" t="s">
        <v>74</v>
      </c>
      <c r="AE784" s="2" t="s">
        <v>74</v>
      </c>
      <c r="AF784" s="2" t="s">
        <v>74</v>
      </c>
      <c r="AG784" s="2" t="s">
        <v>74</v>
      </c>
      <c r="AH784" s="2" t="s">
        <v>74</v>
      </c>
      <c r="AI784" s="2" t="s">
        <v>74</v>
      </c>
      <c r="AJ784" s="2" t="s">
        <v>74</v>
      </c>
      <c r="AK784" s="2" t="s">
        <v>74</v>
      </c>
      <c r="AL784" s="2" t="s">
        <v>74</v>
      </c>
      <c r="AM784" s="2" t="s">
        <v>74</v>
      </c>
      <c r="AN784" s="2" t="s">
        <v>74</v>
      </c>
      <c r="AO784" s="2" t="s">
        <v>132</v>
      </c>
      <c r="AP784" s="2" t="s">
        <v>133</v>
      </c>
      <c r="AQ784" s="2" t="s">
        <v>74</v>
      </c>
      <c r="AR784" s="2" t="s">
        <v>74</v>
      </c>
      <c r="AS784" s="2" t="s">
        <v>74</v>
      </c>
      <c r="AT784" s="2" t="s">
        <v>213</v>
      </c>
      <c r="AU784" s="2">
        <v>2005</v>
      </c>
      <c r="AV784" s="2">
        <v>59</v>
      </c>
      <c r="AW784" s="2">
        <v>1</v>
      </c>
      <c r="AX784" s="2" t="s">
        <v>74</v>
      </c>
      <c r="AY784" s="2" t="s">
        <v>74</v>
      </c>
      <c r="AZ784" s="2" t="s">
        <v>74</v>
      </c>
      <c r="BA784" s="2" t="s">
        <v>74</v>
      </c>
      <c r="BB784" s="2">
        <v>51</v>
      </c>
      <c r="BC784" s="2">
        <v>57</v>
      </c>
      <c r="BD784" s="2" t="s">
        <v>74</v>
      </c>
      <c r="BE784" s="2" t="s">
        <v>562</v>
      </c>
      <c r="BF784" s="2" t="str">
        <f>HYPERLINK("http://dx.doi.org/10.1007/s00265-005-0008-9","http://dx.doi.org/10.1007/s00265-005-0008-9")</f>
        <v>http://dx.doi.org/10.1007/s00265-005-0008-9</v>
      </c>
      <c r="BG784" s="2" t="s">
        <v>74</v>
      </c>
      <c r="BH784" s="2" t="s">
        <v>74</v>
      </c>
      <c r="BI784" s="2" t="s">
        <v>74</v>
      </c>
      <c r="BJ784" s="2" t="s">
        <v>74</v>
      </c>
      <c r="BK784" s="2" t="s">
        <v>74</v>
      </c>
      <c r="BL784" s="2" t="s">
        <v>74</v>
      </c>
      <c r="BM784" s="2" t="s">
        <v>74</v>
      </c>
      <c r="BN784" s="2" t="s">
        <v>74</v>
      </c>
      <c r="BO784" s="2" t="s">
        <v>74</v>
      </c>
      <c r="BP784" s="2" t="s">
        <v>74</v>
      </c>
      <c r="BQ784" s="2" t="s">
        <v>74</v>
      </c>
      <c r="BR784" s="2" t="s">
        <v>74</v>
      </c>
      <c r="BS784" s="2" t="s">
        <v>563</v>
      </c>
      <c r="BT784" s="2" t="str">
        <f>HYPERLINK("https%3A%2F%2Fwww.webofscience.com%2Fwos%2Fwoscc%2Ffull-record%2FWOS:000233242600008","View Full Record in Web of Science")</f>
        <v>View Full Record in Web of Science</v>
      </c>
    </row>
    <row r="785" spans="1:72" s="2" customFormat="1" x14ac:dyDescent="0.4">
      <c r="A785" s="2" t="s">
        <v>72</v>
      </c>
      <c r="B785" s="2" t="s">
        <v>3976</v>
      </c>
      <c r="C785" s="2" t="s">
        <v>74</v>
      </c>
      <c r="D785" s="2" t="s">
        <v>74</v>
      </c>
      <c r="E785" s="2" t="s">
        <v>74</v>
      </c>
      <c r="F785" s="2" t="s">
        <v>3976</v>
      </c>
      <c r="G785" s="2" t="s">
        <v>74</v>
      </c>
      <c r="H785" s="2" t="s">
        <v>74</v>
      </c>
      <c r="I785" s="2" t="s">
        <v>3977</v>
      </c>
      <c r="J785" s="2" t="s">
        <v>108</v>
      </c>
      <c r="K785" s="2" t="s">
        <v>74</v>
      </c>
      <c r="L785" s="2" t="s">
        <v>74</v>
      </c>
      <c r="M785" s="2" t="s">
        <v>74</v>
      </c>
      <c r="N785" s="2" t="s">
        <v>74</v>
      </c>
      <c r="O785" s="2" t="s">
        <v>74</v>
      </c>
      <c r="P785" s="2" t="s">
        <v>74</v>
      </c>
      <c r="Q785" s="2" t="s">
        <v>74</v>
      </c>
      <c r="R785" s="2" t="s">
        <v>74</v>
      </c>
      <c r="S785" s="2" t="s">
        <v>74</v>
      </c>
      <c r="T785" s="2" t="s">
        <v>74</v>
      </c>
      <c r="U785" s="2" t="s">
        <v>74</v>
      </c>
      <c r="V785" s="5" t="s">
        <v>3978</v>
      </c>
      <c r="W785" s="2" t="s">
        <v>74</v>
      </c>
      <c r="X785" s="2" t="s">
        <v>74</v>
      </c>
      <c r="Y785" s="2" t="s">
        <v>74</v>
      </c>
      <c r="Z785" s="2" t="s">
        <v>74</v>
      </c>
      <c r="AA785" s="2" t="s">
        <v>74</v>
      </c>
      <c r="AB785" s="2" t="s">
        <v>3979</v>
      </c>
      <c r="AC785" s="2" t="s">
        <v>74</v>
      </c>
      <c r="AD785" s="2" t="s">
        <v>74</v>
      </c>
      <c r="AE785" s="2" t="s">
        <v>74</v>
      </c>
      <c r="AF785" s="2" t="s">
        <v>74</v>
      </c>
      <c r="AG785" s="2" t="s">
        <v>74</v>
      </c>
      <c r="AH785" s="2" t="s">
        <v>74</v>
      </c>
      <c r="AI785" s="2" t="s">
        <v>74</v>
      </c>
      <c r="AJ785" s="2" t="s">
        <v>74</v>
      </c>
      <c r="AK785" s="2" t="s">
        <v>74</v>
      </c>
      <c r="AL785" s="2" t="s">
        <v>74</v>
      </c>
      <c r="AM785" s="2" t="s">
        <v>74</v>
      </c>
      <c r="AN785" s="2" t="s">
        <v>74</v>
      </c>
      <c r="AO785" s="2" t="s">
        <v>111</v>
      </c>
      <c r="AP785" s="2" t="s">
        <v>112</v>
      </c>
      <c r="AQ785" s="2" t="s">
        <v>74</v>
      </c>
      <c r="AR785" s="2" t="s">
        <v>74</v>
      </c>
      <c r="AS785" s="2" t="s">
        <v>74</v>
      </c>
      <c r="AT785" s="2" t="s">
        <v>3980</v>
      </c>
      <c r="AU785" s="2">
        <v>2003</v>
      </c>
      <c r="AV785" s="2">
        <v>270</v>
      </c>
      <c r="AW785" s="2">
        <v>1530</v>
      </c>
      <c r="AX785" s="2" t="s">
        <v>74</v>
      </c>
      <c r="AY785" s="2" t="s">
        <v>74</v>
      </c>
      <c r="AZ785" s="2" t="s">
        <v>74</v>
      </c>
      <c r="BA785" s="2" t="s">
        <v>74</v>
      </c>
      <c r="BB785" s="2">
        <v>2271</v>
      </c>
      <c r="BC785" s="2">
        <v>2277</v>
      </c>
      <c r="BD785" s="2" t="s">
        <v>74</v>
      </c>
      <c r="BE785" s="2" t="s">
        <v>3981</v>
      </c>
      <c r="BF785" s="2" t="str">
        <f>HYPERLINK("http://dx.doi.org/10.1098/rspb.2003.2510","http://dx.doi.org/10.1098/rspb.2003.2510")</f>
        <v>http://dx.doi.org/10.1098/rspb.2003.2510</v>
      </c>
      <c r="BG785" s="2" t="s">
        <v>74</v>
      </c>
      <c r="BH785" s="2" t="s">
        <v>74</v>
      </c>
      <c r="BI785" s="2" t="s">
        <v>74</v>
      </c>
      <c r="BJ785" s="2" t="s">
        <v>74</v>
      </c>
      <c r="BK785" s="2" t="s">
        <v>74</v>
      </c>
      <c r="BL785" s="2" t="s">
        <v>74</v>
      </c>
      <c r="BM785" s="2" t="s">
        <v>74</v>
      </c>
      <c r="BN785" s="2">
        <v>14613614</v>
      </c>
      <c r="BO785" s="2" t="s">
        <v>74</v>
      </c>
      <c r="BP785" s="2" t="s">
        <v>74</v>
      </c>
      <c r="BQ785" s="2" t="s">
        <v>74</v>
      </c>
      <c r="BR785" s="2" t="s">
        <v>74</v>
      </c>
      <c r="BS785" s="2" t="s">
        <v>3982</v>
      </c>
      <c r="BT785" s="2" t="str">
        <f>HYPERLINK("https%3A%2F%2Fwww.webofscience.com%2Fwos%2Fwoscc%2Ffull-record%2FWOS:000186630800010","View Full Record in Web of Science")</f>
        <v>View Full Record in Web of Science</v>
      </c>
    </row>
    <row r="786" spans="1:72" s="2" customFormat="1" x14ac:dyDescent="0.4">
      <c r="A786" s="2" t="s">
        <v>72</v>
      </c>
      <c r="B786" s="2" t="s">
        <v>3746</v>
      </c>
      <c r="C786" s="2" t="s">
        <v>74</v>
      </c>
      <c r="D786" s="2" t="s">
        <v>74</v>
      </c>
      <c r="E786" s="2" t="s">
        <v>74</v>
      </c>
      <c r="F786" s="2" t="s">
        <v>3747</v>
      </c>
      <c r="G786" s="2" t="s">
        <v>74</v>
      </c>
      <c r="H786" s="2" t="s">
        <v>74</v>
      </c>
      <c r="I786" s="2" t="s">
        <v>3748</v>
      </c>
      <c r="J786" s="2" t="s">
        <v>3089</v>
      </c>
      <c r="K786" s="2" t="s">
        <v>74</v>
      </c>
      <c r="L786" s="2" t="s">
        <v>74</v>
      </c>
      <c r="M786" s="2" t="s">
        <v>74</v>
      </c>
      <c r="N786" s="2" t="s">
        <v>74</v>
      </c>
      <c r="O786" s="2" t="s">
        <v>74</v>
      </c>
      <c r="P786" s="2" t="s">
        <v>74</v>
      </c>
      <c r="Q786" s="2" t="s">
        <v>74</v>
      </c>
      <c r="R786" s="2" t="s">
        <v>74</v>
      </c>
      <c r="S786" s="2" t="s">
        <v>74</v>
      </c>
      <c r="T786" s="2" t="s">
        <v>74</v>
      </c>
      <c r="U786" s="2" t="s">
        <v>74</v>
      </c>
      <c r="V786" s="5" t="s">
        <v>3749</v>
      </c>
      <c r="W786" s="2" t="s">
        <v>74</v>
      </c>
      <c r="X786" s="2" t="s">
        <v>74</v>
      </c>
      <c r="Y786" s="2" t="s">
        <v>74</v>
      </c>
      <c r="Z786" s="2" t="s">
        <v>74</v>
      </c>
      <c r="AA786" s="2" t="s">
        <v>3750</v>
      </c>
      <c r="AB786" s="2" t="s">
        <v>74</v>
      </c>
      <c r="AC786" s="2" t="s">
        <v>74</v>
      </c>
      <c r="AD786" s="2" t="s">
        <v>74</v>
      </c>
      <c r="AE786" s="2" t="s">
        <v>74</v>
      </c>
      <c r="AF786" s="2" t="s">
        <v>74</v>
      </c>
      <c r="AG786" s="2" t="s">
        <v>74</v>
      </c>
      <c r="AH786" s="2" t="s">
        <v>74</v>
      </c>
      <c r="AI786" s="2" t="s">
        <v>74</v>
      </c>
      <c r="AJ786" s="2" t="s">
        <v>74</v>
      </c>
      <c r="AK786" s="2" t="s">
        <v>74</v>
      </c>
      <c r="AL786" s="2" t="s">
        <v>74</v>
      </c>
      <c r="AM786" s="2" t="s">
        <v>74</v>
      </c>
      <c r="AN786" s="2" t="s">
        <v>74</v>
      </c>
      <c r="AO786" s="2" t="s">
        <v>3093</v>
      </c>
      <c r="AP786" s="2" t="s">
        <v>3094</v>
      </c>
      <c r="AQ786" s="2" t="s">
        <v>74</v>
      </c>
      <c r="AR786" s="2" t="s">
        <v>74</v>
      </c>
      <c r="AS786" s="2" t="s">
        <v>74</v>
      </c>
      <c r="AT786" s="2" t="s">
        <v>74</v>
      </c>
      <c r="AU786" s="2">
        <v>2006</v>
      </c>
      <c r="AV786" s="2">
        <v>24</v>
      </c>
      <c r="AW786" s="2">
        <v>3</v>
      </c>
      <c r="AX786" s="2" t="s">
        <v>74</v>
      </c>
      <c r="AY786" s="2" t="s">
        <v>74</v>
      </c>
      <c r="AZ786" s="2" t="s">
        <v>74</v>
      </c>
      <c r="BA786" s="2" t="s">
        <v>74</v>
      </c>
      <c r="BB786" s="2">
        <v>261</v>
      </c>
      <c r="BC786" s="2">
        <v>266</v>
      </c>
      <c r="BD786" s="2" t="s">
        <v>74</v>
      </c>
      <c r="BE786" s="2" t="s">
        <v>3751</v>
      </c>
      <c r="BF786" s="2" t="str">
        <f>HYPERLINK("http://dx.doi.org/10.1007/s10164-005-0187-x","http://dx.doi.org/10.1007/s10164-005-0187-x")</f>
        <v>http://dx.doi.org/10.1007/s10164-005-0187-x</v>
      </c>
      <c r="BG786" s="2" t="s">
        <v>74</v>
      </c>
      <c r="BH786" s="2" t="s">
        <v>74</v>
      </c>
      <c r="BI786" s="2" t="s">
        <v>74</v>
      </c>
      <c r="BJ786" s="2" t="s">
        <v>74</v>
      </c>
      <c r="BK786" s="2" t="s">
        <v>74</v>
      </c>
      <c r="BL786" s="2" t="s">
        <v>74</v>
      </c>
      <c r="BM786" s="2" t="s">
        <v>74</v>
      </c>
      <c r="BN786" s="2" t="s">
        <v>74</v>
      </c>
      <c r="BO786" s="2" t="s">
        <v>74</v>
      </c>
      <c r="BP786" s="2" t="s">
        <v>74</v>
      </c>
      <c r="BQ786" s="2" t="s">
        <v>74</v>
      </c>
      <c r="BR786" s="2" t="s">
        <v>74</v>
      </c>
      <c r="BS786" s="2" t="s">
        <v>3752</v>
      </c>
      <c r="BT786" s="2" t="str">
        <f>HYPERLINK("https%3A%2F%2Fwww.webofscience.com%2Fwos%2Fwoscc%2Ffull-record%2FWOS:000239427700009","View Full Record in Web of Science")</f>
        <v>View Full Record in Web of Science</v>
      </c>
    </row>
    <row r="787" spans="1:72" s="2" customFormat="1" x14ac:dyDescent="0.4">
      <c r="A787" s="2" t="s">
        <v>72</v>
      </c>
      <c r="B787" s="2" t="s">
        <v>7154</v>
      </c>
      <c r="C787" s="2" t="s">
        <v>74</v>
      </c>
      <c r="D787" s="2" t="s">
        <v>74</v>
      </c>
      <c r="E787" s="2" t="s">
        <v>74</v>
      </c>
      <c r="F787" s="2" t="s">
        <v>7155</v>
      </c>
      <c r="G787" s="2" t="s">
        <v>74</v>
      </c>
      <c r="H787" s="2" t="s">
        <v>74</v>
      </c>
      <c r="I787" s="2" t="s">
        <v>7156</v>
      </c>
      <c r="J787" s="2" t="s">
        <v>610</v>
      </c>
      <c r="K787" s="2" t="s">
        <v>74</v>
      </c>
      <c r="L787" s="2" t="s">
        <v>74</v>
      </c>
      <c r="M787" s="2" t="s">
        <v>74</v>
      </c>
      <c r="N787" s="2" t="s">
        <v>74</v>
      </c>
      <c r="O787" s="2" t="s">
        <v>74</v>
      </c>
      <c r="P787" s="2" t="s">
        <v>74</v>
      </c>
      <c r="Q787" s="2" t="s">
        <v>74</v>
      </c>
      <c r="R787" s="2" t="s">
        <v>74</v>
      </c>
      <c r="S787" s="2" t="s">
        <v>74</v>
      </c>
      <c r="T787" s="2" t="s">
        <v>74</v>
      </c>
      <c r="U787" s="2" t="s">
        <v>74</v>
      </c>
      <c r="V787" s="5" t="s">
        <v>7157</v>
      </c>
      <c r="W787" s="2" t="s">
        <v>74</v>
      </c>
      <c r="X787" s="2" t="s">
        <v>74</v>
      </c>
      <c r="Y787" s="2" t="s">
        <v>74</v>
      </c>
      <c r="Z787" s="2" t="s">
        <v>74</v>
      </c>
      <c r="AA787" s="2" t="s">
        <v>7158</v>
      </c>
      <c r="AB787" s="2" t="s">
        <v>7159</v>
      </c>
      <c r="AC787" s="2" t="s">
        <v>74</v>
      </c>
      <c r="AD787" s="2" t="s">
        <v>74</v>
      </c>
      <c r="AE787" s="2" t="s">
        <v>74</v>
      </c>
      <c r="AF787" s="2" t="s">
        <v>74</v>
      </c>
      <c r="AG787" s="2" t="s">
        <v>74</v>
      </c>
      <c r="AH787" s="2" t="s">
        <v>74</v>
      </c>
      <c r="AI787" s="2" t="s">
        <v>74</v>
      </c>
      <c r="AJ787" s="2" t="s">
        <v>74</v>
      </c>
      <c r="AK787" s="2" t="s">
        <v>74</v>
      </c>
      <c r="AL787" s="2" t="s">
        <v>74</v>
      </c>
      <c r="AM787" s="2" t="s">
        <v>74</v>
      </c>
      <c r="AN787" s="2" t="s">
        <v>74</v>
      </c>
      <c r="AO787" s="2" t="s">
        <v>614</v>
      </c>
      <c r="AP787" s="2" t="s">
        <v>615</v>
      </c>
      <c r="AQ787" s="2" t="s">
        <v>74</v>
      </c>
      <c r="AR787" s="2" t="s">
        <v>74</v>
      </c>
      <c r="AS787" s="2" t="s">
        <v>74</v>
      </c>
      <c r="AT787" s="2" t="s">
        <v>102</v>
      </c>
      <c r="AU787" s="2">
        <v>2014</v>
      </c>
      <c r="AV787" s="2">
        <v>120</v>
      </c>
      <c r="AW787" s="2">
        <v>6</v>
      </c>
      <c r="AX787" s="2" t="s">
        <v>74</v>
      </c>
      <c r="AY787" s="2" t="s">
        <v>74</v>
      </c>
      <c r="AZ787" s="2" t="s">
        <v>74</v>
      </c>
      <c r="BA787" s="2" t="s">
        <v>74</v>
      </c>
      <c r="BB787" s="2">
        <v>616</v>
      </c>
      <c r="BC787" s="2">
        <v>626</v>
      </c>
      <c r="BD787" s="2" t="s">
        <v>74</v>
      </c>
      <c r="BE787" s="2" t="s">
        <v>7160</v>
      </c>
      <c r="BF787" s="2" t="str">
        <f>HYPERLINK("http://dx.doi.org/10.1111/eth.12234","http://dx.doi.org/10.1111/eth.12234")</f>
        <v>http://dx.doi.org/10.1111/eth.12234</v>
      </c>
      <c r="BG787" s="2" t="s">
        <v>74</v>
      </c>
      <c r="BH787" s="2" t="s">
        <v>74</v>
      </c>
      <c r="BI787" s="2" t="s">
        <v>74</v>
      </c>
      <c r="BJ787" s="2" t="s">
        <v>74</v>
      </c>
      <c r="BK787" s="2" t="s">
        <v>74</v>
      </c>
      <c r="BL787" s="2" t="s">
        <v>74</v>
      </c>
      <c r="BM787" s="2" t="s">
        <v>74</v>
      </c>
      <c r="BN787" s="2" t="s">
        <v>74</v>
      </c>
      <c r="BO787" s="2" t="s">
        <v>74</v>
      </c>
      <c r="BP787" s="2" t="s">
        <v>74</v>
      </c>
      <c r="BQ787" s="2" t="s">
        <v>74</v>
      </c>
      <c r="BR787" s="2" t="s">
        <v>74</v>
      </c>
      <c r="BS787" s="2" t="s">
        <v>7161</v>
      </c>
      <c r="BT787" s="2" t="str">
        <f>HYPERLINK("https%3A%2F%2Fwww.webofscience.com%2Fwos%2Fwoscc%2Ffull-record%2FWOS:000334692600010","View Full Record in Web of Science")</f>
        <v>View Full Record in Web of Science</v>
      </c>
    </row>
    <row r="788" spans="1:72" s="2" customFormat="1" x14ac:dyDescent="0.4">
      <c r="A788" s="2" t="s">
        <v>72</v>
      </c>
      <c r="B788" s="2" t="s">
        <v>8357</v>
      </c>
      <c r="C788" s="2" t="s">
        <v>74</v>
      </c>
      <c r="D788" s="2" t="s">
        <v>74</v>
      </c>
      <c r="E788" s="2" t="s">
        <v>74</v>
      </c>
      <c r="F788" s="2" t="s">
        <v>8358</v>
      </c>
      <c r="G788" s="2" t="s">
        <v>74</v>
      </c>
      <c r="H788" s="2" t="s">
        <v>74</v>
      </c>
      <c r="I788" s="2" t="s">
        <v>8359</v>
      </c>
      <c r="J788" s="2" t="s">
        <v>1803</v>
      </c>
      <c r="K788" s="2" t="s">
        <v>74</v>
      </c>
      <c r="L788" s="2" t="s">
        <v>74</v>
      </c>
      <c r="M788" s="2" t="s">
        <v>74</v>
      </c>
      <c r="N788" s="2" t="s">
        <v>74</v>
      </c>
      <c r="O788" s="2" t="s">
        <v>74</v>
      </c>
      <c r="P788" s="2" t="s">
        <v>74</v>
      </c>
      <c r="Q788" s="2" t="s">
        <v>74</v>
      </c>
      <c r="R788" s="2" t="s">
        <v>74</v>
      </c>
      <c r="S788" s="2" t="s">
        <v>74</v>
      </c>
      <c r="T788" s="2" t="s">
        <v>74</v>
      </c>
      <c r="U788" s="2" t="s">
        <v>74</v>
      </c>
      <c r="V788" s="5" t="s">
        <v>8360</v>
      </c>
      <c r="W788" s="2" t="s">
        <v>74</v>
      </c>
      <c r="X788" s="2" t="s">
        <v>74</v>
      </c>
      <c r="Y788" s="2" t="s">
        <v>74</v>
      </c>
      <c r="Z788" s="2" t="s">
        <v>74</v>
      </c>
      <c r="AA788" s="2" t="s">
        <v>8361</v>
      </c>
      <c r="AB788" s="2" t="s">
        <v>8362</v>
      </c>
      <c r="AC788" s="2" t="s">
        <v>74</v>
      </c>
      <c r="AD788" s="2" t="s">
        <v>74</v>
      </c>
      <c r="AE788" s="2" t="s">
        <v>74</v>
      </c>
      <c r="AF788" s="2" t="s">
        <v>74</v>
      </c>
      <c r="AG788" s="2" t="s">
        <v>74</v>
      </c>
      <c r="AH788" s="2" t="s">
        <v>74</v>
      </c>
      <c r="AI788" s="2" t="s">
        <v>74</v>
      </c>
      <c r="AJ788" s="2" t="s">
        <v>74</v>
      </c>
      <c r="AK788" s="2" t="s">
        <v>74</v>
      </c>
      <c r="AL788" s="2" t="s">
        <v>74</v>
      </c>
      <c r="AM788" s="2" t="s">
        <v>74</v>
      </c>
      <c r="AN788" s="2" t="s">
        <v>74</v>
      </c>
      <c r="AO788" s="2" t="s">
        <v>1807</v>
      </c>
      <c r="AP788" s="2" t="s">
        <v>1808</v>
      </c>
      <c r="AQ788" s="2" t="s">
        <v>74</v>
      </c>
      <c r="AR788" s="2" t="s">
        <v>74</v>
      </c>
      <c r="AS788" s="2" t="s">
        <v>74</v>
      </c>
      <c r="AT788" s="2" t="s">
        <v>175</v>
      </c>
      <c r="AU788" s="2">
        <v>2007</v>
      </c>
      <c r="AV788" s="2">
        <v>21</v>
      </c>
      <c r="AW788" s="2">
        <v>5</v>
      </c>
      <c r="AX788" s="2" t="s">
        <v>74</v>
      </c>
      <c r="AY788" s="2" t="s">
        <v>74</v>
      </c>
      <c r="AZ788" s="2" t="s">
        <v>74</v>
      </c>
      <c r="BA788" s="2" t="s">
        <v>74</v>
      </c>
      <c r="BB788" s="2">
        <v>886</v>
      </c>
      <c r="BC788" s="2">
        <v>898</v>
      </c>
      <c r="BD788" s="2" t="s">
        <v>74</v>
      </c>
      <c r="BE788" s="2" t="s">
        <v>8363</v>
      </c>
      <c r="BF788" s="2" t="str">
        <f>HYPERLINK("http://dx.doi.org/10.1111/j.1365-2435.2007.01302.x","http://dx.doi.org/10.1111/j.1365-2435.2007.01302.x")</f>
        <v>http://dx.doi.org/10.1111/j.1365-2435.2007.01302.x</v>
      </c>
      <c r="BG788" s="2" t="s">
        <v>74</v>
      </c>
      <c r="BH788" s="2" t="s">
        <v>74</v>
      </c>
      <c r="BI788" s="2" t="s">
        <v>74</v>
      </c>
      <c r="BJ788" s="2" t="s">
        <v>74</v>
      </c>
      <c r="BK788" s="2" t="s">
        <v>74</v>
      </c>
      <c r="BL788" s="2" t="s">
        <v>74</v>
      </c>
      <c r="BM788" s="2" t="s">
        <v>74</v>
      </c>
      <c r="BN788" s="2" t="s">
        <v>74</v>
      </c>
      <c r="BO788" s="2" t="s">
        <v>74</v>
      </c>
      <c r="BP788" s="2" t="s">
        <v>74</v>
      </c>
      <c r="BQ788" s="2" t="s">
        <v>74</v>
      </c>
      <c r="BR788" s="2" t="s">
        <v>74</v>
      </c>
      <c r="BS788" s="2" t="s">
        <v>8364</v>
      </c>
      <c r="BT788" s="2" t="str">
        <f>HYPERLINK("https%3A%2F%2Fwww.webofscience.com%2Fwos%2Fwoscc%2Ffull-record%2FWOS:000249165000008","View Full Record in Web of Science")</f>
        <v>View Full Record in Web of Science</v>
      </c>
    </row>
    <row r="789" spans="1:72" s="2" customFormat="1" x14ac:dyDescent="0.4">
      <c r="A789" s="2" t="s">
        <v>72</v>
      </c>
      <c r="B789" s="2" t="s">
        <v>5362</v>
      </c>
      <c r="C789" s="2" t="s">
        <v>74</v>
      </c>
      <c r="D789" s="2" t="s">
        <v>74</v>
      </c>
      <c r="E789" s="2" t="s">
        <v>74</v>
      </c>
      <c r="F789" s="2" t="s">
        <v>5362</v>
      </c>
      <c r="G789" s="2" t="s">
        <v>74</v>
      </c>
      <c r="H789" s="2" t="s">
        <v>74</v>
      </c>
      <c r="I789" s="2" t="s">
        <v>5363</v>
      </c>
      <c r="J789" s="2" t="s">
        <v>140</v>
      </c>
      <c r="K789" s="2" t="s">
        <v>74</v>
      </c>
      <c r="L789" s="2" t="s">
        <v>74</v>
      </c>
      <c r="M789" s="2" t="s">
        <v>74</v>
      </c>
      <c r="N789" s="2" t="s">
        <v>74</v>
      </c>
      <c r="O789" s="2" t="s">
        <v>74</v>
      </c>
      <c r="P789" s="2" t="s">
        <v>74</v>
      </c>
      <c r="Q789" s="2" t="s">
        <v>74</v>
      </c>
      <c r="R789" s="2" t="s">
        <v>74</v>
      </c>
      <c r="S789" s="2" t="s">
        <v>74</v>
      </c>
      <c r="T789" s="2" t="s">
        <v>74</v>
      </c>
      <c r="U789" s="2" t="s">
        <v>74</v>
      </c>
      <c r="V789" s="5" t="s">
        <v>5364</v>
      </c>
      <c r="W789" s="2" t="s">
        <v>74</v>
      </c>
      <c r="X789" s="2" t="s">
        <v>74</v>
      </c>
      <c r="Y789" s="2" t="s">
        <v>74</v>
      </c>
      <c r="Z789" s="2" t="s">
        <v>74</v>
      </c>
      <c r="AA789" s="2" t="s">
        <v>5365</v>
      </c>
      <c r="AB789" s="2" t="s">
        <v>5366</v>
      </c>
      <c r="AC789" s="2" t="s">
        <v>74</v>
      </c>
      <c r="AD789" s="2" t="s">
        <v>74</v>
      </c>
      <c r="AE789" s="2" t="s">
        <v>74</v>
      </c>
      <c r="AF789" s="2" t="s">
        <v>74</v>
      </c>
      <c r="AG789" s="2" t="s">
        <v>74</v>
      </c>
      <c r="AH789" s="2" t="s">
        <v>74</v>
      </c>
      <c r="AI789" s="2" t="s">
        <v>74</v>
      </c>
      <c r="AJ789" s="2" t="s">
        <v>74</v>
      </c>
      <c r="AK789" s="2" t="s">
        <v>74</v>
      </c>
      <c r="AL789" s="2" t="s">
        <v>74</v>
      </c>
      <c r="AM789" s="2" t="s">
        <v>74</v>
      </c>
      <c r="AN789" s="2" t="s">
        <v>74</v>
      </c>
      <c r="AO789" s="2" t="s">
        <v>143</v>
      </c>
      <c r="AP789" s="2" t="s">
        <v>144</v>
      </c>
      <c r="AQ789" s="2" t="s">
        <v>74</v>
      </c>
      <c r="AR789" s="2" t="s">
        <v>74</v>
      </c>
      <c r="AS789" s="2" t="s">
        <v>74</v>
      </c>
      <c r="AT789" s="2" t="s">
        <v>255</v>
      </c>
      <c r="AU789" s="2">
        <v>2006</v>
      </c>
      <c r="AV789" s="2">
        <v>71</v>
      </c>
      <c r="AW789" s="2" t="s">
        <v>74</v>
      </c>
      <c r="AX789" s="2">
        <v>1</v>
      </c>
      <c r="AY789" s="2" t="s">
        <v>74</v>
      </c>
      <c r="AZ789" s="2" t="s">
        <v>74</v>
      </c>
      <c r="BA789" s="2" t="s">
        <v>74</v>
      </c>
      <c r="BB789" s="2">
        <v>101</v>
      </c>
      <c r="BC789" s="2">
        <v>108</v>
      </c>
      <c r="BD789" s="2" t="s">
        <v>74</v>
      </c>
      <c r="BE789" s="2" t="s">
        <v>5367</v>
      </c>
      <c r="BF789" s="2" t="str">
        <f>HYPERLINK("http://dx.doi.org/10.1016/j.anbehav.2005.03.036","http://dx.doi.org/10.1016/j.anbehav.2005.03.036")</f>
        <v>http://dx.doi.org/10.1016/j.anbehav.2005.03.036</v>
      </c>
      <c r="BG789" s="2" t="s">
        <v>74</v>
      </c>
      <c r="BH789" s="2" t="s">
        <v>74</v>
      </c>
      <c r="BI789" s="2" t="s">
        <v>74</v>
      </c>
      <c r="BJ789" s="2" t="s">
        <v>74</v>
      </c>
      <c r="BK789" s="2" t="s">
        <v>74</v>
      </c>
      <c r="BL789" s="2" t="s">
        <v>74</v>
      </c>
      <c r="BM789" s="2" t="s">
        <v>74</v>
      </c>
      <c r="BN789" s="2" t="s">
        <v>74</v>
      </c>
      <c r="BO789" s="2" t="s">
        <v>74</v>
      </c>
      <c r="BP789" s="2" t="s">
        <v>74</v>
      </c>
      <c r="BQ789" s="2" t="s">
        <v>74</v>
      </c>
      <c r="BR789" s="2" t="s">
        <v>74</v>
      </c>
      <c r="BS789" s="2" t="s">
        <v>5368</v>
      </c>
      <c r="BT789" s="2" t="str">
        <f>HYPERLINK("https%3A%2F%2Fwww.webofscience.com%2Fwos%2Fwoscc%2Ffull-record%2FWOS:000234764500010","View Full Record in Web of Science")</f>
        <v>View Full Record in Web of Science</v>
      </c>
    </row>
    <row r="790" spans="1:72" s="2" customFormat="1" x14ac:dyDescent="0.4">
      <c r="A790" s="2" t="s">
        <v>72</v>
      </c>
      <c r="B790" s="2" t="s">
        <v>5666</v>
      </c>
      <c r="C790" s="2" t="s">
        <v>74</v>
      </c>
      <c r="D790" s="2" t="s">
        <v>74</v>
      </c>
      <c r="E790" s="2" t="s">
        <v>74</v>
      </c>
      <c r="F790" s="2" t="s">
        <v>5667</v>
      </c>
      <c r="G790" s="2" t="s">
        <v>74</v>
      </c>
      <c r="H790" s="2" t="s">
        <v>74</v>
      </c>
      <c r="I790" s="2" t="s">
        <v>5668</v>
      </c>
      <c r="J790" s="2" t="s">
        <v>88</v>
      </c>
      <c r="K790" s="2" t="s">
        <v>74</v>
      </c>
      <c r="L790" s="2" t="s">
        <v>74</v>
      </c>
      <c r="M790" s="2" t="s">
        <v>74</v>
      </c>
      <c r="N790" s="2" t="s">
        <v>74</v>
      </c>
      <c r="O790" s="2" t="s">
        <v>74</v>
      </c>
      <c r="P790" s="2" t="s">
        <v>74</v>
      </c>
      <c r="Q790" s="2" t="s">
        <v>74</v>
      </c>
      <c r="R790" s="2" t="s">
        <v>74</v>
      </c>
      <c r="S790" s="2" t="s">
        <v>74</v>
      </c>
      <c r="T790" s="2" t="s">
        <v>74</v>
      </c>
      <c r="U790" s="2" t="s">
        <v>74</v>
      </c>
      <c r="V790" s="5" t="s">
        <v>5669</v>
      </c>
      <c r="W790" s="2" t="s">
        <v>74</v>
      </c>
      <c r="X790" s="2" t="s">
        <v>74</v>
      </c>
      <c r="Y790" s="2" t="s">
        <v>74</v>
      </c>
      <c r="Z790" s="2" t="s">
        <v>74</v>
      </c>
      <c r="AA790" s="2" t="s">
        <v>74</v>
      </c>
      <c r="AB790" s="2" t="s">
        <v>5670</v>
      </c>
      <c r="AC790" s="2" t="s">
        <v>74</v>
      </c>
      <c r="AD790" s="2" t="s">
        <v>74</v>
      </c>
      <c r="AE790" s="2" t="s">
        <v>74</v>
      </c>
      <c r="AF790" s="2" t="s">
        <v>74</v>
      </c>
      <c r="AG790" s="2" t="s">
        <v>74</v>
      </c>
      <c r="AH790" s="2" t="s">
        <v>74</v>
      </c>
      <c r="AI790" s="2" t="s">
        <v>74</v>
      </c>
      <c r="AJ790" s="2" t="s">
        <v>74</v>
      </c>
      <c r="AK790" s="2" t="s">
        <v>74</v>
      </c>
      <c r="AL790" s="2" t="s">
        <v>74</v>
      </c>
      <c r="AM790" s="2" t="s">
        <v>74</v>
      </c>
      <c r="AN790" s="2" t="s">
        <v>74</v>
      </c>
      <c r="AO790" s="2" t="s">
        <v>91</v>
      </c>
      <c r="AP790" s="2" t="s">
        <v>92</v>
      </c>
      <c r="AQ790" s="2" t="s">
        <v>74</v>
      </c>
      <c r="AR790" s="2" t="s">
        <v>74</v>
      </c>
      <c r="AS790" s="2" t="s">
        <v>74</v>
      </c>
      <c r="AT790" s="2" t="s">
        <v>5044</v>
      </c>
      <c r="AU790" s="2">
        <v>2023</v>
      </c>
      <c r="AV790" s="2">
        <v>19</v>
      </c>
      <c r="AW790" s="2">
        <v>5</v>
      </c>
      <c r="AX790" s="2" t="s">
        <v>74</v>
      </c>
      <c r="AY790" s="2" t="s">
        <v>74</v>
      </c>
      <c r="AZ790" s="2" t="s">
        <v>74</v>
      </c>
      <c r="BA790" s="2" t="s">
        <v>74</v>
      </c>
      <c r="BB790" s="2" t="s">
        <v>74</v>
      </c>
      <c r="BC790" s="2" t="s">
        <v>74</v>
      </c>
      <c r="BD790" s="2">
        <v>20220490</v>
      </c>
      <c r="BE790" s="2" t="s">
        <v>5671</v>
      </c>
      <c r="BF790" s="2" t="str">
        <f>HYPERLINK("http://dx.doi.org/10.1098/rsbl.2022.0490","http://dx.doi.org/10.1098/rsbl.2022.0490")</f>
        <v>http://dx.doi.org/10.1098/rsbl.2022.0490</v>
      </c>
      <c r="BG790" s="2" t="s">
        <v>74</v>
      </c>
      <c r="BH790" s="2" t="s">
        <v>74</v>
      </c>
      <c r="BI790" s="2" t="s">
        <v>74</v>
      </c>
      <c r="BJ790" s="2" t="s">
        <v>74</v>
      </c>
      <c r="BK790" s="2" t="s">
        <v>74</v>
      </c>
      <c r="BL790" s="2" t="s">
        <v>74</v>
      </c>
      <c r="BM790" s="2" t="s">
        <v>74</v>
      </c>
      <c r="BN790" s="2">
        <v>37194257</v>
      </c>
      <c r="BO790" s="2" t="s">
        <v>74</v>
      </c>
      <c r="BP790" s="2" t="s">
        <v>74</v>
      </c>
      <c r="BQ790" s="2" t="s">
        <v>74</v>
      </c>
      <c r="BR790" s="2" t="s">
        <v>74</v>
      </c>
      <c r="BS790" s="2" t="s">
        <v>5672</v>
      </c>
      <c r="BT790" s="2" t="str">
        <f>HYPERLINK("https%3A%2F%2Fwww.webofscience.com%2Fwos%2Fwoscc%2Ffull-record%2FWOS:000988392000001","View Full Record in Web of Science")</f>
        <v>View Full Record in Web of Science</v>
      </c>
    </row>
    <row r="791" spans="1:72" s="7" customFormat="1" x14ac:dyDescent="0.4">
      <c r="A791" s="2" t="s">
        <v>72</v>
      </c>
      <c r="B791" s="2" t="s">
        <v>5614</v>
      </c>
      <c r="C791" s="2" t="s">
        <v>74</v>
      </c>
      <c r="D791" s="2" t="s">
        <v>74</v>
      </c>
      <c r="E791" s="2" t="s">
        <v>74</v>
      </c>
      <c r="F791" s="2" t="s">
        <v>5614</v>
      </c>
      <c r="G791" s="2" t="s">
        <v>74</v>
      </c>
      <c r="H791" s="2" t="s">
        <v>74</v>
      </c>
      <c r="I791" s="2" t="s">
        <v>5615</v>
      </c>
      <c r="J791" s="2" t="s">
        <v>344</v>
      </c>
      <c r="K791" s="2" t="s">
        <v>74</v>
      </c>
      <c r="L791" s="2" t="s">
        <v>74</v>
      </c>
      <c r="M791" s="2" t="s">
        <v>74</v>
      </c>
      <c r="N791" s="2" t="s">
        <v>74</v>
      </c>
      <c r="O791" s="2" t="s">
        <v>74</v>
      </c>
      <c r="P791" s="2" t="s">
        <v>74</v>
      </c>
      <c r="Q791" s="2" t="s">
        <v>74</v>
      </c>
      <c r="R791" s="2" t="s">
        <v>74</v>
      </c>
      <c r="S791" s="2" t="s">
        <v>74</v>
      </c>
      <c r="T791" s="2" t="s">
        <v>74</v>
      </c>
      <c r="U791" s="2" t="s">
        <v>74</v>
      </c>
      <c r="V791" s="5" t="s">
        <v>5616</v>
      </c>
      <c r="W791" s="2" t="s">
        <v>74</v>
      </c>
      <c r="X791" s="2" t="s">
        <v>74</v>
      </c>
      <c r="Y791" s="2" t="s">
        <v>74</v>
      </c>
      <c r="Z791" s="2" t="s">
        <v>74</v>
      </c>
      <c r="AA791" s="2" t="s">
        <v>74</v>
      </c>
      <c r="AB791" s="2" t="s">
        <v>74</v>
      </c>
      <c r="AC791" s="2" t="s">
        <v>74</v>
      </c>
      <c r="AD791" s="2" t="s">
        <v>74</v>
      </c>
      <c r="AE791" s="2" t="s">
        <v>74</v>
      </c>
      <c r="AF791" s="2" t="s">
        <v>74</v>
      </c>
      <c r="AG791" s="2" t="s">
        <v>74</v>
      </c>
      <c r="AH791" s="2" t="s">
        <v>74</v>
      </c>
      <c r="AI791" s="2" t="s">
        <v>74</v>
      </c>
      <c r="AJ791" s="2" t="s">
        <v>74</v>
      </c>
      <c r="AK791" s="2" t="s">
        <v>74</v>
      </c>
      <c r="AL791" s="2" t="s">
        <v>74</v>
      </c>
      <c r="AM791" s="2" t="s">
        <v>74</v>
      </c>
      <c r="AN791" s="2" t="s">
        <v>74</v>
      </c>
      <c r="AO791" s="2" t="s">
        <v>346</v>
      </c>
      <c r="AP791" s="2" t="s">
        <v>74</v>
      </c>
      <c r="AQ791" s="2" t="s">
        <v>74</v>
      </c>
      <c r="AR791" s="2" t="s">
        <v>74</v>
      </c>
      <c r="AS791" s="2" t="s">
        <v>74</v>
      </c>
      <c r="AT791" s="2" t="s">
        <v>102</v>
      </c>
      <c r="AU791" s="2">
        <v>1994</v>
      </c>
      <c r="AV791" s="2">
        <v>40</v>
      </c>
      <c r="AW791" s="2">
        <v>2</v>
      </c>
      <c r="AX791" s="2" t="s">
        <v>74</v>
      </c>
      <c r="AY791" s="2" t="s">
        <v>74</v>
      </c>
      <c r="AZ791" s="2" t="s">
        <v>74</v>
      </c>
      <c r="BA791" s="2" t="s">
        <v>74</v>
      </c>
      <c r="BB791" s="2">
        <v>175</v>
      </c>
      <c r="BC791" s="2">
        <v>188</v>
      </c>
      <c r="BD791" s="2" t="s">
        <v>74</v>
      </c>
      <c r="BE791" s="2" t="s">
        <v>5617</v>
      </c>
      <c r="BF791" s="2" t="str">
        <f>HYPERLINK("http://dx.doi.org/10.1007/BF00002544","http://dx.doi.org/10.1007/BF00002544")</f>
        <v>http://dx.doi.org/10.1007/BF00002544</v>
      </c>
      <c r="BG791" s="2" t="s">
        <v>74</v>
      </c>
      <c r="BH791" s="2" t="s">
        <v>74</v>
      </c>
      <c r="BI791" s="2" t="s">
        <v>74</v>
      </c>
      <c r="BJ791" s="2" t="s">
        <v>74</v>
      </c>
      <c r="BK791" s="2" t="s">
        <v>74</v>
      </c>
      <c r="BL791" s="2" t="s">
        <v>74</v>
      </c>
      <c r="BM791" s="2" t="s">
        <v>74</v>
      </c>
      <c r="BN791" s="2" t="s">
        <v>74</v>
      </c>
      <c r="BO791" s="2" t="s">
        <v>74</v>
      </c>
      <c r="BP791" s="2" t="s">
        <v>74</v>
      </c>
      <c r="BQ791" s="2" t="s">
        <v>74</v>
      </c>
      <c r="BR791" s="2" t="s">
        <v>74</v>
      </c>
      <c r="BS791" s="2" t="s">
        <v>5618</v>
      </c>
      <c r="BT791" s="2" t="str">
        <f>HYPERLINK("https%3A%2F%2Fwww.webofscience.com%2Fwos%2Fwoscc%2Ffull-record%2FWOS:A1994NN69200007","View Full Record in Web of Science")</f>
        <v>View Full Record in Web of Science</v>
      </c>
    </row>
    <row r="792" spans="1:72" s="2" customFormat="1" x14ac:dyDescent="0.4">
      <c r="A792" s="2" t="s">
        <v>72</v>
      </c>
      <c r="B792" s="2" t="s">
        <v>6231</v>
      </c>
      <c r="C792" s="2" t="s">
        <v>74</v>
      </c>
      <c r="D792" s="2" t="s">
        <v>74</v>
      </c>
      <c r="E792" s="2" t="s">
        <v>74</v>
      </c>
      <c r="F792" s="2" t="s">
        <v>6232</v>
      </c>
      <c r="G792" s="2" t="s">
        <v>74</v>
      </c>
      <c r="H792" s="2" t="s">
        <v>74</v>
      </c>
      <c r="I792" s="2" t="s">
        <v>6233</v>
      </c>
      <c r="J792" s="2" t="s">
        <v>218</v>
      </c>
      <c r="K792" s="2" t="s">
        <v>74</v>
      </c>
      <c r="L792" s="2" t="s">
        <v>74</v>
      </c>
      <c r="M792" s="2" t="s">
        <v>74</v>
      </c>
      <c r="N792" s="2" t="s">
        <v>74</v>
      </c>
      <c r="O792" s="2" t="s">
        <v>74</v>
      </c>
      <c r="P792" s="2" t="s">
        <v>74</v>
      </c>
      <c r="Q792" s="2" t="s">
        <v>74</v>
      </c>
      <c r="R792" s="2" t="s">
        <v>74</v>
      </c>
      <c r="S792" s="2" t="s">
        <v>74</v>
      </c>
      <c r="T792" s="2" t="s">
        <v>74</v>
      </c>
      <c r="U792" s="2" t="s">
        <v>74</v>
      </c>
      <c r="V792" s="5" t="s">
        <v>6234</v>
      </c>
      <c r="W792" s="2" t="s">
        <v>74</v>
      </c>
      <c r="X792" s="2" t="s">
        <v>74</v>
      </c>
      <c r="Y792" s="2" t="s">
        <v>74</v>
      </c>
      <c r="Z792" s="2" t="s">
        <v>74</v>
      </c>
      <c r="AA792" s="2" t="s">
        <v>6235</v>
      </c>
      <c r="AB792" s="2" t="s">
        <v>74</v>
      </c>
      <c r="AC792" s="2" t="s">
        <v>74</v>
      </c>
      <c r="AD792" s="2" t="s">
        <v>74</v>
      </c>
      <c r="AE792" s="2" t="s">
        <v>74</v>
      </c>
      <c r="AF792" s="2" t="s">
        <v>74</v>
      </c>
      <c r="AG792" s="2" t="s">
        <v>74</v>
      </c>
      <c r="AH792" s="2" t="s">
        <v>74</v>
      </c>
      <c r="AI792" s="2" t="s">
        <v>74</v>
      </c>
      <c r="AJ792" s="2" t="s">
        <v>74</v>
      </c>
      <c r="AK792" s="2" t="s">
        <v>74</v>
      </c>
      <c r="AL792" s="2" t="s">
        <v>74</v>
      </c>
      <c r="AM792" s="2" t="s">
        <v>74</v>
      </c>
      <c r="AN792" s="2" t="s">
        <v>74</v>
      </c>
      <c r="AO792" s="2" t="s">
        <v>221</v>
      </c>
      <c r="AP792" s="2" t="s">
        <v>222</v>
      </c>
      <c r="AQ792" s="2" t="s">
        <v>74</v>
      </c>
      <c r="AR792" s="2" t="s">
        <v>74</v>
      </c>
      <c r="AS792" s="2" t="s">
        <v>74</v>
      </c>
      <c r="AT792" s="2" t="s">
        <v>204</v>
      </c>
      <c r="AU792" s="2">
        <v>2007</v>
      </c>
      <c r="AV792" s="2">
        <v>20</v>
      </c>
      <c r="AW792" s="2">
        <v>4</v>
      </c>
      <c r="AX792" s="2" t="s">
        <v>74</v>
      </c>
      <c r="AY792" s="2" t="s">
        <v>74</v>
      </c>
      <c r="AZ792" s="2" t="s">
        <v>74</v>
      </c>
      <c r="BA792" s="2" t="s">
        <v>74</v>
      </c>
      <c r="BB792" s="2">
        <v>1637</v>
      </c>
      <c r="BC792" s="2">
        <v>1648</v>
      </c>
      <c r="BD792" s="2" t="s">
        <v>74</v>
      </c>
      <c r="BE792" s="2" t="s">
        <v>6236</v>
      </c>
      <c r="BF792" s="2" t="str">
        <f>HYPERLINK("http://dx.doi.org/10.1111/j.1420-9101.2007.01297.x","http://dx.doi.org/10.1111/j.1420-9101.2007.01297.x")</f>
        <v>http://dx.doi.org/10.1111/j.1420-9101.2007.01297.x</v>
      </c>
      <c r="BG792" s="2" t="s">
        <v>74</v>
      </c>
      <c r="BH792" s="2" t="s">
        <v>74</v>
      </c>
      <c r="BI792" s="2" t="s">
        <v>74</v>
      </c>
      <c r="BJ792" s="2" t="s">
        <v>74</v>
      </c>
      <c r="BK792" s="2" t="s">
        <v>74</v>
      </c>
      <c r="BL792" s="2" t="s">
        <v>74</v>
      </c>
      <c r="BM792" s="2" t="s">
        <v>74</v>
      </c>
      <c r="BN792" s="2">
        <v>17584256</v>
      </c>
      <c r="BO792" s="2" t="s">
        <v>74</v>
      </c>
      <c r="BP792" s="2" t="s">
        <v>74</v>
      </c>
      <c r="BQ792" s="2" t="s">
        <v>74</v>
      </c>
      <c r="BR792" s="2" t="s">
        <v>74</v>
      </c>
      <c r="BS792" s="2" t="s">
        <v>6237</v>
      </c>
      <c r="BT792" s="2" t="str">
        <f>HYPERLINK("https%3A%2F%2Fwww.webofscience.com%2Fwos%2Fwoscc%2Ffull-record%2FWOS:000248177600037","View Full Record in Web of Science")</f>
        <v>View Full Record in Web of Science</v>
      </c>
    </row>
    <row r="793" spans="1:72" s="2" customFormat="1" x14ac:dyDescent="0.4">
      <c r="A793" s="2" t="s">
        <v>72</v>
      </c>
      <c r="B793" s="2" t="s">
        <v>3783</v>
      </c>
      <c r="C793" s="2" t="s">
        <v>74</v>
      </c>
      <c r="D793" s="2" t="s">
        <v>74</v>
      </c>
      <c r="E793" s="2" t="s">
        <v>74</v>
      </c>
      <c r="F793" s="2" t="s">
        <v>3783</v>
      </c>
      <c r="G793" s="2" t="s">
        <v>74</v>
      </c>
      <c r="H793" s="2" t="s">
        <v>74</v>
      </c>
      <c r="I793" s="2" t="s">
        <v>3784</v>
      </c>
      <c r="J793" s="2" t="s">
        <v>3785</v>
      </c>
      <c r="K793" s="2" t="s">
        <v>74</v>
      </c>
      <c r="L793" s="2" t="s">
        <v>74</v>
      </c>
      <c r="M793" s="2" t="s">
        <v>74</v>
      </c>
      <c r="N793" s="2" t="s">
        <v>74</v>
      </c>
      <c r="O793" s="2" t="s">
        <v>74</v>
      </c>
      <c r="P793" s="2" t="s">
        <v>74</v>
      </c>
      <c r="Q793" s="2" t="s">
        <v>74</v>
      </c>
      <c r="R793" s="2" t="s">
        <v>74</v>
      </c>
      <c r="S793" s="2" t="s">
        <v>74</v>
      </c>
      <c r="T793" s="2" t="s">
        <v>74</v>
      </c>
      <c r="U793" s="2" t="s">
        <v>74</v>
      </c>
      <c r="V793" s="5" t="s">
        <v>3786</v>
      </c>
      <c r="W793" s="2" t="s">
        <v>74</v>
      </c>
      <c r="X793" s="2" t="s">
        <v>74</v>
      </c>
      <c r="Y793" s="2" t="s">
        <v>74</v>
      </c>
      <c r="Z793" s="2" t="s">
        <v>74</v>
      </c>
      <c r="AA793" s="2" t="s">
        <v>74</v>
      </c>
      <c r="AB793" s="2" t="s">
        <v>74</v>
      </c>
      <c r="AC793" s="2" t="s">
        <v>74</v>
      </c>
      <c r="AD793" s="2" t="s">
        <v>74</v>
      </c>
      <c r="AE793" s="2" t="s">
        <v>74</v>
      </c>
      <c r="AF793" s="2" t="s">
        <v>74</v>
      </c>
      <c r="AG793" s="2" t="s">
        <v>74</v>
      </c>
      <c r="AH793" s="2" t="s">
        <v>74</v>
      </c>
      <c r="AI793" s="2" t="s">
        <v>74</v>
      </c>
      <c r="AJ793" s="2" t="s">
        <v>74</v>
      </c>
      <c r="AK793" s="2" t="s">
        <v>74</v>
      </c>
      <c r="AL793" s="2" t="s">
        <v>74</v>
      </c>
      <c r="AM793" s="2" t="s">
        <v>74</v>
      </c>
      <c r="AN793" s="2" t="s">
        <v>74</v>
      </c>
      <c r="AO793" s="2" t="s">
        <v>3787</v>
      </c>
      <c r="AP793" s="2" t="s">
        <v>3788</v>
      </c>
      <c r="AQ793" s="2" t="s">
        <v>74</v>
      </c>
      <c r="AR793" s="2" t="s">
        <v>74</v>
      </c>
      <c r="AS793" s="2" t="s">
        <v>74</v>
      </c>
      <c r="AT793" s="2" t="s">
        <v>213</v>
      </c>
      <c r="AU793" s="2">
        <v>2002</v>
      </c>
      <c r="AV793" s="2">
        <v>47</v>
      </c>
      <c r="AW793" s="2">
        <v>11</v>
      </c>
      <c r="AX793" s="2" t="s">
        <v>74</v>
      </c>
      <c r="AY793" s="2" t="s">
        <v>74</v>
      </c>
      <c r="AZ793" s="2" t="s">
        <v>74</v>
      </c>
      <c r="BA793" s="2" t="s">
        <v>74</v>
      </c>
      <c r="BB793" s="2">
        <v>2039</v>
      </c>
      <c r="BC793" s="2">
        <v>2048</v>
      </c>
      <c r="BD793" s="2" t="s">
        <v>74</v>
      </c>
      <c r="BE793" s="2" t="s">
        <v>3789</v>
      </c>
      <c r="BF793" s="2" t="str">
        <f>HYPERLINK("http://dx.doi.org/10.1046/j.1365-2427.2002.00944.x","http://dx.doi.org/10.1046/j.1365-2427.2002.00944.x")</f>
        <v>http://dx.doi.org/10.1046/j.1365-2427.2002.00944.x</v>
      </c>
      <c r="BG793" s="2" t="s">
        <v>74</v>
      </c>
      <c r="BH793" s="2" t="s">
        <v>74</v>
      </c>
      <c r="BI793" s="2" t="s">
        <v>74</v>
      </c>
      <c r="BJ793" s="2" t="s">
        <v>74</v>
      </c>
      <c r="BK793" s="2" t="s">
        <v>74</v>
      </c>
      <c r="BL793" s="2" t="s">
        <v>74</v>
      </c>
      <c r="BM793" s="2" t="s">
        <v>74</v>
      </c>
      <c r="BN793" s="2" t="s">
        <v>74</v>
      </c>
      <c r="BO793" s="2" t="s">
        <v>74</v>
      </c>
      <c r="BP793" s="2" t="s">
        <v>74</v>
      </c>
      <c r="BQ793" s="2" t="s">
        <v>74</v>
      </c>
      <c r="BR793" s="2" t="s">
        <v>74</v>
      </c>
      <c r="BS793" s="2" t="s">
        <v>3790</v>
      </c>
      <c r="BT793" s="2" t="str">
        <f>HYPERLINK("https%3A%2F%2Fwww.webofscience.com%2Fwos%2Fwoscc%2Ffull-record%2FWOS:000178848300001","View Full Record in Web of Science")</f>
        <v>View Full Record in Web of Science</v>
      </c>
    </row>
    <row r="794" spans="1:72" s="2" customFormat="1" x14ac:dyDescent="0.4">
      <c r="A794" s="2" t="s">
        <v>72</v>
      </c>
      <c r="B794" s="2" t="s">
        <v>8452</v>
      </c>
      <c r="C794" s="2" t="s">
        <v>74</v>
      </c>
      <c r="D794" s="2" t="s">
        <v>74</v>
      </c>
      <c r="E794" s="2" t="s">
        <v>74</v>
      </c>
      <c r="F794" s="2" t="s">
        <v>8452</v>
      </c>
      <c r="G794" s="2" t="s">
        <v>74</v>
      </c>
      <c r="H794" s="2" t="s">
        <v>74</v>
      </c>
      <c r="I794" s="2" t="s">
        <v>8453</v>
      </c>
      <c r="J794" s="2" t="s">
        <v>4655</v>
      </c>
      <c r="K794" s="2" t="s">
        <v>74</v>
      </c>
      <c r="L794" s="2" t="s">
        <v>74</v>
      </c>
      <c r="M794" s="2" t="s">
        <v>74</v>
      </c>
      <c r="N794" s="2" t="s">
        <v>74</v>
      </c>
      <c r="O794" s="2" t="s">
        <v>74</v>
      </c>
      <c r="P794" s="2" t="s">
        <v>74</v>
      </c>
      <c r="Q794" s="2" t="s">
        <v>74</v>
      </c>
      <c r="R794" s="2" t="s">
        <v>74</v>
      </c>
      <c r="S794" s="2" t="s">
        <v>74</v>
      </c>
      <c r="T794" s="2" t="s">
        <v>74</v>
      </c>
      <c r="U794" s="2" t="s">
        <v>74</v>
      </c>
      <c r="V794" s="5" t="s">
        <v>8454</v>
      </c>
      <c r="W794" s="2" t="s">
        <v>74</v>
      </c>
      <c r="X794" s="2" t="s">
        <v>74</v>
      </c>
      <c r="Y794" s="2" t="s">
        <v>74</v>
      </c>
      <c r="Z794" s="2" t="s">
        <v>74</v>
      </c>
      <c r="AA794" s="2" t="s">
        <v>8455</v>
      </c>
      <c r="AB794" s="2" t="s">
        <v>8456</v>
      </c>
      <c r="AC794" s="2" t="s">
        <v>74</v>
      </c>
      <c r="AD794" s="2" t="s">
        <v>74</v>
      </c>
      <c r="AE794" s="2" t="s">
        <v>74</v>
      </c>
      <c r="AF794" s="2" t="s">
        <v>74</v>
      </c>
      <c r="AG794" s="2" t="s">
        <v>74</v>
      </c>
      <c r="AH794" s="2" t="s">
        <v>74</v>
      </c>
      <c r="AI794" s="2" t="s">
        <v>74</v>
      </c>
      <c r="AJ794" s="2" t="s">
        <v>74</v>
      </c>
      <c r="AK794" s="2" t="s">
        <v>74</v>
      </c>
      <c r="AL794" s="2" t="s">
        <v>74</v>
      </c>
      <c r="AM794" s="2" t="s">
        <v>74</v>
      </c>
      <c r="AN794" s="2" t="s">
        <v>74</v>
      </c>
      <c r="AO794" s="2" t="s">
        <v>4657</v>
      </c>
      <c r="AP794" s="2" t="s">
        <v>74</v>
      </c>
      <c r="AQ794" s="2" t="s">
        <v>74</v>
      </c>
      <c r="AR794" s="2" t="s">
        <v>74</v>
      </c>
      <c r="AS794" s="2" t="s">
        <v>74</v>
      </c>
      <c r="AT794" s="2" t="s">
        <v>123</v>
      </c>
      <c r="AU794" s="2">
        <v>2002</v>
      </c>
      <c r="AV794" s="2">
        <v>114</v>
      </c>
      <c r="AW794" s="2">
        <v>1</v>
      </c>
      <c r="AX794" s="2" t="s">
        <v>74</v>
      </c>
      <c r="AY794" s="2" t="s">
        <v>74</v>
      </c>
      <c r="AZ794" s="2" t="s">
        <v>74</v>
      </c>
      <c r="BA794" s="2" t="s">
        <v>74</v>
      </c>
      <c r="BB794" s="2">
        <v>106</v>
      </c>
      <c r="BC794" s="2">
        <v>113</v>
      </c>
      <c r="BD794" s="2" t="s">
        <v>74</v>
      </c>
      <c r="BE794" s="2" t="s">
        <v>8457</v>
      </c>
      <c r="BF794" s="2" t="str">
        <f>HYPERLINK("http://dx.doi.org/10.1676/0043-5643(2002)114[0106:OPITLW]2.0.CO;2","http://dx.doi.org/10.1676/0043-5643(2002)114[0106:OPITLW]2.0.CO;2")</f>
        <v>http://dx.doi.org/10.1676/0043-5643(2002)114[0106:OPITLW]2.0.CO;2</v>
      </c>
      <c r="BG794" s="2" t="s">
        <v>74</v>
      </c>
      <c r="BH794" s="2" t="s">
        <v>74</v>
      </c>
      <c r="BI794" s="2" t="s">
        <v>74</v>
      </c>
      <c r="BJ794" s="2" t="s">
        <v>74</v>
      </c>
      <c r="BK794" s="2" t="s">
        <v>74</v>
      </c>
      <c r="BL794" s="2" t="s">
        <v>74</v>
      </c>
      <c r="BM794" s="2" t="s">
        <v>74</v>
      </c>
      <c r="BN794" s="2" t="s">
        <v>74</v>
      </c>
      <c r="BO794" s="2" t="s">
        <v>74</v>
      </c>
      <c r="BP794" s="2" t="s">
        <v>74</v>
      </c>
      <c r="BQ794" s="2" t="s">
        <v>74</v>
      </c>
      <c r="BR794" s="2" t="s">
        <v>74</v>
      </c>
      <c r="BS794" s="2" t="s">
        <v>8458</v>
      </c>
      <c r="BT794" s="2" t="str">
        <f>HYPERLINK("https%3A%2F%2Fwww.webofscience.com%2Fwos%2Fwoscc%2Ffull-record%2FWOS:000178580800010","View Full Record in Web of Science")</f>
        <v>View Full Record in Web of Science</v>
      </c>
    </row>
    <row r="795" spans="1:72" s="2" customFormat="1" x14ac:dyDescent="0.4">
      <c r="A795" s="2" t="s">
        <v>72</v>
      </c>
      <c r="B795" s="2" t="s">
        <v>6940</v>
      </c>
      <c r="C795" s="2" t="s">
        <v>74</v>
      </c>
      <c r="D795" s="2" t="s">
        <v>74</v>
      </c>
      <c r="E795" s="2" t="s">
        <v>74</v>
      </c>
      <c r="F795" s="2" t="s">
        <v>6940</v>
      </c>
      <c r="G795" s="2" t="s">
        <v>74</v>
      </c>
      <c r="H795" s="2" t="s">
        <v>74</v>
      </c>
      <c r="I795" s="2" t="s">
        <v>6941</v>
      </c>
      <c r="J795" s="2" t="s">
        <v>129</v>
      </c>
      <c r="K795" s="2" t="s">
        <v>74</v>
      </c>
      <c r="L795" s="2" t="s">
        <v>74</v>
      </c>
      <c r="M795" s="2" t="s">
        <v>74</v>
      </c>
      <c r="N795" s="2" t="s">
        <v>74</v>
      </c>
      <c r="O795" s="2" t="s">
        <v>74</v>
      </c>
      <c r="P795" s="2" t="s">
        <v>74</v>
      </c>
      <c r="Q795" s="2" t="s">
        <v>74</v>
      </c>
      <c r="R795" s="2" t="s">
        <v>74</v>
      </c>
      <c r="S795" s="2" t="s">
        <v>74</v>
      </c>
      <c r="T795" s="2" t="s">
        <v>74</v>
      </c>
      <c r="U795" s="2" t="s">
        <v>74</v>
      </c>
      <c r="V795" s="5" t="s">
        <v>6942</v>
      </c>
      <c r="W795" s="2" t="s">
        <v>74</v>
      </c>
      <c r="X795" s="2" t="s">
        <v>74</v>
      </c>
      <c r="Y795" s="2" t="s">
        <v>74</v>
      </c>
      <c r="Z795" s="2" t="s">
        <v>74</v>
      </c>
      <c r="AA795" s="2" t="s">
        <v>74</v>
      </c>
      <c r="AB795" s="2" t="s">
        <v>74</v>
      </c>
      <c r="AC795" s="2" t="s">
        <v>74</v>
      </c>
      <c r="AD795" s="2" t="s">
        <v>74</v>
      </c>
      <c r="AE795" s="2" t="s">
        <v>74</v>
      </c>
      <c r="AF795" s="2" t="s">
        <v>74</v>
      </c>
      <c r="AG795" s="2" t="s">
        <v>74</v>
      </c>
      <c r="AH795" s="2" t="s">
        <v>74</v>
      </c>
      <c r="AI795" s="2" t="s">
        <v>74</v>
      </c>
      <c r="AJ795" s="2" t="s">
        <v>74</v>
      </c>
      <c r="AK795" s="2" t="s">
        <v>74</v>
      </c>
      <c r="AL795" s="2" t="s">
        <v>74</v>
      </c>
      <c r="AM795" s="2" t="s">
        <v>74</v>
      </c>
      <c r="AN795" s="2" t="s">
        <v>74</v>
      </c>
      <c r="AO795" s="2" t="s">
        <v>132</v>
      </c>
      <c r="AP795" s="2" t="s">
        <v>133</v>
      </c>
      <c r="AQ795" s="2" t="s">
        <v>74</v>
      </c>
      <c r="AR795" s="2" t="s">
        <v>74</v>
      </c>
      <c r="AS795" s="2" t="s">
        <v>74</v>
      </c>
      <c r="AT795" s="2" t="s">
        <v>74</v>
      </c>
      <c r="AU795" s="2">
        <v>1989</v>
      </c>
      <c r="AV795" s="2">
        <v>25</v>
      </c>
      <c r="AW795" s="2">
        <v>1</v>
      </c>
      <c r="AX795" s="2" t="s">
        <v>74</v>
      </c>
      <c r="AY795" s="2" t="s">
        <v>74</v>
      </c>
      <c r="AZ795" s="2" t="s">
        <v>74</v>
      </c>
      <c r="BA795" s="2" t="s">
        <v>74</v>
      </c>
      <c r="BB795" s="2">
        <v>23</v>
      </c>
      <c r="BC795" s="2">
        <v>31</v>
      </c>
      <c r="BD795" s="2" t="s">
        <v>74</v>
      </c>
      <c r="BE795" s="2" t="s">
        <v>6943</v>
      </c>
      <c r="BF795" s="2" t="str">
        <f>HYPERLINK("http://dx.doi.org/10.1007/BF00299707","http://dx.doi.org/10.1007/BF00299707")</f>
        <v>http://dx.doi.org/10.1007/BF00299707</v>
      </c>
      <c r="BG795" s="2" t="s">
        <v>74</v>
      </c>
      <c r="BH795" s="2" t="s">
        <v>74</v>
      </c>
      <c r="BI795" s="2" t="s">
        <v>74</v>
      </c>
      <c r="BJ795" s="2" t="s">
        <v>74</v>
      </c>
      <c r="BK795" s="2" t="s">
        <v>74</v>
      </c>
      <c r="BL795" s="2" t="s">
        <v>74</v>
      </c>
      <c r="BM795" s="2" t="s">
        <v>74</v>
      </c>
      <c r="BN795" s="2" t="s">
        <v>74</v>
      </c>
      <c r="BO795" s="2" t="s">
        <v>74</v>
      </c>
      <c r="BP795" s="2" t="s">
        <v>74</v>
      </c>
      <c r="BQ795" s="2" t="s">
        <v>74</v>
      </c>
      <c r="BR795" s="2" t="s">
        <v>74</v>
      </c>
      <c r="BS795" s="2" t="s">
        <v>6944</v>
      </c>
      <c r="BT795" s="2" t="str">
        <f>HYPERLINK("https%3A%2F%2Fwww.webofscience.com%2Fwos%2Fwoscc%2Ffull-record%2FWOS:A1989AJ00400003","View Full Record in Web of Science")</f>
        <v>View Full Record in Web of Science</v>
      </c>
    </row>
    <row r="796" spans="1:72" s="2" customFormat="1" x14ac:dyDescent="0.4">
      <c r="A796" s="2" t="s">
        <v>72</v>
      </c>
      <c r="B796" s="2" t="s">
        <v>8050</v>
      </c>
      <c r="C796" s="2" t="s">
        <v>74</v>
      </c>
      <c r="D796" s="2" t="s">
        <v>74</v>
      </c>
      <c r="E796" s="2" t="s">
        <v>74</v>
      </c>
      <c r="F796" s="2" t="s">
        <v>8051</v>
      </c>
      <c r="G796" s="2" t="s">
        <v>74</v>
      </c>
      <c r="H796" s="2" t="s">
        <v>74</v>
      </c>
      <c r="I796" s="2" t="s">
        <v>8052</v>
      </c>
      <c r="J796" s="2" t="s">
        <v>431</v>
      </c>
      <c r="K796" s="2" t="s">
        <v>74</v>
      </c>
      <c r="L796" s="2" t="s">
        <v>74</v>
      </c>
      <c r="M796" s="2" t="s">
        <v>74</v>
      </c>
      <c r="N796" s="2" t="s">
        <v>74</v>
      </c>
      <c r="O796" s="2" t="s">
        <v>74</v>
      </c>
      <c r="P796" s="2" t="s">
        <v>74</v>
      </c>
      <c r="Q796" s="2" t="s">
        <v>74</v>
      </c>
      <c r="R796" s="2" t="s">
        <v>74</v>
      </c>
      <c r="S796" s="2" t="s">
        <v>74</v>
      </c>
      <c r="T796" s="2" t="s">
        <v>74</v>
      </c>
      <c r="U796" s="2" t="s">
        <v>74</v>
      </c>
      <c r="V796" s="5" t="s">
        <v>8053</v>
      </c>
      <c r="W796" s="2" t="s">
        <v>74</v>
      </c>
      <c r="X796" s="2" t="s">
        <v>74</v>
      </c>
      <c r="Y796" s="2" t="s">
        <v>74</v>
      </c>
      <c r="Z796" s="2" t="s">
        <v>74</v>
      </c>
      <c r="AA796" s="2" t="s">
        <v>8054</v>
      </c>
      <c r="AB796" s="2" t="s">
        <v>8055</v>
      </c>
      <c r="AC796" s="2" t="s">
        <v>74</v>
      </c>
      <c r="AD796" s="2" t="s">
        <v>74</v>
      </c>
      <c r="AE796" s="2" t="s">
        <v>74</v>
      </c>
      <c r="AF796" s="2" t="s">
        <v>74</v>
      </c>
      <c r="AG796" s="2" t="s">
        <v>74</v>
      </c>
      <c r="AH796" s="2" t="s">
        <v>74</v>
      </c>
      <c r="AI796" s="2" t="s">
        <v>74</v>
      </c>
      <c r="AJ796" s="2" t="s">
        <v>74</v>
      </c>
      <c r="AK796" s="2" t="s">
        <v>74</v>
      </c>
      <c r="AL796" s="2" t="s">
        <v>74</v>
      </c>
      <c r="AM796" s="2" t="s">
        <v>74</v>
      </c>
      <c r="AN796" s="2" t="s">
        <v>74</v>
      </c>
      <c r="AO796" s="2" t="s">
        <v>1458</v>
      </c>
      <c r="AP796" s="2" t="s">
        <v>435</v>
      </c>
      <c r="AQ796" s="2" t="s">
        <v>74</v>
      </c>
      <c r="AR796" s="2" t="s">
        <v>74</v>
      </c>
      <c r="AS796" s="2" t="s">
        <v>74</v>
      </c>
      <c r="AT796" s="2" t="s">
        <v>633</v>
      </c>
      <c r="AU796" s="2">
        <v>2007</v>
      </c>
      <c r="AV796" s="2">
        <v>124</v>
      </c>
      <c r="AW796" s="2">
        <v>2</v>
      </c>
      <c r="AX796" s="2" t="s">
        <v>74</v>
      </c>
      <c r="AY796" s="2" t="s">
        <v>74</v>
      </c>
      <c r="AZ796" s="2" t="s">
        <v>74</v>
      </c>
      <c r="BA796" s="2" t="s">
        <v>74</v>
      </c>
      <c r="BB796" s="2">
        <v>619</v>
      </c>
      <c r="BC796" s="2">
        <v>627</v>
      </c>
      <c r="BD796" s="2" t="s">
        <v>74</v>
      </c>
      <c r="BE796" s="2" t="s">
        <v>8056</v>
      </c>
      <c r="BF796" s="2" t="str">
        <f>HYPERLINK("http://dx.doi.org/10.1093/auk/124.2.619","http://dx.doi.org/10.1093/auk/124.2.619")</f>
        <v>http://dx.doi.org/10.1093/auk/124.2.619</v>
      </c>
      <c r="BG796" s="2" t="s">
        <v>74</v>
      </c>
      <c r="BH796" s="2" t="s">
        <v>74</v>
      </c>
      <c r="BI796" s="2" t="s">
        <v>74</v>
      </c>
      <c r="BJ796" s="2" t="s">
        <v>74</v>
      </c>
      <c r="BK796" s="2" t="s">
        <v>74</v>
      </c>
      <c r="BL796" s="2" t="s">
        <v>74</v>
      </c>
      <c r="BM796" s="2" t="s">
        <v>74</v>
      </c>
      <c r="BN796" s="2" t="s">
        <v>74</v>
      </c>
      <c r="BO796" s="2" t="s">
        <v>74</v>
      </c>
      <c r="BP796" s="2" t="s">
        <v>74</v>
      </c>
      <c r="BQ796" s="2" t="s">
        <v>74</v>
      </c>
      <c r="BR796" s="2" t="s">
        <v>74</v>
      </c>
      <c r="BS796" s="2" t="s">
        <v>8057</v>
      </c>
      <c r="BT796" s="2" t="str">
        <f>HYPERLINK("https%3A%2F%2Fwww.webofscience.com%2Fwos%2Fwoscc%2Ffull-record%2FWOS:000246596400020","View Full Record in Web of Science")</f>
        <v>View Full Record in Web of Science</v>
      </c>
    </row>
    <row r="797" spans="1:72" s="2" customFormat="1" x14ac:dyDescent="0.4">
      <c r="A797" s="2" t="s">
        <v>72</v>
      </c>
      <c r="B797" s="2" t="s">
        <v>7175</v>
      </c>
      <c r="C797" s="2" t="s">
        <v>74</v>
      </c>
      <c r="D797" s="2" t="s">
        <v>74</v>
      </c>
      <c r="E797" s="2" t="s">
        <v>74</v>
      </c>
      <c r="F797" s="2" t="s">
        <v>7176</v>
      </c>
      <c r="G797" s="2" t="s">
        <v>74</v>
      </c>
      <c r="H797" s="2" t="s">
        <v>74</v>
      </c>
      <c r="I797" s="2" t="s">
        <v>7177</v>
      </c>
      <c r="J797" s="2" t="s">
        <v>763</v>
      </c>
      <c r="K797" s="2" t="s">
        <v>74</v>
      </c>
      <c r="L797" s="2" t="s">
        <v>74</v>
      </c>
      <c r="M797" s="2" t="s">
        <v>74</v>
      </c>
      <c r="N797" s="2" t="s">
        <v>74</v>
      </c>
      <c r="O797" s="2" t="s">
        <v>74</v>
      </c>
      <c r="P797" s="2" t="s">
        <v>74</v>
      </c>
      <c r="Q797" s="2" t="s">
        <v>74</v>
      </c>
      <c r="R797" s="2" t="s">
        <v>74</v>
      </c>
      <c r="S797" s="2" t="s">
        <v>74</v>
      </c>
      <c r="T797" s="2" t="s">
        <v>74</v>
      </c>
      <c r="U797" s="2" t="s">
        <v>74</v>
      </c>
      <c r="V797" s="5" t="s">
        <v>7178</v>
      </c>
      <c r="W797" s="2" t="s">
        <v>74</v>
      </c>
      <c r="X797" s="2" t="s">
        <v>74</v>
      </c>
      <c r="Y797" s="2" t="s">
        <v>74</v>
      </c>
      <c r="Z797" s="2" t="s">
        <v>74</v>
      </c>
      <c r="AA797" s="2" t="s">
        <v>7179</v>
      </c>
      <c r="AB797" s="2" t="s">
        <v>7180</v>
      </c>
      <c r="AC797" s="2" t="s">
        <v>74</v>
      </c>
      <c r="AD797" s="2" t="s">
        <v>74</v>
      </c>
      <c r="AE797" s="2" t="s">
        <v>74</v>
      </c>
      <c r="AF797" s="2" t="s">
        <v>74</v>
      </c>
      <c r="AG797" s="2" t="s">
        <v>74</v>
      </c>
      <c r="AH797" s="2" t="s">
        <v>74</v>
      </c>
      <c r="AI797" s="2" t="s">
        <v>74</v>
      </c>
      <c r="AJ797" s="2" t="s">
        <v>74</v>
      </c>
      <c r="AK797" s="2" t="s">
        <v>74</v>
      </c>
      <c r="AL797" s="2" t="s">
        <v>74</v>
      </c>
      <c r="AM797" s="2" t="s">
        <v>74</v>
      </c>
      <c r="AN797" s="2" t="s">
        <v>74</v>
      </c>
      <c r="AO797" s="2" t="s">
        <v>767</v>
      </c>
      <c r="AP797" s="2" t="s">
        <v>768</v>
      </c>
      <c r="AQ797" s="2" t="s">
        <v>74</v>
      </c>
      <c r="AR797" s="2" t="s">
        <v>74</v>
      </c>
      <c r="AS797" s="2" t="s">
        <v>74</v>
      </c>
      <c r="AT797" s="2" t="s">
        <v>102</v>
      </c>
      <c r="AU797" s="2">
        <v>2022</v>
      </c>
      <c r="AV797" s="2">
        <v>225</v>
      </c>
      <c r="AW797" s="2">
        <v>11</v>
      </c>
      <c r="AX797" s="2" t="s">
        <v>74</v>
      </c>
      <c r="AY797" s="2" t="s">
        <v>74</v>
      </c>
      <c r="AZ797" s="2" t="s">
        <v>74</v>
      </c>
      <c r="BA797" s="2" t="s">
        <v>74</v>
      </c>
      <c r="BB797" s="2" t="s">
        <v>74</v>
      </c>
      <c r="BC797" s="2" t="s">
        <v>74</v>
      </c>
      <c r="BD797" s="2" t="s">
        <v>7181</v>
      </c>
      <c r="BE797" s="2" t="s">
        <v>7182</v>
      </c>
      <c r="BF797" s="2" t="str">
        <f>HYPERLINK("http://dx.doi.org/10.1242/jeb.244317","http://dx.doi.org/10.1242/jeb.244317")</f>
        <v>http://dx.doi.org/10.1242/jeb.244317</v>
      </c>
      <c r="BG797" s="2" t="s">
        <v>74</v>
      </c>
      <c r="BH797" s="2" t="s">
        <v>74</v>
      </c>
      <c r="BI797" s="2" t="s">
        <v>74</v>
      </c>
      <c r="BJ797" s="2" t="s">
        <v>74</v>
      </c>
      <c r="BK797" s="2" t="s">
        <v>74</v>
      </c>
      <c r="BL797" s="2" t="s">
        <v>74</v>
      </c>
      <c r="BM797" s="2" t="s">
        <v>74</v>
      </c>
      <c r="BN797" s="2">
        <v>35582824</v>
      </c>
      <c r="BO797" s="2" t="s">
        <v>74</v>
      </c>
      <c r="BP797" s="2" t="s">
        <v>74</v>
      </c>
      <c r="BQ797" s="2" t="s">
        <v>74</v>
      </c>
      <c r="BR797" s="2" t="s">
        <v>74</v>
      </c>
      <c r="BS797" s="2" t="s">
        <v>7183</v>
      </c>
      <c r="BT797" s="2" t="str">
        <f>HYPERLINK("https%3A%2F%2Fwww.webofscience.com%2Fwos%2Fwoscc%2Ffull-record%2FWOS:000811278900021","View Full Record in Web of Science")</f>
        <v>View Full Record in Web of Science</v>
      </c>
    </row>
    <row r="798" spans="1:72" s="2" customFormat="1" x14ac:dyDescent="0.4">
      <c r="A798" s="2" t="s">
        <v>72</v>
      </c>
      <c r="B798" s="2" t="s">
        <v>7039</v>
      </c>
      <c r="C798" s="2" t="s">
        <v>74</v>
      </c>
      <c r="D798" s="2" t="s">
        <v>74</v>
      </c>
      <c r="E798" s="2" t="s">
        <v>74</v>
      </c>
      <c r="F798" s="2" t="s">
        <v>7040</v>
      </c>
      <c r="G798" s="2" t="s">
        <v>74</v>
      </c>
      <c r="H798" s="2" t="s">
        <v>74</v>
      </c>
      <c r="I798" s="2" t="s">
        <v>7041</v>
      </c>
      <c r="J798" s="2" t="s">
        <v>129</v>
      </c>
      <c r="K798" s="2" t="s">
        <v>74</v>
      </c>
      <c r="L798" s="2" t="s">
        <v>74</v>
      </c>
      <c r="M798" s="2" t="s">
        <v>74</v>
      </c>
      <c r="N798" s="2" t="s">
        <v>74</v>
      </c>
      <c r="O798" s="2" t="s">
        <v>74</v>
      </c>
      <c r="P798" s="2" t="s">
        <v>74</v>
      </c>
      <c r="Q798" s="2" t="s">
        <v>74</v>
      </c>
      <c r="R798" s="2" t="s">
        <v>74</v>
      </c>
      <c r="S798" s="2" t="s">
        <v>74</v>
      </c>
      <c r="T798" s="2" t="s">
        <v>74</v>
      </c>
      <c r="U798" s="2" t="s">
        <v>74</v>
      </c>
      <c r="V798" s="5" t="s">
        <v>7042</v>
      </c>
      <c r="W798" s="2" t="s">
        <v>74</v>
      </c>
      <c r="X798" s="2" t="s">
        <v>74</v>
      </c>
      <c r="Y798" s="2" t="s">
        <v>74</v>
      </c>
      <c r="Z798" s="2" t="s">
        <v>74</v>
      </c>
      <c r="AA798" s="2" t="s">
        <v>7043</v>
      </c>
      <c r="AB798" s="2" t="s">
        <v>7044</v>
      </c>
      <c r="AC798" s="2" t="s">
        <v>74</v>
      </c>
      <c r="AD798" s="2" t="s">
        <v>74</v>
      </c>
      <c r="AE798" s="2" t="s">
        <v>74</v>
      </c>
      <c r="AF798" s="2" t="s">
        <v>74</v>
      </c>
      <c r="AG798" s="2" t="s">
        <v>74</v>
      </c>
      <c r="AH798" s="2" t="s">
        <v>74</v>
      </c>
      <c r="AI798" s="2" t="s">
        <v>74</v>
      </c>
      <c r="AJ798" s="2" t="s">
        <v>74</v>
      </c>
      <c r="AK798" s="2" t="s">
        <v>74</v>
      </c>
      <c r="AL798" s="2" t="s">
        <v>74</v>
      </c>
      <c r="AM798" s="2" t="s">
        <v>74</v>
      </c>
      <c r="AN798" s="2" t="s">
        <v>74</v>
      </c>
      <c r="AO798" s="2" t="s">
        <v>132</v>
      </c>
      <c r="AP798" s="2" t="s">
        <v>133</v>
      </c>
      <c r="AQ798" s="2" t="s">
        <v>74</v>
      </c>
      <c r="AR798" s="2" t="s">
        <v>74</v>
      </c>
      <c r="AS798" s="2" t="s">
        <v>74</v>
      </c>
      <c r="AT798" s="2" t="s">
        <v>204</v>
      </c>
      <c r="AU798" s="2">
        <v>2019</v>
      </c>
      <c r="AV798" s="2">
        <v>73</v>
      </c>
      <c r="AW798" s="2">
        <v>7</v>
      </c>
      <c r="AX798" s="2" t="s">
        <v>74</v>
      </c>
      <c r="AY798" s="2" t="s">
        <v>74</v>
      </c>
      <c r="AZ798" s="2" t="s">
        <v>74</v>
      </c>
      <c r="BA798" s="2" t="s">
        <v>74</v>
      </c>
      <c r="BB798" s="2" t="s">
        <v>74</v>
      </c>
      <c r="BC798" s="2" t="s">
        <v>74</v>
      </c>
      <c r="BD798" s="2">
        <v>98</v>
      </c>
      <c r="BE798" s="2" t="s">
        <v>7045</v>
      </c>
      <c r="BF798" s="2" t="str">
        <f>HYPERLINK("http://dx.doi.org/10.1007/s00265-019-2710-z","http://dx.doi.org/10.1007/s00265-019-2710-z")</f>
        <v>http://dx.doi.org/10.1007/s00265-019-2710-z</v>
      </c>
      <c r="BG798" s="2" t="s">
        <v>74</v>
      </c>
      <c r="BH798" s="2" t="s">
        <v>74</v>
      </c>
      <c r="BI798" s="2" t="s">
        <v>74</v>
      </c>
      <c r="BJ798" s="2" t="s">
        <v>74</v>
      </c>
      <c r="BK798" s="2" t="s">
        <v>74</v>
      </c>
      <c r="BL798" s="2" t="s">
        <v>74</v>
      </c>
      <c r="BM798" s="2" t="s">
        <v>74</v>
      </c>
      <c r="BN798" s="2" t="s">
        <v>74</v>
      </c>
      <c r="BO798" s="2" t="s">
        <v>74</v>
      </c>
      <c r="BP798" s="2" t="s">
        <v>74</v>
      </c>
      <c r="BQ798" s="2" t="s">
        <v>74</v>
      </c>
      <c r="BR798" s="2" t="s">
        <v>74</v>
      </c>
      <c r="BS798" s="2" t="s">
        <v>7046</v>
      </c>
      <c r="BT798" s="2" t="str">
        <f>HYPERLINK("https%3A%2F%2Fwww.webofscience.com%2Fwos%2Fwoscc%2Ffull-record%2FWOS:000473131000001","View Full Record in Web of Science")</f>
        <v>View Full Record in Web of Science</v>
      </c>
    </row>
    <row r="799" spans="1:72" s="2" customFormat="1" x14ac:dyDescent="0.4">
      <c r="A799" s="2" t="s">
        <v>72</v>
      </c>
      <c r="B799" s="2" t="s">
        <v>4833</v>
      </c>
      <c r="C799" s="2" t="s">
        <v>74</v>
      </c>
      <c r="D799" s="2" t="s">
        <v>74</v>
      </c>
      <c r="E799" s="2" t="s">
        <v>74</v>
      </c>
      <c r="F799" s="2" t="s">
        <v>4834</v>
      </c>
      <c r="G799" s="2" t="s">
        <v>74</v>
      </c>
      <c r="H799" s="2" t="s">
        <v>74</v>
      </c>
      <c r="I799" s="2" t="s">
        <v>4835</v>
      </c>
      <c r="J799" s="2" t="s">
        <v>4836</v>
      </c>
      <c r="K799" s="2" t="s">
        <v>74</v>
      </c>
      <c r="L799" s="2" t="s">
        <v>74</v>
      </c>
      <c r="M799" s="2" t="s">
        <v>74</v>
      </c>
      <c r="N799" s="2" t="s">
        <v>74</v>
      </c>
      <c r="O799" s="2" t="s">
        <v>74</v>
      </c>
      <c r="P799" s="2" t="s">
        <v>74</v>
      </c>
      <c r="Q799" s="2" t="s">
        <v>74</v>
      </c>
      <c r="R799" s="2" t="s">
        <v>74</v>
      </c>
      <c r="S799" s="2" t="s">
        <v>74</v>
      </c>
      <c r="T799" s="2" t="s">
        <v>74</v>
      </c>
      <c r="U799" s="2" t="s">
        <v>74</v>
      </c>
      <c r="V799" s="5" t="s">
        <v>4837</v>
      </c>
      <c r="W799" s="2" t="s">
        <v>74</v>
      </c>
      <c r="X799" s="2" t="s">
        <v>74</v>
      </c>
      <c r="Y799" s="2" t="s">
        <v>74</v>
      </c>
      <c r="Z799" s="2" t="s">
        <v>74</v>
      </c>
      <c r="AA799" s="2" t="s">
        <v>4838</v>
      </c>
      <c r="AB799" s="2" t="s">
        <v>4839</v>
      </c>
      <c r="AC799" s="2" t="s">
        <v>74</v>
      </c>
      <c r="AD799" s="2" t="s">
        <v>74</v>
      </c>
      <c r="AE799" s="2" t="s">
        <v>74</v>
      </c>
      <c r="AF799" s="2" t="s">
        <v>74</v>
      </c>
      <c r="AG799" s="2" t="s">
        <v>74</v>
      </c>
      <c r="AH799" s="2" t="s">
        <v>74</v>
      </c>
      <c r="AI799" s="2" t="s">
        <v>74</v>
      </c>
      <c r="AJ799" s="2" t="s">
        <v>74</v>
      </c>
      <c r="AK799" s="2" t="s">
        <v>74</v>
      </c>
      <c r="AL799" s="2" t="s">
        <v>74</v>
      </c>
      <c r="AM799" s="2" t="s">
        <v>74</v>
      </c>
      <c r="AN799" s="2" t="s">
        <v>74</v>
      </c>
      <c r="AO799" s="2" t="s">
        <v>4840</v>
      </c>
      <c r="AP799" s="2" t="s">
        <v>74</v>
      </c>
      <c r="AQ799" s="2" t="s">
        <v>74</v>
      </c>
      <c r="AR799" s="2" t="s">
        <v>74</v>
      </c>
      <c r="AS799" s="2" t="s">
        <v>74</v>
      </c>
      <c r="AT799" s="2" t="s">
        <v>4841</v>
      </c>
      <c r="AU799" s="2">
        <v>2023</v>
      </c>
      <c r="AV799" s="2">
        <v>73</v>
      </c>
      <c r="AW799" s="2" t="s">
        <v>74</v>
      </c>
      <c r="AX799" s="2" t="s">
        <v>74</v>
      </c>
      <c r="AY799" s="2" t="s">
        <v>74</v>
      </c>
      <c r="AZ799" s="2" t="s">
        <v>74</v>
      </c>
      <c r="BA799" s="2" t="s">
        <v>74</v>
      </c>
      <c r="BB799" s="2">
        <v>1</v>
      </c>
      <c r="BC799" s="2">
        <v>21</v>
      </c>
      <c r="BD799" s="2" t="s">
        <v>74</v>
      </c>
      <c r="BE799" s="2" t="s">
        <v>4842</v>
      </c>
      <c r="BF799" s="2" t="str">
        <f>HYPERLINK("http://dx.doi.org/10.3897/vz.73.e97002","http://dx.doi.org/10.3897/vz.73.e97002")</f>
        <v>http://dx.doi.org/10.3897/vz.73.e97002</v>
      </c>
      <c r="BG799" s="2" t="s">
        <v>74</v>
      </c>
      <c r="BH799" s="2" t="s">
        <v>74</v>
      </c>
      <c r="BI799" s="2" t="s">
        <v>74</v>
      </c>
      <c r="BJ799" s="2" t="s">
        <v>74</v>
      </c>
      <c r="BK799" s="2" t="s">
        <v>74</v>
      </c>
      <c r="BL799" s="2" t="s">
        <v>74</v>
      </c>
      <c r="BM799" s="2" t="s">
        <v>74</v>
      </c>
      <c r="BN799" s="2" t="s">
        <v>74</v>
      </c>
      <c r="BO799" s="2" t="s">
        <v>74</v>
      </c>
      <c r="BP799" s="2" t="s">
        <v>74</v>
      </c>
      <c r="BQ799" s="2" t="s">
        <v>74</v>
      </c>
      <c r="BR799" s="2" t="s">
        <v>74</v>
      </c>
      <c r="BS799" s="2" t="s">
        <v>4843</v>
      </c>
      <c r="BT799" s="2" t="str">
        <f>HYPERLINK("https%3A%2F%2Fwww.webofscience.com%2Fwos%2Fwoscc%2Ffull-record%2FWOS:000960500300001","View Full Record in Web of Science")</f>
        <v>View Full Record in Web of Science</v>
      </c>
    </row>
    <row r="800" spans="1:72" s="2" customFormat="1" x14ac:dyDescent="0.4">
      <c r="A800" s="2" t="s">
        <v>72</v>
      </c>
      <c r="B800" s="2" t="s">
        <v>4480</v>
      </c>
      <c r="C800" s="2" t="s">
        <v>74</v>
      </c>
      <c r="D800" s="2" t="s">
        <v>74</v>
      </c>
      <c r="E800" s="2" t="s">
        <v>74</v>
      </c>
      <c r="F800" s="2" t="s">
        <v>4481</v>
      </c>
      <c r="G800" s="2" t="s">
        <v>74</v>
      </c>
      <c r="H800" s="2" t="s">
        <v>74</v>
      </c>
      <c r="I800" s="2" t="s">
        <v>4482</v>
      </c>
      <c r="J800" s="2" t="s">
        <v>2901</v>
      </c>
      <c r="K800" s="2" t="s">
        <v>74</v>
      </c>
      <c r="L800" s="2" t="s">
        <v>74</v>
      </c>
      <c r="M800" s="2" t="s">
        <v>74</v>
      </c>
      <c r="N800" s="2" t="s">
        <v>74</v>
      </c>
      <c r="O800" s="2" t="s">
        <v>74</v>
      </c>
      <c r="P800" s="2" t="s">
        <v>74</v>
      </c>
      <c r="Q800" s="2" t="s">
        <v>74</v>
      </c>
      <c r="R800" s="2" t="s">
        <v>74</v>
      </c>
      <c r="S800" s="2" t="s">
        <v>74</v>
      </c>
      <c r="T800" s="2" t="s">
        <v>74</v>
      </c>
      <c r="U800" s="2" t="s">
        <v>74</v>
      </c>
      <c r="V800" s="5" t="s">
        <v>4483</v>
      </c>
      <c r="W800" s="2" t="s">
        <v>74</v>
      </c>
      <c r="X800" s="2" t="s">
        <v>74</v>
      </c>
      <c r="Y800" s="2" t="s">
        <v>74</v>
      </c>
      <c r="Z800" s="2" t="s">
        <v>74</v>
      </c>
      <c r="AA800" s="2" t="s">
        <v>4484</v>
      </c>
      <c r="AB800" s="2" t="s">
        <v>4485</v>
      </c>
      <c r="AC800" s="2" t="s">
        <v>74</v>
      </c>
      <c r="AD800" s="2" t="s">
        <v>74</v>
      </c>
      <c r="AE800" s="2" t="s">
        <v>74</v>
      </c>
      <c r="AF800" s="2" t="s">
        <v>74</v>
      </c>
      <c r="AG800" s="2" t="s">
        <v>74</v>
      </c>
      <c r="AH800" s="2" t="s">
        <v>74</v>
      </c>
      <c r="AI800" s="2" t="s">
        <v>74</v>
      </c>
      <c r="AJ800" s="2" t="s">
        <v>74</v>
      </c>
      <c r="AK800" s="2" t="s">
        <v>74</v>
      </c>
      <c r="AL800" s="2" t="s">
        <v>74</v>
      </c>
      <c r="AM800" s="2" t="s">
        <v>74</v>
      </c>
      <c r="AN800" s="2" t="s">
        <v>74</v>
      </c>
      <c r="AO800" s="2" t="s">
        <v>2903</v>
      </c>
      <c r="AP800" s="2" t="s">
        <v>2904</v>
      </c>
      <c r="AQ800" s="2" t="s">
        <v>74</v>
      </c>
      <c r="AR800" s="2" t="s">
        <v>74</v>
      </c>
      <c r="AS800" s="2" t="s">
        <v>74</v>
      </c>
      <c r="AT800" s="2" t="s">
        <v>74</v>
      </c>
      <c r="AU800" s="2">
        <v>2018</v>
      </c>
      <c r="AV800" s="2">
        <v>30</v>
      </c>
      <c r="AW800" s="2">
        <v>4</v>
      </c>
      <c r="AX800" s="2" t="s">
        <v>74</v>
      </c>
      <c r="AY800" s="2" t="s">
        <v>74</v>
      </c>
      <c r="AZ800" s="2" t="s">
        <v>74</v>
      </c>
      <c r="BA800" s="2" t="s">
        <v>74</v>
      </c>
      <c r="BB800" s="2">
        <v>319</v>
      </c>
      <c r="BC800" s="2">
        <v>330</v>
      </c>
      <c r="BD800" s="2" t="s">
        <v>74</v>
      </c>
      <c r="BE800" s="2" t="s">
        <v>4486</v>
      </c>
      <c r="BF800" s="2" t="str">
        <f>HYPERLINK("http://dx.doi.org/10.1080/03949370.2017.1402091","http://dx.doi.org/10.1080/03949370.2017.1402091")</f>
        <v>http://dx.doi.org/10.1080/03949370.2017.1402091</v>
      </c>
      <c r="BG800" s="2" t="s">
        <v>74</v>
      </c>
      <c r="BH800" s="2" t="s">
        <v>74</v>
      </c>
      <c r="BI800" s="2" t="s">
        <v>74</v>
      </c>
      <c r="BJ800" s="2" t="s">
        <v>74</v>
      </c>
      <c r="BK800" s="2" t="s">
        <v>74</v>
      </c>
      <c r="BL800" s="2" t="s">
        <v>74</v>
      </c>
      <c r="BM800" s="2" t="s">
        <v>74</v>
      </c>
      <c r="BN800" s="2" t="s">
        <v>74</v>
      </c>
      <c r="BO800" s="2" t="s">
        <v>74</v>
      </c>
      <c r="BP800" s="2" t="s">
        <v>74</v>
      </c>
      <c r="BQ800" s="2" t="s">
        <v>74</v>
      </c>
      <c r="BR800" s="2" t="s">
        <v>74</v>
      </c>
      <c r="BS800" s="2" t="s">
        <v>4487</v>
      </c>
      <c r="BT800" s="2" t="str">
        <f>HYPERLINK("https%3A%2F%2Fwww.webofscience.com%2Fwos%2Fwoscc%2Ffull-record%2FWOS:000435677500003","View Full Record in Web of Science")</f>
        <v>View Full Record in Web of Science</v>
      </c>
    </row>
    <row r="801" spans="1:72" s="2" customFormat="1" x14ac:dyDescent="0.4">
      <c r="A801" s="2" t="s">
        <v>72</v>
      </c>
      <c r="B801" s="2" t="s">
        <v>4349</v>
      </c>
      <c r="C801" s="2" t="s">
        <v>74</v>
      </c>
      <c r="D801" s="2" t="s">
        <v>74</v>
      </c>
      <c r="E801" s="2" t="s">
        <v>74</v>
      </c>
      <c r="F801" s="2" t="s">
        <v>4349</v>
      </c>
      <c r="G801" s="2" t="s">
        <v>74</v>
      </c>
      <c r="H801" s="2" t="s">
        <v>74</v>
      </c>
      <c r="I801" s="2" t="s">
        <v>4350</v>
      </c>
      <c r="J801" s="2" t="s">
        <v>4351</v>
      </c>
      <c r="K801" s="2" t="s">
        <v>74</v>
      </c>
      <c r="L801" s="2" t="s">
        <v>74</v>
      </c>
      <c r="M801" s="2" t="s">
        <v>74</v>
      </c>
      <c r="N801" s="2" t="s">
        <v>74</v>
      </c>
      <c r="O801" s="2" t="s">
        <v>74</v>
      </c>
      <c r="P801" s="2" t="s">
        <v>74</v>
      </c>
      <c r="Q801" s="2" t="s">
        <v>74</v>
      </c>
      <c r="R801" s="2" t="s">
        <v>74</v>
      </c>
      <c r="S801" s="2" t="s">
        <v>74</v>
      </c>
      <c r="T801" s="2" t="s">
        <v>74</v>
      </c>
      <c r="U801" s="2" t="s">
        <v>74</v>
      </c>
      <c r="V801" s="5" t="s">
        <v>4352</v>
      </c>
      <c r="W801" s="2" t="s">
        <v>74</v>
      </c>
      <c r="X801" s="2" t="s">
        <v>74</v>
      </c>
      <c r="Y801" s="2" t="s">
        <v>74</v>
      </c>
      <c r="Z801" s="2" t="s">
        <v>74</v>
      </c>
      <c r="AA801" s="2" t="s">
        <v>4353</v>
      </c>
      <c r="AB801" s="2" t="s">
        <v>74</v>
      </c>
      <c r="AC801" s="2" t="s">
        <v>74</v>
      </c>
      <c r="AD801" s="2" t="s">
        <v>74</v>
      </c>
      <c r="AE801" s="2" t="s">
        <v>74</v>
      </c>
      <c r="AF801" s="2" t="s">
        <v>74</v>
      </c>
      <c r="AG801" s="2" t="s">
        <v>74</v>
      </c>
      <c r="AH801" s="2" t="s">
        <v>74</v>
      </c>
      <c r="AI801" s="2" t="s">
        <v>74</v>
      </c>
      <c r="AJ801" s="2" t="s">
        <v>74</v>
      </c>
      <c r="AK801" s="2" t="s">
        <v>74</v>
      </c>
      <c r="AL801" s="2" t="s">
        <v>74</v>
      </c>
      <c r="AM801" s="2" t="s">
        <v>74</v>
      </c>
      <c r="AN801" s="2" t="s">
        <v>74</v>
      </c>
      <c r="AO801" s="2" t="s">
        <v>4354</v>
      </c>
      <c r="AP801" s="2" t="s">
        <v>74</v>
      </c>
      <c r="AQ801" s="2" t="s">
        <v>74</v>
      </c>
      <c r="AR801" s="2" t="s">
        <v>74</v>
      </c>
      <c r="AS801" s="2" t="s">
        <v>74</v>
      </c>
      <c r="AT801" s="2" t="s">
        <v>255</v>
      </c>
      <c r="AU801" s="2">
        <v>1992</v>
      </c>
      <c r="AV801" s="2">
        <v>100</v>
      </c>
      <c r="AW801" s="2">
        <v>1</v>
      </c>
      <c r="AX801" s="2" t="s">
        <v>74</v>
      </c>
      <c r="AY801" s="2" t="s">
        <v>74</v>
      </c>
      <c r="AZ801" s="2" t="s">
        <v>74</v>
      </c>
      <c r="BA801" s="2" t="s">
        <v>74</v>
      </c>
      <c r="BB801" s="2">
        <v>137</v>
      </c>
      <c r="BC801" s="2">
        <v>141</v>
      </c>
      <c r="BD801" s="2" t="s">
        <v>74</v>
      </c>
      <c r="BE801" s="2" t="s">
        <v>74</v>
      </c>
      <c r="BF801" s="2" t="s">
        <v>74</v>
      </c>
      <c r="BG801" s="2" t="s">
        <v>74</v>
      </c>
      <c r="BH801" s="2" t="s">
        <v>74</v>
      </c>
      <c r="BI801" s="2" t="s">
        <v>74</v>
      </c>
      <c r="BJ801" s="2" t="s">
        <v>74</v>
      </c>
      <c r="BK801" s="2" t="s">
        <v>74</v>
      </c>
      <c r="BL801" s="2" t="s">
        <v>74</v>
      </c>
      <c r="BM801" s="2" t="s">
        <v>74</v>
      </c>
      <c r="BN801" s="2" t="s">
        <v>74</v>
      </c>
      <c r="BO801" s="2" t="s">
        <v>74</v>
      </c>
      <c r="BP801" s="2" t="s">
        <v>74</v>
      </c>
      <c r="BQ801" s="2" t="s">
        <v>74</v>
      </c>
      <c r="BR801" s="2" t="s">
        <v>74</v>
      </c>
      <c r="BS801" s="2" t="s">
        <v>4355</v>
      </c>
      <c r="BT801" s="2" t="str">
        <f>HYPERLINK("https%3A%2F%2Fwww.webofscience.com%2Fwos%2Fwoscc%2Ffull-record%2FWOS:A1992HD98800004","View Full Record in Web of Science")</f>
        <v>View Full Record in Web of Science</v>
      </c>
    </row>
    <row r="802" spans="1:72" s="2" customFormat="1" x14ac:dyDescent="0.4">
      <c r="A802" s="2" t="s">
        <v>72</v>
      </c>
      <c r="B802" s="2" t="s">
        <v>3000</v>
      </c>
      <c r="C802" s="2" t="s">
        <v>74</v>
      </c>
      <c r="D802" s="2" t="s">
        <v>74</v>
      </c>
      <c r="E802" s="2" t="s">
        <v>74</v>
      </c>
      <c r="F802" s="2" t="s">
        <v>3001</v>
      </c>
      <c r="G802" s="2" t="s">
        <v>74</v>
      </c>
      <c r="H802" s="2" t="s">
        <v>74</v>
      </c>
      <c r="I802" s="2" t="s">
        <v>3002</v>
      </c>
      <c r="J802" s="2" t="s">
        <v>3003</v>
      </c>
      <c r="K802" s="2" t="s">
        <v>74</v>
      </c>
      <c r="L802" s="2" t="s">
        <v>74</v>
      </c>
      <c r="M802" s="2" t="s">
        <v>74</v>
      </c>
      <c r="N802" s="2" t="s">
        <v>74</v>
      </c>
      <c r="O802" s="2" t="s">
        <v>74</v>
      </c>
      <c r="P802" s="2" t="s">
        <v>74</v>
      </c>
      <c r="Q802" s="2" t="s">
        <v>74</v>
      </c>
      <c r="R802" s="2" t="s">
        <v>74</v>
      </c>
      <c r="S802" s="2" t="s">
        <v>74</v>
      </c>
      <c r="T802" s="2" t="s">
        <v>74</v>
      </c>
      <c r="U802" s="2" t="s">
        <v>74</v>
      </c>
      <c r="V802" s="5" t="s">
        <v>3004</v>
      </c>
      <c r="W802" s="2" t="s">
        <v>74</v>
      </c>
      <c r="X802" s="2" t="s">
        <v>74</v>
      </c>
      <c r="Y802" s="2" t="s">
        <v>74</v>
      </c>
      <c r="Z802" s="2" t="s">
        <v>74</v>
      </c>
      <c r="AA802" s="2" t="s">
        <v>74</v>
      </c>
      <c r="AB802" s="2" t="s">
        <v>74</v>
      </c>
      <c r="AC802" s="2" t="s">
        <v>74</v>
      </c>
      <c r="AD802" s="2" t="s">
        <v>74</v>
      </c>
      <c r="AE802" s="2" t="s">
        <v>74</v>
      </c>
      <c r="AF802" s="2" t="s">
        <v>74</v>
      </c>
      <c r="AG802" s="2" t="s">
        <v>74</v>
      </c>
      <c r="AH802" s="2" t="s">
        <v>74</v>
      </c>
      <c r="AI802" s="2" t="s">
        <v>74</v>
      </c>
      <c r="AJ802" s="2" t="s">
        <v>74</v>
      </c>
      <c r="AK802" s="2" t="s">
        <v>74</v>
      </c>
      <c r="AL802" s="2" t="s">
        <v>74</v>
      </c>
      <c r="AM802" s="2" t="s">
        <v>74</v>
      </c>
      <c r="AN802" s="2" t="s">
        <v>74</v>
      </c>
      <c r="AO802" s="2" t="s">
        <v>3005</v>
      </c>
      <c r="AP802" s="2" t="s">
        <v>74</v>
      </c>
      <c r="AQ802" s="2" t="s">
        <v>74</v>
      </c>
      <c r="AR802" s="2" t="s">
        <v>74</v>
      </c>
      <c r="AS802" s="2" t="s">
        <v>74</v>
      </c>
      <c r="AT802" s="2" t="s">
        <v>3006</v>
      </c>
      <c r="AU802" s="2">
        <v>2010</v>
      </c>
      <c r="AV802" s="2">
        <v>64</v>
      </c>
      <c r="AW802" s="2">
        <v>2</v>
      </c>
      <c r="AX802" s="2" t="s">
        <v>74</v>
      </c>
      <c r="AY802" s="2" t="s">
        <v>74</v>
      </c>
      <c r="AZ802" s="2" t="s">
        <v>74</v>
      </c>
      <c r="BA802" s="2" t="s">
        <v>74</v>
      </c>
      <c r="BB802" s="2">
        <v>57</v>
      </c>
      <c r="BC802" s="2">
        <v>68</v>
      </c>
      <c r="BD802" s="2" t="s">
        <v>74</v>
      </c>
      <c r="BE802" s="2" t="s">
        <v>74</v>
      </c>
      <c r="BF802" s="2" t="s">
        <v>74</v>
      </c>
      <c r="BG802" s="2" t="s">
        <v>74</v>
      </c>
      <c r="BH802" s="2" t="s">
        <v>74</v>
      </c>
      <c r="BI802" s="2" t="s">
        <v>74</v>
      </c>
      <c r="BJ802" s="2" t="s">
        <v>74</v>
      </c>
      <c r="BK802" s="2" t="s">
        <v>74</v>
      </c>
      <c r="BL802" s="2" t="s">
        <v>74</v>
      </c>
      <c r="BM802" s="2" t="s">
        <v>74</v>
      </c>
      <c r="BN802" s="2" t="s">
        <v>74</v>
      </c>
      <c r="BO802" s="2" t="s">
        <v>74</v>
      </c>
      <c r="BP802" s="2" t="s">
        <v>74</v>
      </c>
      <c r="BQ802" s="2" t="s">
        <v>74</v>
      </c>
      <c r="BR802" s="2" t="s">
        <v>74</v>
      </c>
      <c r="BS802" s="2" t="s">
        <v>3007</v>
      </c>
      <c r="BT802" s="2" t="str">
        <f>HYPERLINK("https%3A%2F%2Fwww.webofscience.com%2Fwos%2Fwoscc%2Ffull-record%2FWOS:000280497600001","View Full Record in Web of Science")</f>
        <v>View Full Record in Web of Science</v>
      </c>
    </row>
    <row r="803" spans="1:72" s="2" customFormat="1" x14ac:dyDescent="0.4">
      <c r="A803" s="2" t="s">
        <v>72</v>
      </c>
      <c r="B803" s="2" t="s">
        <v>8088</v>
      </c>
      <c r="C803" s="2" t="s">
        <v>74</v>
      </c>
      <c r="D803" s="2" t="s">
        <v>74</v>
      </c>
      <c r="E803" s="2" t="s">
        <v>74</v>
      </c>
      <c r="F803" s="2" t="s">
        <v>8088</v>
      </c>
      <c r="G803" s="2" t="s">
        <v>74</v>
      </c>
      <c r="H803" s="2" t="s">
        <v>74</v>
      </c>
      <c r="I803" s="2" t="s">
        <v>8089</v>
      </c>
      <c r="J803" s="2" t="s">
        <v>344</v>
      </c>
      <c r="K803" s="2" t="s">
        <v>74</v>
      </c>
      <c r="L803" s="2" t="s">
        <v>74</v>
      </c>
      <c r="M803" s="2" t="s">
        <v>74</v>
      </c>
      <c r="N803" s="2" t="s">
        <v>74</v>
      </c>
      <c r="O803" s="2" t="s">
        <v>74</v>
      </c>
      <c r="P803" s="2" t="s">
        <v>74</v>
      </c>
      <c r="Q803" s="2" t="s">
        <v>74</v>
      </c>
      <c r="R803" s="2" t="s">
        <v>74</v>
      </c>
      <c r="S803" s="2" t="s">
        <v>74</v>
      </c>
      <c r="T803" s="2" t="s">
        <v>74</v>
      </c>
      <c r="U803" s="2" t="s">
        <v>74</v>
      </c>
      <c r="V803" s="5" t="s">
        <v>8090</v>
      </c>
      <c r="W803" s="2" t="s">
        <v>74</v>
      </c>
      <c r="X803" s="2" t="s">
        <v>74</v>
      </c>
      <c r="Y803" s="2" t="s">
        <v>74</v>
      </c>
      <c r="Z803" s="2" t="s">
        <v>74</v>
      </c>
      <c r="AA803" s="2" t="s">
        <v>74</v>
      </c>
      <c r="AB803" s="2" t="s">
        <v>74</v>
      </c>
      <c r="AC803" s="2" t="s">
        <v>74</v>
      </c>
      <c r="AD803" s="2" t="s">
        <v>74</v>
      </c>
      <c r="AE803" s="2" t="s">
        <v>74</v>
      </c>
      <c r="AF803" s="2" t="s">
        <v>74</v>
      </c>
      <c r="AG803" s="2" t="s">
        <v>74</v>
      </c>
      <c r="AH803" s="2" t="s">
        <v>74</v>
      </c>
      <c r="AI803" s="2" t="s">
        <v>74</v>
      </c>
      <c r="AJ803" s="2" t="s">
        <v>74</v>
      </c>
      <c r="AK803" s="2" t="s">
        <v>74</v>
      </c>
      <c r="AL803" s="2" t="s">
        <v>74</v>
      </c>
      <c r="AM803" s="2" t="s">
        <v>74</v>
      </c>
      <c r="AN803" s="2" t="s">
        <v>74</v>
      </c>
      <c r="AO803" s="2" t="s">
        <v>346</v>
      </c>
      <c r="AP803" s="2" t="s">
        <v>74</v>
      </c>
      <c r="AQ803" s="2" t="s">
        <v>74</v>
      </c>
      <c r="AR803" s="2" t="s">
        <v>74</v>
      </c>
      <c r="AS803" s="2" t="s">
        <v>74</v>
      </c>
      <c r="AT803" s="2" t="s">
        <v>213</v>
      </c>
      <c r="AU803" s="2">
        <v>1994</v>
      </c>
      <c r="AV803" s="2">
        <v>41</v>
      </c>
      <c r="AW803" s="2" t="s">
        <v>3743</v>
      </c>
      <c r="AX803" s="2" t="s">
        <v>74</v>
      </c>
      <c r="AY803" s="2" t="s">
        <v>74</v>
      </c>
      <c r="AZ803" s="2" t="s">
        <v>74</v>
      </c>
      <c r="BA803" s="2" t="s">
        <v>74</v>
      </c>
      <c r="BB803" s="2">
        <v>403</v>
      </c>
      <c r="BC803" s="2">
        <v>414</v>
      </c>
      <c r="BD803" s="2" t="s">
        <v>74</v>
      </c>
      <c r="BE803" s="2" t="s">
        <v>74</v>
      </c>
      <c r="BF803" s="2" t="s">
        <v>74</v>
      </c>
      <c r="BG803" s="2" t="s">
        <v>74</v>
      </c>
      <c r="BH803" s="2" t="s">
        <v>74</v>
      </c>
      <c r="BI803" s="2" t="s">
        <v>74</v>
      </c>
      <c r="BJ803" s="2" t="s">
        <v>74</v>
      </c>
      <c r="BK803" s="2" t="s">
        <v>74</v>
      </c>
      <c r="BL803" s="2" t="s">
        <v>74</v>
      </c>
      <c r="BM803" s="2" t="s">
        <v>74</v>
      </c>
      <c r="BN803" s="2" t="s">
        <v>74</v>
      </c>
      <c r="BO803" s="2" t="s">
        <v>74</v>
      </c>
      <c r="BP803" s="2" t="s">
        <v>74</v>
      </c>
      <c r="BQ803" s="2" t="s">
        <v>74</v>
      </c>
      <c r="BR803" s="2" t="s">
        <v>74</v>
      </c>
      <c r="BS803" s="2" t="s">
        <v>8091</v>
      </c>
      <c r="BT803" s="2" t="str">
        <f>HYPERLINK("https%3A%2F%2Fwww.webofscience.com%2Fwos%2Fwoscc%2Ffull-record%2FWOS:A1994QE85200028","View Full Record in Web of Science")</f>
        <v>View Full Record in Web of Science</v>
      </c>
    </row>
    <row r="804" spans="1:72" s="2" customFormat="1" x14ac:dyDescent="0.4">
      <c r="A804" s="2" t="s">
        <v>72</v>
      </c>
      <c r="B804" s="2" t="s">
        <v>8518</v>
      </c>
      <c r="C804" s="2" t="s">
        <v>74</v>
      </c>
      <c r="D804" s="2" t="s">
        <v>74</v>
      </c>
      <c r="E804" s="2" t="s">
        <v>74</v>
      </c>
      <c r="F804" s="2" t="s">
        <v>8519</v>
      </c>
      <c r="G804" s="2" t="s">
        <v>74</v>
      </c>
      <c r="H804" s="2" t="s">
        <v>74</v>
      </c>
      <c r="I804" s="2" t="s">
        <v>8520</v>
      </c>
      <c r="J804" s="2" t="s">
        <v>281</v>
      </c>
      <c r="K804" s="2" t="s">
        <v>74</v>
      </c>
      <c r="L804" s="2" t="s">
        <v>74</v>
      </c>
      <c r="M804" s="2" t="s">
        <v>74</v>
      </c>
      <c r="N804" s="2" t="s">
        <v>74</v>
      </c>
      <c r="O804" s="2" t="s">
        <v>74</v>
      </c>
      <c r="P804" s="2" t="s">
        <v>74</v>
      </c>
      <c r="Q804" s="2" t="s">
        <v>74</v>
      </c>
      <c r="R804" s="2" t="s">
        <v>74</v>
      </c>
      <c r="S804" s="2" t="s">
        <v>74</v>
      </c>
      <c r="T804" s="2" t="s">
        <v>74</v>
      </c>
      <c r="U804" s="2" t="s">
        <v>74</v>
      </c>
      <c r="V804" s="5" t="s">
        <v>8521</v>
      </c>
      <c r="W804" s="2" t="s">
        <v>74</v>
      </c>
      <c r="X804" s="2" t="s">
        <v>74</v>
      </c>
      <c r="Y804" s="2" t="s">
        <v>74</v>
      </c>
      <c r="Z804" s="2" t="s">
        <v>74</v>
      </c>
      <c r="AA804" s="2" t="s">
        <v>8522</v>
      </c>
      <c r="AB804" s="2" t="s">
        <v>8523</v>
      </c>
      <c r="AC804" s="2" t="s">
        <v>74</v>
      </c>
      <c r="AD804" s="2" t="s">
        <v>74</v>
      </c>
      <c r="AE804" s="2" t="s">
        <v>74</v>
      </c>
      <c r="AF804" s="2" t="s">
        <v>74</v>
      </c>
      <c r="AG804" s="2" t="s">
        <v>74</v>
      </c>
      <c r="AH804" s="2" t="s">
        <v>74</v>
      </c>
      <c r="AI804" s="2" t="s">
        <v>74</v>
      </c>
      <c r="AJ804" s="2" t="s">
        <v>74</v>
      </c>
      <c r="AK804" s="2" t="s">
        <v>74</v>
      </c>
      <c r="AL804" s="2" t="s">
        <v>74</v>
      </c>
      <c r="AM804" s="2" t="s">
        <v>74</v>
      </c>
      <c r="AN804" s="2" t="s">
        <v>74</v>
      </c>
      <c r="AO804" s="2" t="s">
        <v>285</v>
      </c>
      <c r="AP804" s="2" t="s">
        <v>286</v>
      </c>
      <c r="AQ804" s="2" t="s">
        <v>74</v>
      </c>
      <c r="AR804" s="2" t="s">
        <v>74</v>
      </c>
      <c r="AS804" s="2" t="s">
        <v>74</v>
      </c>
      <c r="AT804" s="2" t="s">
        <v>255</v>
      </c>
      <c r="AU804" s="2">
        <v>2020</v>
      </c>
      <c r="AV804" s="2">
        <v>23</v>
      </c>
      <c r="AW804" s="2">
        <v>1</v>
      </c>
      <c r="AX804" s="2" t="s">
        <v>74</v>
      </c>
      <c r="AY804" s="2" t="s">
        <v>74</v>
      </c>
      <c r="AZ804" s="2" t="s">
        <v>74</v>
      </c>
      <c r="BA804" s="2" t="s">
        <v>74</v>
      </c>
      <c r="BB804" s="2">
        <v>41</v>
      </c>
      <c r="BC804" s="2">
        <v>53</v>
      </c>
      <c r="BD804" s="2" t="s">
        <v>74</v>
      </c>
      <c r="BE804" s="2" t="s">
        <v>8524</v>
      </c>
      <c r="BF804" s="2" t="str">
        <f>HYPERLINK("http://dx.doi.org/10.1007/s10071-019-01313-x","http://dx.doi.org/10.1007/s10071-019-01313-x")</f>
        <v>http://dx.doi.org/10.1007/s10071-019-01313-x</v>
      </c>
      <c r="BG804" s="2" t="s">
        <v>74</v>
      </c>
      <c r="BH804" s="2" t="s">
        <v>6757</v>
      </c>
      <c r="BI804" s="2" t="s">
        <v>74</v>
      </c>
      <c r="BJ804" s="2" t="s">
        <v>74</v>
      </c>
      <c r="BK804" s="2" t="s">
        <v>74</v>
      </c>
      <c r="BL804" s="2" t="s">
        <v>74</v>
      </c>
      <c r="BM804" s="2" t="s">
        <v>74</v>
      </c>
      <c r="BN804" s="2">
        <v>31586279</v>
      </c>
      <c r="BO804" s="2" t="s">
        <v>74</v>
      </c>
      <c r="BP804" s="2" t="s">
        <v>74</v>
      </c>
      <c r="BQ804" s="2" t="s">
        <v>74</v>
      </c>
      <c r="BR804" s="2" t="s">
        <v>74</v>
      </c>
      <c r="BS804" s="2" t="s">
        <v>8525</v>
      </c>
      <c r="BT804" s="2" t="str">
        <f>HYPERLINK("https%3A%2F%2Fwww.webofscience.com%2Fwos%2Fwoscc%2Ffull-record%2FWOS:000488937600001","View Full Record in Web of Science")</f>
        <v>View Full Record in Web of Science</v>
      </c>
    </row>
    <row r="805" spans="1:72" s="2" customFormat="1" x14ac:dyDescent="0.4">
      <c r="A805" s="2" t="s">
        <v>72</v>
      </c>
      <c r="B805" s="2" t="s">
        <v>752</v>
      </c>
      <c r="C805" s="2" t="s">
        <v>74</v>
      </c>
      <c r="D805" s="2" t="s">
        <v>74</v>
      </c>
      <c r="E805" s="2" t="s">
        <v>74</v>
      </c>
      <c r="F805" s="2" t="s">
        <v>753</v>
      </c>
      <c r="G805" s="2" t="s">
        <v>74</v>
      </c>
      <c r="H805" s="2" t="s">
        <v>74</v>
      </c>
      <c r="I805" s="2" t="s">
        <v>754</v>
      </c>
      <c r="J805" s="2" t="s">
        <v>140</v>
      </c>
      <c r="K805" s="2" t="s">
        <v>74</v>
      </c>
      <c r="L805" s="2" t="s">
        <v>74</v>
      </c>
      <c r="M805" s="2" t="s">
        <v>74</v>
      </c>
      <c r="N805" s="2" t="s">
        <v>74</v>
      </c>
      <c r="O805" s="2" t="s">
        <v>74</v>
      </c>
      <c r="P805" s="2" t="s">
        <v>74</v>
      </c>
      <c r="Q805" s="2" t="s">
        <v>74</v>
      </c>
      <c r="R805" s="2" t="s">
        <v>74</v>
      </c>
      <c r="S805" s="2" t="s">
        <v>74</v>
      </c>
      <c r="T805" s="2" t="s">
        <v>74</v>
      </c>
      <c r="U805" s="2" t="s">
        <v>74</v>
      </c>
      <c r="V805" s="5" t="s">
        <v>755</v>
      </c>
      <c r="W805" s="2" t="s">
        <v>74</v>
      </c>
      <c r="X805" s="2" t="s">
        <v>74</v>
      </c>
      <c r="Y805" s="2" t="s">
        <v>74</v>
      </c>
      <c r="Z805" s="2" t="s">
        <v>74</v>
      </c>
      <c r="AA805" s="2" t="s">
        <v>756</v>
      </c>
      <c r="AB805" s="2" t="s">
        <v>757</v>
      </c>
      <c r="AC805" s="2" t="s">
        <v>74</v>
      </c>
      <c r="AD805" s="2" t="s">
        <v>74</v>
      </c>
      <c r="AE805" s="2" t="s">
        <v>74</v>
      </c>
      <c r="AF805" s="2" t="s">
        <v>74</v>
      </c>
      <c r="AG805" s="2" t="s">
        <v>74</v>
      </c>
      <c r="AH805" s="2" t="s">
        <v>74</v>
      </c>
      <c r="AI805" s="2" t="s">
        <v>74</v>
      </c>
      <c r="AJ805" s="2" t="s">
        <v>74</v>
      </c>
      <c r="AK805" s="2" t="s">
        <v>74</v>
      </c>
      <c r="AL805" s="2" t="s">
        <v>74</v>
      </c>
      <c r="AM805" s="2" t="s">
        <v>74</v>
      </c>
      <c r="AN805" s="2" t="s">
        <v>74</v>
      </c>
      <c r="AO805" s="2" t="s">
        <v>143</v>
      </c>
      <c r="AP805" s="2" t="s">
        <v>144</v>
      </c>
      <c r="AQ805" s="2" t="s">
        <v>74</v>
      </c>
      <c r="AR805" s="2" t="s">
        <v>74</v>
      </c>
      <c r="AS805" s="2" t="s">
        <v>74</v>
      </c>
      <c r="AT805" s="2" t="s">
        <v>352</v>
      </c>
      <c r="AU805" s="2">
        <v>2013</v>
      </c>
      <c r="AV805" s="2">
        <v>86</v>
      </c>
      <c r="AW805" s="2">
        <v>3</v>
      </c>
      <c r="AX805" s="2" t="s">
        <v>74</v>
      </c>
      <c r="AY805" s="2" t="s">
        <v>74</v>
      </c>
      <c r="AZ805" s="2" t="s">
        <v>74</v>
      </c>
      <c r="BA805" s="2" t="s">
        <v>74</v>
      </c>
      <c r="BB805" s="2">
        <v>595</v>
      </c>
      <c r="BC805" s="2">
        <v>602</v>
      </c>
      <c r="BD805" s="2" t="s">
        <v>74</v>
      </c>
      <c r="BE805" s="2" t="s">
        <v>758</v>
      </c>
      <c r="BF805" s="2" t="str">
        <f>HYPERLINK("http://dx.doi.org/10.1016/j.anbehav.2013.06.015","http://dx.doi.org/10.1016/j.anbehav.2013.06.015")</f>
        <v>http://dx.doi.org/10.1016/j.anbehav.2013.06.015</v>
      </c>
      <c r="BG805" s="2" t="s">
        <v>74</v>
      </c>
      <c r="BH805" s="2" t="s">
        <v>74</v>
      </c>
      <c r="BI805" s="2" t="s">
        <v>74</v>
      </c>
      <c r="BJ805" s="2" t="s">
        <v>74</v>
      </c>
      <c r="BK805" s="2" t="s">
        <v>74</v>
      </c>
      <c r="BL805" s="2" t="s">
        <v>74</v>
      </c>
      <c r="BM805" s="2" t="s">
        <v>74</v>
      </c>
      <c r="BN805" s="2">
        <v>24027343</v>
      </c>
      <c r="BO805" s="2" t="s">
        <v>74</v>
      </c>
      <c r="BP805" s="2" t="s">
        <v>74</v>
      </c>
      <c r="BQ805" s="2" t="s">
        <v>74</v>
      </c>
      <c r="BR805" s="2" t="s">
        <v>74</v>
      </c>
      <c r="BS805" s="2" t="s">
        <v>759</v>
      </c>
      <c r="BT805" s="2" t="str">
        <f>HYPERLINK("https%3A%2F%2Fwww.webofscience.com%2Fwos%2Fwoscc%2Ffull-record%2FWOS:000323944200016","View Full Record in Web of Science")</f>
        <v>View Full Record in Web of Science</v>
      </c>
    </row>
    <row r="806" spans="1:72" s="2" customFormat="1" x14ac:dyDescent="0.4">
      <c r="A806" s="2" t="s">
        <v>72</v>
      </c>
      <c r="B806" s="2" t="s">
        <v>4761</v>
      </c>
      <c r="C806" s="2" t="s">
        <v>74</v>
      </c>
      <c r="D806" s="2" t="s">
        <v>74</v>
      </c>
      <c r="E806" s="2" t="s">
        <v>74</v>
      </c>
      <c r="F806" s="2" t="s">
        <v>4762</v>
      </c>
      <c r="G806" s="2" t="s">
        <v>74</v>
      </c>
      <c r="H806" s="2" t="s">
        <v>74</v>
      </c>
      <c r="I806" s="2" t="s">
        <v>4763</v>
      </c>
      <c r="J806" s="2" t="s">
        <v>1656</v>
      </c>
      <c r="K806" s="2" t="s">
        <v>74</v>
      </c>
      <c r="L806" s="2" t="s">
        <v>74</v>
      </c>
      <c r="M806" s="2" t="s">
        <v>74</v>
      </c>
      <c r="N806" s="2" t="s">
        <v>74</v>
      </c>
      <c r="O806" s="2" t="s">
        <v>74</v>
      </c>
      <c r="P806" s="2" t="s">
        <v>74</v>
      </c>
      <c r="Q806" s="2" t="s">
        <v>74</v>
      </c>
      <c r="R806" s="2" t="s">
        <v>74</v>
      </c>
      <c r="S806" s="2" t="s">
        <v>74</v>
      </c>
      <c r="T806" s="2" t="s">
        <v>74</v>
      </c>
      <c r="U806" s="2" t="s">
        <v>74</v>
      </c>
      <c r="V806" s="5" t="s">
        <v>4764</v>
      </c>
      <c r="W806" s="2" t="s">
        <v>74</v>
      </c>
      <c r="X806" s="2" t="s">
        <v>74</v>
      </c>
      <c r="Y806" s="2" t="s">
        <v>74</v>
      </c>
      <c r="Z806" s="2" t="s">
        <v>74</v>
      </c>
      <c r="AA806" s="2" t="s">
        <v>4765</v>
      </c>
      <c r="AB806" s="2" t="s">
        <v>4766</v>
      </c>
      <c r="AC806" s="2" t="s">
        <v>74</v>
      </c>
      <c r="AD806" s="2" t="s">
        <v>74</v>
      </c>
      <c r="AE806" s="2" t="s">
        <v>74</v>
      </c>
      <c r="AF806" s="2" t="s">
        <v>74</v>
      </c>
      <c r="AG806" s="2" t="s">
        <v>74</v>
      </c>
      <c r="AH806" s="2" t="s">
        <v>74</v>
      </c>
      <c r="AI806" s="2" t="s">
        <v>74</v>
      </c>
      <c r="AJ806" s="2" t="s">
        <v>74</v>
      </c>
      <c r="AK806" s="2" t="s">
        <v>74</v>
      </c>
      <c r="AL806" s="2" t="s">
        <v>74</v>
      </c>
      <c r="AM806" s="2" t="s">
        <v>74</v>
      </c>
      <c r="AN806" s="2" t="s">
        <v>74</v>
      </c>
      <c r="AO806" s="2" t="s">
        <v>1658</v>
      </c>
      <c r="AP806" s="2" t="s">
        <v>1659</v>
      </c>
      <c r="AQ806" s="2" t="s">
        <v>74</v>
      </c>
      <c r="AR806" s="2" t="s">
        <v>74</v>
      </c>
      <c r="AS806" s="2" t="s">
        <v>74</v>
      </c>
      <c r="AT806" s="2" t="s">
        <v>3105</v>
      </c>
      <c r="AU806" s="2">
        <v>2009</v>
      </c>
      <c r="AV806" s="2" t="s">
        <v>74</v>
      </c>
      <c r="AW806" s="2">
        <v>2283</v>
      </c>
      <c r="AX806" s="2" t="s">
        <v>74</v>
      </c>
      <c r="AY806" s="2" t="s">
        <v>74</v>
      </c>
      <c r="AZ806" s="2" t="s">
        <v>74</v>
      </c>
      <c r="BA806" s="2" t="s">
        <v>74</v>
      </c>
      <c r="BB806" s="2">
        <v>16</v>
      </c>
      <c r="BC806" s="2">
        <v>28</v>
      </c>
      <c r="BD806" s="2" t="s">
        <v>74</v>
      </c>
      <c r="BE806" s="2" t="s">
        <v>4767</v>
      </c>
      <c r="BF806" s="2" t="str">
        <f>HYPERLINK("http://dx.doi.org/10.11646/zootaxa.2283.1.2","http://dx.doi.org/10.11646/zootaxa.2283.1.2")</f>
        <v>http://dx.doi.org/10.11646/zootaxa.2283.1.2</v>
      </c>
      <c r="BG806" s="2" t="s">
        <v>74</v>
      </c>
      <c r="BH806" s="2" t="s">
        <v>74</v>
      </c>
      <c r="BI806" s="2" t="s">
        <v>74</v>
      </c>
      <c r="BJ806" s="2" t="s">
        <v>74</v>
      </c>
      <c r="BK806" s="2" t="s">
        <v>74</v>
      </c>
      <c r="BL806" s="2" t="s">
        <v>74</v>
      </c>
      <c r="BM806" s="2" t="s">
        <v>74</v>
      </c>
      <c r="BN806" s="2" t="s">
        <v>74</v>
      </c>
      <c r="BO806" s="2" t="s">
        <v>74</v>
      </c>
      <c r="BP806" s="2" t="s">
        <v>74</v>
      </c>
      <c r="BQ806" s="2" t="s">
        <v>74</v>
      </c>
      <c r="BR806" s="2" t="s">
        <v>74</v>
      </c>
      <c r="BS806" s="2" t="s">
        <v>4768</v>
      </c>
      <c r="BT806" s="2" t="str">
        <f>HYPERLINK("https%3A%2F%2Fwww.webofscience.com%2Fwos%2Fwoscc%2Ffull-record%2FWOS:000271469200002","View Full Record in Web of Science")</f>
        <v>View Full Record in Web of Science</v>
      </c>
    </row>
    <row r="807" spans="1:72" s="2" customFormat="1" x14ac:dyDescent="0.4">
      <c r="A807" s="2" t="s">
        <v>72</v>
      </c>
      <c r="B807" s="2" t="s">
        <v>5246</v>
      </c>
      <c r="C807" s="2" t="s">
        <v>74</v>
      </c>
      <c r="D807" s="2" t="s">
        <v>74</v>
      </c>
      <c r="E807" s="2" t="s">
        <v>74</v>
      </c>
      <c r="F807" s="2" t="s">
        <v>5246</v>
      </c>
      <c r="G807" s="2" t="s">
        <v>74</v>
      </c>
      <c r="H807" s="2" t="s">
        <v>74</v>
      </c>
      <c r="I807" s="2" t="s">
        <v>5247</v>
      </c>
      <c r="J807" s="2" t="s">
        <v>218</v>
      </c>
      <c r="K807" s="2" t="s">
        <v>74</v>
      </c>
      <c r="L807" s="2" t="s">
        <v>74</v>
      </c>
      <c r="M807" s="2" t="s">
        <v>74</v>
      </c>
      <c r="N807" s="2" t="s">
        <v>74</v>
      </c>
      <c r="O807" s="2" t="s">
        <v>74</v>
      </c>
      <c r="P807" s="2" t="s">
        <v>74</v>
      </c>
      <c r="Q807" s="2" t="s">
        <v>74</v>
      </c>
      <c r="R807" s="2" t="s">
        <v>74</v>
      </c>
      <c r="S807" s="2" t="s">
        <v>74</v>
      </c>
      <c r="T807" s="2" t="s">
        <v>74</v>
      </c>
      <c r="U807" s="2" t="s">
        <v>74</v>
      </c>
      <c r="V807" s="5" t="s">
        <v>5248</v>
      </c>
      <c r="W807" s="2" t="s">
        <v>74</v>
      </c>
      <c r="X807" s="2" t="s">
        <v>74</v>
      </c>
      <c r="Y807" s="2" t="s">
        <v>74</v>
      </c>
      <c r="Z807" s="2" t="s">
        <v>74</v>
      </c>
      <c r="AA807" s="2" t="s">
        <v>74</v>
      </c>
      <c r="AB807" s="2" t="s">
        <v>74</v>
      </c>
      <c r="AC807" s="2" t="s">
        <v>74</v>
      </c>
      <c r="AD807" s="2" t="s">
        <v>74</v>
      </c>
      <c r="AE807" s="2" t="s">
        <v>74</v>
      </c>
      <c r="AF807" s="2" t="s">
        <v>74</v>
      </c>
      <c r="AG807" s="2" t="s">
        <v>74</v>
      </c>
      <c r="AH807" s="2" t="s">
        <v>74</v>
      </c>
      <c r="AI807" s="2" t="s">
        <v>74</v>
      </c>
      <c r="AJ807" s="2" t="s">
        <v>74</v>
      </c>
      <c r="AK807" s="2" t="s">
        <v>74</v>
      </c>
      <c r="AL807" s="2" t="s">
        <v>74</v>
      </c>
      <c r="AM807" s="2" t="s">
        <v>74</v>
      </c>
      <c r="AN807" s="2" t="s">
        <v>74</v>
      </c>
      <c r="AO807" s="2" t="s">
        <v>221</v>
      </c>
      <c r="AP807" s="2" t="s">
        <v>74</v>
      </c>
      <c r="AQ807" s="2" t="s">
        <v>74</v>
      </c>
      <c r="AR807" s="2" t="s">
        <v>74</v>
      </c>
      <c r="AS807" s="2" t="s">
        <v>74</v>
      </c>
      <c r="AT807" s="2" t="s">
        <v>352</v>
      </c>
      <c r="AU807" s="2">
        <v>1999</v>
      </c>
      <c r="AV807" s="2">
        <v>12</v>
      </c>
      <c r="AW807" s="2">
        <v>5</v>
      </c>
      <c r="AX807" s="2" t="s">
        <v>74</v>
      </c>
      <c r="AY807" s="2" t="s">
        <v>74</v>
      </c>
      <c r="AZ807" s="2" t="s">
        <v>74</v>
      </c>
      <c r="BA807" s="2" t="s">
        <v>74</v>
      </c>
      <c r="BB807" s="2">
        <v>936</v>
      </c>
      <c r="BC807" s="2">
        <v>950</v>
      </c>
      <c r="BD807" s="2" t="s">
        <v>74</v>
      </c>
      <c r="BE807" s="2" t="s">
        <v>5249</v>
      </c>
      <c r="BF807" s="2" t="str">
        <f>HYPERLINK("http://dx.doi.org/10.1046/j.1420-9101.1999.00111.x","http://dx.doi.org/10.1046/j.1420-9101.1999.00111.x")</f>
        <v>http://dx.doi.org/10.1046/j.1420-9101.1999.00111.x</v>
      </c>
      <c r="BG807" s="2" t="s">
        <v>74</v>
      </c>
      <c r="BH807" s="2" t="s">
        <v>74</v>
      </c>
      <c r="BI807" s="2" t="s">
        <v>74</v>
      </c>
      <c r="BJ807" s="2" t="s">
        <v>74</v>
      </c>
      <c r="BK807" s="2" t="s">
        <v>74</v>
      </c>
      <c r="BL807" s="2" t="s">
        <v>74</v>
      </c>
      <c r="BM807" s="2" t="s">
        <v>74</v>
      </c>
      <c r="BN807" s="2" t="s">
        <v>74</v>
      </c>
      <c r="BO807" s="2" t="s">
        <v>74</v>
      </c>
      <c r="BP807" s="2" t="s">
        <v>74</v>
      </c>
      <c r="BQ807" s="2" t="s">
        <v>74</v>
      </c>
      <c r="BR807" s="2" t="s">
        <v>74</v>
      </c>
      <c r="BS807" s="2" t="s">
        <v>5250</v>
      </c>
      <c r="BT807" s="2" t="str">
        <f>HYPERLINK("https%3A%2F%2Fwww.webofscience.com%2Fwos%2Fwoscc%2Ffull-record%2FWOS:000082609500011","View Full Record in Web of Science")</f>
        <v>View Full Record in Web of Science</v>
      </c>
    </row>
    <row r="808" spans="1:72" s="2" customFormat="1" x14ac:dyDescent="0.4">
      <c r="A808" s="2" t="s">
        <v>72</v>
      </c>
      <c r="B808" s="2" t="s">
        <v>1041</v>
      </c>
      <c r="C808" s="2" t="s">
        <v>74</v>
      </c>
      <c r="D808" s="2" t="s">
        <v>74</v>
      </c>
      <c r="E808" s="2" t="s">
        <v>74</v>
      </c>
      <c r="F808" s="2" t="s">
        <v>1042</v>
      </c>
      <c r="G808" s="2" t="s">
        <v>74</v>
      </c>
      <c r="H808" s="2" t="s">
        <v>74</v>
      </c>
      <c r="I808" s="2" t="s">
        <v>1043</v>
      </c>
      <c r="J808" s="2" t="s">
        <v>1044</v>
      </c>
      <c r="K808" s="2" t="s">
        <v>74</v>
      </c>
      <c r="L808" s="2" t="s">
        <v>74</v>
      </c>
      <c r="M808" s="2" t="s">
        <v>74</v>
      </c>
      <c r="N808" s="2" t="s">
        <v>74</v>
      </c>
      <c r="O808" s="2" t="s">
        <v>74</v>
      </c>
      <c r="P808" s="2" t="s">
        <v>74</v>
      </c>
      <c r="Q808" s="2" t="s">
        <v>74</v>
      </c>
      <c r="R808" s="2" t="s">
        <v>74</v>
      </c>
      <c r="S808" s="2" t="s">
        <v>74</v>
      </c>
      <c r="T808" s="2" t="s">
        <v>74</v>
      </c>
      <c r="U808" s="2" t="s">
        <v>74</v>
      </c>
      <c r="V808" s="5" t="s">
        <v>1045</v>
      </c>
      <c r="W808" s="2" t="s">
        <v>74</v>
      </c>
      <c r="X808" s="2" t="s">
        <v>74</v>
      </c>
      <c r="Y808" s="2" t="s">
        <v>74</v>
      </c>
      <c r="Z808" s="2" t="s">
        <v>74</v>
      </c>
      <c r="AA808" s="2" t="s">
        <v>1046</v>
      </c>
      <c r="AB808" s="2" t="s">
        <v>1047</v>
      </c>
      <c r="AC808" s="2" t="s">
        <v>74</v>
      </c>
      <c r="AD808" s="2" t="s">
        <v>74</v>
      </c>
      <c r="AE808" s="2" t="s">
        <v>74</v>
      </c>
      <c r="AF808" s="2" t="s">
        <v>74</v>
      </c>
      <c r="AG808" s="2" t="s">
        <v>74</v>
      </c>
      <c r="AH808" s="2" t="s">
        <v>74</v>
      </c>
      <c r="AI808" s="2" t="s">
        <v>74</v>
      </c>
      <c r="AJ808" s="2" t="s">
        <v>74</v>
      </c>
      <c r="AK808" s="2" t="s">
        <v>74</v>
      </c>
      <c r="AL808" s="2" t="s">
        <v>74</v>
      </c>
      <c r="AM808" s="2" t="s">
        <v>74</v>
      </c>
      <c r="AN808" s="2" t="s">
        <v>74</v>
      </c>
      <c r="AO808" s="2" t="s">
        <v>1048</v>
      </c>
      <c r="AP808" s="2" t="s">
        <v>1049</v>
      </c>
      <c r="AQ808" s="2" t="s">
        <v>74</v>
      </c>
      <c r="AR808" s="2" t="s">
        <v>74</v>
      </c>
      <c r="AS808" s="2" t="s">
        <v>74</v>
      </c>
      <c r="AT808" s="2" t="s">
        <v>134</v>
      </c>
      <c r="AU808" s="2">
        <v>2021</v>
      </c>
      <c r="AV808" s="2">
        <v>30</v>
      </c>
      <c r="AW808" s="2">
        <v>10</v>
      </c>
      <c r="AX808" s="2" t="s">
        <v>74</v>
      </c>
      <c r="AY808" s="2" t="s">
        <v>74</v>
      </c>
      <c r="AZ808" s="2" t="s">
        <v>74</v>
      </c>
      <c r="BA808" s="2" t="s">
        <v>74</v>
      </c>
      <c r="BB808" s="2">
        <v>2262</v>
      </c>
      <c r="BC808" s="2">
        <v>2284</v>
      </c>
      <c r="BD808" s="2" t="s">
        <v>74</v>
      </c>
      <c r="BE808" s="2" t="s">
        <v>1050</v>
      </c>
      <c r="BF808" s="2" t="str">
        <f>HYPERLINK("http://dx.doi.org/10.1111/mec.15901","http://dx.doi.org/10.1111/mec.15901")</f>
        <v>http://dx.doi.org/10.1111/mec.15901</v>
      </c>
      <c r="BG808" s="2" t="s">
        <v>74</v>
      </c>
      <c r="BH808" s="2" t="s">
        <v>1051</v>
      </c>
      <c r="BI808" s="2" t="s">
        <v>74</v>
      </c>
      <c r="BJ808" s="2" t="s">
        <v>74</v>
      </c>
      <c r="BK808" s="2" t="s">
        <v>74</v>
      </c>
      <c r="BL808" s="2" t="s">
        <v>74</v>
      </c>
      <c r="BM808" s="2" t="s">
        <v>74</v>
      </c>
      <c r="BN808" s="2">
        <v>33772941</v>
      </c>
      <c r="BO808" s="2" t="s">
        <v>74</v>
      </c>
      <c r="BP808" s="2" t="s">
        <v>74</v>
      </c>
      <c r="BQ808" s="2" t="s">
        <v>74</v>
      </c>
      <c r="BR808" s="2" t="s">
        <v>74</v>
      </c>
      <c r="BS808" s="2" t="s">
        <v>1052</v>
      </c>
      <c r="BT808" s="2" t="str">
        <f>HYPERLINK("https%3A%2F%2Fwww.webofscience.com%2Fwos%2Fwoscc%2Ffull-record%2FWOS:000639399300001","View Full Record in Web of Science")</f>
        <v>View Full Record in Web of Science</v>
      </c>
    </row>
    <row r="809" spans="1:72" s="2" customFormat="1" x14ac:dyDescent="0.4">
      <c r="A809" s="2" t="s">
        <v>72</v>
      </c>
      <c r="B809" s="2" t="s">
        <v>3717</v>
      </c>
      <c r="C809" s="2" t="s">
        <v>74</v>
      </c>
      <c r="D809" s="2" t="s">
        <v>74</v>
      </c>
      <c r="E809" s="2" t="s">
        <v>74</v>
      </c>
      <c r="F809" s="2" t="s">
        <v>3718</v>
      </c>
      <c r="G809" s="2" t="s">
        <v>74</v>
      </c>
      <c r="H809" s="2" t="s">
        <v>74</v>
      </c>
      <c r="I809" s="2" t="s">
        <v>3719</v>
      </c>
      <c r="J809" s="2" t="s">
        <v>333</v>
      </c>
      <c r="K809" s="2" t="s">
        <v>74</v>
      </c>
      <c r="L809" s="2" t="s">
        <v>74</v>
      </c>
      <c r="M809" s="2" t="s">
        <v>74</v>
      </c>
      <c r="N809" s="2" t="s">
        <v>74</v>
      </c>
      <c r="O809" s="2" t="s">
        <v>74</v>
      </c>
      <c r="P809" s="2" t="s">
        <v>74</v>
      </c>
      <c r="Q809" s="2" t="s">
        <v>74</v>
      </c>
      <c r="R809" s="2" t="s">
        <v>74</v>
      </c>
      <c r="S809" s="2" t="s">
        <v>74</v>
      </c>
      <c r="T809" s="2" t="s">
        <v>74</v>
      </c>
      <c r="U809" s="2" t="s">
        <v>74</v>
      </c>
      <c r="V809" s="5" t="s">
        <v>3720</v>
      </c>
      <c r="W809" s="2" t="s">
        <v>74</v>
      </c>
      <c r="X809" s="2" t="s">
        <v>74</v>
      </c>
      <c r="Y809" s="2" t="s">
        <v>74</v>
      </c>
      <c r="Z809" s="2" t="s">
        <v>74</v>
      </c>
      <c r="AA809" s="2" t="s">
        <v>3721</v>
      </c>
      <c r="AB809" s="2" t="s">
        <v>3722</v>
      </c>
      <c r="AC809" s="2" t="s">
        <v>74</v>
      </c>
      <c r="AD809" s="2" t="s">
        <v>74</v>
      </c>
      <c r="AE809" s="2" t="s">
        <v>74</v>
      </c>
      <c r="AF809" s="2" t="s">
        <v>74</v>
      </c>
      <c r="AG809" s="2" t="s">
        <v>74</v>
      </c>
      <c r="AH809" s="2" t="s">
        <v>74</v>
      </c>
      <c r="AI809" s="2" t="s">
        <v>74</v>
      </c>
      <c r="AJ809" s="2" t="s">
        <v>74</v>
      </c>
      <c r="AK809" s="2" t="s">
        <v>74</v>
      </c>
      <c r="AL809" s="2" t="s">
        <v>74</v>
      </c>
      <c r="AM809" s="2" t="s">
        <v>74</v>
      </c>
      <c r="AN809" s="2" t="s">
        <v>74</v>
      </c>
      <c r="AO809" s="2" t="s">
        <v>337</v>
      </c>
      <c r="AP809" s="2" t="s">
        <v>338</v>
      </c>
      <c r="AQ809" s="2" t="s">
        <v>74</v>
      </c>
      <c r="AR809" s="2" t="s">
        <v>74</v>
      </c>
      <c r="AS809" s="2" t="s">
        <v>74</v>
      </c>
      <c r="AT809" s="2" t="s">
        <v>339</v>
      </c>
      <c r="AU809" s="2">
        <v>2015</v>
      </c>
      <c r="AV809" s="2">
        <v>26</v>
      </c>
      <c r="AW809" s="2">
        <v>4</v>
      </c>
      <c r="AX809" s="2" t="s">
        <v>74</v>
      </c>
      <c r="AY809" s="2" t="s">
        <v>74</v>
      </c>
      <c r="AZ809" s="2" t="s">
        <v>74</v>
      </c>
      <c r="BA809" s="2" t="s">
        <v>74</v>
      </c>
      <c r="BB809" s="2">
        <v>1212</v>
      </c>
      <c r="BC809" s="2">
        <v>1218</v>
      </c>
      <c r="BD809" s="2" t="s">
        <v>74</v>
      </c>
      <c r="BE809" s="2" t="s">
        <v>3723</v>
      </c>
      <c r="BF809" s="2" t="str">
        <f>HYPERLINK("http://dx.doi.org/10.1093/beheco/arv068","http://dx.doi.org/10.1093/beheco/arv068")</f>
        <v>http://dx.doi.org/10.1093/beheco/arv068</v>
      </c>
      <c r="BG809" s="2" t="s">
        <v>74</v>
      </c>
      <c r="BH809" s="2" t="s">
        <v>74</v>
      </c>
      <c r="BI809" s="2" t="s">
        <v>74</v>
      </c>
      <c r="BJ809" s="2" t="s">
        <v>74</v>
      </c>
      <c r="BK809" s="2" t="s">
        <v>74</v>
      </c>
      <c r="BL809" s="2" t="s">
        <v>74</v>
      </c>
      <c r="BM809" s="2" t="s">
        <v>74</v>
      </c>
      <c r="BN809" s="2" t="s">
        <v>74</v>
      </c>
      <c r="BO809" s="2" t="s">
        <v>74</v>
      </c>
      <c r="BP809" s="2" t="s">
        <v>74</v>
      </c>
      <c r="BQ809" s="2" t="s">
        <v>74</v>
      </c>
      <c r="BR809" s="2" t="s">
        <v>74</v>
      </c>
      <c r="BS809" s="2" t="s">
        <v>3724</v>
      </c>
      <c r="BT809" s="2" t="str">
        <f>HYPERLINK("https%3A%2F%2Fwww.webofscience.com%2Fwos%2Fwoscc%2Ffull-record%2FWOS:000358171600034","View Full Record in Web of Science")</f>
        <v>View Full Record in Web of Science</v>
      </c>
    </row>
    <row r="810" spans="1:72" s="2" customFormat="1" x14ac:dyDescent="0.4">
      <c r="A810" s="2" t="s">
        <v>72</v>
      </c>
      <c r="B810" s="2" t="s">
        <v>2381</v>
      </c>
      <c r="C810" s="2" t="s">
        <v>74</v>
      </c>
      <c r="D810" s="2" t="s">
        <v>74</v>
      </c>
      <c r="E810" s="2" t="s">
        <v>74</v>
      </c>
      <c r="F810" s="2" t="s">
        <v>2381</v>
      </c>
      <c r="G810" s="2" t="s">
        <v>74</v>
      </c>
      <c r="H810" s="2" t="s">
        <v>74</v>
      </c>
      <c r="I810" s="2" t="s">
        <v>2382</v>
      </c>
      <c r="J810" s="2" t="s">
        <v>77</v>
      </c>
      <c r="K810" s="2" t="s">
        <v>74</v>
      </c>
      <c r="L810" s="2" t="s">
        <v>74</v>
      </c>
      <c r="M810" s="2" t="s">
        <v>74</v>
      </c>
      <c r="N810" s="2" t="s">
        <v>74</v>
      </c>
      <c r="O810" s="2" t="s">
        <v>74</v>
      </c>
      <c r="P810" s="2" t="s">
        <v>74</v>
      </c>
      <c r="Q810" s="2" t="s">
        <v>74</v>
      </c>
      <c r="R810" s="2" t="s">
        <v>74</v>
      </c>
      <c r="S810" s="2" t="s">
        <v>74</v>
      </c>
      <c r="T810" s="2" t="s">
        <v>74</v>
      </c>
      <c r="U810" s="2" t="s">
        <v>74</v>
      </c>
      <c r="V810" s="5" t="s">
        <v>2383</v>
      </c>
      <c r="W810" s="2" t="s">
        <v>74</v>
      </c>
      <c r="X810" s="2" t="s">
        <v>74</v>
      </c>
      <c r="Y810" s="2" t="s">
        <v>74</v>
      </c>
      <c r="Z810" s="2" t="s">
        <v>74</v>
      </c>
      <c r="AA810" s="2" t="s">
        <v>74</v>
      </c>
      <c r="AB810" s="2" t="s">
        <v>74</v>
      </c>
      <c r="AC810" s="2" t="s">
        <v>74</v>
      </c>
      <c r="AD810" s="2" t="s">
        <v>74</v>
      </c>
      <c r="AE810" s="2" t="s">
        <v>74</v>
      </c>
      <c r="AF810" s="2" t="s">
        <v>74</v>
      </c>
      <c r="AG810" s="2" t="s">
        <v>74</v>
      </c>
      <c r="AH810" s="2" t="s">
        <v>74</v>
      </c>
      <c r="AI810" s="2" t="s">
        <v>74</v>
      </c>
      <c r="AJ810" s="2" t="s">
        <v>74</v>
      </c>
      <c r="AK810" s="2" t="s">
        <v>74</v>
      </c>
      <c r="AL810" s="2" t="s">
        <v>74</v>
      </c>
      <c r="AM810" s="2" t="s">
        <v>74</v>
      </c>
      <c r="AN810" s="2" t="s">
        <v>74</v>
      </c>
      <c r="AO810" s="2" t="s">
        <v>81</v>
      </c>
      <c r="AP810" s="2" t="s">
        <v>82</v>
      </c>
      <c r="AQ810" s="2" t="s">
        <v>74</v>
      </c>
      <c r="AR810" s="2" t="s">
        <v>74</v>
      </c>
      <c r="AS810" s="2" t="s">
        <v>74</v>
      </c>
      <c r="AT810" s="2" t="s">
        <v>74</v>
      </c>
      <c r="AU810" s="2">
        <v>1977</v>
      </c>
      <c r="AV810" s="2">
        <v>62</v>
      </c>
      <c r="AW810" s="2" t="s">
        <v>74</v>
      </c>
      <c r="AX810" s="2" t="s">
        <v>1276</v>
      </c>
      <c r="AY810" s="2" t="s">
        <v>74</v>
      </c>
      <c r="AZ810" s="2" t="s">
        <v>74</v>
      </c>
      <c r="BA810" s="2" t="s">
        <v>74</v>
      </c>
      <c r="BB810" s="2">
        <v>314</v>
      </c>
      <c r="BC810" s="2">
        <v>321</v>
      </c>
      <c r="BD810" s="2" t="s">
        <v>74</v>
      </c>
      <c r="BE810" s="2" t="s">
        <v>2384</v>
      </c>
      <c r="BF810" s="2" t="str">
        <f>HYPERLINK("http://dx.doi.org/10.1163/156853977X00162","http://dx.doi.org/10.1163/156853977X00162")</f>
        <v>http://dx.doi.org/10.1163/156853977X00162</v>
      </c>
      <c r="BG810" s="2" t="s">
        <v>74</v>
      </c>
      <c r="BH810" s="2" t="s">
        <v>74</v>
      </c>
      <c r="BI810" s="2" t="s">
        <v>74</v>
      </c>
      <c r="BJ810" s="2" t="s">
        <v>74</v>
      </c>
      <c r="BK810" s="2" t="s">
        <v>74</v>
      </c>
      <c r="BL810" s="2" t="s">
        <v>74</v>
      </c>
      <c r="BM810" s="2" t="s">
        <v>74</v>
      </c>
      <c r="BN810" s="2" t="s">
        <v>74</v>
      </c>
      <c r="BO810" s="2" t="s">
        <v>74</v>
      </c>
      <c r="BP810" s="2" t="s">
        <v>74</v>
      </c>
      <c r="BQ810" s="2" t="s">
        <v>74</v>
      </c>
      <c r="BR810" s="2" t="s">
        <v>74</v>
      </c>
      <c r="BS810" s="2" t="s">
        <v>2385</v>
      </c>
      <c r="BT810" s="2" t="str">
        <f>HYPERLINK("https%3A%2F%2Fwww.webofscience.com%2Fwos%2Fwoscc%2Ffull-record%2FWOS:A1977EA46300006","View Full Record in Web of Science")</f>
        <v>View Full Record in Web of Science</v>
      </c>
    </row>
    <row r="811" spans="1:72" s="2" customFormat="1" x14ac:dyDescent="0.4">
      <c r="A811" s="2" t="s">
        <v>72</v>
      </c>
      <c r="B811" s="2" t="s">
        <v>7635</v>
      </c>
      <c r="C811" s="2" t="s">
        <v>74</v>
      </c>
      <c r="D811" s="2" t="s">
        <v>74</v>
      </c>
      <c r="E811" s="2" t="s">
        <v>74</v>
      </c>
      <c r="F811" s="2" t="s">
        <v>7636</v>
      </c>
      <c r="G811" s="2" t="s">
        <v>74</v>
      </c>
      <c r="H811" s="2" t="s">
        <v>74</v>
      </c>
      <c r="I811" s="2" t="s">
        <v>7637</v>
      </c>
      <c r="J811" s="2" t="s">
        <v>3100</v>
      </c>
      <c r="K811" s="2" t="s">
        <v>74</v>
      </c>
      <c r="L811" s="2" t="s">
        <v>74</v>
      </c>
      <c r="M811" s="2" t="s">
        <v>74</v>
      </c>
      <c r="N811" s="2" t="s">
        <v>74</v>
      </c>
      <c r="O811" s="2" t="s">
        <v>74</v>
      </c>
      <c r="P811" s="2" t="s">
        <v>74</v>
      </c>
      <c r="Q811" s="2" t="s">
        <v>74</v>
      </c>
      <c r="R811" s="2" t="s">
        <v>74</v>
      </c>
      <c r="S811" s="2" t="s">
        <v>74</v>
      </c>
      <c r="T811" s="2" t="s">
        <v>74</v>
      </c>
      <c r="U811" s="2" t="s">
        <v>74</v>
      </c>
      <c r="V811" s="5" t="s">
        <v>7638</v>
      </c>
      <c r="W811" s="2" t="s">
        <v>74</v>
      </c>
      <c r="X811" s="2" t="s">
        <v>74</v>
      </c>
      <c r="Y811" s="2" t="s">
        <v>74</v>
      </c>
      <c r="Z811" s="2" t="s">
        <v>74</v>
      </c>
      <c r="AA811" s="2" t="s">
        <v>74</v>
      </c>
      <c r="AB811" s="2" t="s">
        <v>7639</v>
      </c>
      <c r="AC811" s="2" t="s">
        <v>74</v>
      </c>
      <c r="AD811" s="2" t="s">
        <v>74</v>
      </c>
      <c r="AE811" s="2" t="s">
        <v>74</v>
      </c>
      <c r="AF811" s="2" t="s">
        <v>74</v>
      </c>
      <c r="AG811" s="2" t="s">
        <v>74</v>
      </c>
      <c r="AH811" s="2" t="s">
        <v>74</v>
      </c>
      <c r="AI811" s="2" t="s">
        <v>74</v>
      </c>
      <c r="AJ811" s="2" t="s">
        <v>74</v>
      </c>
      <c r="AK811" s="2" t="s">
        <v>74</v>
      </c>
      <c r="AL811" s="2" t="s">
        <v>74</v>
      </c>
      <c r="AM811" s="2" t="s">
        <v>74</v>
      </c>
      <c r="AN811" s="2" t="s">
        <v>74</v>
      </c>
      <c r="AO811" s="2" t="s">
        <v>74</v>
      </c>
      <c r="AP811" s="2" t="s">
        <v>3104</v>
      </c>
      <c r="AQ811" s="2" t="s">
        <v>74</v>
      </c>
      <c r="AR811" s="2" t="s">
        <v>74</v>
      </c>
      <c r="AS811" s="2" t="s">
        <v>74</v>
      </c>
      <c r="AT811" s="2" t="s">
        <v>7640</v>
      </c>
      <c r="AU811" s="2">
        <v>2023</v>
      </c>
      <c r="AV811" s="2">
        <v>9</v>
      </c>
      <c r="AW811" s="2" t="s">
        <v>74</v>
      </c>
      <c r="AX811" s="2" t="s">
        <v>74</v>
      </c>
      <c r="AY811" s="2" t="s">
        <v>74</v>
      </c>
      <c r="AZ811" s="2" t="s">
        <v>74</v>
      </c>
      <c r="BA811" s="2" t="s">
        <v>74</v>
      </c>
      <c r="BB811" s="2" t="s">
        <v>74</v>
      </c>
      <c r="BC811" s="2" t="s">
        <v>74</v>
      </c>
      <c r="BD811" s="2">
        <v>1070206</v>
      </c>
      <c r="BE811" s="2" t="s">
        <v>7641</v>
      </c>
      <c r="BF811" s="2" t="str">
        <f>HYPERLINK("http://dx.doi.org/10.3389/fvets.2022.1070206","http://dx.doi.org/10.3389/fvets.2022.1070206")</f>
        <v>http://dx.doi.org/10.3389/fvets.2022.1070206</v>
      </c>
      <c r="BG811" s="2" t="s">
        <v>74</v>
      </c>
      <c r="BH811" s="2" t="s">
        <v>74</v>
      </c>
      <c r="BI811" s="2" t="s">
        <v>74</v>
      </c>
      <c r="BJ811" s="2" t="s">
        <v>74</v>
      </c>
      <c r="BK811" s="2" t="s">
        <v>74</v>
      </c>
      <c r="BL811" s="2" t="s">
        <v>74</v>
      </c>
      <c r="BM811" s="2" t="s">
        <v>74</v>
      </c>
      <c r="BN811" s="2">
        <v>36713853</v>
      </c>
      <c r="BO811" s="2" t="s">
        <v>74</v>
      </c>
      <c r="BP811" s="2" t="s">
        <v>74</v>
      </c>
      <c r="BQ811" s="2" t="s">
        <v>74</v>
      </c>
      <c r="BR811" s="2" t="s">
        <v>74</v>
      </c>
      <c r="BS811" s="2" t="s">
        <v>7642</v>
      </c>
      <c r="BT811" s="2" t="str">
        <f>HYPERLINK("https%3A%2F%2Fwww.webofscience.com%2Fwos%2Fwoscc%2Ffull-record%2FWOS:000920676700001","View Full Record in Web of Science")</f>
        <v>View Full Record in Web of Science</v>
      </c>
    </row>
    <row r="812" spans="1:72" s="2" customFormat="1" x14ac:dyDescent="0.4">
      <c r="A812" s="2" t="s">
        <v>72</v>
      </c>
      <c r="B812" s="2" t="s">
        <v>3578</v>
      </c>
      <c r="C812" s="2" t="s">
        <v>74</v>
      </c>
      <c r="D812" s="2" t="s">
        <v>74</v>
      </c>
      <c r="E812" s="2" t="s">
        <v>74</v>
      </c>
      <c r="F812" s="2" t="s">
        <v>3579</v>
      </c>
      <c r="G812" s="2" t="s">
        <v>74</v>
      </c>
      <c r="H812" s="2" t="s">
        <v>74</v>
      </c>
      <c r="I812" s="2" t="s">
        <v>3580</v>
      </c>
      <c r="J812" s="2" t="s">
        <v>201</v>
      </c>
      <c r="K812" s="2" t="s">
        <v>74</v>
      </c>
      <c r="L812" s="2" t="s">
        <v>74</v>
      </c>
      <c r="M812" s="2" t="s">
        <v>74</v>
      </c>
      <c r="N812" s="2" t="s">
        <v>74</v>
      </c>
      <c r="O812" s="2" t="s">
        <v>74</v>
      </c>
      <c r="P812" s="2" t="s">
        <v>74</v>
      </c>
      <c r="Q812" s="2" t="s">
        <v>74</v>
      </c>
      <c r="R812" s="2" t="s">
        <v>74</v>
      </c>
      <c r="S812" s="2" t="s">
        <v>74</v>
      </c>
      <c r="T812" s="2" t="s">
        <v>74</v>
      </c>
      <c r="U812" s="2" t="s">
        <v>74</v>
      </c>
      <c r="V812" s="5" t="s">
        <v>3581</v>
      </c>
      <c r="W812" s="2" t="s">
        <v>74</v>
      </c>
      <c r="X812" s="2" t="s">
        <v>74</v>
      </c>
      <c r="Y812" s="2" t="s">
        <v>74</v>
      </c>
      <c r="Z812" s="2" t="s">
        <v>74</v>
      </c>
      <c r="AA812" s="2" t="s">
        <v>74</v>
      </c>
      <c r="AB812" s="2" t="s">
        <v>3582</v>
      </c>
      <c r="AC812" s="2" t="s">
        <v>74</v>
      </c>
      <c r="AD812" s="2" t="s">
        <v>74</v>
      </c>
      <c r="AE812" s="2" t="s">
        <v>74</v>
      </c>
      <c r="AF812" s="2" t="s">
        <v>74</v>
      </c>
      <c r="AG812" s="2" t="s">
        <v>74</v>
      </c>
      <c r="AH812" s="2" t="s">
        <v>74</v>
      </c>
      <c r="AI812" s="2" t="s">
        <v>74</v>
      </c>
      <c r="AJ812" s="2" t="s">
        <v>74</v>
      </c>
      <c r="AK812" s="2" t="s">
        <v>74</v>
      </c>
      <c r="AL812" s="2" t="s">
        <v>74</v>
      </c>
      <c r="AM812" s="2" t="s">
        <v>74</v>
      </c>
      <c r="AN812" s="2" t="s">
        <v>74</v>
      </c>
      <c r="AO812" s="2" t="s">
        <v>203</v>
      </c>
      <c r="AP812" s="2" t="s">
        <v>1192</v>
      </c>
      <c r="AQ812" s="2" t="s">
        <v>74</v>
      </c>
      <c r="AR812" s="2" t="s">
        <v>74</v>
      </c>
      <c r="AS812" s="2" t="s">
        <v>74</v>
      </c>
      <c r="AT812" s="2" t="s">
        <v>204</v>
      </c>
      <c r="AU812" s="2">
        <v>2020</v>
      </c>
      <c r="AV812" s="2">
        <v>97</v>
      </c>
      <c r="AW812" s="2">
        <v>1</v>
      </c>
      <c r="AX812" s="2" t="s">
        <v>74</v>
      </c>
      <c r="AY812" s="2" t="s">
        <v>74</v>
      </c>
      <c r="AZ812" s="2" t="s">
        <v>74</v>
      </c>
      <c r="BA812" s="2" t="s">
        <v>74</v>
      </c>
      <c r="BB812" s="2">
        <v>75</v>
      </c>
      <c r="BC812" s="2">
        <v>82</v>
      </c>
      <c r="BD812" s="2" t="s">
        <v>74</v>
      </c>
      <c r="BE812" s="2" t="s">
        <v>3583</v>
      </c>
      <c r="BF812" s="2" t="str">
        <f>HYPERLINK("http://dx.doi.org/10.1111/jfb.14327","http://dx.doi.org/10.1111/jfb.14327")</f>
        <v>http://dx.doi.org/10.1111/jfb.14327</v>
      </c>
      <c r="BG812" s="2" t="s">
        <v>74</v>
      </c>
      <c r="BH812" s="2" t="s">
        <v>3584</v>
      </c>
      <c r="BI812" s="2" t="s">
        <v>74</v>
      </c>
      <c r="BJ812" s="2" t="s">
        <v>74</v>
      </c>
      <c r="BK812" s="2" t="s">
        <v>74</v>
      </c>
      <c r="BL812" s="2" t="s">
        <v>74</v>
      </c>
      <c r="BM812" s="2" t="s">
        <v>74</v>
      </c>
      <c r="BN812" s="2">
        <v>32291745</v>
      </c>
      <c r="BO812" s="2" t="s">
        <v>74</v>
      </c>
      <c r="BP812" s="2" t="s">
        <v>74</v>
      </c>
      <c r="BQ812" s="2" t="s">
        <v>74</v>
      </c>
      <c r="BR812" s="2" t="s">
        <v>74</v>
      </c>
      <c r="BS812" s="2" t="s">
        <v>3585</v>
      </c>
      <c r="BT812" s="2" t="str">
        <f>HYPERLINK("https%3A%2F%2Fwww.webofscience.com%2Fwos%2Fwoscc%2Ffull-record%2FWOS:000550050100001","View Full Record in Web of Science")</f>
        <v>View Full Record in Web of Science</v>
      </c>
    </row>
    <row r="813" spans="1:72" s="2" customFormat="1" x14ac:dyDescent="0.4">
      <c r="A813" s="2" t="s">
        <v>72</v>
      </c>
      <c r="B813" s="2" t="s">
        <v>6559</v>
      </c>
      <c r="C813" s="2" t="s">
        <v>74</v>
      </c>
      <c r="D813" s="2" t="s">
        <v>74</v>
      </c>
      <c r="E813" s="2" t="s">
        <v>74</v>
      </c>
      <c r="F813" s="2" t="s">
        <v>6559</v>
      </c>
      <c r="G813" s="2" t="s">
        <v>74</v>
      </c>
      <c r="H813" s="2" t="s">
        <v>74</v>
      </c>
      <c r="I813" s="2" t="s">
        <v>6560</v>
      </c>
      <c r="J813" s="2" t="s">
        <v>1673</v>
      </c>
      <c r="K813" s="2" t="s">
        <v>74</v>
      </c>
      <c r="L813" s="2" t="s">
        <v>74</v>
      </c>
      <c r="M813" s="2" t="s">
        <v>74</v>
      </c>
      <c r="N813" s="2" t="s">
        <v>74</v>
      </c>
      <c r="O813" s="2" t="s">
        <v>74</v>
      </c>
      <c r="P813" s="2" t="s">
        <v>74</v>
      </c>
      <c r="Q813" s="2" t="s">
        <v>74</v>
      </c>
      <c r="R813" s="2" t="s">
        <v>74</v>
      </c>
      <c r="S813" s="2" t="s">
        <v>74</v>
      </c>
      <c r="T813" s="2" t="s">
        <v>74</v>
      </c>
      <c r="U813" s="2" t="s">
        <v>74</v>
      </c>
      <c r="V813" s="5" t="s">
        <v>6561</v>
      </c>
      <c r="W813" s="2" t="s">
        <v>74</v>
      </c>
      <c r="X813" s="2" t="s">
        <v>74</v>
      </c>
      <c r="Y813" s="2" t="s">
        <v>74</v>
      </c>
      <c r="Z813" s="2" t="s">
        <v>74</v>
      </c>
      <c r="AA813" s="2" t="s">
        <v>74</v>
      </c>
      <c r="AB813" s="2" t="s">
        <v>74</v>
      </c>
      <c r="AC813" s="2" t="s">
        <v>74</v>
      </c>
      <c r="AD813" s="2" t="s">
        <v>74</v>
      </c>
      <c r="AE813" s="2" t="s">
        <v>74</v>
      </c>
      <c r="AF813" s="2" t="s">
        <v>74</v>
      </c>
      <c r="AG813" s="2" t="s">
        <v>74</v>
      </c>
      <c r="AH813" s="2" t="s">
        <v>74</v>
      </c>
      <c r="AI813" s="2" t="s">
        <v>74</v>
      </c>
      <c r="AJ813" s="2" t="s">
        <v>74</v>
      </c>
      <c r="AK813" s="2" t="s">
        <v>74</v>
      </c>
      <c r="AL813" s="2" t="s">
        <v>74</v>
      </c>
      <c r="AM813" s="2" t="s">
        <v>74</v>
      </c>
      <c r="AN813" s="2" t="s">
        <v>74</v>
      </c>
      <c r="AO813" s="2" t="s">
        <v>1239</v>
      </c>
      <c r="AP813" s="2" t="s">
        <v>1675</v>
      </c>
      <c r="AQ813" s="2" t="s">
        <v>74</v>
      </c>
      <c r="AR813" s="2" t="s">
        <v>74</v>
      </c>
      <c r="AS813" s="2" t="s">
        <v>74</v>
      </c>
      <c r="AT813" s="2" t="s">
        <v>633</v>
      </c>
      <c r="AU813" s="2">
        <v>1986</v>
      </c>
      <c r="AV813" s="2">
        <v>64</v>
      </c>
      <c r="AW813" s="2">
        <v>4</v>
      </c>
      <c r="AX813" s="2" t="s">
        <v>74</v>
      </c>
      <c r="AY813" s="2" t="s">
        <v>74</v>
      </c>
      <c r="AZ813" s="2" t="s">
        <v>74</v>
      </c>
      <c r="BA813" s="2" t="s">
        <v>74</v>
      </c>
      <c r="BB813" s="2">
        <v>867</v>
      </c>
      <c r="BC813" s="2">
        <v>874</v>
      </c>
      <c r="BD813" s="2" t="s">
        <v>74</v>
      </c>
      <c r="BE813" s="2" t="s">
        <v>6562</v>
      </c>
      <c r="BF813" s="2" t="str">
        <f>HYPERLINK("http://dx.doi.org/10.1139/z86-130","http://dx.doi.org/10.1139/z86-130")</f>
        <v>http://dx.doi.org/10.1139/z86-130</v>
      </c>
      <c r="BG813" s="2" t="s">
        <v>74</v>
      </c>
      <c r="BH813" s="2" t="s">
        <v>74</v>
      </c>
      <c r="BI813" s="2" t="s">
        <v>74</v>
      </c>
      <c r="BJ813" s="2" t="s">
        <v>74</v>
      </c>
      <c r="BK813" s="2" t="s">
        <v>74</v>
      </c>
      <c r="BL813" s="2" t="s">
        <v>74</v>
      </c>
      <c r="BM813" s="2" t="s">
        <v>74</v>
      </c>
      <c r="BN813" s="2" t="s">
        <v>74</v>
      </c>
      <c r="BO813" s="2" t="s">
        <v>74</v>
      </c>
      <c r="BP813" s="2" t="s">
        <v>74</v>
      </c>
      <c r="BQ813" s="2" t="s">
        <v>74</v>
      </c>
      <c r="BR813" s="2" t="s">
        <v>74</v>
      </c>
      <c r="BS813" s="2" t="s">
        <v>6563</v>
      </c>
      <c r="BT813" s="2" t="str">
        <f>HYPERLINK("https%3A%2F%2Fwww.webofscience.com%2Fwos%2Fwoscc%2Ffull-record%2FWOS:A1986C507200011","View Full Record in Web of Science")</f>
        <v>View Full Record in Web of Science</v>
      </c>
    </row>
    <row r="814" spans="1:72" s="2" customFormat="1" x14ac:dyDescent="0.4">
      <c r="A814" s="2" t="s">
        <v>72</v>
      </c>
      <c r="B814" s="2" t="s">
        <v>1740</v>
      </c>
      <c r="C814" s="2" t="s">
        <v>74</v>
      </c>
      <c r="D814" s="2" t="s">
        <v>74</v>
      </c>
      <c r="E814" s="2" t="s">
        <v>74</v>
      </c>
      <c r="F814" s="2" t="s">
        <v>1741</v>
      </c>
      <c r="G814" s="2" t="s">
        <v>74</v>
      </c>
      <c r="H814" s="2" t="s">
        <v>74</v>
      </c>
      <c r="I814" s="2" t="s">
        <v>1742</v>
      </c>
      <c r="J814" s="2" t="s">
        <v>1743</v>
      </c>
      <c r="K814" s="2" t="s">
        <v>74</v>
      </c>
      <c r="L814" s="2" t="s">
        <v>74</v>
      </c>
      <c r="M814" s="2" t="s">
        <v>74</v>
      </c>
      <c r="N814" s="2" t="s">
        <v>74</v>
      </c>
      <c r="O814" s="2" t="s">
        <v>74</v>
      </c>
      <c r="P814" s="2" t="s">
        <v>74</v>
      </c>
      <c r="Q814" s="2" t="s">
        <v>74</v>
      </c>
      <c r="R814" s="2" t="s">
        <v>74</v>
      </c>
      <c r="S814" s="2" t="s">
        <v>74</v>
      </c>
      <c r="T814" s="2" t="s">
        <v>74</v>
      </c>
      <c r="U814" s="2" t="s">
        <v>74</v>
      </c>
      <c r="V814" s="5" t="s">
        <v>1744</v>
      </c>
      <c r="W814" s="2" t="s">
        <v>74</v>
      </c>
      <c r="X814" s="2" t="s">
        <v>74</v>
      </c>
      <c r="Y814" s="2" t="s">
        <v>74</v>
      </c>
      <c r="Z814" s="2" t="s">
        <v>74</v>
      </c>
      <c r="AA814" s="2" t="s">
        <v>1745</v>
      </c>
      <c r="AB814" s="2" t="s">
        <v>74</v>
      </c>
      <c r="AC814" s="2" t="s">
        <v>74</v>
      </c>
      <c r="AD814" s="2" t="s">
        <v>74</v>
      </c>
      <c r="AE814" s="2" t="s">
        <v>74</v>
      </c>
      <c r="AF814" s="2" t="s">
        <v>74</v>
      </c>
      <c r="AG814" s="2" t="s">
        <v>74</v>
      </c>
      <c r="AH814" s="2" t="s">
        <v>74</v>
      </c>
      <c r="AI814" s="2" t="s">
        <v>74</v>
      </c>
      <c r="AJ814" s="2" t="s">
        <v>74</v>
      </c>
      <c r="AK814" s="2" t="s">
        <v>74</v>
      </c>
      <c r="AL814" s="2" t="s">
        <v>74</v>
      </c>
      <c r="AM814" s="2" t="s">
        <v>74</v>
      </c>
      <c r="AN814" s="2" t="s">
        <v>74</v>
      </c>
      <c r="AO814" s="2" t="s">
        <v>1746</v>
      </c>
      <c r="AP814" s="2" t="s">
        <v>74</v>
      </c>
      <c r="AQ814" s="2" t="s">
        <v>74</v>
      </c>
      <c r="AR814" s="2" t="s">
        <v>74</v>
      </c>
      <c r="AS814" s="2" t="s">
        <v>74</v>
      </c>
      <c r="AT814" s="2" t="s">
        <v>255</v>
      </c>
      <c r="AU814" s="2">
        <v>2008</v>
      </c>
      <c r="AV814" s="2">
        <v>25</v>
      </c>
      <c r="AW814" s="2">
        <v>1</v>
      </c>
      <c r="AX814" s="2" t="s">
        <v>74</v>
      </c>
      <c r="AY814" s="2" t="s">
        <v>74</v>
      </c>
      <c r="AZ814" s="2" t="s">
        <v>74</v>
      </c>
      <c r="BA814" s="2" t="s">
        <v>74</v>
      </c>
      <c r="BB814" s="2">
        <v>1</v>
      </c>
      <c r="BC814" s="2">
        <v>5</v>
      </c>
      <c r="BD814" s="2" t="s">
        <v>74</v>
      </c>
      <c r="BE814" s="2" t="s">
        <v>1747</v>
      </c>
      <c r="BF814" s="2" t="str">
        <f>HYPERLINK("http://dx.doi.org/10.2108/zsj.25.1","http://dx.doi.org/10.2108/zsj.25.1")</f>
        <v>http://dx.doi.org/10.2108/zsj.25.1</v>
      </c>
      <c r="BG814" s="2" t="s">
        <v>74</v>
      </c>
      <c r="BH814" s="2" t="s">
        <v>74</v>
      </c>
      <c r="BI814" s="2" t="s">
        <v>74</v>
      </c>
      <c r="BJ814" s="2" t="s">
        <v>74</v>
      </c>
      <c r="BK814" s="2" t="s">
        <v>74</v>
      </c>
      <c r="BL814" s="2" t="s">
        <v>74</v>
      </c>
      <c r="BM814" s="2" t="s">
        <v>74</v>
      </c>
      <c r="BN814" s="2">
        <v>18275238</v>
      </c>
      <c r="BO814" s="2" t="s">
        <v>74</v>
      </c>
      <c r="BP814" s="2" t="s">
        <v>74</v>
      </c>
      <c r="BQ814" s="2" t="s">
        <v>74</v>
      </c>
      <c r="BR814" s="2" t="s">
        <v>74</v>
      </c>
      <c r="BS814" s="2" t="s">
        <v>1748</v>
      </c>
      <c r="BT814" s="2" t="str">
        <f>HYPERLINK("https%3A%2F%2Fwww.webofscience.com%2Fwos%2Fwoscc%2Ffull-record%2FWOS:000256943500001","View Full Record in Web of Science")</f>
        <v>View Full Record in Web of Science</v>
      </c>
    </row>
    <row r="815" spans="1:72" s="2" customFormat="1" x14ac:dyDescent="0.4">
      <c r="A815" s="2" t="s">
        <v>72</v>
      </c>
      <c r="B815" s="2" t="s">
        <v>6175</v>
      </c>
      <c r="C815" s="2" t="s">
        <v>74</v>
      </c>
      <c r="D815" s="2" t="s">
        <v>74</v>
      </c>
      <c r="E815" s="2" t="s">
        <v>74</v>
      </c>
      <c r="F815" s="2" t="s">
        <v>6176</v>
      </c>
      <c r="G815" s="2" t="s">
        <v>74</v>
      </c>
      <c r="H815" s="2" t="s">
        <v>74</v>
      </c>
      <c r="I815" s="2" t="s">
        <v>6177</v>
      </c>
      <c r="J815" s="2" t="s">
        <v>5577</v>
      </c>
      <c r="K815" s="2" t="s">
        <v>74</v>
      </c>
      <c r="L815" s="2" t="s">
        <v>74</v>
      </c>
      <c r="M815" s="2" t="s">
        <v>74</v>
      </c>
      <c r="N815" s="2" t="s">
        <v>74</v>
      </c>
      <c r="O815" s="2" t="s">
        <v>74</v>
      </c>
      <c r="P815" s="2" t="s">
        <v>74</v>
      </c>
      <c r="Q815" s="2" t="s">
        <v>74</v>
      </c>
      <c r="R815" s="2" t="s">
        <v>74</v>
      </c>
      <c r="S815" s="2" t="s">
        <v>74</v>
      </c>
      <c r="T815" s="2" t="s">
        <v>74</v>
      </c>
      <c r="U815" s="2" t="s">
        <v>74</v>
      </c>
      <c r="V815" s="5" t="s">
        <v>6178</v>
      </c>
      <c r="W815" s="2" t="s">
        <v>74</v>
      </c>
      <c r="X815" s="2" t="s">
        <v>74</v>
      </c>
      <c r="Y815" s="2" t="s">
        <v>74</v>
      </c>
      <c r="Z815" s="2" t="s">
        <v>74</v>
      </c>
      <c r="AA815" s="2" t="s">
        <v>6179</v>
      </c>
      <c r="AB815" s="2" t="s">
        <v>6180</v>
      </c>
      <c r="AC815" s="2" t="s">
        <v>74</v>
      </c>
      <c r="AD815" s="2" t="s">
        <v>74</v>
      </c>
      <c r="AE815" s="2" t="s">
        <v>74</v>
      </c>
      <c r="AF815" s="2" t="s">
        <v>74</v>
      </c>
      <c r="AG815" s="2" t="s">
        <v>74</v>
      </c>
      <c r="AH815" s="2" t="s">
        <v>74</v>
      </c>
      <c r="AI815" s="2" t="s">
        <v>74</v>
      </c>
      <c r="AJ815" s="2" t="s">
        <v>74</v>
      </c>
      <c r="AK815" s="2" t="s">
        <v>74</v>
      </c>
      <c r="AL815" s="2" t="s">
        <v>74</v>
      </c>
      <c r="AM815" s="2" t="s">
        <v>74</v>
      </c>
      <c r="AN815" s="2" t="s">
        <v>74</v>
      </c>
      <c r="AO815" s="2" t="s">
        <v>5579</v>
      </c>
      <c r="AP815" s="2" t="s">
        <v>74</v>
      </c>
      <c r="AQ815" s="2" t="s">
        <v>74</v>
      </c>
      <c r="AR815" s="2" t="s">
        <v>74</v>
      </c>
      <c r="AS815" s="2" t="s">
        <v>74</v>
      </c>
      <c r="AT815" s="2" t="s">
        <v>255</v>
      </c>
      <c r="AU815" s="2">
        <v>2018</v>
      </c>
      <c r="AV815" s="2">
        <v>97</v>
      </c>
      <c r="AW815" s="2">
        <v>1</v>
      </c>
      <c r="AX815" s="2" t="s">
        <v>74</v>
      </c>
      <c r="AY815" s="2" t="s">
        <v>74</v>
      </c>
      <c r="AZ815" s="2" t="s">
        <v>74</v>
      </c>
      <c r="BA815" s="2" t="s">
        <v>74</v>
      </c>
      <c r="BB815" s="2">
        <v>56</v>
      </c>
      <c r="BC815" s="2">
        <v>66</v>
      </c>
      <c r="BD815" s="2" t="s">
        <v>74</v>
      </c>
      <c r="BE815" s="2" t="s">
        <v>6181</v>
      </c>
      <c r="BF815" s="2" t="str">
        <f>HYPERLINK("http://dx.doi.org/10.7868/S0044513418010051","http://dx.doi.org/10.7868/S0044513418010051")</f>
        <v>http://dx.doi.org/10.7868/S0044513418010051</v>
      </c>
      <c r="BG815" s="2" t="s">
        <v>74</v>
      </c>
      <c r="BH815" s="2" t="s">
        <v>74</v>
      </c>
      <c r="BI815" s="2" t="s">
        <v>74</v>
      </c>
      <c r="BJ815" s="2" t="s">
        <v>74</v>
      </c>
      <c r="BK815" s="2" t="s">
        <v>74</v>
      </c>
      <c r="BL815" s="2" t="s">
        <v>74</v>
      </c>
      <c r="BM815" s="2" t="s">
        <v>74</v>
      </c>
      <c r="BN815" s="2" t="s">
        <v>74</v>
      </c>
      <c r="BO815" s="2" t="s">
        <v>74</v>
      </c>
      <c r="BP815" s="2" t="s">
        <v>74</v>
      </c>
      <c r="BQ815" s="2" t="s">
        <v>74</v>
      </c>
      <c r="BR815" s="2" t="s">
        <v>74</v>
      </c>
      <c r="BS815" s="2" t="s">
        <v>6182</v>
      </c>
      <c r="BT815" s="2" t="str">
        <f>HYPERLINK("https%3A%2F%2Fwww.webofscience.com%2Fwos%2Fwoscc%2Ffull-record%2FWOS:000429884500005","View Full Record in Web of Science")</f>
        <v>View Full Record in Web of Science</v>
      </c>
    </row>
    <row r="816" spans="1:72" s="2" customFormat="1" x14ac:dyDescent="0.4">
      <c r="A816" s="2" t="s">
        <v>72</v>
      </c>
      <c r="B816" s="2" t="s">
        <v>3039</v>
      </c>
      <c r="C816" s="2" t="s">
        <v>74</v>
      </c>
      <c r="D816" s="2" t="s">
        <v>74</v>
      </c>
      <c r="E816" s="2" t="s">
        <v>74</v>
      </c>
      <c r="F816" s="2" t="s">
        <v>3040</v>
      </c>
      <c r="G816" s="2" t="s">
        <v>74</v>
      </c>
      <c r="H816" s="2" t="s">
        <v>74</v>
      </c>
      <c r="I816" s="2" t="s">
        <v>3041</v>
      </c>
      <c r="J816" s="2" t="s">
        <v>3042</v>
      </c>
      <c r="K816" s="2" t="s">
        <v>74</v>
      </c>
      <c r="L816" s="2" t="s">
        <v>74</v>
      </c>
      <c r="M816" s="2" t="s">
        <v>74</v>
      </c>
      <c r="N816" s="2" t="s">
        <v>74</v>
      </c>
      <c r="O816" s="2" t="s">
        <v>74</v>
      </c>
      <c r="P816" s="2" t="s">
        <v>74</v>
      </c>
      <c r="Q816" s="2" t="s">
        <v>74</v>
      </c>
      <c r="R816" s="2" t="s">
        <v>74</v>
      </c>
      <c r="S816" s="2" t="s">
        <v>74</v>
      </c>
      <c r="T816" s="2" t="s">
        <v>74</v>
      </c>
      <c r="U816" s="2" t="s">
        <v>74</v>
      </c>
      <c r="V816" s="5" t="s">
        <v>3043</v>
      </c>
      <c r="W816" s="2" t="s">
        <v>74</v>
      </c>
      <c r="X816" s="2" t="s">
        <v>74</v>
      </c>
      <c r="Y816" s="2" t="s">
        <v>74</v>
      </c>
      <c r="Z816" s="2" t="s">
        <v>74</v>
      </c>
      <c r="AA816" s="2" t="s">
        <v>74</v>
      </c>
      <c r="AB816" s="2" t="s">
        <v>3044</v>
      </c>
      <c r="AC816" s="2" t="s">
        <v>74</v>
      </c>
      <c r="AD816" s="2" t="s">
        <v>74</v>
      </c>
      <c r="AE816" s="2" t="s">
        <v>74</v>
      </c>
      <c r="AF816" s="2" t="s">
        <v>74</v>
      </c>
      <c r="AG816" s="2" t="s">
        <v>74</v>
      </c>
      <c r="AH816" s="2" t="s">
        <v>74</v>
      </c>
      <c r="AI816" s="2" t="s">
        <v>74</v>
      </c>
      <c r="AJ816" s="2" t="s">
        <v>74</v>
      </c>
      <c r="AK816" s="2" t="s">
        <v>74</v>
      </c>
      <c r="AL816" s="2" t="s">
        <v>74</v>
      </c>
      <c r="AM816" s="2" t="s">
        <v>74</v>
      </c>
      <c r="AN816" s="2" t="s">
        <v>74</v>
      </c>
      <c r="AO816" s="2" t="s">
        <v>1458</v>
      </c>
      <c r="AP816" s="2" t="s">
        <v>3045</v>
      </c>
      <c r="AQ816" s="2" t="s">
        <v>74</v>
      </c>
      <c r="AR816" s="2" t="s">
        <v>74</v>
      </c>
      <c r="AS816" s="2" t="s">
        <v>74</v>
      </c>
      <c r="AT816" s="2" t="s">
        <v>3046</v>
      </c>
      <c r="AU816" s="2">
        <v>2023</v>
      </c>
      <c r="AV816" s="2">
        <v>140</v>
      </c>
      <c r="AW816" s="2">
        <v>2</v>
      </c>
      <c r="AX816" s="2" t="s">
        <v>74</v>
      </c>
      <c r="AY816" s="2" t="s">
        <v>74</v>
      </c>
      <c r="AZ816" s="2" t="s">
        <v>74</v>
      </c>
      <c r="BA816" s="2" t="s">
        <v>74</v>
      </c>
      <c r="BB816" s="2" t="s">
        <v>74</v>
      </c>
      <c r="BC816" s="2" t="s">
        <v>74</v>
      </c>
      <c r="BD816" s="2" t="s">
        <v>74</v>
      </c>
      <c r="BE816" s="2" t="s">
        <v>3047</v>
      </c>
      <c r="BF816" s="2" t="str">
        <f>HYPERLINK("http://dx.doi.org/10.1093/ornithology/ukad002","http://dx.doi.org/10.1093/ornithology/ukad002")</f>
        <v>http://dx.doi.org/10.1093/ornithology/ukad002</v>
      </c>
      <c r="BG816" s="2" t="s">
        <v>74</v>
      </c>
      <c r="BH816" s="2" t="s">
        <v>3048</v>
      </c>
      <c r="BI816" s="2" t="s">
        <v>74</v>
      </c>
      <c r="BJ816" s="2" t="s">
        <v>74</v>
      </c>
      <c r="BK816" s="2" t="s">
        <v>74</v>
      </c>
      <c r="BL816" s="2" t="s">
        <v>74</v>
      </c>
      <c r="BM816" s="2" t="s">
        <v>74</v>
      </c>
      <c r="BN816" s="2" t="s">
        <v>74</v>
      </c>
      <c r="BO816" s="2" t="s">
        <v>74</v>
      </c>
      <c r="BP816" s="2" t="s">
        <v>74</v>
      </c>
      <c r="BQ816" s="2" t="s">
        <v>74</v>
      </c>
      <c r="BR816" s="2" t="s">
        <v>74</v>
      </c>
      <c r="BS816" s="2" t="s">
        <v>3049</v>
      </c>
      <c r="BT816" s="2" t="str">
        <f>HYPERLINK("https%3A%2F%2Fwww.webofscience.com%2Fwos%2Fwoscc%2Ffull-record%2FWOS:000959502700001","View Full Record in Web of Science")</f>
        <v>View Full Record in Web of Science</v>
      </c>
    </row>
    <row r="817" spans="1:72" s="2" customFormat="1" x14ac:dyDescent="0.4">
      <c r="A817" s="2" t="s">
        <v>72</v>
      </c>
      <c r="B817" s="2" t="s">
        <v>73</v>
      </c>
      <c r="C817" s="2" t="s">
        <v>74</v>
      </c>
      <c r="D817" s="2" t="s">
        <v>74</v>
      </c>
      <c r="E817" s="2" t="s">
        <v>74</v>
      </c>
      <c r="F817" s="2" t="s">
        <v>75</v>
      </c>
      <c r="G817" s="2" t="s">
        <v>74</v>
      </c>
      <c r="H817" s="2" t="s">
        <v>74</v>
      </c>
      <c r="I817" s="2" t="s">
        <v>76</v>
      </c>
      <c r="J817" s="2" t="s">
        <v>77</v>
      </c>
      <c r="K817" s="2" t="s">
        <v>74</v>
      </c>
      <c r="L817" s="2" t="s">
        <v>74</v>
      </c>
      <c r="M817" s="2" t="s">
        <v>74</v>
      </c>
      <c r="N817" s="2" t="s">
        <v>74</v>
      </c>
      <c r="O817" s="2" t="s">
        <v>74</v>
      </c>
      <c r="P817" s="2" t="s">
        <v>74</v>
      </c>
      <c r="Q817" s="2" t="s">
        <v>74</v>
      </c>
      <c r="R817" s="2" t="s">
        <v>74</v>
      </c>
      <c r="S817" s="2" t="s">
        <v>74</v>
      </c>
      <c r="T817" s="2" t="s">
        <v>74</v>
      </c>
      <c r="U817" s="2" t="s">
        <v>74</v>
      </c>
      <c r="V817" s="5" t="s">
        <v>78</v>
      </c>
      <c r="W817" s="2" t="s">
        <v>74</v>
      </c>
      <c r="X817" s="2" t="s">
        <v>74</v>
      </c>
      <c r="Y817" s="2" t="s">
        <v>74</v>
      </c>
      <c r="Z817" s="2" t="s">
        <v>74</v>
      </c>
      <c r="AA817" s="2" t="s">
        <v>79</v>
      </c>
      <c r="AB817" s="2" t="s">
        <v>80</v>
      </c>
      <c r="AC817" s="2" t="s">
        <v>74</v>
      </c>
      <c r="AD817" s="2" t="s">
        <v>74</v>
      </c>
      <c r="AE817" s="2" t="s">
        <v>74</v>
      </c>
      <c r="AF817" s="2" t="s">
        <v>74</v>
      </c>
      <c r="AG817" s="2" t="s">
        <v>74</v>
      </c>
      <c r="AH817" s="2" t="s">
        <v>74</v>
      </c>
      <c r="AI817" s="2" t="s">
        <v>74</v>
      </c>
      <c r="AJ817" s="2" t="s">
        <v>74</v>
      </c>
      <c r="AK817" s="2" t="s">
        <v>74</v>
      </c>
      <c r="AL817" s="2" t="s">
        <v>74</v>
      </c>
      <c r="AM817" s="2" t="s">
        <v>74</v>
      </c>
      <c r="AN817" s="2" t="s">
        <v>74</v>
      </c>
      <c r="AO817" s="2" t="s">
        <v>81</v>
      </c>
      <c r="AP817" s="2" t="s">
        <v>82</v>
      </c>
      <c r="AQ817" s="2" t="s">
        <v>74</v>
      </c>
      <c r="AR817" s="2" t="s">
        <v>74</v>
      </c>
      <c r="AS817" s="2" t="s">
        <v>74</v>
      </c>
      <c r="AT817" s="2" t="s">
        <v>74</v>
      </c>
      <c r="AU817" s="2">
        <v>2009</v>
      </c>
      <c r="AV817" s="2">
        <v>146</v>
      </c>
      <c r="AW817" s="2" t="s">
        <v>74</v>
      </c>
      <c r="AX817" s="2">
        <v>6</v>
      </c>
      <c r="AY817" s="2" t="s">
        <v>74</v>
      </c>
      <c r="AZ817" s="2" t="s">
        <v>74</v>
      </c>
      <c r="BA817" s="2" t="s">
        <v>74</v>
      </c>
      <c r="BB817" s="2">
        <v>741</v>
      </c>
      <c r="BC817" s="2">
        <v>756</v>
      </c>
      <c r="BD817" s="2" t="s">
        <v>74</v>
      </c>
      <c r="BE817" s="2" t="s">
        <v>83</v>
      </c>
      <c r="BF817" s="2" t="str">
        <f>HYPERLINK("http://dx.doi.org/10.1163/156853909X446181","http://dx.doi.org/10.1163/156853909X446181")</f>
        <v>http://dx.doi.org/10.1163/156853909X446181</v>
      </c>
      <c r="BG817" s="2" t="s">
        <v>74</v>
      </c>
      <c r="BH817" s="2" t="s">
        <v>74</v>
      </c>
      <c r="BI817" s="2" t="s">
        <v>74</v>
      </c>
      <c r="BJ817" s="2" t="s">
        <v>74</v>
      </c>
      <c r="BK817" s="2" t="s">
        <v>74</v>
      </c>
      <c r="BL817" s="2" t="s">
        <v>74</v>
      </c>
      <c r="BM817" s="2" t="s">
        <v>74</v>
      </c>
      <c r="BN817" s="2" t="s">
        <v>74</v>
      </c>
      <c r="BO817" s="2" t="s">
        <v>74</v>
      </c>
      <c r="BP817" s="2" t="s">
        <v>74</v>
      </c>
      <c r="BQ817" s="2" t="s">
        <v>74</v>
      </c>
      <c r="BR817" s="2" t="s">
        <v>74</v>
      </c>
      <c r="BS817" s="2" t="s">
        <v>84</v>
      </c>
      <c r="BT817" s="2" t="str">
        <f>HYPERLINK("https%3A%2F%2Fwww.webofscience.com%2Fwos%2Fwoscc%2Ffull-record%2FWOS:000267018400002","View Full Record in Web of Science")</f>
        <v>View Full Record in Web of Science</v>
      </c>
    </row>
    <row r="818" spans="1:72" s="2" customFormat="1" x14ac:dyDescent="0.4">
      <c r="A818" s="2" t="s">
        <v>72</v>
      </c>
      <c r="B818" s="2" t="s">
        <v>6919</v>
      </c>
      <c r="C818" s="2" t="s">
        <v>74</v>
      </c>
      <c r="D818" s="2" t="s">
        <v>74</v>
      </c>
      <c r="E818" s="2" t="s">
        <v>74</v>
      </c>
      <c r="F818" s="2" t="s">
        <v>6919</v>
      </c>
      <c r="G818" s="2" t="s">
        <v>74</v>
      </c>
      <c r="H818" s="2" t="s">
        <v>74</v>
      </c>
      <c r="I818" s="2" t="s">
        <v>7268</v>
      </c>
      <c r="J818" s="2" t="s">
        <v>140</v>
      </c>
      <c r="K818" s="2" t="s">
        <v>74</v>
      </c>
      <c r="L818" s="2" t="s">
        <v>74</v>
      </c>
      <c r="M818" s="2" t="s">
        <v>74</v>
      </c>
      <c r="N818" s="2" t="s">
        <v>74</v>
      </c>
      <c r="O818" s="2" t="s">
        <v>74</v>
      </c>
      <c r="P818" s="2" t="s">
        <v>74</v>
      </c>
      <c r="Q818" s="2" t="s">
        <v>74</v>
      </c>
      <c r="R818" s="2" t="s">
        <v>74</v>
      </c>
      <c r="S818" s="2" t="s">
        <v>74</v>
      </c>
      <c r="T818" s="2" t="s">
        <v>74</v>
      </c>
      <c r="U818" s="2" t="s">
        <v>74</v>
      </c>
      <c r="V818" s="5" t="s">
        <v>7269</v>
      </c>
      <c r="W818" s="2" t="s">
        <v>74</v>
      </c>
      <c r="X818" s="2" t="s">
        <v>74</v>
      </c>
      <c r="Y818" s="2" t="s">
        <v>74</v>
      </c>
      <c r="Z818" s="2" t="s">
        <v>74</v>
      </c>
      <c r="AA818" s="2" t="s">
        <v>1295</v>
      </c>
      <c r="AB818" s="2" t="s">
        <v>6922</v>
      </c>
      <c r="AC818" s="2" t="s">
        <v>74</v>
      </c>
      <c r="AD818" s="2" t="s">
        <v>74</v>
      </c>
      <c r="AE818" s="2" t="s">
        <v>74</v>
      </c>
      <c r="AF818" s="2" t="s">
        <v>74</v>
      </c>
      <c r="AG818" s="2" t="s">
        <v>74</v>
      </c>
      <c r="AH818" s="2" t="s">
        <v>74</v>
      </c>
      <c r="AI818" s="2" t="s">
        <v>74</v>
      </c>
      <c r="AJ818" s="2" t="s">
        <v>74</v>
      </c>
      <c r="AK818" s="2" t="s">
        <v>74</v>
      </c>
      <c r="AL818" s="2" t="s">
        <v>74</v>
      </c>
      <c r="AM818" s="2" t="s">
        <v>74</v>
      </c>
      <c r="AN818" s="2" t="s">
        <v>74</v>
      </c>
      <c r="AO818" s="2" t="s">
        <v>143</v>
      </c>
      <c r="AP818" s="2" t="s">
        <v>74</v>
      </c>
      <c r="AQ818" s="2" t="s">
        <v>74</v>
      </c>
      <c r="AR818" s="2" t="s">
        <v>74</v>
      </c>
      <c r="AS818" s="2" t="s">
        <v>74</v>
      </c>
      <c r="AT818" s="2" t="s">
        <v>102</v>
      </c>
      <c r="AU818" s="2">
        <v>2000</v>
      </c>
      <c r="AV818" s="2">
        <v>59</v>
      </c>
      <c r="AW818" s="2" t="s">
        <v>74</v>
      </c>
      <c r="AX818" s="2">
        <v>6</v>
      </c>
      <c r="AY818" s="2" t="s">
        <v>74</v>
      </c>
      <c r="AZ818" s="2" t="s">
        <v>74</v>
      </c>
      <c r="BA818" s="2" t="s">
        <v>74</v>
      </c>
      <c r="BB818" s="2">
        <v>1095</v>
      </c>
      <c r="BC818" s="2">
        <v>1101</v>
      </c>
      <c r="BD818" s="2" t="s">
        <v>74</v>
      </c>
      <c r="BE818" s="2" t="s">
        <v>7270</v>
      </c>
      <c r="BF818" s="2" t="str">
        <f>HYPERLINK("http://dx.doi.org/10.1006/anbe.2000.1401","http://dx.doi.org/10.1006/anbe.2000.1401")</f>
        <v>http://dx.doi.org/10.1006/anbe.2000.1401</v>
      </c>
      <c r="BG818" s="2" t="s">
        <v>74</v>
      </c>
      <c r="BH818" s="2" t="s">
        <v>74</v>
      </c>
      <c r="BI818" s="2" t="s">
        <v>74</v>
      </c>
      <c r="BJ818" s="2" t="s">
        <v>74</v>
      </c>
      <c r="BK818" s="2" t="s">
        <v>74</v>
      </c>
      <c r="BL818" s="2" t="s">
        <v>74</v>
      </c>
      <c r="BM818" s="2" t="s">
        <v>74</v>
      </c>
      <c r="BN818" s="2">
        <v>10877887</v>
      </c>
      <c r="BO818" s="2" t="s">
        <v>74</v>
      </c>
      <c r="BP818" s="2" t="s">
        <v>74</v>
      </c>
      <c r="BQ818" s="2" t="s">
        <v>74</v>
      </c>
      <c r="BR818" s="2" t="s">
        <v>74</v>
      </c>
      <c r="BS818" s="2" t="s">
        <v>7271</v>
      </c>
      <c r="BT818" s="2" t="str">
        <f>HYPERLINK("https%3A%2F%2Fwww.webofscience.com%2Fwos%2Fwoscc%2Ffull-record%2FWOS:000088220000003","View Full Record in Web of Science")</f>
        <v>View Full Record in Web of Science</v>
      </c>
    </row>
    <row r="819" spans="1:72" s="2" customFormat="1" x14ac:dyDescent="0.4">
      <c r="A819" s="2" t="s">
        <v>72</v>
      </c>
      <c r="B819" s="2" t="s">
        <v>8584</v>
      </c>
      <c r="C819" s="2" t="s">
        <v>74</v>
      </c>
      <c r="D819" s="2" t="s">
        <v>74</v>
      </c>
      <c r="E819" s="2" t="s">
        <v>74</v>
      </c>
      <c r="F819" s="2" t="s">
        <v>8584</v>
      </c>
      <c r="G819" s="2" t="s">
        <v>74</v>
      </c>
      <c r="H819" s="2" t="s">
        <v>74</v>
      </c>
      <c r="I819" s="2" t="s">
        <v>8585</v>
      </c>
      <c r="J819" s="2" t="s">
        <v>1112</v>
      </c>
      <c r="K819" s="2" t="s">
        <v>74</v>
      </c>
      <c r="L819" s="2" t="s">
        <v>74</v>
      </c>
      <c r="M819" s="2" t="s">
        <v>74</v>
      </c>
      <c r="N819" s="2" t="s">
        <v>74</v>
      </c>
      <c r="O819" s="2" t="s">
        <v>74</v>
      </c>
      <c r="P819" s="2" t="s">
        <v>74</v>
      </c>
      <c r="Q819" s="2" t="s">
        <v>74</v>
      </c>
      <c r="R819" s="2" t="s">
        <v>74</v>
      </c>
      <c r="S819" s="2" t="s">
        <v>74</v>
      </c>
      <c r="T819" s="2" t="s">
        <v>74</v>
      </c>
      <c r="U819" s="2" t="s">
        <v>74</v>
      </c>
      <c r="V819" s="5" t="s">
        <v>8586</v>
      </c>
      <c r="W819" s="2" t="s">
        <v>74</v>
      </c>
      <c r="X819" s="2" t="s">
        <v>74</v>
      </c>
      <c r="Y819" s="2" t="s">
        <v>74</v>
      </c>
      <c r="Z819" s="2" t="s">
        <v>74</v>
      </c>
      <c r="AA819" s="2" t="s">
        <v>74</v>
      </c>
      <c r="AB819" s="2" t="s">
        <v>8587</v>
      </c>
      <c r="AC819" s="2" t="s">
        <v>74</v>
      </c>
      <c r="AD819" s="2" t="s">
        <v>74</v>
      </c>
      <c r="AE819" s="2" t="s">
        <v>74</v>
      </c>
      <c r="AF819" s="2" t="s">
        <v>74</v>
      </c>
      <c r="AG819" s="2" t="s">
        <v>74</v>
      </c>
      <c r="AH819" s="2" t="s">
        <v>74</v>
      </c>
      <c r="AI819" s="2" t="s">
        <v>74</v>
      </c>
      <c r="AJ819" s="2" t="s">
        <v>74</v>
      </c>
      <c r="AK819" s="2" t="s">
        <v>74</v>
      </c>
      <c r="AL819" s="2" t="s">
        <v>74</v>
      </c>
      <c r="AM819" s="2" t="s">
        <v>74</v>
      </c>
      <c r="AN819" s="2" t="s">
        <v>74</v>
      </c>
      <c r="AO819" s="2" t="s">
        <v>1114</v>
      </c>
      <c r="AP819" s="2" t="s">
        <v>74</v>
      </c>
      <c r="AQ819" s="2" t="s">
        <v>74</v>
      </c>
      <c r="AR819" s="2" t="s">
        <v>74</v>
      </c>
      <c r="AS819" s="2" t="s">
        <v>74</v>
      </c>
      <c r="AT819" s="2" t="s">
        <v>8588</v>
      </c>
      <c r="AU819" s="2">
        <v>2000</v>
      </c>
      <c r="AV819" s="2">
        <v>67</v>
      </c>
      <c r="AW819" s="2">
        <v>4</v>
      </c>
      <c r="AX819" s="2" t="s">
        <v>74</v>
      </c>
      <c r="AY819" s="2" t="s">
        <v>74</v>
      </c>
      <c r="AZ819" s="2" t="s">
        <v>74</v>
      </c>
      <c r="BA819" s="2" t="s">
        <v>74</v>
      </c>
      <c r="BB819" s="2">
        <v>307</v>
      </c>
      <c r="BC819" s="2">
        <v>320</v>
      </c>
      <c r="BD819" s="2" t="s">
        <v>74</v>
      </c>
      <c r="BE819" s="2" t="s">
        <v>8589</v>
      </c>
      <c r="BF819" s="2" t="str">
        <f>HYPERLINK("http://dx.doi.org/10.1016/S0168-1591(99)00123-9","http://dx.doi.org/10.1016/S0168-1591(99)00123-9")</f>
        <v>http://dx.doi.org/10.1016/S0168-1591(99)00123-9</v>
      </c>
      <c r="BG819" s="2" t="s">
        <v>74</v>
      </c>
      <c r="BH819" s="2" t="s">
        <v>74</v>
      </c>
      <c r="BI819" s="2" t="s">
        <v>74</v>
      </c>
      <c r="BJ819" s="2" t="s">
        <v>74</v>
      </c>
      <c r="BK819" s="2" t="s">
        <v>74</v>
      </c>
      <c r="BL819" s="2" t="s">
        <v>74</v>
      </c>
      <c r="BM819" s="2" t="s">
        <v>74</v>
      </c>
      <c r="BN819" s="2">
        <v>10760610</v>
      </c>
      <c r="BO819" s="2" t="s">
        <v>74</v>
      </c>
      <c r="BP819" s="2" t="s">
        <v>74</v>
      </c>
      <c r="BQ819" s="2" t="s">
        <v>74</v>
      </c>
      <c r="BR819" s="2" t="s">
        <v>74</v>
      </c>
      <c r="BS819" s="2" t="s">
        <v>8590</v>
      </c>
      <c r="BT819" s="2" t="str">
        <f>HYPERLINK("https%3A%2F%2Fwww.webofscience.com%2Fwos%2Fwoscc%2Ffull-record%2FWOS:000086528100004","View Full Record in Web of Science")</f>
        <v>View Full Record in Web of Science</v>
      </c>
    </row>
    <row r="820" spans="1:72" s="2" customFormat="1" x14ac:dyDescent="0.4">
      <c r="A820" s="2" t="s">
        <v>72</v>
      </c>
      <c r="B820" s="2" t="s">
        <v>7784</v>
      </c>
      <c r="C820" s="2" t="s">
        <v>74</v>
      </c>
      <c r="D820" s="2" t="s">
        <v>74</v>
      </c>
      <c r="E820" s="2" t="s">
        <v>74</v>
      </c>
      <c r="F820" s="2" t="s">
        <v>7785</v>
      </c>
      <c r="G820" s="2" t="s">
        <v>74</v>
      </c>
      <c r="H820" s="2" t="s">
        <v>74</v>
      </c>
      <c r="I820" s="2" t="s">
        <v>7786</v>
      </c>
      <c r="J820" s="2" t="s">
        <v>5937</v>
      </c>
      <c r="K820" s="2" t="s">
        <v>74</v>
      </c>
      <c r="L820" s="2" t="s">
        <v>74</v>
      </c>
      <c r="M820" s="2" t="s">
        <v>74</v>
      </c>
      <c r="N820" s="2" t="s">
        <v>74</v>
      </c>
      <c r="O820" s="2" t="s">
        <v>74</v>
      </c>
      <c r="P820" s="2" t="s">
        <v>74</v>
      </c>
      <c r="Q820" s="2" t="s">
        <v>74</v>
      </c>
      <c r="R820" s="2" t="s">
        <v>74</v>
      </c>
      <c r="S820" s="2" t="s">
        <v>74</v>
      </c>
      <c r="T820" s="2" t="s">
        <v>74</v>
      </c>
      <c r="U820" s="2" t="s">
        <v>74</v>
      </c>
      <c r="V820" s="5" t="s">
        <v>7787</v>
      </c>
      <c r="W820" s="2" t="s">
        <v>74</v>
      </c>
      <c r="X820" s="2" t="s">
        <v>74</v>
      </c>
      <c r="Y820" s="2" t="s">
        <v>74</v>
      </c>
      <c r="Z820" s="2" t="s">
        <v>74</v>
      </c>
      <c r="AA820" s="2" t="s">
        <v>7788</v>
      </c>
      <c r="AB820" s="2" t="s">
        <v>7789</v>
      </c>
      <c r="AC820" s="2" t="s">
        <v>74</v>
      </c>
      <c r="AD820" s="2" t="s">
        <v>74</v>
      </c>
      <c r="AE820" s="2" t="s">
        <v>74</v>
      </c>
      <c r="AF820" s="2" t="s">
        <v>74</v>
      </c>
      <c r="AG820" s="2" t="s">
        <v>74</v>
      </c>
      <c r="AH820" s="2" t="s">
        <v>74</v>
      </c>
      <c r="AI820" s="2" t="s">
        <v>74</v>
      </c>
      <c r="AJ820" s="2" t="s">
        <v>74</v>
      </c>
      <c r="AK820" s="2" t="s">
        <v>74</v>
      </c>
      <c r="AL820" s="2" t="s">
        <v>74</v>
      </c>
      <c r="AM820" s="2" t="s">
        <v>74</v>
      </c>
      <c r="AN820" s="2" t="s">
        <v>74</v>
      </c>
      <c r="AO820" s="2" t="s">
        <v>5941</v>
      </c>
      <c r="AP820" s="2" t="s">
        <v>74</v>
      </c>
      <c r="AQ820" s="2" t="s">
        <v>74</v>
      </c>
      <c r="AR820" s="2" t="s">
        <v>74</v>
      </c>
      <c r="AS820" s="2" t="s">
        <v>74</v>
      </c>
      <c r="AT820" s="2" t="s">
        <v>134</v>
      </c>
      <c r="AU820" s="2">
        <v>2020</v>
      </c>
      <c r="AV820" s="2">
        <v>10</v>
      </c>
      <c r="AW820" s="2">
        <v>5</v>
      </c>
      <c r="AX820" s="2" t="s">
        <v>74</v>
      </c>
      <c r="AY820" s="2" t="s">
        <v>74</v>
      </c>
      <c r="AZ820" s="2" t="s">
        <v>74</v>
      </c>
      <c r="BA820" s="2" t="s">
        <v>74</v>
      </c>
      <c r="BB820" s="2" t="s">
        <v>74</v>
      </c>
      <c r="BC820" s="2" t="s">
        <v>74</v>
      </c>
      <c r="BD820" s="2">
        <v>755</v>
      </c>
      <c r="BE820" s="2" t="s">
        <v>7790</v>
      </c>
      <c r="BF820" s="2" t="str">
        <f>HYPERLINK("http://dx.doi.org/10.3390/ani10050755","http://dx.doi.org/10.3390/ani10050755")</f>
        <v>http://dx.doi.org/10.3390/ani10050755</v>
      </c>
      <c r="BG820" s="2" t="s">
        <v>74</v>
      </c>
      <c r="BH820" s="2" t="s">
        <v>74</v>
      </c>
      <c r="BI820" s="2" t="s">
        <v>74</v>
      </c>
      <c r="BJ820" s="2" t="s">
        <v>74</v>
      </c>
      <c r="BK820" s="2" t="s">
        <v>74</v>
      </c>
      <c r="BL820" s="2" t="s">
        <v>74</v>
      </c>
      <c r="BM820" s="2" t="s">
        <v>74</v>
      </c>
      <c r="BN820" s="2">
        <v>32357412</v>
      </c>
      <c r="BO820" s="2" t="s">
        <v>74</v>
      </c>
      <c r="BP820" s="2" t="s">
        <v>74</v>
      </c>
      <c r="BQ820" s="2" t="s">
        <v>74</v>
      </c>
      <c r="BR820" s="2" t="s">
        <v>74</v>
      </c>
      <c r="BS820" s="2" t="s">
        <v>7791</v>
      </c>
      <c r="BT820" s="2" t="str">
        <f>HYPERLINK("https%3A%2F%2Fwww.webofscience.com%2Fwos%2Fwoscc%2Ffull-record%2FWOS:000540228300006","View Full Record in Web of Science")</f>
        <v>View Full Record in Web of Science</v>
      </c>
    </row>
    <row r="821" spans="1:72" s="2" customFormat="1" x14ac:dyDescent="0.4">
      <c r="A821" s="2" t="s">
        <v>72</v>
      </c>
      <c r="B821" s="2" t="s">
        <v>5177</v>
      </c>
      <c r="C821" s="2" t="s">
        <v>74</v>
      </c>
      <c r="D821" s="2" t="s">
        <v>74</v>
      </c>
      <c r="E821" s="2" t="s">
        <v>74</v>
      </c>
      <c r="F821" s="2" t="s">
        <v>5178</v>
      </c>
      <c r="G821" s="2" t="s">
        <v>74</v>
      </c>
      <c r="H821" s="2" t="s">
        <v>74</v>
      </c>
      <c r="I821" s="2" t="s">
        <v>5179</v>
      </c>
      <c r="J821" s="2" t="s">
        <v>5180</v>
      </c>
      <c r="K821" s="2" t="s">
        <v>74</v>
      </c>
      <c r="L821" s="2" t="s">
        <v>74</v>
      </c>
      <c r="M821" s="2" t="s">
        <v>74</v>
      </c>
      <c r="N821" s="2" t="s">
        <v>74</v>
      </c>
      <c r="O821" s="2" t="s">
        <v>74</v>
      </c>
      <c r="P821" s="2" t="s">
        <v>74</v>
      </c>
      <c r="Q821" s="2" t="s">
        <v>74</v>
      </c>
      <c r="R821" s="2" t="s">
        <v>74</v>
      </c>
      <c r="S821" s="2" t="s">
        <v>74</v>
      </c>
      <c r="T821" s="2" t="s">
        <v>74</v>
      </c>
      <c r="U821" s="2" t="s">
        <v>74</v>
      </c>
      <c r="V821" s="5" t="s">
        <v>5181</v>
      </c>
      <c r="W821" s="2" t="s">
        <v>74</v>
      </c>
      <c r="X821" s="2" t="s">
        <v>74</v>
      </c>
      <c r="Y821" s="2" t="s">
        <v>74</v>
      </c>
      <c r="Z821" s="2" t="s">
        <v>74</v>
      </c>
      <c r="AA821" s="2" t="s">
        <v>5182</v>
      </c>
      <c r="AB821" s="2" t="s">
        <v>5183</v>
      </c>
      <c r="AC821" s="2" t="s">
        <v>74</v>
      </c>
      <c r="AD821" s="2" t="s">
        <v>74</v>
      </c>
      <c r="AE821" s="2" t="s">
        <v>74</v>
      </c>
      <c r="AF821" s="2" t="s">
        <v>74</v>
      </c>
      <c r="AG821" s="2" t="s">
        <v>74</v>
      </c>
      <c r="AH821" s="2" t="s">
        <v>74</v>
      </c>
      <c r="AI821" s="2" t="s">
        <v>74</v>
      </c>
      <c r="AJ821" s="2" t="s">
        <v>74</v>
      </c>
      <c r="AK821" s="2" t="s">
        <v>74</v>
      </c>
      <c r="AL821" s="2" t="s">
        <v>74</v>
      </c>
      <c r="AM821" s="2" t="s">
        <v>74</v>
      </c>
      <c r="AN821" s="2" t="s">
        <v>74</v>
      </c>
      <c r="AO821" s="2" t="s">
        <v>5184</v>
      </c>
      <c r="AP821" s="2" t="s">
        <v>5185</v>
      </c>
      <c r="AQ821" s="2" t="s">
        <v>74</v>
      </c>
      <c r="AR821" s="2" t="s">
        <v>74</v>
      </c>
      <c r="AS821" s="2" t="s">
        <v>74</v>
      </c>
      <c r="AT821" s="2" t="s">
        <v>145</v>
      </c>
      <c r="AU821" s="2">
        <v>2021</v>
      </c>
      <c r="AV821" s="2">
        <v>40</v>
      </c>
      <c r="AW821" s="2">
        <v>2</v>
      </c>
      <c r="AX821" s="2" t="s">
        <v>74</v>
      </c>
      <c r="AY821" s="2" t="s">
        <v>74</v>
      </c>
      <c r="AZ821" s="2" t="s">
        <v>74</v>
      </c>
      <c r="BA821" s="2" t="s">
        <v>74</v>
      </c>
      <c r="BB821" s="2">
        <v>182</v>
      </c>
      <c r="BC821" s="2">
        <v>189</v>
      </c>
      <c r="BD821" s="2" t="s">
        <v>74</v>
      </c>
      <c r="BE821" s="2" t="s">
        <v>5186</v>
      </c>
      <c r="BF821" s="2" t="str">
        <f>HYPERLINK("http://dx.doi.org/10.5358/hsj.40.182","http://dx.doi.org/10.5358/hsj.40.182")</f>
        <v>http://dx.doi.org/10.5358/hsj.40.182</v>
      </c>
      <c r="BG821" s="2" t="s">
        <v>74</v>
      </c>
      <c r="BH821" s="2" t="s">
        <v>74</v>
      </c>
      <c r="BI821" s="2" t="s">
        <v>74</v>
      </c>
      <c r="BJ821" s="2" t="s">
        <v>74</v>
      </c>
      <c r="BK821" s="2" t="s">
        <v>74</v>
      </c>
      <c r="BL821" s="2" t="s">
        <v>74</v>
      </c>
      <c r="BM821" s="2" t="s">
        <v>74</v>
      </c>
      <c r="BN821" s="2" t="s">
        <v>74</v>
      </c>
      <c r="BO821" s="2" t="s">
        <v>74</v>
      </c>
      <c r="BP821" s="2" t="s">
        <v>74</v>
      </c>
      <c r="BQ821" s="2" t="s">
        <v>74</v>
      </c>
      <c r="BR821" s="2" t="s">
        <v>74</v>
      </c>
      <c r="BS821" s="2" t="s">
        <v>5187</v>
      </c>
      <c r="BT821" s="2" t="str">
        <f>HYPERLINK("https%3A%2F%2Fwww.webofscience.com%2Fwos%2Fwoscc%2Ffull-record%2FWOS:000697316900008","View Full Record in Web of Science")</f>
        <v>View Full Record in Web of Science</v>
      </c>
    </row>
    <row r="822" spans="1:72" s="2" customFormat="1" x14ac:dyDescent="0.4">
      <c r="A822" s="2" t="s">
        <v>72</v>
      </c>
      <c r="B822" s="2" t="s">
        <v>2245</v>
      </c>
      <c r="C822" s="2" t="s">
        <v>74</v>
      </c>
      <c r="D822" s="2" t="s">
        <v>74</v>
      </c>
      <c r="E822" s="2" t="s">
        <v>74</v>
      </c>
      <c r="F822" s="2" t="s">
        <v>2246</v>
      </c>
      <c r="G822" s="2" t="s">
        <v>74</v>
      </c>
      <c r="H822" s="2" t="s">
        <v>74</v>
      </c>
      <c r="I822" s="2" t="s">
        <v>2247</v>
      </c>
      <c r="J822" s="2" t="s">
        <v>2248</v>
      </c>
      <c r="K822" s="2" t="s">
        <v>74</v>
      </c>
      <c r="L822" s="2" t="s">
        <v>74</v>
      </c>
      <c r="M822" s="2" t="s">
        <v>74</v>
      </c>
      <c r="N822" s="2" t="s">
        <v>74</v>
      </c>
      <c r="O822" s="2" t="s">
        <v>74</v>
      </c>
      <c r="P822" s="2" t="s">
        <v>74</v>
      </c>
      <c r="Q822" s="2" t="s">
        <v>74</v>
      </c>
      <c r="R822" s="2" t="s">
        <v>74</v>
      </c>
      <c r="S822" s="2" t="s">
        <v>74</v>
      </c>
      <c r="T822" s="2" t="s">
        <v>74</v>
      </c>
      <c r="U822" s="2" t="s">
        <v>74</v>
      </c>
      <c r="V822" s="5" t="s">
        <v>2249</v>
      </c>
      <c r="W822" s="2" t="s">
        <v>74</v>
      </c>
      <c r="X822" s="2" t="s">
        <v>74</v>
      </c>
      <c r="Y822" s="2" t="s">
        <v>74</v>
      </c>
      <c r="Z822" s="2" t="s">
        <v>74</v>
      </c>
      <c r="AA822" s="2" t="s">
        <v>74</v>
      </c>
      <c r="AB822" s="2" t="s">
        <v>2250</v>
      </c>
      <c r="AC822" s="2" t="s">
        <v>74</v>
      </c>
      <c r="AD822" s="2" t="s">
        <v>74</v>
      </c>
      <c r="AE822" s="2" t="s">
        <v>74</v>
      </c>
      <c r="AF822" s="2" t="s">
        <v>74</v>
      </c>
      <c r="AG822" s="2" t="s">
        <v>74</v>
      </c>
      <c r="AH822" s="2" t="s">
        <v>74</v>
      </c>
      <c r="AI822" s="2" t="s">
        <v>74</v>
      </c>
      <c r="AJ822" s="2" t="s">
        <v>74</v>
      </c>
      <c r="AK822" s="2" t="s">
        <v>74</v>
      </c>
      <c r="AL822" s="2" t="s">
        <v>74</v>
      </c>
      <c r="AM822" s="2" t="s">
        <v>74</v>
      </c>
      <c r="AN822" s="2" t="s">
        <v>74</v>
      </c>
      <c r="AO822" s="2" t="s">
        <v>2251</v>
      </c>
      <c r="AP822" s="2" t="s">
        <v>2252</v>
      </c>
      <c r="AQ822" s="2" t="s">
        <v>74</v>
      </c>
      <c r="AR822" s="2" t="s">
        <v>74</v>
      </c>
      <c r="AS822" s="2" t="s">
        <v>74</v>
      </c>
      <c r="AT822" s="2" t="s">
        <v>74</v>
      </c>
      <c r="AU822" s="2">
        <v>2011</v>
      </c>
      <c r="AV822" s="2">
        <v>14</v>
      </c>
      <c r="AW822" s="2">
        <v>4</v>
      </c>
      <c r="AX822" s="2" t="s">
        <v>74</v>
      </c>
      <c r="AY822" s="2" t="s">
        <v>74</v>
      </c>
      <c r="AZ822" s="2" t="s">
        <v>74</v>
      </c>
      <c r="BA822" s="2" t="s">
        <v>74</v>
      </c>
      <c r="BB822" s="2">
        <v>340</v>
      </c>
      <c r="BC822" s="2">
        <v>360</v>
      </c>
      <c r="BD822" s="2" t="s">
        <v>74</v>
      </c>
      <c r="BE822" s="2" t="s">
        <v>2253</v>
      </c>
      <c r="BF822" s="2" t="str">
        <f>HYPERLINK("http://dx.doi.org/10.1080/10888705.2011.600664","http://dx.doi.org/10.1080/10888705.2011.600664")</f>
        <v>http://dx.doi.org/10.1080/10888705.2011.600664</v>
      </c>
      <c r="BG822" s="2" t="s">
        <v>74</v>
      </c>
      <c r="BH822" s="2" t="s">
        <v>74</v>
      </c>
      <c r="BI822" s="2" t="s">
        <v>74</v>
      </c>
      <c r="BJ822" s="2" t="s">
        <v>74</v>
      </c>
      <c r="BK822" s="2" t="s">
        <v>74</v>
      </c>
      <c r="BL822" s="2" t="s">
        <v>74</v>
      </c>
      <c r="BM822" s="2" t="s">
        <v>74</v>
      </c>
      <c r="BN822" s="2">
        <v>21932947</v>
      </c>
      <c r="BO822" s="2" t="s">
        <v>74</v>
      </c>
      <c r="BP822" s="2" t="s">
        <v>74</v>
      </c>
      <c r="BQ822" s="2" t="s">
        <v>74</v>
      </c>
      <c r="BR822" s="2" t="s">
        <v>74</v>
      </c>
      <c r="BS822" s="2" t="s">
        <v>2254</v>
      </c>
      <c r="BT822" s="2" t="str">
        <f>HYPERLINK("https%3A%2F%2Fwww.webofscience.com%2Fwos%2Fwoscc%2Ffull-record%2FWOS:000296232000005","View Full Record in Web of Science")</f>
        <v>View Full Record in Web of Science</v>
      </c>
    </row>
    <row r="823" spans="1:72" s="1" customFormat="1" x14ac:dyDescent="0.4">
      <c r="A823" s="2" t="s">
        <v>72</v>
      </c>
      <c r="B823" s="2" t="s">
        <v>5752</v>
      </c>
      <c r="C823" s="2" t="s">
        <v>74</v>
      </c>
      <c r="D823" s="2" t="s">
        <v>74</v>
      </c>
      <c r="E823" s="2" t="s">
        <v>74</v>
      </c>
      <c r="F823" s="2" t="s">
        <v>5753</v>
      </c>
      <c r="G823" s="2" t="s">
        <v>74</v>
      </c>
      <c r="H823" s="2" t="s">
        <v>74</v>
      </c>
      <c r="I823" s="2" t="s">
        <v>5754</v>
      </c>
      <c r="J823" s="2" t="s">
        <v>192</v>
      </c>
      <c r="K823" s="2" t="s">
        <v>74</v>
      </c>
      <c r="L823" s="2" t="s">
        <v>74</v>
      </c>
      <c r="M823" s="2" t="s">
        <v>74</v>
      </c>
      <c r="N823" s="2" t="s">
        <v>74</v>
      </c>
      <c r="O823" s="2" t="s">
        <v>74</v>
      </c>
      <c r="P823" s="2" t="s">
        <v>74</v>
      </c>
      <c r="Q823" s="2" t="s">
        <v>74</v>
      </c>
      <c r="R823" s="2" t="s">
        <v>74</v>
      </c>
      <c r="S823" s="2" t="s">
        <v>74</v>
      </c>
      <c r="T823" s="2" t="s">
        <v>74</v>
      </c>
      <c r="U823" s="2" t="s">
        <v>74</v>
      </c>
      <c r="V823" s="5" t="s">
        <v>5755</v>
      </c>
      <c r="W823" s="2" t="s">
        <v>74</v>
      </c>
      <c r="X823" s="2" t="s">
        <v>74</v>
      </c>
      <c r="Y823" s="2" t="s">
        <v>74</v>
      </c>
      <c r="Z823" s="2" t="s">
        <v>74</v>
      </c>
      <c r="AA823" s="2" t="s">
        <v>5756</v>
      </c>
      <c r="AB823" s="2" t="s">
        <v>5757</v>
      </c>
      <c r="AC823" s="2" t="s">
        <v>74</v>
      </c>
      <c r="AD823" s="2" t="s">
        <v>74</v>
      </c>
      <c r="AE823" s="2" t="s">
        <v>74</v>
      </c>
      <c r="AF823" s="2" t="s">
        <v>74</v>
      </c>
      <c r="AG823" s="2" t="s">
        <v>74</v>
      </c>
      <c r="AH823" s="2" t="s">
        <v>74</v>
      </c>
      <c r="AI823" s="2" t="s">
        <v>74</v>
      </c>
      <c r="AJ823" s="2" t="s">
        <v>74</v>
      </c>
      <c r="AK823" s="2" t="s">
        <v>74</v>
      </c>
      <c r="AL823" s="2" t="s">
        <v>74</v>
      </c>
      <c r="AM823" s="2" t="s">
        <v>74</v>
      </c>
      <c r="AN823" s="2" t="s">
        <v>74</v>
      </c>
      <c r="AO823" s="2" t="s">
        <v>195</v>
      </c>
      <c r="AP823" s="2" t="s">
        <v>196</v>
      </c>
      <c r="AQ823" s="2" t="s">
        <v>74</v>
      </c>
      <c r="AR823" s="2" t="s">
        <v>74</v>
      </c>
      <c r="AS823" s="2" t="s">
        <v>74</v>
      </c>
      <c r="AT823" s="2" t="s">
        <v>633</v>
      </c>
      <c r="AU823" s="2">
        <v>2015</v>
      </c>
      <c r="AV823" s="2">
        <v>748</v>
      </c>
      <c r="AW823" s="2">
        <v>1</v>
      </c>
      <c r="AX823" s="2" t="s">
        <v>74</v>
      </c>
      <c r="AY823" s="2" t="s">
        <v>74</v>
      </c>
      <c r="AZ823" s="2" t="s">
        <v>74</v>
      </c>
      <c r="BA823" s="2" t="s">
        <v>74</v>
      </c>
      <c r="BB823" s="2">
        <v>233</v>
      </c>
      <c r="BC823" s="2">
        <v>257</v>
      </c>
      <c r="BD823" s="2" t="s">
        <v>74</v>
      </c>
      <c r="BE823" s="2" t="s">
        <v>5758</v>
      </c>
      <c r="BF823" s="2" t="str">
        <f>HYPERLINK("http://dx.doi.org/10.1007/s10750-014-2081-4","http://dx.doi.org/10.1007/s10750-014-2081-4")</f>
        <v>http://dx.doi.org/10.1007/s10750-014-2081-4</v>
      </c>
      <c r="BG823" s="2" t="s">
        <v>74</v>
      </c>
      <c r="BH823" s="2" t="s">
        <v>74</v>
      </c>
      <c r="BI823" s="2" t="s">
        <v>74</v>
      </c>
      <c r="BJ823" s="2" t="s">
        <v>74</v>
      </c>
      <c r="BK823" s="2" t="s">
        <v>74</v>
      </c>
      <c r="BL823" s="2" t="s">
        <v>74</v>
      </c>
      <c r="BM823" s="2" t="s">
        <v>74</v>
      </c>
      <c r="BN823" s="2" t="s">
        <v>74</v>
      </c>
      <c r="BO823" s="2" t="s">
        <v>74</v>
      </c>
      <c r="BP823" s="2" t="s">
        <v>74</v>
      </c>
      <c r="BQ823" s="2" t="s">
        <v>74</v>
      </c>
      <c r="BR823" s="2" t="s">
        <v>74</v>
      </c>
      <c r="BS823" s="2" t="s">
        <v>5759</v>
      </c>
      <c r="BT823" s="2" t="str">
        <f>HYPERLINK("https%3A%2F%2Fwww.webofscience.com%2Fwos%2Fwoscc%2Ffull-record%2FWOS:000349968000016","View Full Record in Web of Science")</f>
        <v>View Full Record in Web of Science</v>
      </c>
    </row>
    <row r="824" spans="1:72" s="2" customFormat="1" x14ac:dyDescent="0.4">
      <c r="A824" s="2" t="s">
        <v>72</v>
      </c>
      <c r="B824" s="2" t="s">
        <v>4686</v>
      </c>
      <c r="C824" s="2" t="s">
        <v>74</v>
      </c>
      <c r="D824" s="2" t="s">
        <v>74</v>
      </c>
      <c r="E824" s="2" t="s">
        <v>74</v>
      </c>
      <c r="F824" s="2" t="s">
        <v>4687</v>
      </c>
      <c r="G824" s="2" t="s">
        <v>74</v>
      </c>
      <c r="H824" s="2" t="s">
        <v>74</v>
      </c>
      <c r="I824" s="2" t="s">
        <v>4688</v>
      </c>
      <c r="J824" s="2" t="s">
        <v>576</v>
      </c>
      <c r="K824" s="2" t="s">
        <v>74</v>
      </c>
      <c r="L824" s="2" t="s">
        <v>74</v>
      </c>
      <c r="M824" s="2" t="s">
        <v>74</v>
      </c>
      <c r="N824" s="2" t="s">
        <v>74</v>
      </c>
      <c r="O824" s="2" t="s">
        <v>74</v>
      </c>
      <c r="P824" s="2" t="s">
        <v>74</v>
      </c>
      <c r="Q824" s="2" t="s">
        <v>74</v>
      </c>
      <c r="R824" s="2" t="s">
        <v>74</v>
      </c>
      <c r="S824" s="2" t="s">
        <v>74</v>
      </c>
      <c r="T824" s="2" t="s">
        <v>74</v>
      </c>
      <c r="U824" s="2" t="s">
        <v>74</v>
      </c>
      <c r="V824" s="5" t="s">
        <v>4689</v>
      </c>
      <c r="W824" s="2" t="s">
        <v>74</v>
      </c>
      <c r="X824" s="2" t="s">
        <v>74</v>
      </c>
      <c r="Y824" s="2" t="s">
        <v>74</v>
      </c>
      <c r="Z824" s="2" t="s">
        <v>74</v>
      </c>
      <c r="AA824" s="2" t="s">
        <v>74</v>
      </c>
      <c r="AB824" s="2" t="s">
        <v>4690</v>
      </c>
      <c r="AC824" s="2" t="s">
        <v>74</v>
      </c>
      <c r="AD824" s="2" t="s">
        <v>74</v>
      </c>
      <c r="AE824" s="2" t="s">
        <v>74</v>
      </c>
      <c r="AF824" s="2" t="s">
        <v>74</v>
      </c>
      <c r="AG824" s="2" t="s">
        <v>74</v>
      </c>
      <c r="AH824" s="2" t="s">
        <v>74</v>
      </c>
      <c r="AI824" s="2" t="s">
        <v>74</v>
      </c>
      <c r="AJ824" s="2" t="s">
        <v>74</v>
      </c>
      <c r="AK824" s="2" t="s">
        <v>74</v>
      </c>
      <c r="AL824" s="2" t="s">
        <v>74</v>
      </c>
      <c r="AM824" s="2" t="s">
        <v>74</v>
      </c>
      <c r="AN824" s="2" t="s">
        <v>74</v>
      </c>
      <c r="AO824" s="2" t="s">
        <v>579</v>
      </c>
      <c r="AP824" s="2" t="s">
        <v>580</v>
      </c>
      <c r="AQ824" s="2" t="s">
        <v>74</v>
      </c>
      <c r="AR824" s="2" t="s">
        <v>74</v>
      </c>
      <c r="AS824" s="2" t="s">
        <v>74</v>
      </c>
      <c r="AT824" s="2" t="s">
        <v>204</v>
      </c>
      <c r="AU824" s="2">
        <v>2010</v>
      </c>
      <c r="AV824" s="2">
        <v>24</v>
      </c>
      <c r="AW824" s="2">
        <v>4</v>
      </c>
      <c r="AX824" s="2" t="s">
        <v>74</v>
      </c>
      <c r="AY824" s="2" t="s">
        <v>74</v>
      </c>
      <c r="AZ824" s="2" t="s">
        <v>74</v>
      </c>
      <c r="BA824" s="2" t="s">
        <v>74</v>
      </c>
      <c r="BB824" s="2">
        <v>731</v>
      </c>
      <c r="BC824" s="2">
        <v>748</v>
      </c>
      <c r="BD824" s="2" t="s">
        <v>74</v>
      </c>
      <c r="BE824" s="2" t="s">
        <v>4691</v>
      </c>
      <c r="BF824" s="2" t="str">
        <f>HYPERLINK("http://dx.doi.org/10.1007/s10682-009-9330-4","http://dx.doi.org/10.1007/s10682-009-9330-4")</f>
        <v>http://dx.doi.org/10.1007/s10682-009-9330-4</v>
      </c>
      <c r="BG824" s="2" t="s">
        <v>74</v>
      </c>
      <c r="BH824" s="2" t="s">
        <v>74</v>
      </c>
      <c r="BI824" s="2" t="s">
        <v>74</v>
      </c>
      <c r="BJ824" s="2" t="s">
        <v>74</v>
      </c>
      <c r="BK824" s="2" t="s">
        <v>74</v>
      </c>
      <c r="BL824" s="2" t="s">
        <v>74</v>
      </c>
      <c r="BM824" s="2" t="s">
        <v>74</v>
      </c>
      <c r="BN824" s="2" t="s">
        <v>74</v>
      </c>
      <c r="BO824" s="2" t="s">
        <v>74</v>
      </c>
      <c r="BP824" s="2" t="s">
        <v>74</v>
      </c>
      <c r="BQ824" s="2" t="s">
        <v>74</v>
      </c>
      <c r="BR824" s="2" t="s">
        <v>74</v>
      </c>
      <c r="BS824" s="2" t="s">
        <v>4692</v>
      </c>
      <c r="BT824" s="2" t="str">
        <f>HYPERLINK("https%3A%2F%2Fwww.webofscience.com%2Fwos%2Fwoscc%2Ffull-record%2FWOS:000278833400007","View Full Record in Web of Science")</f>
        <v>View Full Record in Web of Science</v>
      </c>
    </row>
    <row r="825" spans="1:72" s="2" customFormat="1" x14ac:dyDescent="0.4">
      <c r="A825" s="2" t="s">
        <v>72</v>
      </c>
      <c r="B825" s="2" t="s">
        <v>5490</v>
      </c>
      <c r="C825" s="2" t="s">
        <v>74</v>
      </c>
      <c r="D825" s="2" t="s">
        <v>74</v>
      </c>
      <c r="E825" s="2" t="s">
        <v>74</v>
      </c>
      <c r="F825" s="2" t="s">
        <v>5491</v>
      </c>
      <c r="G825" s="2" t="s">
        <v>74</v>
      </c>
      <c r="H825" s="2" t="s">
        <v>74</v>
      </c>
      <c r="I825" s="2" t="s">
        <v>5492</v>
      </c>
      <c r="J825" s="2" t="s">
        <v>408</v>
      </c>
      <c r="K825" s="2" t="s">
        <v>74</v>
      </c>
      <c r="L825" s="2" t="s">
        <v>74</v>
      </c>
      <c r="M825" s="2" t="s">
        <v>74</v>
      </c>
      <c r="N825" s="2" t="s">
        <v>74</v>
      </c>
      <c r="O825" s="2" t="s">
        <v>74</v>
      </c>
      <c r="P825" s="2" t="s">
        <v>74</v>
      </c>
      <c r="Q825" s="2" t="s">
        <v>74</v>
      </c>
      <c r="R825" s="2" t="s">
        <v>74</v>
      </c>
      <c r="S825" s="2" t="s">
        <v>74</v>
      </c>
      <c r="T825" s="2" t="s">
        <v>74</v>
      </c>
      <c r="U825" s="2" t="s">
        <v>74</v>
      </c>
      <c r="V825" s="5" t="s">
        <v>5493</v>
      </c>
      <c r="W825" s="2" t="s">
        <v>74</v>
      </c>
      <c r="X825" s="2" t="s">
        <v>74</v>
      </c>
      <c r="Y825" s="2" t="s">
        <v>74</v>
      </c>
      <c r="Z825" s="2" t="s">
        <v>74</v>
      </c>
      <c r="AA825" s="2" t="s">
        <v>74</v>
      </c>
      <c r="AB825" s="2" t="s">
        <v>5494</v>
      </c>
      <c r="AC825" s="2" t="s">
        <v>74</v>
      </c>
      <c r="AD825" s="2" t="s">
        <v>74</v>
      </c>
      <c r="AE825" s="2" t="s">
        <v>74</v>
      </c>
      <c r="AF825" s="2" t="s">
        <v>74</v>
      </c>
      <c r="AG825" s="2" t="s">
        <v>74</v>
      </c>
      <c r="AH825" s="2" t="s">
        <v>74</v>
      </c>
      <c r="AI825" s="2" t="s">
        <v>74</v>
      </c>
      <c r="AJ825" s="2" t="s">
        <v>74</v>
      </c>
      <c r="AK825" s="2" t="s">
        <v>74</v>
      </c>
      <c r="AL825" s="2" t="s">
        <v>74</v>
      </c>
      <c r="AM825" s="2" t="s">
        <v>74</v>
      </c>
      <c r="AN825" s="2" t="s">
        <v>74</v>
      </c>
      <c r="AO825" s="2" t="s">
        <v>412</v>
      </c>
      <c r="AP825" s="2" t="s">
        <v>413</v>
      </c>
      <c r="AQ825" s="2" t="s">
        <v>74</v>
      </c>
      <c r="AR825" s="2" t="s">
        <v>74</v>
      </c>
      <c r="AS825" s="2" t="s">
        <v>74</v>
      </c>
      <c r="AT825" s="2" t="s">
        <v>5495</v>
      </c>
      <c r="AU825" s="2">
        <v>2022</v>
      </c>
      <c r="AV825" s="2">
        <v>135</v>
      </c>
      <c r="AW825" s="2">
        <v>3</v>
      </c>
      <c r="AX825" s="2" t="s">
        <v>74</v>
      </c>
      <c r="AY825" s="2" t="s">
        <v>74</v>
      </c>
      <c r="AZ825" s="2" t="s">
        <v>74</v>
      </c>
      <c r="BA825" s="2" t="s">
        <v>74</v>
      </c>
      <c r="BB825" s="2">
        <v>447</v>
      </c>
      <c r="BC825" s="2">
        <v>461</v>
      </c>
      <c r="BD825" s="2" t="s">
        <v>74</v>
      </c>
      <c r="BE825" s="2" t="s">
        <v>5496</v>
      </c>
      <c r="BF825" s="2" t="str">
        <f>HYPERLINK("http://dx.doi.org/10.1093/biolinnean/blab166","http://dx.doi.org/10.1093/biolinnean/blab166")</f>
        <v>http://dx.doi.org/10.1093/biolinnean/blab166</v>
      </c>
      <c r="BG825" s="2" t="s">
        <v>74</v>
      </c>
      <c r="BH825" s="2" t="s">
        <v>5497</v>
      </c>
      <c r="BI825" s="2" t="s">
        <v>74</v>
      </c>
      <c r="BJ825" s="2" t="s">
        <v>74</v>
      </c>
      <c r="BK825" s="2" t="s">
        <v>74</v>
      </c>
      <c r="BL825" s="2" t="s">
        <v>74</v>
      </c>
      <c r="BM825" s="2" t="s">
        <v>74</v>
      </c>
      <c r="BN825" s="2" t="s">
        <v>74</v>
      </c>
      <c r="BO825" s="2" t="s">
        <v>74</v>
      </c>
      <c r="BP825" s="2" t="s">
        <v>74</v>
      </c>
      <c r="BQ825" s="2" t="s">
        <v>74</v>
      </c>
      <c r="BR825" s="2" t="s">
        <v>74</v>
      </c>
      <c r="BS825" s="2" t="s">
        <v>5498</v>
      </c>
      <c r="BT825" s="2" t="str">
        <f>HYPERLINK("https%3A%2F%2Fwww.webofscience.com%2Fwos%2Fwoscc%2Ffull-record%2FWOS:000754842400003","View Full Record in Web of Science")</f>
        <v>View Full Record in Web of Science</v>
      </c>
    </row>
    <row r="826" spans="1:72" s="2" customFormat="1" x14ac:dyDescent="0.4">
      <c r="A826" s="2" t="s">
        <v>72</v>
      </c>
      <c r="B826" s="2" t="s">
        <v>8082</v>
      </c>
      <c r="C826" s="2" t="s">
        <v>74</v>
      </c>
      <c r="D826" s="2" t="s">
        <v>74</v>
      </c>
      <c r="E826" s="2" t="s">
        <v>74</v>
      </c>
      <c r="F826" s="2" t="s">
        <v>8083</v>
      </c>
      <c r="G826" s="2" t="s">
        <v>74</v>
      </c>
      <c r="H826" s="2" t="s">
        <v>74</v>
      </c>
      <c r="I826" s="2" t="s">
        <v>8084</v>
      </c>
      <c r="J826" s="2" t="s">
        <v>691</v>
      </c>
      <c r="K826" s="2" t="s">
        <v>74</v>
      </c>
      <c r="L826" s="2" t="s">
        <v>74</v>
      </c>
      <c r="M826" s="2" t="s">
        <v>74</v>
      </c>
      <c r="N826" s="2" t="s">
        <v>74</v>
      </c>
      <c r="O826" s="2" t="s">
        <v>74</v>
      </c>
      <c r="P826" s="2" t="s">
        <v>74</v>
      </c>
      <c r="Q826" s="2" t="s">
        <v>74</v>
      </c>
      <c r="R826" s="2" t="s">
        <v>74</v>
      </c>
      <c r="S826" s="2" t="s">
        <v>74</v>
      </c>
      <c r="T826" s="2" t="s">
        <v>74</v>
      </c>
      <c r="U826" s="2" t="s">
        <v>74</v>
      </c>
      <c r="V826" s="5" t="s">
        <v>8085</v>
      </c>
      <c r="W826" s="2" t="s">
        <v>74</v>
      </c>
      <c r="X826" s="2" t="s">
        <v>74</v>
      </c>
      <c r="Y826" s="2" t="s">
        <v>74</v>
      </c>
      <c r="Z826" s="2" t="s">
        <v>74</v>
      </c>
      <c r="AA826" s="2" t="s">
        <v>3355</v>
      </c>
      <c r="AB826" s="2" t="s">
        <v>3356</v>
      </c>
      <c r="AC826" s="2" t="s">
        <v>74</v>
      </c>
      <c r="AD826" s="2" t="s">
        <v>74</v>
      </c>
      <c r="AE826" s="2" t="s">
        <v>74</v>
      </c>
      <c r="AF826" s="2" t="s">
        <v>74</v>
      </c>
      <c r="AG826" s="2" t="s">
        <v>74</v>
      </c>
      <c r="AH826" s="2" t="s">
        <v>74</v>
      </c>
      <c r="AI826" s="2" t="s">
        <v>74</v>
      </c>
      <c r="AJ826" s="2" t="s">
        <v>74</v>
      </c>
      <c r="AK826" s="2" t="s">
        <v>74</v>
      </c>
      <c r="AL826" s="2" t="s">
        <v>74</v>
      </c>
      <c r="AM826" s="2" t="s">
        <v>74</v>
      </c>
      <c r="AN826" s="2" t="s">
        <v>74</v>
      </c>
      <c r="AO826" s="2" t="s">
        <v>695</v>
      </c>
      <c r="AP826" s="2" t="s">
        <v>74</v>
      </c>
      <c r="AQ826" s="2" t="s">
        <v>74</v>
      </c>
      <c r="AR826" s="2" t="s">
        <v>74</v>
      </c>
      <c r="AS826" s="2" t="s">
        <v>74</v>
      </c>
      <c r="AT826" s="2" t="s">
        <v>113</v>
      </c>
      <c r="AU826" s="2">
        <v>2007</v>
      </c>
      <c r="AV826" s="2">
        <v>91</v>
      </c>
      <c r="AW826" s="2">
        <v>5</v>
      </c>
      <c r="AX826" s="2" t="s">
        <v>74</v>
      </c>
      <c r="AY826" s="2" t="s">
        <v>74</v>
      </c>
      <c r="AZ826" s="2" t="s">
        <v>74</v>
      </c>
      <c r="BA826" s="2" t="s">
        <v>74</v>
      </c>
      <c r="BB826" s="2">
        <v>531</v>
      </c>
      <c r="BC826" s="2">
        <v>534</v>
      </c>
      <c r="BD826" s="2" t="s">
        <v>74</v>
      </c>
      <c r="BE826" s="2" t="s">
        <v>8086</v>
      </c>
      <c r="BF826" s="2" t="str">
        <f>HYPERLINK("http://dx.doi.org/10.1016/j.physbeh.2007.04.025","http://dx.doi.org/10.1016/j.physbeh.2007.04.025")</f>
        <v>http://dx.doi.org/10.1016/j.physbeh.2007.04.025</v>
      </c>
      <c r="BG826" s="2" t="s">
        <v>74</v>
      </c>
      <c r="BH826" s="2" t="s">
        <v>74</v>
      </c>
      <c r="BI826" s="2" t="s">
        <v>74</v>
      </c>
      <c r="BJ826" s="2" t="s">
        <v>74</v>
      </c>
      <c r="BK826" s="2" t="s">
        <v>74</v>
      </c>
      <c r="BL826" s="2" t="s">
        <v>74</v>
      </c>
      <c r="BM826" s="2" t="s">
        <v>74</v>
      </c>
      <c r="BN826" s="2">
        <v>17521685</v>
      </c>
      <c r="BO826" s="2" t="s">
        <v>74</v>
      </c>
      <c r="BP826" s="2" t="s">
        <v>74</v>
      </c>
      <c r="BQ826" s="2" t="s">
        <v>74</v>
      </c>
      <c r="BR826" s="2" t="s">
        <v>74</v>
      </c>
      <c r="BS826" s="2" t="s">
        <v>8087</v>
      </c>
      <c r="BT826" s="2" t="str">
        <f>HYPERLINK("https%3A%2F%2Fwww.webofscience.com%2Fwos%2Fwoscc%2Ffull-record%2FWOS:000249944700009","View Full Record in Web of Science")</f>
        <v>View Full Record in Web of Science</v>
      </c>
    </row>
    <row r="827" spans="1:72" s="2" customFormat="1" x14ac:dyDescent="0.4">
      <c r="A827" s="2" t="s">
        <v>72</v>
      </c>
      <c r="B827" s="2" t="s">
        <v>1516</v>
      </c>
      <c r="C827" s="2" t="s">
        <v>74</v>
      </c>
      <c r="D827" s="2" t="s">
        <v>74</v>
      </c>
      <c r="E827" s="2" t="s">
        <v>74</v>
      </c>
      <c r="F827" s="2" t="s">
        <v>1517</v>
      </c>
      <c r="G827" s="2" t="s">
        <v>74</v>
      </c>
      <c r="H827" s="2" t="s">
        <v>74</v>
      </c>
      <c r="I827" s="2" t="s">
        <v>1518</v>
      </c>
      <c r="J827" s="2" t="s">
        <v>763</v>
      </c>
      <c r="K827" s="2" t="s">
        <v>74</v>
      </c>
      <c r="L827" s="2" t="s">
        <v>74</v>
      </c>
      <c r="M827" s="2" t="s">
        <v>74</v>
      </c>
      <c r="N827" s="2" t="s">
        <v>74</v>
      </c>
      <c r="O827" s="2" t="s">
        <v>74</v>
      </c>
      <c r="P827" s="2" t="s">
        <v>74</v>
      </c>
      <c r="Q827" s="2" t="s">
        <v>74</v>
      </c>
      <c r="R827" s="2" t="s">
        <v>74</v>
      </c>
      <c r="S827" s="2" t="s">
        <v>74</v>
      </c>
      <c r="T827" s="2" t="s">
        <v>74</v>
      </c>
      <c r="U827" s="2" t="s">
        <v>74</v>
      </c>
      <c r="V827" s="5" t="s">
        <v>1519</v>
      </c>
      <c r="W827" s="2" t="s">
        <v>74</v>
      </c>
      <c r="X827" s="2" t="s">
        <v>74</v>
      </c>
      <c r="Y827" s="2" t="s">
        <v>74</v>
      </c>
      <c r="Z827" s="2" t="s">
        <v>74</v>
      </c>
      <c r="AA827" s="2" t="s">
        <v>1520</v>
      </c>
      <c r="AB827" s="2" t="s">
        <v>1521</v>
      </c>
      <c r="AC827" s="2" t="s">
        <v>74</v>
      </c>
      <c r="AD827" s="2" t="s">
        <v>74</v>
      </c>
      <c r="AE827" s="2" t="s">
        <v>74</v>
      </c>
      <c r="AF827" s="2" t="s">
        <v>74</v>
      </c>
      <c r="AG827" s="2" t="s">
        <v>74</v>
      </c>
      <c r="AH827" s="2" t="s">
        <v>74</v>
      </c>
      <c r="AI827" s="2" t="s">
        <v>74</v>
      </c>
      <c r="AJ827" s="2" t="s">
        <v>74</v>
      </c>
      <c r="AK827" s="2" t="s">
        <v>74</v>
      </c>
      <c r="AL827" s="2" t="s">
        <v>74</v>
      </c>
      <c r="AM827" s="2" t="s">
        <v>74</v>
      </c>
      <c r="AN827" s="2" t="s">
        <v>74</v>
      </c>
      <c r="AO827" s="2" t="s">
        <v>767</v>
      </c>
      <c r="AP827" s="2" t="s">
        <v>74</v>
      </c>
      <c r="AQ827" s="2" t="s">
        <v>74</v>
      </c>
      <c r="AR827" s="2" t="s">
        <v>74</v>
      </c>
      <c r="AS827" s="2" t="s">
        <v>74</v>
      </c>
      <c r="AT827" s="2" t="s">
        <v>964</v>
      </c>
      <c r="AU827" s="2">
        <v>2012</v>
      </c>
      <c r="AV827" s="2">
        <v>215</v>
      </c>
      <c r="AW827" s="2">
        <v>4</v>
      </c>
      <c r="AX827" s="2" t="s">
        <v>74</v>
      </c>
      <c r="AY827" s="2" t="s">
        <v>74</v>
      </c>
      <c r="AZ827" s="2" t="s">
        <v>74</v>
      </c>
      <c r="BA827" s="2" t="s">
        <v>74</v>
      </c>
      <c r="BB827" s="2">
        <v>575</v>
      </c>
      <c r="BC827" s="2">
        <v>577</v>
      </c>
      <c r="BD827" s="2" t="s">
        <v>74</v>
      </c>
      <c r="BE827" s="2" t="s">
        <v>1522</v>
      </c>
      <c r="BF827" s="2" t="str">
        <f>HYPERLINK("http://dx.doi.org/10.1242/jeb.059352","http://dx.doi.org/10.1242/jeb.059352")</f>
        <v>http://dx.doi.org/10.1242/jeb.059352</v>
      </c>
      <c r="BG827" s="2" t="s">
        <v>74</v>
      </c>
      <c r="BH827" s="2" t="s">
        <v>74</v>
      </c>
      <c r="BI827" s="2" t="s">
        <v>74</v>
      </c>
      <c r="BJ827" s="2" t="s">
        <v>74</v>
      </c>
      <c r="BK827" s="2" t="s">
        <v>74</v>
      </c>
      <c r="BL827" s="2" t="s">
        <v>74</v>
      </c>
      <c r="BM827" s="2" t="s">
        <v>74</v>
      </c>
      <c r="BN827" s="2">
        <v>22279063</v>
      </c>
      <c r="BO827" s="2" t="s">
        <v>74</v>
      </c>
      <c r="BP827" s="2" t="s">
        <v>74</v>
      </c>
      <c r="BQ827" s="2" t="s">
        <v>74</v>
      </c>
      <c r="BR827" s="2" t="s">
        <v>74</v>
      </c>
      <c r="BS827" s="2" t="s">
        <v>1523</v>
      </c>
      <c r="BT827" s="2" t="str">
        <f>HYPERLINK("https%3A%2F%2Fwww.webofscience.com%2Fwos%2Fwoscc%2Ffull-record%2FWOS:000300185900006","View Full Record in Web of Science")</f>
        <v>View Full Record in Web of Science</v>
      </c>
    </row>
    <row r="828" spans="1:72" s="2" customFormat="1" x14ac:dyDescent="0.4">
      <c r="A828" s="2" t="s">
        <v>72</v>
      </c>
      <c r="B828" s="2" t="s">
        <v>4121</v>
      </c>
      <c r="C828" s="2" t="s">
        <v>74</v>
      </c>
      <c r="D828" s="2" t="s">
        <v>74</v>
      </c>
      <c r="E828" s="2" t="s">
        <v>74</v>
      </c>
      <c r="F828" s="2" t="s">
        <v>4122</v>
      </c>
      <c r="G828" s="2" t="s">
        <v>74</v>
      </c>
      <c r="H828" s="2" t="s">
        <v>74</v>
      </c>
      <c r="I828" s="2" t="s">
        <v>4123</v>
      </c>
      <c r="J828" s="2" t="s">
        <v>140</v>
      </c>
      <c r="K828" s="2" t="s">
        <v>74</v>
      </c>
      <c r="L828" s="2" t="s">
        <v>74</v>
      </c>
      <c r="M828" s="2" t="s">
        <v>74</v>
      </c>
      <c r="N828" s="2" t="s">
        <v>74</v>
      </c>
      <c r="O828" s="2" t="s">
        <v>74</v>
      </c>
      <c r="P828" s="2" t="s">
        <v>74</v>
      </c>
      <c r="Q828" s="2" t="s">
        <v>74</v>
      </c>
      <c r="R828" s="2" t="s">
        <v>74</v>
      </c>
      <c r="S828" s="2" t="s">
        <v>74</v>
      </c>
      <c r="T828" s="2" t="s">
        <v>74</v>
      </c>
      <c r="U828" s="2" t="s">
        <v>74</v>
      </c>
      <c r="V828" s="5" t="s">
        <v>4124</v>
      </c>
      <c r="W828" s="2" t="s">
        <v>74</v>
      </c>
      <c r="X828" s="2" t="s">
        <v>74</v>
      </c>
      <c r="Y828" s="2" t="s">
        <v>74</v>
      </c>
      <c r="Z828" s="2" t="s">
        <v>74</v>
      </c>
      <c r="AA828" s="2" t="s">
        <v>4125</v>
      </c>
      <c r="AB828" s="2" t="s">
        <v>4126</v>
      </c>
      <c r="AC828" s="2" t="s">
        <v>74</v>
      </c>
      <c r="AD828" s="2" t="s">
        <v>74</v>
      </c>
      <c r="AE828" s="2" t="s">
        <v>74</v>
      </c>
      <c r="AF828" s="2" t="s">
        <v>74</v>
      </c>
      <c r="AG828" s="2" t="s">
        <v>74</v>
      </c>
      <c r="AH828" s="2" t="s">
        <v>74</v>
      </c>
      <c r="AI828" s="2" t="s">
        <v>74</v>
      </c>
      <c r="AJ828" s="2" t="s">
        <v>74</v>
      </c>
      <c r="AK828" s="2" t="s">
        <v>74</v>
      </c>
      <c r="AL828" s="2" t="s">
        <v>74</v>
      </c>
      <c r="AM828" s="2" t="s">
        <v>74</v>
      </c>
      <c r="AN828" s="2" t="s">
        <v>74</v>
      </c>
      <c r="AO828" s="2" t="s">
        <v>143</v>
      </c>
      <c r="AP828" s="2" t="s">
        <v>144</v>
      </c>
      <c r="AQ828" s="2" t="s">
        <v>74</v>
      </c>
      <c r="AR828" s="2" t="s">
        <v>74</v>
      </c>
      <c r="AS828" s="2" t="s">
        <v>74</v>
      </c>
      <c r="AT828" s="2" t="s">
        <v>964</v>
      </c>
      <c r="AU828" s="2">
        <v>2009</v>
      </c>
      <c r="AV828" s="2">
        <v>77</v>
      </c>
      <c r="AW828" s="2">
        <v>2</v>
      </c>
      <c r="AX828" s="2" t="s">
        <v>74</v>
      </c>
      <c r="AY828" s="2" t="s">
        <v>74</v>
      </c>
      <c r="AZ828" s="2" t="s">
        <v>74</v>
      </c>
      <c r="BA828" s="2" t="s">
        <v>74</v>
      </c>
      <c r="BB828" s="2">
        <v>419</v>
      </c>
      <c r="BC828" s="2">
        <v>424</v>
      </c>
      <c r="BD828" s="2" t="s">
        <v>74</v>
      </c>
      <c r="BE828" s="2" t="s">
        <v>4127</v>
      </c>
      <c r="BF828" s="2" t="str">
        <f>HYPERLINK("http://dx.doi.org/10.1016/j.anbehav.2008.10.017","http://dx.doi.org/10.1016/j.anbehav.2008.10.017")</f>
        <v>http://dx.doi.org/10.1016/j.anbehav.2008.10.017</v>
      </c>
      <c r="BG828" s="2" t="s">
        <v>74</v>
      </c>
      <c r="BH828" s="2" t="s">
        <v>74</v>
      </c>
      <c r="BI828" s="2" t="s">
        <v>74</v>
      </c>
      <c r="BJ828" s="2" t="s">
        <v>74</v>
      </c>
      <c r="BK828" s="2" t="s">
        <v>74</v>
      </c>
      <c r="BL828" s="2" t="s">
        <v>74</v>
      </c>
      <c r="BM828" s="2" t="s">
        <v>74</v>
      </c>
      <c r="BN828" s="2" t="s">
        <v>74</v>
      </c>
      <c r="BO828" s="2" t="s">
        <v>74</v>
      </c>
      <c r="BP828" s="2" t="s">
        <v>74</v>
      </c>
      <c r="BQ828" s="2" t="s">
        <v>74</v>
      </c>
      <c r="BR828" s="2" t="s">
        <v>74</v>
      </c>
      <c r="BS828" s="2" t="s">
        <v>4128</v>
      </c>
      <c r="BT828" s="2" t="str">
        <f>HYPERLINK("https%3A%2F%2Fwww.webofscience.com%2Fwos%2Fwoscc%2Ffull-record%2FWOS:000262709400018","View Full Record in Web of Science")</f>
        <v>View Full Record in Web of Science</v>
      </c>
    </row>
    <row r="829" spans="1:72" s="2" customFormat="1" x14ac:dyDescent="0.4">
      <c r="A829" s="2" t="s">
        <v>72</v>
      </c>
      <c r="B829" s="2" t="s">
        <v>7412</v>
      </c>
      <c r="C829" s="2" t="s">
        <v>74</v>
      </c>
      <c r="D829" s="2" t="s">
        <v>74</v>
      </c>
      <c r="E829" s="2" t="s">
        <v>74</v>
      </c>
      <c r="F829" s="2" t="s">
        <v>7413</v>
      </c>
      <c r="G829" s="2" t="s">
        <v>74</v>
      </c>
      <c r="H829" s="2" t="s">
        <v>74</v>
      </c>
      <c r="I829" s="2" t="s">
        <v>7414</v>
      </c>
      <c r="J829" s="2" t="s">
        <v>5454</v>
      </c>
      <c r="K829" s="2" t="s">
        <v>74</v>
      </c>
      <c r="L829" s="2" t="s">
        <v>74</v>
      </c>
      <c r="M829" s="2" t="s">
        <v>74</v>
      </c>
      <c r="N829" s="2" t="s">
        <v>74</v>
      </c>
      <c r="O829" s="2" t="s">
        <v>74</v>
      </c>
      <c r="P829" s="2" t="s">
        <v>74</v>
      </c>
      <c r="Q829" s="2" t="s">
        <v>74</v>
      </c>
      <c r="R829" s="2" t="s">
        <v>74</v>
      </c>
      <c r="S829" s="2" t="s">
        <v>74</v>
      </c>
      <c r="T829" s="2" t="s">
        <v>74</v>
      </c>
      <c r="U829" s="2" t="s">
        <v>74</v>
      </c>
      <c r="V829" s="5" t="s">
        <v>7415</v>
      </c>
      <c r="W829" s="2" t="s">
        <v>74</v>
      </c>
      <c r="X829" s="2" t="s">
        <v>74</v>
      </c>
      <c r="Y829" s="2" t="s">
        <v>74</v>
      </c>
      <c r="Z829" s="2" t="s">
        <v>74</v>
      </c>
      <c r="AA829" s="2" t="s">
        <v>74</v>
      </c>
      <c r="AB829" s="2" t="s">
        <v>74</v>
      </c>
      <c r="AC829" s="2" t="s">
        <v>74</v>
      </c>
      <c r="AD829" s="2" t="s">
        <v>74</v>
      </c>
      <c r="AE829" s="2" t="s">
        <v>74</v>
      </c>
      <c r="AF829" s="2" t="s">
        <v>74</v>
      </c>
      <c r="AG829" s="2" t="s">
        <v>74</v>
      </c>
      <c r="AH829" s="2" t="s">
        <v>74</v>
      </c>
      <c r="AI829" s="2" t="s">
        <v>74</v>
      </c>
      <c r="AJ829" s="2" t="s">
        <v>74</v>
      </c>
      <c r="AK829" s="2" t="s">
        <v>74</v>
      </c>
      <c r="AL829" s="2" t="s">
        <v>74</v>
      </c>
      <c r="AM829" s="2" t="s">
        <v>74</v>
      </c>
      <c r="AN829" s="2" t="s">
        <v>74</v>
      </c>
      <c r="AO829" s="2" t="s">
        <v>5458</v>
      </c>
      <c r="AP829" s="2" t="s">
        <v>7416</v>
      </c>
      <c r="AQ829" s="2" t="s">
        <v>74</v>
      </c>
      <c r="AR829" s="2" t="s">
        <v>74</v>
      </c>
      <c r="AS829" s="2" t="s">
        <v>74</v>
      </c>
      <c r="AT829" s="2" t="s">
        <v>102</v>
      </c>
      <c r="AU829" s="2">
        <v>2021</v>
      </c>
      <c r="AV829" s="2">
        <v>96</v>
      </c>
      <c r="AW829" s="2" t="s">
        <v>74</v>
      </c>
      <c r="AX829" s="2" t="s">
        <v>74</v>
      </c>
      <c r="AY829" s="2" t="s">
        <v>74</v>
      </c>
      <c r="AZ829" s="2" t="s">
        <v>74</v>
      </c>
      <c r="BA829" s="2" t="s">
        <v>74</v>
      </c>
      <c r="BB829" s="2" t="s">
        <v>74</v>
      </c>
      <c r="BC829" s="2" t="s">
        <v>74</v>
      </c>
      <c r="BD829" s="2">
        <v>104265</v>
      </c>
      <c r="BE829" s="2" t="s">
        <v>7417</v>
      </c>
      <c r="BF829" s="2" t="str">
        <f>HYPERLINK("http://dx.doi.org/10.1016/j.bse.2021.104265","http://dx.doi.org/10.1016/j.bse.2021.104265")</f>
        <v>http://dx.doi.org/10.1016/j.bse.2021.104265</v>
      </c>
      <c r="BG829" s="2" t="s">
        <v>74</v>
      </c>
      <c r="BH829" s="2" t="s">
        <v>236</v>
      </c>
      <c r="BI829" s="2" t="s">
        <v>74</v>
      </c>
      <c r="BJ829" s="2" t="s">
        <v>74</v>
      </c>
      <c r="BK829" s="2" t="s">
        <v>74</v>
      </c>
      <c r="BL829" s="2" t="s">
        <v>74</v>
      </c>
      <c r="BM829" s="2" t="s">
        <v>74</v>
      </c>
      <c r="BN829" s="2" t="s">
        <v>74</v>
      </c>
      <c r="BO829" s="2" t="s">
        <v>74</v>
      </c>
      <c r="BP829" s="2" t="s">
        <v>74</v>
      </c>
      <c r="BQ829" s="2" t="s">
        <v>74</v>
      </c>
      <c r="BR829" s="2" t="s">
        <v>74</v>
      </c>
      <c r="BS829" s="2" t="s">
        <v>7418</v>
      </c>
      <c r="BT829" s="2" t="str">
        <f>HYPERLINK("https%3A%2F%2Fwww.webofscience.com%2Fwos%2Fwoscc%2Ffull-record%2FWOS:000653443100011","View Full Record in Web of Science")</f>
        <v>View Full Record in Web of Science</v>
      </c>
    </row>
    <row r="830" spans="1:72" s="2" customFormat="1" x14ac:dyDescent="0.4">
      <c r="A830" s="2" t="s">
        <v>72</v>
      </c>
      <c r="B830" s="2" t="s">
        <v>4014</v>
      </c>
      <c r="C830" s="2" t="s">
        <v>74</v>
      </c>
      <c r="D830" s="2" t="s">
        <v>74</v>
      </c>
      <c r="E830" s="2" t="s">
        <v>74</v>
      </c>
      <c r="F830" s="2" t="s">
        <v>4015</v>
      </c>
      <c r="G830" s="2" t="s">
        <v>74</v>
      </c>
      <c r="H830" s="2" t="s">
        <v>74</v>
      </c>
      <c r="I830" s="2" t="s">
        <v>4016</v>
      </c>
      <c r="J830" s="2" t="s">
        <v>610</v>
      </c>
      <c r="K830" s="2" t="s">
        <v>74</v>
      </c>
      <c r="L830" s="2" t="s">
        <v>74</v>
      </c>
      <c r="M830" s="2" t="s">
        <v>74</v>
      </c>
      <c r="N830" s="2" t="s">
        <v>74</v>
      </c>
      <c r="O830" s="2" t="s">
        <v>74</v>
      </c>
      <c r="P830" s="2" t="s">
        <v>74</v>
      </c>
      <c r="Q830" s="2" t="s">
        <v>74</v>
      </c>
      <c r="R830" s="2" t="s">
        <v>74</v>
      </c>
      <c r="S830" s="2" t="s">
        <v>74</v>
      </c>
      <c r="T830" s="2" t="s">
        <v>74</v>
      </c>
      <c r="U830" s="2" t="s">
        <v>74</v>
      </c>
      <c r="V830" s="5" t="s">
        <v>4017</v>
      </c>
      <c r="W830" s="2" t="s">
        <v>74</v>
      </c>
      <c r="X830" s="2" t="s">
        <v>74</v>
      </c>
      <c r="Y830" s="2" t="s">
        <v>74</v>
      </c>
      <c r="Z830" s="2" t="s">
        <v>74</v>
      </c>
      <c r="AA830" s="2" t="s">
        <v>74</v>
      </c>
      <c r="AB830" s="2" t="s">
        <v>4018</v>
      </c>
      <c r="AC830" s="2" t="s">
        <v>74</v>
      </c>
      <c r="AD830" s="2" t="s">
        <v>74</v>
      </c>
      <c r="AE830" s="2" t="s">
        <v>74</v>
      </c>
      <c r="AF830" s="2" t="s">
        <v>74</v>
      </c>
      <c r="AG830" s="2" t="s">
        <v>74</v>
      </c>
      <c r="AH830" s="2" t="s">
        <v>74</v>
      </c>
      <c r="AI830" s="2" t="s">
        <v>74</v>
      </c>
      <c r="AJ830" s="2" t="s">
        <v>74</v>
      </c>
      <c r="AK830" s="2" t="s">
        <v>74</v>
      </c>
      <c r="AL830" s="2" t="s">
        <v>74</v>
      </c>
      <c r="AM830" s="2" t="s">
        <v>74</v>
      </c>
      <c r="AN830" s="2" t="s">
        <v>74</v>
      </c>
      <c r="AO830" s="2" t="s">
        <v>614</v>
      </c>
      <c r="AP830" s="2" t="s">
        <v>615</v>
      </c>
      <c r="AQ830" s="2" t="s">
        <v>74</v>
      </c>
      <c r="AR830" s="2" t="s">
        <v>74</v>
      </c>
      <c r="AS830" s="2" t="s">
        <v>74</v>
      </c>
      <c r="AT830" s="2" t="s">
        <v>352</v>
      </c>
      <c r="AU830" s="2">
        <v>2018</v>
      </c>
      <c r="AV830" s="2">
        <v>124</v>
      </c>
      <c r="AW830" s="2">
        <v>9</v>
      </c>
      <c r="AX830" s="2" t="s">
        <v>74</v>
      </c>
      <c r="AY830" s="2" t="s">
        <v>74</v>
      </c>
      <c r="AZ830" s="2" t="s">
        <v>74</v>
      </c>
      <c r="BA830" s="2" t="s">
        <v>74</v>
      </c>
      <c r="BB830" s="2">
        <v>684</v>
      </c>
      <c r="BC830" s="2">
        <v>690</v>
      </c>
      <c r="BD830" s="2" t="s">
        <v>74</v>
      </c>
      <c r="BE830" s="2" t="s">
        <v>4019</v>
      </c>
      <c r="BF830" s="2" t="str">
        <f>HYPERLINK("http://dx.doi.org/10.1111/eth.12801","http://dx.doi.org/10.1111/eth.12801")</f>
        <v>http://dx.doi.org/10.1111/eth.12801</v>
      </c>
      <c r="BG830" s="2" t="s">
        <v>74</v>
      </c>
      <c r="BH830" s="2" t="s">
        <v>74</v>
      </c>
      <c r="BI830" s="2" t="s">
        <v>74</v>
      </c>
      <c r="BJ830" s="2" t="s">
        <v>74</v>
      </c>
      <c r="BK830" s="2" t="s">
        <v>74</v>
      </c>
      <c r="BL830" s="2" t="s">
        <v>74</v>
      </c>
      <c r="BM830" s="2" t="s">
        <v>74</v>
      </c>
      <c r="BN830" s="2" t="s">
        <v>74</v>
      </c>
      <c r="BO830" s="2" t="s">
        <v>74</v>
      </c>
      <c r="BP830" s="2" t="s">
        <v>74</v>
      </c>
      <c r="BQ830" s="2" t="s">
        <v>74</v>
      </c>
      <c r="BR830" s="2" t="s">
        <v>74</v>
      </c>
      <c r="BS830" s="2" t="s">
        <v>4020</v>
      </c>
      <c r="BT830" s="2" t="str">
        <f>HYPERLINK("https%3A%2F%2Fwww.webofscience.com%2Fwos%2Fwoscc%2Ffull-record%2FWOS:000440649700008","View Full Record in Web of Science")</f>
        <v>View Full Record in Web of Science</v>
      </c>
    </row>
    <row r="831" spans="1:72" s="1" customFormat="1" x14ac:dyDescent="0.4">
      <c r="A831" s="2" t="s">
        <v>72</v>
      </c>
      <c r="B831" s="2" t="s">
        <v>4445</v>
      </c>
      <c r="C831" s="2" t="s">
        <v>74</v>
      </c>
      <c r="D831" s="2" t="s">
        <v>74</v>
      </c>
      <c r="E831" s="2" t="s">
        <v>74</v>
      </c>
      <c r="F831" s="2" t="s">
        <v>4446</v>
      </c>
      <c r="G831" s="2" t="s">
        <v>74</v>
      </c>
      <c r="H831" s="2" t="s">
        <v>74</v>
      </c>
      <c r="I831" s="2" t="s">
        <v>4447</v>
      </c>
      <c r="J831" s="2" t="s">
        <v>129</v>
      </c>
      <c r="K831" s="2" t="s">
        <v>74</v>
      </c>
      <c r="L831" s="2" t="s">
        <v>74</v>
      </c>
      <c r="M831" s="2" t="s">
        <v>74</v>
      </c>
      <c r="N831" s="2" t="s">
        <v>74</v>
      </c>
      <c r="O831" s="2" t="s">
        <v>74</v>
      </c>
      <c r="P831" s="2" t="s">
        <v>74</v>
      </c>
      <c r="Q831" s="2" t="s">
        <v>74</v>
      </c>
      <c r="R831" s="2" t="s">
        <v>74</v>
      </c>
      <c r="S831" s="2" t="s">
        <v>74</v>
      </c>
      <c r="T831" s="2" t="s">
        <v>74</v>
      </c>
      <c r="U831" s="2" t="s">
        <v>74</v>
      </c>
      <c r="V831" s="5" t="s">
        <v>4448</v>
      </c>
      <c r="W831" s="2" t="s">
        <v>74</v>
      </c>
      <c r="X831" s="2" t="s">
        <v>74</v>
      </c>
      <c r="Y831" s="2" t="s">
        <v>74</v>
      </c>
      <c r="Z831" s="2" t="s">
        <v>74</v>
      </c>
      <c r="AA831" s="2" t="s">
        <v>4449</v>
      </c>
      <c r="AB831" s="2" t="s">
        <v>4450</v>
      </c>
      <c r="AC831" s="2" t="s">
        <v>74</v>
      </c>
      <c r="AD831" s="2" t="s">
        <v>74</v>
      </c>
      <c r="AE831" s="2" t="s">
        <v>74</v>
      </c>
      <c r="AF831" s="2" t="s">
        <v>74</v>
      </c>
      <c r="AG831" s="2" t="s">
        <v>74</v>
      </c>
      <c r="AH831" s="2" t="s">
        <v>74</v>
      </c>
      <c r="AI831" s="2" t="s">
        <v>74</v>
      </c>
      <c r="AJ831" s="2" t="s">
        <v>74</v>
      </c>
      <c r="AK831" s="2" t="s">
        <v>74</v>
      </c>
      <c r="AL831" s="2" t="s">
        <v>74</v>
      </c>
      <c r="AM831" s="2" t="s">
        <v>74</v>
      </c>
      <c r="AN831" s="2" t="s">
        <v>74</v>
      </c>
      <c r="AO831" s="2" t="s">
        <v>132</v>
      </c>
      <c r="AP831" s="2" t="s">
        <v>133</v>
      </c>
      <c r="AQ831" s="2" t="s">
        <v>74</v>
      </c>
      <c r="AR831" s="2" t="s">
        <v>74</v>
      </c>
      <c r="AS831" s="2" t="s">
        <v>74</v>
      </c>
      <c r="AT831" s="2" t="s">
        <v>352</v>
      </c>
      <c r="AU831" s="2">
        <v>2013</v>
      </c>
      <c r="AV831" s="2">
        <v>67</v>
      </c>
      <c r="AW831" s="2">
        <v>9</v>
      </c>
      <c r="AX831" s="2" t="s">
        <v>74</v>
      </c>
      <c r="AY831" s="2" t="s">
        <v>74</v>
      </c>
      <c r="AZ831" s="2" t="s">
        <v>848</v>
      </c>
      <c r="BA831" s="2" t="s">
        <v>74</v>
      </c>
      <c r="BB831" s="2">
        <v>1513</v>
      </c>
      <c r="BC831" s="2">
        <v>1522</v>
      </c>
      <c r="BD831" s="2" t="s">
        <v>74</v>
      </c>
      <c r="BE831" s="2" t="s">
        <v>4451</v>
      </c>
      <c r="BF831" s="2" t="str">
        <f>HYPERLINK("http://dx.doi.org/10.1007/s00265-013-1535-4","http://dx.doi.org/10.1007/s00265-013-1535-4")</f>
        <v>http://dx.doi.org/10.1007/s00265-013-1535-4</v>
      </c>
      <c r="BG831" s="2" t="s">
        <v>74</v>
      </c>
      <c r="BH831" s="2" t="s">
        <v>74</v>
      </c>
      <c r="BI831" s="2" t="s">
        <v>74</v>
      </c>
      <c r="BJ831" s="2" t="s">
        <v>74</v>
      </c>
      <c r="BK831" s="2" t="s">
        <v>74</v>
      </c>
      <c r="BL831" s="2" t="s">
        <v>74</v>
      </c>
      <c r="BM831" s="2" t="s">
        <v>74</v>
      </c>
      <c r="BN831" s="2" t="s">
        <v>74</v>
      </c>
      <c r="BO831" s="2" t="s">
        <v>74</v>
      </c>
      <c r="BP831" s="2" t="s">
        <v>74</v>
      </c>
      <c r="BQ831" s="2" t="s">
        <v>74</v>
      </c>
      <c r="BR831" s="2" t="s">
        <v>74</v>
      </c>
      <c r="BS831" s="2" t="s">
        <v>4452</v>
      </c>
      <c r="BT831" s="2" t="str">
        <f>HYPERLINK("https%3A%2F%2Fwww.webofscience.com%2Fwos%2Fwoscc%2Ffull-record%2FWOS:000323103400013","View Full Record in Web of Science")</f>
        <v>View Full Record in Web of Science</v>
      </c>
    </row>
    <row r="832" spans="1:72" s="2" customFormat="1" x14ac:dyDescent="0.4">
      <c r="A832" s="2" t="s">
        <v>72</v>
      </c>
      <c r="B832" s="2" t="s">
        <v>8459</v>
      </c>
      <c r="C832" s="2" t="s">
        <v>74</v>
      </c>
      <c r="D832" s="2" t="s">
        <v>74</v>
      </c>
      <c r="E832" s="2" t="s">
        <v>74</v>
      </c>
      <c r="F832" s="2" t="s">
        <v>8459</v>
      </c>
      <c r="G832" s="2" t="s">
        <v>74</v>
      </c>
      <c r="H832" s="2" t="s">
        <v>74</v>
      </c>
      <c r="I832" s="2" t="s">
        <v>8460</v>
      </c>
      <c r="J832" s="2" t="s">
        <v>8461</v>
      </c>
      <c r="K832" s="2" t="s">
        <v>74</v>
      </c>
      <c r="L832" s="2" t="s">
        <v>74</v>
      </c>
      <c r="M832" s="2" t="s">
        <v>74</v>
      </c>
      <c r="N832" s="2" t="s">
        <v>74</v>
      </c>
      <c r="O832" s="2" t="s">
        <v>74</v>
      </c>
      <c r="P832" s="2" t="s">
        <v>74</v>
      </c>
      <c r="Q832" s="2" t="s">
        <v>74</v>
      </c>
      <c r="R832" s="2" t="s">
        <v>74</v>
      </c>
      <c r="S832" s="2" t="s">
        <v>74</v>
      </c>
      <c r="T832" s="2" t="s">
        <v>74</v>
      </c>
      <c r="U832" s="2" t="s">
        <v>74</v>
      </c>
      <c r="V832" s="5" t="s">
        <v>8462</v>
      </c>
      <c r="W832" s="2" t="s">
        <v>74</v>
      </c>
      <c r="X832" s="2" t="s">
        <v>74</v>
      </c>
      <c r="Y832" s="2" t="s">
        <v>74</v>
      </c>
      <c r="Z832" s="2" t="s">
        <v>74</v>
      </c>
      <c r="AA832" s="2" t="s">
        <v>74</v>
      </c>
      <c r="AB832" s="2" t="s">
        <v>74</v>
      </c>
      <c r="AC832" s="2" t="s">
        <v>74</v>
      </c>
      <c r="AD832" s="2" t="s">
        <v>74</v>
      </c>
      <c r="AE832" s="2" t="s">
        <v>74</v>
      </c>
      <c r="AF832" s="2" t="s">
        <v>74</v>
      </c>
      <c r="AG832" s="2" t="s">
        <v>74</v>
      </c>
      <c r="AH832" s="2" t="s">
        <v>74</v>
      </c>
      <c r="AI832" s="2" t="s">
        <v>74</v>
      </c>
      <c r="AJ832" s="2" t="s">
        <v>74</v>
      </c>
      <c r="AK832" s="2" t="s">
        <v>74</v>
      </c>
      <c r="AL832" s="2" t="s">
        <v>74</v>
      </c>
      <c r="AM832" s="2" t="s">
        <v>74</v>
      </c>
      <c r="AN832" s="2" t="s">
        <v>74</v>
      </c>
      <c r="AO832" s="2" t="s">
        <v>8463</v>
      </c>
      <c r="AP832" s="2" t="s">
        <v>74</v>
      </c>
      <c r="AQ832" s="2" t="s">
        <v>74</v>
      </c>
      <c r="AR832" s="2" t="s">
        <v>74</v>
      </c>
      <c r="AS832" s="2" t="s">
        <v>74</v>
      </c>
      <c r="AT832" s="2" t="s">
        <v>74</v>
      </c>
      <c r="AU832" s="2">
        <v>1988</v>
      </c>
      <c r="AV832" s="2">
        <v>15</v>
      </c>
      <c r="AW832" s="2">
        <v>5</v>
      </c>
      <c r="AX832" s="2" t="s">
        <v>74</v>
      </c>
      <c r="AY832" s="2" t="s">
        <v>74</v>
      </c>
      <c r="AZ832" s="2" t="s">
        <v>74</v>
      </c>
      <c r="BA832" s="2" t="s">
        <v>74</v>
      </c>
      <c r="BB832" s="2">
        <v>541</v>
      </c>
      <c r="BC832" s="2">
        <v>560</v>
      </c>
      <c r="BD832" s="2" t="s">
        <v>74</v>
      </c>
      <c r="BE832" s="2" t="s">
        <v>74</v>
      </c>
      <c r="BF832" s="2" t="s">
        <v>74</v>
      </c>
      <c r="BG832" s="2" t="s">
        <v>74</v>
      </c>
      <c r="BH832" s="2" t="s">
        <v>74</v>
      </c>
      <c r="BI832" s="2" t="s">
        <v>74</v>
      </c>
      <c r="BJ832" s="2" t="s">
        <v>74</v>
      </c>
      <c r="BK832" s="2" t="s">
        <v>74</v>
      </c>
      <c r="BL832" s="2" t="s">
        <v>74</v>
      </c>
      <c r="BM832" s="2" t="s">
        <v>74</v>
      </c>
      <c r="BN832" s="2" t="s">
        <v>74</v>
      </c>
      <c r="BO832" s="2" t="s">
        <v>74</v>
      </c>
      <c r="BP832" s="2" t="s">
        <v>74</v>
      </c>
      <c r="BQ832" s="2" t="s">
        <v>74</v>
      </c>
      <c r="BR832" s="2" t="s">
        <v>74</v>
      </c>
      <c r="BS832" s="2" t="s">
        <v>8464</v>
      </c>
      <c r="BT832" s="2" t="str">
        <f>HYPERLINK("https%3A%2F%2Fwww.webofscience.com%2Fwos%2Fwoscc%2Ffull-record%2FWOS:A1988U589900008","View Full Record in Web of Science")</f>
        <v>View Full Record in Web of Science</v>
      </c>
    </row>
    <row r="833" spans="1:72" s="2" customFormat="1" x14ac:dyDescent="0.4">
      <c r="A833" s="2" t="s">
        <v>72</v>
      </c>
      <c r="B833" s="2" t="s">
        <v>3050</v>
      </c>
      <c r="C833" s="2" t="s">
        <v>74</v>
      </c>
      <c r="D833" s="2" t="s">
        <v>74</v>
      </c>
      <c r="E833" s="2" t="s">
        <v>74</v>
      </c>
      <c r="F833" s="2" t="s">
        <v>3051</v>
      </c>
      <c r="G833" s="2" t="s">
        <v>74</v>
      </c>
      <c r="H833" s="2" t="s">
        <v>74</v>
      </c>
      <c r="I833" s="2" t="s">
        <v>3052</v>
      </c>
      <c r="J833" s="2" t="s">
        <v>775</v>
      </c>
      <c r="K833" s="2" t="s">
        <v>74</v>
      </c>
      <c r="L833" s="2" t="s">
        <v>74</v>
      </c>
      <c r="M833" s="2" t="s">
        <v>74</v>
      </c>
      <c r="N833" s="2" t="s">
        <v>74</v>
      </c>
      <c r="O833" s="2" t="s">
        <v>74</v>
      </c>
      <c r="P833" s="2" t="s">
        <v>74</v>
      </c>
      <c r="Q833" s="2" t="s">
        <v>74</v>
      </c>
      <c r="R833" s="2" t="s">
        <v>74</v>
      </c>
      <c r="S833" s="2" t="s">
        <v>74</v>
      </c>
      <c r="T833" s="2" t="s">
        <v>74</v>
      </c>
      <c r="U833" s="2" t="s">
        <v>74</v>
      </c>
      <c r="V833" s="5" t="s">
        <v>3053</v>
      </c>
      <c r="W833" s="2" t="s">
        <v>74</v>
      </c>
      <c r="X833" s="2" t="s">
        <v>74</v>
      </c>
      <c r="Y833" s="2" t="s">
        <v>74</v>
      </c>
      <c r="Z833" s="2" t="s">
        <v>74</v>
      </c>
      <c r="AA833" s="2" t="s">
        <v>74</v>
      </c>
      <c r="AB833" s="2" t="s">
        <v>3054</v>
      </c>
      <c r="AC833" s="2" t="s">
        <v>74</v>
      </c>
      <c r="AD833" s="2" t="s">
        <v>74</v>
      </c>
      <c r="AE833" s="2" t="s">
        <v>74</v>
      </c>
      <c r="AF833" s="2" t="s">
        <v>74</v>
      </c>
      <c r="AG833" s="2" t="s">
        <v>74</v>
      </c>
      <c r="AH833" s="2" t="s">
        <v>74</v>
      </c>
      <c r="AI833" s="2" t="s">
        <v>74</v>
      </c>
      <c r="AJ833" s="2" t="s">
        <v>74</v>
      </c>
      <c r="AK833" s="2" t="s">
        <v>74</v>
      </c>
      <c r="AL833" s="2" t="s">
        <v>74</v>
      </c>
      <c r="AM833" s="2" t="s">
        <v>74</v>
      </c>
      <c r="AN833" s="2" t="s">
        <v>74</v>
      </c>
      <c r="AO833" s="2" t="s">
        <v>778</v>
      </c>
      <c r="AP833" s="2" t="s">
        <v>779</v>
      </c>
      <c r="AQ833" s="2" t="s">
        <v>74</v>
      </c>
      <c r="AR833" s="2" t="s">
        <v>74</v>
      </c>
      <c r="AS833" s="2" t="s">
        <v>74</v>
      </c>
      <c r="AT833" s="2" t="s">
        <v>2296</v>
      </c>
      <c r="AU833" s="2">
        <v>2024</v>
      </c>
      <c r="AV833" s="2">
        <v>70</v>
      </c>
      <c r="AW833" s="2">
        <v>1</v>
      </c>
      <c r="AX833" s="2" t="s">
        <v>74</v>
      </c>
      <c r="AY833" s="2" t="s">
        <v>74</v>
      </c>
      <c r="AZ833" s="2" t="s">
        <v>74</v>
      </c>
      <c r="BA833" s="2" t="s">
        <v>74</v>
      </c>
      <c r="BB833" s="2">
        <v>79</v>
      </c>
      <c r="BC833" s="2">
        <v>86</v>
      </c>
      <c r="BD833" s="2" t="s">
        <v>74</v>
      </c>
      <c r="BE833" s="2" t="s">
        <v>3055</v>
      </c>
      <c r="BF833" s="2" t="str">
        <f>HYPERLINK("http://dx.doi.org/10.1093/cz/zoac099","http://dx.doi.org/10.1093/cz/zoac099")</f>
        <v>http://dx.doi.org/10.1093/cz/zoac099</v>
      </c>
      <c r="BG833" s="2" t="s">
        <v>74</v>
      </c>
      <c r="BH833" s="2" t="s">
        <v>3048</v>
      </c>
      <c r="BI833" s="2" t="s">
        <v>74</v>
      </c>
      <c r="BJ833" s="2" t="s">
        <v>74</v>
      </c>
      <c r="BK833" s="2" t="s">
        <v>74</v>
      </c>
      <c r="BL833" s="2" t="s">
        <v>74</v>
      </c>
      <c r="BM833" s="2" t="s">
        <v>74</v>
      </c>
      <c r="BN833" s="2">
        <v>38476140</v>
      </c>
      <c r="BO833" s="2" t="s">
        <v>74</v>
      </c>
      <c r="BP833" s="2" t="s">
        <v>74</v>
      </c>
      <c r="BQ833" s="2" t="s">
        <v>74</v>
      </c>
      <c r="BR833" s="2" t="s">
        <v>74</v>
      </c>
      <c r="BS833" s="2" t="s">
        <v>3056</v>
      </c>
      <c r="BT833" s="2" t="str">
        <f>HYPERLINK("https%3A%2F%2Fwww.webofscience.com%2Fwos%2Fwoscc%2Ffull-record%2FWOS:000941847900001","View Full Record in Web of Science")</f>
        <v>View Full Record in Web of Science</v>
      </c>
    </row>
    <row r="834" spans="1:72" s="2" customFormat="1" x14ac:dyDescent="0.4">
      <c r="A834" s="2" t="s">
        <v>72</v>
      </c>
      <c r="B834" s="2" t="s">
        <v>1653</v>
      </c>
      <c r="C834" s="2" t="s">
        <v>74</v>
      </c>
      <c r="D834" s="2" t="s">
        <v>74</v>
      </c>
      <c r="E834" s="2" t="s">
        <v>74</v>
      </c>
      <c r="F834" s="2" t="s">
        <v>1654</v>
      </c>
      <c r="G834" s="2" t="s">
        <v>74</v>
      </c>
      <c r="H834" s="2" t="s">
        <v>74</v>
      </c>
      <c r="I834" s="2" t="s">
        <v>1655</v>
      </c>
      <c r="J834" s="2" t="s">
        <v>1656</v>
      </c>
      <c r="K834" s="2" t="s">
        <v>74</v>
      </c>
      <c r="L834" s="2" t="s">
        <v>74</v>
      </c>
      <c r="M834" s="2" t="s">
        <v>74</v>
      </c>
      <c r="N834" s="2" t="s">
        <v>74</v>
      </c>
      <c r="O834" s="2" t="s">
        <v>74</v>
      </c>
      <c r="P834" s="2" t="s">
        <v>74</v>
      </c>
      <c r="Q834" s="2" t="s">
        <v>74</v>
      </c>
      <c r="R834" s="2" t="s">
        <v>74</v>
      </c>
      <c r="S834" s="2" t="s">
        <v>74</v>
      </c>
      <c r="T834" s="2" t="s">
        <v>74</v>
      </c>
      <c r="U834" s="2" t="s">
        <v>74</v>
      </c>
      <c r="V834" s="5" t="s">
        <v>1657</v>
      </c>
      <c r="W834" s="2" t="s">
        <v>74</v>
      </c>
      <c r="X834" s="2" t="s">
        <v>74</v>
      </c>
      <c r="Y834" s="2" t="s">
        <v>74</v>
      </c>
      <c r="Z834" s="2" t="s">
        <v>74</v>
      </c>
      <c r="AA834" s="2" t="s">
        <v>74</v>
      </c>
      <c r="AB834" s="2" t="s">
        <v>74</v>
      </c>
      <c r="AC834" s="2" t="s">
        <v>74</v>
      </c>
      <c r="AD834" s="2" t="s">
        <v>74</v>
      </c>
      <c r="AE834" s="2" t="s">
        <v>74</v>
      </c>
      <c r="AF834" s="2" t="s">
        <v>74</v>
      </c>
      <c r="AG834" s="2" t="s">
        <v>74</v>
      </c>
      <c r="AH834" s="2" t="s">
        <v>74</v>
      </c>
      <c r="AI834" s="2" t="s">
        <v>74</v>
      </c>
      <c r="AJ834" s="2" t="s">
        <v>74</v>
      </c>
      <c r="AK834" s="2" t="s">
        <v>74</v>
      </c>
      <c r="AL834" s="2" t="s">
        <v>74</v>
      </c>
      <c r="AM834" s="2" t="s">
        <v>74</v>
      </c>
      <c r="AN834" s="2" t="s">
        <v>74</v>
      </c>
      <c r="AO834" s="2" t="s">
        <v>1658</v>
      </c>
      <c r="AP834" s="2" t="s">
        <v>1659</v>
      </c>
      <c r="AQ834" s="2" t="s">
        <v>74</v>
      </c>
      <c r="AR834" s="2" t="s">
        <v>74</v>
      </c>
      <c r="AS834" s="2" t="s">
        <v>74</v>
      </c>
      <c r="AT834" s="2" t="s">
        <v>1660</v>
      </c>
      <c r="AU834" s="2">
        <v>2013</v>
      </c>
      <c r="AV834" s="2">
        <v>3608</v>
      </c>
      <c r="AW834" s="2">
        <v>5</v>
      </c>
      <c r="AX834" s="2" t="s">
        <v>74</v>
      </c>
      <c r="AY834" s="2" t="s">
        <v>74</v>
      </c>
      <c r="AZ834" s="2" t="s">
        <v>74</v>
      </c>
      <c r="BA834" s="2" t="s">
        <v>74</v>
      </c>
      <c r="BB834" s="2">
        <v>328</v>
      </c>
      <c r="BC834" s="2">
        <v>344</v>
      </c>
      <c r="BD834" s="2" t="s">
        <v>74</v>
      </c>
      <c r="BE834" s="2" t="s">
        <v>1661</v>
      </c>
      <c r="BF834" s="2" t="str">
        <f>HYPERLINK("http://dx.doi.org/10.11646/zootaxa.3608.5.2","http://dx.doi.org/10.11646/zootaxa.3608.5.2")</f>
        <v>http://dx.doi.org/10.11646/zootaxa.3608.5.2</v>
      </c>
      <c r="BG834" s="2" t="s">
        <v>74</v>
      </c>
      <c r="BH834" s="2" t="s">
        <v>74</v>
      </c>
      <c r="BI834" s="2" t="s">
        <v>74</v>
      </c>
      <c r="BJ834" s="2" t="s">
        <v>74</v>
      </c>
      <c r="BK834" s="2" t="s">
        <v>74</v>
      </c>
      <c r="BL834" s="2" t="s">
        <v>74</v>
      </c>
      <c r="BM834" s="2" t="s">
        <v>74</v>
      </c>
      <c r="BN834" s="2">
        <v>24614474</v>
      </c>
      <c r="BO834" s="2" t="s">
        <v>74</v>
      </c>
      <c r="BP834" s="2" t="s">
        <v>74</v>
      </c>
      <c r="BQ834" s="2" t="s">
        <v>74</v>
      </c>
      <c r="BR834" s="2" t="s">
        <v>74</v>
      </c>
      <c r="BS834" s="2" t="s">
        <v>1662</v>
      </c>
      <c r="BT834" s="2" t="str">
        <f>HYPERLINK("https%3A%2F%2Fwww.webofscience.com%2Fwos%2Fwoscc%2Ffull-record%2FWOS:000313804500002","View Full Record in Web of Science")</f>
        <v>View Full Record in Web of Science</v>
      </c>
    </row>
    <row r="835" spans="1:72" s="2" customFormat="1" x14ac:dyDescent="0.4">
      <c r="A835" s="2" t="s">
        <v>72</v>
      </c>
      <c r="B835" s="2" t="s">
        <v>782</v>
      </c>
      <c r="C835" s="2" t="s">
        <v>74</v>
      </c>
      <c r="D835" s="2" t="s">
        <v>74</v>
      </c>
      <c r="E835" s="2" t="s">
        <v>74</v>
      </c>
      <c r="F835" s="2" t="s">
        <v>783</v>
      </c>
      <c r="G835" s="2" t="s">
        <v>74</v>
      </c>
      <c r="H835" s="2" t="s">
        <v>74</v>
      </c>
      <c r="I835" s="2" t="s">
        <v>784</v>
      </c>
      <c r="J835" s="2" t="s">
        <v>785</v>
      </c>
      <c r="K835" s="2" t="s">
        <v>74</v>
      </c>
      <c r="L835" s="2" t="s">
        <v>74</v>
      </c>
      <c r="M835" s="2" t="s">
        <v>74</v>
      </c>
      <c r="N835" s="2" t="s">
        <v>74</v>
      </c>
      <c r="O835" s="2" t="s">
        <v>74</v>
      </c>
      <c r="P835" s="2" t="s">
        <v>74</v>
      </c>
      <c r="Q835" s="2" t="s">
        <v>74</v>
      </c>
      <c r="R835" s="2" t="s">
        <v>74</v>
      </c>
      <c r="S835" s="2" t="s">
        <v>74</v>
      </c>
      <c r="T835" s="2" t="s">
        <v>74</v>
      </c>
      <c r="U835" s="2" t="s">
        <v>74</v>
      </c>
      <c r="V835" s="5" t="s">
        <v>786</v>
      </c>
      <c r="W835" s="2" t="s">
        <v>74</v>
      </c>
      <c r="X835" s="2" t="s">
        <v>74</v>
      </c>
      <c r="Y835" s="2" t="s">
        <v>74</v>
      </c>
      <c r="Z835" s="2" t="s">
        <v>74</v>
      </c>
      <c r="AA835" s="2" t="s">
        <v>74</v>
      </c>
      <c r="AB835" s="2" t="s">
        <v>74</v>
      </c>
      <c r="AC835" s="2" t="s">
        <v>74</v>
      </c>
      <c r="AD835" s="2" t="s">
        <v>74</v>
      </c>
      <c r="AE835" s="2" t="s">
        <v>74</v>
      </c>
      <c r="AF835" s="2" t="s">
        <v>74</v>
      </c>
      <c r="AG835" s="2" t="s">
        <v>74</v>
      </c>
      <c r="AH835" s="2" t="s">
        <v>74</v>
      </c>
      <c r="AI835" s="2" t="s">
        <v>74</v>
      </c>
      <c r="AJ835" s="2" t="s">
        <v>74</v>
      </c>
      <c r="AK835" s="2" t="s">
        <v>74</v>
      </c>
      <c r="AL835" s="2" t="s">
        <v>74</v>
      </c>
      <c r="AM835" s="2" t="s">
        <v>74</v>
      </c>
      <c r="AN835" s="2" t="s">
        <v>74</v>
      </c>
      <c r="AO835" s="2" t="s">
        <v>74</v>
      </c>
      <c r="AP835" s="2" t="s">
        <v>787</v>
      </c>
      <c r="AQ835" s="2" t="s">
        <v>74</v>
      </c>
      <c r="AR835" s="2" t="s">
        <v>74</v>
      </c>
      <c r="AS835" s="2" t="s">
        <v>74</v>
      </c>
      <c r="AT835" s="2" t="s">
        <v>788</v>
      </c>
      <c r="AU835" s="2">
        <v>2010</v>
      </c>
      <c r="AV835" s="2">
        <v>10</v>
      </c>
      <c r="AW835" s="2" t="s">
        <v>74</v>
      </c>
      <c r="AX835" s="2" t="s">
        <v>74</v>
      </c>
      <c r="AY835" s="2" t="s">
        <v>74</v>
      </c>
      <c r="AZ835" s="2" t="s">
        <v>74</v>
      </c>
      <c r="BA835" s="2" t="s">
        <v>74</v>
      </c>
      <c r="BB835" s="2" t="s">
        <v>74</v>
      </c>
      <c r="BC835" s="2" t="s">
        <v>74</v>
      </c>
      <c r="BD835" s="2">
        <v>109</v>
      </c>
      <c r="BE835" s="2" t="s">
        <v>789</v>
      </c>
      <c r="BF835" s="2" t="str">
        <f>HYPERLINK("http://dx.doi.org/10.1673/031.010.10901","http://dx.doi.org/10.1673/031.010.10901")</f>
        <v>http://dx.doi.org/10.1673/031.010.10901</v>
      </c>
      <c r="BG835" s="2" t="s">
        <v>74</v>
      </c>
      <c r="BH835" s="2" t="s">
        <v>74</v>
      </c>
      <c r="BI835" s="2" t="s">
        <v>74</v>
      </c>
      <c r="BJ835" s="2" t="s">
        <v>74</v>
      </c>
      <c r="BK835" s="2" t="s">
        <v>74</v>
      </c>
      <c r="BL835" s="2" t="s">
        <v>74</v>
      </c>
      <c r="BM835" s="2" t="s">
        <v>74</v>
      </c>
      <c r="BN835" s="2">
        <v>20874396</v>
      </c>
      <c r="BO835" s="2" t="s">
        <v>74</v>
      </c>
      <c r="BP835" s="2" t="s">
        <v>74</v>
      </c>
      <c r="BQ835" s="2" t="s">
        <v>74</v>
      </c>
      <c r="BR835" s="2" t="s">
        <v>74</v>
      </c>
      <c r="BS835" s="2" t="s">
        <v>790</v>
      </c>
      <c r="BT835" s="2" t="str">
        <f>HYPERLINK("https%3A%2F%2Fwww.webofscience.com%2Fwos%2Fwoscc%2Ffull-record%2FWOS:000280095500007","View Full Record in Web of Science")</f>
        <v>View Full Record in Web of Science</v>
      </c>
    </row>
    <row r="836" spans="1:72" s="2" customFormat="1" x14ac:dyDescent="0.4">
      <c r="A836" s="2" t="s">
        <v>72</v>
      </c>
      <c r="B836" s="2" t="s">
        <v>6032</v>
      </c>
      <c r="C836" s="2" t="s">
        <v>74</v>
      </c>
      <c r="D836" s="2" t="s">
        <v>74</v>
      </c>
      <c r="E836" s="2" t="s">
        <v>74</v>
      </c>
      <c r="F836" s="2" t="s">
        <v>6032</v>
      </c>
      <c r="G836" s="2" t="s">
        <v>74</v>
      </c>
      <c r="H836" s="2" t="s">
        <v>74</v>
      </c>
      <c r="I836" s="2" t="s">
        <v>6033</v>
      </c>
      <c r="J836" s="2" t="s">
        <v>3238</v>
      </c>
      <c r="K836" s="2" t="s">
        <v>74</v>
      </c>
      <c r="L836" s="2" t="s">
        <v>74</v>
      </c>
      <c r="M836" s="2" t="s">
        <v>74</v>
      </c>
      <c r="N836" s="2" t="s">
        <v>74</v>
      </c>
      <c r="O836" s="2" t="s">
        <v>74</v>
      </c>
      <c r="P836" s="2" t="s">
        <v>74</v>
      </c>
      <c r="Q836" s="2" t="s">
        <v>74</v>
      </c>
      <c r="R836" s="2" t="s">
        <v>74</v>
      </c>
      <c r="S836" s="2" t="s">
        <v>74</v>
      </c>
      <c r="T836" s="2" t="s">
        <v>74</v>
      </c>
      <c r="U836" s="2" t="s">
        <v>74</v>
      </c>
      <c r="V836" s="5" t="s">
        <v>6034</v>
      </c>
      <c r="W836" s="2" t="s">
        <v>74</v>
      </c>
      <c r="X836" s="2" t="s">
        <v>74</v>
      </c>
      <c r="Y836" s="2" t="s">
        <v>74</v>
      </c>
      <c r="Z836" s="2" t="s">
        <v>74</v>
      </c>
      <c r="AA836" s="2" t="s">
        <v>6035</v>
      </c>
      <c r="AB836" s="2" t="s">
        <v>6036</v>
      </c>
      <c r="AC836" s="2" t="s">
        <v>74</v>
      </c>
      <c r="AD836" s="2" t="s">
        <v>74</v>
      </c>
      <c r="AE836" s="2" t="s">
        <v>74</v>
      </c>
      <c r="AF836" s="2" t="s">
        <v>74</v>
      </c>
      <c r="AG836" s="2" t="s">
        <v>74</v>
      </c>
      <c r="AH836" s="2" t="s">
        <v>74</v>
      </c>
      <c r="AI836" s="2" t="s">
        <v>74</v>
      </c>
      <c r="AJ836" s="2" t="s">
        <v>74</v>
      </c>
      <c r="AK836" s="2" t="s">
        <v>74</v>
      </c>
      <c r="AL836" s="2" t="s">
        <v>74</v>
      </c>
      <c r="AM836" s="2" t="s">
        <v>74</v>
      </c>
      <c r="AN836" s="2" t="s">
        <v>74</v>
      </c>
      <c r="AO836" s="2" t="s">
        <v>3240</v>
      </c>
      <c r="AP836" s="2" t="s">
        <v>3241</v>
      </c>
      <c r="AQ836" s="2" t="s">
        <v>74</v>
      </c>
      <c r="AR836" s="2" t="s">
        <v>74</v>
      </c>
      <c r="AS836" s="2" t="s">
        <v>74</v>
      </c>
      <c r="AT836" s="2" t="s">
        <v>123</v>
      </c>
      <c r="AU836" s="2">
        <v>1990</v>
      </c>
      <c r="AV836" s="2">
        <v>83</v>
      </c>
      <c r="AW836" s="2">
        <v>2</v>
      </c>
      <c r="AX836" s="2" t="s">
        <v>74</v>
      </c>
      <c r="AY836" s="2" t="s">
        <v>74</v>
      </c>
      <c r="AZ836" s="2" t="s">
        <v>74</v>
      </c>
      <c r="BA836" s="2" t="s">
        <v>74</v>
      </c>
      <c r="BB836" s="2">
        <v>171</v>
      </c>
      <c r="BC836" s="2">
        <v>188</v>
      </c>
      <c r="BD836" s="2" t="s">
        <v>74</v>
      </c>
      <c r="BE836" s="2" t="s">
        <v>6037</v>
      </c>
      <c r="BF836" s="2" t="str">
        <f>HYPERLINK("http://dx.doi.org/10.1093/aesa/83.2.171","http://dx.doi.org/10.1093/aesa/83.2.171")</f>
        <v>http://dx.doi.org/10.1093/aesa/83.2.171</v>
      </c>
      <c r="BG836" s="2" t="s">
        <v>74</v>
      </c>
      <c r="BH836" s="2" t="s">
        <v>74</v>
      </c>
      <c r="BI836" s="2" t="s">
        <v>74</v>
      </c>
      <c r="BJ836" s="2" t="s">
        <v>74</v>
      </c>
      <c r="BK836" s="2" t="s">
        <v>74</v>
      </c>
      <c r="BL836" s="2" t="s">
        <v>74</v>
      </c>
      <c r="BM836" s="2" t="s">
        <v>74</v>
      </c>
      <c r="BN836" s="2" t="s">
        <v>74</v>
      </c>
      <c r="BO836" s="2" t="s">
        <v>74</v>
      </c>
      <c r="BP836" s="2" t="s">
        <v>74</v>
      </c>
      <c r="BQ836" s="2" t="s">
        <v>74</v>
      </c>
      <c r="BR836" s="2" t="s">
        <v>74</v>
      </c>
      <c r="BS836" s="2" t="s">
        <v>6038</v>
      </c>
      <c r="BT836" s="2" t="str">
        <f>HYPERLINK("https%3A%2F%2Fwww.webofscience.com%2Fwos%2Fwoscc%2Ffull-record%2FWOS:A1990CQ89800007","View Full Record in Web of Science")</f>
        <v>View Full Record in Web of Science</v>
      </c>
    </row>
    <row r="837" spans="1:72" s="2" customFormat="1" x14ac:dyDescent="0.4">
      <c r="A837" s="2" t="s">
        <v>72</v>
      </c>
      <c r="B837" s="2" t="s">
        <v>4854</v>
      </c>
      <c r="C837" s="2" t="s">
        <v>74</v>
      </c>
      <c r="D837" s="2" t="s">
        <v>74</v>
      </c>
      <c r="E837" s="2" t="s">
        <v>74</v>
      </c>
      <c r="F837" s="2" t="s">
        <v>4855</v>
      </c>
      <c r="G837" s="2" t="s">
        <v>74</v>
      </c>
      <c r="H837" s="2" t="s">
        <v>74</v>
      </c>
      <c r="I837" s="2" t="s">
        <v>4856</v>
      </c>
      <c r="J837" s="2" t="s">
        <v>299</v>
      </c>
      <c r="K837" s="2" t="s">
        <v>74</v>
      </c>
      <c r="L837" s="2" t="s">
        <v>74</v>
      </c>
      <c r="M837" s="2" t="s">
        <v>74</v>
      </c>
      <c r="N837" s="2" t="s">
        <v>74</v>
      </c>
      <c r="O837" s="2" t="s">
        <v>74</v>
      </c>
      <c r="P837" s="2" t="s">
        <v>74</v>
      </c>
      <c r="Q837" s="2" t="s">
        <v>74</v>
      </c>
      <c r="R837" s="2" t="s">
        <v>74</v>
      </c>
      <c r="S837" s="2" t="s">
        <v>74</v>
      </c>
      <c r="T837" s="2" t="s">
        <v>74</v>
      </c>
      <c r="U837" s="2" t="s">
        <v>74</v>
      </c>
      <c r="V837" s="5" t="s">
        <v>4857</v>
      </c>
      <c r="W837" s="2" t="s">
        <v>74</v>
      </c>
      <c r="X837" s="2" t="s">
        <v>74</v>
      </c>
      <c r="Y837" s="2" t="s">
        <v>74</v>
      </c>
      <c r="Z837" s="2" t="s">
        <v>74</v>
      </c>
      <c r="AA837" s="2" t="s">
        <v>4858</v>
      </c>
      <c r="AB837" s="2" t="s">
        <v>4859</v>
      </c>
      <c r="AC837" s="2" t="s">
        <v>74</v>
      </c>
      <c r="AD837" s="2" t="s">
        <v>74</v>
      </c>
      <c r="AE837" s="2" t="s">
        <v>74</v>
      </c>
      <c r="AF837" s="2" t="s">
        <v>74</v>
      </c>
      <c r="AG837" s="2" t="s">
        <v>74</v>
      </c>
      <c r="AH837" s="2" t="s">
        <v>74</v>
      </c>
      <c r="AI837" s="2" t="s">
        <v>74</v>
      </c>
      <c r="AJ837" s="2" t="s">
        <v>74</v>
      </c>
      <c r="AK837" s="2" t="s">
        <v>74</v>
      </c>
      <c r="AL837" s="2" t="s">
        <v>74</v>
      </c>
      <c r="AM837" s="2" t="s">
        <v>74</v>
      </c>
      <c r="AN837" s="2" t="s">
        <v>74</v>
      </c>
      <c r="AO837" s="2" t="s">
        <v>303</v>
      </c>
      <c r="AP837" s="2" t="s">
        <v>304</v>
      </c>
      <c r="AQ837" s="2" t="s">
        <v>74</v>
      </c>
      <c r="AR837" s="2" t="s">
        <v>74</v>
      </c>
      <c r="AS837" s="2" t="s">
        <v>74</v>
      </c>
      <c r="AT837" s="2" t="s">
        <v>305</v>
      </c>
      <c r="AU837" s="2">
        <v>2016</v>
      </c>
      <c r="AV837" s="2">
        <v>47</v>
      </c>
      <c r="AW837" s="2">
        <v>12</v>
      </c>
      <c r="AX837" s="2" t="s">
        <v>74</v>
      </c>
      <c r="AY837" s="2" t="s">
        <v>74</v>
      </c>
      <c r="AZ837" s="2" t="s">
        <v>74</v>
      </c>
      <c r="BA837" s="2" t="s">
        <v>74</v>
      </c>
      <c r="BB837" s="2">
        <v>4015</v>
      </c>
      <c r="BC837" s="2">
        <v>4023</v>
      </c>
      <c r="BD837" s="2" t="s">
        <v>74</v>
      </c>
      <c r="BE837" s="2" t="s">
        <v>4860</v>
      </c>
      <c r="BF837" s="2" t="str">
        <f>HYPERLINK("http://dx.doi.org/10.1111/are.12854","http://dx.doi.org/10.1111/are.12854")</f>
        <v>http://dx.doi.org/10.1111/are.12854</v>
      </c>
      <c r="BG837" s="2" t="s">
        <v>74</v>
      </c>
      <c r="BH837" s="2" t="s">
        <v>74</v>
      </c>
      <c r="BI837" s="2" t="s">
        <v>74</v>
      </c>
      <c r="BJ837" s="2" t="s">
        <v>74</v>
      </c>
      <c r="BK837" s="2" t="s">
        <v>74</v>
      </c>
      <c r="BL837" s="2" t="s">
        <v>74</v>
      </c>
      <c r="BM837" s="2" t="s">
        <v>74</v>
      </c>
      <c r="BN837" s="2" t="s">
        <v>74</v>
      </c>
      <c r="BO837" s="2" t="s">
        <v>74</v>
      </c>
      <c r="BP837" s="2" t="s">
        <v>74</v>
      </c>
      <c r="BQ837" s="2" t="s">
        <v>74</v>
      </c>
      <c r="BR837" s="2" t="s">
        <v>74</v>
      </c>
      <c r="BS837" s="2" t="s">
        <v>4861</v>
      </c>
      <c r="BT837" s="2" t="str">
        <f>HYPERLINK("https%3A%2F%2Fwww.webofscience.com%2Fwos%2Fwoscc%2Ffull-record%2FWOS:000387663000031","View Full Record in Web of Science")</f>
        <v>View Full Record in Web of Science</v>
      </c>
    </row>
    <row r="838" spans="1:72" s="2" customFormat="1" x14ac:dyDescent="0.4">
      <c r="A838" s="2" t="s">
        <v>72</v>
      </c>
      <c r="B838" s="2" t="s">
        <v>3900</v>
      </c>
      <c r="C838" s="2" t="s">
        <v>74</v>
      </c>
      <c r="D838" s="2" t="s">
        <v>74</v>
      </c>
      <c r="E838" s="2" t="s">
        <v>74</v>
      </c>
      <c r="F838" s="2" t="s">
        <v>3900</v>
      </c>
      <c r="G838" s="2" t="s">
        <v>74</v>
      </c>
      <c r="H838" s="2" t="s">
        <v>74</v>
      </c>
      <c r="I838" s="2" t="s">
        <v>3901</v>
      </c>
      <c r="J838" s="2" t="s">
        <v>108</v>
      </c>
      <c r="K838" s="2" t="s">
        <v>74</v>
      </c>
      <c r="L838" s="2" t="s">
        <v>74</v>
      </c>
      <c r="M838" s="2" t="s">
        <v>74</v>
      </c>
      <c r="N838" s="2" t="s">
        <v>74</v>
      </c>
      <c r="O838" s="2" t="s">
        <v>74</v>
      </c>
      <c r="P838" s="2" t="s">
        <v>74</v>
      </c>
      <c r="Q838" s="2" t="s">
        <v>74</v>
      </c>
      <c r="R838" s="2" t="s">
        <v>74</v>
      </c>
      <c r="S838" s="2" t="s">
        <v>74</v>
      </c>
      <c r="T838" s="2" t="s">
        <v>74</v>
      </c>
      <c r="U838" s="2" t="s">
        <v>74</v>
      </c>
      <c r="V838" s="5" t="s">
        <v>3902</v>
      </c>
      <c r="W838" s="2" t="s">
        <v>74</v>
      </c>
      <c r="X838" s="2" t="s">
        <v>74</v>
      </c>
      <c r="Y838" s="2" t="s">
        <v>74</v>
      </c>
      <c r="Z838" s="2" t="s">
        <v>74</v>
      </c>
      <c r="AA838" s="2" t="s">
        <v>74</v>
      </c>
      <c r="AB838" s="2" t="s">
        <v>74</v>
      </c>
      <c r="AC838" s="2" t="s">
        <v>74</v>
      </c>
      <c r="AD838" s="2" t="s">
        <v>74</v>
      </c>
      <c r="AE838" s="2" t="s">
        <v>74</v>
      </c>
      <c r="AF838" s="2" t="s">
        <v>74</v>
      </c>
      <c r="AG838" s="2" t="s">
        <v>74</v>
      </c>
      <c r="AH838" s="2" t="s">
        <v>74</v>
      </c>
      <c r="AI838" s="2" t="s">
        <v>74</v>
      </c>
      <c r="AJ838" s="2" t="s">
        <v>74</v>
      </c>
      <c r="AK838" s="2" t="s">
        <v>74</v>
      </c>
      <c r="AL838" s="2" t="s">
        <v>74</v>
      </c>
      <c r="AM838" s="2" t="s">
        <v>74</v>
      </c>
      <c r="AN838" s="2" t="s">
        <v>74</v>
      </c>
      <c r="AO838" s="2" t="s">
        <v>111</v>
      </c>
      <c r="AP838" s="2" t="s">
        <v>74</v>
      </c>
      <c r="AQ838" s="2" t="s">
        <v>74</v>
      </c>
      <c r="AR838" s="2" t="s">
        <v>74</v>
      </c>
      <c r="AS838" s="2" t="s">
        <v>74</v>
      </c>
      <c r="AT838" s="2" t="s">
        <v>939</v>
      </c>
      <c r="AU838" s="2">
        <v>2005</v>
      </c>
      <c r="AV838" s="2">
        <v>272</v>
      </c>
      <c r="AW838" s="2">
        <v>1580</v>
      </c>
      <c r="AX838" s="2" t="s">
        <v>74</v>
      </c>
      <c r="AY838" s="2" t="s">
        <v>74</v>
      </c>
      <c r="AZ838" s="2" t="s">
        <v>74</v>
      </c>
      <c r="BA838" s="2" t="s">
        <v>74</v>
      </c>
      <c r="BB838" s="2">
        <v>2519</v>
      </c>
      <c r="BC838" s="2">
        <v>2523</v>
      </c>
      <c r="BD838" s="2" t="s">
        <v>74</v>
      </c>
      <c r="BE838" s="2" t="s">
        <v>3903</v>
      </c>
      <c r="BF838" s="2" t="str">
        <f>HYPERLINK("http://dx.doi.org/10.1098/rspb.2005.3186","http://dx.doi.org/10.1098/rspb.2005.3186")</f>
        <v>http://dx.doi.org/10.1098/rspb.2005.3186</v>
      </c>
      <c r="BG838" s="2" t="s">
        <v>74</v>
      </c>
      <c r="BH838" s="2" t="s">
        <v>74</v>
      </c>
      <c r="BI838" s="2" t="s">
        <v>74</v>
      </c>
      <c r="BJ838" s="2" t="s">
        <v>74</v>
      </c>
      <c r="BK838" s="2" t="s">
        <v>74</v>
      </c>
      <c r="BL838" s="2" t="s">
        <v>74</v>
      </c>
      <c r="BM838" s="2" t="s">
        <v>74</v>
      </c>
      <c r="BN838" s="2">
        <v>16271978</v>
      </c>
      <c r="BO838" s="2" t="s">
        <v>74</v>
      </c>
      <c r="BP838" s="2" t="s">
        <v>74</v>
      </c>
      <c r="BQ838" s="2" t="s">
        <v>74</v>
      </c>
      <c r="BR838" s="2" t="s">
        <v>74</v>
      </c>
      <c r="BS838" s="2" t="s">
        <v>3904</v>
      </c>
      <c r="BT838" s="2" t="str">
        <f>HYPERLINK("https%3A%2F%2Fwww.webofscience.com%2Fwos%2Fwoscc%2Ffull-record%2FWOS:000233751700011","View Full Record in Web of Science")</f>
        <v>View Full Record in Web of Science</v>
      </c>
    </row>
    <row r="839" spans="1:72" s="2" customFormat="1" x14ac:dyDescent="0.4">
      <c r="A839" s="2" t="s">
        <v>72</v>
      </c>
      <c r="B839" s="2" t="s">
        <v>2935</v>
      </c>
      <c r="C839" s="2" t="s">
        <v>74</v>
      </c>
      <c r="D839" s="2" t="s">
        <v>74</v>
      </c>
      <c r="E839" s="2" t="s">
        <v>74</v>
      </c>
      <c r="F839" s="2" t="s">
        <v>2935</v>
      </c>
      <c r="G839" s="2" t="s">
        <v>74</v>
      </c>
      <c r="H839" s="2" t="s">
        <v>74</v>
      </c>
      <c r="I839" s="2" t="s">
        <v>2936</v>
      </c>
      <c r="J839" s="2" t="s">
        <v>2191</v>
      </c>
      <c r="K839" s="2" t="s">
        <v>74</v>
      </c>
      <c r="L839" s="2" t="s">
        <v>74</v>
      </c>
      <c r="M839" s="2" t="s">
        <v>74</v>
      </c>
      <c r="N839" s="2" t="s">
        <v>74</v>
      </c>
      <c r="O839" s="2" t="s">
        <v>74</v>
      </c>
      <c r="P839" s="2" t="s">
        <v>74</v>
      </c>
      <c r="Q839" s="2" t="s">
        <v>74</v>
      </c>
      <c r="R839" s="2" t="s">
        <v>74</v>
      </c>
      <c r="S839" s="2" t="s">
        <v>74</v>
      </c>
      <c r="T839" s="2" t="s">
        <v>74</v>
      </c>
      <c r="U839" s="2" t="s">
        <v>74</v>
      </c>
      <c r="V839" s="5" t="s">
        <v>2937</v>
      </c>
      <c r="W839" s="2" t="s">
        <v>74</v>
      </c>
      <c r="X839" s="2" t="s">
        <v>74</v>
      </c>
      <c r="Y839" s="2" t="s">
        <v>74</v>
      </c>
      <c r="Z839" s="2" t="s">
        <v>74</v>
      </c>
      <c r="AA839" s="2" t="s">
        <v>74</v>
      </c>
      <c r="AB839" s="2" t="s">
        <v>74</v>
      </c>
      <c r="AC839" s="2" t="s">
        <v>74</v>
      </c>
      <c r="AD839" s="2" t="s">
        <v>74</v>
      </c>
      <c r="AE839" s="2" t="s">
        <v>74</v>
      </c>
      <c r="AF839" s="2" t="s">
        <v>74</v>
      </c>
      <c r="AG839" s="2" t="s">
        <v>74</v>
      </c>
      <c r="AH839" s="2" t="s">
        <v>74</v>
      </c>
      <c r="AI839" s="2" t="s">
        <v>74</v>
      </c>
      <c r="AJ839" s="2" t="s">
        <v>74</v>
      </c>
      <c r="AK839" s="2" t="s">
        <v>74</v>
      </c>
      <c r="AL839" s="2" t="s">
        <v>74</v>
      </c>
      <c r="AM839" s="2" t="s">
        <v>74</v>
      </c>
      <c r="AN839" s="2" t="s">
        <v>74</v>
      </c>
      <c r="AO839" s="2" t="s">
        <v>2193</v>
      </c>
      <c r="AP839" s="2" t="s">
        <v>2194</v>
      </c>
      <c r="AQ839" s="2" t="s">
        <v>74</v>
      </c>
      <c r="AR839" s="2" t="s">
        <v>74</v>
      </c>
      <c r="AS839" s="2" t="s">
        <v>74</v>
      </c>
      <c r="AT839" s="2" t="s">
        <v>255</v>
      </c>
      <c r="AU839" s="2">
        <v>2005</v>
      </c>
      <c r="AV839" s="2">
        <v>32</v>
      </c>
      <c r="AW839" s="2">
        <v>2</v>
      </c>
      <c r="AX839" s="2" t="s">
        <v>74</v>
      </c>
      <c r="AY839" s="2" t="s">
        <v>74</v>
      </c>
      <c r="AZ839" s="2" t="s">
        <v>74</v>
      </c>
      <c r="BA839" s="2" t="s">
        <v>74</v>
      </c>
      <c r="BB839" s="2">
        <v>277</v>
      </c>
      <c r="BC839" s="2">
        <v>284</v>
      </c>
      <c r="BD839" s="2" t="s">
        <v>74</v>
      </c>
      <c r="BE839" s="2" t="s">
        <v>2938</v>
      </c>
      <c r="BF839" s="2" t="str">
        <f>HYPERLINK("http://dx.doi.org/10.1016/j.aquaeng.2004.04.004","http://dx.doi.org/10.1016/j.aquaeng.2004.04.004")</f>
        <v>http://dx.doi.org/10.1016/j.aquaeng.2004.04.004</v>
      </c>
      <c r="BG839" s="2" t="s">
        <v>74</v>
      </c>
      <c r="BH839" s="2" t="s">
        <v>74</v>
      </c>
      <c r="BI839" s="2" t="s">
        <v>74</v>
      </c>
      <c r="BJ839" s="2" t="s">
        <v>74</v>
      </c>
      <c r="BK839" s="2" t="s">
        <v>74</v>
      </c>
      <c r="BL839" s="2" t="s">
        <v>74</v>
      </c>
      <c r="BM839" s="2" t="s">
        <v>74</v>
      </c>
      <c r="BN839" s="2" t="s">
        <v>74</v>
      </c>
      <c r="BO839" s="2" t="s">
        <v>74</v>
      </c>
      <c r="BP839" s="2" t="s">
        <v>74</v>
      </c>
      <c r="BQ839" s="2" t="s">
        <v>74</v>
      </c>
      <c r="BR839" s="2" t="s">
        <v>74</v>
      </c>
      <c r="BS839" s="2" t="s">
        <v>2939</v>
      </c>
      <c r="BT839" s="2" t="str">
        <f>HYPERLINK("https%3A%2F%2Fwww.webofscience.com%2Fwos%2Fwoscc%2Ffull-record%2FWOS:000226462600001","View Full Record in Web of Science")</f>
        <v>View Full Record in Web of Science</v>
      </c>
    </row>
    <row r="840" spans="1:72" s="2" customFormat="1" x14ac:dyDescent="0.4">
      <c r="A840" s="2" t="s">
        <v>72</v>
      </c>
      <c r="B840" s="2" t="s">
        <v>7701</v>
      </c>
      <c r="C840" s="2" t="s">
        <v>74</v>
      </c>
      <c r="D840" s="2" t="s">
        <v>74</v>
      </c>
      <c r="E840" s="2" t="s">
        <v>74</v>
      </c>
      <c r="F840" s="2" t="s">
        <v>7701</v>
      </c>
      <c r="G840" s="2" t="s">
        <v>74</v>
      </c>
      <c r="H840" s="2" t="s">
        <v>74</v>
      </c>
      <c r="I840" s="2" t="s">
        <v>7702</v>
      </c>
      <c r="J840" s="2" t="s">
        <v>108</v>
      </c>
      <c r="K840" s="2" t="s">
        <v>74</v>
      </c>
      <c r="L840" s="2" t="s">
        <v>74</v>
      </c>
      <c r="M840" s="2" t="s">
        <v>74</v>
      </c>
      <c r="N840" s="2" t="s">
        <v>74</v>
      </c>
      <c r="O840" s="2" t="s">
        <v>74</v>
      </c>
      <c r="P840" s="2" t="s">
        <v>74</v>
      </c>
      <c r="Q840" s="2" t="s">
        <v>74</v>
      </c>
      <c r="R840" s="2" t="s">
        <v>74</v>
      </c>
      <c r="S840" s="2" t="s">
        <v>74</v>
      </c>
      <c r="T840" s="2" t="s">
        <v>74</v>
      </c>
      <c r="U840" s="2" t="s">
        <v>74</v>
      </c>
      <c r="V840" s="5" t="s">
        <v>7703</v>
      </c>
      <c r="W840" s="2" t="s">
        <v>74</v>
      </c>
      <c r="X840" s="2" t="s">
        <v>74</v>
      </c>
      <c r="Y840" s="2" t="s">
        <v>74</v>
      </c>
      <c r="Z840" s="2" t="s">
        <v>74</v>
      </c>
      <c r="AA840" s="2" t="s">
        <v>74</v>
      </c>
      <c r="AB840" s="2" t="s">
        <v>74</v>
      </c>
      <c r="AC840" s="2" t="s">
        <v>74</v>
      </c>
      <c r="AD840" s="2" t="s">
        <v>74</v>
      </c>
      <c r="AE840" s="2" t="s">
        <v>74</v>
      </c>
      <c r="AF840" s="2" t="s">
        <v>74</v>
      </c>
      <c r="AG840" s="2" t="s">
        <v>74</v>
      </c>
      <c r="AH840" s="2" t="s">
        <v>74</v>
      </c>
      <c r="AI840" s="2" t="s">
        <v>74</v>
      </c>
      <c r="AJ840" s="2" t="s">
        <v>74</v>
      </c>
      <c r="AK840" s="2" t="s">
        <v>74</v>
      </c>
      <c r="AL840" s="2" t="s">
        <v>74</v>
      </c>
      <c r="AM840" s="2" t="s">
        <v>74</v>
      </c>
      <c r="AN840" s="2" t="s">
        <v>74</v>
      </c>
      <c r="AO840" s="2" t="s">
        <v>111</v>
      </c>
      <c r="AP840" s="2" t="s">
        <v>74</v>
      </c>
      <c r="AQ840" s="2" t="s">
        <v>74</v>
      </c>
      <c r="AR840" s="2" t="s">
        <v>74</v>
      </c>
      <c r="AS840" s="2" t="s">
        <v>74</v>
      </c>
      <c r="AT840" s="2" t="s">
        <v>2345</v>
      </c>
      <c r="AU840" s="2">
        <v>1998</v>
      </c>
      <c r="AV840" s="2">
        <v>265</v>
      </c>
      <c r="AW840" s="2">
        <v>1399</v>
      </c>
      <c r="AX840" s="2" t="s">
        <v>74</v>
      </c>
      <c r="AY840" s="2" t="s">
        <v>74</v>
      </c>
      <c r="AZ840" s="2" t="s">
        <v>74</v>
      </c>
      <c r="BA840" s="2" t="s">
        <v>74</v>
      </c>
      <c r="BB840" s="2">
        <v>861</v>
      </c>
      <c r="BC840" s="2">
        <v>867</v>
      </c>
      <c r="BD840" s="2" t="s">
        <v>74</v>
      </c>
      <c r="BE840" s="2" t="s">
        <v>7704</v>
      </c>
      <c r="BF840" s="2" t="str">
        <f>HYPERLINK("http://dx.doi.org/10.1098/rspb.1998.0371","http://dx.doi.org/10.1098/rspb.1998.0371")</f>
        <v>http://dx.doi.org/10.1098/rspb.1998.0371</v>
      </c>
      <c r="BG840" s="2" t="s">
        <v>74</v>
      </c>
      <c r="BH840" s="2" t="s">
        <v>74</v>
      </c>
      <c r="BI840" s="2" t="s">
        <v>74</v>
      </c>
      <c r="BJ840" s="2" t="s">
        <v>74</v>
      </c>
      <c r="BK840" s="2" t="s">
        <v>74</v>
      </c>
      <c r="BL840" s="2" t="s">
        <v>74</v>
      </c>
      <c r="BM840" s="2" t="s">
        <v>74</v>
      </c>
      <c r="BN840" s="2" t="s">
        <v>74</v>
      </c>
      <c r="BO840" s="2" t="s">
        <v>74</v>
      </c>
      <c r="BP840" s="2" t="s">
        <v>74</v>
      </c>
      <c r="BQ840" s="2" t="s">
        <v>74</v>
      </c>
      <c r="BR840" s="2" t="s">
        <v>74</v>
      </c>
      <c r="BS840" s="2" t="s">
        <v>7705</v>
      </c>
      <c r="BT840" s="2" t="str">
        <f>HYPERLINK("https%3A%2F%2Fwww.webofscience.com%2Fwos%2Fwoscc%2Ffull-record%2FWOS:000073948500004","View Full Record in Web of Science")</f>
        <v>View Full Record in Web of Science</v>
      </c>
    </row>
    <row r="841" spans="1:72" s="2" customFormat="1" x14ac:dyDescent="0.4">
      <c r="A841" s="2" t="s">
        <v>72</v>
      </c>
      <c r="B841" s="2" t="s">
        <v>960</v>
      </c>
      <c r="C841" s="2" t="s">
        <v>74</v>
      </c>
      <c r="D841" s="2" t="s">
        <v>74</v>
      </c>
      <c r="E841" s="2" t="s">
        <v>74</v>
      </c>
      <c r="F841" s="2" t="s">
        <v>961</v>
      </c>
      <c r="G841" s="2" t="s">
        <v>74</v>
      </c>
      <c r="H841" s="2" t="s">
        <v>74</v>
      </c>
      <c r="I841" s="2" t="s">
        <v>962</v>
      </c>
      <c r="J841" s="2" t="s">
        <v>171</v>
      </c>
      <c r="K841" s="2" t="s">
        <v>74</v>
      </c>
      <c r="L841" s="2" t="s">
        <v>74</v>
      </c>
      <c r="M841" s="2" t="s">
        <v>74</v>
      </c>
      <c r="N841" s="2" t="s">
        <v>74</v>
      </c>
      <c r="O841" s="2" t="s">
        <v>74</v>
      </c>
      <c r="P841" s="2" t="s">
        <v>74</v>
      </c>
      <c r="Q841" s="2" t="s">
        <v>74</v>
      </c>
      <c r="R841" s="2" t="s">
        <v>74</v>
      </c>
      <c r="S841" s="2" t="s">
        <v>74</v>
      </c>
      <c r="T841" s="2" t="s">
        <v>74</v>
      </c>
      <c r="U841" s="2" t="s">
        <v>74</v>
      </c>
      <c r="V841" s="5" t="s">
        <v>963</v>
      </c>
      <c r="W841" s="2" t="s">
        <v>74</v>
      </c>
      <c r="X841" s="2" t="s">
        <v>74</v>
      </c>
      <c r="Y841" s="2" t="s">
        <v>74</v>
      </c>
      <c r="Z841" s="2" t="s">
        <v>74</v>
      </c>
      <c r="AA841" s="2" t="s">
        <v>74</v>
      </c>
      <c r="AB841" s="2" t="s">
        <v>74</v>
      </c>
      <c r="AC841" s="2" t="s">
        <v>74</v>
      </c>
      <c r="AD841" s="2" t="s">
        <v>74</v>
      </c>
      <c r="AE841" s="2" t="s">
        <v>74</v>
      </c>
      <c r="AF841" s="2" t="s">
        <v>74</v>
      </c>
      <c r="AG841" s="2" t="s">
        <v>74</v>
      </c>
      <c r="AH841" s="2" t="s">
        <v>74</v>
      </c>
      <c r="AI841" s="2" t="s">
        <v>74</v>
      </c>
      <c r="AJ841" s="2" t="s">
        <v>74</v>
      </c>
      <c r="AK841" s="2" t="s">
        <v>74</v>
      </c>
      <c r="AL841" s="2" t="s">
        <v>74</v>
      </c>
      <c r="AM841" s="2" t="s">
        <v>74</v>
      </c>
      <c r="AN841" s="2" t="s">
        <v>74</v>
      </c>
      <c r="AO841" s="2" t="s">
        <v>173</v>
      </c>
      <c r="AP841" s="2" t="s">
        <v>174</v>
      </c>
      <c r="AQ841" s="2" t="s">
        <v>74</v>
      </c>
      <c r="AR841" s="2" t="s">
        <v>74</v>
      </c>
      <c r="AS841" s="2" t="s">
        <v>74</v>
      </c>
      <c r="AT841" s="2" t="s">
        <v>964</v>
      </c>
      <c r="AU841" s="2">
        <v>2010</v>
      </c>
      <c r="AV841" s="2">
        <v>64</v>
      </c>
      <c r="AW841" s="2">
        <v>2</v>
      </c>
      <c r="AX841" s="2" t="s">
        <v>74</v>
      </c>
      <c r="AY841" s="2" t="s">
        <v>74</v>
      </c>
      <c r="AZ841" s="2" t="s">
        <v>74</v>
      </c>
      <c r="BA841" s="2" t="s">
        <v>74</v>
      </c>
      <c r="BB841" s="2">
        <v>324</v>
      </c>
      <c r="BC841" s="2">
        <v>335</v>
      </c>
      <c r="BD841" s="2" t="s">
        <v>74</v>
      </c>
      <c r="BE841" s="2" t="s">
        <v>965</v>
      </c>
      <c r="BF841" s="2" t="str">
        <f>HYPERLINK("http://dx.doi.org/10.1111/j.1558-5646.2009.00827.x","http://dx.doi.org/10.1111/j.1558-5646.2009.00827.x")</f>
        <v>http://dx.doi.org/10.1111/j.1558-5646.2009.00827.x</v>
      </c>
      <c r="BG841" s="2" t="s">
        <v>74</v>
      </c>
      <c r="BH841" s="2" t="s">
        <v>74</v>
      </c>
      <c r="BI841" s="2" t="s">
        <v>74</v>
      </c>
      <c r="BJ841" s="2" t="s">
        <v>74</v>
      </c>
      <c r="BK841" s="2" t="s">
        <v>74</v>
      </c>
      <c r="BL841" s="2" t="s">
        <v>74</v>
      </c>
      <c r="BM841" s="2" t="s">
        <v>74</v>
      </c>
      <c r="BN841" s="2">
        <v>19703221</v>
      </c>
      <c r="BO841" s="2" t="s">
        <v>74</v>
      </c>
      <c r="BP841" s="2" t="s">
        <v>74</v>
      </c>
      <c r="BQ841" s="2" t="s">
        <v>74</v>
      </c>
      <c r="BR841" s="2" t="s">
        <v>74</v>
      </c>
      <c r="BS841" s="2" t="s">
        <v>966</v>
      </c>
      <c r="BT841" s="2" t="str">
        <f>HYPERLINK("https%3A%2F%2Fwww.webofscience.com%2Fwos%2Fwoscc%2Ffull-record%2FWOS:000273821700003","View Full Record in Web of Science")</f>
        <v>View Full Record in Web of Science</v>
      </c>
    </row>
    <row r="842" spans="1:72" s="2" customFormat="1" x14ac:dyDescent="0.4">
      <c r="A842" s="2" t="s">
        <v>72</v>
      </c>
      <c r="B842" s="2" t="s">
        <v>8297</v>
      </c>
      <c r="C842" s="2" t="s">
        <v>74</v>
      </c>
      <c r="D842" s="2" t="s">
        <v>74</v>
      </c>
      <c r="E842" s="2" t="s">
        <v>74</v>
      </c>
      <c r="F842" s="2" t="s">
        <v>8298</v>
      </c>
      <c r="G842" s="2" t="s">
        <v>74</v>
      </c>
      <c r="H842" s="2" t="s">
        <v>74</v>
      </c>
      <c r="I842" s="2" t="s">
        <v>8299</v>
      </c>
      <c r="J842" s="2" t="s">
        <v>7393</v>
      </c>
      <c r="K842" s="2" t="s">
        <v>74</v>
      </c>
      <c r="L842" s="2" t="s">
        <v>74</v>
      </c>
      <c r="M842" s="2" t="s">
        <v>74</v>
      </c>
      <c r="N842" s="2" t="s">
        <v>74</v>
      </c>
      <c r="O842" s="2" t="s">
        <v>74</v>
      </c>
      <c r="P842" s="2" t="s">
        <v>74</v>
      </c>
      <c r="Q842" s="2" t="s">
        <v>74</v>
      </c>
      <c r="R842" s="2" t="s">
        <v>74</v>
      </c>
      <c r="S842" s="2" t="s">
        <v>74</v>
      </c>
      <c r="T842" s="2" t="s">
        <v>74</v>
      </c>
      <c r="U842" s="2" t="s">
        <v>74</v>
      </c>
      <c r="V842" s="5" t="s">
        <v>8300</v>
      </c>
      <c r="W842" s="2" t="s">
        <v>74</v>
      </c>
      <c r="X842" s="2" t="s">
        <v>74</v>
      </c>
      <c r="Y842" s="2" t="s">
        <v>74</v>
      </c>
      <c r="Z842" s="2" t="s">
        <v>74</v>
      </c>
      <c r="AA842" s="2" t="s">
        <v>8301</v>
      </c>
      <c r="AB842" s="2" t="s">
        <v>8302</v>
      </c>
      <c r="AC842" s="2" t="s">
        <v>74</v>
      </c>
      <c r="AD842" s="2" t="s">
        <v>74</v>
      </c>
      <c r="AE842" s="2" t="s">
        <v>74</v>
      </c>
      <c r="AF842" s="2" t="s">
        <v>74</v>
      </c>
      <c r="AG842" s="2" t="s">
        <v>74</v>
      </c>
      <c r="AH842" s="2" t="s">
        <v>74</v>
      </c>
      <c r="AI842" s="2" t="s">
        <v>74</v>
      </c>
      <c r="AJ842" s="2" t="s">
        <v>74</v>
      </c>
      <c r="AK842" s="2" t="s">
        <v>74</v>
      </c>
      <c r="AL842" s="2" t="s">
        <v>74</v>
      </c>
      <c r="AM842" s="2" t="s">
        <v>74</v>
      </c>
      <c r="AN842" s="2" t="s">
        <v>74</v>
      </c>
      <c r="AO842" s="2" t="s">
        <v>7397</v>
      </c>
      <c r="AP842" s="2" t="s">
        <v>7398</v>
      </c>
      <c r="AQ842" s="2" t="s">
        <v>74</v>
      </c>
      <c r="AR842" s="2" t="s">
        <v>74</v>
      </c>
      <c r="AS842" s="2" t="s">
        <v>74</v>
      </c>
      <c r="AT842" s="2" t="s">
        <v>964</v>
      </c>
      <c r="AU842" s="2">
        <v>2021</v>
      </c>
      <c r="AV842" s="2">
        <v>109</v>
      </c>
      <c r="AW842" s="2">
        <v>2</v>
      </c>
      <c r="AX842" s="2" t="s">
        <v>74</v>
      </c>
      <c r="AY842" s="2" t="s">
        <v>74</v>
      </c>
      <c r="AZ842" s="2" t="s">
        <v>74</v>
      </c>
      <c r="BA842" s="2" t="s">
        <v>74</v>
      </c>
      <c r="BB842" s="2">
        <v>939</v>
      </c>
      <c r="BC842" s="2">
        <v>951</v>
      </c>
      <c r="BD842" s="2" t="s">
        <v>74</v>
      </c>
      <c r="BE842" s="2" t="s">
        <v>8303</v>
      </c>
      <c r="BF842" s="2" t="str">
        <f>HYPERLINK("http://dx.doi.org/10.1111/1365-2745.13520","http://dx.doi.org/10.1111/1365-2745.13520")</f>
        <v>http://dx.doi.org/10.1111/1365-2745.13520</v>
      </c>
      <c r="BG842" s="2" t="s">
        <v>74</v>
      </c>
      <c r="BH842" s="2" t="s">
        <v>8304</v>
      </c>
      <c r="BI842" s="2" t="s">
        <v>74</v>
      </c>
      <c r="BJ842" s="2" t="s">
        <v>74</v>
      </c>
      <c r="BK842" s="2" t="s">
        <v>74</v>
      </c>
      <c r="BL842" s="2" t="s">
        <v>74</v>
      </c>
      <c r="BM842" s="2" t="s">
        <v>74</v>
      </c>
      <c r="BN842" s="2" t="s">
        <v>74</v>
      </c>
      <c r="BO842" s="2" t="s">
        <v>74</v>
      </c>
      <c r="BP842" s="2" t="s">
        <v>74</v>
      </c>
      <c r="BQ842" s="2" t="s">
        <v>74</v>
      </c>
      <c r="BR842" s="2" t="s">
        <v>74</v>
      </c>
      <c r="BS842" s="2" t="s">
        <v>8305</v>
      </c>
      <c r="BT842" s="2" t="str">
        <f>HYPERLINK("https%3A%2F%2Fwww.webofscience.com%2Fwos%2Fwoscc%2Ffull-record%2FWOS:000583496000001","View Full Record in Web of Science")</f>
        <v>View Full Record in Web of Science</v>
      </c>
    </row>
    <row r="843" spans="1:72" s="2" customFormat="1" x14ac:dyDescent="0.4">
      <c r="A843" s="2" t="s">
        <v>72</v>
      </c>
      <c r="B843" s="2" t="s">
        <v>8512</v>
      </c>
      <c r="C843" s="2" t="s">
        <v>74</v>
      </c>
      <c r="D843" s="2" t="s">
        <v>74</v>
      </c>
      <c r="E843" s="2" t="s">
        <v>74</v>
      </c>
      <c r="F843" s="2" t="s">
        <v>8512</v>
      </c>
      <c r="G843" s="2" t="s">
        <v>74</v>
      </c>
      <c r="H843" s="2" t="s">
        <v>74</v>
      </c>
      <c r="I843" s="2" t="s">
        <v>8513</v>
      </c>
      <c r="J843" s="2" t="s">
        <v>140</v>
      </c>
      <c r="K843" s="2" t="s">
        <v>74</v>
      </c>
      <c r="L843" s="2" t="s">
        <v>74</v>
      </c>
      <c r="M843" s="2" t="s">
        <v>74</v>
      </c>
      <c r="N843" s="2" t="s">
        <v>74</v>
      </c>
      <c r="O843" s="2" t="s">
        <v>74</v>
      </c>
      <c r="P843" s="2" t="s">
        <v>74</v>
      </c>
      <c r="Q843" s="2" t="s">
        <v>74</v>
      </c>
      <c r="R843" s="2" t="s">
        <v>74</v>
      </c>
      <c r="S843" s="2" t="s">
        <v>74</v>
      </c>
      <c r="T843" s="2" t="s">
        <v>74</v>
      </c>
      <c r="U843" s="2" t="s">
        <v>74</v>
      </c>
      <c r="V843" s="5" t="s">
        <v>8514</v>
      </c>
      <c r="W843" s="2" t="s">
        <v>74</v>
      </c>
      <c r="X843" s="2" t="s">
        <v>74</v>
      </c>
      <c r="Y843" s="2" t="s">
        <v>74</v>
      </c>
      <c r="Z843" s="2" t="s">
        <v>74</v>
      </c>
      <c r="AA843" s="2" t="s">
        <v>74</v>
      </c>
      <c r="AB843" s="2" t="s">
        <v>8515</v>
      </c>
      <c r="AC843" s="2" t="s">
        <v>74</v>
      </c>
      <c r="AD843" s="2" t="s">
        <v>74</v>
      </c>
      <c r="AE843" s="2" t="s">
        <v>74</v>
      </c>
      <c r="AF843" s="2" t="s">
        <v>74</v>
      </c>
      <c r="AG843" s="2" t="s">
        <v>74</v>
      </c>
      <c r="AH843" s="2" t="s">
        <v>74</v>
      </c>
      <c r="AI843" s="2" t="s">
        <v>74</v>
      </c>
      <c r="AJ843" s="2" t="s">
        <v>74</v>
      </c>
      <c r="AK843" s="2" t="s">
        <v>74</v>
      </c>
      <c r="AL843" s="2" t="s">
        <v>74</v>
      </c>
      <c r="AM843" s="2" t="s">
        <v>74</v>
      </c>
      <c r="AN843" s="2" t="s">
        <v>74</v>
      </c>
      <c r="AO843" s="2" t="s">
        <v>143</v>
      </c>
      <c r="AP843" s="2" t="s">
        <v>144</v>
      </c>
      <c r="AQ843" s="2" t="s">
        <v>74</v>
      </c>
      <c r="AR843" s="2" t="s">
        <v>74</v>
      </c>
      <c r="AS843" s="2" t="s">
        <v>74</v>
      </c>
      <c r="AT843" s="2" t="s">
        <v>175</v>
      </c>
      <c r="AU843" s="2">
        <v>1997</v>
      </c>
      <c r="AV843" s="2">
        <v>54</v>
      </c>
      <c r="AW843" s="2" t="s">
        <v>74</v>
      </c>
      <c r="AX843" s="2">
        <v>4</v>
      </c>
      <c r="AY843" s="2" t="s">
        <v>74</v>
      </c>
      <c r="AZ843" s="2" t="s">
        <v>74</v>
      </c>
      <c r="BA843" s="2" t="s">
        <v>74</v>
      </c>
      <c r="BB843" s="2">
        <v>893</v>
      </c>
      <c r="BC843" s="2">
        <v>899</v>
      </c>
      <c r="BD843" s="2" t="s">
        <v>74</v>
      </c>
      <c r="BE843" s="2" t="s">
        <v>8516</v>
      </c>
      <c r="BF843" s="2" t="str">
        <f>HYPERLINK("http://dx.doi.org/10.1006/anbe.1997.0514","http://dx.doi.org/10.1006/anbe.1997.0514")</f>
        <v>http://dx.doi.org/10.1006/anbe.1997.0514</v>
      </c>
      <c r="BG843" s="2" t="s">
        <v>74</v>
      </c>
      <c r="BH843" s="2" t="s">
        <v>74</v>
      </c>
      <c r="BI843" s="2" t="s">
        <v>74</v>
      </c>
      <c r="BJ843" s="2" t="s">
        <v>74</v>
      </c>
      <c r="BK843" s="2" t="s">
        <v>74</v>
      </c>
      <c r="BL843" s="2" t="s">
        <v>74</v>
      </c>
      <c r="BM843" s="2" t="s">
        <v>74</v>
      </c>
      <c r="BN843" s="2">
        <v>9344442</v>
      </c>
      <c r="BO843" s="2" t="s">
        <v>74</v>
      </c>
      <c r="BP843" s="2" t="s">
        <v>74</v>
      </c>
      <c r="BQ843" s="2" t="s">
        <v>74</v>
      </c>
      <c r="BR843" s="2" t="s">
        <v>74</v>
      </c>
      <c r="BS843" s="2" t="s">
        <v>8517</v>
      </c>
      <c r="BT843" s="2" t="str">
        <f>HYPERLINK("https%3A%2F%2Fwww.webofscience.com%2Fwos%2Fwoscc%2Ffull-record%2FWOS:A1997YE30600013","View Full Record in Web of Science")</f>
        <v>View Full Record in Web of Science</v>
      </c>
    </row>
    <row r="844" spans="1:72" s="2" customFormat="1" x14ac:dyDescent="0.4">
      <c r="A844" s="2" t="s">
        <v>72</v>
      </c>
      <c r="B844" s="2" t="s">
        <v>4053</v>
      </c>
      <c r="C844" s="2" t="s">
        <v>74</v>
      </c>
      <c r="D844" s="2" t="s">
        <v>74</v>
      </c>
      <c r="E844" s="2" t="s">
        <v>74</v>
      </c>
      <c r="F844" s="2" t="s">
        <v>4054</v>
      </c>
      <c r="G844" s="2" t="s">
        <v>74</v>
      </c>
      <c r="H844" s="2" t="s">
        <v>74</v>
      </c>
      <c r="I844" s="2" t="s">
        <v>4055</v>
      </c>
      <c r="J844" s="2" t="s">
        <v>3190</v>
      </c>
      <c r="K844" s="2" t="s">
        <v>74</v>
      </c>
      <c r="L844" s="2" t="s">
        <v>74</v>
      </c>
      <c r="M844" s="2" t="s">
        <v>74</v>
      </c>
      <c r="N844" s="2" t="s">
        <v>74</v>
      </c>
      <c r="O844" s="2" t="s">
        <v>74</v>
      </c>
      <c r="P844" s="2" t="s">
        <v>74</v>
      </c>
      <c r="Q844" s="2" t="s">
        <v>74</v>
      </c>
      <c r="R844" s="2" t="s">
        <v>74</v>
      </c>
      <c r="S844" s="2" t="s">
        <v>74</v>
      </c>
      <c r="T844" s="2" t="s">
        <v>74</v>
      </c>
      <c r="U844" s="2" t="s">
        <v>74</v>
      </c>
      <c r="V844" s="5" t="s">
        <v>4056</v>
      </c>
      <c r="W844" s="2" t="s">
        <v>74</v>
      </c>
      <c r="X844" s="2" t="s">
        <v>74</v>
      </c>
      <c r="Y844" s="2" t="s">
        <v>74</v>
      </c>
      <c r="Z844" s="2" t="s">
        <v>74</v>
      </c>
      <c r="AA844" s="2" t="s">
        <v>4057</v>
      </c>
      <c r="AB844" s="2" t="s">
        <v>4058</v>
      </c>
      <c r="AC844" s="2" t="s">
        <v>74</v>
      </c>
      <c r="AD844" s="2" t="s">
        <v>74</v>
      </c>
      <c r="AE844" s="2" t="s">
        <v>74</v>
      </c>
      <c r="AF844" s="2" t="s">
        <v>74</v>
      </c>
      <c r="AG844" s="2" t="s">
        <v>74</v>
      </c>
      <c r="AH844" s="2" t="s">
        <v>74</v>
      </c>
      <c r="AI844" s="2" t="s">
        <v>74</v>
      </c>
      <c r="AJ844" s="2" t="s">
        <v>74</v>
      </c>
      <c r="AK844" s="2" t="s">
        <v>74</v>
      </c>
      <c r="AL844" s="2" t="s">
        <v>74</v>
      </c>
      <c r="AM844" s="2" t="s">
        <v>74</v>
      </c>
      <c r="AN844" s="2" t="s">
        <v>74</v>
      </c>
      <c r="AO844" s="2" t="s">
        <v>3193</v>
      </c>
      <c r="AP844" s="2" t="s">
        <v>3194</v>
      </c>
      <c r="AQ844" s="2" t="s">
        <v>74</v>
      </c>
      <c r="AR844" s="2" t="s">
        <v>74</v>
      </c>
      <c r="AS844" s="2" t="s">
        <v>74</v>
      </c>
      <c r="AT844" s="2" t="s">
        <v>213</v>
      </c>
      <c r="AU844" s="2">
        <v>2016</v>
      </c>
      <c r="AV844" s="2">
        <v>45</v>
      </c>
      <c r="AW844" s="2">
        <v>6</v>
      </c>
      <c r="AX844" s="2" t="s">
        <v>74</v>
      </c>
      <c r="AY844" s="2" t="s">
        <v>74</v>
      </c>
      <c r="AZ844" s="2" t="s">
        <v>74</v>
      </c>
      <c r="BA844" s="2" t="s">
        <v>74</v>
      </c>
      <c r="BB844" s="2">
        <v>509</v>
      </c>
      <c r="BC844" s="2">
        <v>518</v>
      </c>
      <c r="BD844" s="2" t="s">
        <v>74</v>
      </c>
      <c r="BE844" s="2" t="s">
        <v>4059</v>
      </c>
      <c r="BF844" s="2" t="str">
        <f>HYPERLINK("http://dx.doi.org/10.1016/j.asd.2016.10.008","http://dx.doi.org/10.1016/j.asd.2016.10.008")</f>
        <v>http://dx.doi.org/10.1016/j.asd.2016.10.008</v>
      </c>
      <c r="BG844" s="2" t="s">
        <v>74</v>
      </c>
      <c r="BH844" s="2" t="s">
        <v>74</v>
      </c>
      <c r="BI844" s="2" t="s">
        <v>74</v>
      </c>
      <c r="BJ844" s="2" t="s">
        <v>74</v>
      </c>
      <c r="BK844" s="2" t="s">
        <v>74</v>
      </c>
      <c r="BL844" s="2" t="s">
        <v>74</v>
      </c>
      <c r="BM844" s="2" t="s">
        <v>74</v>
      </c>
      <c r="BN844" s="2">
        <v>27725254</v>
      </c>
      <c r="BO844" s="2" t="s">
        <v>74</v>
      </c>
      <c r="BP844" s="2" t="s">
        <v>74</v>
      </c>
      <c r="BQ844" s="2" t="s">
        <v>74</v>
      </c>
      <c r="BR844" s="2" t="s">
        <v>74</v>
      </c>
      <c r="BS844" s="2" t="s">
        <v>4060</v>
      </c>
      <c r="BT844" s="2" t="str">
        <f>HYPERLINK("https%3A%2F%2Fwww.webofscience.com%2Fwos%2Fwoscc%2Ffull-record%2FWOS:000389092000001","View Full Record in Web of Science")</f>
        <v>View Full Record in Web of Science</v>
      </c>
    </row>
    <row r="845" spans="1:72" s="2" customFormat="1" x14ac:dyDescent="0.4">
      <c r="A845" s="2" t="s">
        <v>72</v>
      </c>
      <c r="B845" s="2" t="s">
        <v>2001</v>
      </c>
      <c r="C845" s="2" t="s">
        <v>74</v>
      </c>
      <c r="D845" s="2" t="s">
        <v>74</v>
      </c>
      <c r="E845" s="2" t="s">
        <v>74</v>
      </c>
      <c r="F845" s="2" t="s">
        <v>2002</v>
      </c>
      <c r="G845" s="2" t="s">
        <v>74</v>
      </c>
      <c r="H845" s="2" t="s">
        <v>74</v>
      </c>
      <c r="I845" s="2" t="s">
        <v>2003</v>
      </c>
      <c r="J845" s="2" t="s">
        <v>610</v>
      </c>
      <c r="K845" s="2" t="s">
        <v>74</v>
      </c>
      <c r="L845" s="2" t="s">
        <v>74</v>
      </c>
      <c r="M845" s="2" t="s">
        <v>74</v>
      </c>
      <c r="N845" s="2" t="s">
        <v>74</v>
      </c>
      <c r="O845" s="2" t="s">
        <v>74</v>
      </c>
      <c r="P845" s="2" t="s">
        <v>74</v>
      </c>
      <c r="Q845" s="2" t="s">
        <v>74</v>
      </c>
      <c r="R845" s="2" t="s">
        <v>74</v>
      </c>
      <c r="S845" s="2" t="s">
        <v>74</v>
      </c>
      <c r="T845" s="2" t="s">
        <v>74</v>
      </c>
      <c r="U845" s="2" t="s">
        <v>74</v>
      </c>
      <c r="V845" s="5" t="s">
        <v>2004</v>
      </c>
      <c r="W845" s="2" t="s">
        <v>74</v>
      </c>
      <c r="X845" s="2" t="s">
        <v>74</v>
      </c>
      <c r="Y845" s="2" t="s">
        <v>74</v>
      </c>
      <c r="Z845" s="2" t="s">
        <v>74</v>
      </c>
      <c r="AA845" s="2" t="s">
        <v>74</v>
      </c>
      <c r="AB845" s="2" t="s">
        <v>90</v>
      </c>
      <c r="AC845" s="2" t="s">
        <v>74</v>
      </c>
      <c r="AD845" s="2" t="s">
        <v>74</v>
      </c>
      <c r="AE845" s="2" t="s">
        <v>74</v>
      </c>
      <c r="AF845" s="2" t="s">
        <v>74</v>
      </c>
      <c r="AG845" s="2" t="s">
        <v>74</v>
      </c>
      <c r="AH845" s="2" t="s">
        <v>74</v>
      </c>
      <c r="AI845" s="2" t="s">
        <v>74</v>
      </c>
      <c r="AJ845" s="2" t="s">
        <v>74</v>
      </c>
      <c r="AK845" s="2" t="s">
        <v>74</v>
      </c>
      <c r="AL845" s="2" t="s">
        <v>74</v>
      </c>
      <c r="AM845" s="2" t="s">
        <v>74</v>
      </c>
      <c r="AN845" s="2" t="s">
        <v>74</v>
      </c>
      <c r="AO845" s="2" t="s">
        <v>614</v>
      </c>
      <c r="AP845" s="2" t="s">
        <v>615</v>
      </c>
      <c r="AQ845" s="2" t="s">
        <v>74</v>
      </c>
      <c r="AR845" s="2" t="s">
        <v>74</v>
      </c>
      <c r="AS845" s="2" t="s">
        <v>74</v>
      </c>
      <c r="AT845" s="2" t="s">
        <v>102</v>
      </c>
      <c r="AU845" s="2">
        <v>2022</v>
      </c>
      <c r="AV845" s="2">
        <v>128</v>
      </c>
      <c r="AW845" s="2">
        <v>6</v>
      </c>
      <c r="AX845" s="2" t="s">
        <v>74</v>
      </c>
      <c r="AY845" s="2" t="s">
        <v>74</v>
      </c>
      <c r="AZ845" s="2" t="s">
        <v>74</v>
      </c>
      <c r="BA845" s="2" t="s">
        <v>74</v>
      </c>
      <c r="BB845" s="2">
        <v>482</v>
      </c>
      <c r="BC845" s="2">
        <v>488</v>
      </c>
      <c r="BD845" s="2" t="s">
        <v>74</v>
      </c>
      <c r="BE845" s="2" t="s">
        <v>2005</v>
      </c>
      <c r="BF845" s="2" t="str">
        <f>HYPERLINK("http://dx.doi.org/10.1111/eth.13282","http://dx.doi.org/10.1111/eth.13282")</f>
        <v>http://dx.doi.org/10.1111/eth.13282</v>
      </c>
      <c r="BG845" s="2" t="s">
        <v>74</v>
      </c>
      <c r="BH845" s="2" t="s">
        <v>2006</v>
      </c>
      <c r="BI845" s="2" t="s">
        <v>74</v>
      </c>
      <c r="BJ845" s="2" t="s">
        <v>74</v>
      </c>
      <c r="BK845" s="2" t="s">
        <v>74</v>
      </c>
      <c r="BL845" s="2" t="s">
        <v>74</v>
      </c>
      <c r="BM845" s="2" t="s">
        <v>74</v>
      </c>
      <c r="BN845" s="2" t="s">
        <v>74</v>
      </c>
      <c r="BO845" s="2" t="s">
        <v>74</v>
      </c>
      <c r="BP845" s="2" t="s">
        <v>74</v>
      </c>
      <c r="BQ845" s="2" t="s">
        <v>74</v>
      </c>
      <c r="BR845" s="2" t="s">
        <v>74</v>
      </c>
      <c r="BS845" s="2" t="s">
        <v>2007</v>
      </c>
      <c r="BT845" s="2" t="str">
        <f>HYPERLINK("https%3A%2F%2Fwww.webofscience.com%2Fwos%2Fwoscc%2Ffull-record%2FWOS:000781080500001","View Full Record in Web of Science")</f>
        <v>View Full Record in Web of Science</v>
      </c>
    </row>
    <row r="846" spans="1:72" s="2" customFormat="1" x14ac:dyDescent="0.4">
      <c r="A846" s="2" t="s">
        <v>72</v>
      </c>
      <c r="B846" s="2" t="s">
        <v>1093</v>
      </c>
      <c r="C846" s="2" t="s">
        <v>74</v>
      </c>
      <c r="D846" s="2" t="s">
        <v>74</v>
      </c>
      <c r="E846" s="2" t="s">
        <v>74</v>
      </c>
      <c r="F846" s="2" t="s">
        <v>1094</v>
      </c>
      <c r="G846" s="2" t="s">
        <v>74</v>
      </c>
      <c r="H846" s="2" t="s">
        <v>74</v>
      </c>
      <c r="I846" s="2" t="s">
        <v>1095</v>
      </c>
      <c r="J846" s="2" t="s">
        <v>1096</v>
      </c>
      <c r="K846" s="2" t="s">
        <v>74</v>
      </c>
      <c r="L846" s="2" t="s">
        <v>74</v>
      </c>
      <c r="M846" s="2" t="s">
        <v>74</v>
      </c>
      <c r="N846" s="2" t="s">
        <v>74</v>
      </c>
      <c r="O846" s="2" t="s">
        <v>74</v>
      </c>
      <c r="P846" s="2" t="s">
        <v>74</v>
      </c>
      <c r="Q846" s="2" t="s">
        <v>74</v>
      </c>
      <c r="R846" s="2" t="s">
        <v>74</v>
      </c>
      <c r="S846" s="2" t="s">
        <v>74</v>
      </c>
      <c r="T846" s="2" t="s">
        <v>74</v>
      </c>
      <c r="U846" s="2" t="s">
        <v>74</v>
      </c>
      <c r="V846" s="5" t="s">
        <v>1097</v>
      </c>
      <c r="W846" s="2" t="s">
        <v>74</v>
      </c>
      <c r="X846" s="2" t="s">
        <v>74</v>
      </c>
      <c r="Y846" s="2" t="s">
        <v>74</v>
      </c>
      <c r="Z846" s="2" t="s">
        <v>74</v>
      </c>
      <c r="AA846" s="2" t="s">
        <v>74</v>
      </c>
      <c r="AB846" s="2" t="s">
        <v>90</v>
      </c>
      <c r="AC846" s="2" t="s">
        <v>74</v>
      </c>
      <c r="AD846" s="2" t="s">
        <v>74</v>
      </c>
      <c r="AE846" s="2" t="s">
        <v>74</v>
      </c>
      <c r="AF846" s="2" t="s">
        <v>74</v>
      </c>
      <c r="AG846" s="2" t="s">
        <v>74</v>
      </c>
      <c r="AH846" s="2" t="s">
        <v>74</v>
      </c>
      <c r="AI846" s="2" t="s">
        <v>74</v>
      </c>
      <c r="AJ846" s="2" t="s">
        <v>74</v>
      </c>
      <c r="AK846" s="2" t="s">
        <v>74</v>
      </c>
      <c r="AL846" s="2" t="s">
        <v>74</v>
      </c>
      <c r="AM846" s="2" t="s">
        <v>74</v>
      </c>
      <c r="AN846" s="2" t="s">
        <v>74</v>
      </c>
      <c r="AO846" s="2" t="s">
        <v>1098</v>
      </c>
      <c r="AP846" s="2" t="s">
        <v>1099</v>
      </c>
      <c r="AQ846" s="2" t="s">
        <v>74</v>
      </c>
      <c r="AR846" s="2" t="s">
        <v>74</v>
      </c>
      <c r="AS846" s="2" t="s">
        <v>74</v>
      </c>
      <c r="AT846" s="2" t="s">
        <v>255</v>
      </c>
      <c r="AU846" s="2">
        <v>2012</v>
      </c>
      <c r="AV846" s="2">
        <v>21</v>
      </c>
      <c r="AW846" s="2">
        <v>1</v>
      </c>
      <c r="AX846" s="2" t="s">
        <v>74</v>
      </c>
      <c r="AY846" s="2" t="s">
        <v>74</v>
      </c>
      <c r="AZ846" s="2" t="s">
        <v>74</v>
      </c>
      <c r="BA846" s="2" t="s">
        <v>74</v>
      </c>
      <c r="BB846" s="2">
        <v>34</v>
      </c>
      <c r="BC846" s="2">
        <v>41</v>
      </c>
      <c r="BD846" s="2" t="s">
        <v>74</v>
      </c>
      <c r="BE846" s="2" t="s">
        <v>1100</v>
      </c>
      <c r="BF846" s="2" t="str">
        <f>HYPERLINK("http://dx.doi.org/10.1111/j.1600-0633.2011.00520.x","http://dx.doi.org/10.1111/j.1600-0633.2011.00520.x")</f>
        <v>http://dx.doi.org/10.1111/j.1600-0633.2011.00520.x</v>
      </c>
      <c r="BG846" s="2" t="s">
        <v>74</v>
      </c>
      <c r="BH846" s="2" t="s">
        <v>74</v>
      </c>
      <c r="BI846" s="2" t="s">
        <v>74</v>
      </c>
      <c r="BJ846" s="2" t="s">
        <v>74</v>
      </c>
      <c r="BK846" s="2" t="s">
        <v>74</v>
      </c>
      <c r="BL846" s="2" t="s">
        <v>74</v>
      </c>
      <c r="BM846" s="2" t="s">
        <v>74</v>
      </c>
      <c r="BN846" s="2" t="s">
        <v>74</v>
      </c>
      <c r="BO846" s="2" t="s">
        <v>74</v>
      </c>
      <c r="BP846" s="2" t="s">
        <v>74</v>
      </c>
      <c r="BQ846" s="2" t="s">
        <v>74</v>
      </c>
      <c r="BR846" s="2" t="s">
        <v>74</v>
      </c>
      <c r="BS846" s="2" t="s">
        <v>1101</v>
      </c>
      <c r="BT846" s="2" t="str">
        <f>HYPERLINK("https%3A%2F%2Fwww.webofscience.com%2Fwos%2Fwoscc%2Ffull-record%2FWOS:000297634700004","View Full Record in Web of Science")</f>
        <v>View Full Record in Web of Science</v>
      </c>
    </row>
    <row r="847" spans="1:72" s="2" customFormat="1" x14ac:dyDescent="0.4">
      <c r="A847" s="2" t="s">
        <v>72</v>
      </c>
      <c r="B847" s="2" t="s">
        <v>85</v>
      </c>
      <c r="C847" s="2" t="s">
        <v>74</v>
      </c>
      <c r="D847" s="2" t="s">
        <v>74</v>
      </c>
      <c r="E847" s="2" t="s">
        <v>74</v>
      </c>
      <c r="F847" s="2" t="s">
        <v>86</v>
      </c>
      <c r="G847" s="2" t="s">
        <v>74</v>
      </c>
      <c r="H847" s="2" t="s">
        <v>74</v>
      </c>
      <c r="I847" s="2" t="s">
        <v>87</v>
      </c>
      <c r="J847" s="2" t="s">
        <v>88</v>
      </c>
      <c r="K847" s="2" t="s">
        <v>74</v>
      </c>
      <c r="L847" s="2" t="s">
        <v>74</v>
      </c>
      <c r="M847" s="2" t="s">
        <v>74</v>
      </c>
      <c r="N847" s="2" t="s">
        <v>74</v>
      </c>
      <c r="O847" s="2" t="s">
        <v>74</v>
      </c>
      <c r="P847" s="2" t="s">
        <v>74</v>
      </c>
      <c r="Q847" s="2" t="s">
        <v>74</v>
      </c>
      <c r="R847" s="2" t="s">
        <v>74</v>
      </c>
      <c r="S847" s="2" t="s">
        <v>74</v>
      </c>
      <c r="T847" s="2" t="s">
        <v>74</v>
      </c>
      <c r="U847" s="2" t="s">
        <v>74</v>
      </c>
      <c r="V847" s="5" t="s">
        <v>89</v>
      </c>
      <c r="W847" s="2" t="s">
        <v>74</v>
      </c>
      <c r="X847" s="2" t="s">
        <v>74</v>
      </c>
      <c r="Y847" s="2" t="s">
        <v>74</v>
      </c>
      <c r="Z847" s="2" t="s">
        <v>74</v>
      </c>
      <c r="AA847" s="2" t="s">
        <v>74</v>
      </c>
      <c r="AB847" s="2" t="s">
        <v>90</v>
      </c>
      <c r="AC847" s="2" t="s">
        <v>74</v>
      </c>
      <c r="AD847" s="2" t="s">
        <v>74</v>
      </c>
      <c r="AE847" s="2" t="s">
        <v>74</v>
      </c>
      <c r="AF847" s="2" t="s">
        <v>74</v>
      </c>
      <c r="AG847" s="2" t="s">
        <v>74</v>
      </c>
      <c r="AH847" s="2" t="s">
        <v>74</v>
      </c>
      <c r="AI847" s="2" t="s">
        <v>74</v>
      </c>
      <c r="AJ847" s="2" t="s">
        <v>74</v>
      </c>
      <c r="AK847" s="2" t="s">
        <v>74</v>
      </c>
      <c r="AL847" s="2" t="s">
        <v>74</v>
      </c>
      <c r="AM847" s="2" t="s">
        <v>74</v>
      </c>
      <c r="AN847" s="2" t="s">
        <v>74</v>
      </c>
      <c r="AO847" s="2" t="s">
        <v>91</v>
      </c>
      <c r="AP847" s="2" t="s">
        <v>92</v>
      </c>
      <c r="AQ847" s="2" t="s">
        <v>74</v>
      </c>
      <c r="AR847" s="2" t="s">
        <v>74</v>
      </c>
      <c r="AS847" s="2" t="s">
        <v>74</v>
      </c>
      <c r="AT847" s="2" t="s">
        <v>93</v>
      </c>
      <c r="AU847" s="2">
        <v>2008</v>
      </c>
      <c r="AV847" s="2">
        <v>4</v>
      </c>
      <c r="AW847" s="2">
        <v>2</v>
      </c>
      <c r="AX847" s="2" t="s">
        <v>74</v>
      </c>
      <c r="AY847" s="2" t="s">
        <v>74</v>
      </c>
      <c r="AZ847" s="2" t="s">
        <v>74</v>
      </c>
      <c r="BA847" s="2" t="s">
        <v>74</v>
      </c>
      <c r="BB847" s="2">
        <v>156</v>
      </c>
      <c r="BC847" s="2">
        <v>159</v>
      </c>
      <c r="BD847" s="2" t="s">
        <v>74</v>
      </c>
      <c r="BE847" s="2" t="s">
        <v>94</v>
      </c>
      <c r="BF847" s="2" t="str">
        <f>HYPERLINK("http://dx.doi.org/10.1098/rsbl.2007.0581","http://dx.doi.org/10.1098/rsbl.2007.0581")</f>
        <v>http://dx.doi.org/10.1098/rsbl.2007.0581</v>
      </c>
      <c r="BG847" s="2" t="s">
        <v>74</v>
      </c>
      <c r="BH847" s="2" t="s">
        <v>74</v>
      </c>
      <c r="BI847" s="2" t="s">
        <v>74</v>
      </c>
      <c r="BJ847" s="2" t="s">
        <v>74</v>
      </c>
      <c r="BK847" s="2" t="s">
        <v>74</v>
      </c>
      <c r="BL847" s="2" t="s">
        <v>74</v>
      </c>
      <c r="BM847" s="2" t="s">
        <v>74</v>
      </c>
      <c r="BN847" s="2">
        <v>18230585</v>
      </c>
      <c r="BO847" s="2" t="s">
        <v>74</v>
      </c>
      <c r="BP847" s="2" t="s">
        <v>74</v>
      </c>
      <c r="BQ847" s="2" t="s">
        <v>74</v>
      </c>
      <c r="BR847" s="2" t="s">
        <v>74</v>
      </c>
      <c r="BS847" s="2" t="s">
        <v>95</v>
      </c>
      <c r="BT847" s="2" t="str">
        <f>HYPERLINK("https%3A%2F%2Fwww.webofscience.com%2Fwos%2Fwoscc%2Ffull-record%2FWOS:000254353200005","View Full Record in Web of Science")</f>
        <v>View Full Record in Web of Science</v>
      </c>
    </row>
    <row r="848" spans="1:72" s="2" customFormat="1" x14ac:dyDescent="0.4">
      <c r="A848" s="2" t="s">
        <v>72</v>
      </c>
      <c r="B848" s="2" t="s">
        <v>428</v>
      </c>
      <c r="C848" s="2" t="s">
        <v>74</v>
      </c>
      <c r="D848" s="2" t="s">
        <v>74</v>
      </c>
      <c r="E848" s="2" t="s">
        <v>74</v>
      </c>
      <c r="F848" s="2" t="s">
        <v>429</v>
      </c>
      <c r="G848" s="2" t="s">
        <v>74</v>
      </c>
      <c r="H848" s="2" t="s">
        <v>74</v>
      </c>
      <c r="I848" s="2" t="s">
        <v>430</v>
      </c>
      <c r="J848" s="2" t="s">
        <v>431</v>
      </c>
      <c r="K848" s="2" t="s">
        <v>74</v>
      </c>
      <c r="L848" s="2" t="s">
        <v>74</v>
      </c>
      <c r="M848" s="2" t="s">
        <v>74</v>
      </c>
      <c r="N848" s="2" t="s">
        <v>74</v>
      </c>
      <c r="O848" s="2" t="s">
        <v>74</v>
      </c>
      <c r="P848" s="2" t="s">
        <v>74</v>
      </c>
      <c r="Q848" s="2" t="s">
        <v>74</v>
      </c>
      <c r="R848" s="2" t="s">
        <v>74</v>
      </c>
      <c r="S848" s="2" t="s">
        <v>74</v>
      </c>
      <c r="T848" s="2" t="s">
        <v>74</v>
      </c>
      <c r="U848" s="2" t="s">
        <v>74</v>
      </c>
      <c r="V848" s="5" t="s">
        <v>432</v>
      </c>
      <c r="W848" s="2" t="s">
        <v>74</v>
      </c>
      <c r="X848" s="2" t="s">
        <v>74</v>
      </c>
      <c r="Y848" s="2" t="s">
        <v>74</v>
      </c>
      <c r="Z848" s="2" t="s">
        <v>74</v>
      </c>
      <c r="AA848" s="2" t="s">
        <v>433</v>
      </c>
      <c r="AB848" s="2" t="s">
        <v>434</v>
      </c>
      <c r="AC848" s="2" t="s">
        <v>74</v>
      </c>
      <c r="AD848" s="2" t="s">
        <v>74</v>
      </c>
      <c r="AE848" s="2" t="s">
        <v>74</v>
      </c>
      <c r="AF848" s="2" t="s">
        <v>74</v>
      </c>
      <c r="AG848" s="2" t="s">
        <v>74</v>
      </c>
      <c r="AH848" s="2" t="s">
        <v>74</v>
      </c>
      <c r="AI848" s="2" t="s">
        <v>74</v>
      </c>
      <c r="AJ848" s="2" t="s">
        <v>74</v>
      </c>
      <c r="AK848" s="2" t="s">
        <v>74</v>
      </c>
      <c r="AL848" s="2" t="s">
        <v>74</v>
      </c>
      <c r="AM848" s="2" t="s">
        <v>74</v>
      </c>
      <c r="AN848" s="2" t="s">
        <v>74</v>
      </c>
      <c r="AO848" s="2" t="s">
        <v>74</v>
      </c>
      <c r="AP848" s="2" t="s">
        <v>435</v>
      </c>
      <c r="AQ848" s="2" t="s">
        <v>74</v>
      </c>
      <c r="AR848" s="2" t="s">
        <v>74</v>
      </c>
      <c r="AS848" s="2" t="s">
        <v>74</v>
      </c>
      <c r="AT848" s="2" t="s">
        <v>204</v>
      </c>
      <c r="AU848" s="2">
        <v>2011</v>
      </c>
      <c r="AV848" s="2">
        <v>128</v>
      </c>
      <c r="AW848" s="2">
        <v>3</v>
      </c>
      <c r="AX848" s="2" t="s">
        <v>74</v>
      </c>
      <c r="AY848" s="2" t="s">
        <v>74</v>
      </c>
      <c r="AZ848" s="2" t="s">
        <v>74</v>
      </c>
      <c r="BA848" s="2" t="s">
        <v>74</v>
      </c>
      <c r="BB848" s="2">
        <v>497</v>
      </c>
      <c r="BC848" s="2">
        <v>505</v>
      </c>
      <c r="BD848" s="2" t="s">
        <v>74</v>
      </c>
      <c r="BE848" s="2" t="s">
        <v>436</v>
      </c>
      <c r="BF848" s="2" t="str">
        <f>HYPERLINK("http://dx.doi.org/10.1525/auk.2011.11085","http://dx.doi.org/10.1525/auk.2011.11085")</f>
        <v>http://dx.doi.org/10.1525/auk.2011.11085</v>
      </c>
      <c r="BG848" s="2" t="s">
        <v>74</v>
      </c>
      <c r="BH848" s="2" t="s">
        <v>74</v>
      </c>
      <c r="BI848" s="2" t="s">
        <v>74</v>
      </c>
      <c r="BJ848" s="2" t="s">
        <v>74</v>
      </c>
      <c r="BK848" s="2" t="s">
        <v>74</v>
      </c>
      <c r="BL848" s="2" t="s">
        <v>74</v>
      </c>
      <c r="BM848" s="2" t="s">
        <v>74</v>
      </c>
      <c r="BN848" s="2" t="s">
        <v>74</v>
      </c>
      <c r="BO848" s="2" t="s">
        <v>74</v>
      </c>
      <c r="BP848" s="2" t="s">
        <v>74</v>
      </c>
      <c r="BQ848" s="2" t="s">
        <v>74</v>
      </c>
      <c r="BR848" s="2" t="s">
        <v>74</v>
      </c>
      <c r="BS848" s="2" t="s">
        <v>437</v>
      </c>
      <c r="BT848" s="2" t="str">
        <f>HYPERLINK("https%3A%2F%2Fwww.webofscience.com%2Fwos%2Fwoscc%2Ffull-record%2FWOS:000293307300007","View Full Record in Web of Science")</f>
        <v>View Full Record in Web of Science</v>
      </c>
    </row>
    <row r="849" spans="1:72" s="2" customFormat="1" x14ac:dyDescent="0.4">
      <c r="A849" s="2" t="s">
        <v>72</v>
      </c>
      <c r="B849" s="2" t="s">
        <v>7093</v>
      </c>
      <c r="C849" s="2" t="s">
        <v>74</v>
      </c>
      <c r="D849" s="2" t="s">
        <v>74</v>
      </c>
      <c r="E849" s="2" t="s">
        <v>74</v>
      </c>
      <c r="F849" s="2" t="s">
        <v>7093</v>
      </c>
      <c r="G849" s="2" t="s">
        <v>74</v>
      </c>
      <c r="H849" s="2" t="s">
        <v>74</v>
      </c>
      <c r="I849" s="2" t="s">
        <v>7094</v>
      </c>
      <c r="J849" s="2" t="s">
        <v>1526</v>
      </c>
      <c r="K849" s="2" t="s">
        <v>74</v>
      </c>
      <c r="L849" s="2" t="s">
        <v>74</v>
      </c>
      <c r="M849" s="2" t="s">
        <v>74</v>
      </c>
      <c r="N849" s="2" t="s">
        <v>74</v>
      </c>
      <c r="O849" s="2" t="s">
        <v>74</v>
      </c>
      <c r="P849" s="2" t="s">
        <v>74</v>
      </c>
      <c r="Q849" s="2" t="s">
        <v>74</v>
      </c>
      <c r="R849" s="2" t="s">
        <v>74</v>
      </c>
      <c r="S849" s="2" t="s">
        <v>74</v>
      </c>
      <c r="T849" s="2" t="s">
        <v>74</v>
      </c>
      <c r="U849" s="2" t="s">
        <v>74</v>
      </c>
      <c r="V849" s="5" t="s">
        <v>7095</v>
      </c>
      <c r="W849" s="2" t="s">
        <v>74</v>
      </c>
      <c r="X849" s="2" t="s">
        <v>74</v>
      </c>
      <c r="Y849" s="2" t="s">
        <v>74</v>
      </c>
      <c r="Z849" s="2" t="s">
        <v>74</v>
      </c>
      <c r="AA849" s="2" t="s">
        <v>74</v>
      </c>
      <c r="AB849" s="2" t="s">
        <v>74</v>
      </c>
      <c r="AC849" s="2" t="s">
        <v>74</v>
      </c>
      <c r="AD849" s="2" t="s">
        <v>74</v>
      </c>
      <c r="AE849" s="2" t="s">
        <v>74</v>
      </c>
      <c r="AF849" s="2" t="s">
        <v>74</v>
      </c>
      <c r="AG849" s="2" t="s">
        <v>74</v>
      </c>
      <c r="AH849" s="2" t="s">
        <v>74</v>
      </c>
      <c r="AI849" s="2" t="s">
        <v>74</v>
      </c>
      <c r="AJ849" s="2" t="s">
        <v>74</v>
      </c>
      <c r="AK849" s="2" t="s">
        <v>74</v>
      </c>
      <c r="AL849" s="2" t="s">
        <v>74</v>
      </c>
      <c r="AM849" s="2" t="s">
        <v>74</v>
      </c>
      <c r="AN849" s="2" t="s">
        <v>74</v>
      </c>
      <c r="AO849" s="2" t="s">
        <v>74</v>
      </c>
      <c r="AP849" s="2" t="s">
        <v>2131</v>
      </c>
      <c r="AQ849" s="2" t="s">
        <v>74</v>
      </c>
      <c r="AR849" s="2" t="s">
        <v>74</v>
      </c>
      <c r="AS849" s="2" t="s">
        <v>74</v>
      </c>
      <c r="AT849" s="2" t="s">
        <v>74</v>
      </c>
      <c r="AU849" s="2">
        <v>1979</v>
      </c>
      <c r="AV849" s="2">
        <v>81</v>
      </c>
      <c r="AW849" s="2">
        <v>3</v>
      </c>
      <c r="AX849" s="2" t="s">
        <v>74</v>
      </c>
      <c r="AY849" s="2" t="s">
        <v>74</v>
      </c>
      <c r="AZ849" s="2" t="s">
        <v>74</v>
      </c>
      <c r="BA849" s="2" t="s">
        <v>74</v>
      </c>
      <c r="BB849" s="2">
        <v>278</v>
      </c>
      <c r="BC849" s="2">
        <v>285</v>
      </c>
      <c r="BD849" s="2" t="s">
        <v>74</v>
      </c>
      <c r="BE849" s="2" t="s">
        <v>7096</v>
      </c>
      <c r="BF849" s="2" t="str">
        <f>HYPERLINK("http://dx.doi.org/10.2307/1367633","http://dx.doi.org/10.2307/1367633")</f>
        <v>http://dx.doi.org/10.2307/1367633</v>
      </c>
      <c r="BG849" s="2" t="s">
        <v>74</v>
      </c>
      <c r="BH849" s="2" t="s">
        <v>74</v>
      </c>
      <c r="BI849" s="2" t="s">
        <v>74</v>
      </c>
      <c r="BJ849" s="2" t="s">
        <v>74</v>
      </c>
      <c r="BK849" s="2" t="s">
        <v>74</v>
      </c>
      <c r="BL849" s="2" t="s">
        <v>74</v>
      </c>
      <c r="BM849" s="2" t="s">
        <v>74</v>
      </c>
      <c r="BN849" s="2" t="s">
        <v>74</v>
      </c>
      <c r="BO849" s="2" t="s">
        <v>74</v>
      </c>
      <c r="BP849" s="2" t="s">
        <v>74</v>
      </c>
      <c r="BQ849" s="2" t="s">
        <v>74</v>
      </c>
      <c r="BR849" s="2" t="s">
        <v>74</v>
      </c>
      <c r="BS849" s="2" t="s">
        <v>7097</v>
      </c>
      <c r="BT849" s="2" t="str">
        <f>HYPERLINK("https%3A%2F%2Fwww.webofscience.com%2Fwos%2Fwoscc%2Ffull-record%2FWOS:A1979HS58400009","View Full Record in Web of Science")</f>
        <v>View Full Record in Web of Science</v>
      </c>
    </row>
    <row r="850" spans="1:72" s="2" customFormat="1" x14ac:dyDescent="0.4">
      <c r="A850" s="2" t="s">
        <v>72</v>
      </c>
      <c r="B850" s="2" t="s">
        <v>7353</v>
      </c>
      <c r="C850" s="2" t="s">
        <v>74</v>
      </c>
      <c r="D850" s="2" t="s">
        <v>74</v>
      </c>
      <c r="E850" s="2" t="s">
        <v>74</v>
      </c>
      <c r="F850" s="2" t="s">
        <v>7354</v>
      </c>
      <c r="G850" s="2" t="s">
        <v>74</v>
      </c>
      <c r="H850" s="2" t="s">
        <v>74</v>
      </c>
      <c r="I850" s="2" t="s">
        <v>7355</v>
      </c>
      <c r="J850" s="2" t="s">
        <v>140</v>
      </c>
      <c r="K850" s="2" t="s">
        <v>74</v>
      </c>
      <c r="L850" s="2" t="s">
        <v>74</v>
      </c>
      <c r="M850" s="2" t="s">
        <v>74</v>
      </c>
      <c r="N850" s="2" t="s">
        <v>74</v>
      </c>
      <c r="O850" s="2" t="s">
        <v>74</v>
      </c>
      <c r="P850" s="2" t="s">
        <v>74</v>
      </c>
      <c r="Q850" s="2" t="s">
        <v>74</v>
      </c>
      <c r="R850" s="2" t="s">
        <v>74</v>
      </c>
      <c r="S850" s="2" t="s">
        <v>74</v>
      </c>
      <c r="T850" s="2" t="s">
        <v>74</v>
      </c>
      <c r="U850" s="2" t="s">
        <v>74</v>
      </c>
      <c r="V850" s="5" t="s">
        <v>7356</v>
      </c>
      <c r="W850" s="2" t="s">
        <v>74</v>
      </c>
      <c r="X850" s="2" t="s">
        <v>74</v>
      </c>
      <c r="Y850" s="2" t="s">
        <v>74</v>
      </c>
      <c r="Z850" s="2" t="s">
        <v>74</v>
      </c>
      <c r="AA850" s="2" t="s">
        <v>74</v>
      </c>
      <c r="AB850" s="2" t="s">
        <v>74</v>
      </c>
      <c r="AC850" s="2" t="s">
        <v>74</v>
      </c>
      <c r="AD850" s="2" t="s">
        <v>74</v>
      </c>
      <c r="AE850" s="2" t="s">
        <v>74</v>
      </c>
      <c r="AF850" s="2" t="s">
        <v>74</v>
      </c>
      <c r="AG850" s="2" t="s">
        <v>74</v>
      </c>
      <c r="AH850" s="2" t="s">
        <v>74</v>
      </c>
      <c r="AI850" s="2" t="s">
        <v>74</v>
      </c>
      <c r="AJ850" s="2" t="s">
        <v>74</v>
      </c>
      <c r="AK850" s="2" t="s">
        <v>74</v>
      </c>
      <c r="AL850" s="2" t="s">
        <v>74</v>
      </c>
      <c r="AM850" s="2" t="s">
        <v>74</v>
      </c>
      <c r="AN850" s="2" t="s">
        <v>74</v>
      </c>
      <c r="AO850" s="2" t="s">
        <v>143</v>
      </c>
      <c r="AP850" s="2" t="s">
        <v>144</v>
      </c>
      <c r="AQ850" s="2" t="s">
        <v>74</v>
      </c>
      <c r="AR850" s="2" t="s">
        <v>74</v>
      </c>
      <c r="AS850" s="2" t="s">
        <v>74</v>
      </c>
      <c r="AT850" s="2" t="s">
        <v>255</v>
      </c>
      <c r="AU850" s="2">
        <v>2007</v>
      </c>
      <c r="AV850" s="2">
        <v>73</v>
      </c>
      <c r="AW850" s="2" t="s">
        <v>74</v>
      </c>
      <c r="AX850" s="2">
        <v>1</v>
      </c>
      <c r="AY850" s="2" t="s">
        <v>74</v>
      </c>
      <c r="AZ850" s="2" t="s">
        <v>74</v>
      </c>
      <c r="BA850" s="2" t="s">
        <v>74</v>
      </c>
      <c r="BB850" s="2">
        <v>55</v>
      </c>
      <c r="BC850" s="2">
        <v>63</v>
      </c>
      <c r="BD850" s="2" t="s">
        <v>74</v>
      </c>
      <c r="BE850" s="2" t="s">
        <v>7357</v>
      </c>
      <c r="BF850" s="2" t="str">
        <f>HYPERLINK("http://dx.doi.org/10.1016/j.anbehav.2006.06.005","http://dx.doi.org/10.1016/j.anbehav.2006.06.005")</f>
        <v>http://dx.doi.org/10.1016/j.anbehav.2006.06.005</v>
      </c>
      <c r="BG850" s="2" t="s">
        <v>74</v>
      </c>
      <c r="BH850" s="2" t="s">
        <v>74</v>
      </c>
      <c r="BI850" s="2" t="s">
        <v>74</v>
      </c>
      <c r="BJ850" s="2" t="s">
        <v>74</v>
      </c>
      <c r="BK850" s="2" t="s">
        <v>74</v>
      </c>
      <c r="BL850" s="2" t="s">
        <v>74</v>
      </c>
      <c r="BM850" s="2" t="s">
        <v>74</v>
      </c>
      <c r="BN850" s="2" t="s">
        <v>74</v>
      </c>
      <c r="BO850" s="2" t="s">
        <v>74</v>
      </c>
      <c r="BP850" s="2" t="s">
        <v>74</v>
      </c>
      <c r="BQ850" s="2" t="s">
        <v>74</v>
      </c>
      <c r="BR850" s="2" t="s">
        <v>74</v>
      </c>
      <c r="BS850" s="2" t="s">
        <v>7358</v>
      </c>
      <c r="BT850" s="2" t="str">
        <f>HYPERLINK("https%3A%2F%2Fwww.webofscience.com%2Fwos%2Fwoscc%2Ffull-record%2FWOS:000243735000006","View Full Record in Web of Science")</f>
        <v>View Full Record in Web of Science</v>
      </c>
    </row>
    <row r="851" spans="1:72" s="1" customFormat="1" x14ac:dyDescent="0.4">
      <c r="A851" s="2" t="s">
        <v>72</v>
      </c>
      <c r="B851" s="2" t="s">
        <v>7367</v>
      </c>
      <c r="C851" s="2" t="s">
        <v>74</v>
      </c>
      <c r="D851" s="2" t="s">
        <v>74</v>
      </c>
      <c r="E851" s="2" t="s">
        <v>74</v>
      </c>
      <c r="F851" s="2" t="s">
        <v>7368</v>
      </c>
      <c r="G851" s="2" t="s">
        <v>74</v>
      </c>
      <c r="H851" s="2" t="s">
        <v>74</v>
      </c>
      <c r="I851" s="2" t="s">
        <v>7369</v>
      </c>
      <c r="J851" s="2" t="s">
        <v>344</v>
      </c>
      <c r="K851" s="2" t="s">
        <v>74</v>
      </c>
      <c r="L851" s="2" t="s">
        <v>74</v>
      </c>
      <c r="M851" s="2" t="s">
        <v>74</v>
      </c>
      <c r="N851" s="2" t="s">
        <v>74</v>
      </c>
      <c r="O851" s="2" t="s">
        <v>74</v>
      </c>
      <c r="P851" s="2" t="s">
        <v>74</v>
      </c>
      <c r="Q851" s="2" t="s">
        <v>74</v>
      </c>
      <c r="R851" s="2" t="s">
        <v>74</v>
      </c>
      <c r="S851" s="2" t="s">
        <v>74</v>
      </c>
      <c r="T851" s="2" t="s">
        <v>74</v>
      </c>
      <c r="U851" s="2" t="s">
        <v>74</v>
      </c>
      <c r="V851" s="5" t="s">
        <v>7370</v>
      </c>
      <c r="W851" s="2" t="s">
        <v>74</v>
      </c>
      <c r="X851" s="2" t="s">
        <v>74</v>
      </c>
      <c r="Y851" s="2" t="s">
        <v>74</v>
      </c>
      <c r="Z851" s="2" t="s">
        <v>74</v>
      </c>
      <c r="AA851" s="2" t="s">
        <v>74</v>
      </c>
      <c r="AB851" s="2" t="s">
        <v>74</v>
      </c>
      <c r="AC851" s="2" t="s">
        <v>74</v>
      </c>
      <c r="AD851" s="2" t="s">
        <v>74</v>
      </c>
      <c r="AE851" s="2" t="s">
        <v>74</v>
      </c>
      <c r="AF851" s="2" t="s">
        <v>74</v>
      </c>
      <c r="AG851" s="2" t="s">
        <v>74</v>
      </c>
      <c r="AH851" s="2" t="s">
        <v>74</v>
      </c>
      <c r="AI851" s="2" t="s">
        <v>74</v>
      </c>
      <c r="AJ851" s="2" t="s">
        <v>74</v>
      </c>
      <c r="AK851" s="2" t="s">
        <v>74</v>
      </c>
      <c r="AL851" s="2" t="s">
        <v>74</v>
      </c>
      <c r="AM851" s="2" t="s">
        <v>74</v>
      </c>
      <c r="AN851" s="2" t="s">
        <v>74</v>
      </c>
      <c r="AO851" s="2" t="s">
        <v>346</v>
      </c>
      <c r="AP851" s="2" t="s">
        <v>6569</v>
      </c>
      <c r="AQ851" s="2" t="s">
        <v>74</v>
      </c>
      <c r="AR851" s="2" t="s">
        <v>74</v>
      </c>
      <c r="AS851" s="2" t="s">
        <v>74</v>
      </c>
      <c r="AT851" s="2" t="s">
        <v>145</v>
      </c>
      <c r="AU851" s="2">
        <v>2022</v>
      </c>
      <c r="AV851" s="2">
        <v>105</v>
      </c>
      <c r="AW851" s="2">
        <v>8</v>
      </c>
      <c r="AX851" s="2" t="s">
        <v>74</v>
      </c>
      <c r="AY851" s="2" t="s">
        <v>74</v>
      </c>
      <c r="AZ851" s="2" t="s">
        <v>74</v>
      </c>
      <c r="BA851" s="2" t="s">
        <v>74</v>
      </c>
      <c r="BB851" s="2">
        <v>1129</v>
      </c>
      <c r="BC851" s="2">
        <v>1137</v>
      </c>
      <c r="BD851" s="2" t="s">
        <v>74</v>
      </c>
      <c r="BE851" s="2" t="s">
        <v>7371</v>
      </c>
      <c r="BF851" s="2" t="str">
        <f>HYPERLINK("http://dx.doi.org/10.1007/s10641-022-01313-w","http://dx.doi.org/10.1007/s10641-022-01313-w")</f>
        <v>http://dx.doi.org/10.1007/s10641-022-01313-w</v>
      </c>
      <c r="BG851" s="2" t="s">
        <v>74</v>
      </c>
      <c r="BH851" s="2" t="s">
        <v>307</v>
      </c>
      <c r="BI851" s="2" t="s">
        <v>74</v>
      </c>
      <c r="BJ851" s="2" t="s">
        <v>74</v>
      </c>
      <c r="BK851" s="2" t="s">
        <v>74</v>
      </c>
      <c r="BL851" s="2" t="s">
        <v>74</v>
      </c>
      <c r="BM851" s="2" t="s">
        <v>74</v>
      </c>
      <c r="BN851" s="2" t="s">
        <v>74</v>
      </c>
      <c r="BO851" s="2" t="s">
        <v>74</v>
      </c>
      <c r="BP851" s="2" t="s">
        <v>74</v>
      </c>
      <c r="BQ851" s="2" t="s">
        <v>74</v>
      </c>
      <c r="BR851" s="2" t="s">
        <v>74</v>
      </c>
      <c r="BS851" s="2" t="s">
        <v>7372</v>
      </c>
      <c r="BT851" s="2" t="str">
        <f>HYPERLINK("https%3A%2F%2Fwww.webofscience.com%2Fwos%2Fwoscc%2Ffull-record%2FWOS:000836521600001","View Full Record in Web of Science")</f>
        <v>View Full Record in Web of Science</v>
      </c>
    </row>
    <row r="852" spans="1:72" s="1" customFormat="1" x14ac:dyDescent="0.4">
      <c r="A852" s="2" t="s">
        <v>72</v>
      </c>
      <c r="B852" s="2" t="s">
        <v>8674</v>
      </c>
      <c r="C852" s="2" t="s">
        <v>74</v>
      </c>
      <c r="D852" s="2" t="s">
        <v>74</v>
      </c>
      <c r="E852" s="2" t="s">
        <v>74</v>
      </c>
      <c r="F852" s="2" t="s">
        <v>8675</v>
      </c>
      <c r="G852" s="2" t="s">
        <v>74</v>
      </c>
      <c r="H852" s="2" t="s">
        <v>74</v>
      </c>
      <c r="I852" s="2" t="s">
        <v>8676</v>
      </c>
      <c r="J852" s="2" t="s">
        <v>5881</v>
      </c>
      <c r="K852" s="2" t="s">
        <v>74</v>
      </c>
      <c r="L852" s="2" t="s">
        <v>74</v>
      </c>
      <c r="M852" s="2" t="s">
        <v>74</v>
      </c>
      <c r="N852" s="2" t="s">
        <v>74</v>
      </c>
      <c r="O852" s="2" t="s">
        <v>74</v>
      </c>
      <c r="P852" s="2" t="s">
        <v>74</v>
      </c>
      <c r="Q852" s="2" t="s">
        <v>74</v>
      </c>
      <c r="R852" s="2" t="s">
        <v>74</v>
      </c>
      <c r="S852" s="2" t="s">
        <v>74</v>
      </c>
      <c r="T852" s="2" t="s">
        <v>74</v>
      </c>
      <c r="U852" s="2" t="s">
        <v>74</v>
      </c>
      <c r="V852" s="5" t="s">
        <v>8677</v>
      </c>
      <c r="W852" s="2" t="s">
        <v>74</v>
      </c>
      <c r="X852" s="2" t="s">
        <v>74</v>
      </c>
      <c r="Y852" s="2" t="s">
        <v>74</v>
      </c>
      <c r="Z852" s="2" t="s">
        <v>74</v>
      </c>
      <c r="AA852" s="2" t="s">
        <v>8678</v>
      </c>
      <c r="AB852" s="2" t="s">
        <v>8679</v>
      </c>
      <c r="AC852" s="2" t="s">
        <v>74</v>
      </c>
      <c r="AD852" s="2" t="s">
        <v>74</v>
      </c>
      <c r="AE852" s="2" t="s">
        <v>74</v>
      </c>
      <c r="AF852" s="2" t="s">
        <v>74</v>
      </c>
      <c r="AG852" s="2" t="s">
        <v>74</v>
      </c>
      <c r="AH852" s="2" t="s">
        <v>74</v>
      </c>
      <c r="AI852" s="2" t="s">
        <v>74</v>
      </c>
      <c r="AJ852" s="2" t="s">
        <v>74</v>
      </c>
      <c r="AK852" s="2" t="s">
        <v>74</v>
      </c>
      <c r="AL852" s="2" t="s">
        <v>74</v>
      </c>
      <c r="AM852" s="2" t="s">
        <v>74</v>
      </c>
      <c r="AN852" s="2" t="s">
        <v>74</v>
      </c>
      <c r="AO852" s="2" t="s">
        <v>5885</v>
      </c>
      <c r="AP852" s="2" t="s">
        <v>5886</v>
      </c>
      <c r="AQ852" s="2" t="s">
        <v>74</v>
      </c>
      <c r="AR852" s="2" t="s">
        <v>74</v>
      </c>
      <c r="AS852" s="2" t="s">
        <v>74</v>
      </c>
      <c r="AT852" s="2" t="s">
        <v>4817</v>
      </c>
      <c r="AU852" s="2">
        <v>2015</v>
      </c>
      <c r="AV852" s="2">
        <v>82</v>
      </c>
      <c r="AW852" s="2">
        <v>2</v>
      </c>
      <c r="AX852" s="2" t="s">
        <v>74</v>
      </c>
      <c r="AY852" s="2" t="s">
        <v>74</v>
      </c>
      <c r="AZ852" s="2" t="s">
        <v>74</v>
      </c>
      <c r="BA852" s="2" t="s">
        <v>74</v>
      </c>
      <c r="BB852" s="2">
        <v>202</v>
      </c>
      <c r="BC852" s="2">
        <v>211</v>
      </c>
      <c r="BD852" s="2" t="s">
        <v>74</v>
      </c>
      <c r="BE852" s="2" t="s">
        <v>8680</v>
      </c>
      <c r="BF852" s="2" t="str">
        <f>HYPERLINK("http://dx.doi.org/10.1080/11250003.2015.1018852","http://dx.doi.org/10.1080/11250003.2015.1018852")</f>
        <v>http://dx.doi.org/10.1080/11250003.2015.1018852</v>
      </c>
      <c r="BG852" s="2" t="s">
        <v>74</v>
      </c>
      <c r="BH852" s="2" t="s">
        <v>74</v>
      </c>
      <c r="BI852" s="2" t="s">
        <v>74</v>
      </c>
      <c r="BJ852" s="2" t="s">
        <v>74</v>
      </c>
      <c r="BK852" s="2" t="s">
        <v>74</v>
      </c>
      <c r="BL852" s="2" t="s">
        <v>74</v>
      </c>
      <c r="BM852" s="2" t="s">
        <v>74</v>
      </c>
      <c r="BN852" s="2" t="s">
        <v>74</v>
      </c>
      <c r="BO852" s="2" t="s">
        <v>74</v>
      </c>
      <c r="BP852" s="2" t="s">
        <v>74</v>
      </c>
      <c r="BQ852" s="2" t="s">
        <v>74</v>
      </c>
      <c r="BR852" s="2" t="s">
        <v>74</v>
      </c>
      <c r="BS852" s="2" t="s">
        <v>8681</v>
      </c>
      <c r="BT852" s="2" t="str">
        <f>HYPERLINK("https%3A%2F%2Fwww.webofscience.com%2Fwos%2Fwoscc%2Ffull-record%2FWOS:000353501900009","View Full Record in Web of Science")</f>
        <v>View Full Record in Web of Science</v>
      </c>
    </row>
    <row r="853" spans="1:72" s="2" customFormat="1" x14ac:dyDescent="0.4">
      <c r="A853" s="2" t="s">
        <v>72</v>
      </c>
      <c r="B853" s="2" t="s">
        <v>7419</v>
      </c>
      <c r="C853" s="2" t="s">
        <v>74</v>
      </c>
      <c r="D853" s="2" t="s">
        <v>74</v>
      </c>
      <c r="E853" s="2" t="s">
        <v>74</v>
      </c>
      <c r="F853" s="2" t="s">
        <v>7420</v>
      </c>
      <c r="G853" s="2" t="s">
        <v>74</v>
      </c>
      <c r="H853" s="2" t="s">
        <v>74</v>
      </c>
      <c r="I853" s="2" t="s">
        <v>7421</v>
      </c>
      <c r="J853" s="2" t="s">
        <v>7422</v>
      </c>
      <c r="K853" s="2" t="s">
        <v>74</v>
      </c>
      <c r="L853" s="2" t="s">
        <v>74</v>
      </c>
      <c r="M853" s="2" t="s">
        <v>74</v>
      </c>
      <c r="N853" s="2" t="s">
        <v>74</v>
      </c>
      <c r="O853" s="2" t="s">
        <v>74</v>
      </c>
      <c r="P853" s="2" t="s">
        <v>74</v>
      </c>
      <c r="Q853" s="2" t="s">
        <v>74</v>
      </c>
      <c r="R853" s="2" t="s">
        <v>74</v>
      </c>
      <c r="S853" s="2" t="s">
        <v>74</v>
      </c>
      <c r="T853" s="2" t="s">
        <v>74</v>
      </c>
      <c r="U853" s="2" t="s">
        <v>74</v>
      </c>
      <c r="V853" s="5" t="s">
        <v>7423</v>
      </c>
      <c r="W853" s="2" t="s">
        <v>74</v>
      </c>
      <c r="X853" s="2" t="s">
        <v>74</v>
      </c>
      <c r="Y853" s="2" t="s">
        <v>74</v>
      </c>
      <c r="Z853" s="2" t="s">
        <v>74</v>
      </c>
      <c r="AA853" s="2" t="s">
        <v>7424</v>
      </c>
      <c r="AB853" s="2" t="s">
        <v>7425</v>
      </c>
      <c r="AC853" s="2" t="s">
        <v>74</v>
      </c>
      <c r="AD853" s="2" t="s">
        <v>74</v>
      </c>
      <c r="AE853" s="2" t="s">
        <v>74</v>
      </c>
      <c r="AF853" s="2" t="s">
        <v>74</v>
      </c>
      <c r="AG853" s="2" t="s">
        <v>74</v>
      </c>
      <c r="AH853" s="2" t="s">
        <v>74</v>
      </c>
      <c r="AI853" s="2" t="s">
        <v>74</v>
      </c>
      <c r="AJ853" s="2" t="s">
        <v>74</v>
      </c>
      <c r="AK853" s="2" t="s">
        <v>74</v>
      </c>
      <c r="AL853" s="2" t="s">
        <v>74</v>
      </c>
      <c r="AM853" s="2" t="s">
        <v>74</v>
      </c>
      <c r="AN853" s="2" t="s">
        <v>74</v>
      </c>
      <c r="AO853" s="2" t="s">
        <v>7426</v>
      </c>
      <c r="AP853" s="2" t="s">
        <v>7427</v>
      </c>
      <c r="AQ853" s="2" t="s">
        <v>74</v>
      </c>
      <c r="AR853" s="2" t="s">
        <v>74</v>
      </c>
      <c r="AS853" s="2" t="s">
        <v>74</v>
      </c>
      <c r="AT853" s="2" t="s">
        <v>255</v>
      </c>
      <c r="AU853" s="2">
        <v>2020</v>
      </c>
      <c r="AV853" s="2">
        <v>31</v>
      </c>
      <c r="AW853" s="2" t="s">
        <v>7428</v>
      </c>
      <c r="AX853" s="2" t="s">
        <v>74</v>
      </c>
      <c r="AY853" s="2" t="s">
        <v>74</v>
      </c>
      <c r="AZ853" s="2" t="s">
        <v>74</v>
      </c>
      <c r="BA853" s="2" t="s">
        <v>74</v>
      </c>
      <c r="BB853" s="2" t="s">
        <v>74</v>
      </c>
      <c r="BC853" s="2" t="s">
        <v>74</v>
      </c>
      <c r="BD853" s="2" t="s">
        <v>7429</v>
      </c>
      <c r="BE853" s="2" t="s">
        <v>7430</v>
      </c>
      <c r="BF853" s="2" t="str">
        <f>HYPERLINK("http://dx.doi.org/10.2192/URSUS-D-19-00027.1","http://dx.doi.org/10.2192/URSUS-D-19-00027.1")</f>
        <v>http://dx.doi.org/10.2192/URSUS-D-19-00027.1</v>
      </c>
      <c r="BG853" s="2" t="s">
        <v>74</v>
      </c>
      <c r="BH853" s="2" t="s">
        <v>74</v>
      </c>
      <c r="BI853" s="2" t="s">
        <v>74</v>
      </c>
      <c r="BJ853" s="2" t="s">
        <v>74</v>
      </c>
      <c r="BK853" s="2" t="s">
        <v>74</v>
      </c>
      <c r="BL853" s="2" t="s">
        <v>74</v>
      </c>
      <c r="BM853" s="2" t="s">
        <v>74</v>
      </c>
      <c r="BN853" s="2" t="s">
        <v>74</v>
      </c>
      <c r="BO853" s="2" t="s">
        <v>74</v>
      </c>
      <c r="BP853" s="2" t="s">
        <v>74</v>
      </c>
      <c r="BQ853" s="2" t="s">
        <v>74</v>
      </c>
      <c r="BR853" s="2" t="s">
        <v>74</v>
      </c>
      <c r="BS853" s="2" t="s">
        <v>7431</v>
      </c>
      <c r="BT853" s="2" t="str">
        <f>HYPERLINK("https%3A%2F%2Fwww.webofscience.com%2Fwos%2Fwoscc%2Ffull-record%2FWOS:000610555300001","View Full Record in Web of Science")</f>
        <v>View Full Record in Web of Science</v>
      </c>
    </row>
    <row r="854" spans="1:72" s="2" customFormat="1" x14ac:dyDescent="0.4">
      <c r="A854" s="2" t="s">
        <v>72</v>
      </c>
      <c r="B854" s="2" t="s">
        <v>8285</v>
      </c>
      <c r="C854" s="2" t="s">
        <v>74</v>
      </c>
      <c r="D854" s="2" t="s">
        <v>74</v>
      </c>
      <c r="E854" s="2" t="s">
        <v>74</v>
      </c>
      <c r="F854" s="2" t="s">
        <v>8286</v>
      </c>
      <c r="G854" s="2" t="s">
        <v>74</v>
      </c>
      <c r="H854" s="2" t="s">
        <v>74</v>
      </c>
      <c r="I854" s="2" t="s">
        <v>8287</v>
      </c>
      <c r="J854" s="2" t="s">
        <v>129</v>
      </c>
      <c r="K854" s="2" t="s">
        <v>74</v>
      </c>
      <c r="L854" s="2" t="s">
        <v>74</v>
      </c>
      <c r="M854" s="2" t="s">
        <v>74</v>
      </c>
      <c r="N854" s="2" t="s">
        <v>74</v>
      </c>
      <c r="O854" s="2" t="s">
        <v>74</v>
      </c>
      <c r="P854" s="2" t="s">
        <v>74</v>
      </c>
      <c r="Q854" s="2" t="s">
        <v>74</v>
      </c>
      <c r="R854" s="2" t="s">
        <v>74</v>
      </c>
      <c r="S854" s="2" t="s">
        <v>74</v>
      </c>
      <c r="T854" s="2" t="s">
        <v>74</v>
      </c>
      <c r="U854" s="2" t="s">
        <v>74</v>
      </c>
      <c r="V854" s="5" t="s">
        <v>8288</v>
      </c>
      <c r="W854" s="2" t="s">
        <v>74</v>
      </c>
      <c r="X854" s="2" t="s">
        <v>74</v>
      </c>
      <c r="Y854" s="2" t="s">
        <v>74</v>
      </c>
      <c r="Z854" s="2" t="s">
        <v>74</v>
      </c>
      <c r="AA854" s="2" t="s">
        <v>74</v>
      </c>
      <c r="AB854" s="2" t="s">
        <v>8289</v>
      </c>
      <c r="AC854" s="2" t="s">
        <v>74</v>
      </c>
      <c r="AD854" s="2" t="s">
        <v>74</v>
      </c>
      <c r="AE854" s="2" t="s">
        <v>74</v>
      </c>
      <c r="AF854" s="2" t="s">
        <v>74</v>
      </c>
      <c r="AG854" s="2" t="s">
        <v>74</v>
      </c>
      <c r="AH854" s="2" t="s">
        <v>74</v>
      </c>
      <c r="AI854" s="2" t="s">
        <v>74</v>
      </c>
      <c r="AJ854" s="2" t="s">
        <v>74</v>
      </c>
      <c r="AK854" s="2" t="s">
        <v>74</v>
      </c>
      <c r="AL854" s="2" t="s">
        <v>74</v>
      </c>
      <c r="AM854" s="2" t="s">
        <v>74</v>
      </c>
      <c r="AN854" s="2" t="s">
        <v>74</v>
      </c>
      <c r="AO854" s="2" t="s">
        <v>132</v>
      </c>
      <c r="AP854" s="2" t="s">
        <v>133</v>
      </c>
      <c r="AQ854" s="2" t="s">
        <v>74</v>
      </c>
      <c r="AR854" s="2" t="s">
        <v>74</v>
      </c>
      <c r="AS854" s="2" t="s">
        <v>74</v>
      </c>
      <c r="AT854" s="2" t="s">
        <v>134</v>
      </c>
      <c r="AU854" s="2">
        <v>2019</v>
      </c>
      <c r="AV854" s="2">
        <v>73</v>
      </c>
      <c r="AW854" s="2">
        <v>5</v>
      </c>
      <c r="AX854" s="2" t="s">
        <v>74</v>
      </c>
      <c r="AY854" s="2" t="s">
        <v>74</v>
      </c>
      <c r="AZ854" s="2" t="s">
        <v>74</v>
      </c>
      <c r="BA854" s="2" t="s">
        <v>74</v>
      </c>
      <c r="BB854" s="2" t="s">
        <v>74</v>
      </c>
      <c r="BC854" s="2" t="s">
        <v>74</v>
      </c>
      <c r="BD854" s="2">
        <v>61</v>
      </c>
      <c r="BE854" s="2" t="s">
        <v>8290</v>
      </c>
      <c r="BF854" s="2" t="str">
        <f>HYPERLINK("http://dx.doi.org/10.1007/s00265-019-2670-3","http://dx.doi.org/10.1007/s00265-019-2670-3")</f>
        <v>http://dx.doi.org/10.1007/s00265-019-2670-3</v>
      </c>
      <c r="BG854" s="2" t="s">
        <v>74</v>
      </c>
      <c r="BH854" s="2" t="s">
        <v>74</v>
      </c>
      <c r="BI854" s="2" t="s">
        <v>74</v>
      </c>
      <c r="BJ854" s="2" t="s">
        <v>74</v>
      </c>
      <c r="BK854" s="2" t="s">
        <v>74</v>
      </c>
      <c r="BL854" s="2" t="s">
        <v>74</v>
      </c>
      <c r="BM854" s="2" t="s">
        <v>74</v>
      </c>
      <c r="BN854" s="2" t="s">
        <v>74</v>
      </c>
      <c r="BO854" s="2" t="s">
        <v>74</v>
      </c>
      <c r="BP854" s="2" t="s">
        <v>74</v>
      </c>
      <c r="BQ854" s="2" t="s">
        <v>74</v>
      </c>
      <c r="BR854" s="2" t="s">
        <v>74</v>
      </c>
      <c r="BS854" s="2" t="s">
        <v>8291</v>
      </c>
      <c r="BT854" s="2" t="str">
        <f>HYPERLINK("https%3A%2F%2Fwww.webofscience.com%2Fwos%2Fwoscc%2Ffull-record%2FWOS:000465553400001","View Full Record in Web of Science")</f>
        <v>View Full Record in Web of Science</v>
      </c>
    </row>
    <row r="855" spans="1:72" s="2" customFormat="1" x14ac:dyDescent="0.4">
      <c r="A855" s="2" t="s">
        <v>72</v>
      </c>
      <c r="B855" s="2" t="s">
        <v>536</v>
      </c>
      <c r="C855" s="2" t="s">
        <v>74</v>
      </c>
      <c r="D855" s="2" t="s">
        <v>74</v>
      </c>
      <c r="E855" s="2" t="s">
        <v>74</v>
      </c>
      <c r="F855" s="2" t="s">
        <v>537</v>
      </c>
      <c r="G855" s="2" t="s">
        <v>74</v>
      </c>
      <c r="H855" s="2" t="s">
        <v>74</v>
      </c>
      <c r="I855" s="2" t="s">
        <v>538</v>
      </c>
      <c r="J855" s="2" t="s">
        <v>539</v>
      </c>
      <c r="K855" s="2" t="s">
        <v>74</v>
      </c>
      <c r="L855" s="2" t="s">
        <v>74</v>
      </c>
      <c r="M855" s="2" t="s">
        <v>74</v>
      </c>
      <c r="N855" s="2" t="s">
        <v>74</v>
      </c>
      <c r="O855" s="2" t="s">
        <v>74</v>
      </c>
      <c r="P855" s="2" t="s">
        <v>74</v>
      </c>
      <c r="Q855" s="2" t="s">
        <v>74</v>
      </c>
      <c r="R855" s="2" t="s">
        <v>74</v>
      </c>
      <c r="S855" s="2" t="s">
        <v>74</v>
      </c>
      <c r="T855" s="2" t="s">
        <v>74</v>
      </c>
      <c r="U855" s="2" t="s">
        <v>74</v>
      </c>
      <c r="V855" s="5" t="s">
        <v>540</v>
      </c>
      <c r="W855" s="2" t="s">
        <v>74</v>
      </c>
      <c r="X855" s="2" t="s">
        <v>74</v>
      </c>
      <c r="Y855" s="2" t="s">
        <v>74</v>
      </c>
      <c r="Z855" s="2" t="s">
        <v>74</v>
      </c>
      <c r="AA855" s="2" t="s">
        <v>74</v>
      </c>
      <c r="AB855" s="2" t="s">
        <v>74</v>
      </c>
      <c r="AC855" s="2" t="s">
        <v>74</v>
      </c>
      <c r="AD855" s="2" t="s">
        <v>74</v>
      </c>
      <c r="AE855" s="2" t="s">
        <v>74</v>
      </c>
      <c r="AF855" s="2" t="s">
        <v>74</v>
      </c>
      <c r="AG855" s="2" t="s">
        <v>74</v>
      </c>
      <c r="AH855" s="2" t="s">
        <v>74</v>
      </c>
      <c r="AI855" s="2" t="s">
        <v>74</v>
      </c>
      <c r="AJ855" s="2" t="s">
        <v>74</v>
      </c>
      <c r="AK855" s="2" t="s">
        <v>74</v>
      </c>
      <c r="AL855" s="2" t="s">
        <v>74</v>
      </c>
      <c r="AM855" s="2" t="s">
        <v>74</v>
      </c>
      <c r="AN855" s="2" t="s">
        <v>74</v>
      </c>
      <c r="AO855" s="2" t="s">
        <v>541</v>
      </c>
      <c r="AP855" s="2" t="s">
        <v>74</v>
      </c>
      <c r="AQ855" s="2" t="s">
        <v>74</v>
      </c>
      <c r="AR855" s="2" t="s">
        <v>74</v>
      </c>
      <c r="AS855" s="2" t="s">
        <v>74</v>
      </c>
      <c r="AT855" s="2" t="s">
        <v>74</v>
      </c>
      <c r="AU855" s="2">
        <v>2009</v>
      </c>
      <c r="AV855" s="2">
        <v>8</v>
      </c>
      <c r="AW855" s="2">
        <v>2</v>
      </c>
      <c r="AX855" s="2" t="s">
        <v>74</v>
      </c>
      <c r="AY855" s="2" t="s">
        <v>74</v>
      </c>
      <c r="AZ855" s="2" t="s">
        <v>74</v>
      </c>
      <c r="BA855" s="2" t="s">
        <v>74</v>
      </c>
      <c r="BB855" s="2">
        <v>336</v>
      </c>
      <c r="BC855" s="2">
        <v>342</v>
      </c>
      <c r="BD855" s="2" t="s">
        <v>74</v>
      </c>
      <c r="BE855" s="2" t="s">
        <v>74</v>
      </c>
      <c r="BF855" s="2" t="s">
        <v>74</v>
      </c>
      <c r="BG855" s="2" t="s">
        <v>74</v>
      </c>
      <c r="BH855" s="2" t="s">
        <v>74</v>
      </c>
      <c r="BI855" s="2" t="s">
        <v>74</v>
      </c>
      <c r="BJ855" s="2" t="s">
        <v>74</v>
      </c>
      <c r="BK855" s="2" t="s">
        <v>74</v>
      </c>
      <c r="BL855" s="2" t="s">
        <v>74</v>
      </c>
      <c r="BM855" s="2" t="s">
        <v>74</v>
      </c>
      <c r="BN855" s="2" t="s">
        <v>74</v>
      </c>
      <c r="BO855" s="2" t="s">
        <v>74</v>
      </c>
      <c r="BP855" s="2" t="s">
        <v>74</v>
      </c>
      <c r="BQ855" s="2" t="s">
        <v>74</v>
      </c>
      <c r="BR855" s="2" t="s">
        <v>74</v>
      </c>
      <c r="BS855" s="2" t="s">
        <v>542</v>
      </c>
      <c r="BT855" s="2" t="str">
        <f>HYPERLINK("https%3A%2F%2Fwww.webofscience.com%2Fwos%2Fwoscc%2Ffull-record%2FWOS:000264104700027","View Full Record in Web of Science")</f>
        <v>View Full Record in Web of Science</v>
      </c>
    </row>
    <row r="856" spans="1:72" s="2" customFormat="1" x14ac:dyDescent="0.4">
      <c r="A856" s="2" t="s">
        <v>72</v>
      </c>
      <c r="B856" s="2" t="s">
        <v>7162</v>
      </c>
      <c r="C856" s="2" t="s">
        <v>74</v>
      </c>
      <c r="D856" s="2" t="s">
        <v>74</v>
      </c>
      <c r="E856" s="2" t="s">
        <v>74</v>
      </c>
      <c r="F856" s="2" t="s">
        <v>7163</v>
      </c>
      <c r="G856" s="2" t="s">
        <v>74</v>
      </c>
      <c r="H856" s="2" t="s">
        <v>74</v>
      </c>
      <c r="I856" s="2" t="s">
        <v>7164</v>
      </c>
      <c r="J856" s="2" t="s">
        <v>281</v>
      </c>
      <c r="K856" s="2" t="s">
        <v>74</v>
      </c>
      <c r="L856" s="2" t="s">
        <v>74</v>
      </c>
      <c r="M856" s="2" t="s">
        <v>74</v>
      </c>
      <c r="N856" s="2" t="s">
        <v>74</v>
      </c>
      <c r="O856" s="2" t="s">
        <v>74</v>
      </c>
      <c r="P856" s="2" t="s">
        <v>74</v>
      </c>
      <c r="Q856" s="2" t="s">
        <v>74</v>
      </c>
      <c r="R856" s="2" t="s">
        <v>74</v>
      </c>
      <c r="S856" s="2" t="s">
        <v>74</v>
      </c>
      <c r="T856" s="2" t="s">
        <v>74</v>
      </c>
      <c r="U856" s="2" t="s">
        <v>74</v>
      </c>
      <c r="V856" s="5" t="s">
        <v>7165</v>
      </c>
      <c r="W856" s="2" t="s">
        <v>74</v>
      </c>
      <c r="X856" s="2" t="s">
        <v>74</v>
      </c>
      <c r="Y856" s="2" t="s">
        <v>74</v>
      </c>
      <c r="Z856" s="2" t="s">
        <v>74</v>
      </c>
      <c r="AA856" s="2" t="s">
        <v>74</v>
      </c>
      <c r="AB856" s="2" t="s">
        <v>7166</v>
      </c>
      <c r="AC856" s="2" t="s">
        <v>74</v>
      </c>
      <c r="AD856" s="2" t="s">
        <v>74</v>
      </c>
      <c r="AE856" s="2" t="s">
        <v>74</v>
      </c>
      <c r="AF856" s="2" t="s">
        <v>74</v>
      </c>
      <c r="AG856" s="2" t="s">
        <v>74</v>
      </c>
      <c r="AH856" s="2" t="s">
        <v>74</v>
      </c>
      <c r="AI856" s="2" t="s">
        <v>74</v>
      </c>
      <c r="AJ856" s="2" t="s">
        <v>74</v>
      </c>
      <c r="AK856" s="2" t="s">
        <v>74</v>
      </c>
      <c r="AL856" s="2" t="s">
        <v>74</v>
      </c>
      <c r="AM856" s="2" t="s">
        <v>74</v>
      </c>
      <c r="AN856" s="2" t="s">
        <v>74</v>
      </c>
      <c r="AO856" s="2" t="s">
        <v>285</v>
      </c>
      <c r="AP856" s="2" t="s">
        <v>286</v>
      </c>
      <c r="AQ856" s="2" t="s">
        <v>74</v>
      </c>
      <c r="AR856" s="2" t="s">
        <v>74</v>
      </c>
      <c r="AS856" s="2" t="s">
        <v>74</v>
      </c>
      <c r="AT856" s="2" t="s">
        <v>123</v>
      </c>
      <c r="AU856" s="2">
        <v>2013</v>
      </c>
      <c r="AV856" s="2">
        <v>16</v>
      </c>
      <c r="AW856" s="2">
        <v>2</v>
      </c>
      <c r="AX856" s="2" t="s">
        <v>74</v>
      </c>
      <c r="AY856" s="2" t="s">
        <v>74</v>
      </c>
      <c r="AZ856" s="2" t="s">
        <v>74</v>
      </c>
      <c r="BA856" s="2" t="s">
        <v>74</v>
      </c>
      <c r="BB856" s="2">
        <v>197</v>
      </c>
      <c r="BC856" s="2">
        <v>210</v>
      </c>
      <c r="BD856" s="2" t="s">
        <v>74</v>
      </c>
      <c r="BE856" s="2" t="s">
        <v>7167</v>
      </c>
      <c r="BF856" s="2" t="str">
        <f>HYPERLINK("http://dx.doi.org/10.1007/s10071-012-0564-0","http://dx.doi.org/10.1007/s10071-012-0564-0")</f>
        <v>http://dx.doi.org/10.1007/s10071-012-0564-0</v>
      </c>
      <c r="BG856" s="2" t="s">
        <v>74</v>
      </c>
      <c r="BH856" s="2" t="s">
        <v>74</v>
      </c>
      <c r="BI856" s="2" t="s">
        <v>74</v>
      </c>
      <c r="BJ856" s="2" t="s">
        <v>74</v>
      </c>
      <c r="BK856" s="2" t="s">
        <v>74</v>
      </c>
      <c r="BL856" s="2" t="s">
        <v>74</v>
      </c>
      <c r="BM856" s="2" t="s">
        <v>74</v>
      </c>
      <c r="BN856" s="2">
        <v>23065183</v>
      </c>
      <c r="BO856" s="2" t="s">
        <v>74</v>
      </c>
      <c r="BP856" s="2" t="s">
        <v>74</v>
      </c>
      <c r="BQ856" s="2" t="s">
        <v>74</v>
      </c>
      <c r="BR856" s="2" t="s">
        <v>74</v>
      </c>
      <c r="BS856" s="2" t="s">
        <v>7168</v>
      </c>
      <c r="BT856" s="2" t="str">
        <f>HYPERLINK("https%3A%2F%2Fwww.webofscience.com%2Fwos%2Fwoscc%2Ffull-record%2FWOS:000315035100005","View Full Record in Web of Science")</f>
        <v>View Full Record in Web of Science</v>
      </c>
    </row>
    <row r="857" spans="1:72" s="2" customFormat="1" x14ac:dyDescent="0.4">
      <c r="A857" s="2" t="s">
        <v>6684</v>
      </c>
      <c r="B857" s="2" t="s">
        <v>8237</v>
      </c>
      <c r="C857" s="2" t="s">
        <v>74</v>
      </c>
      <c r="D857" s="2" t="s">
        <v>8238</v>
      </c>
      <c r="E857" s="2" t="s">
        <v>74</v>
      </c>
      <c r="F857" s="2" t="s">
        <v>8237</v>
      </c>
      <c r="G857" s="2" t="s">
        <v>74</v>
      </c>
      <c r="H857" s="2" t="s">
        <v>74</v>
      </c>
      <c r="I857" s="2" t="s">
        <v>8239</v>
      </c>
      <c r="J857" s="2" t="s">
        <v>8240</v>
      </c>
      <c r="K857" s="2" t="s">
        <v>8241</v>
      </c>
      <c r="L857" s="2" t="s">
        <v>74</v>
      </c>
      <c r="M857" s="2" t="s">
        <v>74</v>
      </c>
      <c r="N857" s="2" t="s">
        <v>74</v>
      </c>
      <c r="O857" s="2" t="s">
        <v>74</v>
      </c>
      <c r="P857" s="2" t="s">
        <v>74</v>
      </c>
      <c r="Q857" s="2" t="s">
        <v>74</v>
      </c>
      <c r="R857" s="2" t="s">
        <v>74</v>
      </c>
      <c r="S857" s="2" t="s">
        <v>74</v>
      </c>
      <c r="T857" s="2" t="s">
        <v>74</v>
      </c>
      <c r="U857" s="2" t="s">
        <v>74</v>
      </c>
      <c r="V857" s="5" t="s">
        <v>8242</v>
      </c>
      <c r="W857" s="2" t="s">
        <v>74</v>
      </c>
      <c r="X857" s="2" t="s">
        <v>74</v>
      </c>
      <c r="Y857" s="2" t="s">
        <v>74</v>
      </c>
      <c r="Z857" s="2" t="s">
        <v>74</v>
      </c>
      <c r="AA857" s="2" t="s">
        <v>8243</v>
      </c>
      <c r="AB857" s="2" t="s">
        <v>74</v>
      </c>
      <c r="AC857" s="2" t="s">
        <v>74</v>
      </c>
      <c r="AD857" s="2" t="s">
        <v>74</v>
      </c>
      <c r="AE857" s="2" t="s">
        <v>74</v>
      </c>
      <c r="AF857" s="2" t="s">
        <v>74</v>
      </c>
      <c r="AG857" s="2" t="s">
        <v>74</v>
      </c>
      <c r="AH857" s="2" t="s">
        <v>74</v>
      </c>
      <c r="AI857" s="2" t="s">
        <v>74</v>
      </c>
      <c r="AJ857" s="2" t="s">
        <v>74</v>
      </c>
      <c r="AK857" s="2" t="s">
        <v>74</v>
      </c>
      <c r="AL857" s="2" t="s">
        <v>74</v>
      </c>
      <c r="AM857" s="2" t="s">
        <v>74</v>
      </c>
      <c r="AN857" s="2" t="s">
        <v>74</v>
      </c>
      <c r="AO857" s="2" t="s">
        <v>8244</v>
      </c>
      <c r="AP857" s="2" t="s">
        <v>74</v>
      </c>
      <c r="AQ857" s="2" t="s">
        <v>8245</v>
      </c>
      <c r="AR857" s="2" t="s">
        <v>74</v>
      </c>
      <c r="AS857" s="2" t="s">
        <v>74</v>
      </c>
      <c r="AT857" s="2" t="s">
        <v>74</v>
      </c>
      <c r="AU857" s="2">
        <v>1999</v>
      </c>
      <c r="AV857" s="2">
        <v>37</v>
      </c>
      <c r="AW857" s="2" t="s">
        <v>74</v>
      </c>
      <c r="AX857" s="2" t="s">
        <v>74</v>
      </c>
      <c r="AY857" s="2" t="s">
        <v>74</v>
      </c>
      <c r="AZ857" s="2" t="s">
        <v>74</v>
      </c>
      <c r="BA857" s="2" t="s">
        <v>74</v>
      </c>
      <c r="BB857" s="2">
        <v>129</v>
      </c>
      <c r="BC857" s="2">
        <v>152</v>
      </c>
      <c r="BD857" s="2" t="s">
        <v>74</v>
      </c>
      <c r="BE857" s="2" t="s">
        <v>74</v>
      </c>
      <c r="BF857" s="2" t="s">
        <v>74</v>
      </c>
      <c r="BG857" s="2" t="s">
        <v>74</v>
      </c>
      <c r="BH857" s="2" t="s">
        <v>74</v>
      </c>
      <c r="BI857" s="2" t="s">
        <v>74</v>
      </c>
      <c r="BJ857" s="2" t="s">
        <v>74</v>
      </c>
      <c r="BK857" s="2" t="s">
        <v>74</v>
      </c>
      <c r="BL857" s="2" t="s">
        <v>74</v>
      </c>
      <c r="BM857" s="2" t="s">
        <v>74</v>
      </c>
      <c r="BN857" s="2" t="s">
        <v>74</v>
      </c>
      <c r="BO857" s="2" t="s">
        <v>74</v>
      </c>
      <c r="BP857" s="2" t="s">
        <v>74</v>
      </c>
      <c r="BQ857" s="2" t="s">
        <v>74</v>
      </c>
      <c r="BR857" s="2" t="s">
        <v>74</v>
      </c>
      <c r="BS857" s="2" t="s">
        <v>8246</v>
      </c>
      <c r="BT857" s="2" t="str">
        <f>HYPERLINK("https%3A%2F%2Fwww.webofscience.com%2Fwos%2Fwoscc%2Ffull-record%2FWOS:000089737800004","View Full Record in Web of Science")</f>
        <v>View Full Record in Web of Science</v>
      </c>
    </row>
    <row r="858" spans="1:72" s="2" customFormat="1" x14ac:dyDescent="0.4">
      <c r="A858" s="2" t="s">
        <v>72</v>
      </c>
      <c r="B858" s="2" t="s">
        <v>8332</v>
      </c>
      <c r="C858" s="2" t="s">
        <v>74</v>
      </c>
      <c r="D858" s="2" t="s">
        <v>74</v>
      </c>
      <c r="E858" s="2" t="s">
        <v>74</v>
      </c>
      <c r="F858" s="2" t="s">
        <v>8333</v>
      </c>
      <c r="G858" s="2" t="s">
        <v>74</v>
      </c>
      <c r="H858" s="2" t="s">
        <v>74</v>
      </c>
      <c r="I858" s="2" t="s">
        <v>8334</v>
      </c>
      <c r="J858" s="2" t="s">
        <v>129</v>
      </c>
      <c r="K858" s="2" t="s">
        <v>74</v>
      </c>
      <c r="L858" s="2" t="s">
        <v>74</v>
      </c>
      <c r="M858" s="2" t="s">
        <v>74</v>
      </c>
      <c r="N858" s="2" t="s">
        <v>74</v>
      </c>
      <c r="O858" s="2" t="s">
        <v>74</v>
      </c>
      <c r="P858" s="2" t="s">
        <v>74</v>
      </c>
      <c r="Q858" s="2" t="s">
        <v>74</v>
      </c>
      <c r="R858" s="2" t="s">
        <v>74</v>
      </c>
      <c r="S858" s="2" t="s">
        <v>74</v>
      </c>
      <c r="T858" s="2" t="s">
        <v>74</v>
      </c>
      <c r="U858" s="2" t="s">
        <v>74</v>
      </c>
      <c r="V858" s="5" t="s">
        <v>8335</v>
      </c>
      <c r="W858" s="2" t="s">
        <v>74</v>
      </c>
      <c r="X858" s="2" t="s">
        <v>74</v>
      </c>
      <c r="Y858" s="2" t="s">
        <v>74</v>
      </c>
      <c r="Z858" s="2" t="s">
        <v>74</v>
      </c>
      <c r="AA858" s="2" t="s">
        <v>8336</v>
      </c>
      <c r="AB858" s="2" t="s">
        <v>8337</v>
      </c>
      <c r="AC858" s="2" t="s">
        <v>74</v>
      </c>
      <c r="AD858" s="2" t="s">
        <v>74</v>
      </c>
      <c r="AE858" s="2" t="s">
        <v>74</v>
      </c>
      <c r="AF858" s="2" t="s">
        <v>74</v>
      </c>
      <c r="AG858" s="2" t="s">
        <v>74</v>
      </c>
      <c r="AH858" s="2" t="s">
        <v>74</v>
      </c>
      <c r="AI858" s="2" t="s">
        <v>74</v>
      </c>
      <c r="AJ858" s="2" t="s">
        <v>74</v>
      </c>
      <c r="AK858" s="2" t="s">
        <v>74</v>
      </c>
      <c r="AL858" s="2" t="s">
        <v>74</v>
      </c>
      <c r="AM858" s="2" t="s">
        <v>74</v>
      </c>
      <c r="AN858" s="2" t="s">
        <v>74</v>
      </c>
      <c r="AO858" s="2" t="s">
        <v>132</v>
      </c>
      <c r="AP858" s="2" t="s">
        <v>133</v>
      </c>
      <c r="AQ858" s="2" t="s">
        <v>74</v>
      </c>
      <c r="AR858" s="2" t="s">
        <v>74</v>
      </c>
      <c r="AS858" s="2" t="s">
        <v>74</v>
      </c>
      <c r="AT858" s="2" t="s">
        <v>4913</v>
      </c>
      <c r="AU858" s="2">
        <v>2021</v>
      </c>
      <c r="AV858" s="2">
        <v>75</v>
      </c>
      <c r="AW858" s="2">
        <v>3</v>
      </c>
      <c r="AX858" s="2" t="s">
        <v>74</v>
      </c>
      <c r="AY858" s="2" t="s">
        <v>74</v>
      </c>
      <c r="AZ858" s="2" t="s">
        <v>74</v>
      </c>
      <c r="BA858" s="2" t="s">
        <v>74</v>
      </c>
      <c r="BB858" s="2" t="s">
        <v>74</v>
      </c>
      <c r="BC858" s="2" t="s">
        <v>74</v>
      </c>
      <c r="BD858" s="2">
        <v>51</v>
      </c>
      <c r="BE858" s="2" t="s">
        <v>8338</v>
      </c>
      <c r="BF858" s="2" t="str">
        <f>HYPERLINK("http://dx.doi.org/10.1007/s00265-021-02973-x","http://dx.doi.org/10.1007/s00265-021-02973-x")</f>
        <v>http://dx.doi.org/10.1007/s00265-021-02973-x</v>
      </c>
      <c r="BG858" s="2" t="s">
        <v>74</v>
      </c>
      <c r="BH858" s="2" t="s">
        <v>74</v>
      </c>
      <c r="BI858" s="2" t="s">
        <v>74</v>
      </c>
      <c r="BJ858" s="2" t="s">
        <v>74</v>
      </c>
      <c r="BK858" s="2" t="s">
        <v>74</v>
      </c>
      <c r="BL858" s="2" t="s">
        <v>74</v>
      </c>
      <c r="BM858" s="2" t="s">
        <v>74</v>
      </c>
      <c r="BN858" s="2" t="s">
        <v>74</v>
      </c>
      <c r="BO858" s="2" t="s">
        <v>74</v>
      </c>
      <c r="BP858" s="2" t="s">
        <v>74</v>
      </c>
      <c r="BQ858" s="2" t="s">
        <v>74</v>
      </c>
      <c r="BR858" s="2" t="s">
        <v>74</v>
      </c>
      <c r="BS858" s="2" t="s">
        <v>8339</v>
      </c>
      <c r="BT858" s="2" t="str">
        <f>HYPERLINK("https%3A%2F%2Fwww.webofscience.com%2Fwos%2Fwoscc%2Ffull-record%2FWOS:000620172500001","View Full Record in Web of Science")</f>
        <v>View Full Record in Web of Science</v>
      </c>
    </row>
    <row r="859" spans="1:72" s="2" customFormat="1" x14ac:dyDescent="0.4">
      <c r="A859" s="2" t="s">
        <v>72</v>
      </c>
      <c r="B859" s="2" t="s">
        <v>6699</v>
      </c>
      <c r="C859" s="2" t="s">
        <v>74</v>
      </c>
      <c r="D859" s="2" t="s">
        <v>74</v>
      </c>
      <c r="E859" s="2" t="s">
        <v>74</v>
      </c>
      <c r="F859" s="2" t="s">
        <v>6700</v>
      </c>
      <c r="G859" s="2" t="s">
        <v>74</v>
      </c>
      <c r="H859" s="2" t="s">
        <v>74</v>
      </c>
      <c r="I859" s="2" t="s">
        <v>6701</v>
      </c>
      <c r="J859" s="2" t="s">
        <v>824</v>
      </c>
      <c r="K859" s="2" t="s">
        <v>74</v>
      </c>
      <c r="L859" s="2" t="s">
        <v>74</v>
      </c>
      <c r="M859" s="2" t="s">
        <v>74</v>
      </c>
      <c r="N859" s="2" t="s">
        <v>74</v>
      </c>
      <c r="O859" s="2" t="s">
        <v>74</v>
      </c>
      <c r="P859" s="2" t="s">
        <v>74</v>
      </c>
      <c r="Q859" s="2" t="s">
        <v>74</v>
      </c>
      <c r="R859" s="2" t="s">
        <v>74</v>
      </c>
      <c r="S859" s="2" t="s">
        <v>74</v>
      </c>
      <c r="T859" s="2" t="s">
        <v>74</v>
      </c>
      <c r="U859" s="2" t="s">
        <v>74</v>
      </c>
      <c r="V859" s="5" t="s">
        <v>6702</v>
      </c>
      <c r="W859" s="2" t="s">
        <v>74</v>
      </c>
      <c r="X859" s="2" t="s">
        <v>74</v>
      </c>
      <c r="Y859" s="2" t="s">
        <v>74</v>
      </c>
      <c r="Z859" s="2" t="s">
        <v>74</v>
      </c>
      <c r="AA859" s="2" t="s">
        <v>6703</v>
      </c>
      <c r="AB859" s="2" t="s">
        <v>6704</v>
      </c>
      <c r="AC859" s="2" t="s">
        <v>74</v>
      </c>
      <c r="AD859" s="2" t="s">
        <v>74</v>
      </c>
      <c r="AE859" s="2" t="s">
        <v>74</v>
      </c>
      <c r="AF859" s="2" t="s">
        <v>74</v>
      </c>
      <c r="AG859" s="2" t="s">
        <v>74</v>
      </c>
      <c r="AH859" s="2" t="s">
        <v>74</v>
      </c>
      <c r="AI859" s="2" t="s">
        <v>74</v>
      </c>
      <c r="AJ859" s="2" t="s">
        <v>74</v>
      </c>
      <c r="AK859" s="2" t="s">
        <v>74</v>
      </c>
      <c r="AL859" s="2" t="s">
        <v>74</v>
      </c>
      <c r="AM859" s="2" t="s">
        <v>74</v>
      </c>
      <c r="AN859" s="2" t="s">
        <v>74</v>
      </c>
      <c r="AO859" s="2" t="s">
        <v>828</v>
      </c>
      <c r="AP859" s="2" t="s">
        <v>829</v>
      </c>
      <c r="AQ859" s="2" t="s">
        <v>74</v>
      </c>
      <c r="AR859" s="2" t="s">
        <v>74</v>
      </c>
      <c r="AS859" s="2" t="s">
        <v>74</v>
      </c>
      <c r="AT859" s="2" t="s">
        <v>134</v>
      </c>
      <c r="AU859" s="2">
        <v>2016</v>
      </c>
      <c r="AV859" s="2">
        <v>85</v>
      </c>
      <c r="AW859" s="2">
        <v>3</v>
      </c>
      <c r="AX859" s="2" t="s">
        <v>74</v>
      </c>
      <c r="AY859" s="2" t="s">
        <v>74</v>
      </c>
      <c r="AZ859" s="2" t="s">
        <v>74</v>
      </c>
      <c r="BA859" s="2" t="s">
        <v>74</v>
      </c>
      <c r="BB859" s="2">
        <v>798</v>
      </c>
      <c r="BC859" s="2">
        <v>805</v>
      </c>
      <c r="BD859" s="2" t="s">
        <v>74</v>
      </c>
      <c r="BE859" s="2" t="s">
        <v>6705</v>
      </c>
      <c r="BF859" s="2" t="str">
        <f>HYPERLINK("http://dx.doi.org/10.1111/1365-2656.12501","http://dx.doi.org/10.1111/1365-2656.12501")</f>
        <v>http://dx.doi.org/10.1111/1365-2656.12501</v>
      </c>
      <c r="BG859" s="2" t="s">
        <v>74</v>
      </c>
      <c r="BH859" s="2" t="s">
        <v>74</v>
      </c>
      <c r="BI859" s="2" t="s">
        <v>74</v>
      </c>
      <c r="BJ859" s="2" t="s">
        <v>74</v>
      </c>
      <c r="BK859" s="2" t="s">
        <v>74</v>
      </c>
      <c r="BL859" s="2" t="s">
        <v>74</v>
      </c>
      <c r="BM859" s="2" t="s">
        <v>74</v>
      </c>
      <c r="BN859" s="2">
        <v>26876417</v>
      </c>
      <c r="BO859" s="2" t="s">
        <v>74</v>
      </c>
      <c r="BP859" s="2" t="s">
        <v>74</v>
      </c>
      <c r="BQ859" s="2" t="s">
        <v>74</v>
      </c>
      <c r="BR859" s="2" t="s">
        <v>74</v>
      </c>
      <c r="BS859" s="2" t="s">
        <v>6706</v>
      </c>
      <c r="BT859" s="2" t="str">
        <f>HYPERLINK("https%3A%2F%2Fwww.webofscience.com%2Fwos%2Fwoscc%2Ffull-record%2FWOS:000375121400020","View Full Record in Web of Science")</f>
        <v>View Full Record in Web of Science</v>
      </c>
    </row>
    <row r="860" spans="1:72" s="2" customFormat="1" x14ac:dyDescent="0.4">
      <c r="A860" s="2" t="s">
        <v>72</v>
      </c>
      <c r="B860" s="2" t="s">
        <v>2455</v>
      </c>
      <c r="C860" s="2" t="s">
        <v>74</v>
      </c>
      <c r="D860" s="2" t="s">
        <v>74</v>
      </c>
      <c r="E860" s="2" t="s">
        <v>74</v>
      </c>
      <c r="F860" s="2" t="s">
        <v>2456</v>
      </c>
      <c r="G860" s="2" t="s">
        <v>74</v>
      </c>
      <c r="H860" s="2" t="s">
        <v>74</v>
      </c>
      <c r="I860" s="2" t="s">
        <v>2457</v>
      </c>
      <c r="J860" s="2" t="s">
        <v>2207</v>
      </c>
      <c r="K860" s="2" t="s">
        <v>74</v>
      </c>
      <c r="L860" s="2" t="s">
        <v>74</v>
      </c>
      <c r="M860" s="2" t="s">
        <v>74</v>
      </c>
      <c r="N860" s="2" t="s">
        <v>74</v>
      </c>
      <c r="O860" s="2" t="s">
        <v>74</v>
      </c>
      <c r="P860" s="2" t="s">
        <v>74</v>
      </c>
      <c r="Q860" s="2" t="s">
        <v>74</v>
      </c>
      <c r="R860" s="2" t="s">
        <v>74</v>
      </c>
      <c r="S860" s="2" t="s">
        <v>74</v>
      </c>
      <c r="T860" s="2" t="s">
        <v>74</v>
      </c>
      <c r="U860" s="2" t="s">
        <v>74</v>
      </c>
      <c r="V860" s="5" t="s">
        <v>2458</v>
      </c>
      <c r="W860" s="2" t="s">
        <v>74</v>
      </c>
      <c r="X860" s="2" t="s">
        <v>74</v>
      </c>
      <c r="Y860" s="2" t="s">
        <v>74</v>
      </c>
      <c r="Z860" s="2" t="s">
        <v>74</v>
      </c>
      <c r="AA860" s="2" t="s">
        <v>2459</v>
      </c>
      <c r="AB860" s="2" t="s">
        <v>2460</v>
      </c>
      <c r="AC860" s="2" t="s">
        <v>74</v>
      </c>
      <c r="AD860" s="2" t="s">
        <v>74</v>
      </c>
      <c r="AE860" s="2" t="s">
        <v>74</v>
      </c>
      <c r="AF860" s="2" t="s">
        <v>74</v>
      </c>
      <c r="AG860" s="2" t="s">
        <v>74</v>
      </c>
      <c r="AH860" s="2" t="s">
        <v>74</v>
      </c>
      <c r="AI860" s="2" t="s">
        <v>74</v>
      </c>
      <c r="AJ860" s="2" t="s">
        <v>74</v>
      </c>
      <c r="AK860" s="2" t="s">
        <v>74</v>
      </c>
      <c r="AL860" s="2" t="s">
        <v>74</v>
      </c>
      <c r="AM860" s="2" t="s">
        <v>74</v>
      </c>
      <c r="AN860" s="2" t="s">
        <v>74</v>
      </c>
      <c r="AO860" s="2" t="s">
        <v>2211</v>
      </c>
      <c r="AP860" s="2" t="s">
        <v>2461</v>
      </c>
      <c r="AQ860" s="2" t="s">
        <v>74</v>
      </c>
      <c r="AR860" s="2" t="s">
        <v>74</v>
      </c>
      <c r="AS860" s="2" t="s">
        <v>74</v>
      </c>
      <c r="AT860" s="2" t="s">
        <v>255</v>
      </c>
      <c r="AU860" s="2">
        <v>2014</v>
      </c>
      <c r="AV860" s="2">
        <v>45</v>
      </c>
      <c r="AW860" s="2">
        <v>1</v>
      </c>
      <c r="AX860" s="2" t="s">
        <v>74</v>
      </c>
      <c r="AY860" s="2" t="s">
        <v>74</v>
      </c>
      <c r="AZ860" s="2" t="s">
        <v>74</v>
      </c>
      <c r="BA860" s="2" t="s">
        <v>74</v>
      </c>
      <c r="BB860" s="2">
        <v>22</v>
      </c>
      <c r="BC860" s="2">
        <v>28</v>
      </c>
      <c r="BD860" s="2" t="s">
        <v>74</v>
      </c>
      <c r="BE860" s="2" t="s">
        <v>2462</v>
      </c>
      <c r="BF860" s="2" t="str">
        <f>HYPERLINK("http://dx.doi.org/10.1111/j.1600-048X.2013.00286.x","http://dx.doi.org/10.1111/j.1600-048X.2013.00286.x")</f>
        <v>http://dx.doi.org/10.1111/j.1600-048X.2013.00286.x</v>
      </c>
      <c r="BG860" s="2" t="s">
        <v>74</v>
      </c>
      <c r="BH860" s="2" t="s">
        <v>74</v>
      </c>
      <c r="BI860" s="2" t="s">
        <v>74</v>
      </c>
      <c r="BJ860" s="2" t="s">
        <v>74</v>
      </c>
      <c r="BK860" s="2" t="s">
        <v>74</v>
      </c>
      <c r="BL860" s="2" t="s">
        <v>74</v>
      </c>
      <c r="BM860" s="2" t="s">
        <v>74</v>
      </c>
      <c r="BN860" s="2" t="s">
        <v>74</v>
      </c>
      <c r="BO860" s="2" t="s">
        <v>74</v>
      </c>
      <c r="BP860" s="2" t="s">
        <v>74</v>
      </c>
      <c r="BQ860" s="2" t="s">
        <v>74</v>
      </c>
      <c r="BR860" s="2" t="s">
        <v>74</v>
      </c>
      <c r="BS860" s="2" t="s">
        <v>2463</v>
      </c>
      <c r="BT860" s="2" t="str">
        <f>HYPERLINK("https%3A%2F%2Fwww.webofscience.com%2Fwos%2Fwoscc%2Ffull-record%2FWOS:000329866900004","View Full Record in Web of Science")</f>
        <v>View Full Record in Web of Science</v>
      </c>
    </row>
    <row r="861" spans="1:72" s="2" customFormat="1" x14ac:dyDescent="0.4">
      <c r="A861" s="2" t="s">
        <v>72</v>
      </c>
      <c r="B861" s="2" t="s">
        <v>6304</v>
      </c>
      <c r="C861" s="2" t="s">
        <v>74</v>
      </c>
      <c r="D861" s="2" t="s">
        <v>74</v>
      </c>
      <c r="E861" s="2" t="s">
        <v>74</v>
      </c>
      <c r="F861" s="2" t="s">
        <v>6305</v>
      </c>
      <c r="G861" s="2" t="s">
        <v>74</v>
      </c>
      <c r="H861" s="2" t="s">
        <v>74</v>
      </c>
      <c r="I861" s="2" t="s">
        <v>6306</v>
      </c>
      <c r="J861" s="2" t="s">
        <v>654</v>
      </c>
      <c r="K861" s="2" t="s">
        <v>74</v>
      </c>
      <c r="L861" s="2" t="s">
        <v>74</v>
      </c>
      <c r="M861" s="2" t="s">
        <v>74</v>
      </c>
      <c r="N861" s="2" t="s">
        <v>74</v>
      </c>
      <c r="O861" s="2" t="s">
        <v>74</v>
      </c>
      <c r="P861" s="2" t="s">
        <v>74</v>
      </c>
      <c r="Q861" s="2" t="s">
        <v>74</v>
      </c>
      <c r="R861" s="2" t="s">
        <v>74</v>
      </c>
      <c r="S861" s="2" t="s">
        <v>74</v>
      </c>
      <c r="T861" s="2" t="s">
        <v>74</v>
      </c>
      <c r="U861" s="2" t="s">
        <v>74</v>
      </c>
      <c r="V861" s="5" t="s">
        <v>6307</v>
      </c>
      <c r="W861" s="2" t="s">
        <v>74</v>
      </c>
      <c r="X861" s="2" t="s">
        <v>74</v>
      </c>
      <c r="Y861" s="2" t="s">
        <v>74</v>
      </c>
      <c r="Z861" s="2" t="s">
        <v>74</v>
      </c>
      <c r="AA861" s="2" t="s">
        <v>6308</v>
      </c>
      <c r="AB861" s="2" t="s">
        <v>6309</v>
      </c>
      <c r="AC861" s="2" t="s">
        <v>74</v>
      </c>
      <c r="AD861" s="2" t="s">
        <v>74</v>
      </c>
      <c r="AE861" s="2" t="s">
        <v>74</v>
      </c>
      <c r="AF861" s="2" t="s">
        <v>74</v>
      </c>
      <c r="AG861" s="2" t="s">
        <v>74</v>
      </c>
      <c r="AH861" s="2" t="s">
        <v>74</v>
      </c>
      <c r="AI861" s="2" t="s">
        <v>74</v>
      </c>
      <c r="AJ861" s="2" t="s">
        <v>74</v>
      </c>
      <c r="AK861" s="2" t="s">
        <v>74</v>
      </c>
      <c r="AL861" s="2" t="s">
        <v>74</v>
      </c>
      <c r="AM861" s="2" t="s">
        <v>74</v>
      </c>
      <c r="AN861" s="2" t="s">
        <v>74</v>
      </c>
      <c r="AO861" s="2" t="s">
        <v>658</v>
      </c>
      <c r="AP861" s="2" t="s">
        <v>74</v>
      </c>
      <c r="AQ861" s="2" t="s">
        <v>74</v>
      </c>
      <c r="AR861" s="2" t="s">
        <v>74</v>
      </c>
      <c r="AS861" s="2" t="s">
        <v>74</v>
      </c>
      <c r="AT861" s="2" t="s">
        <v>134</v>
      </c>
      <c r="AU861" s="2">
        <v>2021</v>
      </c>
      <c r="AV861" s="2">
        <v>11</v>
      </c>
      <c r="AW861" s="2">
        <v>9</v>
      </c>
      <c r="AX861" s="2" t="s">
        <v>74</v>
      </c>
      <c r="AY861" s="2" t="s">
        <v>74</v>
      </c>
      <c r="AZ861" s="2" t="s">
        <v>74</v>
      </c>
      <c r="BA861" s="2" t="s">
        <v>74</v>
      </c>
      <c r="BB861" s="2">
        <v>4399</v>
      </c>
      <c r="BC861" s="2">
        <v>4412</v>
      </c>
      <c r="BD861" s="2" t="s">
        <v>74</v>
      </c>
      <c r="BE861" s="2" t="s">
        <v>6310</v>
      </c>
      <c r="BF861" s="2" t="str">
        <f>HYPERLINK("http://dx.doi.org/10.1002/ece3.7335","http://dx.doi.org/10.1002/ece3.7335")</f>
        <v>http://dx.doi.org/10.1002/ece3.7335</v>
      </c>
      <c r="BG861" s="2" t="s">
        <v>74</v>
      </c>
      <c r="BH861" s="2" t="s">
        <v>236</v>
      </c>
      <c r="BI861" s="2" t="s">
        <v>74</v>
      </c>
      <c r="BJ861" s="2" t="s">
        <v>74</v>
      </c>
      <c r="BK861" s="2" t="s">
        <v>74</v>
      </c>
      <c r="BL861" s="2" t="s">
        <v>74</v>
      </c>
      <c r="BM861" s="2" t="s">
        <v>74</v>
      </c>
      <c r="BN861" s="2">
        <v>33976818</v>
      </c>
      <c r="BO861" s="2" t="s">
        <v>74</v>
      </c>
      <c r="BP861" s="2" t="s">
        <v>74</v>
      </c>
      <c r="BQ861" s="2" t="s">
        <v>74</v>
      </c>
      <c r="BR861" s="2" t="s">
        <v>74</v>
      </c>
      <c r="BS861" s="2" t="s">
        <v>6311</v>
      </c>
      <c r="BT861" s="2" t="str">
        <f>HYPERLINK("https%3A%2F%2Fwww.webofscience.com%2Fwos%2Fwoscc%2Ffull-record%2FWOS:000629779400001","View Full Record in Web of Science")</f>
        <v>View Full Record in Web of Science</v>
      </c>
    </row>
    <row r="862" spans="1:72" s="2" customFormat="1" x14ac:dyDescent="0.4">
      <c r="A862" s="2" t="s">
        <v>72</v>
      </c>
      <c r="B862" s="2" t="s">
        <v>5581</v>
      </c>
      <c r="C862" s="2" t="s">
        <v>74</v>
      </c>
      <c r="D862" s="2" t="s">
        <v>74</v>
      </c>
      <c r="E862" s="2" t="s">
        <v>74</v>
      </c>
      <c r="F862" s="2" t="s">
        <v>5582</v>
      </c>
      <c r="G862" s="2" t="s">
        <v>74</v>
      </c>
      <c r="H862" s="2" t="s">
        <v>74</v>
      </c>
      <c r="I862" s="2" t="s">
        <v>5583</v>
      </c>
      <c r="J862" s="2" t="s">
        <v>2677</v>
      </c>
      <c r="K862" s="2" t="s">
        <v>74</v>
      </c>
      <c r="L862" s="2" t="s">
        <v>74</v>
      </c>
      <c r="M862" s="2" t="s">
        <v>74</v>
      </c>
      <c r="N862" s="2" t="s">
        <v>74</v>
      </c>
      <c r="O862" s="2" t="s">
        <v>74</v>
      </c>
      <c r="P862" s="2" t="s">
        <v>74</v>
      </c>
      <c r="Q862" s="2" t="s">
        <v>74</v>
      </c>
      <c r="R862" s="2" t="s">
        <v>74</v>
      </c>
      <c r="S862" s="2" t="s">
        <v>74</v>
      </c>
      <c r="T862" s="2" t="s">
        <v>74</v>
      </c>
      <c r="U862" s="2" t="s">
        <v>74</v>
      </c>
      <c r="V862" s="5" t="s">
        <v>5584</v>
      </c>
      <c r="W862" s="2" t="s">
        <v>74</v>
      </c>
      <c r="X862" s="2" t="s">
        <v>74</v>
      </c>
      <c r="Y862" s="2" t="s">
        <v>74</v>
      </c>
      <c r="Z862" s="2" t="s">
        <v>74</v>
      </c>
      <c r="AA862" s="2" t="s">
        <v>74</v>
      </c>
      <c r="AB862" s="2" t="s">
        <v>74</v>
      </c>
      <c r="AC862" s="2" t="s">
        <v>74</v>
      </c>
      <c r="AD862" s="2" t="s">
        <v>74</v>
      </c>
      <c r="AE862" s="2" t="s">
        <v>74</v>
      </c>
      <c r="AF862" s="2" t="s">
        <v>74</v>
      </c>
      <c r="AG862" s="2" t="s">
        <v>74</v>
      </c>
      <c r="AH862" s="2" t="s">
        <v>74</v>
      </c>
      <c r="AI862" s="2" t="s">
        <v>74</v>
      </c>
      <c r="AJ862" s="2" t="s">
        <v>74</v>
      </c>
      <c r="AK862" s="2" t="s">
        <v>74</v>
      </c>
      <c r="AL862" s="2" t="s">
        <v>74</v>
      </c>
      <c r="AM862" s="2" t="s">
        <v>74</v>
      </c>
      <c r="AN862" s="2" t="s">
        <v>74</v>
      </c>
      <c r="AO862" s="2" t="s">
        <v>2681</v>
      </c>
      <c r="AP862" s="2" t="s">
        <v>2682</v>
      </c>
      <c r="AQ862" s="2" t="s">
        <v>74</v>
      </c>
      <c r="AR862" s="2" t="s">
        <v>74</v>
      </c>
      <c r="AS862" s="2" t="s">
        <v>74</v>
      </c>
      <c r="AT862" s="2" t="s">
        <v>74</v>
      </c>
      <c r="AU862" s="2">
        <v>2011</v>
      </c>
      <c r="AV862" s="2">
        <v>4</v>
      </c>
      <c r="AW862" s="2">
        <v>4</v>
      </c>
      <c r="AX862" s="2" t="s">
        <v>74</v>
      </c>
      <c r="AY862" s="2" t="s">
        <v>74</v>
      </c>
      <c r="AZ862" s="2" t="s">
        <v>74</v>
      </c>
      <c r="BA862" s="2" t="s">
        <v>74</v>
      </c>
      <c r="BB862" s="2">
        <v>231</v>
      </c>
      <c r="BC862" s="2">
        <v>236</v>
      </c>
      <c r="BD862" s="2" t="s">
        <v>74</v>
      </c>
      <c r="BE862" s="2" t="s">
        <v>5585</v>
      </c>
      <c r="BF862" s="2" t="str">
        <f>HYPERLINK("http://dx.doi.org/10.3184/175815511X13228268534598","http://dx.doi.org/10.3184/175815511X13228268534598")</f>
        <v>http://dx.doi.org/10.3184/175815511X13228268534598</v>
      </c>
      <c r="BG862" s="2" t="s">
        <v>74</v>
      </c>
      <c r="BH862" s="2" t="s">
        <v>74</v>
      </c>
      <c r="BI862" s="2" t="s">
        <v>74</v>
      </c>
      <c r="BJ862" s="2" t="s">
        <v>74</v>
      </c>
      <c r="BK862" s="2" t="s">
        <v>74</v>
      </c>
      <c r="BL862" s="2" t="s">
        <v>74</v>
      </c>
      <c r="BM862" s="2" t="s">
        <v>74</v>
      </c>
      <c r="BN862" s="2" t="s">
        <v>74</v>
      </c>
      <c r="BO862" s="2" t="s">
        <v>74</v>
      </c>
      <c r="BP862" s="2" t="s">
        <v>74</v>
      </c>
      <c r="BQ862" s="2" t="s">
        <v>74</v>
      </c>
      <c r="BR862" s="2" t="s">
        <v>74</v>
      </c>
      <c r="BS862" s="2" t="s">
        <v>5586</v>
      </c>
      <c r="BT862" s="2" t="str">
        <f>HYPERLINK("https%3A%2F%2Fwww.webofscience.com%2Fwos%2Fwoscc%2Ffull-record%2FWOS:000299488300008","View Full Record in Web of Science")</f>
        <v>View Full Record in Web of Science</v>
      </c>
    </row>
    <row r="863" spans="1:72" s="2" customFormat="1" x14ac:dyDescent="0.4">
      <c r="A863" s="2" t="s">
        <v>72</v>
      </c>
      <c r="B863" s="2" t="s">
        <v>904</v>
      </c>
      <c r="C863" s="2" t="s">
        <v>74</v>
      </c>
      <c r="D863" s="2" t="s">
        <v>74</v>
      </c>
      <c r="E863" s="2" t="s">
        <v>74</v>
      </c>
      <c r="F863" s="2" t="s">
        <v>905</v>
      </c>
      <c r="G863" s="2" t="s">
        <v>74</v>
      </c>
      <c r="H863" s="2" t="s">
        <v>74</v>
      </c>
      <c r="I863" s="2" t="s">
        <v>906</v>
      </c>
      <c r="J863" s="2" t="s">
        <v>119</v>
      </c>
      <c r="K863" s="2" t="s">
        <v>74</v>
      </c>
      <c r="L863" s="2" t="s">
        <v>74</v>
      </c>
      <c r="M863" s="2" t="s">
        <v>74</v>
      </c>
      <c r="N863" s="2" t="s">
        <v>74</v>
      </c>
      <c r="O863" s="2" t="s">
        <v>74</v>
      </c>
      <c r="P863" s="2" t="s">
        <v>74</v>
      </c>
      <c r="Q863" s="2" t="s">
        <v>74</v>
      </c>
      <c r="R863" s="2" t="s">
        <v>74</v>
      </c>
      <c r="S863" s="2" t="s">
        <v>74</v>
      </c>
      <c r="T863" s="2" t="s">
        <v>74</v>
      </c>
      <c r="U863" s="2" t="s">
        <v>74</v>
      </c>
      <c r="V863" s="5" t="s">
        <v>907</v>
      </c>
      <c r="W863" s="2" t="s">
        <v>74</v>
      </c>
      <c r="X863" s="2" t="s">
        <v>74</v>
      </c>
      <c r="Y863" s="2" t="s">
        <v>74</v>
      </c>
      <c r="Z863" s="2" t="s">
        <v>74</v>
      </c>
      <c r="AA863" s="2" t="s">
        <v>908</v>
      </c>
      <c r="AB863" s="2" t="s">
        <v>909</v>
      </c>
      <c r="AC863" s="2" t="s">
        <v>74</v>
      </c>
      <c r="AD863" s="2" t="s">
        <v>74</v>
      </c>
      <c r="AE863" s="2" t="s">
        <v>74</v>
      </c>
      <c r="AF863" s="2" t="s">
        <v>74</v>
      </c>
      <c r="AG863" s="2" t="s">
        <v>74</v>
      </c>
      <c r="AH863" s="2" t="s">
        <v>74</v>
      </c>
      <c r="AI863" s="2" t="s">
        <v>74</v>
      </c>
      <c r="AJ863" s="2" t="s">
        <v>74</v>
      </c>
      <c r="AK863" s="2" t="s">
        <v>74</v>
      </c>
      <c r="AL863" s="2" t="s">
        <v>74</v>
      </c>
      <c r="AM863" s="2" t="s">
        <v>74</v>
      </c>
      <c r="AN863" s="2" t="s">
        <v>74</v>
      </c>
      <c r="AO863" s="2" t="s">
        <v>121</v>
      </c>
      <c r="AP863" s="2" t="s">
        <v>122</v>
      </c>
      <c r="AQ863" s="2" t="s">
        <v>74</v>
      </c>
      <c r="AR863" s="2" t="s">
        <v>74</v>
      </c>
      <c r="AS863" s="2" t="s">
        <v>74</v>
      </c>
      <c r="AT863" s="2" t="s">
        <v>102</v>
      </c>
      <c r="AU863" s="2">
        <v>2014</v>
      </c>
      <c r="AV863" s="2">
        <v>105</v>
      </c>
      <c r="AW863" s="2" t="s">
        <v>74</v>
      </c>
      <c r="AX863" s="2" t="s">
        <v>74</v>
      </c>
      <c r="AY863" s="2" t="s">
        <v>74</v>
      </c>
      <c r="AZ863" s="2" t="s">
        <v>74</v>
      </c>
      <c r="BA863" s="2" t="s">
        <v>74</v>
      </c>
      <c r="BB863" s="2">
        <v>15</v>
      </c>
      <c r="BC863" s="2">
        <v>18</v>
      </c>
      <c r="BD863" s="2" t="s">
        <v>74</v>
      </c>
      <c r="BE863" s="2" t="s">
        <v>910</v>
      </c>
      <c r="BF863" s="2" t="str">
        <f>HYPERLINK("http://dx.doi.org/10.1016/j.beproc.2014.02.003","http://dx.doi.org/10.1016/j.beproc.2014.02.003")</f>
        <v>http://dx.doi.org/10.1016/j.beproc.2014.02.003</v>
      </c>
      <c r="BG863" s="2" t="s">
        <v>74</v>
      </c>
      <c r="BH863" s="2" t="s">
        <v>74</v>
      </c>
      <c r="BI863" s="2" t="s">
        <v>74</v>
      </c>
      <c r="BJ863" s="2" t="s">
        <v>74</v>
      </c>
      <c r="BK863" s="2" t="s">
        <v>74</v>
      </c>
      <c r="BL863" s="2" t="s">
        <v>74</v>
      </c>
      <c r="BM863" s="2" t="s">
        <v>74</v>
      </c>
      <c r="BN863" s="2">
        <v>24525358</v>
      </c>
      <c r="BO863" s="2" t="s">
        <v>74</v>
      </c>
      <c r="BP863" s="2" t="s">
        <v>74</v>
      </c>
      <c r="BQ863" s="2" t="s">
        <v>74</v>
      </c>
      <c r="BR863" s="2" t="s">
        <v>74</v>
      </c>
      <c r="BS863" s="2" t="s">
        <v>911</v>
      </c>
      <c r="BT863" s="2" t="str">
        <f>HYPERLINK("https%3A%2F%2Fwww.webofscience.com%2Fwos%2Fwoscc%2Ffull-record%2FWOS:000336827500003","View Full Record in Web of Science")</f>
        <v>View Full Record in Web of Science</v>
      </c>
    </row>
    <row r="864" spans="1:72" s="2" customFormat="1" x14ac:dyDescent="0.4">
      <c r="A864" s="2" t="s">
        <v>72</v>
      </c>
      <c r="B864" s="2" t="s">
        <v>7054</v>
      </c>
      <c r="C864" s="2" t="s">
        <v>74</v>
      </c>
      <c r="D864" s="2" t="s">
        <v>74</v>
      </c>
      <c r="E864" s="2" t="s">
        <v>74</v>
      </c>
      <c r="F864" s="2" t="s">
        <v>7055</v>
      </c>
      <c r="G864" s="2" t="s">
        <v>74</v>
      </c>
      <c r="H864" s="2" t="s">
        <v>74</v>
      </c>
      <c r="I864" s="2" t="s">
        <v>7056</v>
      </c>
      <c r="J864" s="2" t="s">
        <v>1656</v>
      </c>
      <c r="K864" s="2" t="s">
        <v>74</v>
      </c>
      <c r="L864" s="2" t="s">
        <v>74</v>
      </c>
      <c r="M864" s="2" t="s">
        <v>74</v>
      </c>
      <c r="N864" s="2" t="s">
        <v>74</v>
      </c>
      <c r="O864" s="2" t="s">
        <v>74</v>
      </c>
      <c r="P864" s="2" t="s">
        <v>74</v>
      </c>
      <c r="Q864" s="2" t="s">
        <v>74</v>
      </c>
      <c r="R864" s="2" t="s">
        <v>74</v>
      </c>
      <c r="S864" s="2" t="s">
        <v>74</v>
      </c>
      <c r="T864" s="2" t="s">
        <v>74</v>
      </c>
      <c r="U864" s="2" t="s">
        <v>74</v>
      </c>
      <c r="V864" s="5" t="s">
        <v>7057</v>
      </c>
      <c r="W864" s="2" t="s">
        <v>74</v>
      </c>
      <c r="X864" s="2" t="s">
        <v>74</v>
      </c>
      <c r="Y864" s="2" t="s">
        <v>74</v>
      </c>
      <c r="Z864" s="2" t="s">
        <v>74</v>
      </c>
      <c r="AA864" s="2" t="s">
        <v>74</v>
      </c>
      <c r="AB864" s="2" t="s">
        <v>74</v>
      </c>
      <c r="AC864" s="2" t="s">
        <v>74</v>
      </c>
      <c r="AD864" s="2" t="s">
        <v>74</v>
      </c>
      <c r="AE864" s="2" t="s">
        <v>74</v>
      </c>
      <c r="AF864" s="2" t="s">
        <v>74</v>
      </c>
      <c r="AG864" s="2" t="s">
        <v>74</v>
      </c>
      <c r="AH864" s="2" t="s">
        <v>74</v>
      </c>
      <c r="AI864" s="2" t="s">
        <v>74</v>
      </c>
      <c r="AJ864" s="2" t="s">
        <v>74</v>
      </c>
      <c r="AK864" s="2" t="s">
        <v>74</v>
      </c>
      <c r="AL864" s="2" t="s">
        <v>74</v>
      </c>
      <c r="AM864" s="2" t="s">
        <v>74</v>
      </c>
      <c r="AN864" s="2" t="s">
        <v>74</v>
      </c>
      <c r="AO864" s="2" t="s">
        <v>1658</v>
      </c>
      <c r="AP864" s="2" t="s">
        <v>1659</v>
      </c>
      <c r="AQ864" s="2" t="s">
        <v>74</v>
      </c>
      <c r="AR864" s="2" t="s">
        <v>74</v>
      </c>
      <c r="AS864" s="2" t="s">
        <v>74</v>
      </c>
      <c r="AT864" s="2" t="s">
        <v>7058</v>
      </c>
      <c r="AU864" s="2">
        <v>2019</v>
      </c>
      <c r="AV864" s="2">
        <v>4695</v>
      </c>
      <c r="AW864" s="2">
        <v>6</v>
      </c>
      <c r="AX864" s="2" t="s">
        <v>74</v>
      </c>
      <c r="AY864" s="2" t="s">
        <v>74</v>
      </c>
      <c r="AZ864" s="2" t="s">
        <v>74</v>
      </c>
      <c r="BA864" s="2" t="s">
        <v>74</v>
      </c>
      <c r="BB864" s="2">
        <v>501</v>
      </c>
      <c r="BC864" s="2">
        <v>515</v>
      </c>
      <c r="BD864" s="2" t="s">
        <v>74</v>
      </c>
      <c r="BE864" s="2" t="s">
        <v>7059</v>
      </c>
      <c r="BF864" s="2" t="str">
        <f>HYPERLINK("http://dx.doi.org/10.11646/zootaxa.4695.6.1","http://dx.doi.org/10.11646/zootaxa.4695.6.1")</f>
        <v>http://dx.doi.org/10.11646/zootaxa.4695.6.1</v>
      </c>
      <c r="BG864" s="2" t="s">
        <v>74</v>
      </c>
      <c r="BH864" s="2" t="s">
        <v>74</v>
      </c>
      <c r="BI864" s="2" t="s">
        <v>74</v>
      </c>
      <c r="BJ864" s="2" t="s">
        <v>74</v>
      </c>
      <c r="BK864" s="2" t="s">
        <v>74</v>
      </c>
      <c r="BL864" s="2" t="s">
        <v>74</v>
      </c>
      <c r="BM864" s="2" t="s">
        <v>74</v>
      </c>
      <c r="BN864" s="2">
        <v>31719322</v>
      </c>
      <c r="BO864" s="2" t="s">
        <v>74</v>
      </c>
      <c r="BP864" s="2" t="s">
        <v>74</v>
      </c>
      <c r="BQ864" s="2" t="s">
        <v>74</v>
      </c>
      <c r="BR864" s="2" t="s">
        <v>74</v>
      </c>
      <c r="BS864" s="2" t="s">
        <v>7060</v>
      </c>
      <c r="BT864" s="2" t="str">
        <f>HYPERLINK("https%3A%2F%2Fwww.webofscience.com%2Fwos%2Fwoscc%2Ffull-record%2FWOS:000497817600001","View Full Record in Web of Science")</f>
        <v>View Full Record in Web of Science</v>
      </c>
    </row>
    <row r="865" spans="1:72" s="2" customFormat="1" x14ac:dyDescent="0.4">
      <c r="A865" s="2" t="s">
        <v>72</v>
      </c>
      <c r="B865" s="2" t="s">
        <v>1205</v>
      </c>
      <c r="C865" s="2" t="s">
        <v>74</v>
      </c>
      <c r="D865" s="2" t="s">
        <v>74</v>
      </c>
      <c r="E865" s="2" t="s">
        <v>74</v>
      </c>
      <c r="F865" s="2" t="s">
        <v>1205</v>
      </c>
      <c r="G865" s="2" t="s">
        <v>74</v>
      </c>
      <c r="H865" s="2" t="s">
        <v>74</v>
      </c>
      <c r="I865" s="2" t="s">
        <v>1206</v>
      </c>
      <c r="J865" s="2" t="s">
        <v>88</v>
      </c>
      <c r="K865" s="2" t="s">
        <v>74</v>
      </c>
      <c r="L865" s="2" t="s">
        <v>74</v>
      </c>
      <c r="M865" s="2" t="s">
        <v>74</v>
      </c>
      <c r="N865" s="2" t="s">
        <v>74</v>
      </c>
      <c r="O865" s="2" t="s">
        <v>74</v>
      </c>
      <c r="P865" s="2" t="s">
        <v>74</v>
      </c>
      <c r="Q865" s="2" t="s">
        <v>74</v>
      </c>
      <c r="R865" s="2" t="s">
        <v>74</v>
      </c>
      <c r="S865" s="2" t="s">
        <v>74</v>
      </c>
      <c r="T865" s="2" t="s">
        <v>74</v>
      </c>
      <c r="U865" s="2" t="s">
        <v>74</v>
      </c>
      <c r="V865" s="5" t="s">
        <v>1207</v>
      </c>
      <c r="W865" s="2" t="s">
        <v>74</v>
      </c>
      <c r="X865" s="2" t="s">
        <v>74</v>
      </c>
      <c r="Y865" s="2" t="s">
        <v>74</v>
      </c>
      <c r="Z865" s="2" t="s">
        <v>74</v>
      </c>
      <c r="AA865" s="2" t="s">
        <v>1208</v>
      </c>
      <c r="AB865" s="2" t="s">
        <v>1209</v>
      </c>
      <c r="AC865" s="2" t="s">
        <v>74</v>
      </c>
      <c r="AD865" s="2" t="s">
        <v>74</v>
      </c>
      <c r="AE865" s="2" t="s">
        <v>74</v>
      </c>
      <c r="AF865" s="2" t="s">
        <v>74</v>
      </c>
      <c r="AG865" s="2" t="s">
        <v>74</v>
      </c>
      <c r="AH865" s="2" t="s">
        <v>74</v>
      </c>
      <c r="AI865" s="2" t="s">
        <v>74</v>
      </c>
      <c r="AJ865" s="2" t="s">
        <v>74</v>
      </c>
      <c r="AK865" s="2" t="s">
        <v>74</v>
      </c>
      <c r="AL865" s="2" t="s">
        <v>74</v>
      </c>
      <c r="AM865" s="2" t="s">
        <v>74</v>
      </c>
      <c r="AN865" s="2" t="s">
        <v>74</v>
      </c>
      <c r="AO865" s="2" t="s">
        <v>91</v>
      </c>
      <c r="AP865" s="2" t="s">
        <v>74</v>
      </c>
      <c r="AQ865" s="2" t="s">
        <v>74</v>
      </c>
      <c r="AR865" s="2" t="s">
        <v>74</v>
      </c>
      <c r="AS865" s="2" t="s">
        <v>74</v>
      </c>
      <c r="AT865" s="2" t="s">
        <v>1210</v>
      </c>
      <c r="AU865" s="2">
        <v>2005</v>
      </c>
      <c r="AV865" s="2">
        <v>1</v>
      </c>
      <c r="AW865" s="2">
        <v>4</v>
      </c>
      <c r="AX865" s="2" t="s">
        <v>74</v>
      </c>
      <c r="AY865" s="2" t="s">
        <v>74</v>
      </c>
      <c r="AZ865" s="2" t="s">
        <v>74</v>
      </c>
      <c r="BA865" s="2" t="s">
        <v>74</v>
      </c>
      <c r="BB865" s="2">
        <v>411</v>
      </c>
      <c r="BC865" s="2">
        <v>414</v>
      </c>
      <c r="BD865" s="2" t="s">
        <v>74</v>
      </c>
      <c r="BE865" s="2" t="s">
        <v>1211</v>
      </c>
      <c r="BF865" s="2" t="str">
        <f>HYPERLINK("http://dx.doi.org/10.1098/rsbl.2005.0355","http://dx.doi.org/10.1098/rsbl.2005.0355")</f>
        <v>http://dx.doi.org/10.1098/rsbl.2005.0355</v>
      </c>
      <c r="BG865" s="2" t="s">
        <v>74</v>
      </c>
      <c r="BH865" s="2" t="s">
        <v>74</v>
      </c>
      <c r="BI865" s="2" t="s">
        <v>74</v>
      </c>
      <c r="BJ865" s="2" t="s">
        <v>74</v>
      </c>
      <c r="BK865" s="2" t="s">
        <v>74</v>
      </c>
      <c r="BL865" s="2" t="s">
        <v>74</v>
      </c>
      <c r="BM865" s="2" t="s">
        <v>74</v>
      </c>
      <c r="BN865" s="2">
        <v>17148220</v>
      </c>
      <c r="BO865" s="2" t="s">
        <v>74</v>
      </c>
      <c r="BP865" s="2" t="s">
        <v>74</v>
      </c>
      <c r="BQ865" s="2" t="s">
        <v>74</v>
      </c>
      <c r="BR865" s="2" t="s">
        <v>74</v>
      </c>
      <c r="BS865" s="2" t="s">
        <v>1212</v>
      </c>
      <c r="BT865" s="2" t="str">
        <f>HYPERLINK("https%3A%2F%2Fwww.webofscience.com%2Fwos%2Fwoscc%2Ffull-record%2FWOS:000233911600009","View Full Record in Web of Science")</f>
        <v>View Full Record in Web of Science</v>
      </c>
    </row>
    <row r="866" spans="1:72" s="2" customFormat="1" x14ac:dyDescent="0.4">
      <c r="A866" s="2" t="s">
        <v>72</v>
      </c>
      <c r="B866" s="2" t="s">
        <v>2429</v>
      </c>
      <c r="C866" s="2" t="s">
        <v>74</v>
      </c>
      <c r="D866" s="2" t="s">
        <v>74</v>
      </c>
      <c r="E866" s="2" t="s">
        <v>74</v>
      </c>
      <c r="F866" s="2" t="s">
        <v>2429</v>
      </c>
      <c r="G866" s="2" t="s">
        <v>74</v>
      </c>
      <c r="H866" s="2" t="s">
        <v>74</v>
      </c>
      <c r="I866" s="2" t="s">
        <v>2430</v>
      </c>
      <c r="J866" s="2" t="s">
        <v>1112</v>
      </c>
      <c r="K866" s="2" t="s">
        <v>74</v>
      </c>
      <c r="L866" s="2" t="s">
        <v>74</v>
      </c>
      <c r="M866" s="2" t="s">
        <v>74</v>
      </c>
      <c r="N866" s="2" t="s">
        <v>74</v>
      </c>
      <c r="O866" s="2" t="s">
        <v>74</v>
      </c>
      <c r="P866" s="2" t="s">
        <v>74</v>
      </c>
      <c r="Q866" s="2" t="s">
        <v>74</v>
      </c>
      <c r="R866" s="2" t="s">
        <v>74</v>
      </c>
      <c r="S866" s="2" t="s">
        <v>74</v>
      </c>
      <c r="T866" s="2" t="s">
        <v>74</v>
      </c>
      <c r="U866" s="2" t="s">
        <v>74</v>
      </c>
      <c r="V866" s="5" t="s">
        <v>2431</v>
      </c>
      <c r="W866" s="2" t="s">
        <v>74</v>
      </c>
      <c r="X866" s="2" t="s">
        <v>74</v>
      </c>
      <c r="Y866" s="2" t="s">
        <v>74</v>
      </c>
      <c r="Z866" s="2" t="s">
        <v>74</v>
      </c>
      <c r="AA866" s="2" t="s">
        <v>805</v>
      </c>
      <c r="AB866" s="2" t="s">
        <v>2432</v>
      </c>
      <c r="AC866" s="2" t="s">
        <v>74</v>
      </c>
      <c r="AD866" s="2" t="s">
        <v>74</v>
      </c>
      <c r="AE866" s="2" t="s">
        <v>74</v>
      </c>
      <c r="AF866" s="2" t="s">
        <v>74</v>
      </c>
      <c r="AG866" s="2" t="s">
        <v>74</v>
      </c>
      <c r="AH866" s="2" t="s">
        <v>74</v>
      </c>
      <c r="AI866" s="2" t="s">
        <v>74</v>
      </c>
      <c r="AJ866" s="2" t="s">
        <v>74</v>
      </c>
      <c r="AK866" s="2" t="s">
        <v>74</v>
      </c>
      <c r="AL866" s="2" t="s">
        <v>74</v>
      </c>
      <c r="AM866" s="2" t="s">
        <v>74</v>
      </c>
      <c r="AN866" s="2" t="s">
        <v>74</v>
      </c>
      <c r="AO866" s="2" t="s">
        <v>1114</v>
      </c>
      <c r="AP866" s="2" t="s">
        <v>74</v>
      </c>
      <c r="AQ866" s="2" t="s">
        <v>74</v>
      </c>
      <c r="AR866" s="2" t="s">
        <v>74</v>
      </c>
      <c r="AS866" s="2" t="s">
        <v>74</v>
      </c>
      <c r="AT866" s="2" t="s">
        <v>633</v>
      </c>
      <c r="AU866" s="2">
        <v>1997</v>
      </c>
      <c r="AV866" s="2">
        <v>52</v>
      </c>
      <c r="AW866" s="2" t="s">
        <v>1276</v>
      </c>
      <c r="AX866" s="2" t="s">
        <v>74</v>
      </c>
      <c r="AY866" s="2" t="s">
        <v>74</v>
      </c>
      <c r="AZ866" s="2" t="s">
        <v>74</v>
      </c>
      <c r="BA866" s="2" t="s">
        <v>74</v>
      </c>
      <c r="BB866" s="2">
        <v>215</v>
      </c>
      <c r="BC866" s="2">
        <v>227</v>
      </c>
      <c r="BD866" s="2" t="s">
        <v>74</v>
      </c>
      <c r="BE866" s="2" t="s">
        <v>2433</v>
      </c>
      <c r="BF866" s="2" t="str">
        <f>HYPERLINK("http://dx.doi.org/10.1016/S0168-1591(96)01124-0","http://dx.doi.org/10.1016/S0168-1591(96)01124-0")</f>
        <v>http://dx.doi.org/10.1016/S0168-1591(96)01124-0</v>
      </c>
      <c r="BG866" s="2" t="s">
        <v>74</v>
      </c>
      <c r="BH866" s="2" t="s">
        <v>74</v>
      </c>
      <c r="BI866" s="2" t="s">
        <v>74</v>
      </c>
      <c r="BJ866" s="2" t="s">
        <v>74</v>
      </c>
      <c r="BK866" s="2" t="s">
        <v>74</v>
      </c>
      <c r="BL866" s="2" t="s">
        <v>74</v>
      </c>
      <c r="BM866" s="2" t="s">
        <v>74</v>
      </c>
      <c r="BN866" s="2" t="s">
        <v>74</v>
      </c>
      <c r="BO866" s="2" t="s">
        <v>74</v>
      </c>
      <c r="BP866" s="2" t="s">
        <v>74</v>
      </c>
      <c r="BQ866" s="2" t="s">
        <v>74</v>
      </c>
      <c r="BR866" s="2" t="s">
        <v>74</v>
      </c>
      <c r="BS866" s="2" t="s">
        <v>2434</v>
      </c>
      <c r="BT866" s="2" t="str">
        <f>HYPERLINK("https%3A%2F%2Fwww.webofscience.com%2Fwos%2Fwoscc%2Ffull-record%2FWOS:A1997XA61600004","View Full Record in Web of Science")</f>
        <v>View Full Record in Web of Science</v>
      </c>
    </row>
    <row r="867" spans="1:72" s="2" customFormat="1" x14ac:dyDescent="0.4">
      <c r="A867" s="2" t="s">
        <v>72</v>
      </c>
      <c r="B867" s="2" t="s">
        <v>3733</v>
      </c>
      <c r="C867" s="2" t="s">
        <v>74</v>
      </c>
      <c r="D867" s="2" t="s">
        <v>74</v>
      </c>
      <c r="E867" s="2" t="s">
        <v>74</v>
      </c>
      <c r="F867" s="2" t="s">
        <v>3734</v>
      </c>
      <c r="G867" s="2" t="s">
        <v>74</v>
      </c>
      <c r="H867" s="2" t="s">
        <v>74</v>
      </c>
      <c r="I867" s="2" t="s">
        <v>3735</v>
      </c>
      <c r="J867" s="2" t="s">
        <v>140</v>
      </c>
      <c r="K867" s="2" t="s">
        <v>74</v>
      </c>
      <c r="L867" s="2" t="s">
        <v>74</v>
      </c>
      <c r="M867" s="2" t="s">
        <v>74</v>
      </c>
      <c r="N867" s="2" t="s">
        <v>74</v>
      </c>
      <c r="O867" s="2" t="s">
        <v>74</v>
      </c>
      <c r="P867" s="2" t="s">
        <v>74</v>
      </c>
      <c r="Q867" s="2" t="s">
        <v>74</v>
      </c>
      <c r="R867" s="2" t="s">
        <v>74</v>
      </c>
      <c r="S867" s="2" t="s">
        <v>74</v>
      </c>
      <c r="T867" s="2" t="s">
        <v>74</v>
      </c>
      <c r="U867" s="2" t="s">
        <v>74</v>
      </c>
      <c r="V867" s="5" t="s">
        <v>3736</v>
      </c>
      <c r="W867" s="2" t="s">
        <v>74</v>
      </c>
      <c r="X867" s="2" t="s">
        <v>74</v>
      </c>
      <c r="Y867" s="2" t="s">
        <v>74</v>
      </c>
      <c r="Z867" s="2" t="s">
        <v>74</v>
      </c>
      <c r="AA867" s="2" t="s">
        <v>3737</v>
      </c>
      <c r="AB867" s="2" t="s">
        <v>1976</v>
      </c>
      <c r="AC867" s="2" t="s">
        <v>74</v>
      </c>
      <c r="AD867" s="2" t="s">
        <v>74</v>
      </c>
      <c r="AE867" s="2" t="s">
        <v>74</v>
      </c>
      <c r="AF867" s="2" t="s">
        <v>74</v>
      </c>
      <c r="AG867" s="2" t="s">
        <v>74</v>
      </c>
      <c r="AH867" s="2" t="s">
        <v>74</v>
      </c>
      <c r="AI867" s="2" t="s">
        <v>74</v>
      </c>
      <c r="AJ867" s="2" t="s">
        <v>74</v>
      </c>
      <c r="AK867" s="2" t="s">
        <v>74</v>
      </c>
      <c r="AL867" s="2" t="s">
        <v>74</v>
      </c>
      <c r="AM867" s="2" t="s">
        <v>74</v>
      </c>
      <c r="AN867" s="2" t="s">
        <v>74</v>
      </c>
      <c r="AO867" s="2" t="s">
        <v>143</v>
      </c>
      <c r="AP867" s="2" t="s">
        <v>144</v>
      </c>
      <c r="AQ867" s="2" t="s">
        <v>74</v>
      </c>
      <c r="AR867" s="2" t="s">
        <v>74</v>
      </c>
      <c r="AS867" s="2" t="s">
        <v>74</v>
      </c>
      <c r="AT867" s="2" t="s">
        <v>352</v>
      </c>
      <c r="AU867" s="2">
        <v>2007</v>
      </c>
      <c r="AV867" s="2">
        <v>74</v>
      </c>
      <c r="AW867" s="2" t="s">
        <v>74</v>
      </c>
      <c r="AX867" s="2">
        <v>3</v>
      </c>
      <c r="AY867" s="2" t="s">
        <v>74</v>
      </c>
      <c r="AZ867" s="2" t="s">
        <v>74</v>
      </c>
      <c r="BA867" s="2" t="s">
        <v>74</v>
      </c>
      <c r="BB867" s="2">
        <v>419</v>
      </c>
      <c r="BC867" s="2">
        <v>427</v>
      </c>
      <c r="BD867" s="2" t="s">
        <v>74</v>
      </c>
      <c r="BE867" s="2" t="s">
        <v>3738</v>
      </c>
      <c r="BF867" s="2" t="str">
        <f>HYPERLINK("http://dx.doi.org/10.1016/j.anbehav.2006.10.023","http://dx.doi.org/10.1016/j.anbehav.2006.10.023")</f>
        <v>http://dx.doi.org/10.1016/j.anbehav.2006.10.023</v>
      </c>
      <c r="BG867" s="2" t="s">
        <v>74</v>
      </c>
      <c r="BH867" s="2" t="s">
        <v>74</v>
      </c>
      <c r="BI867" s="2" t="s">
        <v>74</v>
      </c>
      <c r="BJ867" s="2" t="s">
        <v>74</v>
      </c>
      <c r="BK867" s="2" t="s">
        <v>74</v>
      </c>
      <c r="BL867" s="2" t="s">
        <v>74</v>
      </c>
      <c r="BM867" s="2" t="s">
        <v>74</v>
      </c>
      <c r="BN867" s="2" t="s">
        <v>74</v>
      </c>
      <c r="BO867" s="2" t="s">
        <v>74</v>
      </c>
      <c r="BP867" s="2" t="s">
        <v>74</v>
      </c>
      <c r="BQ867" s="2" t="s">
        <v>74</v>
      </c>
      <c r="BR867" s="2" t="s">
        <v>74</v>
      </c>
      <c r="BS867" s="2" t="s">
        <v>3739</v>
      </c>
      <c r="BT867" s="2" t="str">
        <f>HYPERLINK("https%3A%2F%2Fwww.webofscience.com%2Fwos%2Fwoscc%2Ffull-record%2FWOS:000250180700008","View Full Record in Web of Science")</f>
        <v>View Full Record in Web of Science</v>
      </c>
    </row>
    <row r="868" spans="1:72" s="2" customFormat="1" x14ac:dyDescent="0.4">
      <c r="A868" s="2" t="s">
        <v>72</v>
      </c>
      <c r="B868" s="2" t="s">
        <v>4150</v>
      </c>
      <c r="C868" s="2" t="s">
        <v>74</v>
      </c>
      <c r="D868" s="2" t="s">
        <v>74</v>
      </c>
      <c r="E868" s="2" t="s">
        <v>74</v>
      </c>
      <c r="F868" s="2" t="s">
        <v>4151</v>
      </c>
      <c r="G868" s="2" t="s">
        <v>74</v>
      </c>
      <c r="H868" s="2" t="s">
        <v>74</v>
      </c>
      <c r="I868" s="2" t="s">
        <v>4152</v>
      </c>
      <c r="J868" s="2" t="s">
        <v>77</v>
      </c>
      <c r="K868" s="2" t="s">
        <v>74</v>
      </c>
      <c r="L868" s="2" t="s">
        <v>74</v>
      </c>
      <c r="M868" s="2" t="s">
        <v>74</v>
      </c>
      <c r="N868" s="2" t="s">
        <v>74</v>
      </c>
      <c r="O868" s="2" t="s">
        <v>74</v>
      </c>
      <c r="P868" s="2" t="s">
        <v>74</v>
      </c>
      <c r="Q868" s="2" t="s">
        <v>74</v>
      </c>
      <c r="R868" s="2" t="s">
        <v>74</v>
      </c>
      <c r="S868" s="2" t="s">
        <v>74</v>
      </c>
      <c r="T868" s="2" t="s">
        <v>74</v>
      </c>
      <c r="U868" s="2" t="s">
        <v>74</v>
      </c>
      <c r="V868" s="5" t="s">
        <v>4153</v>
      </c>
      <c r="W868" s="2" t="s">
        <v>74</v>
      </c>
      <c r="X868" s="2" t="s">
        <v>74</v>
      </c>
      <c r="Y868" s="2" t="s">
        <v>74</v>
      </c>
      <c r="Z868" s="2" t="s">
        <v>74</v>
      </c>
      <c r="AA868" s="2" t="s">
        <v>4154</v>
      </c>
      <c r="AB868" s="2" t="s">
        <v>4155</v>
      </c>
      <c r="AC868" s="2" t="s">
        <v>74</v>
      </c>
      <c r="AD868" s="2" t="s">
        <v>74</v>
      </c>
      <c r="AE868" s="2" t="s">
        <v>74</v>
      </c>
      <c r="AF868" s="2" t="s">
        <v>74</v>
      </c>
      <c r="AG868" s="2" t="s">
        <v>74</v>
      </c>
      <c r="AH868" s="2" t="s">
        <v>74</v>
      </c>
      <c r="AI868" s="2" t="s">
        <v>74</v>
      </c>
      <c r="AJ868" s="2" t="s">
        <v>74</v>
      </c>
      <c r="AK868" s="2" t="s">
        <v>74</v>
      </c>
      <c r="AL868" s="2" t="s">
        <v>74</v>
      </c>
      <c r="AM868" s="2" t="s">
        <v>74</v>
      </c>
      <c r="AN868" s="2" t="s">
        <v>74</v>
      </c>
      <c r="AO868" s="2" t="s">
        <v>81</v>
      </c>
      <c r="AP868" s="2" t="s">
        <v>82</v>
      </c>
      <c r="AQ868" s="2" t="s">
        <v>74</v>
      </c>
      <c r="AR868" s="2" t="s">
        <v>74</v>
      </c>
      <c r="AS868" s="2" t="s">
        <v>74</v>
      </c>
      <c r="AT868" s="2" t="s">
        <v>74</v>
      </c>
      <c r="AU868" s="2">
        <v>2010</v>
      </c>
      <c r="AV868" s="2">
        <v>147</v>
      </c>
      <c r="AW868" s="2">
        <v>4</v>
      </c>
      <c r="AX868" s="2" t="s">
        <v>74</v>
      </c>
      <c r="AY868" s="2" t="s">
        <v>74</v>
      </c>
      <c r="AZ868" s="2" t="s">
        <v>74</v>
      </c>
      <c r="BA868" s="2" t="s">
        <v>74</v>
      </c>
      <c r="BB868" s="2">
        <v>465</v>
      </c>
      <c r="BC868" s="2">
        <v>478</v>
      </c>
      <c r="BD868" s="2" t="s">
        <v>74</v>
      </c>
      <c r="BE868" s="2" t="s">
        <v>4156</v>
      </c>
      <c r="BF868" s="2" t="str">
        <f>HYPERLINK("http://dx.doi.org/10.1163/000579509X12584427339575","http://dx.doi.org/10.1163/000579509X12584427339575")</f>
        <v>http://dx.doi.org/10.1163/000579509X12584427339575</v>
      </c>
      <c r="BG868" s="2" t="s">
        <v>74</v>
      </c>
      <c r="BH868" s="2" t="s">
        <v>74</v>
      </c>
      <c r="BI868" s="2" t="s">
        <v>74</v>
      </c>
      <c r="BJ868" s="2" t="s">
        <v>74</v>
      </c>
      <c r="BK868" s="2" t="s">
        <v>74</v>
      </c>
      <c r="BL868" s="2" t="s">
        <v>74</v>
      </c>
      <c r="BM868" s="2" t="s">
        <v>74</v>
      </c>
      <c r="BN868" s="2" t="s">
        <v>74</v>
      </c>
      <c r="BO868" s="2" t="s">
        <v>74</v>
      </c>
      <c r="BP868" s="2" t="s">
        <v>74</v>
      </c>
      <c r="BQ868" s="2" t="s">
        <v>74</v>
      </c>
      <c r="BR868" s="2" t="s">
        <v>74</v>
      </c>
      <c r="BS868" s="2" t="s">
        <v>4157</v>
      </c>
      <c r="BT868" s="2" t="str">
        <f>HYPERLINK("https%3A%2F%2Fwww.webofscience.com%2Fwos%2Fwoscc%2Ffull-record%2FWOS:000277127600003","View Full Record in Web of Science")</f>
        <v>View Full Record in Web of Science</v>
      </c>
    </row>
    <row r="869" spans="1:72" s="2" customFormat="1" x14ac:dyDescent="0.4">
      <c r="A869" s="2" t="s">
        <v>72</v>
      </c>
      <c r="B869" s="2" t="s">
        <v>5934</v>
      </c>
      <c r="C869" s="2" t="s">
        <v>74</v>
      </c>
      <c r="D869" s="2" t="s">
        <v>74</v>
      </c>
      <c r="E869" s="2" t="s">
        <v>74</v>
      </c>
      <c r="F869" s="2" t="s">
        <v>5935</v>
      </c>
      <c r="G869" s="2" t="s">
        <v>74</v>
      </c>
      <c r="H869" s="2" t="s">
        <v>74</v>
      </c>
      <c r="I869" s="2" t="s">
        <v>5936</v>
      </c>
      <c r="J869" s="2" t="s">
        <v>5937</v>
      </c>
      <c r="K869" s="2" t="s">
        <v>74</v>
      </c>
      <c r="L869" s="2" t="s">
        <v>74</v>
      </c>
      <c r="M869" s="2" t="s">
        <v>74</v>
      </c>
      <c r="N869" s="2" t="s">
        <v>74</v>
      </c>
      <c r="O869" s="2" t="s">
        <v>74</v>
      </c>
      <c r="P869" s="2" t="s">
        <v>74</v>
      </c>
      <c r="Q869" s="2" t="s">
        <v>74</v>
      </c>
      <c r="R869" s="2" t="s">
        <v>74</v>
      </c>
      <c r="S869" s="2" t="s">
        <v>74</v>
      </c>
      <c r="T869" s="2" t="s">
        <v>74</v>
      </c>
      <c r="U869" s="2" t="s">
        <v>74</v>
      </c>
      <c r="V869" s="5" t="s">
        <v>5938</v>
      </c>
      <c r="W869" s="2" t="s">
        <v>74</v>
      </c>
      <c r="X869" s="2" t="s">
        <v>74</v>
      </c>
      <c r="Y869" s="2" t="s">
        <v>74</v>
      </c>
      <c r="Z869" s="2" t="s">
        <v>74</v>
      </c>
      <c r="AA869" s="2" t="s">
        <v>5939</v>
      </c>
      <c r="AB869" s="2" t="s">
        <v>5940</v>
      </c>
      <c r="AC869" s="2" t="s">
        <v>74</v>
      </c>
      <c r="AD869" s="2" t="s">
        <v>74</v>
      </c>
      <c r="AE869" s="2" t="s">
        <v>74</v>
      </c>
      <c r="AF869" s="2" t="s">
        <v>74</v>
      </c>
      <c r="AG869" s="2" t="s">
        <v>74</v>
      </c>
      <c r="AH869" s="2" t="s">
        <v>74</v>
      </c>
      <c r="AI869" s="2" t="s">
        <v>74</v>
      </c>
      <c r="AJ869" s="2" t="s">
        <v>74</v>
      </c>
      <c r="AK869" s="2" t="s">
        <v>74</v>
      </c>
      <c r="AL869" s="2" t="s">
        <v>74</v>
      </c>
      <c r="AM869" s="2" t="s">
        <v>74</v>
      </c>
      <c r="AN869" s="2" t="s">
        <v>74</v>
      </c>
      <c r="AO869" s="2" t="s">
        <v>5941</v>
      </c>
      <c r="AP869" s="2" t="s">
        <v>74</v>
      </c>
      <c r="AQ869" s="2" t="s">
        <v>74</v>
      </c>
      <c r="AR869" s="2" t="s">
        <v>74</v>
      </c>
      <c r="AS869" s="2" t="s">
        <v>74</v>
      </c>
      <c r="AT869" s="2" t="s">
        <v>213</v>
      </c>
      <c r="AU869" s="2">
        <v>2021</v>
      </c>
      <c r="AV869" s="2">
        <v>11</v>
      </c>
      <c r="AW869" s="2">
        <v>11</v>
      </c>
      <c r="AX869" s="2" t="s">
        <v>74</v>
      </c>
      <c r="AY869" s="2" t="s">
        <v>74</v>
      </c>
      <c r="AZ869" s="2" t="s">
        <v>74</v>
      </c>
      <c r="BA869" s="2" t="s">
        <v>74</v>
      </c>
      <c r="BB869" s="2" t="s">
        <v>74</v>
      </c>
      <c r="BC869" s="2" t="s">
        <v>74</v>
      </c>
      <c r="BD869" s="2">
        <v>3022</v>
      </c>
      <c r="BE869" s="2" t="s">
        <v>5942</v>
      </c>
      <c r="BF869" s="2" t="str">
        <f>HYPERLINK("http://dx.doi.org/10.3390/ani11113022","http://dx.doi.org/10.3390/ani11113022")</f>
        <v>http://dx.doi.org/10.3390/ani11113022</v>
      </c>
      <c r="BG869" s="2" t="s">
        <v>74</v>
      </c>
      <c r="BH869" s="2" t="s">
        <v>74</v>
      </c>
      <c r="BI869" s="2" t="s">
        <v>74</v>
      </c>
      <c r="BJ869" s="2" t="s">
        <v>74</v>
      </c>
      <c r="BK869" s="2" t="s">
        <v>74</v>
      </c>
      <c r="BL869" s="2" t="s">
        <v>74</v>
      </c>
      <c r="BM869" s="2" t="s">
        <v>74</v>
      </c>
      <c r="BN869" s="2">
        <v>34827756</v>
      </c>
      <c r="BO869" s="2" t="s">
        <v>74</v>
      </c>
      <c r="BP869" s="2" t="s">
        <v>74</v>
      </c>
      <c r="BQ869" s="2" t="s">
        <v>74</v>
      </c>
      <c r="BR869" s="2" t="s">
        <v>74</v>
      </c>
      <c r="BS869" s="2" t="s">
        <v>5943</v>
      </c>
      <c r="BT869" s="2" t="str">
        <f>HYPERLINK("https%3A%2F%2Fwww.webofscience.com%2Fwos%2Fwoscc%2Ffull-record%2FWOS:000758187200001","View Full Record in Web of Science")</f>
        <v>View Full Record in Web of Science</v>
      </c>
    </row>
    <row r="870" spans="1:72" s="2" customFormat="1" x14ac:dyDescent="0.4">
      <c r="A870" s="2" t="s">
        <v>72</v>
      </c>
      <c r="B870" s="2" t="s">
        <v>4232</v>
      </c>
      <c r="C870" s="2" t="s">
        <v>74</v>
      </c>
      <c r="D870" s="2" t="s">
        <v>74</v>
      </c>
      <c r="E870" s="2" t="s">
        <v>74</v>
      </c>
      <c r="F870" s="2" t="s">
        <v>4233</v>
      </c>
      <c r="G870" s="2" t="s">
        <v>74</v>
      </c>
      <c r="H870" s="2" t="s">
        <v>74</v>
      </c>
      <c r="I870" s="2" t="s">
        <v>4234</v>
      </c>
      <c r="J870" s="2" t="s">
        <v>4235</v>
      </c>
      <c r="K870" s="2" t="s">
        <v>74</v>
      </c>
      <c r="L870" s="2" t="s">
        <v>74</v>
      </c>
      <c r="M870" s="2" t="s">
        <v>74</v>
      </c>
      <c r="N870" s="2" t="s">
        <v>74</v>
      </c>
      <c r="O870" s="2" t="s">
        <v>74</v>
      </c>
      <c r="P870" s="2" t="s">
        <v>74</v>
      </c>
      <c r="Q870" s="2" t="s">
        <v>74</v>
      </c>
      <c r="R870" s="2" t="s">
        <v>74</v>
      </c>
      <c r="S870" s="2" t="s">
        <v>74</v>
      </c>
      <c r="T870" s="2" t="s">
        <v>74</v>
      </c>
      <c r="U870" s="2" t="s">
        <v>74</v>
      </c>
      <c r="V870" s="5" t="s">
        <v>4236</v>
      </c>
      <c r="W870" s="2" t="s">
        <v>74</v>
      </c>
      <c r="X870" s="2" t="s">
        <v>74</v>
      </c>
      <c r="Y870" s="2" t="s">
        <v>74</v>
      </c>
      <c r="Z870" s="2" t="s">
        <v>74</v>
      </c>
      <c r="AA870" s="2" t="s">
        <v>4237</v>
      </c>
      <c r="AB870" s="2" t="s">
        <v>4238</v>
      </c>
      <c r="AC870" s="2" t="s">
        <v>74</v>
      </c>
      <c r="AD870" s="2" t="s">
        <v>74</v>
      </c>
      <c r="AE870" s="2" t="s">
        <v>74</v>
      </c>
      <c r="AF870" s="2" t="s">
        <v>74</v>
      </c>
      <c r="AG870" s="2" t="s">
        <v>74</v>
      </c>
      <c r="AH870" s="2" t="s">
        <v>74</v>
      </c>
      <c r="AI870" s="2" t="s">
        <v>74</v>
      </c>
      <c r="AJ870" s="2" t="s">
        <v>74</v>
      </c>
      <c r="AK870" s="2" t="s">
        <v>74</v>
      </c>
      <c r="AL870" s="2" t="s">
        <v>74</v>
      </c>
      <c r="AM870" s="2" t="s">
        <v>74</v>
      </c>
      <c r="AN870" s="2" t="s">
        <v>74</v>
      </c>
      <c r="AO870" s="2" t="s">
        <v>4239</v>
      </c>
      <c r="AP870" s="2" t="s">
        <v>4240</v>
      </c>
      <c r="AQ870" s="2" t="s">
        <v>74</v>
      </c>
      <c r="AR870" s="2" t="s">
        <v>74</v>
      </c>
      <c r="AS870" s="2" t="s">
        <v>74</v>
      </c>
      <c r="AT870" s="2" t="s">
        <v>175</v>
      </c>
      <c r="AU870" s="2">
        <v>2014</v>
      </c>
      <c r="AV870" s="2">
        <v>79</v>
      </c>
      <c r="AW870" s="2" t="s">
        <v>74</v>
      </c>
      <c r="AX870" s="2" t="s">
        <v>74</v>
      </c>
      <c r="AY870" s="2" t="s">
        <v>74</v>
      </c>
      <c r="AZ870" s="2" t="s">
        <v>74</v>
      </c>
      <c r="BA870" s="2" t="s">
        <v>74</v>
      </c>
      <c r="BB870" s="2">
        <v>404</v>
      </c>
      <c r="BC870" s="2">
        <v>414</v>
      </c>
      <c r="BD870" s="2" t="s">
        <v>74</v>
      </c>
      <c r="BE870" s="2" t="s">
        <v>4241</v>
      </c>
      <c r="BF870" s="2" t="str">
        <f>HYPERLINK("http://dx.doi.org/10.1016/j.ympev.2014.07.007","http://dx.doi.org/10.1016/j.ympev.2014.07.007")</f>
        <v>http://dx.doi.org/10.1016/j.ympev.2014.07.007</v>
      </c>
      <c r="BG870" s="2" t="s">
        <v>74</v>
      </c>
      <c r="BH870" s="2" t="s">
        <v>74</v>
      </c>
      <c r="BI870" s="2" t="s">
        <v>74</v>
      </c>
      <c r="BJ870" s="2" t="s">
        <v>74</v>
      </c>
      <c r="BK870" s="2" t="s">
        <v>74</v>
      </c>
      <c r="BL870" s="2" t="s">
        <v>74</v>
      </c>
      <c r="BM870" s="2" t="s">
        <v>74</v>
      </c>
      <c r="BN870" s="2">
        <v>25050928</v>
      </c>
      <c r="BO870" s="2" t="s">
        <v>74</v>
      </c>
      <c r="BP870" s="2" t="s">
        <v>74</v>
      </c>
      <c r="BQ870" s="2" t="s">
        <v>74</v>
      </c>
      <c r="BR870" s="2" t="s">
        <v>74</v>
      </c>
      <c r="BS870" s="2" t="s">
        <v>4242</v>
      </c>
      <c r="BT870" s="2" t="str">
        <f>HYPERLINK("https%3A%2F%2Fwww.webofscience.com%2Fwos%2Fwoscc%2Ffull-record%2FWOS:000342884800034","View Full Record in Web of Science")</f>
        <v>View Full Record in Web of Science</v>
      </c>
    </row>
    <row r="871" spans="1:72" s="2" customFormat="1" x14ac:dyDescent="0.4">
      <c r="A871" s="2" t="s">
        <v>72</v>
      </c>
      <c r="B871" s="2" t="s">
        <v>6974</v>
      </c>
      <c r="C871" s="2" t="s">
        <v>74</v>
      </c>
      <c r="D871" s="2" t="s">
        <v>74</v>
      </c>
      <c r="E871" s="2" t="s">
        <v>74</v>
      </c>
      <c r="F871" s="2" t="s">
        <v>6975</v>
      </c>
      <c r="G871" s="2" t="s">
        <v>74</v>
      </c>
      <c r="H871" s="2" t="s">
        <v>74</v>
      </c>
      <c r="I871" s="2" t="s">
        <v>6976</v>
      </c>
      <c r="J871" s="2" t="s">
        <v>1949</v>
      </c>
      <c r="K871" s="2" t="s">
        <v>74</v>
      </c>
      <c r="L871" s="2" t="s">
        <v>74</v>
      </c>
      <c r="M871" s="2" t="s">
        <v>74</v>
      </c>
      <c r="N871" s="2" t="s">
        <v>74</v>
      </c>
      <c r="O871" s="2" t="s">
        <v>74</v>
      </c>
      <c r="P871" s="2" t="s">
        <v>74</v>
      </c>
      <c r="Q871" s="2" t="s">
        <v>74</v>
      </c>
      <c r="R871" s="2" t="s">
        <v>74</v>
      </c>
      <c r="S871" s="2" t="s">
        <v>74</v>
      </c>
      <c r="T871" s="2" t="s">
        <v>74</v>
      </c>
      <c r="U871" s="2" t="s">
        <v>74</v>
      </c>
      <c r="V871" s="5" t="s">
        <v>6977</v>
      </c>
      <c r="W871" s="2" t="s">
        <v>74</v>
      </c>
      <c r="X871" s="2" t="s">
        <v>74</v>
      </c>
      <c r="Y871" s="2" t="s">
        <v>74</v>
      </c>
      <c r="Z871" s="2" t="s">
        <v>74</v>
      </c>
      <c r="AA871" s="2" t="s">
        <v>6978</v>
      </c>
      <c r="AB871" s="2" t="s">
        <v>6979</v>
      </c>
      <c r="AC871" s="2" t="s">
        <v>74</v>
      </c>
      <c r="AD871" s="2" t="s">
        <v>74</v>
      </c>
      <c r="AE871" s="2" t="s">
        <v>74</v>
      </c>
      <c r="AF871" s="2" t="s">
        <v>74</v>
      </c>
      <c r="AG871" s="2" t="s">
        <v>74</v>
      </c>
      <c r="AH871" s="2" t="s">
        <v>74</v>
      </c>
      <c r="AI871" s="2" t="s">
        <v>74</v>
      </c>
      <c r="AJ871" s="2" t="s">
        <v>74</v>
      </c>
      <c r="AK871" s="2" t="s">
        <v>74</v>
      </c>
      <c r="AL871" s="2" t="s">
        <v>74</v>
      </c>
      <c r="AM871" s="2" t="s">
        <v>74</v>
      </c>
      <c r="AN871" s="2" t="s">
        <v>74</v>
      </c>
      <c r="AO871" s="2" t="s">
        <v>74</v>
      </c>
      <c r="AP871" s="2" t="s">
        <v>1953</v>
      </c>
      <c r="AQ871" s="2" t="s">
        <v>74</v>
      </c>
      <c r="AR871" s="2" t="s">
        <v>74</v>
      </c>
      <c r="AS871" s="2" t="s">
        <v>74</v>
      </c>
      <c r="AT871" s="2" t="s">
        <v>123</v>
      </c>
      <c r="AU871" s="2">
        <v>2022</v>
      </c>
      <c r="AV871" s="2">
        <v>13</v>
      </c>
      <c r="AW871" s="2">
        <v>3</v>
      </c>
      <c r="AX871" s="2" t="s">
        <v>74</v>
      </c>
      <c r="AY871" s="2" t="s">
        <v>74</v>
      </c>
      <c r="AZ871" s="2" t="s">
        <v>74</v>
      </c>
      <c r="BA871" s="2" t="s">
        <v>74</v>
      </c>
      <c r="BB871" s="2" t="s">
        <v>74</v>
      </c>
      <c r="BC871" s="2" t="s">
        <v>74</v>
      </c>
      <c r="BD871" s="2">
        <v>262</v>
      </c>
      <c r="BE871" s="2" t="s">
        <v>6980</v>
      </c>
      <c r="BF871" s="2" t="str">
        <f>HYPERLINK("http://dx.doi.org/10.3390/insects13030262","http://dx.doi.org/10.3390/insects13030262")</f>
        <v>http://dx.doi.org/10.3390/insects13030262</v>
      </c>
      <c r="BG871" s="2" t="s">
        <v>74</v>
      </c>
      <c r="BH871" s="2" t="s">
        <v>74</v>
      </c>
      <c r="BI871" s="2" t="s">
        <v>74</v>
      </c>
      <c r="BJ871" s="2" t="s">
        <v>74</v>
      </c>
      <c r="BK871" s="2" t="s">
        <v>74</v>
      </c>
      <c r="BL871" s="2" t="s">
        <v>74</v>
      </c>
      <c r="BM871" s="2" t="s">
        <v>74</v>
      </c>
      <c r="BN871" s="2">
        <v>35323560</v>
      </c>
      <c r="BO871" s="2" t="s">
        <v>74</v>
      </c>
      <c r="BP871" s="2" t="s">
        <v>74</v>
      </c>
      <c r="BQ871" s="2" t="s">
        <v>74</v>
      </c>
      <c r="BR871" s="2" t="s">
        <v>74</v>
      </c>
      <c r="BS871" s="2" t="s">
        <v>6981</v>
      </c>
      <c r="BT871" s="2" t="str">
        <f>HYPERLINK("https%3A%2F%2Fwww.webofscience.com%2Fwos%2Fwoscc%2Ffull-record%2FWOS:000775202600001","View Full Record in Web of Science")</f>
        <v>View Full Record in Web of Science</v>
      </c>
    </row>
    <row r="872" spans="1:72" s="2" customFormat="1" x14ac:dyDescent="0.4">
      <c r="A872" s="2" t="s">
        <v>72</v>
      </c>
      <c r="B872" s="2" t="s">
        <v>7537</v>
      </c>
      <c r="C872" s="2" t="s">
        <v>74</v>
      </c>
      <c r="D872" s="2" t="s">
        <v>74</v>
      </c>
      <c r="E872" s="2" t="s">
        <v>74</v>
      </c>
      <c r="F872" s="2" t="s">
        <v>7537</v>
      </c>
      <c r="G872" s="2" t="s">
        <v>74</v>
      </c>
      <c r="H872" s="2" t="s">
        <v>74</v>
      </c>
      <c r="I872" s="2" t="s">
        <v>7538</v>
      </c>
      <c r="J872" s="2" t="s">
        <v>7539</v>
      </c>
      <c r="K872" s="2" t="s">
        <v>74</v>
      </c>
      <c r="L872" s="2" t="s">
        <v>74</v>
      </c>
      <c r="M872" s="2" t="s">
        <v>74</v>
      </c>
      <c r="N872" s="2" t="s">
        <v>74</v>
      </c>
      <c r="O872" s="2" t="s">
        <v>74</v>
      </c>
      <c r="P872" s="2" t="s">
        <v>74</v>
      </c>
      <c r="Q872" s="2" t="s">
        <v>74</v>
      </c>
      <c r="R872" s="2" t="s">
        <v>74</v>
      </c>
      <c r="S872" s="2" t="s">
        <v>74</v>
      </c>
      <c r="T872" s="2" t="s">
        <v>74</v>
      </c>
      <c r="U872" s="2" t="s">
        <v>74</v>
      </c>
      <c r="V872" s="5" t="s">
        <v>7540</v>
      </c>
      <c r="W872" s="2" t="s">
        <v>74</v>
      </c>
      <c r="X872" s="2" t="s">
        <v>74</v>
      </c>
      <c r="Y872" s="2" t="s">
        <v>74</v>
      </c>
      <c r="Z872" s="2" t="s">
        <v>74</v>
      </c>
      <c r="AA872" s="2" t="s">
        <v>7541</v>
      </c>
      <c r="AB872" s="2" t="s">
        <v>7542</v>
      </c>
      <c r="AC872" s="2" t="s">
        <v>74</v>
      </c>
      <c r="AD872" s="2" t="s">
        <v>74</v>
      </c>
      <c r="AE872" s="2" t="s">
        <v>74</v>
      </c>
      <c r="AF872" s="2" t="s">
        <v>74</v>
      </c>
      <c r="AG872" s="2" t="s">
        <v>74</v>
      </c>
      <c r="AH872" s="2" t="s">
        <v>74</v>
      </c>
      <c r="AI872" s="2" t="s">
        <v>74</v>
      </c>
      <c r="AJ872" s="2" t="s">
        <v>74</v>
      </c>
      <c r="AK872" s="2" t="s">
        <v>74</v>
      </c>
      <c r="AL872" s="2" t="s">
        <v>74</v>
      </c>
      <c r="AM872" s="2" t="s">
        <v>74</v>
      </c>
      <c r="AN872" s="2" t="s">
        <v>74</v>
      </c>
      <c r="AO872" s="2" t="s">
        <v>7543</v>
      </c>
      <c r="AP872" s="2" t="s">
        <v>7544</v>
      </c>
      <c r="AQ872" s="2" t="s">
        <v>74</v>
      </c>
      <c r="AR872" s="2" t="s">
        <v>74</v>
      </c>
      <c r="AS872" s="2" t="s">
        <v>74</v>
      </c>
      <c r="AT872" s="2" t="s">
        <v>123</v>
      </c>
      <c r="AU872" s="2">
        <v>1993</v>
      </c>
      <c r="AV872" s="2">
        <v>40</v>
      </c>
      <c r="AW872" s="2" t="s">
        <v>74</v>
      </c>
      <c r="AX872" s="2">
        <v>1</v>
      </c>
      <c r="AY872" s="2" t="s">
        <v>74</v>
      </c>
      <c r="AZ872" s="2" t="s">
        <v>74</v>
      </c>
      <c r="BA872" s="2" t="s">
        <v>74</v>
      </c>
      <c r="BB872" s="2">
        <v>31</v>
      </c>
      <c r="BC872" s="2">
        <v>37</v>
      </c>
      <c r="BD872" s="2" t="s">
        <v>74</v>
      </c>
      <c r="BE872" s="2" t="s">
        <v>7545</v>
      </c>
      <c r="BF872" s="2" t="str">
        <f>HYPERLINK("http://dx.doi.org/10.1080/00063659309477126","http://dx.doi.org/10.1080/00063659309477126")</f>
        <v>http://dx.doi.org/10.1080/00063659309477126</v>
      </c>
      <c r="BG872" s="2" t="s">
        <v>74</v>
      </c>
      <c r="BH872" s="2" t="s">
        <v>74</v>
      </c>
      <c r="BI872" s="2" t="s">
        <v>74</v>
      </c>
      <c r="BJ872" s="2" t="s">
        <v>74</v>
      </c>
      <c r="BK872" s="2" t="s">
        <v>74</v>
      </c>
      <c r="BL872" s="2" t="s">
        <v>74</v>
      </c>
      <c r="BM872" s="2" t="s">
        <v>74</v>
      </c>
      <c r="BN872" s="2" t="s">
        <v>74</v>
      </c>
      <c r="BO872" s="2" t="s">
        <v>74</v>
      </c>
      <c r="BP872" s="2" t="s">
        <v>74</v>
      </c>
      <c r="BQ872" s="2" t="s">
        <v>74</v>
      </c>
      <c r="BR872" s="2" t="s">
        <v>74</v>
      </c>
      <c r="BS872" s="2" t="s">
        <v>7546</v>
      </c>
      <c r="BT872" s="2" t="str">
        <f>HYPERLINK("https%3A%2F%2Fwww.webofscience.com%2Fwos%2Fwoscc%2Ffull-record%2FWOS:A1993KU44300004","View Full Record in Web of Science")</f>
        <v>View Full Record in Web of Science</v>
      </c>
    </row>
    <row r="873" spans="1:72" s="2" customFormat="1" x14ac:dyDescent="0.4">
      <c r="A873" s="2" t="s">
        <v>72</v>
      </c>
      <c r="B873" s="2" t="s">
        <v>318</v>
      </c>
      <c r="C873" s="2" t="s">
        <v>74</v>
      </c>
      <c r="D873" s="2" t="s">
        <v>74</v>
      </c>
      <c r="E873" s="2" t="s">
        <v>74</v>
      </c>
      <c r="F873" s="2" t="s">
        <v>319</v>
      </c>
      <c r="G873" s="2" t="s">
        <v>74</v>
      </c>
      <c r="H873" s="2" t="s">
        <v>74</v>
      </c>
      <c r="I873" s="2" t="s">
        <v>320</v>
      </c>
      <c r="J873" s="2" t="s">
        <v>129</v>
      </c>
      <c r="K873" s="2" t="s">
        <v>74</v>
      </c>
      <c r="L873" s="2" t="s">
        <v>74</v>
      </c>
      <c r="M873" s="2" t="s">
        <v>74</v>
      </c>
      <c r="N873" s="2" t="s">
        <v>74</v>
      </c>
      <c r="O873" s="2" t="s">
        <v>74</v>
      </c>
      <c r="P873" s="2" t="s">
        <v>74</v>
      </c>
      <c r="Q873" s="2" t="s">
        <v>74</v>
      </c>
      <c r="R873" s="2" t="s">
        <v>74</v>
      </c>
      <c r="S873" s="2" t="s">
        <v>74</v>
      </c>
      <c r="T873" s="2" t="s">
        <v>74</v>
      </c>
      <c r="U873" s="2" t="s">
        <v>74</v>
      </c>
      <c r="V873" s="5" t="s">
        <v>321</v>
      </c>
      <c r="W873" s="2" t="s">
        <v>74</v>
      </c>
      <c r="X873" s="2" t="s">
        <v>74</v>
      </c>
      <c r="Y873" s="2" t="s">
        <v>74</v>
      </c>
      <c r="Z873" s="2" t="s">
        <v>74</v>
      </c>
      <c r="AA873" s="2" t="s">
        <v>74</v>
      </c>
      <c r="AB873" s="2" t="s">
        <v>322</v>
      </c>
      <c r="AC873" s="2" t="s">
        <v>74</v>
      </c>
      <c r="AD873" s="2" t="s">
        <v>74</v>
      </c>
      <c r="AE873" s="2" t="s">
        <v>74</v>
      </c>
      <c r="AF873" s="2" t="s">
        <v>74</v>
      </c>
      <c r="AG873" s="2" t="s">
        <v>74</v>
      </c>
      <c r="AH873" s="2" t="s">
        <v>74</v>
      </c>
      <c r="AI873" s="2" t="s">
        <v>74</v>
      </c>
      <c r="AJ873" s="2" t="s">
        <v>74</v>
      </c>
      <c r="AK873" s="2" t="s">
        <v>74</v>
      </c>
      <c r="AL873" s="2" t="s">
        <v>74</v>
      </c>
      <c r="AM873" s="2" t="s">
        <v>74</v>
      </c>
      <c r="AN873" s="2" t="s">
        <v>74</v>
      </c>
      <c r="AO873" s="2" t="s">
        <v>132</v>
      </c>
      <c r="AP873" s="2" t="s">
        <v>133</v>
      </c>
      <c r="AQ873" s="2" t="s">
        <v>74</v>
      </c>
      <c r="AR873" s="2" t="s">
        <v>74</v>
      </c>
      <c r="AS873" s="2" t="s">
        <v>74</v>
      </c>
      <c r="AT873" s="2" t="s">
        <v>255</v>
      </c>
      <c r="AU873" s="2">
        <v>2023</v>
      </c>
      <c r="AV873" s="2">
        <v>77</v>
      </c>
      <c r="AW873" s="2">
        <v>1</v>
      </c>
      <c r="AX873" s="2" t="s">
        <v>74</v>
      </c>
      <c r="AY873" s="2" t="s">
        <v>74</v>
      </c>
      <c r="AZ873" s="2" t="s">
        <v>74</v>
      </c>
      <c r="BA873" s="2" t="s">
        <v>74</v>
      </c>
      <c r="BB873" s="2" t="s">
        <v>74</v>
      </c>
      <c r="BC873" s="2" t="s">
        <v>74</v>
      </c>
      <c r="BD873" s="2">
        <v>2</v>
      </c>
      <c r="BE873" s="2" t="s">
        <v>323</v>
      </c>
      <c r="BF873" s="2" t="str">
        <f>HYPERLINK("http://dx.doi.org/10.1007/s00265-022-03272-9","http://dx.doi.org/10.1007/s00265-022-03272-9")</f>
        <v>http://dx.doi.org/10.1007/s00265-022-03272-9</v>
      </c>
      <c r="BG873" s="2" t="s">
        <v>74</v>
      </c>
      <c r="BH873" s="2" t="s">
        <v>74</v>
      </c>
      <c r="BI873" s="2" t="s">
        <v>74</v>
      </c>
      <c r="BJ873" s="2" t="s">
        <v>74</v>
      </c>
      <c r="BK873" s="2" t="s">
        <v>74</v>
      </c>
      <c r="BL873" s="2" t="s">
        <v>74</v>
      </c>
      <c r="BM873" s="2" t="s">
        <v>74</v>
      </c>
      <c r="BN873" s="2" t="s">
        <v>74</v>
      </c>
      <c r="BO873" s="2" t="s">
        <v>74</v>
      </c>
      <c r="BP873" s="2" t="s">
        <v>74</v>
      </c>
      <c r="BQ873" s="2" t="s">
        <v>74</v>
      </c>
      <c r="BR873" s="2" t="s">
        <v>74</v>
      </c>
      <c r="BS873" s="2" t="s">
        <v>324</v>
      </c>
      <c r="BT873" s="2" t="str">
        <f>HYPERLINK("https%3A%2F%2Fwww.webofscience.com%2Fwos%2Fwoscc%2Ffull-record%2FWOS:000914603000002","View Full Record in Web of Science")</f>
        <v>View Full Record in Web of Science</v>
      </c>
    </row>
    <row r="874" spans="1:72" s="1" customFormat="1" x14ac:dyDescent="0.4">
      <c r="A874" s="2" t="s">
        <v>72</v>
      </c>
      <c r="B874" s="2" t="s">
        <v>4964</v>
      </c>
      <c r="C874" s="2" t="s">
        <v>74</v>
      </c>
      <c r="D874" s="2" t="s">
        <v>74</v>
      </c>
      <c r="E874" s="2" t="s">
        <v>74</v>
      </c>
      <c r="F874" s="2" t="s">
        <v>4964</v>
      </c>
      <c r="G874" s="2" t="s">
        <v>74</v>
      </c>
      <c r="H874" s="2" t="s">
        <v>74</v>
      </c>
      <c r="I874" s="2" t="s">
        <v>4965</v>
      </c>
      <c r="J874" s="2" t="s">
        <v>1673</v>
      </c>
      <c r="K874" s="2" t="s">
        <v>74</v>
      </c>
      <c r="L874" s="2" t="s">
        <v>74</v>
      </c>
      <c r="M874" s="2" t="s">
        <v>74</v>
      </c>
      <c r="N874" s="2" t="s">
        <v>74</v>
      </c>
      <c r="O874" s="2" t="s">
        <v>74</v>
      </c>
      <c r="P874" s="2" t="s">
        <v>74</v>
      </c>
      <c r="Q874" s="2" t="s">
        <v>74</v>
      </c>
      <c r="R874" s="2" t="s">
        <v>74</v>
      </c>
      <c r="S874" s="2" t="s">
        <v>74</v>
      </c>
      <c r="T874" s="2" t="s">
        <v>74</v>
      </c>
      <c r="U874" s="2" t="s">
        <v>74</v>
      </c>
      <c r="V874" s="5" t="s">
        <v>4966</v>
      </c>
      <c r="W874" s="2" t="s">
        <v>74</v>
      </c>
      <c r="X874" s="2" t="s">
        <v>74</v>
      </c>
      <c r="Y874" s="2" t="s">
        <v>74</v>
      </c>
      <c r="Z874" s="2" t="s">
        <v>74</v>
      </c>
      <c r="AA874" s="2" t="s">
        <v>4967</v>
      </c>
      <c r="AB874" s="2" t="s">
        <v>74</v>
      </c>
      <c r="AC874" s="2" t="s">
        <v>74</v>
      </c>
      <c r="AD874" s="2" t="s">
        <v>74</v>
      </c>
      <c r="AE874" s="2" t="s">
        <v>74</v>
      </c>
      <c r="AF874" s="2" t="s">
        <v>74</v>
      </c>
      <c r="AG874" s="2" t="s">
        <v>74</v>
      </c>
      <c r="AH874" s="2" t="s">
        <v>74</v>
      </c>
      <c r="AI874" s="2" t="s">
        <v>74</v>
      </c>
      <c r="AJ874" s="2" t="s">
        <v>74</v>
      </c>
      <c r="AK874" s="2" t="s">
        <v>74</v>
      </c>
      <c r="AL874" s="2" t="s">
        <v>74</v>
      </c>
      <c r="AM874" s="2" t="s">
        <v>74</v>
      </c>
      <c r="AN874" s="2" t="s">
        <v>74</v>
      </c>
      <c r="AO874" s="2" t="s">
        <v>1239</v>
      </c>
      <c r="AP874" s="2" t="s">
        <v>1675</v>
      </c>
      <c r="AQ874" s="2" t="s">
        <v>74</v>
      </c>
      <c r="AR874" s="2" t="s">
        <v>74</v>
      </c>
      <c r="AS874" s="2" t="s">
        <v>74</v>
      </c>
      <c r="AT874" s="2" t="s">
        <v>352</v>
      </c>
      <c r="AU874" s="2">
        <v>2003</v>
      </c>
      <c r="AV874" s="2">
        <v>81</v>
      </c>
      <c r="AW874" s="2">
        <v>9</v>
      </c>
      <c r="AX874" s="2" t="s">
        <v>74</v>
      </c>
      <c r="AY874" s="2" t="s">
        <v>74</v>
      </c>
      <c r="AZ874" s="2" t="s">
        <v>74</v>
      </c>
      <c r="BA874" s="2" t="s">
        <v>74</v>
      </c>
      <c r="BB874" s="2">
        <v>1561</v>
      </c>
      <c r="BC874" s="2">
        <v>1565</v>
      </c>
      <c r="BD874" s="2" t="s">
        <v>74</v>
      </c>
      <c r="BE874" s="2" t="s">
        <v>4968</v>
      </c>
      <c r="BF874" s="2" t="str">
        <f>HYPERLINK("http://dx.doi.org/10.1139/Z03-147","http://dx.doi.org/10.1139/Z03-147")</f>
        <v>http://dx.doi.org/10.1139/Z03-147</v>
      </c>
      <c r="BG874" s="2" t="s">
        <v>74</v>
      </c>
      <c r="BH874" s="2" t="s">
        <v>74</v>
      </c>
      <c r="BI874" s="2" t="s">
        <v>74</v>
      </c>
      <c r="BJ874" s="2" t="s">
        <v>74</v>
      </c>
      <c r="BK874" s="2" t="s">
        <v>74</v>
      </c>
      <c r="BL874" s="2" t="s">
        <v>74</v>
      </c>
      <c r="BM874" s="2" t="s">
        <v>74</v>
      </c>
      <c r="BN874" s="2" t="s">
        <v>74</v>
      </c>
      <c r="BO874" s="2" t="s">
        <v>74</v>
      </c>
      <c r="BP874" s="2" t="s">
        <v>74</v>
      </c>
      <c r="BQ874" s="2" t="s">
        <v>74</v>
      </c>
      <c r="BR874" s="2" t="s">
        <v>74</v>
      </c>
      <c r="BS874" s="2" t="s">
        <v>4969</v>
      </c>
      <c r="BT874" s="2" t="str">
        <f>HYPERLINK("https%3A%2F%2Fwww.webofscience.com%2Fwos%2Fwoscc%2Ffull-record%2FWOS:000186325200009","View Full Record in Web of Science")</f>
        <v>View Full Record in Web of Science</v>
      </c>
    </row>
    <row r="875" spans="1:72" s="2" customFormat="1" x14ac:dyDescent="0.4">
      <c r="A875" s="2" t="s">
        <v>72</v>
      </c>
      <c r="B875" s="2" t="s">
        <v>1478</v>
      </c>
      <c r="C875" s="2" t="s">
        <v>74</v>
      </c>
      <c r="D875" s="2" t="s">
        <v>74</v>
      </c>
      <c r="E875" s="2" t="s">
        <v>74</v>
      </c>
      <c r="F875" s="2" t="s">
        <v>1478</v>
      </c>
      <c r="G875" s="2" t="s">
        <v>74</v>
      </c>
      <c r="H875" s="2" t="s">
        <v>74</v>
      </c>
      <c r="I875" s="2" t="s">
        <v>1479</v>
      </c>
      <c r="J875" s="2" t="s">
        <v>1480</v>
      </c>
      <c r="K875" s="2" t="s">
        <v>74</v>
      </c>
      <c r="L875" s="2" t="s">
        <v>74</v>
      </c>
      <c r="M875" s="2" t="s">
        <v>74</v>
      </c>
      <c r="N875" s="2" t="s">
        <v>74</v>
      </c>
      <c r="O875" s="2" t="s">
        <v>74</v>
      </c>
      <c r="P875" s="2" t="s">
        <v>74</v>
      </c>
      <c r="Q875" s="2" t="s">
        <v>74</v>
      </c>
      <c r="R875" s="2" t="s">
        <v>74</v>
      </c>
      <c r="S875" s="2" t="s">
        <v>74</v>
      </c>
      <c r="T875" s="2" t="s">
        <v>74</v>
      </c>
      <c r="U875" s="2" t="s">
        <v>74</v>
      </c>
      <c r="V875" s="5" t="s">
        <v>1481</v>
      </c>
      <c r="W875" s="2" t="s">
        <v>74</v>
      </c>
      <c r="X875" s="2" t="s">
        <v>74</v>
      </c>
      <c r="Y875" s="2" t="s">
        <v>74</v>
      </c>
      <c r="Z875" s="2" t="s">
        <v>74</v>
      </c>
      <c r="AA875" s="2" t="s">
        <v>74</v>
      </c>
      <c r="AB875" s="2" t="s">
        <v>74</v>
      </c>
      <c r="AC875" s="2" t="s">
        <v>74</v>
      </c>
      <c r="AD875" s="2" t="s">
        <v>74</v>
      </c>
      <c r="AE875" s="2" t="s">
        <v>74</v>
      </c>
      <c r="AF875" s="2" t="s">
        <v>74</v>
      </c>
      <c r="AG875" s="2" t="s">
        <v>74</v>
      </c>
      <c r="AH875" s="2" t="s">
        <v>74</v>
      </c>
      <c r="AI875" s="2" t="s">
        <v>74</v>
      </c>
      <c r="AJ875" s="2" t="s">
        <v>74</v>
      </c>
      <c r="AK875" s="2" t="s">
        <v>74</v>
      </c>
      <c r="AL875" s="2" t="s">
        <v>74</v>
      </c>
      <c r="AM875" s="2" t="s">
        <v>74</v>
      </c>
      <c r="AN875" s="2" t="s">
        <v>74</v>
      </c>
      <c r="AO875" s="2" t="s">
        <v>1482</v>
      </c>
      <c r="AP875" s="2" t="s">
        <v>74</v>
      </c>
      <c r="AQ875" s="2" t="s">
        <v>74</v>
      </c>
      <c r="AR875" s="2" t="s">
        <v>74</v>
      </c>
      <c r="AS875" s="2" t="s">
        <v>74</v>
      </c>
      <c r="AT875" s="2" t="s">
        <v>123</v>
      </c>
      <c r="AU875" s="2">
        <v>1997</v>
      </c>
      <c r="AV875" s="2">
        <v>76</v>
      </c>
      <c r="AW875" s="2">
        <v>3</v>
      </c>
      <c r="AX875" s="2" t="s">
        <v>74</v>
      </c>
      <c r="AY875" s="2" t="s">
        <v>74</v>
      </c>
      <c r="AZ875" s="2" t="s">
        <v>74</v>
      </c>
      <c r="BA875" s="2" t="s">
        <v>74</v>
      </c>
      <c r="BB875" s="2">
        <v>452</v>
      </c>
      <c r="BC875" s="2">
        <v>457</v>
      </c>
      <c r="BD875" s="2" t="s">
        <v>74</v>
      </c>
      <c r="BE875" s="2" t="s">
        <v>1483</v>
      </c>
      <c r="BF875" s="2" t="str">
        <f>HYPERLINK("http://dx.doi.org/10.1093/ps/76.3.452","http://dx.doi.org/10.1093/ps/76.3.452")</f>
        <v>http://dx.doi.org/10.1093/ps/76.3.452</v>
      </c>
      <c r="BG875" s="2" t="s">
        <v>74</v>
      </c>
      <c r="BH875" s="2" t="s">
        <v>74</v>
      </c>
      <c r="BI875" s="2" t="s">
        <v>74</v>
      </c>
      <c r="BJ875" s="2" t="s">
        <v>74</v>
      </c>
      <c r="BK875" s="2" t="s">
        <v>74</v>
      </c>
      <c r="BL875" s="2" t="s">
        <v>74</v>
      </c>
      <c r="BM875" s="2" t="s">
        <v>74</v>
      </c>
      <c r="BN875" s="2">
        <v>9068043</v>
      </c>
      <c r="BO875" s="2" t="s">
        <v>74</v>
      </c>
      <c r="BP875" s="2" t="s">
        <v>74</v>
      </c>
      <c r="BQ875" s="2" t="s">
        <v>74</v>
      </c>
      <c r="BR875" s="2" t="s">
        <v>74</v>
      </c>
      <c r="BS875" s="2" t="s">
        <v>1484</v>
      </c>
      <c r="BT875" s="2" t="str">
        <f>HYPERLINK("https%3A%2F%2Fwww.webofscience.com%2Fwos%2Fwoscc%2Ffull-record%2FWOS:A1997WM41000005","View Full Record in Web of Science")</f>
        <v>View Full Record in Web of Science</v>
      </c>
    </row>
    <row r="876" spans="1:72" s="1" customFormat="1" x14ac:dyDescent="0.4">
      <c r="A876" s="2" t="s">
        <v>72</v>
      </c>
      <c r="B876" s="2" t="s">
        <v>4488</v>
      </c>
      <c r="C876" s="2" t="s">
        <v>74</v>
      </c>
      <c r="D876" s="2" t="s">
        <v>74</v>
      </c>
      <c r="E876" s="2" t="s">
        <v>74</v>
      </c>
      <c r="F876" s="2" t="s">
        <v>4488</v>
      </c>
      <c r="G876" s="2" t="s">
        <v>74</v>
      </c>
      <c r="H876" s="2" t="s">
        <v>74</v>
      </c>
      <c r="I876" s="2" t="s">
        <v>4489</v>
      </c>
      <c r="J876" s="2" t="s">
        <v>1480</v>
      </c>
      <c r="K876" s="2" t="s">
        <v>74</v>
      </c>
      <c r="L876" s="2" t="s">
        <v>74</v>
      </c>
      <c r="M876" s="2" t="s">
        <v>74</v>
      </c>
      <c r="N876" s="2" t="s">
        <v>74</v>
      </c>
      <c r="O876" s="2" t="s">
        <v>74</v>
      </c>
      <c r="P876" s="2" t="s">
        <v>74</v>
      </c>
      <c r="Q876" s="2" t="s">
        <v>74</v>
      </c>
      <c r="R876" s="2" t="s">
        <v>74</v>
      </c>
      <c r="S876" s="2" t="s">
        <v>74</v>
      </c>
      <c r="T876" s="2" t="s">
        <v>74</v>
      </c>
      <c r="U876" s="2" t="s">
        <v>74</v>
      </c>
      <c r="V876" s="5" t="s">
        <v>4490</v>
      </c>
      <c r="W876" s="2" t="s">
        <v>74</v>
      </c>
      <c r="X876" s="2" t="s">
        <v>74</v>
      </c>
      <c r="Y876" s="2" t="s">
        <v>74</v>
      </c>
      <c r="Z876" s="2" t="s">
        <v>74</v>
      </c>
      <c r="AA876" s="2" t="s">
        <v>74</v>
      </c>
      <c r="AB876" s="2" t="s">
        <v>74</v>
      </c>
      <c r="AC876" s="2" t="s">
        <v>74</v>
      </c>
      <c r="AD876" s="2" t="s">
        <v>74</v>
      </c>
      <c r="AE876" s="2" t="s">
        <v>74</v>
      </c>
      <c r="AF876" s="2" t="s">
        <v>74</v>
      </c>
      <c r="AG876" s="2" t="s">
        <v>74</v>
      </c>
      <c r="AH876" s="2" t="s">
        <v>74</v>
      </c>
      <c r="AI876" s="2" t="s">
        <v>74</v>
      </c>
      <c r="AJ876" s="2" t="s">
        <v>74</v>
      </c>
      <c r="AK876" s="2" t="s">
        <v>74</v>
      </c>
      <c r="AL876" s="2" t="s">
        <v>74</v>
      </c>
      <c r="AM876" s="2" t="s">
        <v>74</v>
      </c>
      <c r="AN876" s="2" t="s">
        <v>74</v>
      </c>
      <c r="AO876" s="2" t="s">
        <v>1482</v>
      </c>
      <c r="AP876" s="2" t="s">
        <v>74</v>
      </c>
      <c r="AQ876" s="2" t="s">
        <v>74</v>
      </c>
      <c r="AR876" s="2" t="s">
        <v>74</v>
      </c>
      <c r="AS876" s="2" t="s">
        <v>74</v>
      </c>
      <c r="AT876" s="2" t="s">
        <v>305</v>
      </c>
      <c r="AU876" s="2">
        <v>1997</v>
      </c>
      <c r="AV876" s="2">
        <v>76</v>
      </c>
      <c r="AW876" s="2">
        <v>12</v>
      </c>
      <c r="AX876" s="2" t="s">
        <v>74</v>
      </c>
      <c r="AY876" s="2" t="s">
        <v>74</v>
      </c>
      <c r="AZ876" s="2" t="s">
        <v>74</v>
      </c>
      <c r="BA876" s="2" t="s">
        <v>74</v>
      </c>
      <c r="BB876" s="2">
        <v>1674</v>
      </c>
      <c r="BC876" s="2">
        <v>1681</v>
      </c>
      <c r="BD876" s="2" t="s">
        <v>74</v>
      </c>
      <c r="BE876" s="2" t="s">
        <v>4491</v>
      </c>
      <c r="BF876" s="2" t="str">
        <f>HYPERLINK("http://dx.doi.org/10.1093/ps/76.12.1674","http://dx.doi.org/10.1093/ps/76.12.1674")</f>
        <v>http://dx.doi.org/10.1093/ps/76.12.1674</v>
      </c>
      <c r="BG876" s="2" t="s">
        <v>74</v>
      </c>
      <c r="BH876" s="2" t="s">
        <v>74</v>
      </c>
      <c r="BI876" s="2" t="s">
        <v>74</v>
      </c>
      <c r="BJ876" s="2" t="s">
        <v>74</v>
      </c>
      <c r="BK876" s="2" t="s">
        <v>74</v>
      </c>
      <c r="BL876" s="2" t="s">
        <v>74</v>
      </c>
      <c r="BM876" s="2" t="s">
        <v>74</v>
      </c>
      <c r="BN876" s="2">
        <v>9438281</v>
      </c>
      <c r="BO876" s="2" t="s">
        <v>74</v>
      </c>
      <c r="BP876" s="2" t="s">
        <v>74</v>
      </c>
      <c r="BQ876" s="2" t="s">
        <v>74</v>
      </c>
      <c r="BR876" s="2" t="s">
        <v>74</v>
      </c>
      <c r="BS876" s="2" t="s">
        <v>4492</v>
      </c>
      <c r="BT876" s="2" t="str">
        <f>HYPERLINK("https%3A%2F%2Fwww.webofscience.com%2Fwos%2Fwoscc%2Ffull-record%2FWOS:000071132300009","View Full Record in Web of Science")</f>
        <v>View Full Record in Web of Science</v>
      </c>
    </row>
    <row r="877" spans="1:72" s="2" customFormat="1" x14ac:dyDescent="0.4">
      <c r="A877" s="2" t="s">
        <v>72</v>
      </c>
      <c r="B877" s="2" t="s">
        <v>8209</v>
      </c>
      <c r="C877" s="2" t="s">
        <v>74</v>
      </c>
      <c r="D877" s="2" t="s">
        <v>74</v>
      </c>
      <c r="E877" s="2" t="s">
        <v>74</v>
      </c>
      <c r="F877" s="2" t="s">
        <v>8209</v>
      </c>
      <c r="G877" s="2" t="s">
        <v>74</v>
      </c>
      <c r="H877" s="2" t="s">
        <v>74</v>
      </c>
      <c r="I877" s="2" t="s">
        <v>8210</v>
      </c>
      <c r="J877" s="2" t="s">
        <v>842</v>
      </c>
      <c r="K877" s="2" t="s">
        <v>74</v>
      </c>
      <c r="L877" s="2" t="s">
        <v>74</v>
      </c>
      <c r="M877" s="2" t="s">
        <v>74</v>
      </c>
      <c r="N877" s="2" t="s">
        <v>74</v>
      </c>
      <c r="O877" s="2" t="s">
        <v>74</v>
      </c>
      <c r="P877" s="2" t="s">
        <v>74</v>
      </c>
      <c r="Q877" s="2" t="s">
        <v>74</v>
      </c>
      <c r="R877" s="2" t="s">
        <v>74</v>
      </c>
      <c r="S877" s="2" t="s">
        <v>74</v>
      </c>
      <c r="T877" s="2" t="s">
        <v>74</v>
      </c>
      <c r="U877" s="2" t="s">
        <v>74</v>
      </c>
      <c r="V877" s="5" t="s">
        <v>8211</v>
      </c>
      <c r="W877" s="2" t="s">
        <v>74</v>
      </c>
      <c r="X877" s="2" t="s">
        <v>74</v>
      </c>
      <c r="Y877" s="2" t="s">
        <v>74</v>
      </c>
      <c r="Z877" s="2" t="s">
        <v>74</v>
      </c>
      <c r="AA877" s="2" t="s">
        <v>8212</v>
      </c>
      <c r="AB877" s="2" t="s">
        <v>8213</v>
      </c>
      <c r="AC877" s="2" t="s">
        <v>74</v>
      </c>
      <c r="AD877" s="2" t="s">
        <v>74</v>
      </c>
      <c r="AE877" s="2" t="s">
        <v>74</v>
      </c>
      <c r="AF877" s="2" t="s">
        <v>74</v>
      </c>
      <c r="AG877" s="2" t="s">
        <v>74</v>
      </c>
      <c r="AH877" s="2" t="s">
        <v>74</v>
      </c>
      <c r="AI877" s="2" t="s">
        <v>74</v>
      </c>
      <c r="AJ877" s="2" t="s">
        <v>74</v>
      </c>
      <c r="AK877" s="2" t="s">
        <v>74</v>
      </c>
      <c r="AL877" s="2" t="s">
        <v>74</v>
      </c>
      <c r="AM877" s="2" t="s">
        <v>74</v>
      </c>
      <c r="AN877" s="2" t="s">
        <v>74</v>
      </c>
      <c r="AO877" s="2" t="s">
        <v>846</v>
      </c>
      <c r="AP877" s="2" t="s">
        <v>74</v>
      </c>
      <c r="AQ877" s="2" t="s">
        <v>74</v>
      </c>
      <c r="AR877" s="2" t="s">
        <v>74</v>
      </c>
      <c r="AS877" s="2" t="s">
        <v>74</v>
      </c>
      <c r="AT877" s="2" t="s">
        <v>633</v>
      </c>
      <c r="AU877" s="2">
        <v>2005</v>
      </c>
      <c r="AV877" s="2">
        <v>65</v>
      </c>
      <c r="AW877" s="2">
        <v>4</v>
      </c>
      <c r="AX877" s="2" t="s">
        <v>74</v>
      </c>
      <c r="AY877" s="2" t="s">
        <v>74</v>
      </c>
      <c r="AZ877" s="2" t="s">
        <v>74</v>
      </c>
      <c r="BA877" s="2" t="s">
        <v>74</v>
      </c>
      <c r="BB877" s="2">
        <v>313</v>
      </c>
      <c r="BC877" s="2">
        <v>326</v>
      </c>
      <c r="BD877" s="2" t="s">
        <v>74</v>
      </c>
      <c r="BE877" s="2" t="s">
        <v>8214</v>
      </c>
      <c r="BF877" s="2" t="str">
        <f>HYPERLINK("http://dx.doi.org/10.1002/ajp.20118","http://dx.doi.org/10.1002/ajp.20118")</f>
        <v>http://dx.doi.org/10.1002/ajp.20118</v>
      </c>
      <c r="BG877" s="2" t="s">
        <v>74</v>
      </c>
      <c r="BH877" s="2" t="s">
        <v>74</v>
      </c>
      <c r="BI877" s="2" t="s">
        <v>74</v>
      </c>
      <c r="BJ877" s="2" t="s">
        <v>74</v>
      </c>
      <c r="BK877" s="2" t="s">
        <v>74</v>
      </c>
      <c r="BL877" s="2" t="s">
        <v>74</v>
      </c>
      <c r="BM877" s="2" t="s">
        <v>74</v>
      </c>
      <c r="BN877" s="2">
        <v>15834888</v>
      </c>
      <c r="BO877" s="2" t="s">
        <v>74</v>
      </c>
      <c r="BP877" s="2" t="s">
        <v>74</v>
      </c>
      <c r="BQ877" s="2" t="s">
        <v>74</v>
      </c>
      <c r="BR877" s="2" t="s">
        <v>74</v>
      </c>
      <c r="BS877" s="2" t="s">
        <v>8215</v>
      </c>
      <c r="BT877" s="2" t="str">
        <f>HYPERLINK("https%3A%2F%2Fwww.webofscience.com%2Fwos%2Fwoscc%2Ffull-record%2FWOS:000228842400002","View Full Record in Web of Science")</f>
        <v>View Full Record in Web of Science</v>
      </c>
    </row>
    <row r="878" spans="1:72" s="2" customFormat="1" x14ac:dyDescent="0.4">
      <c r="A878" s="2" t="s">
        <v>72</v>
      </c>
      <c r="B878" s="2" t="s">
        <v>5567</v>
      </c>
      <c r="C878" s="2" t="s">
        <v>74</v>
      </c>
      <c r="D878" s="2" t="s">
        <v>74</v>
      </c>
      <c r="E878" s="2" t="s">
        <v>74</v>
      </c>
      <c r="F878" s="2" t="s">
        <v>5568</v>
      </c>
      <c r="G878" s="2" t="s">
        <v>74</v>
      </c>
      <c r="H878" s="2" t="s">
        <v>74</v>
      </c>
      <c r="I878" s="2" t="s">
        <v>5569</v>
      </c>
      <c r="J878" s="2" t="s">
        <v>201</v>
      </c>
      <c r="K878" s="2" t="s">
        <v>74</v>
      </c>
      <c r="L878" s="2" t="s">
        <v>74</v>
      </c>
      <c r="M878" s="2" t="s">
        <v>74</v>
      </c>
      <c r="N878" s="2" t="s">
        <v>74</v>
      </c>
      <c r="O878" s="2" t="s">
        <v>74</v>
      </c>
      <c r="P878" s="2" t="s">
        <v>74</v>
      </c>
      <c r="Q878" s="2" t="s">
        <v>74</v>
      </c>
      <c r="R878" s="2" t="s">
        <v>74</v>
      </c>
      <c r="S878" s="2" t="s">
        <v>74</v>
      </c>
      <c r="T878" s="2" t="s">
        <v>74</v>
      </c>
      <c r="U878" s="2" t="s">
        <v>74</v>
      </c>
      <c r="V878" s="5" t="s">
        <v>5570</v>
      </c>
      <c r="W878" s="2" t="s">
        <v>74</v>
      </c>
      <c r="X878" s="2" t="s">
        <v>74</v>
      </c>
      <c r="Y878" s="2" t="s">
        <v>74</v>
      </c>
      <c r="Z878" s="2" t="s">
        <v>74</v>
      </c>
      <c r="AA878" s="2" t="s">
        <v>5571</v>
      </c>
      <c r="AB878" s="2" t="s">
        <v>5572</v>
      </c>
      <c r="AC878" s="2" t="s">
        <v>74</v>
      </c>
      <c r="AD878" s="2" t="s">
        <v>74</v>
      </c>
      <c r="AE878" s="2" t="s">
        <v>74</v>
      </c>
      <c r="AF878" s="2" t="s">
        <v>74</v>
      </c>
      <c r="AG878" s="2" t="s">
        <v>74</v>
      </c>
      <c r="AH878" s="2" t="s">
        <v>74</v>
      </c>
      <c r="AI878" s="2" t="s">
        <v>74</v>
      </c>
      <c r="AJ878" s="2" t="s">
        <v>74</v>
      </c>
      <c r="AK878" s="2" t="s">
        <v>74</v>
      </c>
      <c r="AL878" s="2" t="s">
        <v>74</v>
      </c>
      <c r="AM878" s="2" t="s">
        <v>74</v>
      </c>
      <c r="AN878" s="2" t="s">
        <v>74</v>
      </c>
      <c r="AO878" s="2" t="s">
        <v>203</v>
      </c>
      <c r="AP878" s="2" t="s">
        <v>1192</v>
      </c>
      <c r="AQ878" s="2" t="s">
        <v>74</v>
      </c>
      <c r="AR878" s="2" t="s">
        <v>74</v>
      </c>
      <c r="AS878" s="2" t="s">
        <v>74</v>
      </c>
      <c r="AT878" s="2" t="s">
        <v>352</v>
      </c>
      <c r="AU878" s="2">
        <v>2014</v>
      </c>
      <c r="AV878" s="2">
        <v>85</v>
      </c>
      <c r="AW878" s="2">
        <v>3</v>
      </c>
      <c r="AX878" s="2" t="s">
        <v>74</v>
      </c>
      <c r="AY878" s="2" t="s">
        <v>74</v>
      </c>
      <c r="AZ878" s="2" t="s">
        <v>74</v>
      </c>
      <c r="BA878" s="2" t="s">
        <v>74</v>
      </c>
      <c r="BB878" s="2">
        <v>882</v>
      </c>
      <c r="BC878" s="2">
        <v>900</v>
      </c>
      <c r="BD878" s="2" t="s">
        <v>74</v>
      </c>
      <c r="BE878" s="2" t="s">
        <v>5573</v>
      </c>
      <c r="BF878" s="2" t="str">
        <f>HYPERLINK("http://dx.doi.org/10.1111/jfb.12478","http://dx.doi.org/10.1111/jfb.12478")</f>
        <v>http://dx.doi.org/10.1111/jfb.12478</v>
      </c>
      <c r="BG878" s="2" t="s">
        <v>74</v>
      </c>
      <c r="BH878" s="2" t="s">
        <v>74</v>
      </c>
      <c r="BI878" s="2" t="s">
        <v>74</v>
      </c>
      <c r="BJ878" s="2" t="s">
        <v>74</v>
      </c>
      <c r="BK878" s="2" t="s">
        <v>74</v>
      </c>
      <c r="BL878" s="2" t="s">
        <v>74</v>
      </c>
      <c r="BM878" s="2" t="s">
        <v>74</v>
      </c>
      <c r="BN878" s="2">
        <v>25082262</v>
      </c>
      <c r="BO878" s="2" t="s">
        <v>74</v>
      </c>
      <c r="BP878" s="2" t="s">
        <v>74</v>
      </c>
      <c r="BQ878" s="2" t="s">
        <v>74</v>
      </c>
      <c r="BR878" s="2" t="s">
        <v>74</v>
      </c>
      <c r="BS878" s="2" t="s">
        <v>5574</v>
      </c>
      <c r="BT878" s="2" t="str">
        <f>HYPERLINK("https%3A%2F%2Fwww.webofscience.com%2Fwos%2Fwoscc%2Ffull-record%2FWOS:000340845500018","View Full Record in Web of Science")</f>
        <v>View Full Record in Web of Science</v>
      </c>
    </row>
    <row r="879" spans="1:72" s="2" customFormat="1" x14ac:dyDescent="0.4">
      <c r="A879" s="2" t="s">
        <v>72</v>
      </c>
      <c r="B879" s="2" t="s">
        <v>309</v>
      </c>
      <c r="C879" s="2" t="s">
        <v>74</v>
      </c>
      <c r="D879" s="2" t="s">
        <v>74</v>
      </c>
      <c r="E879" s="2" t="s">
        <v>74</v>
      </c>
      <c r="F879" s="2" t="s">
        <v>310</v>
      </c>
      <c r="G879" s="2" t="s">
        <v>74</v>
      </c>
      <c r="H879" s="2" t="s">
        <v>74</v>
      </c>
      <c r="I879" s="2" t="s">
        <v>311</v>
      </c>
      <c r="J879" s="2" t="s">
        <v>312</v>
      </c>
      <c r="K879" s="2" t="s">
        <v>74</v>
      </c>
      <c r="L879" s="2" t="s">
        <v>74</v>
      </c>
      <c r="M879" s="2" t="s">
        <v>74</v>
      </c>
      <c r="N879" s="2" t="s">
        <v>74</v>
      </c>
      <c r="O879" s="2" t="s">
        <v>74</v>
      </c>
      <c r="P879" s="2" t="s">
        <v>74</v>
      </c>
      <c r="Q879" s="2" t="s">
        <v>74</v>
      </c>
      <c r="R879" s="2" t="s">
        <v>74</v>
      </c>
      <c r="S879" s="2" t="s">
        <v>74</v>
      </c>
      <c r="T879" s="2" t="s">
        <v>74</v>
      </c>
      <c r="U879" s="2" t="s">
        <v>74</v>
      </c>
      <c r="V879" s="5" t="s">
        <v>313</v>
      </c>
      <c r="W879" s="2" t="s">
        <v>74</v>
      </c>
      <c r="X879" s="2" t="s">
        <v>74</v>
      </c>
      <c r="Y879" s="2" t="s">
        <v>74</v>
      </c>
      <c r="Z879" s="2" t="s">
        <v>74</v>
      </c>
      <c r="AA879" s="2" t="s">
        <v>74</v>
      </c>
      <c r="AB879" s="2" t="s">
        <v>74</v>
      </c>
      <c r="AC879" s="2" t="s">
        <v>74</v>
      </c>
      <c r="AD879" s="2" t="s">
        <v>74</v>
      </c>
      <c r="AE879" s="2" t="s">
        <v>74</v>
      </c>
      <c r="AF879" s="2" t="s">
        <v>74</v>
      </c>
      <c r="AG879" s="2" t="s">
        <v>74</v>
      </c>
      <c r="AH879" s="2" t="s">
        <v>74</v>
      </c>
      <c r="AI879" s="2" t="s">
        <v>74</v>
      </c>
      <c r="AJ879" s="2" t="s">
        <v>74</v>
      </c>
      <c r="AK879" s="2" t="s">
        <v>74</v>
      </c>
      <c r="AL879" s="2" t="s">
        <v>74</v>
      </c>
      <c r="AM879" s="2" t="s">
        <v>74</v>
      </c>
      <c r="AN879" s="2" t="s">
        <v>74</v>
      </c>
      <c r="AO879" s="2" t="s">
        <v>314</v>
      </c>
      <c r="AP879" s="2" t="s">
        <v>315</v>
      </c>
      <c r="AQ879" s="2" t="s">
        <v>74</v>
      </c>
      <c r="AR879" s="2" t="s">
        <v>74</v>
      </c>
      <c r="AS879" s="2" t="s">
        <v>74</v>
      </c>
      <c r="AT879" s="2" t="s">
        <v>145</v>
      </c>
      <c r="AU879" s="2">
        <v>2017</v>
      </c>
      <c r="AV879" s="2">
        <v>190</v>
      </c>
      <c r="AW879" s="2">
        <v>2</v>
      </c>
      <c r="AX879" s="2" t="s">
        <v>74</v>
      </c>
      <c r="AY879" s="2" t="s">
        <v>74</v>
      </c>
      <c r="AZ879" s="2" t="s">
        <v>74</v>
      </c>
      <c r="BA879" s="2" t="s">
        <v>74</v>
      </c>
      <c r="BB879" s="2">
        <v>157</v>
      </c>
      <c r="BC879" s="2">
        <v>170</v>
      </c>
      <c r="BD879" s="2" t="s">
        <v>74</v>
      </c>
      <c r="BE879" s="2" t="s">
        <v>316</v>
      </c>
      <c r="BF879" s="2" t="str">
        <f>HYPERLINK("http://dx.doi.org/10.1086/692535","http://dx.doi.org/10.1086/692535")</f>
        <v>http://dx.doi.org/10.1086/692535</v>
      </c>
      <c r="BG879" s="2" t="s">
        <v>74</v>
      </c>
      <c r="BH879" s="2" t="s">
        <v>74</v>
      </c>
      <c r="BI879" s="2" t="s">
        <v>74</v>
      </c>
      <c r="BJ879" s="2" t="s">
        <v>74</v>
      </c>
      <c r="BK879" s="2" t="s">
        <v>74</v>
      </c>
      <c r="BL879" s="2" t="s">
        <v>74</v>
      </c>
      <c r="BM879" s="2" t="s">
        <v>74</v>
      </c>
      <c r="BN879" s="2">
        <v>28731791</v>
      </c>
      <c r="BO879" s="2" t="s">
        <v>74</v>
      </c>
      <c r="BP879" s="2" t="s">
        <v>74</v>
      </c>
      <c r="BQ879" s="2" t="s">
        <v>74</v>
      </c>
      <c r="BR879" s="2" t="s">
        <v>74</v>
      </c>
      <c r="BS879" s="2" t="s">
        <v>317</v>
      </c>
      <c r="BT879" s="2" t="str">
        <f>HYPERLINK("https%3A%2F%2Fwww.webofscience.com%2Fwos%2Fwoscc%2Ffull-record%2FWOS:000406102400003","View Full Record in Web of Science")</f>
        <v>View Full Record in Web of Science</v>
      </c>
    </row>
    <row r="880" spans="1:72" s="2" customFormat="1" ht="14.25" customHeight="1" x14ac:dyDescent="0.4">
      <c r="A880" s="2" t="s">
        <v>72</v>
      </c>
      <c r="B880" s="2" t="s">
        <v>5113</v>
      </c>
      <c r="C880" s="2" t="s">
        <v>74</v>
      </c>
      <c r="D880" s="2" t="s">
        <v>74</v>
      </c>
      <c r="E880" s="2" t="s">
        <v>74</v>
      </c>
      <c r="F880" s="2" t="s">
        <v>5114</v>
      </c>
      <c r="G880" s="2" t="s">
        <v>74</v>
      </c>
      <c r="H880" s="2" t="s">
        <v>74</v>
      </c>
      <c r="I880" s="2" t="s">
        <v>5115</v>
      </c>
      <c r="J880" s="2" t="s">
        <v>367</v>
      </c>
      <c r="K880" s="2" t="s">
        <v>74</v>
      </c>
      <c r="L880" s="2" t="s">
        <v>74</v>
      </c>
      <c r="M880" s="2" t="s">
        <v>74</v>
      </c>
      <c r="N880" s="2" t="s">
        <v>74</v>
      </c>
      <c r="O880" s="2" t="s">
        <v>74</v>
      </c>
      <c r="P880" s="2" t="s">
        <v>74</v>
      </c>
      <c r="Q880" s="2" t="s">
        <v>74</v>
      </c>
      <c r="R880" s="2" t="s">
        <v>74</v>
      </c>
      <c r="S880" s="2" t="s">
        <v>74</v>
      </c>
      <c r="T880" s="2" t="s">
        <v>74</v>
      </c>
      <c r="U880" s="2" t="s">
        <v>74</v>
      </c>
      <c r="V880" s="5" t="s">
        <v>5116</v>
      </c>
      <c r="W880" s="2" t="s">
        <v>74</v>
      </c>
      <c r="X880" s="2" t="s">
        <v>74</v>
      </c>
      <c r="Y880" s="2" t="s">
        <v>74</v>
      </c>
      <c r="Z880" s="2" t="s">
        <v>74</v>
      </c>
      <c r="AA880" s="2" t="s">
        <v>5117</v>
      </c>
      <c r="AB880" s="2" t="s">
        <v>5118</v>
      </c>
      <c r="AC880" s="2" t="s">
        <v>74</v>
      </c>
      <c r="AD880" s="2" t="s">
        <v>74</v>
      </c>
      <c r="AE880" s="2" t="s">
        <v>74</v>
      </c>
      <c r="AF880" s="2" t="s">
        <v>74</v>
      </c>
      <c r="AG880" s="2" t="s">
        <v>74</v>
      </c>
      <c r="AH880" s="2" t="s">
        <v>74</v>
      </c>
      <c r="AI880" s="2" t="s">
        <v>74</v>
      </c>
      <c r="AJ880" s="2" t="s">
        <v>74</v>
      </c>
      <c r="AK880" s="2" t="s">
        <v>74</v>
      </c>
      <c r="AL880" s="2" t="s">
        <v>74</v>
      </c>
      <c r="AM880" s="2" t="s">
        <v>74</v>
      </c>
      <c r="AN880" s="2" t="s">
        <v>74</v>
      </c>
      <c r="AO880" s="2" t="s">
        <v>371</v>
      </c>
      <c r="AP880" s="2" t="s">
        <v>372</v>
      </c>
      <c r="AQ880" s="2" t="s">
        <v>74</v>
      </c>
      <c r="AR880" s="2" t="s">
        <v>74</v>
      </c>
      <c r="AS880" s="2" t="s">
        <v>74</v>
      </c>
      <c r="AT880" s="2" t="s">
        <v>213</v>
      </c>
      <c r="AU880" s="2">
        <v>2023</v>
      </c>
      <c r="AV880" s="2">
        <v>137</v>
      </c>
      <c r="AW880" s="2">
        <v>4</v>
      </c>
      <c r="AX880" s="2" t="s">
        <v>74</v>
      </c>
      <c r="AY880" s="2" t="s">
        <v>74</v>
      </c>
      <c r="AZ880" s="2" t="s">
        <v>74</v>
      </c>
      <c r="BA880" s="2" t="s">
        <v>74</v>
      </c>
      <c r="BB880" s="2">
        <v>212</v>
      </c>
      <c r="BC880" s="2">
        <v>222</v>
      </c>
      <c r="BD880" s="2" t="s">
        <v>74</v>
      </c>
      <c r="BE880" s="2" t="s">
        <v>5119</v>
      </c>
      <c r="BF880" s="2" t="str">
        <f>HYPERLINK("http://dx.doi.org/10.1037/com0000347","http://dx.doi.org/10.1037/com0000347")</f>
        <v>http://dx.doi.org/10.1037/com0000347</v>
      </c>
      <c r="BG880" s="2" t="s">
        <v>74</v>
      </c>
      <c r="BH880" s="2" t="s">
        <v>5120</v>
      </c>
      <c r="BI880" s="2" t="s">
        <v>74</v>
      </c>
      <c r="BJ880" s="2" t="s">
        <v>74</v>
      </c>
      <c r="BK880" s="2" t="s">
        <v>74</v>
      </c>
      <c r="BL880" s="2" t="s">
        <v>74</v>
      </c>
      <c r="BM880" s="2" t="s">
        <v>74</v>
      </c>
      <c r="BN880" s="2">
        <v>37307354</v>
      </c>
      <c r="BO880" s="2" t="s">
        <v>74</v>
      </c>
      <c r="BP880" s="2" t="s">
        <v>74</v>
      </c>
      <c r="BQ880" s="2" t="s">
        <v>74</v>
      </c>
      <c r="BR880" s="2" t="s">
        <v>74</v>
      </c>
      <c r="BS880" s="2" t="s">
        <v>5121</v>
      </c>
      <c r="BT880" s="2" t="str">
        <f>HYPERLINK("https%3A%2F%2Fwww.webofscience.com%2Fwos%2Fwoscc%2Ffull-record%2FWOS:001005612800001","View Full Record in Web of Science")</f>
        <v>View Full Record in Web of Science</v>
      </c>
    </row>
    <row r="881" spans="1:72" s="2" customFormat="1" x14ac:dyDescent="0.4">
      <c r="A881" s="2" t="s">
        <v>72</v>
      </c>
      <c r="B881" s="2" t="s">
        <v>6857</v>
      </c>
      <c r="C881" s="2" t="s">
        <v>74</v>
      </c>
      <c r="D881" s="2" t="s">
        <v>74</v>
      </c>
      <c r="E881" s="2" t="s">
        <v>74</v>
      </c>
      <c r="F881" s="2" t="s">
        <v>6857</v>
      </c>
      <c r="G881" s="2" t="s">
        <v>74</v>
      </c>
      <c r="H881" s="2" t="s">
        <v>74</v>
      </c>
      <c r="I881" s="2" t="s">
        <v>6858</v>
      </c>
      <c r="J881" s="2" t="s">
        <v>171</v>
      </c>
      <c r="K881" s="2" t="s">
        <v>74</v>
      </c>
      <c r="L881" s="2" t="s">
        <v>74</v>
      </c>
      <c r="M881" s="2" t="s">
        <v>74</v>
      </c>
      <c r="N881" s="2" t="s">
        <v>74</v>
      </c>
      <c r="O881" s="2" t="s">
        <v>74</v>
      </c>
      <c r="P881" s="2" t="s">
        <v>74</v>
      </c>
      <c r="Q881" s="2" t="s">
        <v>74</v>
      </c>
      <c r="R881" s="2" t="s">
        <v>74</v>
      </c>
      <c r="S881" s="2" t="s">
        <v>74</v>
      </c>
      <c r="T881" s="2" t="s">
        <v>74</v>
      </c>
      <c r="U881" s="2" t="s">
        <v>74</v>
      </c>
      <c r="V881" s="5" t="s">
        <v>6859</v>
      </c>
      <c r="W881" s="2" t="s">
        <v>74</v>
      </c>
      <c r="X881" s="2" t="s">
        <v>74</v>
      </c>
      <c r="Y881" s="2" t="s">
        <v>74</v>
      </c>
      <c r="Z881" s="2" t="s">
        <v>74</v>
      </c>
      <c r="AA881" s="2" t="s">
        <v>6860</v>
      </c>
      <c r="AB881" s="2" t="s">
        <v>6861</v>
      </c>
      <c r="AC881" s="2" t="s">
        <v>74</v>
      </c>
      <c r="AD881" s="2" t="s">
        <v>74</v>
      </c>
      <c r="AE881" s="2" t="s">
        <v>74</v>
      </c>
      <c r="AF881" s="2" t="s">
        <v>74</v>
      </c>
      <c r="AG881" s="2" t="s">
        <v>74</v>
      </c>
      <c r="AH881" s="2" t="s">
        <v>74</v>
      </c>
      <c r="AI881" s="2" t="s">
        <v>74</v>
      </c>
      <c r="AJ881" s="2" t="s">
        <v>74</v>
      </c>
      <c r="AK881" s="2" t="s">
        <v>74</v>
      </c>
      <c r="AL881" s="2" t="s">
        <v>74</v>
      </c>
      <c r="AM881" s="2" t="s">
        <v>74</v>
      </c>
      <c r="AN881" s="2" t="s">
        <v>74</v>
      </c>
      <c r="AO881" s="2" t="s">
        <v>173</v>
      </c>
      <c r="AP881" s="2" t="s">
        <v>174</v>
      </c>
      <c r="AQ881" s="2" t="s">
        <v>74</v>
      </c>
      <c r="AR881" s="2" t="s">
        <v>74</v>
      </c>
      <c r="AS881" s="2" t="s">
        <v>74</v>
      </c>
      <c r="AT881" s="2" t="s">
        <v>74</v>
      </c>
      <c r="AU881" s="2">
        <v>1981</v>
      </c>
      <c r="AV881" s="2">
        <v>35</v>
      </c>
      <c r="AW881" s="2">
        <v>4</v>
      </c>
      <c r="AX881" s="2" t="s">
        <v>74</v>
      </c>
      <c r="AY881" s="2" t="s">
        <v>74</v>
      </c>
      <c r="AZ881" s="2" t="s">
        <v>74</v>
      </c>
      <c r="BA881" s="2" t="s">
        <v>74</v>
      </c>
      <c r="BB881" s="2">
        <v>742</v>
      </c>
      <c r="BC881" s="2">
        <v>751</v>
      </c>
      <c r="BD881" s="2" t="s">
        <v>74</v>
      </c>
      <c r="BE881" s="2" t="s">
        <v>6862</v>
      </c>
      <c r="BF881" s="2" t="str">
        <f>HYPERLINK("http://dx.doi.org/10.2307/2408244","http://dx.doi.org/10.2307/2408244")</f>
        <v>http://dx.doi.org/10.2307/2408244</v>
      </c>
      <c r="BG881" s="2" t="s">
        <v>74</v>
      </c>
      <c r="BH881" s="2" t="s">
        <v>74</v>
      </c>
      <c r="BI881" s="2" t="s">
        <v>74</v>
      </c>
      <c r="BJ881" s="2" t="s">
        <v>74</v>
      </c>
      <c r="BK881" s="2" t="s">
        <v>74</v>
      </c>
      <c r="BL881" s="2" t="s">
        <v>74</v>
      </c>
      <c r="BM881" s="2" t="s">
        <v>74</v>
      </c>
      <c r="BN881" s="2">
        <v>28563145</v>
      </c>
      <c r="BO881" s="2" t="s">
        <v>74</v>
      </c>
      <c r="BP881" s="2" t="s">
        <v>74</v>
      </c>
      <c r="BQ881" s="2" t="s">
        <v>74</v>
      </c>
      <c r="BR881" s="2" t="s">
        <v>74</v>
      </c>
      <c r="BS881" s="2" t="s">
        <v>6863</v>
      </c>
      <c r="BT881" s="2" t="str">
        <f>HYPERLINK("https%3A%2F%2Fwww.webofscience.com%2Fwos%2Fwoscc%2Ffull-record%2FWOS:A1981LZ39300011","View Full Record in Web of Science")</f>
        <v>View Full Record in Web of Science</v>
      </c>
    </row>
    <row r="882" spans="1:72" s="1" customFormat="1" x14ac:dyDescent="0.4">
      <c r="A882" s="2" t="s">
        <v>72</v>
      </c>
      <c r="B882" s="2" t="s">
        <v>1366</v>
      </c>
      <c r="C882" s="2" t="s">
        <v>74</v>
      </c>
      <c r="D882" s="2" t="s">
        <v>74</v>
      </c>
      <c r="E882" s="2" t="s">
        <v>74</v>
      </c>
      <c r="F882" s="2" t="s">
        <v>1367</v>
      </c>
      <c r="G882" s="2" t="s">
        <v>74</v>
      </c>
      <c r="H882" s="2" t="s">
        <v>74</v>
      </c>
      <c r="I882" s="2" t="s">
        <v>1368</v>
      </c>
      <c r="J882" s="2" t="s">
        <v>576</v>
      </c>
      <c r="K882" s="2" t="s">
        <v>74</v>
      </c>
      <c r="L882" s="2" t="s">
        <v>74</v>
      </c>
      <c r="M882" s="2" t="s">
        <v>74</v>
      </c>
      <c r="N882" s="2" t="s">
        <v>74</v>
      </c>
      <c r="O882" s="2" t="s">
        <v>74</v>
      </c>
      <c r="P882" s="2" t="s">
        <v>74</v>
      </c>
      <c r="Q882" s="2" t="s">
        <v>74</v>
      </c>
      <c r="R882" s="2" t="s">
        <v>74</v>
      </c>
      <c r="S882" s="2" t="s">
        <v>74</v>
      </c>
      <c r="T882" s="2" t="s">
        <v>74</v>
      </c>
      <c r="U882" s="2" t="s">
        <v>74</v>
      </c>
      <c r="V882" s="5" t="s">
        <v>1369</v>
      </c>
      <c r="W882" s="2" t="s">
        <v>74</v>
      </c>
      <c r="X882" s="2" t="s">
        <v>74</v>
      </c>
      <c r="Y882" s="2" t="s">
        <v>74</v>
      </c>
      <c r="Z882" s="2" t="s">
        <v>74</v>
      </c>
      <c r="AA882" s="2" t="s">
        <v>74</v>
      </c>
      <c r="AB882" s="2" t="s">
        <v>74</v>
      </c>
      <c r="AC882" s="2" t="s">
        <v>74</v>
      </c>
      <c r="AD882" s="2" t="s">
        <v>74</v>
      </c>
      <c r="AE882" s="2" t="s">
        <v>74</v>
      </c>
      <c r="AF882" s="2" t="s">
        <v>74</v>
      </c>
      <c r="AG882" s="2" t="s">
        <v>74</v>
      </c>
      <c r="AH882" s="2" t="s">
        <v>74</v>
      </c>
      <c r="AI882" s="2" t="s">
        <v>74</v>
      </c>
      <c r="AJ882" s="2" t="s">
        <v>74</v>
      </c>
      <c r="AK882" s="2" t="s">
        <v>74</v>
      </c>
      <c r="AL882" s="2" t="s">
        <v>74</v>
      </c>
      <c r="AM882" s="2" t="s">
        <v>74</v>
      </c>
      <c r="AN882" s="2" t="s">
        <v>74</v>
      </c>
      <c r="AO882" s="2" t="s">
        <v>579</v>
      </c>
      <c r="AP882" s="2" t="s">
        <v>580</v>
      </c>
      <c r="AQ882" s="2" t="s">
        <v>74</v>
      </c>
      <c r="AR882" s="2" t="s">
        <v>74</v>
      </c>
      <c r="AS882" s="2" t="s">
        <v>74</v>
      </c>
      <c r="AT882" s="2" t="s">
        <v>352</v>
      </c>
      <c r="AU882" s="2">
        <v>2011</v>
      </c>
      <c r="AV882" s="2">
        <v>25</v>
      </c>
      <c r="AW882" s="2">
        <v>5</v>
      </c>
      <c r="AX882" s="2" t="s">
        <v>74</v>
      </c>
      <c r="AY882" s="2" t="s">
        <v>74</v>
      </c>
      <c r="AZ882" s="2" t="s">
        <v>74</v>
      </c>
      <c r="BA882" s="2" t="s">
        <v>74</v>
      </c>
      <c r="BB882" s="2">
        <v>993</v>
      </c>
      <c r="BC882" s="2">
        <v>1015</v>
      </c>
      <c r="BD882" s="2" t="s">
        <v>74</v>
      </c>
      <c r="BE882" s="2" t="s">
        <v>1370</v>
      </c>
      <c r="BF882" s="2" t="str">
        <f>HYPERLINK("http://dx.doi.org/10.1007/s10682-010-9455-5","http://dx.doi.org/10.1007/s10682-010-9455-5")</f>
        <v>http://dx.doi.org/10.1007/s10682-010-9455-5</v>
      </c>
      <c r="BG882" s="2" t="s">
        <v>74</v>
      </c>
      <c r="BH882" s="2" t="s">
        <v>74</v>
      </c>
      <c r="BI882" s="2" t="s">
        <v>74</v>
      </c>
      <c r="BJ882" s="2" t="s">
        <v>74</v>
      </c>
      <c r="BK882" s="2" t="s">
        <v>74</v>
      </c>
      <c r="BL882" s="2" t="s">
        <v>74</v>
      </c>
      <c r="BM882" s="2" t="s">
        <v>74</v>
      </c>
      <c r="BN882" s="2" t="s">
        <v>74</v>
      </c>
      <c r="BO882" s="2" t="s">
        <v>74</v>
      </c>
      <c r="BP882" s="2" t="s">
        <v>74</v>
      </c>
      <c r="BQ882" s="2" t="s">
        <v>74</v>
      </c>
      <c r="BR882" s="2" t="s">
        <v>74</v>
      </c>
      <c r="BS882" s="2" t="s">
        <v>1371</v>
      </c>
      <c r="BT882" s="2" t="str">
        <f>HYPERLINK("https%3A%2F%2Fwww.webofscience.com%2Fwos%2Fwoscc%2Ffull-record%2FWOS:000294499800003","View Full Record in Web of Science")</f>
        <v>View Full Record in Web of Science</v>
      </c>
    </row>
    <row r="883" spans="1:72" s="2" customFormat="1" x14ac:dyDescent="0.4">
      <c r="A883" s="2" t="s">
        <v>72</v>
      </c>
      <c r="B883" s="2" t="s">
        <v>4275</v>
      </c>
      <c r="C883" s="2" t="s">
        <v>74</v>
      </c>
      <c r="D883" s="2" t="s">
        <v>74</v>
      </c>
      <c r="E883" s="2" t="s">
        <v>74</v>
      </c>
      <c r="F883" s="2" t="s">
        <v>4276</v>
      </c>
      <c r="G883" s="2" t="s">
        <v>74</v>
      </c>
      <c r="H883" s="2" t="s">
        <v>74</v>
      </c>
      <c r="I883" s="2" t="s">
        <v>4277</v>
      </c>
      <c r="J883" s="2" t="s">
        <v>4278</v>
      </c>
      <c r="K883" s="2" t="s">
        <v>74</v>
      </c>
      <c r="L883" s="2" t="s">
        <v>74</v>
      </c>
      <c r="M883" s="2" t="s">
        <v>74</v>
      </c>
      <c r="N883" s="2" t="s">
        <v>74</v>
      </c>
      <c r="O883" s="2" t="s">
        <v>74</v>
      </c>
      <c r="P883" s="2" t="s">
        <v>74</v>
      </c>
      <c r="Q883" s="2" t="s">
        <v>74</v>
      </c>
      <c r="R883" s="2" t="s">
        <v>74</v>
      </c>
      <c r="S883" s="2" t="s">
        <v>74</v>
      </c>
      <c r="T883" s="2" t="s">
        <v>74</v>
      </c>
      <c r="U883" s="2" t="s">
        <v>74</v>
      </c>
      <c r="V883" s="5" t="s">
        <v>4279</v>
      </c>
      <c r="W883" s="2" t="s">
        <v>74</v>
      </c>
      <c r="X883" s="2" t="s">
        <v>74</v>
      </c>
      <c r="Y883" s="2" t="s">
        <v>74</v>
      </c>
      <c r="Z883" s="2" t="s">
        <v>74</v>
      </c>
      <c r="AA883" s="2" t="s">
        <v>4280</v>
      </c>
      <c r="AB883" s="2" t="s">
        <v>4281</v>
      </c>
      <c r="AC883" s="2" t="s">
        <v>74</v>
      </c>
      <c r="AD883" s="2" t="s">
        <v>74</v>
      </c>
      <c r="AE883" s="2" t="s">
        <v>74</v>
      </c>
      <c r="AF883" s="2" t="s">
        <v>74</v>
      </c>
      <c r="AG883" s="2" t="s">
        <v>74</v>
      </c>
      <c r="AH883" s="2" t="s">
        <v>74</v>
      </c>
      <c r="AI883" s="2" t="s">
        <v>74</v>
      </c>
      <c r="AJ883" s="2" t="s">
        <v>74</v>
      </c>
      <c r="AK883" s="2" t="s">
        <v>74</v>
      </c>
      <c r="AL883" s="2" t="s">
        <v>74</v>
      </c>
      <c r="AM883" s="2" t="s">
        <v>74</v>
      </c>
      <c r="AN883" s="2" t="s">
        <v>74</v>
      </c>
      <c r="AO883" s="2" t="s">
        <v>4282</v>
      </c>
      <c r="AP883" s="2" t="s">
        <v>4283</v>
      </c>
      <c r="AQ883" s="2" t="s">
        <v>74</v>
      </c>
      <c r="AR883" s="2" t="s">
        <v>74</v>
      </c>
      <c r="AS883" s="2" t="s">
        <v>74</v>
      </c>
      <c r="AT883" s="2" t="s">
        <v>213</v>
      </c>
      <c r="AU883" s="2">
        <v>2016</v>
      </c>
      <c r="AV883" s="2">
        <v>42</v>
      </c>
      <c r="AW883" s="2">
        <v>11</v>
      </c>
      <c r="AX883" s="2" t="s">
        <v>74</v>
      </c>
      <c r="AY883" s="2" t="s">
        <v>74</v>
      </c>
      <c r="AZ883" s="2" t="s">
        <v>74</v>
      </c>
      <c r="BA883" s="2" t="s">
        <v>74</v>
      </c>
      <c r="BB883" s="2">
        <v>1164</v>
      </c>
      <c r="BC883" s="2">
        <v>1174</v>
      </c>
      <c r="BD883" s="2" t="s">
        <v>74</v>
      </c>
      <c r="BE883" s="2" t="s">
        <v>4284</v>
      </c>
      <c r="BF883" s="2" t="str">
        <f>HYPERLINK("http://dx.doi.org/10.1007/s10886-016-0778-8","http://dx.doi.org/10.1007/s10886-016-0778-8")</f>
        <v>http://dx.doi.org/10.1007/s10886-016-0778-8</v>
      </c>
      <c r="BG883" s="2" t="s">
        <v>74</v>
      </c>
      <c r="BH883" s="2" t="s">
        <v>74</v>
      </c>
      <c r="BI883" s="2" t="s">
        <v>74</v>
      </c>
      <c r="BJ883" s="2" t="s">
        <v>74</v>
      </c>
      <c r="BK883" s="2" t="s">
        <v>74</v>
      </c>
      <c r="BL883" s="2" t="s">
        <v>74</v>
      </c>
      <c r="BM883" s="2" t="s">
        <v>74</v>
      </c>
      <c r="BN883" s="2">
        <v>27722876</v>
      </c>
      <c r="BO883" s="2" t="s">
        <v>74</v>
      </c>
      <c r="BP883" s="2" t="s">
        <v>74</v>
      </c>
      <c r="BQ883" s="2" t="s">
        <v>74</v>
      </c>
      <c r="BR883" s="2" t="s">
        <v>74</v>
      </c>
      <c r="BS883" s="2" t="s">
        <v>4285</v>
      </c>
      <c r="BT883" s="2" t="str">
        <f>HYPERLINK("https%3A%2F%2Fwww.webofscience.com%2Fwos%2Fwoscc%2Ffull-record%2FWOS:000388808300007","View Full Record in Web of Science")</f>
        <v>View Full Record in Web of Science</v>
      </c>
    </row>
    <row r="884" spans="1:72" s="1" customFormat="1" x14ac:dyDescent="0.4">
      <c r="A884" s="2" t="s">
        <v>72</v>
      </c>
      <c r="B884" s="2" t="s">
        <v>382</v>
      </c>
      <c r="C884" s="2" t="s">
        <v>74</v>
      </c>
      <c r="D884" s="2" t="s">
        <v>74</v>
      </c>
      <c r="E884" s="2" t="s">
        <v>74</v>
      </c>
      <c r="F884" s="2" t="s">
        <v>383</v>
      </c>
      <c r="G884" s="2" t="s">
        <v>74</v>
      </c>
      <c r="H884" s="2" t="s">
        <v>74</v>
      </c>
      <c r="I884" s="2" t="s">
        <v>384</v>
      </c>
      <c r="J884" s="2" t="s">
        <v>140</v>
      </c>
      <c r="K884" s="2" t="s">
        <v>74</v>
      </c>
      <c r="L884" s="2" t="s">
        <v>74</v>
      </c>
      <c r="M884" s="2" t="s">
        <v>74</v>
      </c>
      <c r="N884" s="2" t="s">
        <v>74</v>
      </c>
      <c r="O884" s="2" t="s">
        <v>74</v>
      </c>
      <c r="P884" s="2" t="s">
        <v>74</v>
      </c>
      <c r="Q884" s="2" t="s">
        <v>74</v>
      </c>
      <c r="R884" s="2" t="s">
        <v>74</v>
      </c>
      <c r="S884" s="2" t="s">
        <v>74</v>
      </c>
      <c r="T884" s="2" t="s">
        <v>74</v>
      </c>
      <c r="U884" s="2" t="s">
        <v>74</v>
      </c>
      <c r="V884" s="5" t="s">
        <v>385</v>
      </c>
      <c r="W884" s="2" t="s">
        <v>74</v>
      </c>
      <c r="X884" s="2" t="s">
        <v>74</v>
      </c>
      <c r="Y884" s="2" t="s">
        <v>74</v>
      </c>
      <c r="Z884" s="2" t="s">
        <v>74</v>
      </c>
      <c r="AA884" s="2" t="s">
        <v>386</v>
      </c>
      <c r="AB884" s="2" t="s">
        <v>74</v>
      </c>
      <c r="AC884" s="2" t="s">
        <v>74</v>
      </c>
      <c r="AD884" s="2" t="s">
        <v>74</v>
      </c>
      <c r="AE884" s="2" t="s">
        <v>74</v>
      </c>
      <c r="AF884" s="2" t="s">
        <v>74</v>
      </c>
      <c r="AG884" s="2" t="s">
        <v>74</v>
      </c>
      <c r="AH884" s="2" t="s">
        <v>74</v>
      </c>
      <c r="AI884" s="2" t="s">
        <v>74</v>
      </c>
      <c r="AJ884" s="2" t="s">
        <v>74</v>
      </c>
      <c r="AK884" s="2" t="s">
        <v>74</v>
      </c>
      <c r="AL884" s="2" t="s">
        <v>74</v>
      </c>
      <c r="AM884" s="2" t="s">
        <v>74</v>
      </c>
      <c r="AN884" s="2" t="s">
        <v>74</v>
      </c>
      <c r="AO884" s="2" t="s">
        <v>143</v>
      </c>
      <c r="AP884" s="2" t="s">
        <v>74</v>
      </c>
      <c r="AQ884" s="2" t="s">
        <v>74</v>
      </c>
      <c r="AR884" s="2" t="s">
        <v>74</v>
      </c>
      <c r="AS884" s="2" t="s">
        <v>74</v>
      </c>
      <c r="AT884" s="2" t="s">
        <v>145</v>
      </c>
      <c r="AU884" s="2">
        <v>2009</v>
      </c>
      <c r="AV884" s="2">
        <v>78</v>
      </c>
      <c r="AW884" s="2">
        <v>2</v>
      </c>
      <c r="AX884" s="2" t="s">
        <v>74</v>
      </c>
      <c r="AY884" s="2" t="s">
        <v>74</v>
      </c>
      <c r="AZ884" s="2" t="s">
        <v>74</v>
      </c>
      <c r="BA884" s="2" t="s">
        <v>74</v>
      </c>
      <c r="BB884" s="2">
        <v>393</v>
      </c>
      <c r="BC884" s="2">
        <v>398</v>
      </c>
      <c r="BD884" s="2" t="s">
        <v>74</v>
      </c>
      <c r="BE884" s="2" t="s">
        <v>387</v>
      </c>
      <c r="BF884" s="2" t="str">
        <f>HYPERLINK("http://dx.doi.org/10.1016/j.anbehav.2009.05.013","http://dx.doi.org/10.1016/j.anbehav.2009.05.013")</f>
        <v>http://dx.doi.org/10.1016/j.anbehav.2009.05.013</v>
      </c>
      <c r="BG884" s="2" t="s">
        <v>74</v>
      </c>
      <c r="BH884" s="2" t="s">
        <v>74</v>
      </c>
      <c r="BI884" s="2" t="s">
        <v>74</v>
      </c>
      <c r="BJ884" s="2" t="s">
        <v>74</v>
      </c>
      <c r="BK884" s="2" t="s">
        <v>74</v>
      </c>
      <c r="BL884" s="2" t="s">
        <v>74</v>
      </c>
      <c r="BM884" s="2" t="s">
        <v>74</v>
      </c>
      <c r="BN884" s="2" t="s">
        <v>74</v>
      </c>
      <c r="BO884" s="2" t="s">
        <v>74</v>
      </c>
      <c r="BP884" s="2" t="s">
        <v>74</v>
      </c>
      <c r="BQ884" s="2" t="s">
        <v>74</v>
      </c>
      <c r="BR884" s="2" t="s">
        <v>74</v>
      </c>
      <c r="BS884" s="2" t="s">
        <v>388</v>
      </c>
      <c r="BT884" s="2" t="str">
        <f>HYPERLINK("https%3A%2F%2Fwww.webofscience.com%2Fwos%2Fwoscc%2Ffull-record%2FWOS:000268902900021","View Full Record in Web of Science")</f>
        <v>View Full Record in Web of Science</v>
      </c>
    </row>
    <row r="885" spans="1:72" s="2" customFormat="1" x14ac:dyDescent="0.4">
      <c r="A885" s="2" t="s">
        <v>72</v>
      </c>
      <c r="B885" s="2" t="s">
        <v>382</v>
      </c>
      <c r="C885" s="2" t="s">
        <v>74</v>
      </c>
      <c r="D885" s="2" t="s">
        <v>74</v>
      </c>
      <c r="E885" s="2" t="s">
        <v>74</v>
      </c>
      <c r="F885" s="2" t="s">
        <v>383</v>
      </c>
      <c r="G885" s="2" t="s">
        <v>74</v>
      </c>
      <c r="H885" s="2" t="s">
        <v>74</v>
      </c>
      <c r="I885" s="2" t="s">
        <v>2748</v>
      </c>
      <c r="J885" s="2" t="s">
        <v>171</v>
      </c>
      <c r="K885" s="2" t="s">
        <v>74</v>
      </c>
      <c r="L885" s="2" t="s">
        <v>74</v>
      </c>
      <c r="M885" s="2" t="s">
        <v>74</v>
      </c>
      <c r="N885" s="2" t="s">
        <v>74</v>
      </c>
      <c r="O885" s="2" t="s">
        <v>74</v>
      </c>
      <c r="P885" s="2" t="s">
        <v>74</v>
      </c>
      <c r="Q885" s="2" t="s">
        <v>74</v>
      </c>
      <c r="R885" s="2" t="s">
        <v>74</v>
      </c>
      <c r="S885" s="2" t="s">
        <v>74</v>
      </c>
      <c r="T885" s="2" t="s">
        <v>74</v>
      </c>
      <c r="U885" s="2" t="s">
        <v>74</v>
      </c>
      <c r="V885" s="5" t="s">
        <v>2749</v>
      </c>
      <c r="W885" s="2" t="s">
        <v>74</v>
      </c>
      <c r="X885" s="2" t="s">
        <v>74</v>
      </c>
      <c r="Y885" s="2" t="s">
        <v>74</v>
      </c>
      <c r="Z885" s="2" t="s">
        <v>74</v>
      </c>
      <c r="AA885" s="2" t="s">
        <v>386</v>
      </c>
      <c r="AB885" s="2" t="s">
        <v>74</v>
      </c>
      <c r="AC885" s="2" t="s">
        <v>74</v>
      </c>
      <c r="AD885" s="2" t="s">
        <v>74</v>
      </c>
      <c r="AE885" s="2" t="s">
        <v>74</v>
      </c>
      <c r="AF885" s="2" t="s">
        <v>74</v>
      </c>
      <c r="AG885" s="2" t="s">
        <v>74</v>
      </c>
      <c r="AH885" s="2" t="s">
        <v>74</v>
      </c>
      <c r="AI885" s="2" t="s">
        <v>74</v>
      </c>
      <c r="AJ885" s="2" t="s">
        <v>74</v>
      </c>
      <c r="AK885" s="2" t="s">
        <v>74</v>
      </c>
      <c r="AL885" s="2" t="s">
        <v>74</v>
      </c>
      <c r="AM885" s="2" t="s">
        <v>74</v>
      </c>
      <c r="AN885" s="2" t="s">
        <v>74</v>
      </c>
      <c r="AO885" s="2" t="s">
        <v>173</v>
      </c>
      <c r="AP885" s="2" t="s">
        <v>174</v>
      </c>
      <c r="AQ885" s="2" t="s">
        <v>74</v>
      </c>
      <c r="AR885" s="2" t="s">
        <v>74</v>
      </c>
      <c r="AS885" s="2" t="s">
        <v>74</v>
      </c>
      <c r="AT885" s="2" t="s">
        <v>134</v>
      </c>
      <c r="AU885" s="2">
        <v>2010</v>
      </c>
      <c r="AV885" s="2">
        <v>64</v>
      </c>
      <c r="AW885" s="2">
        <v>5</v>
      </c>
      <c r="AX885" s="2" t="s">
        <v>74</v>
      </c>
      <c r="AY885" s="2" t="s">
        <v>74</v>
      </c>
      <c r="AZ885" s="2" t="s">
        <v>74</v>
      </c>
      <c r="BA885" s="2" t="s">
        <v>74</v>
      </c>
      <c r="BB885" s="2">
        <v>1301</v>
      </c>
      <c r="BC885" s="2">
        <v>1310</v>
      </c>
      <c r="BD885" s="2" t="s">
        <v>74</v>
      </c>
      <c r="BE885" s="2" t="s">
        <v>2750</v>
      </c>
      <c r="BF885" s="2" t="str">
        <f>HYPERLINK("http://dx.doi.org/10.1111/j.1558-5646.2009.00897.x","http://dx.doi.org/10.1111/j.1558-5646.2009.00897.x")</f>
        <v>http://dx.doi.org/10.1111/j.1558-5646.2009.00897.x</v>
      </c>
      <c r="BG885" s="2" t="s">
        <v>74</v>
      </c>
      <c r="BH885" s="2" t="s">
        <v>74</v>
      </c>
      <c r="BI885" s="2" t="s">
        <v>74</v>
      </c>
      <c r="BJ885" s="2" t="s">
        <v>74</v>
      </c>
      <c r="BK885" s="2" t="s">
        <v>74</v>
      </c>
      <c r="BL885" s="2" t="s">
        <v>74</v>
      </c>
      <c r="BM885" s="2" t="s">
        <v>74</v>
      </c>
      <c r="BN885" s="2">
        <v>19922444</v>
      </c>
      <c r="BO885" s="2" t="s">
        <v>74</v>
      </c>
      <c r="BP885" s="2" t="s">
        <v>74</v>
      </c>
      <c r="BQ885" s="2" t="s">
        <v>74</v>
      </c>
      <c r="BR885" s="2" t="s">
        <v>74</v>
      </c>
      <c r="BS885" s="2" t="s">
        <v>2751</v>
      </c>
      <c r="BT885" s="2" t="str">
        <f>HYPERLINK("https%3A%2F%2Fwww.webofscience.com%2Fwos%2Fwoscc%2Ffull-record%2FWOS:000277096400011","View Full Record in Web of Science")</f>
        <v>View Full Record in Web of Science</v>
      </c>
    </row>
    <row r="886" spans="1:72" s="2" customFormat="1" x14ac:dyDescent="0.4">
      <c r="A886" s="2" t="s">
        <v>72</v>
      </c>
      <c r="B886" s="2" t="s">
        <v>6925</v>
      </c>
      <c r="C886" s="2" t="s">
        <v>74</v>
      </c>
      <c r="D886" s="2" t="s">
        <v>74</v>
      </c>
      <c r="E886" s="2" t="s">
        <v>74</v>
      </c>
      <c r="F886" s="2" t="s">
        <v>6926</v>
      </c>
      <c r="G886" s="2" t="s">
        <v>74</v>
      </c>
      <c r="H886" s="2" t="s">
        <v>74</v>
      </c>
      <c r="I886" s="2" t="s">
        <v>6927</v>
      </c>
      <c r="J886" s="2" t="s">
        <v>140</v>
      </c>
      <c r="K886" s="2" t="s">
        <v>74</v>
      </c>
      <c r="L886" s="2" t="s">
        <v>74</v>
      </c>
      <c r="M886" s="2" t="s">
        <v>74</v>
      </c>
      <c r="N886" s="2" t="s">
        <v>74</v>
      </c>
      <c r="O886" s="2" t="s">
        <v>74</v>
      </c>
      <c r="P886" s="2" t="s">
        <v>74</v>
      </c>
      <c r="Q886" s="2" t="s">
        <v>74</v>
      </c>
      <c r="R886" s="2" t="s">
        <v>74</v>
      </c>
      <c r="S886" s="2" t="s">
        <v>74</v>
      </c>
      <c r="T886" s="2" t="s">
        <v>74</v>
      </c>
      <c r="U886" s="2" t="s">
        <v>74</v>
      </c>
      <c r="V886" s="5" t="s">
        <v>6928</v>
      </c>
      <c r="W886" s="2" t="s">
        <v>74</v>
      </c>
      <c r="X886" s="2" t="s">
        <v>74</v>
      </c>
      <c r="Y886" s="2" t="s">
        <v>74</v>
      </c>
      <c r="Z886" s="2" t="s">
        <v>74</v>
      </c>
      <c r="AA886" s="2" t="s">
        <v>74</v>
      </c>
      <c r="AB886" s="2" t="s">
        <v>6929</v>
      </c>
      <c r="AC886" s="2" t="s">
        <v>74</v>
      </c>
      <c r="AD886" s="2" t="s">
        <v>74</v>
      </c>
      <c r="AE886" s="2" t="s">
        <v>74</v>
      </c>
      <c r="AF886" s="2" t="s">
        <v>74</v>
      </c>
      <c r="AG886" s="2" t="s">
        <v>74</v>
      </c>
      <c r="AH886" s="2" t="s">
        <v>74</v>
      </c>
      <c r="AI886" s="2" t="s">
        <v>74</v>
      </c>
      <c r="AJ886" s="2" t="s">
        <v>74</v>
      </c>
      <c r="AK886" s="2" t="s">
        <v>74</v>
      </c>
      <c r="AL886" s="2" t="s">
        <v>74</v>
      </c>
      <c r="AM886" s="2" t="s">
        <v>74</v>
      </c>
      <c r="AN886" s="2" t="s">
        <v>74</v>
      </c>
      <c r="AO886" s="2" t="s">
        <v>143</v>
      </c>
      <c r="AP886" s="2" t="s">
        <v>144</v>
      </c>
      <c r="AQ886" s="2" t="s">
        <v>74</v>
      </c>
      <c r="AR886" s="2" t="s">
        <v>74</v>
      </c>
      <c r="AS886" s="2" t="s">
        <v>74</v>
      </c>
      <c r="AT886" s="2" t="s">
        <v>633</v>
      </c>
      <c r="AU886" s="2">
        <v>2020</v>
      </c>
      <c r="AV886" s="2">
        <v>162</v>
      </c>
      <c r="AW886" s="2" t="s">
        <v>74</v>
      </c>
      <c r="AX886" s="2" t="s">
        <v>74</v>
      </c>
      <c r="AY886" s="2" t="s">
        <v>74</v>
      </c>
      <c r="AZ886" s="2" t="s">
        <v>74</v>
      </c>
      <c r="BA886" s="2" t="s">
        <v>74</v>
      </c>
      <c r="BB886" s="2">
        <v>123</v>
      </c>
      <c r="BC886" s="2">
        <v>133</v>
      </c>
      <c r="BD886" s="2" t="s">
        <v>74</v>
      </c>
      <c r="BE886" s="2" t="s">
        <v>6930</v>
      </c>
      <c r="BF886" s="2" t="str">
        <f>HYPERLINK("http://dx.doi.org/10.1016/j.anbehav.2020.02.008","http://dx.doi.org/10.1016/j.anbehav.2020.02.008")</f>
        <v>http://dx.doi.org/10.1016/j.anbehav.2020.02.008</v>
      </c>
      <c r="BG886" s="2" t="s">
        <v>74</v>
      </c>
      <c r="BH886" s="2" t="s">
        <v>74</v>
      </c>
      <c r="BI886" s="2" t="s">
        <v>74</v>
      </c>
      <c r="BJ886" s="2" t="s">
        <v>74</v>
      </c>
      <c r="BK886" s="2" t="s">
        <v>74</v>
      </c>
      <c r="BL886" s="2" t="s">
        <v>74</v>
      </c>
      <c r="BM886" s="2" t="s">
        <v>74</v>
      </c>
      <c r="BN886" s="2" t="s">
        <v>74</v>
      </c>
      <c r="BO886" s="2" t="s">
        <v>74</v>
      </c>
      <c r="BP886" s="2" t="s">
        <v>74</v>
      </c>
      <c r="BQ886" s="2" t="s">
        <v>74</v>
      </c>
      <c r="BR886" s="2" t="s">
        <v>74</v>
      </c>
      <c r="BS886" s="2" t="s">
        <v>6931</v>
      </c>
      <c r="BT886" s="2" t="str">
        <f>HYPERLINK("https%3A%2F%2Fwww.webofscience.com%2Fwos%2Fwoscc%2Ffull-record%2FWOS:000522974300013","View Full Record in Web of Science")</f>
        <v>View Full Record in Web of Science</v>
      </c>
    </row>
    <row r="887" spans="1:72" s="2" customFormat="1" x14ac:dyDescent="0.4">
      <c r="A887" s="2" t="s">
        <v>72</v>
      </c>
      <c r="B887" s="2" t="s">
        <v>3938</v>
      </c>
      <c r="C887" s="2" t="s">
        <v>74</v>
      </c>
      <c r="D887" s="2" t="s">
        <v>74</v>
      </c>
      <c r="E887" s="2" t="s">
        <v>74</v>
      </c>
      <c r="F887" s="2" t="s">
        <v>3939</v>
      </c>
      <c r="G887" s="2" t="s">
        <v>74</v>
      </c>
      <c r="H887" s="2" t="s">
        <v>74</v>
      </c>
      <c r="I887" s="2" t="s">
        <v>3940</v>
      </c>
      <c r="J887" s="2" t="s">
        <v>1526</v>
      </c>
      <c r="K887" s="2" t="s">
        <v>74</v>
      </c>
      <c r="L887" s="2" t="s">
        <v>74</v>
      </c>
      <c r="M887" s="2" t="s">
        <v>74</v>
      </c>
      <c r="N887" s="2" t="s">
        <v>74</v>
      </c>
      <c r="O887" s="2" t="s">
        <v>74</v>
      </c>
      <c r="P887" s="2" t="s">
        <v>74</v>
      </c>
      <c r="Q887" s="2" t="s">
        <v>74</v>
      </c>
      <c r="R887" s="2" t="s">
        <v>74</v>
      </c>
      <c r="S887" s="2" t="s">
        <v>74</v>
      </c>
      <c r="T887" s="2" t="s">
        <v>74</v>
      </c>
      <c r="U887" s="2" t="s">
        <v>74</v>
      </c>
      <c r="V887" s="5" t="s">
        <v>3941</v>
      </c>
      <c r="W887" s="2" t="s">
        <v>74</v>
      </c>
      <c r="X887" s="2" t="s">
        <v>74</v>
      </c>
      <c r="Y887" s="2" t="s">
        <v>74</v>
      </c>
      <c r="Z887" s="2" t="s">
        <v>74</v>
      </c>
      <c r="AA887" s="2" t="s">
        <v>3942</v>
      </c>
      <c r="AB887" s="2" t="s">
        <v>3943</v>
      </c>
      <c r="AC887" s="2" t="s">
        <v>74</v>
      </c>
      <c r="AD887" s="2" t="s">
        <v>74</v>
      </c>
      <c r="AE887" s="2" t="s">
        <v>74</v>
      </c>
      <c r="AF887" s="2" t="s">
        <v>74</v>
      </c>
      <c r="AG887" s="2" t="s">
        <v>74</v>
      </c>
      <c r="AH887" s="2" t="s">
        <v>74</v>
      </c>
      <c r="AI887" s="2" t="s">
        <v>74</v>
      </c>
      <c r="AJ887" s="2" t="s">
        <v>74</v>
      </c>
      <c r="AK887" s="2" t="s">
        <v>74</v>
      </c>
      <c r="AL887" s="2" t="s">
        <v>74</v>
      </c>
      <c r="AM887" s="2" t="s">
        <v>74</v>
      </c>
      <c r="AN887" s="2" t="s">
        <v>74</v>
      </c>
      <c r="AO887" s="2" t="s">
        <v>1528</v>
      </c>
      <c r="AP887" s="2" t="s">
        <v>2131</v>
      </c>
      <c r="AQ887" s="2" t="s">
        <v>74</v>
      </c>
      <c r="AR887" s="2" t="s">
        <v>74</v>
      </c>
      <c r="AS887" s="2" t="s">
        <v>74</v>
      </c>
      <c r="AT887" s="2" t="s">
        <v>213</v>
      </c>
      <c r="AU887" s="2">
        <v>2013</v>
      </c>
      <c r="AV887" s="2">
        <v>115</v>
      </c>
      <c r="AW887" s="2">
        <v>4</v>
      </c>
      <c r="AX887" s="2" t="s">
        <v>74</v>
      </c>
      <c r="AY887" s="2" t="s">
        <v>74</v>
      </c>
      <c r="AZ887" s="2" t="s">
        <v>74</v>
      </c>
      <c r="BA887" s="2" t="s">
        <v>74</v>
      </c>
      <c r="BB887" s="2">
        <v>902</v>
      </c>
      <c r="BC887" s="2">
        <v>909</v>
      </c>
      <c r="BD887" s="2" t="s">
        <v>74</v>
      </c>
      <c r="BE887" s="2" t="s">
        <v>3944</v>
      </c>
      <c r="BF887" s="2" t="str">
        <f>HYPERLINK("http://dx.doi.org/10.1525/cond.2013.120009","http://dx.doi.org/10.1525/cond.2013.120009")</f>
        <v>http://dx.doi.org/10.1525/cond.2013.120009</v>
      </c>
      <c r="BG887" s="2" t="s">
        <v>74</v>
      </c>
      <c r="BH887" s="2" t="s">
        <v>74</v>
      </c>
      <c r="BI887" s="2" t="s">
        <v>74</v>
      </c>
      <c r="BJ887" s="2" t="s">
        <v>74</v>
      </c>
      <c r="BK887" s="2" t="s">
        <v>74</v>
      </c>
      <c r="BL887" s="2" t="s">
        <v>74</v>
      </c>
      <c r="BM887" s="2" t="s">
        <v>74</v>
      </c>
      <c r="BN887" s="2" t="s">
        <v>74</v>
      </c>
      <c r="BO887" s="2" t="s">
        <v>74</v>
      </c>
      <c r="BP887" s="2" t="s">
        <v>74</v>
      </c>
      <c r="BQ887" s="2" t="s">
        <v>74</v>
      </c>
      <c r="BR887" s="2" t="s">
        <v>74</v>
      </c>
      <c r="BS887" s="2" t="s">
        <v>3945</v>
      </c>
      <c r="BT887" s="2" t="str">
        <f>HYPERLINK("https%3A%2F%2Fwww.webofscience.com%2Fwos%2Fwoscc%2Ffull-record%2FWOS:000328295800022","View Full Record in Web of Science")</f>
        <v>View Full Record in Web of Science</v>
      </c>
    </row>
    <row r="888" spans="1:72" s="2" customFormat="1" x14ac:dyDescent="0.4">
      <c r="A888" s="2" t="s">
        <v>72</v>
      </c>
      <c r="B888" s="2" t="s">
        <v>271</v>
      </c>
      <c r="C888" s="2" t="s">
        <v>74</v>
      </c>
      <c r="D888" s="2" t="s">
        <v>74</v>
      </c>
      <c r="E888" s="2" t="s">
        <v>74</v>
      </c>
      <c r="F888" s="2" t="s">
        <v>2636</v>
      </c>
      <c r="G888" s="2" t="s">
        <v>74</v>
      </c>
      <c r="H888" s="2" t="s">
        <v>74</v>
      </c>
      <c r="I888" s="2" t="s">
        <v>2637</v>
      </c>
      <c r="J888" s="2" t="s">
        <v>610</v>
      </c>
      <c r="K888" s="2" t="s">
        <v>74</v>
      </c>
      <c r="L888" s="2" t="s">
        <v>74</v>
      </c>
      <c r="M888" s="2" t="s">
        <v>74</v>
      </c>
      <c r="N888" s="2" t="s">
        <v>74</v>
      </c>
      <c r="O888" s="2" t="s">
        <v>74</v>
      </c>
      <c r="P888" s="2" t="s">
        <v>74</v>
      </c>
      <c r="Q888" s="2" t="s">
        <v>74</v>
      </c>
      <c r="R888" s="2" t="s">
        <v>74</v>
      </c>
      <c r="S888" s="2" t="s">
        <v>74</v>
      </c>
      <c r="T888" s="2" t="s">
        <v>74</v>
      </c>
      <c r="U888" s="2" t="s">
        <v>74</v>
      </c>
      <c r="V888" s="5" t="s">
        <v>2638</v>
      </c>
      <c r="W888" s="2" t="s">
        <v>74</v>
      </c>
      <c r="X888" s="2" t="s">
        <v>74</v>
      </c>
      <c r="Y888" s="2" t="s">
        <v>74</v>
      </c>
      <c r="Z888" s="2" t="s">
        <v>74</v>
      </c>
      <c r="AA888" s="2" t="s">
        <v>74</v>
      </c>
      <c r="AB888" s="2" t="s">
        <v>274</v>
      </c>
      <c r="AC888" s="2" t="s">
        <v>74</v>
      </c>
      <c r="AD888" s="2" t="s">
        <v>74</v>
      </c>
      <c r="AE888" s="2" t="s">
        <v>74</v>
      </c>
      <c r="AF888" s="2" t="s">
        <v>74</v>
      </c>
      <c r="AG888" s="2" t="s">
        <v>74</v>
      </c>
      <c r="AH888" s="2" t="s">
        <v>74</v>
      </c>
      <c r="AI888" s="2" t="s">
        <v>74</v>
      </c>
      <c r="AJ888" s="2" t="s">
        <v>74</v>
      </c>
      <c r="AK888" s="2" t="s">
        <v>74</v>
      </c>
      <c r="AL888" s="2" t="s">
        <v>74</v>
      </c>
      <c r="AM888" s="2" t="s">
        <v>74</v>
      </c>
      <c r="AN888" s="2" t="s">
        <v>74</v>
      </c>
      <c r="AO888" s="2" t="s">
        <v>614</v>
      </c>
      <c r="AP888" s="2" t="s">
        <v>615</v>
      </c>
      <c r="AQ888" s="2" t="s">
        <v>74</v>
      </c>
      <c r="AR888" s="2" t="s">
        <v>74</v>
      </c>
      <c r="AS888" s="2" t="s">
        <v>74</v>
      </c>
      <c r="AT888" s="2" t="s">
        <v>102</v>
      </c>
      <c r="AU888" s="2">
        <v>2010</v>
      </c>
      <c r="AV888" s="2">
        <v>116</v>
      </c>
      <c r="AW888" s="2">
        <v>6</v>
      </c>
      <c r="AX888" s="2" t="s">
        <v>74</v>
      </c>
      <c r="AY888" s="2" t="s">
        <v>74</v>
      </c>
      <c r="AZ888" s="2" t="s">
        <v>74</v>
      </c>
      <c r="BA888" s="2" t="s">
        <v>74</v>
      </c>
      <c r="BB888" s="2">
        <v>509</v>
      </c>
      <c r="BC888" s="2">
        <v>516</v>
      </c>
      <c r="BD888" s="2" t="s">
        <v>74</v>
      </c>
      <c r="BE888" s="2" t="s">
        <v>2639</v>
      </c>
      <c r="BF888" s="2" t="str">
        <f>HYPERLINK("http://dx.doi.org/10.1111/j.1439-0310.2010.01765.x","http://dx.doi.org/10.1111/j.1439-0310.2010.01765.x")</f>
        <v>http://dx.doi.org/10.1111/j.1439-0310.2010.01765.x</v>
      </c>
      <c r="BG888" s="2" t="s">
        <v>74</v>
      </c>
      <c r="BH888" s="2" t="s">
        <v>74</v>
      </c>
      <c r="BI888" s="2" t="s">
        <v>74</v>
      </c>
      <c r="BJ888" s="2" t="s">
        <v>74</v>
      </c>
      <c r="BK888" s="2" t="s">
        <v>74</v>
      </c>
      <c r="BL888" s="2" t="s">
        <v>74</v>
      </c>
      <c r="BM888" s="2" t="s">
        <v>74</v>
      </c>
      <c r="BN888" s="2" t="s">
        <v>74</v>
      </c>
      <c r="BO888" s="2" t="s">
        <v>74</v>
      </c>
      <c r="BP888" s="2" t="s">
        <v>74</v>
      </c>
      <c r="BQ888" s="2" t="s">
        <v>74</v>
      </c>
      <c r="BR888" s="2" t="s">
        <v>74</v>
      </c>
      <c r="BS888" s="2" t="s">
        <v>2640</v>
      </c>
      <c r="BT888" s="2" t="str">
        <f>HYPERLINK("https%3A%2F%2Fwww.webofscience.com%2Fwos%2Fwoscc%2Ffull-record%2FWOS:000277405700004","View Full Record in Web of Science")</f>
        <v>View Full Record in Web of Science</v>
      </c>
    </row>
    <row r="889" spans="1:72" s="2" customFormat="1" x14ac:dyDescent="0.4">
      <c r="A889" s="2" t="s">
        <v>72</v>
      </c>
      <c r="B889" s="2" t="s">
        <v>271</v>
      </c>
      <c r="C889" s="2" t="s">
        <v>74</v>
      </c>
      <c r="D889" s="2" t="s">
        <v>74</v>
      </c>
      <c r="E889" s="2" t="s">
        <v>74</v>
      </c>
      <c r="F889" s="2" t="s">
        <v>271</v>
      </c>
      <c r="G889" s="2" t="s">
        <v>74</v>
      </c>
      <c r="H889" s="2" t="s">
        <v>74</v>
      </c>
      <c r="I889" s="2" t="s">
        <v>272</v>
      </c>
      <c r="J889" s="2" t="s">
        <v>108</v>
      </c>
      <c r="K889" s="2" t="s">
        <v>74</v>
      </c>
      <c r="L889" s="2" t="s">
        <v>74</v>
      </c>
      <c r="M889" s="2" t="s">
        <v>74</v>
      </c>
      <c r="N889" s="2" t="s">
        <v>74</v>
      </c>
      <c r="O889" s="2" t="s">
        <v>74</v>
      </c>
      <c r="P889" s="2" t="s">
        <v>74</v>
      </c>
      <c r="Q889" s="2" t="s">
        <v>74</v>
      </c>
      <c r="R889" s="2" t="s">
        <v>74</v>
      </c>
      <c r="S889" s="2" t="s">
        <v>74</v>
      </c>
      <c r="T889" s="2" t="s">
        <v>74</v>
      </c>
      <c r="U889" s="2" t="s">
        <v>74</v>
      </c>
      <c r="V889" s="5" t="s">
        <v>273</v>
      </c>
      <c r="W889" s="2" t="s">
        <v>74</v>
      </c>
      <c r="X889" s="2" t="s">
        <v>74</v>
      </c>
      <c r="Y889" s="2" t="s">
        <v>74</v>
      </c>
      <c r="Z889" s="2" t="s">
        <v>74</v>
      </c>
      <c r="AA889" s="2" t="s">
        <v>74</v>
      </c>
      <c r="AB889" s="2" t="s">
        <v>274</v>
      </c>
      <c r="AC889" s="2" t="s">
        <v>74</v>
      </c>
      <c r="AD889" s="2" t="s">
        <v>74</v>
      </c>
      <c r="AE889" s="2" t="s">
        <v>74</v>
      </c>
      <c r="AF889" s="2" t="s">
        <v>74</v>
      </c>
      <c r="AG889" s="2" t="s">
        <v>74</v>
      </c>
      <c r="AH889" s="2" t="s">
        <v>74</v>
      </c>
      <c r="AI889" s="2" t="s">
        <v>74</v>
      </c>
      <c r="AJ889" s="2" t="s">
        <v>74</v>
      </c>
      <c r="AK889" s="2" t="s">
        <v>74</v>
      </c>
      <c r="AL889" s="2" t="s">
        <v>74</v>
      </c>
      <c r="AM889" s="2" t="s">
        <v>74</v>
      </c>
      <c r="AN889" s="2" t="s">
        <v>74</v>
      </c>
      <c r="AO889" s="2" t="s">
        <v>111</v>
      </c>
      <c r="AP889" s="2" t="s">
        <v>112</v>
      </c>
      <c r="AQ889" s="2" t="s">
        <v>74</v>
      </c>
      <c r="AR889" s="2" t="s">
        <v>74</v>
      </c>
      <c r="AS889" s="2" t="s">
        <v>74</v>
      </c>
      <c r="AT889" s="2" t="s">
        <v>275</v>
      </c>
      <c r="AU889" s="2">
        <v>2000</v>
      </c>
      <c r="AV889" s="2">
        <v>267</v>
      </c>
      <c r="AW889" s="2">
        <v>1445</v>
      </c>
      <c r="AX889" s="2" t="s">
        <v>74</v>
      </c>
      <c r="AY889" s="2" t="s">
        <v>74</v>
      </c>
      <c r="AZ889" s="2" t="s">
        <v>74</v>
      </c>
      <c r="BA889" s="2" t="s">
        <v>74</v>
      </c>
      <c r="BB889" s="2">
        <v>755</v>
      </c>
      <c r="BC889" s="2">
        <v>758</v>
      </c>
      <c r="BD889" s="2" t="s">
        <v>74</v>
      </c>
      <c r="BE889" s="2" t="s">
        <v>276</v>
      </c>
      <c r="BF889" s="2" t="str">
        <f>HYPERLINK("http://dx.doi.org/10.1098/rspb.2000.1067","http://dx.doi.org/10.1098/rspb.2000.1067")</f>
        <v>http://dx.doi.org/10.1098/rspb.2000.1067</v>
      </c>
      <c r="BG889" s="2" t="s">
        <v>74</v>
      </c>
      <c r="BH889" s="2" t="s">
        <v>74</v>
      </c>
      <c r="BI889" s="2" t="s">
        <v>74</v>
      </c>
      <c r="BJ889" s="2" t="s">
        <v>74</v>
      </c>
      <c r="BK889" s="2" t="s">
        <v>74</v>
      </c>
      <c r="BL889" s="2" t="s">
        <v>74</v>
      </c>
      <c r="BM889" s="2" t="s">
        <v>74</v>
      </c>
      <c r="BN889" s="2">
        <v>10819143</v>
      </c>
      <c r="BO889" s="2" t="s">
        <v>74</v>
      </c>
      <c r="BP889" s="2" t="s">
        <v>74</v>
      </c>
      <c r="BQ889" s="2" t="s">
        <v>74</v>
      </c>
      <c r="BR889" s="2" t="s">
        <v>74</v>
      </c>
      <c r="BS889" s="2" t="s">
        <v>277</v>
      </c>
      <c r="BT889" s="2" t="str">
        <f>HYPERLINK("https%3A%2F%2Fwww.webofscience.com%2Fwos%2Fwoscc%2Ffull-record%2FWOS:000086850600003","View Full Record in Web of Science")</f>
        <v>View Full Record in Web of Science</v>
      </c>
    </row>
    <row r="890" spans="1:72" s="2" customFormat="1" x14ac:dyDescent="0.4">
      <c r="A890" s="2" t="s">
        <v>72</v>
      </c>
      <c r="B890" s="2" t="s">
        <v>271</v>
      </c>
      <c r="C890" s="2" t="s">
        <v>74</v>
      </c>
      <c r="D890" s="2" t="s">
        <v>74</v>
      </c>
      <c r="E890" s="2" t="s">
        <v>74</v>
      </c>
      <c r="F890" s="2" t="s">
        <v>271</v>
      </c>
      <c r="G890" s="2" t="s">
        <v>74</v>
      </c>
      <c r="H890" s="2" t="s">
        <v>74</v>
      </c>
      <c r="I890" s="2" t="s">
        <v>1811</v>
      </c>
      <c r="J890" s="2" t="s">
        <v>1812</v>
      </c>
      <c r="K890" s="2" t="s">
        <v>74</v>
      </c>
      <c r="L890" s="2" t="s">
        <v>74</v>
      </c>
      <c r="M890" s="2" t="s">
        <v>74</v>
      </c>
      <c r="N890" s="2" t="s">
        <v>74</v>
      </c>
      <c r="O890" s="2" t="s">
        <v>74</v>
      </c>
      <c r="P890" s="2" t="s">
        <v>74</v>
      </c>
      <c r="Q890" s="2" t="s">
        <v>74</v>
      </c>
      <c r="R890" s="2" t="s">
        <v>74</v>
      </c>
      <c r="S890" s="2" t="s">
        <v>74</v>
      </c>
      <c r="T890" s="2" t="s">
        <v>74</v>
      </c>
      <c r="U890" s="2" t="s">
        <v>74</v>
      </c>
      <c r="V890" s="5" t="s">
        <v>1813</v>
      </c>
      <c r="W890" s="2" t="s">
        <v>74</v>
      </c>
      <c r="X890" s="2" t="s">
        <v>74</v>
      </c>
      <c r="Y890" s="2" t="s">
        <v>74</v>
      </c>
      <c r="Z890" s="2" t="s">
        <v>74</v>
      </c>
      <c r="AA890" s="2" t="s">
        <v>74</v>
      </c>
      <c r="AB890" s="2" t="s">
        <v>274</v>
      </c>
      <c r="AC890" s="2" t="s">
        <v>74</v>
      </c>
      <c r="AD890" s="2" t="s">
        <v>74</v>
      </c>
      <c r="AE890" s="2" t="s">
        <v>74</v>
      </c>
      <c r="AF890" s="2" t="s">
        <v>74</v>
      </c>
      <c r="AG890" s="2" t="s">
        <v>74</v>
      </c>
      <c r="AH890" s="2" t="s">
        <v>74</v>
      </c>
      <c r="AI890" s="2" t="s">
        <v>74</v>
      </c>
      <c r="AJ890" s="2" t="s">
        <v>74</v>
      </c>
      <c r="AK890" s="2" t="s">
        <v>74</v>
      </c>
      <c r="AL890" s="2" t="s">
        <v>74</v>
      </c>
      <c r="AM890" s="2" t="s">
        <v>74</v>
      </c>
      <c r="AN890" s="2" t="s">
        <v>74</v>
      </c>
      <c r="AO890" s="2" t="s">
        <v>1814</v>
      </c>
      <c r="AP890" s="2" t="s">
        <v>1815</v>
      </c>
      <c r="AQ890" s="2" t="s">
        <v>74</v>
      </c>
      <c r="AR890" s="2" t="s">
        <v>74</v>
      </c>
      <c r="AS890" s="2" t="s">
        <v>74</v>
      </c>
      <c r="AT890" s="2" t="s">
        <v>352</v>
      </c>
      <c r="AU890" s="2">
        <v>2005</v>
      </c>
      <c r="AV890" s="2">
        <v>39</v>
      </c>
      <c r="AW890" s="2">
        <v>3</v>
      </c>
      <c r="AX890" s="2" t="s">
        <v>74</v>
      </c>
      <c r="AY890" s="2" t="s">
        <v>74</v>
      </c>
      <c r="AZ890" s="2" t="s">
        <v>74</v>
      </c>
      <c r="BA890" s="2" t="s">
        <v>74</v>
      </c>
      <c r="BB890" s="2">
        <v>496</v>
      </c>
      <c r="BC890" s="2">
        <v>499</v>
      </c>
      <c r="BD890" s="2" t="s">
        <v>74</v>
      </c>
      <c r="BE890" s="2" t="s">
        <v>1816</v>
      </c>
      <c r="BF890" s="2" t="str">
        <f>HYPERLINK("http://dx.doi.org/10.1670/207-04N.1","http://dx.doi.org/10.1670/207-04N.1")</f>
        <v>http://dx.doi.org/10.1670/207-04N.1</v>
      </c>
      <c r="BG890" s="2" t="s">
        <v>74</v>
      </c>
      <c r="BH890" s="2" t="s">
        <v>74</v>
      </c>
      <c r="BI890" s="2" t="s">
        <v>74</v>
      </c>
      <c r="BJ890" s="2" t="s">
        <v>74</v>
      </c>
      <c r="BK890" s="2" t="s">
        <v>74</v>
      </c>
      <c r="BL890" s="2" t="s">
        <v>74</v>
      </c>
      <c r="BM890" s="2" t="s">
        <v>74</v>
      </c>
      <c r="BN890" s="2" t="s">
        <v>74</v>
      </c>
      <c r="BO890" s="2" t="s">
        <v>74</v>
      </c>
      <c r="BP890" s="2" t="s">
        <v>74</v>
      </c>
      <c r="BQ890" s="2" t="s">
        <v>74</v>
      </c>
      <c r="BR890" s="2" t="s">
        <v>74</v>
      </c>
      <c r="BS890" s="2" t="s">
        <v>1817</v>
      </c>
      <c r="BT890" s="2" t="str">
        <f>HYPERLINK("https%3A%2F%2Fwww.webofscience.com%2Fwos%2Fwoscc%2Ffull-record%2FWOS:000232114800022","View Full Record in Web of Science")</f>
        <v>View Full Record in Web of Science</v>
      </c>
    </row>
    <row r="891" spans="1:72" s="2" customFormat="1" x14ac:dyDescent="0.4">
      <c r="A891" s="2" t="s">
        <v>72</v>
      </c>
      <c r="B891" s="2" t="s">
        <v>6380</v>
      </c>
      <c r="C891" s="2" t="s">
        <v>74</v>
      </c>
      <c r="D891" s="2" t="s">
        <v>74</v>
      </c>
      <c r="E891" s="2" t="s">
        <v>74</v>
      </c>
      <c r="F891" s="2" t="s">
        <v>6381</v>
      </c>
      <c r="G891" s="2" t="s">
        <v>74</v>
      </c>
      <c r="H891" s="2" t="s">
        <v>74</v>
      </c>
      <c r="I891" s="2" t="s">
        <v>6382</v>
      </c>
      <c r="J891" s="2" t="s">
        <v>6240</v>
      </c>
      <c r="K891" s="2" t="s">
        <v>74</v>
      </c>
      <c r="L891" s="2" t="s">
        <v>74</v>
      </c>
      <c r="M891" s="2" t="s">
        <v>74</v>
      </c>
      <c r="N891" s="2" t="s">
        <v>74</v>
      </c>
      <c r="O891" s="2" t="s">
        <v>74</v>
      </c>
      <c r="P891" s="2" t="s">
        <v>74</v>
      </c>
      <c r="Q891" s="2" t="s">
        <v>74</v>
      </c>
      <c r="R891" s="2" t="s">
        <v>74</v>
      </c>
      <c r="S891" s="2" t="s">
        <v>74</v>
      </c>
      <c r="T891" s="2" t="s">
        <v>74</v>
      </c>
      <c r="U891" s="2" t="s">
        <v>74</v>
      </c>
      <c r="V891" s="5" t="s">
        <v>6383</v>
      </c>
      <c r="W891" s="2" t="s">
        <v>74</v>
      </c>
      <c r="X891" s="2" t="s">
        <v>74</v>
      </c>
      <c r="Y891" s="2" t="s">
        <v>74</v>
      </c>
      <c r="Z891" s="2" t="s">
        <v>74</v>
      </c>
      <c r="AA891" s="2" t="s">
        <v>6384</v>
      </c>
      <c r="AB891" s="2" t="s">
        <v>6385</v>
      </c>
      <c r="AC891" s="2" t="s">
        <v>74</v>
      </c>
      <c r="AD891" s="2" t="s">
        <v>74</v>
      </c>
      <c r="AE891" s="2" t="s">
        <v>74</v>
      </c>
      <c r="AF891" s="2" t="s">
        <v>74</v>
      </c>
      <c r="AG891" s="2" t="s">
        <v>74</v>
      </c>
      <c r="AH891" s="2" t="s">
        <v>74</v>
      </c>
      <c r="AI891" s="2" t="s">
        <v>74</v>
      </c>
      <c r="AJ891" s="2" t="s">
        <v>74</v>
      </c>
      <c r="AK891" s="2" t="s">
        <v>74</v>
      </c>
      <c r="AL891" s="2" t="s">
        <v>74</v>
      </c>
      <c r="AM891" s="2" t="s">
        <v>74</v>
      </c>
      <c r="AN891" s="2" t="s">
        <v>74</v>
      </c>
      <c r="AO891" s="2" t="s">
        <v>6242</v>
      </c>
      <c r="AP891" s="2" t="s">
        <v>6243</v>
      </c>
      <c r="AQ891" s="2" t="s">
        <v>74</v>
      </c>
      <c r="AR891" s="2" t="s">
        <v>74</v>
      </c>
      <c r="AS891" s="2" t="s">
        <v>74</v>
      </c>
      <c r="AT891" s="2" t="s">
        <v>175</v>
      </c>
      <c r="AU891" s="2">
        <v>2018</v>
      </c>
      <c r="AV891" s="2">
        <v>94</v>
      </c>
      <c r="AW891" s="2">
        <v>4</v>
      </c>
      <c r="AX891" s="2" t="s">
        <v>74</v>
      </c>
      <c r="AY891" s="2" t="s">
        <v>74</v>
      </c>
      <c r="AZ891" s="2" t="s">
        <v>74</v>
      </c>
      <c r="BA891" s="2" t="s">
        <v>74</v>
      </c>
      <c r="BB891" s="2">
        <v>1313</v>
      </c>
      <c r="BC891" s="2">
        <v>1332</v>
      </c>
      <c r="BD891" s="2" t="s">
        <v>74</v>
      </c>
      <c r="BE891" s="2" t="s">
        <v>6386</v>
      </c>
      <c r="BF891" s="2" t="str">
        <f>HYPERLINK("http://dx.doi.org/10.5343/bms.2017.1054","http://dx.doi.org/10.5343/bms.2017.1054")</f>
        <v>http://dx.doi.org/10.5343/bms.2017.1054</v>
      </c>
      <c r="BG891" s="2" t="s">
        <v>74</v>
      </c>
      <c r="BH891" s="2" t="s">
        <v>74</v>
      </c>
      <c r="BI891" s="2" t="s">
        <v>74</v>
      </c>
      <c r="BJ891" s="2" t="s">
        <v>74</v>
      </c>
      <c r="BK891" s="2" t="s">
        <v>74</v>
      </c>
      <c r="BL891" s="2" t="s">
        <v>74</v>
      </c>
      <c r="BM891" s="2" t="s">
        <v>74</v>
      </c>
      <c r="BN891" s="2" t="s">
        <v>74</v>
      </c>
      <c r="BO891" s="2" t="s">
        <v>74</v>
      </c>
      <c r="BP891" s="2" t="s">
        <v>74</v>
      </c>
      <c r="BQ891" s="2" t="s">
        <v>74</v>
      </c>
      <c r="BR891" s="2" t="s">
        <v>74</v>
      </c>
      <c r="BS891" s="2" t="s">
        <v>6387</v>
      </c>
      <c r="BT891" s="2" t="str">
        <f>HYPERLINK("https%3A%2F%2Fwww.webofscience.com%2Fwos%2Fwoscc%2Ffull-record%2FWOS:000456290000004","View Full Record in Web of Science")</f>
        <v>View Full Record in Web of Science</v>
      </c>
    </row>
    <row r="892" spans="1:72" s="2" customFormat="1" x14ac:dyDescent="0.4">
      <c r="A892" s="2" t="s">
        <v>72</v>
      </c>
      <c r="B892" s="2" t="s">
        <v>7989</v>
      </c>
      <c r="C892" s="2" t="s">
        <v>74</v>
      </c>
      <c r="D892" s="2" t="s">
        <v>74</v>
      </c>
      <c r="E892" s="2" t="s">
        <v>74</v>
      </c>
      <c r="F892" s="2" t="s">
        <v>7989</v>
      </c>
      <c r="G892" s="2" t="s">
        <v>74</v>
      </c>
      <c r="H892" s="2" t="s">
        <v>74</v>
      </c>
      <c r="I892" s="2" t="s">
        <v>7990</v>
      </c>
      <c r="J892" s="2" t="s">
        <v>6226</v>
      </c>
      <c r="K892" s="2" t="s">
        <v>74</v>
      </c>
      <c r="L892" s="2" t="s">
        <v>74</v>
      </c>
      <c r="M892" s="2" t="s">
        <v>74</v>
      </c>
      <c r="N892" s="2" t="s">
        <v>74</v>
      </c>
      <c r="O892" s="2" t="s">
        <v>74</v>
      </c>
      <c r="P892" s="2" t="s">
        <v>74</v>
      </c>
      <c r="Q892" s="2" t="s">
        <v>74</v>
      </c>
      <c r="R892" s="2" t="s">
        <v>74</v>
      </c>
      <c r="S892" s="2" t="s">
        <v>74</v>
      </c>
      <c r="T892" s="2" t="s">
        <v>74</v>
      </c>
      <c r="U892" s="2" t="s">
        <v>74</v>
      </c>
      <c r="V892" s="5" t="s">
        <v>7991</v>
      </c>
      <c r="W892" s="2" t="s">
        <v>74</v>
      </c>
      <c r="X892" s="2" t="s">
        <v>74</v>
      </c>
      <c r="Y892" s="2" t="s">
        <v>74</v>
      </c>
      <c r="Z892" s="2" t="s">
        <v>74</v>
      </c>
      <c r="AA892" s="2" t="s">
        <v>74</v>
      </c>
      <c r="AB892" s="2" t="s">
        <v>74</v>
      </c>
      <c r="AC892" s="2" t="s">
        <v>74</v>
      </c>
      <c r="AD892" s="2" t="s">
        <v>74</v>
      </c>
      <c r="AE892" s="2" t="s">
        <v>74</v>
      </c>
      <c r="AF892" s="2" t="s">
        <v>74</v>
      </c>
      <c r="AG892" s="2" t="s">
        <v>74</v>
      </c>
      <c r="AH892" s="2" t="s">
        <v>74</v>
      </c>
      <c r="AI892" s="2" t="s">
        <v>74</v>
      </c>
      <c r="AJ892" s="2" t="s">
        <v>74</v>
      </c>
      <c r="AK892" s="2" t="s">
        <v>74</v>
      </c>
      <c r="AL892" s="2" t="s">
        <v>74</v>
      </c>
      <c r="AM892" s="2" t="s">
        <v>74</v>
      </c>
      <c r="AN892" s="2" t="s">
        <v>74</v>
      </c>
      <c r="AO892" s="2" t="s">
        <v>6228</v>
      </c>
      <c r="AP892" s="2" t="s">
        <v>6229</v>
      </c>
      <c r="AQ892" s="2" t="s">
        <v>74</v>
      </c>
      <c r="AR892" s="2" t="s">
        <v>74</v>
      </c>
      <c r="AS892" s="2" t="s">
        <v>74</v>
      </c>
      <c r="AT892" s="2" t="s">
        <v>255</v>
      </c>
      <c r="AU892" s="2">
        <v>2004</v>
      </c>
      <c r="AV892" s="2">
        <v>43</v>
      </c>
      <c r="AW892" s="2">
        <v>1</v>
      </c>
      <c r="AX892" s="2" t="s">
        <v>74</v>
      </c>
      <c r="AY892" s="2" t="s">
        <v>74</v>
      </c>
      <c r="AZ892" s="2" t="s">
        <v>74</v>
      </c>
      <c r="BA892" s="2" t="s">
        <v>74</v>
      </c>
      <c r="BB892" s="2">
        <v>93</v>
      </c>
      <c r="BC892" s="2">
        <v>111</v>
      </c>
      <c r="BD892" s="2" t="s">
        <v>74</v>
      </c>
      <c r="BE892" s="2" t="s">
        <v>74</v>
      </c>
      <c r="BF892" s="2" t="s">
        <v>74</v>
      </c>
      <c r="BG892" s="2" t="s">
        <v>74</v>
      </c>
      <c r="BH892" s="2" t="s">
        <v>74</v>
      </c>
      <c r="BI892" s="2" t="s">
        <v>74</v>
      </c>
      <c r="BJ892" s="2" t="s">
        <v>74</v>
      </c>
      <c r="BK892" s="2" t="s">
        <v>74</v>
      </c>
      <c r="BL892" s="2" t="s">
        <v>74</v>
      </c>
      <c r="BM892" s="2" t="s">
        <v>74</v>
      </c>
      <c r="BN892" s="2" t="s">
        <v>74</v>
      </c>
      <c r="BO892" s="2" t="s">
        <v>74</v>
      </c>
      <c r="BP892" s="2" t="s">
        <v>74</v>
      </c>
      <c r="BQ892" s="2" t="s">
        <v>74</v>
      </c>
      <c r="BR892" s="2" t="s">
        <v>74</v>
      </c>
      <c r="BS892" s="2" t="s">
        <v>7992</v>
      </c>
      <c r="BT892" s="2" t="str">
        <f>HYPERLINK("https%3A%2F%2Fwww.webofscience.com%2Fwos%2Fwoscc%2Ffull-record%2FWOS:000189267400008","View Full Record in Web of Science")</f>
        <v>View Full Record in Web of Science</v>
      </c>
    </row>
    <row r="893" spans="1:72" s="2" customFormat="1" x14ac:dyDescent="0.4">
      <c r="A893" s="2" t="s">
        <v>72</v>
      </c>
      <c r="B893" s="2" t="s">
        <v>7792</v>
      </c>
      <c r="C893" s="2" t="s">
        <v>74</v>
      </c>
      <c r="D893" s="2" t="s">
        <v>74</v>
      </c>
      <c r="E893" s="2" t="s">
        <v>74</v>
      </c>
      <c r="F893" s="2" t="s">
        <v>7792</v>
      </c>
      <c r="G893" s="2" t="s">
        <v>74</v>
      </c>
      <c r="H893" s="2" t="s">
        <v>74</v>
      </c>
      <c r="I893" s="2" t="s">
        <v>7793</v>
      </c>
      <c r="J893" s="2" t="s">
        <v>7794</v>
      </c>
      <c r="K893" s="2" t="s">
        <v>74</v>
      </c>
      <c r="L893" s="2" t="s">
        <v>74</v>
      </c>
      <c r="M893" s="2" t="s">
        <v>74</v>
      </c>
      <c r="N893" s="2" t="s">
        <v>74</v>
      </c>
      <c r="O893" s="2" t="s">
        <v>7795</v>
      </c>
      <c r="P893" s="2" t="s">
        <v>7796</v>
      </c>
      <c r="Q893" s="2" t="s">
        <v>7797</v>
      </c>
      <c r="R893" s="2" t="s">
        <v>74</v>
      </c>
      <c r="S893" s="2" t="s">
        <v>7798</v>
      </c>
      <c r="T893" s="2" t="s">
        <v>74</v>
      </c>
      <c r="U893" s="2" t="s">
        <v>74</v>
      </c>
      <c r="V893" s="5" t="s">
        <v>7799</v>
      </c>
      <c r="W893" s="2" t="s">
        <v>74</v>
      </c>
      <c r="X893" s="2" t="s">
        <v>74</v>
      </c>
      <c r="Y893" s="2" t="s">
        <v>74</v>
      </c>
      <c r="Z893" s="2" t="s">
        <v>74</v>
      </c>
      <c r="AA893" s="2" t="s">
        <v>74</v>
      </c>
      <c r="AB893" s="2" t="s">
        <v>74</v>
      </c>
      <c r="AC893" s="2" t="s">
        <v>74</v>
      </c>
      <c r="AD893" s="2" t="s">
        <v>74</v>
      </c>
      <c r="AE893" s="2" t="s">
        <v>74</v>
      </c>
      <c r="AF893" s="2" t="s">
        <v>74</v>
      </c>
      <c r="AG893" s="2" t="s">
        <v>74</v>
      </c>
      <c r="AH893" s="2" t="s">
        <v>74</v>
      </c>
      <c r="AI893" s="2" t="s">
        <v>74</v>
      </c>
      <c r="AJ893" s="2" t="s">
        <v>74</v>
      </c>
      <c r="AK893" s="2" t="s">
        <v>74</v>
      </c>
      <c r="AL893" s="2" t="s">
        <v>74</v>
      </c>
      <c r="AM893" s="2" t="s">
        <v>74</v>
      </c>
      <c r="AN893" s="2" t="s">
        <v>74</v>
      </c>
      <c r="AO893" s="2" t="s">
        <v>7800</v>
      </c>
      <c r="AP893" s="2" t="s">
        <v>7801</v>
      </c>
      <c r="AQ893" s="2" t="s">
        <v>74</v>
      </c>
      <c r="AR893" s="2" t="s">
        <v>74</v>
      </c>
      <c r="AS893" s="2" t="s">
        <v>74</v>
      </c>
      <c r="AT893" s="2" t="s">
        <v>123</v>
      </c>
      <c r="AU893" s="2">
        <v>2004</v>
      </c>
      <c r="AV893" s="2">
        <v>45</v>
      </c>
      <c r="AW893" s="2">
        <v>1</v>
      </c>
      <c r="AX893" s="2" t="s">
        <v>74</v>
      </c>
      <c r="AY893" s="2" t="s">
        <v>74</v>
      </c>
      <c r="AZ893" s="2" t="s">
        <v>74</v>
      </c>
      <c r="BA893" s="2" t="s">
        <v>74</v>
      </c>
      <c r="BB893" s="2">
        <v>1</v>
      </c>
      <c r="BC893" s="2">
        <v>14</v>
      </c>
      <c r="BD893" s="2" t="s">
        <v>74</v>
      </c>
      <c r="BE893" s="2" t="s">
        <v>7802</v>
      </c>
      <c r="BF893" s="2" t="str">
        <f>HYPERLINK("http://dx.doi.org/10.1080/07924259.2004.9652569","http://dx.doi.org/10.1080/07924259.2004.9652569")</f>
        <v>http://dx.doi.org/10.1080/07924259.2004.9652569</v>
      </c>
      <c r="BG893" s="2" t="s">
        <v>74</v>
      </c>
      <c r="BH893" s="2" t="s">
        <v>74</v>
      </c>
      <c r="BI893" s="2" t="s">
        <v>74</v>
      </c>
      <c r="BJ893" s="2" t="s">
        <v>74</v>
      </c>
      <c r="BK893" s="2" t="s">
        <v>74</v>
      </c>
      <c r="BL893" s="2" t="s">
        <v>74</v>
      </c>
      <c r="BM893" s="2" t="s">
        <v>74</v>
      </c>
      <c r="BN893" s="2" t="s">
        <v>74</v>
      </c>
      <c r="BO893" s="2" t="s">
        <v>74</v>
      </c>
      <c r="BP893" s="2" t="s">
        <v>74</v>
      </c>
      <c r="BQ893" s="2" t="s">
        <v>74</v>
      </c>
      <c r="BR893" s="2" t="s">
        <v>74</v>
      </c>
      <c r="BS893" s="2" t="s">
        <v>7803</v>
      </c>
      <c r="BT893" s="2" t="str">
        <f>HYPERLINK("https%3A%2F%2Fwww.webofscience.com%2Fwos%2Fwoscc%2Ffull-record%2FWOS:000221012500001","View Full Record in Web of Science")</f>
        <v>View Full Record in Web of Science</v>
      </c>
    </row>
    <row r="894" spans="1:72" s="2" customFormat="1" x14ac:dyDescent="0.4">
      <c r="A894" s="2" t="s">
        <v>72</v>
      </c>
      <c r="B894" s="2" t="s">
        <v>6254</v>
      </c>
      <c r="C894" s="2" t="s">
        <v>74</v>
      </c>
      <c r="D894" s="2" t="s">
        <v>74</v>
      </c>
      <c r="E894" s="2" t="s">
        <v>74</v>
      </c>
      <c r="F894" s="2" t="s">
        <v>6254</v>
      </c>
      <c r="G894" s="2" t="s">
        <v>74</v>
      </c>
      <c r="H894" s="2" t="s">
        <v>74</v>
      </c>
      <c r="I894" s="2" t="s">
        <v>6255</v>
      </c>
      <c r="J894" s="2" t="s">
        <v>431</v>
      </c>
      <c r="K894" s="2" t="s">
        <v>74</v>
      </c>
      <c r="L894" s="2" t="s">
        <v>74</v>
      </c>
      <c r="M894" s="2" t="s">
        <v>74</v>
      </c>
      <c r="N894" s="2" t="s">
        <v>74</v>
      </c>
      <c r="O894" s="2" t="s">
        <v>74</v>
      </c>
      <c r="P894" s="2" t="s">
        <v>74</v>
      </c>
      <c r="Q894" s="2" t="s">
        <v>74</v>
      </c>
      <c r="R894" s="2" t="s">
        <v>74</v>
      </c>
      <c r="S894" s="2" t="s">
        <v>74</v>
      </c>
      <c r="T894" s="2" t="s">
        <v>74</v>
      </c>
      <c r="U894" s="2" t="s">
        <v>74</v>
      </c>
      <c r="V894" s="5" t="s">
        <v>6256</v>
      </c>
      <c r="W894" s="2" t="s">
        <v>74</v>
      </c>
      <c r="X894" s="2" t="s">
        <v>74</v>
      </c>
      <c r="Y894" s="2" t="s">
        <v>74</v>
      </c>
      <c r="Z894" s="2" t="s">
        <v>74</v>
      </c>
      <c r="AA894" s="2" t="s">
        <v>74</v>
      </c>
      <c r="AB894" s="2" t="s">
        <v>74</v>
      </c>
      <c r="AC894" s="2" t="s">
        <v>74</v>
      </c>
      <c r="AD894" s="2" t="s">
        <v>74</v>
      </c>
      <c r="AE894" s="2" t="s">
        <v>74</v>
      </c>
      <c r="AF894" s="2" t="s">
        <v>74</v>
      </c>
      <c r="AG894" s="2" t="s">
        <v>74</v>
      </c>
      <c r="AH894" s="2" t="s">
        <v>74</v>
      </c>
      <c r="AI894" s="2" t="s">
        <v>74</v>
      </c>
      <c r="AJ894" s="2" t="s">
        <v>74</v>
      </c>
      <c r="AK894" s="2" t="s">
        <v>74</v>
      </c>
      <c r="AL894" s="2" t="s">
        <v>74</v>
      </c>
      <c r="AM894" s="2" t="s">
        <v>74</v>
      </c>
      <c r="AN894" s="2" t="s">
        <v>74</v>
      </c>
      <c r="AO894" s="2" t="s">
        <v>74</v>
      </c>
      <c r="AP894" s="2" t="s">
        <v>435</v>
      </c>
      <c r="AQ894" s="2" t="s">
        <v>74</v>
      </c>
      <c r="AR894" s="2" t="s">
        <v>74</v>
      </c>
      <c r="AS894" s="2" t="s">
        <v>74</v>
      </c>
      <c r="AT894" s="2" t="s">
        <v>74</v>
      </c>
      <c r="AU894" s="2">
        <v>1967</v>
      </c>
      <c r="AV894" s="2">
        <v>84</v>
      </c>
      <c r="AW894" s="2">
        <v>4</v>
      </c>
      <c r="AX894" s="2" t="s">
        <v>74</v>
      </c>
      <c r="AY894" s="2" t="s">
        <v>74</v>
      </c>
      <c r="AZ894" s="2" t="s">
        <v>74</v>
      </c>
      <c r="BA894" s="2" t="s">
        <v>74</v>
      </c>
      <c r="BB894" s="2">
        <v>503</v>
      </c>
      <c r="BC894" s="2" t="s">
        <v>726</v>
      </c>
      <c r="BD894" s="2" t="s">
        <v>74</v>
      </c>
      <c r="BE894" s="2" t="s">
        <v>6257</v>
      </c>
      <c r="BF894" s="2" t="str">
        <f>HYPERLINK("http://dx.doi.org/10.2307/4083332","http://dx.doi.org/10.2307/4083332")</f>
        <v>http://dx.doi.org/10.2307/4083332</v>
      </c>
      <c r="BG894" s="2" t="s">
        <v>74</v>
      </c>
      <c r="BH894" s="2" t="s">
        <v>74</v>
      </c>
      <c r="BI894" s="2" t="s">
        <v>74</v>
      </c>
      <c r="BJ894" s="2" t="s">
        <v>74</v>
      </c>
      <c r="BK894" s="2" t="s">
        <v>74</v>
      </c>
      <c r="BL894" s="2" t="s">
        <v>74</v>
      </c>
      <c r="BM894" s="2" t="s">
        <v>74</v>
      </c>
      <c r="BN894" s="2" t="s">
        <v>74</v>
      </c>
      <c r="BO894" s="2" t="s">
        <v>74</v>
      </c>
      <c r="BP894" s="2" t="s">
        <v>74</v>
      </c>
      <c r="BQ894" s="2" t="s">
        <v>74</v>
      </c>
      <c r="BR894" s="2" t="s">
        <v>74</v>
      </c>
      <c r="BS894" s="2" t="s">
        <v>6258</v>
      </c>
      <c r="BT894" s="2" t="str">
        <f>HYPERLINK("https%3A%2F%2Fwww.webofscience.com%2Fwos%2Fwoscc%2Ffull-record%2FWOS:A1967A201400003","View Full Record in Web of Science")</f>
        <v>View Full Record in Web of Science</v>
      </c>
    </row>
    <row r="895" spans="1:72" s="1" customFormat="1" x14ac:dyDescent="0.4">
      <c r="A895" s="2" t="s">
        <v>72</v>
      </c>
      <c r="B895" s="2" t="s">
        <v>7243</v>
      </c>
      <c r="C895" s="2" t="s">
        <v>74</v>
      </c>
      <c r="D895" s="2" t="s">
        <v>74</v>
      </c>
      <c r="E895" s="2" t="s">
        <v>74</v>
      </c>
      <c r="F895" s="2" t="s">
        <v>7244</v>
      </c>
      <c r="G895" s="2" t="s">
        <v>74</v>
      </c>
      <c r="H895" s="2" t="s">
        <v>74</v>
      </c>
      <c r="I895" s="2" t="s">
        <v>7245</v>
      </c>
      <c r="J895" s="2" t="s">
        <v>420</v>
      </c>
      <c r="K895" s="2" t="s">
        <v>74</v>
      </c>
      <c r="L895" s="2" t="s">
        <v>74</v>
      </c>
      <c r="M895" s="2" t="s">
        <v>74</v>
      </c>
      <c r="N895" s="2" t="s">
        <v>74</v>
      </c>
      <c r="O895" s="2" t="s">
        <v>74</v>
      </c>
      <c r="P895" s="2" t="s">
        <v>74</v>
      </c>
      <c r="Q895" s="2" t="s">
        <v>74</v>
      </c>
      <c r="R895" s="2" t="s">
        <v>74</v>
      </c>
      <c r="S895" s="2" t="s">
        <v>74</v>
      </c>
      <c r="T895" s="2" t="s">
        <v>74</v>
      </c>
      <c r="U895" s="2" t="s">
        <v>74</v>
      </c>
      <c r="V895" s="5" t="s">
        <v>7246</v>
      </c>
      <c r="W895" s="2" t="s">
        <v>74</v>
      </c>
      <c r="X895" s="2" t="s">
        <v>74</v>
      </c>
      <c r="Y895" s="2" t="s">
        <v>74</v>
      </c>
      <c r="Z895" s="2" t="s">
        <v>74</v>
      </c>
      <c r="AA895" s="2" t="s">
        <v>3597</v>
      </c>
      <c r="AB895" s="2" t="s">
        <v>74</v>
      </c>
      <c r="AC895" s="2" t="s">
        <v>74</v>
      </c>
      <c r="AD895" s="2" t="s">
        <v>74</v>
      </c>
      <c r="AE895" s="2" t="s">
        <v>74</v>
      </c>
      <c r="AF895" s="2" t="s">
        <v>74</v>
      </c>
      <c r="AG895" s="2" t="s">
        <v>74</v>
      </c>
      <c r="AH895" s="2" t="s">
        <v>74</v>
      </c>
      <c r="AI895" s="2" t="s">
        <v>74</v>
      </c>
      <c r="AJ895" s="2" t="s">
        <v>74</v>
      </c>
      <c r="AK895" s="2" t="s">
        <v>74</v>
      </c>
      <c r="AL895" s="2" t="s">
        <v>74</v>
      </c>
      <c r="AM895" s="2" t="s">
        <v>74</v>
      </c>
      <c r="AN895" s="2" t="s">
        <v>74</v>
      </c>
      <c r="AO895" s="2" t="s">
        <v>424</v>
      </c>
      <c r="AP895" s="2" t="s">
        <v>74</v>
      </c>
      <c r="AQ895" s="2" t="s">
        <v>74</v>
      </c>
      <c r="AR895" s="2" t="s">
        <v>74</v>
      </c>
      <c r="AS895" s="2" t="s">
        <v>74</v>
      </c>
      <c r="AT895" s="2" t="s">
        <v>4913</v>
      </c>
      <c r="AU895" s="2">
        <v>2018</v>
      </c>
      <c r="AV895" s="2">
        <v>18</v>
      </c>
      <c r="AW895" s="2" t="s">
        <v>74</v>
      </c>
      <c r="AX895" s="2" t="s">
        <v>74</v>
      </c>
      <c r="AY895" s="2" t="s">
        <v>74</v>
      </c>
      <c r="AZ895" s="2" t="s">
        <v>74</v>
      </c>
      <c r="BA895" s="2" t="s">
        <v>74</v>
      </c>
      <c r="BB895" s="2" t="s">
        <v>74</v>
      </c>
      <c r="BC895" s="2" t="s">
        <v>74</v>
      </c>
      <c r="BD895" s="2">
        <v>19</v>
      </c>
      <c r="BE895" s="2" t="s">
        <v>7247</v>
      </c>
      <c r="BF895" s="2" t="str">
        <f>HYPERLINK("http://dx.doi.org/10.1186/s12862-018-1126-0","http://dx.doi.org/10.1186/s12862-018-1126-0")</f>
        <v>http://dx.doi.org/10.1186/s12862-018-1126-0</v>
      </c>
      <c r="BG895" s="2" t="s">
        <v>74</v>
      </c>
      <c r="BH895" s="2" t="s">
        <v>74</v>
      </c>
      <c r="BI895" s="2" t="s">
        <v>74</v>
      </c>
      <c r="BJ895" s="2" t="s">
        <v>74</v>
      </c>
      <c r="BK895" s="2" t="s">
        <v>74</v>
      </c>
      <c r="BL895" s="2" t="s">
        <v>74</v>
      </c>
      <c r="BM895" s="2" t="s">
        <v>74</v>
      </c>
      <c r="BN895" s="2">
        <v>29433448</v>
      </c>
      <c r="BO895" s="2" t="s">
        <v>74</v>
      </c>
      <c r="BP895" s="2" t="s">
        <v>74</v>
      </c>
      <c r="BQ895" s="2" t="s">
        <v>74</v>
      </c>
      <c r="BR895" s="2" t="s">
        <v>74</v>
      </c>
      <c r="BS895" s="2" t="s">
        <v>7248</v>
      </c>
      <c r="BT895" s="2" t="str">
        <f>HYPERLINK("https%3A%2F%2Fwww.webofscience.com%2Fwos%2Fwoscc%2Ffull-record%2FWOS:000425179400001","View Full Record in Web of Science")</f>
        <v>View Full Record in Web of Science</v>
      </c>
    </row>
    <row r="896" spans="1:72" s="7" customFormat="1" x14ac:dyDescent="0.4">
      <c r="A896" s="2" t="s">
        <v>72</v>
      </c>
      <c r="B896" s="2" t="s">
        <v>5692</v>
      </c>
      <c r="C896" s="2" t="s">
        <v>74</v>
      </c>
      <c r="D896" s="2" t="s">
        <v>74</v>
      </c>
      <c r="E896" s="2" t="s">
        <v>74</v>
      </c>
      <c r="F896" s="2" t="s">
        <v>5693</v>
      </c>
      <c r="G896" s="2" t="s">
        <v>74</v>
      </c>
      <c r="H896" s="2" t="s">
        <v>74</v>
      </c>
      <c r="I896" s="2" t="s">
        <v>5694</v>
      </c>
      <c r="J896" s="2" t="s">
        <v>691</v>
      </c>
      <c r="K896" s="2" t="s">
        <v>74</v>
      </c>
      <c r="L896" s="2" t="s">
        <v>74</v>
      </c>
      <c r="M896" s="2" t="s">
        <v>74</v>
      </c>
      <c r="N896" s="2" t="s">
        <v>74</v>
      </c>
      <c r="O896" s="2" t="s">
        <v>74</v>
      </c>
      <c r="P896" s="2" t="s">
        <v>74</v>
      </c>
      <c r="Q896" s="2" t="s">
        <v>74</v>
      </c>
      <c r="R896" s="2" t="s">
        <v>74</v>
      </c>
      <c r="S896" s="2" t="s">
        <v>74</v>
      </c>
      <c r="T896" s="2" t="s">
        <v>74</v>
      </c>
      <c r="U896" s="2" t="s">
        <v>74</v>
      </c>
      <c r="V896" s="5" t="s">
        <v>5695</v>
      </c>
      <c r="W896" s="2" t="s">
        <v>74</v>
      </c>
      <c r="X896" s="2" t="s">
        <v>74</v>
      </c>
      <c r="Y896" s="2" t="s">
        <v>74</v>
      </c>
      <c r="Z896" s="2" t="s">
        <v>74</v>
      </c>
      <c r="AA896" s="2" t="s">
        <v>5696</v>
      </c>
      <c r="AB896" s="2" t="s">
        <v>5697</v>
      </c>
      <c r="AC896" s="2" t="s">
        <v>74</v>
      </c>
      <c r="AD896" s="2" t="s">
        <v>74</v>
      </c>
      <c r="AE896" s="2" t="s">
        <v>74</v>
      </c>
      <c r="AF896" s="2" t="s">
        <v>74</v>
      </c>
      <c r="AG896" s="2" t="s">
        <v>74</v>
      </c>
      <c r="AH896" s="2" t="s">
        <v>74</v>
      </c>
      <c r="AI896" s="2" t="s">
        <v>74</v>
      </c>
      <c r="AJ896" s="2" t="s">
        <v>74</v>
      </c>
      <c r="AK896" s="2" t="s">
        <v>74</v>
      </c>
      <c r="AL896" s="2" t="s">
        <v>74</v>
      </c>
      <c r="AM896" s="2" t="s">
        <v>74</v>
      </c>
      <c r="AN896" s="2" t="s">
        <v>74</v>
      </c>
      <c r="AO896" s="2" t="s">
        <v>695</v>
      </c>
      <c r="AP896" s="2" t="s">
        <v>74</v>
      </c>
      <c r="AQ896" s="2" t="s">
        <v>74</v>
      </c>
      <c r="AR896" s="2" t="s">
        <v>74</v>
      </c>
      <c r="AS896" s="2" t="s">
        <v>74</v>
      </c>
      <c r="AT896" s="2" t="s">
        <v>1090</v>
      </c>
      <c r="AU896" s="2">
        <v>2018</v>
      </c>
      <c r="AV896" s="2">
        <v>183</v>
      </c>
      <c r="AW896" s="2" t="s">
        <v>74</v>
      </c>
      <c r="AX896" s="2" t="s">
        <v>74</v>
      </c>
      <c r="AY896" s="2" t="s">
        <v>74</v>
      </c>
      <c r="AZ896" s="2" t="s">
        <v>74</v>
      </c>
      <c r="BA896" s="2" t="s">
        <v>74</v>
      </c>
      <c r="BB896" s="2">
        <v>33</v>
      </c>
      <c r="BC896" s="2">
        <v>38</v>
      </c>
      <c r="BD896" s="2" t="s">
        <v>74</v>
      </c>
      <c r="BE896" s="2" t="s">
        <v>5698</v>
      </c>
      <c r="BF896" s="2" t="str">
        <f>HYPERLINK("http://dx.doi.org/10.1016/j.physbeh.2017.10.016","http://dx.doi.org/10.1016/j.physbeh.2017.10.016")</f>
        <v>http://dx.doi.org/10.1016/j.physbeh.2017.10.016</v>
      </c>
      <c r="BG896" s="2" t="s">
        <v>74</v>
      </c>
      <c r="BH896" s="2" t="s">
        <v>74</v>
      </c>
      <c r="BI896" s="2" t="s">
        <v>74</v>
      </c>
      <c r="BJ896" s="2" t="s">
        <v>74</v>
      </c>
      <c r="BK896" s="2" t="s">
        <v>74</v>
      </c>
      <c r="BL896" s="2" t="s">
        <v>74</v>
      </c>
      <c r="BM896" s="2" t="s">
        <v>74</v>
      </c>
      <c r="BN896" s="2">
        <v>29056352</v>
      </c>
      <c r="BO896" s="2" t="s">
        <v>74</v>
      </c>
      <c r="BP896" s="2" t="s">
        <v>74</v>
      </c>
      <c r="BQ896" s="2" t="s">
        <v>74</v>
      </c>
      <c r="BR896" s="2" t="s">
        <v>74</v>
      </c>
      <c r="BS896" s="2" t="s">
        <v>5699</v>
      </c>
      <c r="BT896" s="2" t="str">
        <f>HYPERLINK("https%3A%2F%2Fwww.webofscience.com%2Fwos%2Fwoscc%2Ffull-record%2FWOS:000417009800005","View Full Record in Web of Science")</f>
        <v>View Full Record in Web of Science</v>
      </c>
    </row>
    <row r="897" spans="1:72" s="2" customFormat="1" x14ac:dyDescent="0.4">
      <c r="A897" s="2" t="s">
        <v>72</v>
      </c>
      <c r="B897" s="2" t="s">
        <v>7679</v>
      </c>
      <c r="C897" s="2" t="s">
        <v>74</v>
      </c>
      <c r="D897" s="2" t="s">
        <v>74</v>
      </c>
      <c r="E897" s="2" t="s">
        <v>74</v>
      </c>
      <c r="F897" s="2" t="s">
        <v>7680</v>
      </c>
      <c r="G897" s="2" t="s">
        <v>74</v>
      </c>
      <c r="H897" s="2" t="s">
        <v>74</v>
      </c>
      <c r="I897" s="2" t="s">
        <v>7681</v>
      </c>
      <c r="J897" s="2" t="s">
        <v>610</v>
      </c>
      <c r="K897" s="2" t="s">
        <v>74</v>
      </c>
      <c r="L897" s="2" t="s">
        <v>74</v>
      </c>
      <c r="M897" s="2" t="s">
        <v>74</v>
      </c>
      <c r="N897" s="2" t="s">
        <v>74</v>
      </c>
      <c r="O897" s="2" t="s">
        <v>74</v>
      </c>
      <c r="P897" s="2" t="s">
        <v>74</v>
      </c>
      <c r="Q897" s="2" t="s">
        <v>74</v>
      </c>
      <c r="R897" s="2" t="s">
        <v>74</v>
      </c>
      <c r="S897" s="2" t="s">
        <v>74</v>
      </c>
      <c r="T897" s="2" t="s">
        <v>74</v>
      </c>
      <c r="U897" s="2" t="s">
        <v>74</v>
      </c>
      <c r="V897" s="5" t="s">
        <v>7682</v>
      </c>
      <c r="W897" s="2" t="s">
        <v>74</v>
      </c>
      <c r="X897" s="2" t="s">
        <v>74</v>
      </c>
      <c r="Y897" s="2" t="s">
        <v>74</v>
      </c>
      <c r="Z897" s="2" t="s">
        <v>74</v>
      </c>
      <c r="AA897" s="2" t="s">
        <v>74</v>
      </c>
      <c r="AB897" s="2" t="s">
        <v>7683</v>
      </c>
      <c r="AC897" s="2" t="s">
        <v>74</v>
      </c>
      <c r="AD897" s="2" t="s">
        <v>74</v>
      </c>
      <c r="AE897" s="2" t="s">
        <v>74</v>
      </c>
      <c r="AF897" s="2" t="s">
        <v>74</v>
      </c>
      <c r="AG897" s="2" t="s">
        <v>74</v>
      </c>
      <c r="AH897" s="2" t="s">
        <v>74</v>
      </c>
      <c r="AI897" s="2" t="s">
        <v>74</v>
      </c>
      <c r="AJ897" s="2" t="s">
        <v>74</v>
      </c>
      <c r="AK897" s="2" t="s">
        <v>74</v>
      </c>
      <c r="AL897" s="2" t="s">
        <v>74</v>
      </c>
      <c r="AM897" s="2" t="s">
        <v>74</v>
      </c>
      <c r="AN897" s="2" t="s">
        <v>74</v>
      </c>
      <c r="AO897" s="2" t="s">
        <v>614</v>
      </c>
      <c r="AP897" s="2" t="s">
        <v>615</v>
      </c>
      <c r="AQ897" s="2" t="s">
        <v>74</v>
      </c>
      <c r="AR897" s="2" t="s">
        <v>74</v>
      </c>
      <c r="AS897" s="2" t="s">
        <v>74</v>
      </c>
      <c r="AT897" s="2" t="s">
        <v>204</v>
      </c>
      <c r="AU897" s="2">
        <v>2010</v>
      </c>
      <c r="AV897" s="2">
        <v>116</v>
      </c>
      <c r="AW897" s="2">
        <v>7</v>
      </c>
      <c r="AX897" s="2" t="s">
        <v>74</v>
      </c>
      <c r="AY897" s="2" t="s">
        <v>74</v>
      </c>
      <c r="AZ897" s="2" t="s">
        <v>74</v>
      </c>
      <c r="BA897" s="2" t="s">
        <v>74</v>
      </c>
      <c r="BB897" s="2">
        <v>608</v>
      </c>
      <c r="BC897" s="2">
        <v>618</v>
      </c>
      <c r="BD897" s="2" t="s">
        <v>74</v>
      </c>
      <c r="BE897" s="2" t="s">
        <v>7684</v>
      </c>
      <c r="BF897" s="2" t="str">
        <f>HYPERLINK("http://dx.doi.org/10.1111/j.1439-0310.2010.01777.x","http://dx.doi.org/10.1111/j.1439-0310.2010.01777.x")</f>
        <v>http://dx.doi.org/10.1111/j.1439-0310.2010.01777.x</v>
      </c>
      <c r="BG897" s="2" t="s">
        <v>74</v>
      </c>
      <c r="BH897" s="2" t="s">
        <v>74</v>
      </c>
      <c r="BI897" s="2" t="s">
        <v>74</v>
      </c>
      <c r="BJ897" s="2" t="s">
        <v>74</v>
      </c>
      <c r="BK897" s="2" t="s">
        <v>74</v>
      </c>
      <c r="BL897" s="2" t="s">
        <v>74</v>
      </c>
      <c r="BM897" s="2" t="s">
        <v>74</v>
      </c>
      <c r="BN897" s="2" t="s">
        <v>74</v>
      </c>
      <c r="BO897" s="2" t="s">
        <v>74</v>
      </c>
      <c r="BP897" s="2" t="s">
        <v>74</v>
      </c>
      <c r="BQ897" s="2" t="s">
        <v>74</v>
      </c>
      <c r="BR897" s="2" t="s">
        <v>74</v>
      </c>
      <c r="BS897" s="2" t="s">
        <v>7685</v>
      </c>
      <c r="BT897" s="2" t="str">
        <f>HYPERLINK("https%3A%2F%2Fwww.webofscience.com%2Fwos%2Fwoscc%2Ffull-record%2FWOS:000278520600004","View Full Record in Web of Science")</f>
        <v>View Full Record in Web of Science</v>
      </c>
    </row>
    <row r="898" spans="1:72" s="2" customFormat="1" x14ac:dyDescent="0.4">
      <c r="A898" s="2" t="s">
        <v>72</v>
      </c>
      <c r="B898" s="2" t="s">
        <v>5948</v>
      </c>
      <c r="C898" s="2" t="s">
        <v>74</v>
      </c>
      <c r="D898" s="2" t="s">
        <v>74</v>
      </c>
      <c r="E898" s="2" t="s">
        <v>74</v>
      </c>
      <c r="F898" s="2" t="s">
        <v>5949</v>
      </c>
      <c r="G898" s="2" t="s">
        <v>74</v>
      </c>
      <c r="H898" s="2" t="s">
        <v>74</v>
      </c>
      <c r="I898" s="2" t="s">
        <v>5950</v>
      </c>
      <c r="J898" s="2" t="s">
        <v>5951</v>
      </c>
      <c r="K898" s="2" t="s">
        <v>74</v>
      </c>
      <c r="L898" s="2" t="s">
        <v>74</v>
      </c>
      <c r="M898" s="2" t="s">
        <v>74</v>
      </c>
      <c r="N898" s="2" t="s">
        <v>74</v>
      </c>
      <c r="O898" s="2" t="s">
        <v>74</v>
      </c>
      <c r="P898" s="2" t="s">
        <v>74</v>
      </c>
      <c r="Q898" s="2" t="s">
        <v>74</v>
      </c>
      <c r="R898" s="2" t="s">
        <v>74</v>
      </c>
      <c r="S898" s="2" t="s">
        <v>74</v>
      </c>
      <c r="T898" s="2" t="s">
        <v>74</v>
      </c>
      <c r="U898" s="2" t="s">
        <v>74</v>
      </c>
      <c r="V898" s="5" t="s">
        <v>5952</v>
      </c>
      <c r="W898" s="2" t="s">
        <v>74</v>
      </c>
      <c r="X898" s="2" t="s">
        <v>74</v>
      </c>
      <c r="Y898" s="2" t="s">
        <v>74</v>
      </c>
      <c r="Z898" s="2" t="s">
        <v>74</v>
      </c>
      <c r="AA898" s="2" t="s">
        <v>5953</v>
      </c>
      <c r="AB898" s="2" t="s">
        <v>5954</v>
      </c>
      <c r="AC898" s="2" t="s">
        <v>74</v>
      </c>
      <c r="AD898" s="2" t="s">
        <v>74</v>
      </c>
      <c r="AE898" s="2" t="s">
        <v>74</v>
      </c>
      <c r="AF898" s="2" t="s">
        <v>74</v>
      </c>
      <c r="AG898" s="2" t="s">
        <v>74</v>
      </c>
      <c r="AH898" s="2" t="s">
        <v>74</v>
      </c>
      <c r="AI898" s="2" t="s">
        <v>74</v>
      </c>
      <c r="AJ898" s="2" t="s">
        <v>74</v>
      </c>
      <c r="AK898" s="2" t="s">
        <v>74</v>
      </c>
      <c r="AL898" s="2" t="s">
        <v>74</v>
      </c>
      <c r="AM898" s="2" t="s">
        <v>74</v>
      </c>
      <c r="AN898" s="2" t="s">
        <v>74</v>
      </c>
      <c r="AO898" s="2" t="s">
        <v>5955</v>
      </c>
      <c r="AP898" s="2" t="s">
        <v>74</v>
      </c>
      <c r="AQ898" s="2" t="s">
        <v>74</v>
      </c>
      <c r="AR898" s="2" t="s">
        <v>74</v>
      </c>
      <c r="AS898" s="2" t="s">
        <v>74</v>
      </c>
      <c r="AT898" s="2" t="s">
        <v>175</v>
      </c>
      <c r="AU898" s="2">
        <v>2009</v>
      </c>
      <c r="AV898" s="2">
        <v>30</v>
      </c>
      <c r="AW898" s="2" t="s">
        <v>74</v>
      </c>
      <c r="AX898" s="2" t="s">
        <v>74</v>
      </c>
      <c r="AY898" s="2" t="s">
        <v>74</v>
      </c>
      <c r="AZ898" s="2" t="s">
        <v>74</v>
      </c>
      <c r="BA898" s="2" t="s">
        <v>74</v>
      </c>
      <c r="BB898" s="2">
        <v>175</v>
      </c>
      <c r="BC898" s="2">
        <v>180</v>
      </c>
      <c r="BD898" s="2" t="s">
        <v>74</v>
      </c>
      <c r="BE898" s="2" t="s">
        <v>5956</v>
      </c>
      <c r="BF898" s="2" t="str">
        <f>HYPERLINK("http://dx.doi.org/10.1111/j.1439-0485.2009.00309.x","http://dx.doi.org/10.1111/j.1439-0485.2009.00309.x")</f>
        <v>http://dx.doi.org/10.1111/j.1439-0485.2009.00309.x</v>
      </c>
      <c r="BG898" s="2" t="s">
        <v>74</v>
      </c>
      <c r="BH898" s="2" t="s">
        <v>74</v>
      </c>
      <c r="BI898" s="2" t="s">
        <v>74</v>
      </c>
      <c r="BJ898" s="2" t="s">
        <v>74</v>
      </c>
      <c r="BK898" s="2" t="s">
        <v>74</v>
      </c>
      <c r="BL898" s="2" t="s">
        <v>74</v>
      </c>
      <c r="BM898" s="2" t="s">
        <v>74</v>
      </c>
      <c r="BN898" s="2" t="s">
        <v>74</v>
      </c>
      <c r="BO898" s="2" t="s">
        <v>74</v>
      </c>
      <c r="BP898" s="2" t="s">
        <v>74</v>
      </c>
      <c r="BQ898" s="2" t="s">
        <v>74</v>
      </c>
      <c r="BR898" s="2" t="s">
        <v>74</v>
      </c>
      <c r="BS898" s="2" t="s">
        <v>5957</v>
      </c>
      <c r="BT898" s="2" t="str">
        <f>HYPERLINK("https%3A%2F%2Fwww.webofscience.com%2Fwos%2Fwoscc%2Ffull-record%2FWOS:000270237100018","View Full Record in Web of Science")</f>
        <v>View Full Record in Web of Science</v>
      </c>
    </row>
    <row r="899" spans="1:72" s="7" customFormat="1" x14ac:dyDescent="0.4">
      <c r="A899" s="2" t="s">
        <v>72</v>
      </c>
      <c r="B899" s="2" t="s">
        <v>3372</v>
      </c>
      <c r="C899" s="2" t="s">
        <v>74</v>
      </c>
      <c r="D899" s="2" t="s">
        <v>74</v>
      </c>
      <c r="E899" s="2" t="s">
        <v>74</v>
      </c>
      <c r="F899" s="2" t="s">
        <v>3372</v>
      </c>
      <c r="G899" s="2" t="s">
        <v>74</v>
      </c>
      <c r="H899" s="2" t="s">
        <v>74</v>
      </c>
      <c r="I899" s="2" t="s">
        <v>3373</v>
      </c>
      <c r="J899" s="2" t="s">
        <v>3374</v>
      </c>
      <c r="K899" s="2" t="s">
        <v>74</v>
      </c>
      <c r="L899" s="2" t="s">
        <v>74</v>
      </c>
      <c r="M899" s="2" t="s">
        <v>74</v>
      </c>
      <c r="N899" s="2" t="s">
        <v>74</v>
      </c>
      <c r="O899" s="2" t="s">
        <v>74</v>
      </c>
      <c r="P899" s="2" t="s">
        <v>74</v>
      </c>
      <c r="Q899" s="2" t="s">
        <v>74</v>
      </c>
      <c r="R899" s="2" t="s">
        <v>74</v>
      </c>
      <c r="S899" s="2" t="s">
        <v>74</v>
      </c>
      <c r="T899" s="2" t="s">
        <v>74</v>
      </c>
      <c r="U899" s="2" t="s">
        <v>74</v>
      </c>
      <c r="V899" s="5" t="s">
        <v>3375</v>
      </c>
      <c r="W899" s="2" t="s">
        <v>74</v>
      </c>
      <c r="X899" s="2" t="s">
        <v>74</v>
      </c>
      <c r="Y899" s="2" t="s">
        <v>74</v>
      </c>
      <c r="Z899" s="2" t="s">
        <v>74</v>
      </c>
      <c r="AA899" s="2" t="s">
        <v>3376</v>
      </c>
      <c r="AB899" s="2" t="s">
        <v>3377</v>
      </c>
      <c r="AC899" s="2" t="s">
        <v>74</v>
      </c>
      <c r="AD899" s="2" t="s">
        <v>74</v>
      </c>
      <c r="AE899" s="2" t="s">
        <v>74</v>
      </c>
      <c r="AF899" s="2" t="s">
        <v>74</v>
      </c>
      <c r="AG899" s="2" t="s">
        <v>74</v>
      </c>
      <c r="AH899" s="2" t="s">
        <v>74</v>
      </c>
      <c r="AI899" s="2" t="s">
        <v>74</v>
      </c>
      <c r="AJ899" s="2" t="s">
        <v>74</v>
      </c>
      <c r="AK899" s="2" t="s">
        <v>74</v>
      </c>
      <c r="AL899" s="2" t="s">
        <v>74</v>
      </c>
      <c r="AM899" s="2" t="s">
        <v>74</v>
      </c>
      <c r="AN899" s="2" t="s">
        <v>74</v>
      </c>
      <c r="AO899" s="2" t="s">
        <v>3378</v>
      </c>
      <c r="AP899" s="2" t="s">
        <v>3379</v>
      </c>
      <c r="AQ899" s="2" t="s">
        <v>74</v>
      </c>
      <c r="AR899" s="2" t="s">
        <v>74</v>
      </c>
      <c r="AS899" s="2" t="s">
        <v>74</v>
      </c>
      <c r="AT899" s="2" t="s">
        <v>3380</v>
      </c>
      <c r="AU899" s="2">
        <v>2005</v>
      </c>
      <c r="AV899" s="2">
        <v>36</v>
      </c>
      <c r="AW899" s="2">
        <v>4</v>
      </c>
      <c r="AX899" s="2" t="s">
        <v>74</v>
      </c>
      <c r="AY899" s="2" t="s">
        <v>74</v>
      </c>
      <c r="AZ899" s="2" t="s">
        <v>74</v>
      </c>
      <c r="BA899" s="2" t="s">
        <v>74</v>
      </c>
      <c r="BB899" s="2">
        <v>571</v>
      </c>
      <c r="BC899" s="2">
        <v>584</v>
      </c>
      <c r="BD899" s="2" t="s">
        <v>74</v>
      </c>
      <c r="BE899" s="2" t="s">
        <v>3381</v>
      </c>
      <c r="BF899" s="2" t="str">
        <f>HYPERLINK("http://dx.doi.org/10.1051/apido:2005047","http://dx.doi.org/10.1051/apido:2005047")</f>
        <v>http://dx.doi.org/10.1051/apido:2005047</v>
      </c>
      <c r="BG899" s="2" t="s">
        <v>74</v>
      </c>
      <c r="BH899" s="2" t="s">
        <v>74</v>
      </c>
      <c r="BI899" s="2" t="s">
        <v>74</v>
      </c>
      <c r="BJ899" s="2" t="s">
        <v>74</v>
      </c>
      <c r="BK899" s="2" t="s">
        <v>74</v>
      </c>
      <c r="BL899" s="2" t="s">
        <v>74</v>
      </c>
      <c r="BM899" s="2" t="s">
        <v>74</v>
      </c>
      <c r="BN899" s="2" t="s">
        <v>74</v>
      </c>
      <c r="BO899" s="2" t="s">
        <v>74</v>
      </c>
      <c r="BP899" s="2" t="s">
        <v>74</v>
      </c>
      <c r="BQ899" s="2" t="s">
        <v>74</v>
      </c>
      <c r="BR899" s="2" t="s">
        <v>74</v>
      </c>
      <c r="BS899" s="2" t="s">
        <v>3382</v>
      </c>
      <c r="BT899" s="2" t="str">
        <f>HYPERLINK("https%3A%2F%2Fwww.webofscience.com%2Fwos%2Fwoscc%2Ffull-record%2FWOS:000235837400004","View Full Record in Web of Science")</f>
        <v>View Full Record in Web of Science</v>
      </c>
    </row>
    <row r="900" spans="1:72" s="2" customFormat="1" x14ac:dyDescent="0.4">
      <c r="A900" s="2" t="s">
        <v>72</v>
      </c>
      <c r="B900" s="2" t="s">
        <v>5159</v>
      </c>
      <c r="C900" s="2" t="s">
        <v>74</v>
      </c>
      <c r="D900" s="2" t="s">
        <v>74</v>
      </c>
      <c r="E900" s="2" t="s">
        <v>74</v>
      </c>
      <c r="F900" s="2" t="s">
        <v>5159</v>
      </c>
      <c r="G900" s="2" t="s">
        <v>74</v>
      </c>
      <c r="H900" s="2" t="s">
        <v>74</v>
      </c>
      <c r="I900" s="2" t="s">
        <v>5160</v>
      </c>
      <c r="J900" s="2" t="s">
        <v>1526</v>
      </c>
      <c r="K900" s="2" t="s">
        <v>74</v>
      </c>
      <c r="L900" s="2" t="s">
        <v>74</v>
      </c>
      <c r="M900" s="2" t="s">
        <v>74</v>
      </c>
      <c r="N900" s="2" t="s">
        <v>74</v>
      </c>
      <c r="O900" s="2" t="s">
        <v>74</v>
      </c>
      <c r="P900" s="2" t="s">
        <v>74</v>
      </c>
      <c r="Q900" s="2" t="s">
        <v>74</v>
      </c>
      <c r="R900" s="2" t="s">
        <v>74</v>
      </c>
      <c r="S900" s="2" t="s">
        <v>74</v>
      </c>
      <c r="T900" s="2" t="s">
        <v>74</v>
      </c>
      <c r="U900" s="2" t="s">
        <v>74</v>
      </c>
      <c r="V900" s="5" t="s">
        <v>5161</v>
      </c>
      <c r="W900" s="2" t="s">
        <v>74</v>
      </c>
      <c r="X900" s="2" t="s">
        <v>74</v>
      </c>
      <c r="Y900" s="2" t="s">
        <v>74</v>
      </c>
      <c r="Z900" s="2" t="s">
        <v>74</v>
      </c>
      <c r="AA900" s="2" t="s">
        <v>74</v>
      </c>
      <c r="AB900" s="2" t="s">
        <v>74</v>
      </c>
      <c r="AC900" s="2" t="s">
        <v>74</v>
      </c>
      <c r="AD900" s="2" t="s">
        <v>74</v>
      </c>
      <c r="AE900" s="2" t="s">
        <v>74</v>
      </c>
      <c r="AF900" s="2" t="s">
        <v>74</v>
      </c>
      <c r="AG900" s="2" t="s">
        <v>74</v>
      </c>
      <c r="AH900" s="2" t="s">
        <v>74</v>
      </c>
      <c r="AI900" s="2" t="s">
        <v>74</v>
      </c>
      <c r="AJ900" s="2" t="s">
        <v>74</v>
      </c>
      <c r="AK900" s="2" t="s">
        <v>74</v>
      </c>
      <c r="AL900" s="2" t="s">
        <v>74</v>
      </c>
      <c r="AM900" s="2" t="s">
        <v>74</v>
      </c>
      <c r="AN900" s="2" t="s">
        <v>74</v>
      </c>
      <c r="AO900" s="2" t="s">
        <v>1528</v>
      </c>
      <c r="AP900" s="2" t="s">
        <v>74</v>
      </c>
      <c r="AQ900" s="2" t="s">
        <v>74</v>
      </c>
      <c r="AR900" s="2" t="s">
        <v>74</v>
      </c>
      <c r="AS900" s="2" t="s">
        <v>74</v>
      </c>
      <c r="AT900" s="2" t="s">
        <v>213</v>
      </c>
      <c r="AU900" s="2">
        <v>1991</v>
      </c>
      <c r="AV900" s="2">
        <v>93</v>
      </c>
      <c r="AW900" s="2">
        <v>4</v>
      </c>
      <c r="AX900" s="2" t="s">
        <v>74</v>
      </c>
      <c r="AY900" s="2" t="s">
        <v>74</v>
      </c>
      <c r="AZ900" s="2" t="s">
        <v>74</v>
      </c>
      <c r="BA900" s="2" t="s">
        <v>74</v>
      </c>
      <c r="BB900" s="2">
        <v>825</v>
      </c>
      <c r="BC900" s="2">
        <v>839</v>
      </c>
      <c r="BD900" s="2" t="s">
        <v>74</v>
      </c>
      <c r="BE900" s="2" t="s">
        <v>5162</v>
      </c>
      <c r="BF900" s="2" t="str">
        <f>HYPERLINK("http://dx.doi.org/10.2307/3247717","http://dx.doi.org/10.2307/3247717")</f>
        <v>http://dx.doi.org/10.2307/3247717</v>
      </c>
      <c r="BG900" s="2" t="s">
        <v>74</v>
      </c>
      <c r="BH900" s="2" t="s">
        <v>74</v>
      </c>
      <c r="BI900" s="2" t="s">
        <v>74</v>
      </c>
      <c r="BJ900" s="2" t="s">
        <v>74</v>
      </c>
      <c r="BK900" s="2" t="s">
        <v>74</v>
      </c>
      <c r="BL900" s="2" t="s">
        <v>74</v>
      </c>
      <c r="BM900" s="2" t="s">
        <v>74</v>
      </c>
      <c r="BN900" s="2" t="s">
        <v>74</v>
      </c>
      <c r="BO900" s="2" t="s">
        <v>74</v>
      </c>
      <c r="BP900" s="2" t="s">
        <v>74</v>
      </c>
      <c r="BQ900" s="2" t="s">
        <v>74</v>
      </c>
      <c r="BR900" s="2" t="s">
        <v>74</v>
      </c>
      <c r="BS900" s="2" t="s">
        <v>5163</v>
      </c>
      <c r="BT900" s="2" t="str">
        <f>HYPERLINK("https%3A%2F%2Fwww.webofscience.com%2Fwos%2Fwoscc%2Ffull-record%2FWOS:A1991GW79100005","View Full Record in Web of Science")</f>
        <v>View Full Record in Web of Science</v>
      </c>
    </row>
    <row r="901" spans="1:72" s="2" customFormat="1" x14ac:dyDescent="0.4">
      <c r="A901" s="2" t="s">
        <v>72</v>
      </c>
      <c r="B901" s="2" t="s">
        <v>1452</v>
      </c>
      <c r="C901" s="2" t="s">
        <v>74</v>
      </c>
      <c r="D901" s="2" t="s">
        <v>74</v>
      </c>
      <c r="E901" s="2" t="s">
        <v>74</v>
      </c>
      <c r="F901" s="2" t="s">
        <v>1453</v>
      </c>
      <c r="G901" s="2" t="s">
        <v>74</v>
      </c>
      <c r="H901" s="2" t="s">
        <v>74</v>
      </c>
      <c r="I901" s="2" t="s">
        <v>1454</v>
      </c>
      <c r="J901" s="2" t="s">
        <v>431</v>
      </c>
      <c r="K901" s="2" t="s">
        <v>74</v>
      </c>
      <c r="L901" s="2" t="s">
        <v>74</v>
      </c>
      <c r="M901" s="2" t="s">
        <v>74</v>
      </c>
      <c r="N901" s="2" t="s">
        <v>74</v>
      </c>
      <c r="O901" s="2" t="s">
        <v>74</v>
      </c>
      <c r="P901" s="2" t="s">
        <v>74</v>
      </c>
      <c r="Q901" s="2" t="s">
        <v>74</v>
      </c>
      <c r="R901" s="2" t="s">
        <v>74</v>
      </c>
      <c r="S901" s="2" t="s">
        <v>74</v>
      </c>
      <c r="T901" s="2" t="s">
        <v>74</v>
      </c>
      <c r="U901" s="2" t="s">
        <v>74</v>
      </c>
      <c r="V901" s="5" t="s">
        <v>1455</v>
      </c>
      <c r="W901" s="2" t="s">
        <v>74</v>
      </c>
      <c r="X901" s="2" t="s">
        <v>74</v>
      </c>
      <c r="Y901" s="2" t="s">
        <v>74</v>
      </c>
      <c r="Z901" s="2" t="s">
        <v>74</v>
      </c>
      <c r="AA901" s="2" t="s">
        <v>1456</v>
      </c>
      <c r="AB901" s="2" t="s">
        <v>1457</v>
      </c>
      <c r="AC901" s="2" t="s">
        <v>74</v>
      </c>
      <c r="AD901" s="2" t="s">
        <v>74</v>
      </c>
      <c r="AE901" s="2" t="s">
        <v>74</v>
      </c>
      <c r="AF901" s="2" t="s">
        <v>74</v>
      </c>
      <c r="AG901" s="2" t="s">
        <v>74</v>
      </c>
      <c r="AH901" s="2" t="s">
        <v>74</v>
      </c>
      <c r="AI901" s="2" t="s">
        <v>74</v>
      </c>
      <c r="AJ901" s="2" t="s">
        <v>74</v>
      </c>
      <c r="AK901" s="2" t="s">
        <v>74</v>
      </c>
      <c r="AL901" s="2" t="s">
        <v>74</v>
      </c>
      <c r="AM901" s="2" t="s">
        <v>74</v>
      </c>
      <c r="AN901" s="2" t="s">
        <v>74</v>
      </c>
      <c r="AO901" s="2" t="s">
        <v>1458</v>
      </c>
      <c r="AP901" s="2" t="s">
        <v>435</v>
      </c>
      <c r="AQ901" s="2" t="s">
        <v>74</v>
      </c>
      <c r="AR901" s="2" t="s">
        <v>74</v>
      </c>
      <c r="AS901" s="2" t="s">
        <v>74</v>
      </c>
      <c r="AT901" s="2" t="s">
        <v>255</v>
      </c>
      <c r="AU901" s="2">
        <v>2015</v>
      </c>
      <c r="AV901" s="2">
        <v>132</v>
      </c>
      <c r="AW901" s="2">
        <v>1</v>
      </c>
      <c r="AX901" s="2" t="s">
        <v>74</v>
      </c>
      <c r="AY901" s="2" t="s">
        <v>74</v>
      </c>
      <c r="AZ901" s="2" t="s">
        <v>74</v>
      </c>
      <c r="BA901" s="2" t="s">
        <v>74</v>
      </c>
      <c r="BB901" s="2">
        <v>92</v>
      </c>
      <c r="BC901" s="2">
        <v>104</v>
      </c>
      <c r="BD901" s="2" t="s">
        <v>74</v>
      </c>
      <c r="BE901" s="2" t="s">
        <v>1459</v>
      </c>
      <c r="BF901" s="2" t="str">
        <f>HYPERLINK("http://dx.doi.org/10.1642/AUK-14-103.1","http://dx.doi.org/10.1642/AUK-14-103.1")</f>
        <v>http://dx.doi.org/10.1642/AUK-14-103.1</v>
      </c>
      <c r="BG901" s="2" t="s">
        <v>74</v>
      </c>
      <c r="BH901" s="2" t="s">
        <v>74</v>
      </c>
      <c r="BI901" s="2" t="s">
        <v>74</v>
      </c>
      <c r="BJ901" s="2" t="s">
        <v>74</v>
      </c>
      <c r="BK901" s="2" t="s">
        <v>74</v>
      </c>
      <c r="BL901" s="2" t="s">
        <v>74</v>
      </c>
      <c r="BM901" s="2" t="s">
        <v>74</v>
      </c>
      <c r="BN901" s="2" t="s">
        <v>74</v>
      </c>
      <c r="BO901" s="2" t="s">
        <v>74</v>
      </c>
      <c r="BP901" s="2" t="s">
        <v>74</v>
      </c>
      <c r="BQ901" s="2" t="s">
        <v>74</v>
      </c>
      <c r="BR901" s="2" t="s">
        <v>74</v>
      </c>
      <c r="BS901" s="2" t="s">
        <v>1460</v>
      </c>
      <c r="BT901" s="2" t="str">
        <f>HYPERLINK("https%3A%2F%2Fwww.webofscience.com%2Fwos%2Fwoscc%2Ffull-record%2FWOS:000347799300010","View Full Record in Web of Science")</f>
        <v>View Full Record in Web of Science</v>
      </c>
    </row>
    <row r="902" spans="1:72" s="2" customFormat="1" x14ac:dyDescent="0.4">
      <c r="A902" s="2" t="s">
        <v>72</v>
      </c>
      <c r="B902" s="2" t="s">
        <v>2255</v>
      </c>
      <c r="C902" s="2" t="s">
        <v>74</v>
      </c>
      <c r="D902" s="2" t="s">
        <v>74</v>
      </c>
      <c r="E902" s="2" t="s">
        <v>74</v>
      </c>
      <c r="F902" s="2" t="s">
        <v>2255</v>
      </c>
      <c r="G902" s="2" t="s">
        <v>74</v>
      </c>
      <c r="H902" s="2" t="s">
        <v>74</v>
      </c>
      <c r="I902" s="2" t="s">
        <v>2256</v>
      </c>
      <c r="J902" s="2" t="s">
        <v>2257</v>
      </c>
      <c r="K902" s="2" t="s">
        <v>74</v>
      </c>
      <c r="L902" s="2" t="s">
        <v>74</v>
      </c>
      <c r="M902" s="2" t="s">
        <v>74</v>
      </c>
      <c r="N902" s="2" t="s">
        <v>74</v>
      </c>
      <c r="O902" s="2" t="s">
        <v>74</v>
      </c>
      <c r="P902" s="2" t="s">
        <v>74</v>
      </c>
      <c r="Q902" s="2" t="s">
        <v>74</v>
      </c>
      <c r="R902" s="2" t="s">
        <v>74</v>
      </c>
      <c r="S902" s="2" t="s">
        <v>74</v>
      </c>
      <c r="T902" s="2" t="s">
        <v>74</v>
      </c>
      <c r="U902" s="2" t="s">
        <v>74</v>
      </c>
      <c r="V902" s="5" t="s">
        <v>2258</v>
      </c>
      <c r="W902" s="2" t="s">
        <v>74</v>
      </c>
      <c r="X902" s="2" t="s">
        <v>74</v>
      </c>
      <c r="Y902" s="2" t="s">
        <v>74</v>
      </c>
      <c r="Z902" s="2" t="s">
        <v>74</v>
      </c>
      <c r="AA902" s="2" t="s">
        <v>2259</v>
      </c>
      <c r="AB902" s="2" t="s">
        <v>2260</v>
      </c>
      <c r="AC902" s="2" t="s">
        <v>74</v>
      </c>
      <c r="AD902" s="2" t="s">
        <v>74</v>
      </c>
      <c r="AE902" s="2" t="s">
        <v>74</v>
      </c>
      <c r="AF902" s="2" t="s">
        <v>74</v>
      </c>
      <c r="AG902" s="2" t="s">
        <v>74</v>
      </c>
      <c r="AH902" s="2" t="s">
        <v>74</v>
      </c>
      <c r="AI902" s="2" t="s">
        <v>74</v>
      </c>
      <c r="AJ902" s="2" t="s">
        <v>74</v>
      </c>
      <c r="AK902" s="2" t="s">
        <v>74</v>
      </c>
      <c r="AL902" s="2" t="s">
        <v>74</v>
      </c>
      <c r="AM902" s="2" t="s">
        <v>74</v>
      </c>
      <c r="AN902" s="2" t="s">
        <v>74</v>
      </c>
      <c r="AO902" s="2" t="s">
        <v>2261</v>
      </c>
      <c r="AP902" s="2" t="s">
        <v>74</v>
      </c>
      <c r="AQ902" s="2" t="s">
        <v>74</v>
      </c>
      <c r="AR902" s="2" t="s">
        <v>74</v>
      </c>
      <c r="AS902" s="2" t="s">
        <v>74</v>
      </c>
      <c r="AT902" s="2" t="s">
        <v>74</v>
      </c>
      <c r="AU902" s="2">
        <v>2000</v>
      </c>
      <c r="AV902" s="2">
        <v>77</v>
      </c>
      <c r="AW902" s="2">
        <v>1</v>
      </c>
      <c r="AX902" s="2" t="s">
        <v>74</v>
      </c>
      <c r="AY902" s="2" t="s">
        <v>74</v>
      </c>
      <c r="AZ902" s="2" t="s">
        <v>74</v>
      </c>
      <c r="BA902" s="2" t="s">
        <v>74</v>
      </c>
      <c r="BB902" s="2">
        <v>11</v>
      </c>
      <c r="BC902" s="2">
        <v>16</v>
      </c>
      <c r="BD902" s="2" t="s">
        <v>74</v>
      </c>
      <c r="BE902" s="2" t="s">
        <v>74</v>
      </c>
      <c r="BF902" s="2" t="s">
        <v>74</v>
      </c>
      <c r="BG902" s="2" t="s">
        <v>74</v>
      </c>
      <c r="BH902" s="2" t="s">
        <v>74</v>
      </c>
      <c r="BI902" s="2" t="s">
        <v>74</v>
      </c>
      <c r="BJ902" s="2" t="s">
        <v>74</v>
      </c>
      <c r="BK902" s="2" t="s">
        <v>74</v>
      </c>
      <c r="BL902" s="2" t="s">
        <v>74</v>
      </c>
      <c r="BM902" s="2" t="s">
        <v>74</v>
      </c>
      <c r="BN902" s="2" t="s">
        <v>74</v>
      </c>
      <c r="BO902" s="2" t="s">
        <v>74</v>
      </c>
      <c r="BP902" s="2" t="s">
        <v>74</v>
      </c>
      <c r="BQ902" s="2" t="s">
        <v>74</v>
      </c>
      <c r="BR902" s="2" t="s">
        <v>74</v>
      </c>
      <c r="BS902" s="2" t="s">
        <v>2262</v>
      </c>
      <c r="BT902" s="2" t="str">
        <f>HYPERLINK("https%3A%2F%2Fwww.webofscience.com%2Fwos%2Fwoscc%2Ffull-record%2FWOS:000086364000002","View Full Record in Web of Science")</f>
        <v>View Full Record in Web of Science</v>
      </c>
    </row>
    <row r="903" spans="1:72" s="1" customFormat="1" x14ac:dyDescent="0.4">
      <c r="A903" s="2" t="s">
        <v>72</v>
      </c>
      <c r="B903" s="2" t="s">
        <v>6073</v>
      </c>
      <c r="C903" s="2" t="s">
        <v>74</v>
      </c>
      <c r="D903" s="2" t="s">
        <v>74</v>
      </c>
      <c r="E903" s="2" t="s">
        <v>74</v>
      </c>
      <c r="F903" s="2" t="s">
        <v>6074</v>
      </c>
      <c r="G903" s="2" t="s">
        <v>74</v>
      </c>
      <c r="H903" s="2" t="s">
        <v>74</v>
      </c>
      <c r="I903" s="2" t="s">
        <v>6075</v>
      </c>
      <c r="J903" s="2" t="s">
        <v>610</v>
      </c>
      <c r="K903" s="2" t="s">
        <v>74</v>
      </c>
      <c r="L903" s="2" t="s">
        <v>74</v>
      </c>
      <c r="M903" s="2" t="s">
        <v>74</v>
      </c>
      <c r="N903" s="2" t="s">
        <v>74</v>
      </c>
      <c r="O903" s="2" t="s">
        <v>74</v>
      </c>
      <c r="P903" s="2" t="s">
        <v>74</v>
      </c>
      <c r="Q903" s="2" t="s">
        <v>74</v>
      </c>
      <c r="R903" s="2" t="s">
        <v>74</v>
      </c>
      <c r="S903" s="2" t="s">
        <v>74</v>
      </c>
      <c r="T903" s="2" t="s">
        <v>74</v>
      </c>
      <c r="U903" s="2" t="s">
        <v>74</v>
      </c>
      <c r="V903" s="5" t="s">
        <v>6076</v>
      </c>
      <c r="W903" s="2" t="s">
        <v>74</v>
      </c>
      <c r="X903" s="2" t="s">
        <v>74</v>
      </c>
      <c r="Y903" s="2" t="s">
        <v>74</v>
      </c>
      <c r="Z903" s="2" t="s">
        <v>74</v>
      </c>
      <c r="AA903" s="2" t="s">
        <v>6077</v>
      </c>
      <c r="AB903" s="2" t="s">
        <v>6078</v>
      </c>
      <c r="AC903" s="2" t="s">
        <v>74</v>
      </c>
      <c r="AD903" s="2" t="s">
        <v>74</v>
      </c>
      <c r="AE903" s="2" t="s">
        <v>74</v>
      </c>
      <c r="AF903" s="2" t="s">
        <v>74</v>
      </c>
      <c r="AG903" s="2" t="s">
        <v>74</v>
      </c>
      <c r="AH903" s="2" t="s">
        <v>74</v>
      </c>
      <c r="AI903" s="2" t="s">
        <v>74</v>
      </c>
      <c r="AJ903" s="2" t="s">
        <v>74</v>
      </c>
      <c r="AK903" s="2" t="s">
        <v>74</v>
      </c>
      <c r="AL903" s="2" t="s">
        <v>74</v>
      </c>
      <c r="AM903" s="2" t="s">
        <v>74</v>
      </c>
      <c r="AN903" s="2" t="s">
        <v>74</v>
      </c>
      <c r="AO903" s="2" t="s">
        <v>614</v>
      </c>
      <c r="AP903" s="2" t="s">
        <v>615</v>
      </c>
      <c r="AQ903" s="2" t="s">
        <v>74</v>
      </c>
      <c r="AR903" s="2" t="s">
        <v>74</v>
      </c>
      <c r="AS903" s="2" t="s">
        <v>74</v>
      </c>
      <c r="AT903" s="2" t="s">
        <v>964</v>
      </c>
      <c r="AU903" s="2">
        <v>2019</v>
      </c>
      <c r="AV903" s="2">
        <v>125</v>
      </c>
      <c r="AW903" s="2">
        <v>2</v>
      </c>
      <c r="AX903" s="2" t="s">
        <v>74</v>
      </c>
      <c r="AY903" s="2" t="s">
        <v>74</v>
      </c>
      <c r="AZ903" s="2" t="s">
        <v>74</v>
      </c>
      <c r="BA903" s="2" t="s">
        <v>74</v>
      </c>
      <c r="BB903" s="2">
        <v>106</v>
      </c>
      <c r="BC903" s="2">
        <v>113</v>
      </c>
      <c r="BD903" s="2" t="s">
        <v>74</v>
      </c>
      <c r="BE903" s="2" t="s">
        <v>6079</v>
      </c>
      <c r="BF903" s="2" t="str">
        <f>HYPERLINK("http://dx.doi.org/10.1111/eth.12835","http://dx.doi.org/10.1111/eth.12835")</f>
        <v>http://dx.doi.org/10.1111/eth.12835</v>
      </c>
      <c r="BG903" s="2" t="s">
        <v>74</v>
      </c>
      <c r="BH903" s="2" t="s">
        <v>74</v>
      </c>
      <c r="BI903" s="2" t="s">
        <v>74</v>
      </c>
      <c r="BJ903" s="2" t="s">
        <v>74</v>
      </c>
      <c r="BK903" s="2" t="s">
        <v>74</v>
      </c>
      <c r="BL903" s="2" t="s">
        <v>74</v>
      </c>
      <c r="BM903" s="2" t="s">
        <v>74</v>
      </c>
      <c r="BN903" s="2" t="s">
        <v>74</v>
      </c>
      <c r="BO903" s="2" t="s">
        <v>74</v>
      </c>
      <c r="BP903" s="2" t="s">
        <v>74</v>
      </c>
      <c r="BQ903" s="2" t="s">
        <v>74</v>
      </c>
      <c r="BR903" s="2" t="s">
        <v>74</v>
      </c>
      <c r="BS903" s="2" t="s">
        <v>6080</v>
      </c>
      <c r="BT903" s="2" t="str">
        <f>HYPERLINK("https%3A%2F%2Fwww.webofscience.com%2Fwos%2Fwoscc%2Ffull-record%2FWOS:000455963400005","View Full Record in Web of Science")</f>
        <v>View Full Record in Web of Science</v>
      </c>
    </row>
    <row r="904" spans="1:72" s="2" customFormat="1" x14ac:dyDescent="0.4">
      <c r="A904" s="2" t="s">
        <v>72</v>
      </c>
      <c r="B904" s="2" t="s">
        <v>8760</v>
      </c>
      <c r="C904" s="2" t="s">
        <v>74</v>
      </c>
      <c r="D904" s="2" t="s">
        <v>74</v>
      </c>
      <c r="E904" s="2" t="s">
        <v>74</v>
      </c>
      <c r="F904" s="2" t="s">
        <v>8761</v>
      </c>
      <c r="G904" s="2" t="s">
        <v>74</v>
      </c>
      <c r="H904" s="2" t="s">
        <v>74</v>
      </c>
      <c r="I904" s="2" t="s">
        <v>8762</v>
      </c>
      <c r="J904" s="2" t="s">
        <v>119</v>
      </c>
      <c r="K904" s="2" t="s">
        <v>74</v>
      </c>
      <c r="L904" s="2" t="s">
        <v>74</v>
      </c>
      <c r="M904" s="2" t="s">
        <v>74</v>
      </c>
      <c r="N904" s="2" t="s">
        <v>74</v>
      </c>
      <c r="O904" s="2" t="s">
        <v>74</v>
      </c>
      <c r="P904" s="2" t="s">
        <v>74</v>
      </c>
      <c r="Q904" s="2" t="s">
        <v>74</v>
      </c>
      <c r="R904" s="2" t="s">
        <v>74</v>
      </c>
      <c r="S904" s="2" t="s">
        <v>74</v>
      </c>
      <c r="T904" s="2" t="s">
        <v>74</v>
      </c>
      <c r="U904" s="2" t="s">
        <v>74</v>
      </c>
      <c r="V904" s="5" t="s">
        <v>8763</v>
      </c>
      <c r="W904" s="2" t="s">
        <v>74</v>
      </c>
      <c r="X904" s="2" t="s">
        <v>74</v>
      </c>
      <c r="Y904" s="2" t="s">
        <v>74</v>
      </c>
      <c r="Z904" s="2" t="s">
        <v>74</v>
      </c>
      <c r="AA904" s="2" t="s">
        <v>8764</v>
      </c>
      <c r="AB904" s="2" t="s">
        <v>8765</v>
      </c>
      <c r="AC904" s="2" t="s">
        <v>74</v>
      </c>
      <c r="AD904" s="2" t="s">
        <v>74</v>
      </c>
      <c r="AE904" s="2" t="s">
        <v>74</v>
      </c>
      <c r="AF904" s="2" t="s">
        <v>74</v>
      </c>
      <c r="AG904" s="2" t="s">
        <v>74</v>
      </c>
      <c r="AH904" s="2" t="s">
        <v>74</v>
      </c>
      <c r="AI904" s="2" t="s">
        <v>74</v>
      </c>
      <c r="AJ904" s="2" t="s">
        <v>74</v>
      </c>
      <c r="AK904" s="2" t="s">
        <v>74</v>
      </c>
      <c r="AL904" s="2" t="s">
        <v>74</v>
      </c>
      <c r="AM904" s="2" t="s">
        <v>74</v>
      </c>
      <c r="AN904" s="2" t="s">
        <v>74</v>
      </c>
      <c r="AO904" s="2" t="s">
        <v>121</v>
      </c>
      <c r="AP904" s="2" t="s">
        <v>122</v>
      </c>
      <c r="AQ904" s="2" t="s">
        <v>74</v>
      </c>
      <c r="AR904" s="2" t="s">
        <v>74</v>
      </c>
      <c r="AS904" s="2" t="s">
        <v>74</v>
      </c>
      <c r="AT904" s="2" t="s">
        <v>352</v>
      </c>
      <c r="AU904" s="2">
        <v>2009</v>
      </c>
      <c r="AV904" s="2">
        <v>82</v>
      </c>
      <c r="AW904" s="2">
        <v>1</v>
      </c>
      <c r="AX904" s="2" t="s">
        <v>74</v>
      </c>
      <c r="AY904" s="2" t="s">
        <v>74</v>
      </c>
      <c r="AZ904" s="2" t="s">
        <v>74</v>
      </c>
      <c r="BA904" s="2" t="s">
        <v>74</v>
      </c>
      <c r="BB904" s="2">
        <v>25</v>
      </c>
      <c r="BC904" s="2">
        <v>29</v>
      </c>
      <c r="BD904" s="2" t="s">
        <v>74</v>
      </c>
      <c r="BE904" s="2" t="s">
        <v>8766</v>
      </c>
      <c r="BF904" s="2" t="str">
        <f>HYPERLINK("http://dx.doi.org/10.1016/j.beproc.2009.03.005","http://dx.doi.org/10.1016/j.beproc.2009.03.005")</f>
        <v>http://dx.doi.org/10.1016/j.beproc.2009.03.005</v>
      </c>
      <c r="BG904" s="2" t="s">
        <v>74</v>
      </c>
      <c r="BH904" s="2" t="s">
        <v>74</v>
      </c>
      <c r="BI904" s="2" t="s">
        <v>74</v>
      </c>
      <c r="BJ904" s="2" t="s">
        <v>74</v>
      </c>
      <c r="BK904" s="2" t="s">
        <v>74</v>
      </c>
      <c r="BL904" s="2" t="s">
        <v>74</v>
      </c>
      <c r="BM904" s="2" t="s">
        <v>74</v>
      </c>
      <c r="BN904" s="2">
        <v>19615612</v>
      </c>
      <c r="BO904" s="2" t="s">
        <v>74</v>
      </c>
      <c r="BP904" s="2" t="s">
        <v>74</v>
      </c>
      <c r="BQ904" s="2" t="s">
        <v>74</v>
      </c>
      <c r="BR904" s="2" t="s">
        <v>74</v>
      </c>
      <c r="BS904" s="2" t="s">
        <v>8767</v>
      </c>
      <c r="BT904" s="2" t="str">
        <f>HYPERLINK("https%3A%2F%2Fwww.webofscience.com%2Fwos%2Fwoscc%2Ffull-record%2FWOS:000268954900005","View Full Record in Web of Science")</f>
        <v>View Full Record in Web of Science</v>
      </c>
    </row>
    <row r="905" spans="1:72" s="2" customFormat="1" x14ac:dyDescent="0.4">
      <c r="A905" s="2" t="s">
        <v>72</v>
      </c>
      <c r="B905" s="2" t="s">
        <v>8107</v>
      </c>
      <c r="C905" s="2" t="s">
        <v>74</v>
      </c>
      <c r="D905" s="2" t="s">
        <v>74</v>
      </c>
      <c r="E905" s="2" t="s">
        <v>74</v>
      </c>
      <c r="F905" s="2" t="s">
        <v>8108</v>
      </c>
      <c r="G905" s="2" t="s">
        <v>74</v>
      </c>
      <c r="H905" s="2" t="s">
        <v>74</v>
      </c>
      <c r="I905" s="2" t="s">
        <v>8109</v>
      </c>
      <c r="J905" s="2" t="s">
        <v>763</v>
      </c>
      <c r="K905" s="2" t="s">
        <v>74</v>
      </c>
      <c r="L905" s="2" t="s">
        <v>74</v>
      </c>
      <c r="M905" s="2" t="s">
        <v>74</v>
      </c>
      <c r="N905" s="2" t="s">
        <v>74</v>
      </c>
      <c r="O905" s="2" t="s">
        <v>74</v>
      </c>
      <c r="P905" s="2" t="s">
        <v>74</v>
      </c>
      <c r="Q905" s="2" t="s">
        <v>74</v>
      </c>
      <c r="R905" s="2" t="s">
        <v>74</v>
      </c>
      <c r="S905" s="2" t="s">
        <v>74</v>
      </c>
      <c r="T905" s="2" t="s">
        <v>74</v>
      </c>
      <c r="U905" s="2" t="s">
        <v>74</v>
      </c>
      <c r="V905" s="5" t="s">
        <v>8110</v>
      </c>
      <c r="W905" s="2" t="s">
        <v>74</v>
      </c>
      <c r="X905" s="2" t="s">
        <v>74</v>
      </c>
      <c r="Y905" s="2" t="s">
        <v>74</v>
      </c>
      <c r="Z905" s="2" t="s">
        <v>74</v>
      </c>
      <c r="AA905" s="2" t="s">
        <v>8111</v>
      </c>
      <c r="AB905" s="2" t="s">
        <v>3649</v>
      </c>
      <c r="AC905" s="2" t="s">
        <v>74</v>
      </c>
      <c r="AD905" s="2" t="s">
        <v>74</v>
      </c>
      <c r="AE905" s="2" t="s">
        <v>74</v>
      </c>
      <c r="AF905" s="2" t="s">
        <v>74</v>
      </c>
      <c r="AG905" s="2" t="s">
        <v>74</v>
      </c>
      <c r="AH905" s="2" t="s">
        <v>74</v>
      </c>
      <c r="AI905" s="2" t="s">
        <v>74</v>
      </c>
      <c r="AJ905" s="2" t="s">
        <v>74</v>
      </c>
      <c r="AK905" s="2" t="s">
        <v>74</v>
      </c>
      <c r="AL905" s="2" t="s">
        <v>74</v>
      </c>
      <c r="AM905" s="2" t="s">
        <v>74</v>
      </c>
      <c r="AN905" s="2" t="s">
        <v>74</v>
      </c>
      <c r="AO905" s="2" t="s">
        <v>767</v>
      </c>
      <c r="AP905" s="2" t="s">
        <v>768</v>
      </c>
      <c r="AQ905" s="2" t="s">
        <v>74</v>
      </c>
      <c r="AR905" s="2" t="s">
        <v>74</v>
      </c>
      <c r="AS905" s="2" t="s">
        <v>74</v>
      </c>
      <c r="AT905" s="2" t="s">
        <v>352</v>
      </c>
      <c r="AU905" s="2">
        <v>2014</v>
      </c>
      <c r="AV905" s="2">
        <v>217</v>
      </c>
      <c r="AW905" s="2">
        <v>18</v>
      </c>
      <c r="AX905" s="2" t="s">
        <v>74</v>
      </c>
      <c r="AY905" s="2" t="s">
        <v>74</v>
      </c>
      <c r="AZ905" s="2" t="s">
        <v>74</v>
      </c>
      <c r="BA905" s="2" t="s">
        <v>74</v>
      </c>
      <c r="BB905" s="2">
        <v>3254</v>
      </c>
      <c r="BC905" s="2">
        <v>3262</v>
      </c>
      <c r="BD905" s="2" t="s">
        <v>74</v>
      </c>
      <c r="BE905" s="2" t="s">
        <v>8112</v>
      </c>
      <c r="BF905" s="2" t="str">
        <f>HYPERLINK("http://dx.doi.org/10.1242/jeb.106666","http://dx.doi.org/10.1242/jeb.106666")</f>
        <v>http://dx.doi.org/10.1242/jeb.106666</v>
      </c>
      <c r="BG905" s="2" t="s">
        <v>74</v>
      </c>
      <c r="BH905" s="2" t="s">
        <v>74</v>
      </c>
      <c r="BI905" s="2" t="s">
        <v>74</v>
      </c>
      <c r="BJ905" s="2" t="s">
        <v>74</v>
      </c>
      <c r="BK905" s="2" t="s">
        <v>74</v>
      </c>
      <c r="BL905" s="2" t="s">
        <v>74</v>
      </c>
      <c r="BM905" s="2" t="s">
        <v>74</v>
      </c>
      <c r="BN905" s="2">
        <v>25013111</v>
      </c>
      <c r="BO905" s="2" t="s">
        <v>74</v>
      </c>
      <c r="BP905" s="2" t="s">
        <v>74</v>
      </c>
      <c r="BQ905" s="2" t="s">
        <v>74</v>
      </c>
      <c r="BR905" s="2" t="s">
        <v>74</v>
      </c>
      <c r="BS905" s="2" t="s">
        <v>8113</v>
      </c>
      <c r="BT905" s="2" t="str">
        <f>HYPERLINK("https%3A%2F%2Fwww.webofscience.com%2Fwos%2Fwoscc%2Ffull-record%2FWOS:000342506100016","View Full Record in Web of Science")</f>
        <v>View Full Record in Web of Science</v>
      </c>
    </row>
    <row r="906" spans="1:72" s="2" customFormat="1" x14ac:dyDescent="0.4">
      <c r="A906" s="2" t="s">
        <v>72</v>
      </c>
      <c r="B906" s="2" t="s">
        <v>6804</v>
      </c>
      <c r="C906" s="2" t="s">
        <v>74</v>
      </c>
      <c r="D906" s="2" t="s">
        <v>74</v>
      </c>
      <c r="E906" s="2" t="s">
        <v>74</v>
      </c>
      <c r="F906" s="2" t="s">
        <v>6805</v>
      </c>
      <c r="G906" s="2" t="s">
        <v>74</v>
      </c>
      <c r="H906" s="2" t="s">
        <v>74</v>
      </c>
      <c r="I906" s="2" t="s">
        <v>6806</v>
      </c>
      <c r="J906" s="2" t="s">
        <v>1743</v>
      </c>
      <c r="K906" s="2" t="s">
        <v>74</v>
      </c>
      <c r="L906" s="2" t="s">
        <v>74</v>
      </c>
      <c r="M906" s="2" t="s">
        <v>74</v>
      </c>
      <c r="N906" s="2" t="s">
        <v>74</v>
      </c>
      <c r="O906" s="2" t="s">
        <v>74</v>
      </c>
      <c r="P906" s="2" t="s">
        <v>74</v>
      </c>
      <c r="Q906" s="2" t="s">
        <v>74</v>
      </c>
      <c r="R906" s="2" t="s">
        <v>74</v>
      </c>
      <c r="S906" s="2" t="s">
        <v>74</v>
      </c>
      <c r="T906" s="2" t="s">
        <v>74</v>
      </c>
      <c r="U906" s="2" t="s">
        <v>74</v>
      </c>
      <c r="V906" s="5" t="s">
        <v>6807</v>
      </c>
      <c r="W906" s="2" t="s">
        <v>74</v>
      </c>
      <c r="X906" s="2" t="s">
        <v>74</v>
      </c>
      <c r="Y906" s="2" t="s">
        <v>74</v>
      </c>
      <c r="Z906" s="2" t="s">
        <v>74</v>
      </c>
      <c r="AA906" s="2" t="s">
        <v>6808</v>
      </c>
      <c r="AB906" s="2" t="s">
        <v>74</v>
      </c>
      <c r="AC906" s="2" t="s">
        <v>74</v>
      </c>
      <c r="AD906" s="2" t="s">
        <v>74</v>
      </c>
      <c r="AE906" s="2" t="s">
        <v>74</v>
      </c>
      <c r="AF906" s="2" t="s">
        <v>74</v>
      </c>
      <c r="AG906" s="2" t="s">
        <v>74</v>
      </c>
      <c r="AH906" s="2" t="s">
        <v>74</v>
      </c>
      <c r="AI906" s="2" t="s">
        <v>74</v>
      </c>
      <c r="AJ906" s="2" t="s">
        <v>74</v>
      </c>
      <c r="AK906" s="2" t="s">
        <v>74</v>
      </c>
      <c r="AL906" s="2" t="s">
        <v>74</v>
      </c>
      <c r="AM906" s="2" t="s">
        <v>74</v>
      </c>
      <c r="AN906" s="2" t="s">
        <v>74</v>
      </c>
      <c r="AO906" s="2" t="s">
        <v>1746</v>
      </c>
      <c r="AP906" s="2" t="s">
        <v>74</v>
      </c>
      <c r="AQ906" s="2" t="s">
        <v>74</v>
      </c>
      <c r="AR906" s="2" t="s">
        <v>74</v>
      </c>
      <c r="AS906" s="2" t="s">
        <v>74</v>
      </c>
      <c r="AT906" s="2" t="s">
        <v>352</v>
      </c>
      <c r="AU906" s="2">
        <v>2006</v>
      </c>
      <c r="AV906" s="2">
        <v>23</v>
      </c>
      <c r="AW906" s="2">
        <v>9</v>
      </c>
      <c r="AX906" s="2" t="s">
        <v>74</v>
      </c>
      <c r="AY906" s="2" t="s">
        <v>74</v>
      </c>
      <c r="AZ906" s="2" t="s">
        <v>74</v>
      </c>
      <c r="BA906" s="2" t="s">
        <v>74</v>
      </c>
      <c r="BB906" s="2">
        <v>755</v>
      </c>
      <c r="BC906" s="2">
        <v>761</v>
      </c>
      <c r="BD906" s="2" t="s">
        <v>74</v>
      </c>
      <c r="BE906" s="2" t="s">
        <v>6809</v>
      </c>
      <c r="BF906" s="2" t="str">
        <f>HYPERLINK("http://dx.doi.org/10.2108/zsj.23.755","http://dx.doi.org/10.2108/zsj.23.755")</f>
        <v>http://dx.doi.org/10.2108/zsj.23.755</v>
      </c>
      <c r="BG906" s="2" t="s">
        <v>74</v>
      </c>
      <c r="BH906" s="2" t="s">
        <v>74</v>
      </c>
      <c r="BI906" s="2" t="s">
        <v>74</v>
      </c>
      <c r="BJ906" s="2" t="s">
        <v>74</v>
      </c>
      <c r="BK906" s="2" t="s">
        <v>74</v>
      </c>
      <c r="BL906" s="2" t="s">
        <v>74</v>
      </c>
      <c r="BM906" s="2" t="s">
        <v>74</v>
      </c>
      <c r="BN906" s="2">
        <v>17043397</v>
      </c>
      <c r="BO906" s="2" t="s">
        <v>74</v>
      </c>
      <c r="BP906" s="2" t="s">
        <v>74</v>
      </c>
      <c r="BQ906" s="2" t="s">
        <v>74</v>
      </c>
      <c r="BR906" s="2" t="s">
        <v>74</v>
      </c>
      <c r="BS906" s="2" t="s">
        <v>6810</v>
      </c>
      <c r="BT906" s="2" t="str">
        <f>HYPERLINK("https%3A%2F%2Fwww.webofscience.com%2Fwos%2Fwoscc%2Ffull-record%2FWOS:000243556800002","View Full Record in Web of Science")</f>
        <v>View Full Record in Web of Science</v>
      </c>
    </row>
    <row r="907" spans="1:72" s="2" customFormat="1" x14ac:dyDescent="0.4">
      <c r="A907" s="2" t="s">
        <v>72</v>
      </c>
      <c r="B907" s="2" t="s">
        <v>8526</v>
      </c>
      <c r="C907" s="2" t="s">
        <v>74</v>
      </c>
      <c r="D907" s="2" t="s">
        <v>74</v>
      </c>
      <c r="E907" s="2" t="s">
        <v>74</v>
      </c>
      <c r="F907" s="2" t="s">
        <v>8527</v>
      </c>
      <c r="G907" s="2" t="s">
        <v>74</v>
      </c>
      <c r="H907" s="2" t="s">
        <v>74</v>
      </c>
      <c r="I907" s="2" t="s">
        <v>8528</v>
      </c>
      <c r="J907" s="2" t="s">
        <v>129</v>
      </c>
      <c r="K907" s="2" t="s">
        <v>74</v>
      </c>
      <c r="L907" s="2" t="s">
        <v>74</v>
      </c>
      <c r="M907" s="2" t="s">
        <v>74</v>
      </c>
      <c r="N907" s="2" t="s">
        <v>74</v>
      </c>
      <c r="O907" s="2" t="s">
        <v>74</v>
      </c>
      <c r="P907" s="2" t="s">
        <v>74</v>
      </c>
      <c r="Q907" s="2" t="s">
        <v>74</v>
      </c>
      <c r="R907" s="2" t="s">
        <v>74</v>
      </c>
      <c r="S907" s="2" t="s">
        <v>74</v>
      </c>
      <c r="T907" s="2" t="s">
        <v>74</v>
      </c>
      <c r="U907" s="2" t="s">
        <v>74</v>
      </c>
      <c r="V907" s="5" t="s">
        <v>8529</v>
      </c>
      <c r="W907" s="2" t="s">
        <v>74</v>
      </c>
      <c r="X907" s="2" t="s">
        <v>74</v>
      </c>
      <c r="Y907" s="2" t="s">
        <v>74</v>
      </c>
      <c r="Z907" s="2" t="s">
        <v>74</v>
      </c>
      <c r="AA907" s="2" t="s">
        <v>8530</v>
      </c>
      <c r="AB907" s="2" t="s">
        <v>8531</v>
      </c>
      <c r="AC907" s="2" t="s">
        <v>74</v>
      </c>
      <c r="AD907" s="2" t="s">
        <v>74</v>
      </c>
      <c r="AE907" s="2" t="s">
        <v>74</v>
      </c>
      <c r="AF907" s="2" t="s">
        <v>74</v>
      </c>
      <c r="AG907" s="2" t="s">
        <v>74</v>
      </c>
      <c r="AH907" s="2" t="s">
        <v>74</v>
      </c>
      <c r="AI907" s="2" t="s">
        <v>74</v>
      </c>
      <c r="AJ907" s="2" t="s">
        <v>74</v>
      </c>
      <c r="AK907" s="2" t="s">
        <v>74</v>
      </c>
      <c r="AL907" s="2" t="s">
        <v>74</v>
      </c>
      <c r="AM907" s="2" t="s">
        <v>74</v>
      </c>
      <c r="AN907" s="2" t="s">
        <v>74</v>
      </c>
      <c r="AO907" s="2" t="s">
        <v>132</v>
      </c>
      <c r="AP907" s="2" t="s">
        <v>133</v>
      </c>
      <c r="AQ907" s="2" t="s">
        <v>74</v>
      </c>
      <c r="AR907" s="2" t="s">
        <v>74</v>
      </c>
      <c r="AS907" s="2" t="s">
        <v>74</v>
      </c>
      <c r="AT907" s="2" t="s">
        <v>213</v>
      </c>
      <c r="AU907" s="2">
        <v>2010</v>
      </c>
      <c r="AV907" s="2">
        <v>64</v>
      </c>
      <c r="AW907" s="2">
        <v>11</v>
      </c>
      <c r="AX907" s="2" t="s">
        <v>74</v>
      </c>
      <c r="AY907" s="2" t="s">
        <v>74</v>
      </c>
      <c r="AZ907" s="2" t="s">
        <v>74</v>
      </c>
      <c r="BA907" s="2" t="s">
        <v>74</v>
      </c>
      <c r="BB907" s="2">
        <v>1839</v>
      </c>
      <c r="BC907" s="2">
        <v>1847</v>
      </c>
      <c r="BD907" s="2" t="s">
        <v>74</v>
      </c>
      <c r="BE907" s="2" t="s">
        <v>8532</v>
      </c>
      <c r="BF907" s="2" t="str">
        <f>HYPERLINK("http://dx.doi.org/10.1007/s00265-010-0995-z","http://dx.doi.org/10.1007/s00265-010-0995-z")</f>
        <v>http://dx.doi.org/10.1007/s00265-010-0995-z</v>
      </c>
      <c r="BG907" s="2" t="s">
        <v>74</v>
      </c>
      <c r="BH907" s="2" t="s">
        <v>74</v>
      </c>
      <c r="BI907" s="2" t="s">
        <v>74</v>
      </c>
      <c r="BJ907" s="2" t="s">
        <v>74</v>
      </c>
      <c r="BK907" s="2" t="s">
        <v>74</v>
      </c>
      <c r="BL907" s="2" t="s">
        <v>74</v>
      </c>
      <c r="BM907" s="2" t="s">
        <v>74</v>
      </c>
      <c r="BN907" s="2" t="s">
        <v>74</v>
      </c>
      <c r="BO907" s="2" t="s">
        <v>74</v>
      </c>
      <c r="BP907" s="2" t="s">
        <v>74</v>
      </c>
      <c r="BQ907" s="2" t="s">
        <v>74</v>
      </c>
      <c r="BR907" s="2" t="s">
        <v>74</v>
      </c>
      <c r="BS907" s="2" t="s">
        <v>8533</v>
      </c>
      <c r="BT907" s="2" t="str">
        <f>HYPERLINK("https%3A%2F%2Fwww.webofscience.com%2Fwos%2Fwoscc%2Ffull-record%2FWOS:000282823800011","View Full Record in Web of Science")</f>
        <v>View Full Record in Web of Science</v>
      </c>
    </row>
    <row r="908" spans="1:72" s="2" customFormat="1" x14ac:dyDescent="0.4">
      <c r="A908" s="2" t="s">
        <v>72</v>
      </c>
      <c r="B908" s="2" t="s">
        <v>3267</v>
      </c>
      <c r="C908" s="2" t="s">
        <v>74</v>
      </c>
      <c r="D908" s="2" t="s">
        <v>74</v>
      </c>
      <c r="E908" s="2" t="s">
        <v>74</v>
      </c>
      <c r="F908" s="2" t="s">
        <v>3268</v>
      </c>
      <c r="G908" s="2" t="s">
        <v>74</v>
      </c>
      <c r="H908" s="2" t="s">
        <v>74</v>
      </c>
      <c r="I908" s="2" t="s">
        <v>3269</v>
      </c>
      <c r="J908" s="2" t="s">
        <v>201</v>
      </c>
      <c r="K908" s="2" t="s">
        <v>74</v>
      </c>
      <c r="L908" s="2" t="s">
        <v>74</v>
      </c>
      <c r="M908" s="2" t="s">
        <v>74</v>
      </c>
      <c r="N908" s="2" t="s">
        <v>74</v>
      </c>
      <c r="O908" s="2" t="s">
        <v>74</v>
      </c>
      <c r="P908" s="2" t="s">
        <v>74</v>
      </c>
      <c r="Q908" s="2" t="s">
        <v>74</v>
      </c>
      <c r="R908" s="2" t="s">
        <v>74</v>
      </c>
      <c r="S908" s="2" t="s">
        <v>74</v>
      </c>
      <c r="T908" s="2" t="s">
        <v>74</v>
      </c>
      <c r="U908" s="2" t="s">
        <v>74</v>
      </c>
      <c r="V908" s="5" t="s">
        <v>3270</v>
      </c>
      <c r="W908" s="2" t="s">
        <v>74</v>
      </c>
      <c r="X908" s="2" t="s">
        <v>74</v>
      </c>
      <c r="Y908" s="2" t="s">
        <v>74</v>
      </c>
      <c r="Z908" s="2" t="s">
        <v>74</v>
      </c>
      <c r="AA908" s="2" t="s">
        <v>3271</v>
      </c>
      <c r="AB908" s="2" t="s">
        <v>3272</v>
      </c>
      <c r="AC908" s="2" t="s">
        <v>74</v>
      </c>
      <c r="AD908" s="2" t="s">
        <v>74</v>
      </c>
      <c r="AE908" s="2" t="s">
        <v>74</v>
      </c>
      <c r="AF908" s="2" t="s">
        <v>74</v>
      </c>
      <c r="AG908" s="2" t="s">
        <v>74</v>
      </c>
      <c r="AH908" s="2" t="s">
        <v>74</v>
      </c>
      <c r="AI908" s="2" t="s">
        <v>74</v>
      </c>
      <c r="AJ908" s="2" t="s">
        <v>74</v>
      </c>
      <c r="AK908" s="2" t="s">
        <v>74</v>
      </c>
      <c r="AL908" s="2" t="s">
        <v>74</v>
      </c>
      <c r="AM908" s="2" t="s">
        <v>74</v>
      </c>
      <c r="AN908" s="2" t="s">
        <v>74</v>
      </c>
      <c r="AO908" s="2" t="s">
        <v>203</v>
      </c>
      <c r="AP908" s="2" t="s">
        <v>1192</v>
      </c>
      <c r="AQ908" s="2" t="s">
        <v>74</v>
      </c>
      <c r="AR908" s="2" t="s">
        <v>74</v>
      </c>
      <c r="AS908" s="2" t="s">
        <v>74</v>
      </c>
      <c r="AT908" s="2" t="s">
        <v>123</v>
      </c>
      <c r="AU908" s="2">
        <v>2012</v>
      </c>
      <c r="AV908" s="2">
        <v>80</v>
      </c>
      <c r="AW908" s="2">
        <v>3</v>
      </c>
      <c r="AX908" s="2" t="s">
        <v>74</v>
      </c>
      <c r="AY908" s="2" t="s">
        <v>74</v>
      </c>
      <c r="AZ908" s="2" t="s">
        <v>74</v>
      </c>
      <c r="BA908" s="2" t="s">
        <v>74</v>
      </c>
      <c r="BB908" s="2">
        <v>722</v>
      </c>
      <c r="BC908" s="2">
        <v>727</v>
      </c>
      <c r="BD908" s="2" t="s">
        <v>74</v>
      </c>
      <c r="BE908" s="2" t="s">
        <v>3273</v>
      </c>
      <c r="BF908" s="2" t="str">
        <f>HYPERLINK("http://dx.doi.org/10.1111/j.1095-8649.2011.03212.x","http://dx.doi.org/10.1111/j.1095-8649.2011.03212.x")</f>
        <v>http://dx.doi.org/10.1111/j.1095-8649.2011.03212.x</v>
      </c>
      <c r="BG908" s="2" t="s">
        <v>74</v>
      </c>
      <c r="BH908" s="2" t="s">
        <v>74</v>
      </c>
      <c r="BI908" s="2" t="s">
        <v>74</v>
      </c>
      <c r="BJ908" s="2" t="s">
        <v>74</v>
      </c>
      <c r="BK908" s="2" t="s">
        <v>74</v>
      </c>
      <c r="BL908" s="2" t="s">
        <v>74</v>
      </c>
      <c r="BM908" s="2" t="s">
        <v>74</v>
      </c>
      <c r="BN908" s="2">
        <v>22380566</v>
      </c>
      <c r="BO908" s="2" t="s">
        <v>74</v>
      </c>
      <c r="BP908" s="2" t="s">
        <v>74</v>
      </c>
      <c r="BQ908" s="2" t="s">
        <v>74</v>
      </c>
      <c r="BR908" s="2" t="s">
        <v>74</v>
      </c>
      <c r="BS908" s="2" t="s">
        <v>3274</v>
      </c>
      <c r="BT908" s="2" t="str">
        <f>HYPERLINK("https%3A%2F%2Fwww.webofscience.com%2Fwos%2Fwoscc%2Ffull-record%2FWOS:000300933900019","View Full Record in Web of Science")</f>
        <v>View Full Record in Web of Science</v>
      </c>
    </row>
    <row r="909" spans="1:72" s="2" customFormat="1" x14ac:dyDescent="0.4">
      <c r="A909" s="2" t="s">
        <v>72</v>
      </c>
      <c r="B909" s="2" t="s">
        <v>8318</v>
      </c>
      <c r="C909" s="2" t="s">
        <v>74</v>
      </c>
      <c r="D909" s="2" t="s">
        <v>74</v>
      </c>
      <c r="E909" s="2" t="s">
        <v>74</v>
      </c>
      <c r="F909" s="2" t="s">
        <v>8318</v>
      </c>
      <c r="G909" s="2" t="s">
        <v>74</v>
      </c>
      <c r="H909" s="2" t="s">
        <v>74</v>
      </c>
      <c r="I909" s="2" t="s">
        <v>8319</v>
      </c>
      <c r="J909" s="2" t="s">
        <v>4473</v>
      </c>
      <c r="K909" s="2" t="s">
        <v>74</v>
      </c>
      <c r="L909" s="2" t="s">
        <v>74</v>
      </c>
      <c r="M909" s="2" t="s">
        <v>74</v>
      </c>
      <c r="N909" s="2" t="s">
        <v>74</v>
      </c>
      <c r="O909" s="2" t="s">
        <v>74</v>
      </c>
      <c r="P909" s="2" t="s">
        <v>74</v>
      </c>
      <c r="Q909" s="2" t="s">
        <v>74</v>
      </c>
      <c r="R909" s="2" t="s">
        <v>74</v>
      </c>
      <c r="S909" s="2" t="s">
        <v>74</v>
      </c>
      <c r="T909" s="2" t="s">
        <v>74</v>
      </c>
      <c r="U909" s="2" t="s">
        <v>74</v>
      </c>
      <c r="V909" s="5" t="s">
        <v>8320</v>
      </c>
      <c r="W909" s="2" t="s">
        <v>74</v>
      </c>
      <c r="X909" s="2" t="s">
        <v>74</v>
      </c>
      <c r="Y909" s="2" t="s">
        <v>74</v>
      </c>
      <c r="Z909" s="2" t="s">
        <v>74</v>
      </c>
      <c r="AA909" s="2" t="s">
        <v>74</v>
      </c>
      <c r="AB909" s="2" t="s">
        <v>8321</v>
      </c>
      <c r="AC909" s="2" t="s">
        <v>74</v>
      </c>
      <c r="AD909" s="2" t="s">
        <v>74</v>
      </c>
      <c r="AE909" s="2" t="s">
        <v>74</v>
      </c>
      <c r="AF909" s="2" t="s">
        <v>74</v>
      </c>
      <c r="AG909" s="2" t="s">
        <v>74</v>
      </c>
      <c r="AH909" s="2" t="s">
        <v>74</v>
      </c>
      <c r="AI909" s="2" t="s">
        <v>74</v>
      </c>
      <c r="AJ909" s="2" t="s">
        <v>74</v>
      </c>
      <c r="AK909" s="2" t="s">
        <v>74</v>
      </c>
      <c r="AL909" s="2" t="s">
        <v>74</v>
      </c>
      <c r="AM909" s="2" t="s">
        <v>74</v>
      </c>
      <c r="AN909" s="2" t="s">
        <v>74</v>
      </c>
      <c r="AO909" s="2" t="s">
        <v>818</v>
      </c>
      <c r="AP909" s="2" t="s">
        <v>74</v>
      </c>
      <c r="AQ909" s="2" t="s">
        <v>74</v>
      </c>
      <c r="AR909" s="2" t="s">
        <v>74</v>
      </c>
      <c r="AS909" s="2" t="s">
        <v>74</v>
      </c>
      <c r="AT909" s="2" t="s">
        <v>74</v>
      </c>
      <c r="AU909" s="2">
        <v>2001</v>
      </c>
      <c r="AV909" s="2">
        <v>104</v>
      </c>
      <c r="AW909" s="2">
        <v>2</v>
      </c>
      <c r="AX909" s="2" t="s">
        <v>74</v>
      </c>
      <c r="AY909" s="2" t="s">
        <v>74</v>
      </c>
      <c r="AZ909" s="2" t="s">
        <v>74</v>
      </c>
      <c r="BA909" s="2" t="s">
        <v>74</v>
      </c>
      <c r="BB909" s="2">
        <v>91</v>
      </c>
      <c r="BC909" s="2">
        <v>97</v>
      </c>
      <c r="BD909" s="2" t="s">
        <v>74</v>
      </c>
      <c r="BE909" s="2" t="s">
        <v>8322</v>
      </c>
      <c r="BF909" s="2" t="str">
        <f>HYPERLINK("http://dx.doi.org/10.1078/0944-2006-00014","http://dx.doi.org/10.1078/0944-2006-00014")</f>
        <v>http://dx.doi.org/10.1078/0944-2006-00014</v>
      </c>
      <c r="BG909" s="2" t="s">
        <v>74</v>
      </c>
      <c r="BH909" s="2" t="s">
        <v>74</v>
      </c>
      <c r="BI909" s="2" t="s">
        <v>74</v>
      </c>
      <c r="BJ909" s="2" t="s">
        <v>74</v>
      </c>
      <c r="BK909" s="2" t="s">
        <v>74</v>
      </c>
      <c r="BL909" s="2" t="s">
        <v>74</v>
      </c>
      <c r="BM909" s="2" t="s">
        <v>74</v>
      </c>
      <c r="BN909" s="2">
        <v>16351822</v>
      </c>
      <c r="BO909" s="2" t="s">
        <v>74</v>
      </c>
      <c r="BP909" s="2" t="s">
        <v>74</v>
      </c>
      <c r="BQ909" s="2" t="s">
        <v>74</v>
      </c>
      <c r="BR909" s="2" t="s">
        <v>74</v>
      </c>
      <c r="BS909" s="2" t="s">
        <v>8323</v>
      </c>
      <c r="BT909" s="2" t="str">
        <f>HYPERLINK("https%3A%2F%2Fwww.webofscience.com%2Fwos%2Fwoscc%2Ffull-record%2FWOS:000172786700002","View Full Record in Web of Science")</f>
        <v>View Full Record in Web of Science</v>
      </c>
    </row>
    <row r="910" spans="1:72" s="2" customFormat="1" x14ac:dyDescent="0.4">
      <c r="A910" s="2" t="s">
        <v>72</v>
      </c>
      <c r="B910" s="2" t="s">
        <v>5134</v>
      </c>
      <c r="C910" s="2" t="s">
        <v>74</v>
      </c>
      <c r="D910" s="2" t="s">
        <v>74</v>
      </c>
      <c r="E910" s="2" t="s">
        <v>74</v>
      </c>
      <c r="F910" s="2" t="s">
        <v>5135</v>
      </c>
      <c r="G910" s="2" t="s">
        <v>74</v>
      </c>
      <c r="H910" s="2" t="s">
        <v>74</v>
      </c>
      <c r="I910" s="2" t="s">
        <v>5136</v>
      </c>
      <c r="J910" s="2" t="s">
        <v>2275</v>
      </c>
      <c r="K910" s="2" t="s">
        <v>74</v>
      </c>
      <c r="L910" s="2" t="s">
        <v>74</v>
      </c>
      <c r="M910" s="2" t="s">
        <v>74</v>
      </c>
      <c r="N910" s="2" t="s">
        <v>74</v>
      </c>
      <c r="O910" s="2" t="s">
        <v>74</v>
      </c>
      <c r="P910" s="2" t="s">
        <v>74</v>
      </c>
      <c r="Q910" s="2" t="s">
        <v>74</v>
      </c>
      <c r="R910" s="2" t="s">
        <v>74</v>
      </c>
      <c r="S910" s="2" t="s">
        <v>74</v>
      </c>
      <c r="T910" s="2" t="s">
        <v>74</v>
      </c>
      <c r="U910" s="2" t="s">
        <v>74</v>
      </c>
      <c r="V910" s="5" t="s">
        <v>5137</v>
      </c>
      <c r="W910" s="2" t="s">
        <v>74</v>
      </c>
      <c r="X910" s="2" t="s">
        <v>74</v>
      </c>
      <c r="Y910" s="2" t="s">
        <v>74</v>
      </c>
      <c r="Z910" s="2" t="s">
        <v>74</v>
      </c>
      <c r="AA910" s="2" t="s">
        <v>74</v>
      </c>
      <c r="AB910" s="2" t="s">
        <v>74</v>
      </c>
      <c r="AC910" s="2" t="s">
        <v>74</v>
      </c>
      <c r="AD910" s="2" t="s">
        <v>74</v>
      </c>
      <c r="AE910" s="2" t="s">
        <v>74</v>
      </c>
      <c r="AF910" s="2" t="s">
        <v>74</v>
      </c>
      <c r="AG910" s="2" t="s">
        <v>74</v>
      </c>
      <c r="AH910" s="2" t="s">
        <v>74</v>
      </c>
      <c r="AI910" s="2" t="s">
        <v>74</v>
      </c>
      <c r="AJ910" s="2" t="s">
        <v>74</v>
      </c>
      <c r="AK910" s="2" t="s">
        <v>74</v>
      </c>
      <c r="AL910" s="2" t="s">
        <v>74</v>
      </c>
      <c r="AM910" s="2" t="s">
        <v>74</v>
      </c>
      <c r="AN910" s="2" t="s">
        <v>74</v>
      </c>
      <c r="AO910" s="2" t="s">
        <v>2279</v>
      </c>
      <c r="AP910" s="2" t="s">
        <v>2280</v>
      </c>
      <c r="AQ910" s="2" t="s">
        <v>74</v>
      </c>
      <c r="AR910" s="2" t="s">
        <v>74</v>
      </c>
      <c r="AS910" s="2" t="s">
        <v>74</v>
      </c>
      <c r="AT910" s="2" t="s">
        <v>5138</v>
      </c>
      <c r="AU910" s="2">
        <v>2015</v>
      </c>
      <c r="AV910" s="2">
        <v>13</v>
      </c>
      <c r="AW910" s="2">
        <v>1</v>
      </c>
      <c r="AX910" s="2" t="s">
        <v>74</v>
      </c>
      <c r="AY910" s="2" t="s">
        <v>74</v>
      </c>
      <c r="AZ910" s="2" t="s">
        <v>74</v>
      </c>
      <c r="BA910" s="2" t="s">
        <v>74</v>
      </c>
      <c r="BB910" s="2">
        <v>93</v>
      </c>
      <c r="BC910" s="2">
        <v>103</v>
      </c>
      <c r="BD910" s="2" t="s">
        <v>74</v>
      </c>
      <c r="BE910" s="2" t="s">
        <v>5139</v>
      </c>
      <c r="BF910" s="2" t="str">
        <f>HYPERLINK("http://dx.doi.org/10.1080/14772000.2014.968233","http://dx.doi.org/10.1080/14772000.2014.968233")</f>
        <v>http://dx.doi.org/10.1080/14772000.2014.968233</v>
      </c>
      <c r="BG910" s="2" t="s">
        <v>74</v>
      </c>
      <c r="BH910" s="2" t="s">
        <v>74</v>
      </c>
      <c r="BI910" s="2" t="s">
        <v>74</v>
      </c>
      <c r="BJ910" s="2" t="s">
        <v>74</v>
      </c>
      <c r="BK910" s="2" t="s">
        <v>74</v>
      </c>
      <c r="BL910" s="2" t="s">
        <v>74</v>
      </c>
      <c r="BM910" s="2" t="s">
        <v>74</v>
      </c>
      <c r="BN910" s="2" t="s">
        <v>74</v>
      </c>
      <c r="BO910" s="2" t="s">
        <v>74</v>
      </c>
      <c r="BP910" s="2" t="s">
        <v>74</v>
      </c>
      <c r="BQ910" s="2" t="s">
        <v>74</v>
      </c>
      <c r="BR910" s="2" t="s">
        <v>74</v>
      </c>
      <c r="BS910" s="2" t="s">
        <v>5140</v>
      </c>
      <c r="BT910" s="2" t="str">
        <f>HYPERLINK("https%3A%2F%2Fwww.webofscience.com%2Fwos%2Fwoscc%2Ffull-record%2FWOS:000345618000007","View Full Record in Web of Science")</f>
        <v>View Full Record in Web of Science</v>
      </c>
    </row>
    <row r="911" spans="1:72" s="2" customFormat="1" x14ac:dyDescent="0.4">
      <c r="A911" s="2" t="s">
        <v>72</v>
      </c>
      <c r="B911" s="2" t="s">
        <v>2893</v>
      </c>
      <c r="C911" s="2" t="s">
        <v>74</v>
      </c>
      <c r="D911" s="2" t="s">
        <v>74</v>
      </c>
      <c r="E911" s="2" t="s">
        <v>74</v>
      </c>
      <c r="F911" s="2" t="s">
        <v>2894</v>
      </c>
      <c r="G911" s="2" t="s">
        <v>74</v>
      </c>
      <c r="H911" s="2" t="s">
        <v>74</v>
      </c>
      <c r="I911" s="2" t="s">
        <v>2895</v>
      </c>
      <c r="J911" s="2" t="s">
        <v>140</v>
      </c>
      <c r="K911" s="2" t="s">
        <v>74</v>
      </c>
      <c r="L911" s="2" t="s">
        <v>74</v>
      </c>
      <c r="M911" s="2" t="s">
        <v>74</v>
      </c>
      <c r="N911" s="2" t="s">
        <v>74</v>
      </c>
      <c r="O911" s="2" t="s">
        <v>74</v>
      </c>
      <c r="P911" s="2" t="s">
        <v>74</v>
      </c>
      <c r="Q911" s="2" t="s">
        <v>74</v>
      </c>
      <c r="R911" s="2" t="s">
        <v>74</v>
      </c>
      <c r="S911" s="2" t="s">
        <v>74</v>
      </c>
      <c r="T911" s="2" t="s">
        <v>74</v>
      </c>
      <c r="U911" s="2" t="s">
        <v>74</v>
      </c>
      <c r="V911" s="5" t="s">
        <v>2896</v>
      </c>
      <c r="W911" s="2" t="s">
        <v>74</v>
      </c>
      <c r="X911" s="2" t="s">
        <v>74</v>
      </c>
      <c r="Y911" s="2" t="s">
        <v>74</v>
      </c>
      <c r="Z911" s="2" t="s">
        <v>74</v>
      </c>
      <c r="AA911" s="2" t="s">
        <v>379</v>
      </c>
      <c r="AB911" s="2" t="s">
        <v>74</v>
      </c>
      <c r="AC911" s="2" t="s">
        <v>74</v>
      </c>
      <c r="AD911" s="2" t="s">
        <v>74</v>
      </c>
      <c r="AE911" s="2" t="s">
        <v>74</v>
      </c>
      <c r="AF911" s="2" t="s">
        <v>74</v>
      </c>
      <c r="AG911" s="2" t="s">
        <v>74</v>
      </c>
      <c r="AH911" s="2" t="s">
        <v>74</v>
      </c>
      <c r="AI911" s="2" t="s">
        <v>74</v>
      </c>
      <c r="AJ911" s="2" t="s">
        <v>74</v>
      </c>
      <c r="AK911" s="2" t="s">
        <v>74</v>
      </c>
      <c r="AL911" s="2" t="s">
        <v>74</v>
      </c>
      <c r="AM911" s="2" t="s">
        <v>74</v>
      </c>
      <c r="AN911" s="2" t="s">
        <v>74</v>
      </c>
      <c r="AO911" s="2" t="s">
        <v>143</v>
      </c>
      <c r="AP911" s="2" t="s">
        <v>144</v>
      </c>
      <c r="AQ911" s="2" t="s">
        <v>74</v>
      </c>
      <c r="AR911" s="2" t="s">
        <v>74</v>
      </c>
      <c r="AS911" s="2" t="s">
        <v>74</v>
      </c>
      <c r="AT911" s="2" t="s">
        <v>352</v>
      </c>
      <c r="AU911" s="2">
        <v>2017</v>
      </c>
      <c r="AV911" s="2">
        <v>131</v>
      </c>
      <c r="AW911" s="2" t="s">
        <v>74</v>
      </c>
      <c r="AX911" s="2" t="s">
        <v>74</v>
      </c>
      <c r="AY911" s="2" t="s">
        <v>74</v>
      </c>
      <c r="AZ911" s="2" t="s">
        <v>74</v>
      </c>
      <c r="BA911" s="2" t="s">
        <v>74</v>
      </c>
      <c r="BB911" s="2">
        <v>107</v>
      </c>
      <c r="BC911" s="2">
        <v>114</v>
      </c>
      <c r="BD911" s="2" t="s">
        <v>74</v>
      </c>
      <c r="BE911" s="2" t="s">
        <v>2897</v>
      </c>
      <c r="BF911" s="2" t="str">
        <f>HYPERLINK("http://dx.doi.org/10.1016/j.anbehav.2017.07.013","http://dx.doi.org/10.1016/j.anbehav.2017.07.013")</f>
        <v>http://dx.doi.org/10.1016/j.anbehav.2017.07.013</v>
      </c>
      <c r="BG911" s="2" t="s">
        <v>74</v>
      </c>
      <c r="BH911" s="2" t="s">
        <v>74</v>
      </c>
      <c r="BI911" s="2" t="s">
        <v>74</v>
      </c>
      <c r="BJ911" s="2" t="s">
        <v>74</v>
      </c>
      <c r="BK911" s="2" t="s">
        <v>74</v>
      </c>
      <c r="BL911" s="2" t="s">
        <v>74</v>
      </c>
      <c r="BM911" s="2" t="s">
        <v>74</v>
      </c>
      <c r="BN911" s="2" t="s">
        <v>74</v>
      </c>
      <c r="BO911" s="2" t="s">
        <v>74</v>
      </c>
      <c r="BP911" s="2" t="s">
        <v>74</v>
      </c>
      <c r="BQ911" s="2" t="s">
        <v>74</v>
      </c>
      <c r="BR911" s="2" t="s">
        <v>74</v>
      </c>
      <c r="BS911" s="2" t="s">
        <v>2898</v>
      </c>
      <c r="BT911" s="2" t="str">
        <f>HYPERLINK("https%3A%2F%2Fwww.webofscience.com%2Fwos%2Fwoscc%2Ffull-record%2FWOS:000410035100014","View Full Record in Web of Science")</f>
        <v>View Full Record in Web of Science</v>
      </c>
    </row>
    <row r="912" spans="1:72" s="7" customFormat="1" x14ac:dyDescent="0.4">
      <c r="A912" s="2" t="s">
        <v>72</v>
      </c>
      <c r="B912" s="2" t="s">
        <v>1831</v>
      </c>
      <c r="C912" s="2" t="s">
        <v>74</v>
      </c>
      <c r="D912" s="2" t="s">
        <v>74</v>
      </c>
      <c r="E912" s="2" t="s">
        <v>74</v>
      </c>
      <c r="F912" s="2" t="s">
        <v>1831</v>
      </c>
      <c r="G912" s="2" t="s">
        <v>74</v>
      </c>
      <c r="H912" s="2" t="s">
        <v>74</v>
      </c>
      <c r="I912" s="2" t="s">
        <v>1832</v>
      </c>
      <c r="J912" s="2" t="s">
        <v>77</v>
      </c>
      <c r="K912" s="2" t="s">
        <v>74</v>
      </c>
      <c r="L912" s="2" t="s">
        <v>74</v>
      </c>
      <c r="M912" s="2" t="s">
        <v>74</v>
      </c>
      <c r="N912" s="2" t="s">
        <v>74</v>
      </c>
      <c r="O912" s="2" t="s">
        <v>74</v>
      </c>
      <c r="P912" s="2" t="s">
        <v>74</v>
      </c>
      <c r="Q912" s="2" t="s">
        <v>74</v>
      </c>
      <c r="R912" s="2" t="s">
        <v>74</v>
      </c>
      <c r="S912" s="2" t="s">
        <v>74</v>
      </c>
      <c r="T912" s="2" t="s">
        <v>74</v>
      </c>
      <c r="U912" s="2" t="s">
        <v>74</v>
      </c>
      <c r="V912" s="5" t="s">
        <v>1833</v>
      </c>
      <c r="W912" s="2" t="s">
        <v>74</v>
      </c>
      <c r="X912" s="2" t="s">
        <v>74</v>
      </c>
      <c r="Y912" s="2" t="s">
        <v>74</v>
      </c>
      <c r="Z912" s="2" t="s">
        <v>74</v>
      </c>
      <c r="AA912" s="2" t="s">
        <v>74</v>
      </c>
      <c r="AB912" s="2" t="s">
        <v>74</v>
      </c>
      <c r="AC912" s="2" t="s">
        <v>74</v>
      </c>
      <c r="AD912" s="2" t="s">
        <v>74</v>
      </c>
      <c r="AE912" s="2" t="s">
        <v>74</v>
      </c>
      <c r="AF912" s="2" t="s">
        <v>74</v>
      </c>
      <c r="AG912" s="2" t="s">
        <v>74</v>
      </c>
      <c r="AH912" s="2" t="s">
        <v>74</v>
      </c>
      <c r="AI912" s="2" t="s">
        <v>74</v>
      </c>
      <c r="AJ912" s="2" t="s">
        <v>74</v>
      </c>
      <c r="AK912" s="2" t="s">
        <v>74</v>
      </c>
      <c r="AL912" s="2" t="s">
        <v>74</v>
      </c>
      <c r="AM912" s="2" t="s">
        <v>74</v>
      </c>
      <c r="AN912" s="2" t="s">
        <v>74</v>
      </c>
      <c r="AO912" s="2" t="s">
        <v>81</v>
      </c>
      <c r="AP912" s="2" t="s">
        <v>82</v>
      </c>
      <c r="AQ912" s="2" t="s">
        <v>74</v>
      </c>
      <c r="AR912" s="2" t="s">
        <v>74</v>
      </c>
      <c r="AS912" s="2" t="s">
        <v>74</v>
      </c>
      <c r="AT912" s="2" t="s">
        <v>74</v>
      </c>
      <c r="AU912" s="2">
        <v>1979</v>
      </c>
      <c r="AV912" s="2">
        <v>70</v>
      </c>
      <c r="AW912" s="2" t="s">
        <v>74</v>
      </c>
      <c r="AX912" s="2" t="s">
        <v>1276</v>
      </c>
      <c r="AY912" s="2" t="s">
        <v>74</v>
      </c>
      <c r="AZ912" s="2" t="s">
        <v>74</v>
      </c>
      <c r="BA912" s="2" t="s">
        <v>74</v>
      </c>
      <c r="BB912" s="2">
        <v>323</v>
      </c>
      <c r="BC912" s="2">
        <v>336</v>
      </c>
      <c r="BD912" s="2" t="s">
        <v>74</v>
      </c>
      <c r="BE912" s="2" t="s">
        <v>1834</v>
      </c>
      <c r="BF912" s="2" t="str">
        <f>HYPERLINK("http://dx.doi.org/10.1163/156853979X00115","http://dx.doi.org/10.1163/156853979X00115")</f>
        <v>http://dx.doi.org/10.1163/156853979X00115</v>
      </c>
      <c r="BG912" s="2" t="s">
        <v>74</v>
      </c>
      <c r="BH912" s="2" t="s">
        <v>74</v>
      </c>
      <c r="BI912" s="2" t="s">
        <v>74</v>
      </c>
      <c r="BJ912" s="2" t="s">
        <v>74</v>
      </c>
      <c r="BK912" s="2" t="s">
        <v>74</v>
      </c>
      <c r="BL912" s="2" t="s">
        <v>74</v>
      </c>
      <c r="BM912" s="2" t="s">
        <v>74</v>
      </c>
      <c r="BN912" s="2" t="s">
        <v>74</v>
      </c>
      <c r="BO912" s="2" t="s">
        <v>74</v>
      </c>
      <c r="BP912" s="2" t="s">
        <v>74</v>
      </c>
      <c r="BQ912" s="2" t="s">
        <v>74</v>
      </c>
      <c r="BR912" s="2" t="s">
        <v>74</v>
      </c>
      <c r="BS912" s="2" t="s">
        <v>1835</v>
      </c>
      <c r="BT912" s="2" t="str">
        <f>HYPERLINK("https%3A%2F%2Fwww.webofscience.com%2Fwos%2Fwoscc%2Ffull-record%2FWOS:A1979HU60900006","View Full Record in Web of Science")</f>
        <v>View Full Record in Web of Science</v>
      </c>
    </row>
    <row r="913" spans="1:72" s="2" customFormat="1" x14ac:dyDescent="0.4">
      <c r="A913" s="2" t="s">
        <v>72</v>
      </c>
      <c r="B913" s="2" t="s">
        <v>1299</v>
      </c>
      <c r="C913" s="2" t="s">
        <v>74</v>
      </c>
      <c r="D913" s="2" t="s">
        <v>74</v>
      </c>
      <c r="E913" s="2" t="s">
        <v>74</v>
      </c>
      <c r="F913" s="2" t="s">
        <v>1300</v>
      </c>
      <c r="G913" s="2" t="s">
        <v>74</v>
      </c>
      <c r="H913" s="2" t="s">
        <v>74</v>
      </c>
      <c r="I913" s="2" t="s">
        <v>1301</v>
      </c>
      <c r="J913" s="2" t="s">
        <v>1302</v>
      </c>
      <c r="K913" s="2" t="s">
        <v>74</v>
      </c>
      <c r="L913" s="2" t="s">
        <v>74</v>
      </c>
      <c r="M913" s="2" t="s">
        <v>74</v>
      </c>
      <c r="N913" s="2" t="s">
        <v>74</v>
      </c>
      <c r="O913" s="2" t="s">
        <v>74</v>
      </c>
      <c r="P913" s="2" t="s">
        <v>74</v>
      </c>
      <c r="Q913" s="2" t="s">
        <v>74</v>
      </c>
      <c r="R913" s="2" t="s">
        <v>74</v>
      </c>
      <c r="S913" s="2" t="s">
        <v>74</v>
      </c>
      <c r="T913" s="2" t="s">
        <v>74</v>
      </c>
      <c r="U913" s="2" t="s">
        <v>74</v>
      </c>
      <c r="V913" s="5" t="s">
        <v>1303</v>
      </c>
      <c r="W913" s="2" t="s">
        <v>74</v>
      </c>
      <c r="X913" s="2" t="s">
        <v>74</v>
      </c>
      <c r="Y913" s="2" t="s">
        <v>74</v>
      </c>
      <c r="Z913" s="2" t="s">
        <v>74</v>
      </c>
      <c r="AA913" s="2" t="s">
        <v>1304</v>
      </c>
      <c r="AB913" s="2" t="s">
        <v>1305</v>
      </c>
      <c r="AC913" s="2" t="s">
        <v>74</v>
      </c>
      <c r="AD913" s="2" t="s">
        <v>74</v>
      </c>
      <c r="AE913" s="2" t="s">
        <v>74</v>
      </c>
      <c r="AF913" s="2" t="s">
        <v>74</v>
      </c>
      <c r="AG913" s="2" t="s">
        <v>74</v>
      </c>
      <c r="AH913" s="2" t="s">
        <v>74</v>
      </c>
      <c r="AI913" s="2" t="s">
        <v>74</v>
      </c>
      <c r="AJ913" s="2" t="s">
        <v>74</v>
      </c>
      <c r="AK913" s="2" t="s">
        <v>74</v>
      </c>
      <c r="AL913" s="2" t="s">
        <v>74</v>
      </c>
      <c r="AM913" s="2" t="s">
        <v>74</v>
      </c>
      <c r="AN913" s="2" t="s">
        <v>74</v>
      </c>
      <c r="AO913" s="2" t="s">
        <v>1306</v>
      </c>
      <c r="AP913" s="2" t="s">
        <v>74</v>
      </c>
      <c r="AQ913" s="2" t="s">
        <v>74</v>
      </c>
      <c r="AR913" s="2" t="s">
        <v>74</v>
      </c>
      <c r="AS913" s="2" t="s">
        <v>74</v>
      </c>
      <c r="AT913" s="2" t="s">
        <v>1307</v>
      </c>
      <c r="AU913" s="2">
        <v>2009</v>
      </c>
      <c r="AV913" s="2">
        <v>7</v>
      </c>
      <c r="AW913" s="2">
        <v>4</v>
      </c>
      <c r="AX913" s="2" t="s">
        <v>74</v>
      </c>
      <c r="AY913" s="2" t="s">
        <v>74</v>
      </c>
      <c r="AZ913" s="2" t="s">
        <v>74</v>
      </c>
      <c r="BA913" s="2" t="s">
        <v>74</v>
      </c>
      <c r="BB913" s="2">
        <v>641</v>
      </c>
      <c r="BC913" s="2">
        <v>646</v>
      </c>
      <c r="BD913" s="2" t="s">
        <v>74</v>
      </c>
      <c r="BE913" s="2" t="s">
        <v>1308</v>
      </c>
      <c r="BF913" s="2" t="str">
        <f>HYPERLINK("http://dx.doi.org/10.1590/S1679-62252009000400013","http://dx.doi.org/10.1590/S1679-62252009000400013")</f>
        <v>http://dx.doi.org/10.1590/S1679-62252009000400013</v>
      </c>
      <c r="BG913" s="2" t="s">
        <v>74</v>
      </c>
      <c r="BH913" s="2" t="s">
        <v>74</v>
      </c>
      <c r="BI913" s="2" t="s">
        <v>74</v>
      </c>
      <c r="BJ913" s="2" t="s">
        <v>74</v>
      </c>
      <c r="BK913" s="2" t="s">
        <v>74</v>
      </c>
      <c r="BL913" s="2" t="s">
        <v>74</v>
      </c>
      <c r="BM913" s="2" t="s">
        <v>74</v>
      </c>
      <c r="BN913" s="2" t="s">
        <v>74</v>
      </c>
      <c r="BO913" s="2" t="s">
        <v>74</v>
      </c>
      <c r="BP913" s="2" t="s">
        <v>74</v>
      </c>
      <c r="BQ913" s="2" t="s">
        <v>74</v>
      </c>
      <c r="BR913" s="2" t="s">
        <v>74</v>
      </c>
      <c r="BS913" s="2" t="s">
        <v>1309</v>
      </c>
      <c r="BT913" s="2" t="str">
        <f>HYPERLINK("https%3A%2F%2Fwww.webofscience.com%2Fwos%2Fwoscc%2Ffull-record%2FWOS:000273613900013","View Full Record in Web of Science")</f>
        <v>View Full Record in Web of Science</v>
      </c>
    </row>
    <row r="914" spans="1:72" s="2" customFormat="1" x14ac:dyDescent="0.4">
      <c r="A914" s="2" t="s">
        <v>72</v>
      </c>
      <c r="B914" s="2" t="s">
        <v>7910</v>
      </c>
      <c r="C914" s="2" t="s">
        <v>74</v>
      </c>
      <c r="D914" s="2" t="s">
        <v>74</v>
      </c>
      <c r="E914" s="2" t="s">
        <v>74</v>
      </c>
      <c r="F914" s="2" t="s">
        <v>7911</v>
      </c>
      <c r="G914" s="2" t="s">
        <v>74</v>
      </c>
      <c r="H914" s="2" t="s">
        <v>74</v>
      </c>
      <c r="I914" s="2" t="s">
        <v>7912</v>
      </c>
      <c r="J914" s="2" t="s">
        <v>1656</v>
      </c>
      <c r="K914" s="2" t="s">
        <v>74</v>
      </c>
      <c r="L914" s="2" t="s">
        <v>74</v>
      </c>
      <c r="M914" s="2" t="s">
        <v>74</v>
      </c>
      <c r="N914" s="2" t="s">
        <v>74</v>
      </c>
      <c r="O914" s="2" t="s">
        <v>74</v>
      </c>
      <c r="P914" s="2" t="s">
        <v>74</v>
      </c>
      <c r="Q914" s="2" t="s">
        <v>74</v>
      </c>
      <c r="R914" s="2" t="s">
        <v>74</v>
      </c>
      <c r="S914" s="2" t="s">
        <v>74</v>
      </c>
      <c r="T914" s="2" t="s">
        <v>74</v>
      </c>
      <c r="U914" s="2" t="s">
        <v>74</v>
      </c>
      <c r="V914" s="5" t="s">
        <v>7913</v>
      </c>
      <c r="W914" s="2" t="s">
        <v>74</v>
      </c>
      <c r="X914" s="2" t="s">
        <v>74</v>
      </c>
      <c r="Y914" s="2" t="s">
        <v>74</v>
      </c>
      <c r="Z914" s="2" t="s">
        <v>74</v>
      </c>
      <c r="AA914" s="2" t="s">
        <v>7914</v>
      </c>
      <c r="AB914" s="2" t="s">
        <v>7915</v>
      </c>
      <c r="AC914" s="2" t="s">
        <v>74</v>
      </c>
      <c r="AD914" s="2" t="s">
        <v>74</v>
      </c>
      <c r="AE914" s="2" t="s">
        <v>74</v>
      </c>
      <c r="AF914" s="2" t="s">
        <v>74</v>
      </c>
      <c r="AG914" s="2" t="s">
        <v>74</v>
      </c>
      <c r="AH914" s="2" t="s">
        <v>74</v>
      </c>
      <c r="AI914" s="2" t="s">
        <v>74</v>
      </c>
      <c r="AJ914" s="2" t="s">
        <v>74</v>
      </c>
      <c r="AK914" s="2" t="s">
        <v>74</v>
      </c>
      <c r="AL914" s="2" t="s">
        <v>74</v>
      </c>
      <c r="AM914" s="2" t="s">
        <v>74</v>
      </c>
      <c r="AN914" s="2" t="s">
        <v>74</v>
      </c>
      <c r="AO914" s="2" t="s">
        <v>1658</v>
      </c>
      <c r="AP914" s="2" t="s">
        <v>1659</v>
      </c>
      <c r="AQ914" s="2" t="s">
        <v>74</v>
      </c>
      <c r="AR914" s="2" t="s">
        <v>74</v>
      </c>
      <c r="AS914" s="2" t="s">
        <v>74</v>
      </c>
      <c r="AT914" s="2" t="s">
        <v>7916</v>
      </c>
      <c r="AU914" s="2">
        <v>2023</v>
      </c>
      <c r="AV914" s="2">
        <v>5311</v>
      </c>
      <c r="AW914" s="2">
        <v>2</v>
      </c>
      <c r="AX914" s="2" t="s">
        <v>74</v>
      </c>
      <c r="AY914" s="2" t="s">
        <v>74</v>
      </c>
      <c r="AZ914" s="2" t="s">
        <v>74</v>
      </c>
      <c r="BA914" s="2" t="s">
        <v>74</v>
      </c>
      <c r="BB914" s="2">
        <v>232</v>
      </c>
      <c r="BC914" s="2">
        <v>250</v>
      </c>
      <c r="BD914" s="2" t="s">
        <v>74</v>
      </c>
      <c r="BE914" s="2" t="s">
        <v>7917</v>
      </c>
      <c r="BF914" s="2" t="str">
        <f>HYPERLINK("http://dx.doi.org/10.11646/zootaxa.5311.2.4","http://dx.doi.org/10.11646/zootaxa.5311.2.4")</f>
        <v>http://dx.doi.org/10.11646/zootaxa.5311.2.4</v>
      </c>
      <c r="BG914" s="2" t="s">
        <v>74</v>
      </c>
      <c r="BH914" s="2" t="s">
        <v>74</v>
      </c>
      <c r="BI914" s="2" t="s">
        <v>74</v>
      </c>
      <c r="BJ914" s="2" t="s">
        <v>74</v>
      </c>
      <c r="BK914" s="2" t="s">
        <v>74</v>
      </c>
      <c r="BL914" s="2" t="s">
        <v>74</v>
      </c>
      <c r="BM914" s="2" t="s">
        <v>74</v>
      </c>
      <c r="BN914" s="2">
        <v>37518646</v>
      </c>
      <c r="BO914" s="2" t="s">
        <v>74</v>
      </c>
      <c r="BP914" s="2" t="s">
        <v>74</v>
      </c>
      <c r="BQ914" s="2" t="s">
        <v>74</v>
      </c>
      <c r="BR914" s="2" t="s">
        <v>74</v>
      </c>
      <c r="BS914" s="2" t="s">
        <v>7918</v>
      </c>
      <c r="BT914" s="2" t="str">
        <f>HYPERLINK("https%3A%2F%2Fwww.webofscience.com%2Fwos%2Fwoscc%2Ffull-record%2FWOS:001030714500003","View Full Record in Web of Science")</f>
        <v>View Full Record in Web of Science</v>
      </c>
    </row>
    <row r="915" spans="1:72" s="2" customFormat="1" x14ac:dyDescent="0.4">
      <c r="A915" s="2" t="s">
        <v>72</v>
      </c>
      <c r="B915" s="2" t="s">
        <v>4033</v>
      </c>
      <c r="C915" s="2" t="s">
        <v>74</v>
      </c>
      <c r="D915" s="2" t="s">
        <v>74</v>
      </c>
      <c r="E915" s="2" t="s">
        <v>74</v>
      </c>
      <c r="F915" s="2" t="s">
        <v>4034</v>
      </c>
      <c r="G915" s="2" t="s">
        <v>74</v>
      </c>
      <c r="H915" s="2" t="s">
        <v>74</v>
      </c>
      <c r="I915" s="2" t="s">
        <v>4035</v>
      </c>
      <c r="J915" s="2" t="s">
        <v>1949</v>
      </c>
      <c r="K915" s="2" t="s">
        <v>74</v>
      </c>
      <c r="L915" s="2" t="s">
        <v>74</v>
      </c>
      <c r="M915" s="2" t="s">
        <v>74</v>
      </c>
      <c r="N915" s="2" t="s">
        <v>74</v>
      </c>
      <c r="O915" s="2" t="s">
        <v>74</v>
      </c>
      <c r="P915" s="2" t="s">
        <v>74</v>
      </c>
      <c r="Q915" s="2" t="s">
        <v>74</v>
      </c>
      <c r="R915" s="2" t="s">
        <v>74</v>
      </c>
      <c r="S915" s="2" t="s">
        <v>74</v>
      </c>
      <c r="T915" s="2" t="s">
        <v>74</v>
      </c>
      <c r="U915" s="2" t="s">
        <v>74</v>
      </c>
      <c r="V915" s="5" t="s">
        <v>4036</v>
      </c>
      <c r="W915" s="2" t="s">
        <v>74</v>
      </c>
      <c r="X915" s="2" t="s">
        <v>74</v>
      </c>
      <c r="Y915" s="2" t="s">
        <v>74</v>
      </c>
      <c r="Z915" s="2" t="s">
        <v>74</v>
      </c>
      <c r="AA915" s="2" t="s">
        <v>4037</v>
      </c>
      <c r="AB915" s="2" t="s">
        <v>4038</v>
      </c>
      <c r="AC915" s="2" t="s">
        <v>74</v>
      </c>
      <c r="AD915" s="2" t="s">
        <v>74</v>
      </c>
      <c r="AE915" s="2" t="s">
        <v>74</v>
      </c>
      <c r="AF915" s="2" t="s">
        <v>74</v>
      </c>
      <c r="AG915" s="2" t="s">
        <v>74</v>
      </c>
      <c r="AH915" s="2" t="s">
        <v>74</v>
      </c>
      <c r="AI915" s="2" t="s">
        <v>74</v>
      </c>
      <c r="AJ915" s="2" t="s">
        <v>74</v>
      </c>
      <c r="AK915" s="2" t="s">
        <v>74</v>
      </c>
      <c r="AL915" s="2" t="s">
        <v>74</v>
      </c>
      <c r="AM915" s="2" t="s">
        <v>74</v>
      </c>
      <c r="AN915" s="2" t="s">
        <v>74</v>
      </c>
      <c r="AO915" s="2" t="s">
        <v>74</v>
      </c>
      <c r="AP915" s="2" t="s">
        <v>1953</v>
      </c>
      <c r="AQ915" s="2" t="s">
        <v>74</v>
      </c>
      <c r="AR915" s="2" t="s">
        <v>74</v>
      </c>
      <c r="AS915" s="2" t="s">
        <v>74</v>
      </c>
      <c r="AT915" s="2" t="s">
        <v>213</v>
      </c>
      <c r="AU915" s="2">
        <v>2020</v>
      </c>
      <c r="AV915" s="2">
        <v>11</v>
      </c>
      <c r="AW915" s="2">
        <v>11</v>
      </c>
      <c r="AX915" s="2" t="s">
        <v>74</v>
      </c>
      <c r="AY915" s="2" t="s">
        <v>74</v>
      </c>
      <c r="AZ915" s="2" t="s">
        <v>74</v>
      </c>
      <c r="BA915" s="2" t="s">
        <v>74</v>
      </c>
      <c r="BB915" s="2" t="s">
        <v>74</v>
      </c>
      <c r="BC915" s="2" t="s">
        <v>74</v>
      </c>
      <c r="BD915" s="2">
        <v>727</v>
      </c>
      <c r="BE915" s="2" t="s">
        <v>4039</v>
      </c>
      <c r="BF915" s="2" t="str">
        <f>HYPERLINK("http://dx.doi.org/10.3390/insects11110727","http://dx.doi.org/10.3390/insects11110727")</f>
        <v>http://dx.doi.org/10.3390/insects11110727</v>
      </c>
      <c r="BG915" s="2" t="s">
        <v>74</v>
      </c>
      <c r="BH915" s="2" t="s">
        <v>74</v>
      </c>
      <c r="BI915" s="2" t="s">
        <v>74</v>
      </c>
      <c r="BJ915" s="2" t="s">
        <v>74</v>
      </c>
      <c r="BK915" s="2" t="s">
        <v>74</v>
      </c>
      <c r="BL915" s="2" t="s">
        <v>74</v>
      </c>
      <c r="BM915" s="2" t="s">
        <v>74</v>
      </c>
      <c r="BN915" s="2">
        <v>33114300</v>
      </c>
      <c r="BO915" s="2" t="s">
        <v>74</v>
      </c>
      <c r="BP915" s="2" t="s">
        <v>74</v>
      </c>
      <c r="BQ915" s="2" t="s">
        <v>74</v>
      </c>
      <c r="BR915" s="2" t="s">
        <v>74</v>
      </c>
      <c r="BS915" s="2" t="s">
        <v>4040</v>
      </c>
      <c r="BT915" s="2" t="str">
        <f>HYPERLINK("https%3A%2F%2Fwww.webofscience.com%2Fwos%2Fwoscc%2Ffull-record%2FWOS:000593343100001","View Full Record in Web of Science")</f>
        <v>View Full Record in Web of Science</v>
      </c>
    </row>
    <row r="916" spans="1:72" s="2" customFormat="1" x14ac:dyDescent="0.4">
      <c r="A916" s="2" t="s">
        <v>72</v>
      </c>
      <c r="B916" s="2" t="s">
        <v>2061</v>
      </c>
      <c r="C916" s="2" t="s">
        <v>74</v>
      </c>
      <c r="D916" s="2" t="s">
        <v>74</v>
      </c>
      <c r="E916" s="2" t="s">
        <v>74</v>
      </c>
      <c r="F916" s="2" t="s">
        <v>2062</v>
      </c>
      <c r="G916" s="2" t="s">
        <v>74</v>
      </c>
      <c r="H916" s="2" t="s">
        <v>74</v>
      </c>
      <c r="I916" s="2" t="s">
        <v>2063</v>
      </c>
      <c r="J916" s="2" t="s">
        <v>129</v>
      </c>
      <c r="K916" s="2" t="s">
        <v>74</v>
      </c>
      <c r="L916" s="2" t="s">
        <v>74</v>
      </c>
      <c r="M916" s="2" t="s">
        <v>74</v>
      </c>
      <c r="N916" s="2" t="s">
        <v>74</v>
      </c>
      <c r="O916" s="2" t="s">
        <v>74</v>
      </c>
      <c r="P916" s="2" t="s">
        <v>74</v>
      </c>
      <c r="Q916" s="2" t="s">
        <v>74</v>
      </c>
      <c r="R916" s="2" t="s">
        <v>74</v>
      </c>
      <c r="S916" s="2" t="s">
        <v>74</v>
      </c>
      <c r="T916" s="2" t="s">
        <v>74</v>
      </c>
      <c r="U916" s="2" t="s">
        <v>74</v>
      </c>
      <c r="V916" s="5" t="s">
        <v>2064</v>
      </c>
      <c r="W916" s="2" t="s">
        <v>74</v>
      </c>
      <c r="X916" s="2" t="s">
        <v>74</v>
      </c>
      <c r="Y916" s="2" t="s">
        <v>74</v>
      </c>
      <c r="Z916" s="2" t="s">
        <v>74</v>
      </c>
      <c r="AA916" s="2" t="s">
        <v>74</v>
      </c>
      <c r="AB916" s="2" t="s">
        <v>74</v>
      </c>
      <c r="AC916" s="2" t="s">
        <v>74</v>
      </c>
      <c r="AD916" s="2" t="s">
        <v>74</v>
      </c>
      <c r="AE916" s="2" t="s">
        <v>74</v>
      </c>
      <c r="AF916" s="2" t="s">
        <v>74</v>
      </c>
      <c r="AG916" s="2" t="s">
        <v>74</v>
      </c>
      <c r="AH916" s="2" t="s">
        <v>74</v>
      </c>
      <c r="AI916" s="2" t="s">
        <v>74</v>
      </c>
      <c r="AJ916" s="2" t="s">
        <v>74</v>
      </c>
      <c r="AK916" s="2" t="s">
        <v>74</v>
      </c>
      <c r="AL916" s="2" t="s">
        <v>74</v>
      </c>
      <c r="AM916" s="2" t="s">
        <v>74</v>
      </c>
      <c r="AN916" s="2" t="s">
        <v>74</v>
      </c>
      <c r="AO916" s="2" t="s">
        <v>132</v>
      </c>
      <c r="AP916" s="2" t="s">
        <v>133</v>
      </c>
      <c r="AQ916" s="2" t="s">
        <v>74</v>
      </c>
      <c r="AR916" s="2" t="s">
        <v>74</v>
      </c>
      <c r="AS916" s="2" t="s">
        <v>74</v>
      </c>
      <c r="AT916" s="2" t="s">
        <v>204</v>
      </c>
      <c r="AU916" s="2">
        <v>2024</v>
      </c>
      <c r="AV916" s="2">
        <v>78</v>
      </c>
      <c r="AW916" s="2">
        <v>7</v>
      </c>
      <c r="AX916" s="2" t="s">
        <v>74</v>
      </c>
      <c r="AY916" s="2" t="s">
        <v>74</v>
      </c>
      <c r="AZ916" s="2" t="s">
        <v>74</v>
      </c>
      <c r="BA916" s="2" t="s">
        <v>74</v>
      </c>
      <c r="BB916" s="2" t="s">
        <v>74</v>
      </c>
      <c r="BC916" s="2" t="s">
        <v>74</v>
      </c>
      <c r="BD916" s="2">
        <v>78</v>
      </c>
      <c r="BE916" s="2" t="s">
        <v>2065</v>
      </c>
      <c r="BF916" s="2" t="str">
        <f>HYPERLINK("http://dx.doi.org/10.1007/s00265-024-03493-0","http://dx.doi.org/10.1007/s00265-024-03493-0")</f>
        <v>http://dx.doi.org/10.1007/s00265-024-03493-0</v>
      </c>
      <c r="BG916" s="2" t="s">
        <v>74</v>
      </c>
      <c r="BH916" s="2" t="s">
        <v>74</v>
      </c>
      <c r="BI916" s="2" t="s">
        <v>74</v>
      </c>
      <c r="BJ916" s="2" t="s">
        <v>74</v>
      </c>
      <c r="BK916" s="2" t="s">
        <v>74</v>
      </c>
      <c r="BL916" s="2" t="s">
        <v>74</v>
      </c>
      <c r="BM916" s="2" t="s">
        <v>74</v>
      </c>
      <c r="BN916" s="2" t="s">
        <v>74</v>
      </c>
      <c r="BO916" s="2" t="s">
        <v>74</v>
      </c>
      <c r="BP916" s="2" t="s">
        <v>74</v>
      </c>
      <c r="BQ916" s="2" t="s">
        <v>74</v>
      </c>
      <c r="BR916" s="2" t="s">
        <v>74</v>
      </c>
      <c r="BS916" s="2" t="s">
        <v>2066</v>
      </c>
      <c r="BT916" s="2" t="str">
        <f>HYPERLINK("https%3A%2F%2Fwww.webofscience.com%2Fwos%2Fwoscc%2Ffull-record%2FWOS:001262286100002","View Full Record in Web of Science")</f>
        <v>View Full Record in Web of Science</v>
      </c>
    </row>
    <row r="917" spans="1:72" s="2" customFormat="1" x14ac:dyDescent="0.4">
      <c r="A917" s="2" t="s">
        <v>72</v>
      </c>
      <c r="B917" s="2" t="s">
        <v>2214</v>
      </c>
      <c r="C917" s="2" t="s">
        <v>74</v>
      </c>
      <c r="D917" s="2" t="s">
        <v>74</v>
      </c>
      <c r="E917" s="2" t="s">
        <v>74</v>
      </c>
      <c r="F917" s="2" t="s">
        <v>2215</v>
      </c>
      <c r="G917" s="2" t="s">
        <v>74</v>
      </c>
      <c r="H917" s="2" t="s">
        <v>74</v>
      </c>
      <c r="I917" s="2" t="s">
        <v>2216</v>
      </c>
      <c r="J917" s="2" t="s">
        <v>192</v>
      </c>
      <c r="K917" s="2" t="s">
        <v>74</v>
      </c>
      <c r="L917" s="2" t="s">
        <v>74</v>
      </c>
      <c r="M917" s="2" t="s">
        <v>74</v>
      </c>
      <c r="N917" s="2" t="s">
        <v>74</v>
      </c>
      <c r="O917" s="2" t="s">
        <v>74</v>
      </c>
      <c r="P917" s="2" t="s">
        <v>74</v>
      </c>
      <c r="Q917" s="2" t="s">
        <v>74</v>
      </c>
      <c r="R917" s="2" t="s">
        <v>74</v>
      </c>
      <c r="S917" s="2" t="s">
        <v>74</v>
      </c>
      <c r="T917" s="2" t="s">
        <v>74</v>
      </c>
      <c r="U917" s="2" t="s">
        <v>74</v>
      </c>
      <c r="V917" s="5" t="s">
        <v>2217</v>
      </c>
      <c r="W917" s="2" t="s">
        <v>74</v>
      </c>
      <c r="X917" s="2" t="s">
        <v>74</v>
      </c>
      <c r="Y917" s="2" t="s">
        <v>74</v>
      </c>
      <c r="Z917" s="2" t="s">
        <v>74</v>
      </c>
      <c r="AA917" s="2" t="s">
        <v>2218</v>
      </c>
      <c r="AB917" s="2" t="s">
        <v>2219</v>
      </c>
      <c r="AC917" s="2" t="s">
        <v>74</v>
      </c>
      <c r="AD917" s="2" t="s">
        <v>74</v>
      </c>
      <c r="AE917" s="2" t="s">
        <v>74</v>
      </c>
      <c r="AF917" s="2" t="s">
        <v>74</v>
      </c>
      <c r="AG917" s="2" t="s">
        <v>74</v>
      </c>
      <c r="AH917" s="2" t="s">
        <v>74</v>
      </c>
      <c r="AI917" s="2" t="s">
        <v>74</v>
      </c>
      <c r="AJ917" s="2" t="s">
        <v>74</v>
      </c>
      <c r="AK917" s="2" t="s">
        <v>74</v>
      </c>
      <c r="AL917" s="2" t="s">
        <v>74</v>
      </c>
      <c r="AM917" s="2" t="s">
        <v>74</v>
      </c>
      <c r="AN917" s="2" t="s">
        <v>74</v>
      </c>
      <c r="AO917" s="2" t="s">
        <v>195</v>
      </c>
      <c r="AP917" s="2" t="s">
        <v>196</v>
      </c>
      <c r="AQ917" s="2" t="s">
        <v>74</v>
      </c>
      <c r="AR917" s="2" t="s">
        <v>74</v>
      </c>
      <c r="AS917" s="2" t="s">
        <v>74</v>
      </c>
      <c r="AT917" s="2" t="s">
        <v>134</v>
      </c>
      <c r="AU917" s="2">
        <v>2019</v>
      </c>
      <c r="AV917" s="2">
        <v>833</v>
      </c>
      <c r="AW917" s="2">
        <v>1</v>
      </c>
      <c r="AX917" s="2" t="s">
        <v>74</v>
      </c>
      <c r="AY917" s="2" t="s">
        <v>74</v>
      </c>
      <c r="AZ917" s="2" t="s">
        <v>74</v>
      </c>
      <c r="BA917" s="2" t="s">
        <v>74</v>
      </c>
      <c r="BB917" s="2">
        <v>185</v>
      </c>
      <c r="BC917" s="2">
        <v>196</v>
      </c>
      <c r="BD917" s="2" t="s">
        <v>74</v>
      </c>
      <c r="BE917" s="2" t="s">
        <v>2220</v>
      </c>
      <c r="BF917" s="2" t="str">
        <f>HYPERLINK("http://dx.doi.org/10.1007/s10750-019-3899-6","http://dx.doi.org/10.1007/s10750-019-3899-6")</f>
        <v>http://dx.doi.org/10.1007/s10750-019-3899-6</v>
      </c>
      <c r="BG917" s="2" t="s">
        <v>74</v>
      </c>
      <c r="BH917" s="2" t="s">
        <v>74</v>
      </c>
      <c r="BI917" s="2" t="s">
        <v>74</v>
      </c>
      <c r="BJ917" s="2" t="s">
        <v>74</v>
      </c>
      <c r="BK917" s="2" t="s">
        <v>74</v>
      </c>
      <c r="BL917" s="2" t="s">
        <v>74</v>
      </c>
      <c r="BM917" s="2" t="s">
        <v>74</v>
      </c>
      <c r="BN917" s="2" t="s">
        <v>74</v>
      </c>
      <c r="BO917" s="2" t="s">
        <v>74</v>
      </c>
      <c r="BP917" s="2" t="s">
        <v>74</v>
      </c>
      <c r="BQ917" s="2" t="s">
        <v>74</v>
      </c>
      <c r="BR917" s="2" t="s">
        <v>74</v>
      </c>
      <c r="BS917" s="2" t="s">
        <v>2221</v>
      </c>
      <c r="BT917" s="2" t="str">
        <f>HYPERLINK("https%3A%2F%2Fwww.webofscience.com%2Fwos%2Fwoscc%2Ffull-record%2FWOS:000460694400013","View Full Record in Web of Science")</f>
        <v>View Full Record in Web of Science</v>
      </c>
    </row>
    <row r="918" spans="1:72" s="2" customFormat="1" x14ac:dyDescent="0.4">
      <c r="A918" s="2" t="s">
        <v>72</v>
      </c>
      <c r="B918" s="2" t="s">
        <v>6497</v>
      </c>
      <c r="C918" s="2" t="s">
        <v>74</v>
      </c>
      <c r="D918" s="2" t="s">
        <v>74</v>
      </c>
      <c r="E918" s="2" t="s">
        <v>74</v>
      </c>
      <c r="F918" s="2" t="s">
        <v>6498</v>
      </c>
      <c r="G918" s="2" t="s">
        <v>74</v>
      </c>
      <c r="H918" s="2" t="s">
        <v>74</v>
      </c>
      <c r="I918" s="2" t="s">
        <v>6499</v>
      </c>
      <c r="J918" s="2" t="s">
        <v>5577</v>
      </c>
      <c r="K918" s="2" t="s">
        <v>74</v>
      </c>
      <c r="L918" s="2" t="s">
        <v>74</v>
      </c>
      <c r="M918" s="2" t="s">
        <v>74</v>
      </c>
      <c r="N918" s="2" t="s">
        <v>74</v>
      </c>
      <c r="O918" s="2" t="s">
        <v>74</v>
      </c>
      <c r="P918" s="2" t="s">
        <v>74</v>
      </c>
      <c r="Q918" s="2" t="s">
        <v>74</v>
      </c>
      <c r="R918" s="2" t="s">
        <v>74</v>
      </c>
      <c r="S918" s="2" t="s">
        <v>74</v>
      </c>
      <c r="T918" s="2" t="s">
        <v>74</v>
      </c>
      <c r="U918" s="2" t="s">
        <v>74</v>
      </c>
      <c r="V918" s="5" t="s">
        <v>6500</v>
      </c>
      <c r="W918" s="2" t="s">
        <v>74</v>
      </c>
      <c r="X918" s="2" t="s">
        <v>74</v>
      </c>
      <c r="Y918" s="2" t="s">
        <v>74</v>
      </c>
      <c r="Z918" s="2" t="s">
        <v>74</v>
      </c>
      <c r="AA918" s="2" t="s">
        <v>74</v>
      </c>
      <c r="AB918" s="2" t="s">
        <v>74</v>
      </c>
      <c r="AC918" s="2" t="s">
        <v>74</v>
      </c>
      <c r="AD918" s="2" t="s">
        <v>74</v>
      </c>
      <c r="AE918" s="2" t="s">
        <v>74</v>
      </c>
      <c r="AF918" s="2" t="s">
        <v>74</v>
      </c>
      <c r="AG918" s="2" t="s">
        <v>74</v>
      </c>
      <c r="AH918" s="2" t="s">
        <v>74</v>
      </c>
      <c r="AI918" s="2" t="s">
        <v>74</v>
      </c>
      <c r="AJ918" s="2" t="s">
        <v>74</v>
      </c>
      <c r="AK918" s="2" t="s">
        <v>74</v>
      </c>
      <c r="AL918" s="2" t="s">
        <v>74</v>
      </c>
      <c r="AM918" s="2" t="s">
        <v>74</v>
      </c>
      <c r="AN918" s="2" t="s">
        <v>74</v>
      </c>
      <c r="AO918" s="2" t="s">
        <v>5579</v>
      </c>
      <c r="AP918" s="2" t="s">
        <v>74</v>
      </c>
      <c r="AQ918" s="2" t="s">
        <v>74</v>
      </c>
      <c r="AR918" s="2" t="s">
        <v>74</v>
      </c>
      <c r="AS918" s="2" t="s">
        <v>74</v>
      </c>
      <c r="AT918" s="2" t="s">
        <v>102</v>
      </c>
      <c r="AU918" s="2">
        <v>2023</v>
      </c>
      <c r="AV918" s="2">
        <v>102</v>
      </c>
      <c r="AW918" s="2">
        <v>6</v>
      </c>
      <c r="AX918" s="2" t="s">
        <v>74</v>
      </c>
      <c r="AY918" s="2" t="s">
        <v>74</v>
      </c>
      <c r="AZ918" s="2" t="s">
        <v>74</v>
      </c>
      <c r="BA918" s="2" t="s">
        <v>74</v>
      </c>
      <c r="BB918" s="2">
        <v>657</v>
      </c>
      <c r="BC918" s="2">
        <v>674</v>
      </c>
      <c r="BD918" s="2" t="s">
        <v>74</v>
      </c>
      <c r="BE918" s="2" t="s">
        <v>6501</v>
      </c>
      <c r="BF918" s="2" t="str">
        <f>HYPERLINK("http://dx.doi.org/10.31857/S0044513423060120","http://dx.doi.org/10.31857/S0044513423060120")</f>
        <v>http://dx.doi.org/10.31857/S0044513423060120</v>
      </c>
      <c r="BG918" s="2" t="s">
        <v>74</v>
      </c>
      <c r="BH918" s="2" t="s">
        <v>74</v>
      </c>
      <c r="BI918" s="2" t="s">
        <v>74</v>
      </c>
      <c r="BJ918" s="2" t="s">
        <v>74</v>
      </c>
      <c r="BK918" s="2" t="s">
        <v>74</v>
      </c>
      <c r="BL918" s="2" t="s">
        <v>74</v>
      </c>
      <c r="BM918" s="2" t="s">
        <v>74</v>
      </c>
      <c r="BN918" s="2" t="s">
        <v>74</v>
      </c>
      <c r="BO918" s="2" t="s">
        <v>74</v>
      </c>
      <c r="BP918" s="2" t="s">
        <v>74</v>
      </c>
      <c r="BQ918" s="2" t="s">
        <v>74</v>
      </c>
      <c r="BR918" s="2" t="s">
        <v>74</v>
      </c>
      <c r="BS918" s="2" t="s">
        <v>6502</v>
      </c>
      <c r="BT918" s="2" t="str">
        <f>HYPERLINK("https%3A%2F%2Fwww.webofscience.com%2Fwos%2Fwoscc%2Ffull-record%2FWOS:001044376400004","View Full Record in Web of Science")</f>
        <v>View Full Record in Web of Science</v>
      </c>
    </row>
    <row r="919" spans="1:72" s="2" customFormat="1" x14ac:dyDescent="0.4">
      <c r="A919" s="2" t="s">
        <v>72</v>
      </c>
      <c r="B919" s="2" t="s">
        <v>5295</v>
      </c>
      <c r="C919" s="2" t="s">
        <v>74</v>
      </c>
      <c r="D919" s="2" t="s">
        <v>74</v>
      </c>
      <c r="E919" s="2" t="s">
        <v>74</v>
      </c>
      <c r="F919" s="2" t="s">
        <v>5295</v>
      </c>
      <c r="G919" s="2" t="s">
        <v>74</v>
      </c>
      <c r="H919" s="2" t="s">
        <v>74</v>
      </c>
      <c r="I919" s="2" t="s">
        <v>5296</v>
      </c>
      <c r="J919" s="2" t="s">
        <v>77</v>
      </c>
      <c r="K919" s="2" t="s">
        <v>74</v>
      </c>
      <c r="L919" s="2" t="s">
        <v>74</v>
      </c>
      <c r="M919" s="2" t="s">
        <v>74</v>
      </c>
      <c r="N919" s="2" t="s">
        <v>74</v>
      </c>
      <c r="O919" s="2" t="s">
        <v>74</v>
      </c>
      <c r="P919" s="2" t="s">
        <v>74</v>
      </c>
      <c r="Q919" s="2" t="s">
        <v>74</v>
      </c>
      <c r="R919" s="2" t="s">
        <v>74</v>
      </c>
      <c r="S919" s="2" t="s">
        <v>74</v>
      </c>
      <c r="T919" s="2" t="s">
        <v>74</v>
      </c>
      <c r="U919" s="2" t="s">
        <v>74</v>
      </c>
      <c r="V919" s="5" t="s">
        <v>5297</v>
      </c>
      <c r="W919" s="2" t="s">
        <v>74</v>
      </c>
      <c r="X919" s="2" t="s">
        <v>74</v>
      </c>
      <c r="Y919" s="2" t="s">
        <v>74</v>
      </c>
      <c r="Z919" s="2" t="s">
        <v>74</v>
      </c>
      <c r="AA919" s="2" t="s">
        <v>5298</v>
      </c>
      <c r="AB919" s="2" t="s">
        <v>5299</v>
      </c>
      <c r="AC919" s="2" t="s">
        <v>74</v>
      </c>
      <c r="AD919" s="2" t="s">
        <v>74</v>
      </c>
      <c r="AE919" s="2" t="s">
        <v>74</v>
      </c>
      <c r="AF919" s="2" t="s">
        <v>74</v>
      </c>
      <c r="AG919" s="2" t="s">
        <v>74</v>
      </c>
      <c r="AH919" s="2" t="s">
        <v>74</v>
      </c>
      <c r="AI919" s="2" t="s">
        <v>74</v>
      </c>
      <c r="AJ919" s="2" t="s">
        <v>74</v>
      </c>
      <c r="AK919" s="2" t="s">
        <v>74</v>
      </c>
      <c r="AL919" s="2" t="s">
        <v>74</v>
      </c>
      <c r="AM919" s="2" t="s">
        <v>74</v>
      </c>
      <c r="AN919" s="2" t="s">
        <v>74</v>
      </c>
      <c r="AO919" s="2" t="s">
        <v>81</v>
      </c>
      <c r="AP919" s="2" t="s">
        <v>74</v>
      </c>
      <c r="AQ919" s="2" t="s">
        <v>74</v>
      </c>
      <c r="AR919" s="2" t="s">
        <v>74</v>
      </c>
      <c r="AS919" s="2" t="s">
        <v>74</v>
      </c>
      <c r="AT919" s="2" t="s">
        <v>145</v>
      </c>
      <c r="AU919" s="2">
        <v>1997</v>
      </c>
      <c r="AV919" s="2">
        <v>134</v>
      </c>
      <c r="AW919" s="2" t="s">
        <v>74</v>
      </c>
      <c r="AX919" s="2" t="s">
        <v>5300</v>
      </c>
      <c r="AY919" s="2" t="s">
        <v>74</v>
      </c>
      <c r="AZ919" s="2" t="s">
        <v>74</v>
      </c>
      <c r="BA919" s="2" t="s">
        <v>74</v>
      </c>
      <c r="BB919" s="2">
        <v>727</v>
      </c>
      <c r="BC919" s="2">
        <v>747</v>
      </c>
      <c r="BD919" s="2" t="s">
        <v>74</v>
      </c>
      <c r="BE919" s="2" t="s">
        <v>5301</v>
      </c>
      <c r="BF919" s="2" t="str">
        <f>HYPERLINK("http://dx.doi.org/10.1163/156853997X00043","http://dx.doi.org/10.1163/156853997X00043")</f>
        <v>http://dx.doi.org/10.1163/156853997X00043</v>
      </c>
      <c r="BG919" s="2" t="s">
        <v>74</v>
      </c>
      <c r="BH919" s="2" t="s">
        <v>74</v>
      </c>
      <c r="BI919" s="2" t="s">
        <v>74</v>
      </c>
      <c r="BJ919" s="2" t="s">
        <v>74</v>
      </c>
      <c r="BK919" s="2" t="s">
        <v>74</v>
      </c>
      <c r="BL919" s="2" t="s">
        <v>74</v>
      </c>
      <c r="BM919" s="2" t="s">
        <v>74</v>
      </c>
      <c r="BN919" s="2" t="s">
        <v>74</v>
      </c>
      <c r="BO919" s="2" t="s">
        <v>74</v>
      </c>
      <c r="BP919" s="2" t="s">
        <v>74</v>
      </c>
      <c r="BQ919" s="2" t="s">
        <v>74</v>
      </c>
      <c r="BR919" s="2" t="s">
        <v>74</v>
      </c>
      <c r="BS919" s="2" t="s">
        <v>5302</v>
      </c>
      <c r="BT919" s="2" t="str">
        <f>HYPERLINK("https%3A%2F%2Fwww.webofscience.com%2Fwos%2Fwoscc%2Ffull-record%2FWOS:A1997XY18500004","View Full Record in Web of Science")</f>
        <v>View Full Record in Web of Science</v>
      </c>
    </row>
    <row r="920" spans="1:72" s="2" customFormat="1" x14ac:dyDescent="0.4">
      <c r="A920" s="2" t="s">
        <v>72</v>
      </c>
      <c r="B920" s="2" t="s">
        <v>444</v>
      </c>
      <c r="C920" s="2" t="s">
        <v>74</v>
      </c>
      <c r="D920" s="2" t="s">
        <v>74</v>
      </c>
      <c r="E920" s="2" t="s">
        <v>74</v>
      </c>
      <c r="F920" s="2" t="s">
        <v>445</v>
      </c>
      <c r="G920" s="2" t="s">
        <v>74</v>
      </c>
      <c r="H920" s="2" t="s">
        <v>74</v>
      </c>
      <c r="I920" s="2" t="s">
        <v>446</v>
      </c>
      <c r="J920" s="2" t="s">
        <v>108</v>
      </c>
      <c r="K920" s="2" t="s">
        <v>74</v>
      </c>
      <c r="L920" s="2" t="s">
        <v>74</v>
      </c>
      <c r="M920" s="2" t="s">
        <v>74</v>
      </c>
      <c r="N920" s="2" t="s">
        <v>74</v>
      </c>
      <c r="O920" s="2" t="s">
        <v>74</v>
      </c>
      <c r="P920" s="2" t="s">
        <v>74</v>
      </c>
      <c r="Q920" s="2" t="s">
        <v>74</v>
      </c>
      <c r="R920" s="2" t="s">
        <v>74</v>
      </c>
      <c r="S920" s="2" t="s">
        <v>74</v>
      </c>
      <c r="T920" s="2" t="s">
        <v>74</v>
      </c>
      <c r="U920" s="2" t="s">
        <v>74</v>
      </c>
      <c r="V920" s="5" t="s">
        <v>447</v>
      </c>
      <c r="W920" s="2" t="s">
        <v>74</v>
      </c>
      <c r="X920" s="2" t="s">
        <v>74</v>
      </c>
      <c r="Y920" s="2" t="s">
        <v>74</v>
      </c>
      <c r="Z920" s="2" t="s">
        <v>74</v>
      </c>
      <c r="AA920" s="2" t="s">
        <v>448</v>
      </c>
      <c r="AB920" s="2" t="s">
        <v>449</v>
      </c>
      <c r="AC920" s="2" t="s">
        <v>74</v>
      </c>
      <c r="AD920" s="2" t="s">
        <v>74</v>
      </c>
      <c r="AE920" s="2" t="s">
        <v>74</v>
      </c>
      <c r="AF920" s="2" t="s">
        <v>74</v>
      </c>
      <c r="AG920" s="2" t="s">
        <v>74</v>
      </c>
      <c r="AH920" s="2" t="s">
        <v>74</v>
      </c>
      <c r="AI920" s="2" t="s">
        <v>74</v>
      </c>
      <c r="AJ920" s="2" t="s">
        <v>74</v>
      </c>
      <c r="AK920" s="2" t="s">
        <v>74</v>
      </c>
      <c r="AL920" s="2" t="s">
        <v>74</v>
      </c>
      <c r="AM920" s="2" t="s">
        <v>74</v>
      </c>
      <c r="AN920" s="2" t="s">
        <v>74</v>
      </c>
      <c r="AO920" s="2" t="s">
        <v>111</v>
      </c>
      <c r="AP920" s="2" t="s">
        <v>112</v>
      </c>
      <c r="AQ920" s="2" t="s">
        <v>74</v>
      </c>
      <c r="AR920" s="2" t="s">
        <v>74</v>
      </c>
      <c r="AS920" s="2" t="s">
        <v>74</v>
      </c>
      <c r="AT920" s="2" t="s">
        <v>450</v>
      </c>
      <c r="AU920" s="2">
        <v>2021</v>
      </c>
      <c r="AV920" s="2">
        <v>288</v>
      </c>
      <c r="AW920" s="2">
        <v>1947</v>
      </c>
      <c r="AX920" s="2" t="s">
        <v>74</v>
      </c>
      <c r="AY920" s="2" t="s">
        <v>74</v>
      </c>
      <c r="AZ920" s="2" t="s">
        <v>74</v>
      </c>
      <c r="BA920" s="2" t="s">
        <v>74</v>
      </c>
      <c r="BB920" s="2" t="s">
        <v>74</v>
      </c>
      <c r="BC920" s="2" t="s">
        <v>74</v>
      </c>
      <c r="BD920" s="2">
        <v>20210256</v>
      </c>
      <c r="BE920" s="2" t="s">
        <v>451</v>
      </c>
      <c r="BF920" s="2" t="str">
        <f>HYPERLINK("http://dx.doi.org/10.1098/rspb.2021.0256","http://dx.doi.org/10.1098/rspb.2021.0256")</f>
        <v>http://dx.doi.org/10.1098/rspb.2021.0256</v>
      </c>
      <c r="BG920" s="2" t="s">
        <v>74</v>
      </c>
      <c r="BH920" s="2" t="s">
        <v>74</v>
      </c>
      <c r="BI920" s="2" t="s">
        <v>74</v>
      </c>
      <c r="BJ920" s="2" t="s">
        <v>74</v>
      </c>
      <c r="BK920" s="2" t="s">
        <v>74</v>
      </c>
      <c r="BL920" s="2" t="s">
        <v>74</v>
      </c>
      <c r="BM920" s="2" t="s">
        <v>74</v>
      </c>
      <c r="BN920" s="2">
        <v>33784866</v>
      </c>
      <c r="BO920" s="2" t="s">
        <v>74</v>
      </c>
      <c r="BP920" s="2" t="s">
        <v>74</v>
      </c>
      <c r="BQ920" s="2" t="s">
        <v>74</v>
      </c>
      <c r="BR920" s="2" t="s">
        <v>74</v>
      </c>
      <c r="BS920" s="2" t="s">
        <v>452</v>
      </c>
      <c r="BT920" s="2" t="str">
        <f>HYPERLINK("https%3A%2F%2Fwww.webofscience.com%2Fwos%2Fwoscc%2Ffull-record%2FWOS:000636370000005","View Full Record in Web of Science")</f>
        <v>View Full Record in Web of Science</v>
      </c>
    </row>
    <row r="921" spans="1:72" s="2" customFormat="1" x14ac:dyDescent="0.4">
      <c r="A921" s="2" t="s">
        <v>72</v>
      </c>
      <c r="B921" s="2" t="s">
        <v>7999</v>
      </c>
      <c r="C921" s="2" t="s">
        <v>74</v>
      </c>
      <c r="D921" s="2" t="s">
        <v>74</v>
      </c>
      <c r="E921" s="2" t="s">
        <v>74</v>
      </c>
      <c r="F921" s="2" t="s">
        <v>8000</v>
      </c>
      <c r="G921" s="2" t="s">
        <v>74</v>
      </c>
      <c r="H921" s="2" t="s">
        <v>74</v>
      </c>
      <c r="I921" s="2" t="s">
        <v>8001</v>
      </c>
      <c r="J921" s="2" t="s">
        <v>1949</v>
      </c>
      <c r="K921" s="2" t="s">
        <v>74</v>
      </c>
      <c r="L921" s="2" t="s">
        <v>74</v>
      </c>
      <c r="M921" s="2" t="s">
        <v>74</v>
      </c>
      <c r="N921" s="2" t="s">
        <v>74</v>
      </c>
      <c r="O921" s="2" t="s">
        <v>74</v>
      </c>
      <c r="P921" s="2" t="s">
        <v>74</v>
      </c>
      <c r="Q921" s="2" t="s">
        <v>74</v>
      </c>
      <c r="R921" s="2" t="s">
        <v>74</v>
      </c>
      <c r="S921" s="2" t="s">
        <v>74</v>
      </c>
      <c r="T921" s="2" t="s">
        <v>74</v>
      </c>
      <c r="U921" s="2" t="s">
        <v>74</v>
      </c>
      <c r="V921" s="5" t="s">
        <v>8002</v>
      </c>
      <c r="W921" s="2" t="s">
        <v>74</v>
      </c>
      <c r="X921" s="2" t="s">
        <v>74</v>
      </c>
      <c r="Y921" s="2" t="s">
        <v>74</v>
      </c>
      <c r="Z921" s="2" t="s">
        <v>74</v>
      </c>
      <c r="AA921" s="2" t="s">
        <v>8003</v>
      </c>
      <c r="AB921" s="2" t="s">
        <v>8004</v>
      </c>
      <c r="AC921" s="2" t="s">
        <v>74</v>
      </c>
      <c r="AD921" s="2" t="s">
        <v>74</v>
      </c>
      <c r="AE921" s="2" t="s">
        <v>74</v>
      </c>
      <c r="AF921" s="2" t="s">
        <v>74</v>
      </c>
      <c r="AG921" s="2" t="s">
        <v>74</v>
      </c>
      <c r="AH921" s="2" t="s">
        <v>74</v>
      </c>
      <c r="AI921" s="2" t="s">
        <v>74</v>
      </c>
      <c r="AJ921" s="2" t="s">
        <v>74</v>
      </c>
      <c r="AK921" s="2" t="s">
        <v>74</v>
      </c>
      <c r="AL921" s="2" t="s">
        <v>74</v>
      </c>
      <c r="AM921" s="2" t="s">
        <v>74</v>
      </c>
      <c r="AN921" s="2" t="s">
        <v>74</v>
      </c>
      <c r="AO921" s="2" t="s">
        <v>74</v>
      </c>
      <c r="AP921" s="2" t="s">
        <v>1953</v>
      </c>
      <c r="AQ921" s="2" t="s">
        <v>74</v>
      </c>
      <c r="AR921" s="2" t="s">
        <v>74</v>
      </c>
      <c r="AS921" s="2" t="s">
        <v>74</v>
      </c>
      <c r="AT921" s="2" t="s">
        <v>213</v>
      </c>
      <c r="AU921" s="2">
        <v>2020</v>
      </c>
      <c r="AV921" s="2">
        <v>11</v>
      </c>
      <c r="AW921" s="2">
        <v>11</v>
      </c>
      <c r="AX921" s="2" t="s">
        <v>74</v>
      </c>
      <c r="AY921" s="2" t="s">
        <v>74</v>
      </c>
      <c r="AZ921" s="2" t="s">
        <v>74</v>
      </c>
      <c r="BA921" s="2" t="s">
        <v>74</v>
      </c>
      <c r="BB921" s="2" t="s">
        <v>74</v>
      </c>
      <c r="BC921" s="2" t="s">
        <v>74</v>
      </c>
      <c r="BD921" s="2">
        <v>800</v>
      </c>
      <c r="BE921" s="2" t="s">
        <v>8005</v>
      </c>
      <c r="BF921" s="2" t="str">
        <f>HYPERLINK("http://dx.doi.org/10.3390/insects11110800","http://dx.doi.org/10.3390/insects11110800")</f>
        <v>http://dx.doi.org/10.3390/insects11110800</v>
      </c>
      <c r="BG921" s="2" t="s">
        <v>74</v>
      </c>
      <c r="BH921" s="2" t="s">
        <v>74</v>
      </c>
      <c r="BI921" s="2" t="s">
        <v>74</v>
      </c>
      <c r="BJ921" s="2" t="s">
        <v>74</v>
      </c>
      <c r="BK921" s="2" t="s">
        <v>74</v>
      </c>
      <c r="BL921" s="2" t="s">
        <v>74</v>
      </c>
      <c r="BM921" s="2" t="s">
        <v>74</v>
      </c>
      <c r="BN921" s="2">
        <v>33202846</v>
      </c>
      <c r="BO921" s="2" t="s">
        <v>74</v>
      </c>
      <c r="BP921" s="2" t="s">
        <v>74</v>
      </c>
      <c r="BQ921" s="2" t="s">
        <v>74</v>
      </c>
      <c r="BR921" s="2" t="s">
        <v>74</v>
      </c>
      <c r="BS921" s="2" t="s">
        <v>8006</v>
      </c>
      <c r="BT921" s="2" t="str">
        <f>HYPERLINK("https%3A%2F%2Fwww.webofscience.com%2Fwos%2Fwoscc%2Ffull-record%2FWOS:000593180700001","View Full Record in Web of Science")</f>
        <v>View Full Record in Web of Science</v>
      </c>
    </row>
    <row r="922" spans="1:72" s="2" customFormat="1" x14ac:dyDescent="0.4">
      <c r="A922" s="2" t="s">
        <v>72</v>
      </c>
      <c r="B922" s="2" t="s">
        <v>942</v>
      </c>
      <c r="C922" s="2" t="s">
        <v>74</v>
      </c>
      <c r="D922" s="2" t="s">
        <v>74</v>
      </c>
      <c r="E922" s="2" t="s">
        <v>74</v>
      </c>
      <c r="F922" s="2" t="s">
        <v>943</v>
      </c>
      <c r="G922" s="2" t="s">
        <v>74</v>
      </c>
      <c r="H922" s="2" t="s">
        <v>74</v>
      </c>
      <c r="I922" s="2" t="s">
        <v>944</v>
      </c>
      <c r="J922" s="2" t="s">
        <v>140</v>
      </c>
      <c r="K922" s="2" t="s">
        <v>74</v>
      </c>
      <c r="L922" s="2" t="s">
        <v>74</v>
      </c>
      <c r="M922" s="2" t="s">
        <v>74</v>
      </c>
      <c r="N922" s="2" t="s">
        <v>74</v>
      </c>
      <c r="O922" s="2" t="s">
        <v>74</v>
      </c>
      <c r="P922" s="2" t="s">
        <v>74</v>
      </c>
      <c r="Q922" s="2" t="s">
        <v>74</v>
      </c>
      <c r="R922" s="2" t="s">
        <v>74</v>
      </c>
      <c r="S922" s="2" t="s">
        <v>74</v>
      </c>
      <c r="T922" s="2" t="s">
        <v>74</v>
      </c>
      <c r="U922" s="2" t="s">
        <v>74</v>
      </c>
      <c r="V922" s="5" t="s">
        <v>945</v>
      </c>
      <c r="W922" s="2" t="s">
        <v>74</v>
      </c>
      <c r="X922" s="2" t="s">
        <v>74</v>
      </c>
      <c r="Y922" s="2" t="s">
        <v>74</v>
      </c>
      <c r="Z922" s="2" t="s">
        <v>74</v>
      </c>
      <c r="AA922" s="2" t="s">
        <v>946</v>
      </c>
      <c r="AB922" s="2" t="s">
        <v>947</v>
      </c>
      <c r="AC922" s="2" t="s">
        <v>74</v>
      </c>
      <c r="AD922" s="2" t="s">
        <v>74</v>
      </c>
      <c r="AE922" s="2" t="s">
        <v>74</v>
      </c>
      <c r="AF922" s="2" t="s">
        <v>74</v>
      </c>
      <c r="AG922" s="2" t="s">
        <v>74</v>
      </c>
      <c r="AH922" s="2" t="s">
        <v>74</v>
      </c>
      <c r="AI922" s="2" t="s">
        <v>74</v>
      </c>
      <c r="AJ922" s="2" t="s">
        <v>74</v>
      </c>
      <c r="AK922" s="2" t="s">
        <v>74</v>
      </c>
      <c r="AL922" s="2" t="s">
        <v>74</v>
      </c>
      <c r="AM922" s="2" t="s">
        <v>74</v>
      </c>
      <c r="AN922" s="2" t="s">
        <v>74</v>
      </c>
      <c r="AO922" s="2" t="s">
        <v>143</v>
      </c>
      <c r="AP922" s="2" t="s">
        <v>144</v>
      </c>
      <c r="AQ922" s="2" t="s">
        <v>74</v>
      </c>
      <c r="AR922" s="2" t="s">
        <v>74</v>
      </c>
      <c r="AS922" s="2" t="s">
        <v>74</v>
      </c>
      <c r="AT922" s="2" t="s">
        <v>305</v>
      </c>
      <c r="AU922" s="2">
        <v>2020</v>
      </c>
      <c r="AV922" s="2">
        <v>170</v>
      </c>
      <c r="AW922" s="2" t="s">
        <v>74</v>
      </c>
      <c r="AX922" s="2" t="s">
        <v>74</v>
      </c>
      <c r="AY922" s="2" t="s">
        <v>74</v>
      </c>
      <c r="AZ922" s="2" t="s">
        <v>74</v>
      </c>
      <c r="BA922" s="2" t="s">
        <v>74</v>
      </c>
      <c r="BB922" s="2">
        <v>219</v>
      </c>
      <c r="BC922" s="2">
        <v>228</v>
      </c>
      <c r="BD922" s="2" t="s">
        <v>74</v>
      </c>
      <c r="BE922" s="2" t="s">
        <v>948</v>
      </c>
      <c r="BF922" s="2" t="str">
        <f>HYPERLINK("http://dx.doi.org/10.1016/j.anbehav.2020.10.008","http://dx.doi.org/10.1016/j.anbehav.2020.10.008")</f>
        <v>http://dx.doi.org/10.1016/j.anbehav.2020.10.008</v>
      </c>
      <c r="BG922" s="2" t="s">
        <v>74</v>
      </c>
      <c r="BH922" s="2" t="s">
        <v>74</v>
      </c>
      <c r="BI922" s="2" t="s">
        <v>74</v>
      </c>
      <c r="BJ922" s="2" t="s">
        <v>74</v>
      </c>
      <c r="BK922" s="2" t="s">
        <v>74</v>
      </c>
      <c r="BL922" s="2" t="s">
        <v>74</v>
      </c>
      <c r="BM922" s="2" t="s">
        <v>74</v>
      </c>
      <c r="BN922" s="2" t="s">
        <v>74</v>
      </c>
      <c r="BO922" s="2" t="s">
        <v>74</v>
      </c>
      <c r="BP922" s="2" t="s">
        <v>74</v>
      </c>
      <c r="BQ922" s="2" t="s">
        <v>74</v>
      </c>
      <c r="BR922" s="2" t="s">
        <v>74</v>
      </c>
      <c r="BS922" s="2" t="s">
        <v>949</v>
      </c>
      <c r="BT922" s="2" t="str">
        <f>HYPERLINK("https%3A%2F%2Fwww.webofscience.com%2Fwos%2Fwoscc%2Ffull-record%2FWOS:000598905300020","View Full Record in Web of Science")</f>
        <v>View Full Record in Web of Science</v>
      </c>
    </row>
    <row r="923" spans="1:72" s="2" customFormat="1" x14ac:dyDescent="0.4">
      <c r="A923" s="2" t="s">
        <v>72</v>
      </c>
      <c r="B923" s="2" t="s">
        <v>6503</v>
      </c>
      <c r="C923" s="2" t="s">
        <v>74</v>
      </c>
      <c r="D923" s="2" t="s">
        <v>74</v>
      </c>
      <c r="E923" s="2" t="s">
        <v>74</v>
      </c>
      <c r="F923" s="2" t="s">
        <v>6503</v>
      </c>
      <c r="G923" s="2" t="s">
        <v>74</v>
      </c>
      <c r="H923" s="2" t="s">
        <v>74</v>
      </c>
      <c r="I923" s="2" t="s">
        <v>6504</v>
      </c>
      <c r="J923" s="2" t="s">
        <v>1198</v>
      </c>
      <c r="K923" s="2" t="s">
        <v>74</v>
      </c>
      <c r="L923" s="2" t="s">
        <v>74</v>
      </c>
      <c r="M923" s="2" t="s">
        <v>74</v>
      </c>
      <c r="N923" s="2" t="s">
        <v>74</v>
      </c>
      <c r="O923" s="2" t="s">
        <v>74</v>
      </c>
      <c r="P923" s="2" t="s">
        <v>74</v>
      </c>
      <c r="Q923" s="2" t="s">
        <v>74</v>
      </c>
      <c r="R923" s="2" t="s">
        <v>74</v>
      </c>
      <c r="S923" s="2" t="s">
        <v>74</v>
      </c>
      <c r="T923" s="2" t="s">
        <v>74</v>
      </c>
      <c r="U923" s="2" t="s">
        <v>74</v>
      </c>
      <c r="V923" s="5" t="s">
        <v>6505</v>
      </c>
      <c r="W923" s="2" t="s">
        <v>74</v>
      </c>
      <c r="X923" s="2" t="s">
        <v>74</v>
      </c>
      <c r="Y923" s="2" t="s">
        <v>74</v>
      </c>
      <c r="Z923" s="2" t="s">
        <v>74</v>
      </c>
      <c r="AA923" s="2" t="s">
        <v>6506</v>
      </c>
      <c r="AB923" s="2" t="s">
        <v>6507</v>
      </c>
      <c r="AC923" s="2" t="s">
        <v>74</v>
      </c>
      <c r="AD923" s="2" t="s">
        <v>74</v>
      </c>
      <c r="AE923" s="2" t="s">
        <v>74</v>
      </c>
      <c r="AF923" s="2" t="s">
        <v>74</v>
      </c>
      <c r="AG923" s="2" t="s">
        <v>74</v>
      </c>
      <c r="AH923" s="2" t="s">
        <v>74</v>
      </c>
      <c r="AI923" s="2" t="s">
        <v>74</v>
      </c>
      <c r="AJ923" s="2" t="s">
        <v>74</v>
      </c>
      <c r="AK923" s="2" t="s">
        <v>74</v>
      </c>
      <c r="AL923" s="2" t="s">
        <v>74</v>
      </c>
      <c r="AM923" s="2" t="s">
        <v>74</v>
      </c>
      <c r="AN923" s="2" t="s">
        <v>74</v>
      </c>
      <c r="AO923" s="2" t="s">
        <v>1202</v>
      </c>
      <c r="AP923" s="2" t="s">
        <v>1203</v>
      </c>
      <c r="AQ923" s="2" t="s">
        <v>74</v>
      </c>
      <c r="AR923" s="2" t="s">
        <v>74</v>
      </c>
      <c r="AS923" s="2" t="s">
        <v>74</v>
      </c>
      <c r="AT923" s="2" t="s">
        <v>102</v>
      </c>
      <c r="AU923" s="2">
        <v>2005</v>
      </c>
      <c r="AV923" s="2">
        <v>61</v>
      </c>
      <c r="AW923" s="2">
        <v>2</v>
      </c>
      <c r="AX923" s="2" t="s">
        <v>74</v>
      </c>
      <c r="AY923" s="2" t="s">
        <v>74</v>
      </c>
      <c r="AZ923" s="2" t="s">
        <v>74</v>
      </c>
      <c r="BA923" s="2" t="s">
        <v>74</v>
      </c>
      <c r="BB923" s="2">
        <v>178</v>
      </c>
      <c r="BC923" s="2">
        <v>198</v>
      </c>
      <c r="BD923" s="2" t="s">
        <v>74</v>
      </c>
      <c r="BE923" s="2" t="s">
        <v>6508</v>
      </c>
      <c r="BF923" s="2" t="str">
        <f>HYPERLINK("http://dx.doi.org/10.1655/04-38","http://dx.doi.org/10.1655/04-38")</f>
        <v>http://dx.doi.org/10.1655/04-38</v>
      </c>
      <c r="BG923" s="2" t="s">
        <v>74</v>
      </c>
      <c r="BH923" s="2" t="s">
        <v>74</v>
      </c>
      <c r="BI923" s="2" t="s">
        <v>74</v>
      </c>
      <c r="BJ923" s="2" t="s">
        <v>74</v>
      </c>
      <c r="BK923" s="2" t="s">
        <v>74</v>
      </c>
      <c r="BL923" s="2" t="s">
        <v>74</v>
      </c>
      <c r="BM923" s="2" t="s">
        <v>74</v>
      </c>
      <c r="BN923" s="2" t="s">
        <v>74</v>
      </c>
      <c r="BO923" s="2" t="s">
        <v>74</v>
      </c>
      <c r="BP923" s="2" t="s">
        <v>74</v>
      </c>
      <c r="BQ923" s="2" t="s">
        <v>74</v>
      </c>
      <c r="BR923" s="2" t="s">
        <v>74</v>
      </c>
      <c r="BS923" s="2" t="s">
        <v>6509</v>
      </c>
      <c r="BT923" s="2" t="str">
        <f>HYPERLINK("https%3A%2F%2Fwww.webofscience.com%2Fwos%2Fwoscc%2Ffull-record%2FWOS:000229100000010","View Full Record in Web of Science")</f>
        <v>View Full Record in Web of Science</v>
      </c>
    </row>
    <row r="924" spans="1:72" s="7" customFormat="1" x14ac:dyDescent="0.4">
      <c r="A924" s="2" t="s">
        <v>72</v>
      </c>
      <c r="B924" s="2" t="s">
        <v>2886</v>
      </c>
      <c r="C924" s="2" t="s">
        <v>74</v>
      </c>
      <c r="D924" s="2" t="s">
        <v>74</v>
      </c>
      <c r="E924" s="2" t="s">
        <v>74</v>
      </c>
      <c r="F924" s="2" t="s">
        <v>2887</v>
      </c>
      <c r="G924" s="2" t="s">
        <v>74</v>
      </c>
      <c r="H924" s="2" t="s">
        <v>74</v>
      </c>
      <c r="I924" s="2" t="s">
        <v>2888</v>
      </c>
      <c r="J924" s="2" t="s">
        <v>218</v>
      </c>
      <c r="K924" s="2" t="s">
        <v>74</v>
      </c>
      <c r="L924" s="2" t="s">
        <v>74</v>
      </c>
      <c r="M924" s="2" t="s">
        <v>74</v>
      </c>
      <c r="N924" s="2" t="s">
        <v>74</v>
      </c>
      <c r="O924" s="2" t="s">
        <v>74</v>
      </c>
      <c r="P924" s="2" t="s">
        <v>74</v>
      </c>
      <c r="Q924" s="2" t="s">
        <v>74</v>
      </c>
      <c r="R924" s="2" t="s">
        <v>74</v>
      </c>
      <c r="S924" s="2" t="s">
        <v>74</v>
      </c>
      <c r="T924" s="2" t="s">
        <v>74</v>
      </c>
      <c r="U924" s="2" t="s">
        <v>74</v>
      </c>
      <c r="V924" s="5" t="s">
        <v>2889</v>
      </c>
      <c r="W924" s="2" t="s">
        <v>74</v>
      </c>
      <c r="X924" s="2" t="s">
        <v>74</v>
      </c>
      <c r="Y924" s="2" t="s">
        <v>74</v>
      </c>
      <c r="Z924" s="2" t="s">
        <v>74</v>
      </c>
      <c r="AA924" s="2" t="s">
        <v>74</v>
      </c>
      <c r="AB924" s="2" t="s">
        <v>2890</v>
      </c>
      <c r="AC924" s="2" t="s">
        <v>74</v>
      </c>
      <c r="AD924" s="2" t="s">
        <v>74</v>
      </c>
      <c r="AE924" s="2" t="s">
        <v>74</v>
      </c>
      <c r="AF924" s="2" t="s">
        <v>74</v>
      </c>
      <c r="AG924" s="2" t="s">
        <v>74</v>
      </c>
      <c r="AH924" s="2" t="s">
        <v>74</v>
      </c>
      <c r="AI924" s="2" t="s">
        <v>74</v>
      </c>
      <c r="AJ924" s="2" t="s">
        <v>74</v>
      </c>
      <c r="AK924" s="2" t="s">
        <v>74</v>
      </c>
      <c r="AL924" s="2" t="s">
        <v>74</v>
      </c>
      <c r="AM924" s="2" t="s">
        <v>74</v>
      </c>
      <c r="AN924" s="2" t="s">
        <v>74</v>
      </c>
      <c r="AO924" s="2" t="s">
        <v>221</v>
      </c>
      <c r="AP924" s="2" t="s">
        <v>222</v>
      </c>
      <c r="AQ924" s="2" t="s">
        <v>74</v>
      </c>
      <c r="AR924" s="2" t="s">
        <v>74</v>
      </c>
      <c r="AS924" s="2" t="s">
        <v>74</v>
      </c>
      <c r="AT924" s="2" t="s">
        <v>964</v>
      </c>
      <c r="AU924" s="2">
        <v>2016</v>
      </c>
      <c r="AV924" s="2">
        <v>29</v>
      </c>
      <c r="AW924" s="2">
        <v>2</v>
      </c>
      <c r="AX924" s="2" t="s">
        <v>74</v>
      </c>
      <c r="AY924" s="2" t="s">
        <v>74</v>
      </c>
      <c r="AZ924" s="2" t="s">
        <v>74</v>
      </c>
      <c r="BA924" s="2" t="s">
        <v>74</v>
      </c>
      <c r="BB924" s="2">
        <v>380</v>
      </c>
      <c r="BC924" s="2">
        <v>394</v>
      </c>
      <c r="BD924" s="2" t="s">
        <v>74</v>
      </c>
      <c r="BE924" s="2" t="s">
        <v>2891</v>
      </c>
      <c r="BF924" s="2" t="str">
        <f>HYPERLINK("http://dx.doi.org/10.1111/jeb.12793","http://dx.doi.org/10.1111/jeb.12793")</f>
        <v>http://dx.doi.org/10.1111/jeb.12793</v>
      </c>
      <c r="BG924" s="2" t="s">
        <v>74</v>
      </c>
      <c r="BH924" s="2" t="s">
        <v>74</v>
      </c>
      <c r="BI924" s="2" t="s">
        <v>74</v>
      </c>
      <c r="BJ924" s="2" t="s">
        <v>74</v>
      </c>
      <c r="BK924" s="2" t="s">
        <v>74</v>
      </c>
      <c r="BL924" s="2" t="s">
        <v>74</v>
      </c>
      <c r="BM924" s="2" t="s">
        <v>74</v>
      </c>
      <c r="BN924" s="2">
        <v>26563617</v>
      </c>
      <c r="BO924" s="2" t="s">
        <v>74</v>
      </c>
      <c r="BP924" s="2" t="s">
        <v>74</v>
      </c>
      <c r="BQ924" s="2" t="s">
        <v>74</v>
      </c>
      <c r="BR924" s="2" t="s">
        <v>74</v>
      </c>
      <c r="BS924" s="2" t="s">
        <v>2892</v>
      </c>
      <c r="BT924" s="2" t="str">
        <f>HYPERLINK("https%3A%2F%2Fwww.webofscience.com%2Fwos%2Fwoscc%2Ffull-record%2FWOS:000370070500014","View Full Record in Web of Science")</f>
        <v>View Full Record in Web of Science</v>
      </c>
    </row>
    <row r="925" spans="1:72" s="2" customFormat="1" x14ac:dyDescent="0.4">
      <c r="A925" s="2" t="s">
        <v>72</v>
      </c>
      <c r="B925" s="2" t="s">
        <v>3764</v>
      </c>
      <c r="C925" s="2" t="s">
        <v>74</v>
      </c>
      <c r="D925" s="2" t="s">
        <v>74</v>
      </c>
      <c r="E925" s="2" t="s">
        <v>74</v>
      </c>
      <c r="F925" s="2" t="s">
        <v>3764</v>
      </c>
      <c r="G925" s="2" t="s">
        <v>74</v>
      </c>
      <c r="H925" s="2" t="s">
        <v>74</v>
      </c>
      <c r="I925" s="2" t="s">
        <v>3765</v>
      </c>
      <c r="J925" s="2" t="s">
        <v>2207</v>
      </c>
      <c r="K925" s="2" t="s">
        <v>74</v>
      </c>
      <c r="L925" s="2" t="s">
        <v>74</v>
      </c>
      <c r="M925" s="2" t="s">
        <v>74</v>
      </c>
      <c r="N925" s="2" t="s">
        <v>74</v>
      </c>
      <c r="O925" s="2" t="s">
        <v>74</v>
      </c>
      <c r="P925" s="2" t="s">
        <v>74</v>
      </c>
      <c r="Q925" s="2" t="s">
        <v>74</v>
      </c>
      <c r="R925" s="2" t="s">
        <v>74</v>
      </c>
      <c r="S925" s="2" t="s">
        <v>74</v>
      </c>
      <c r="T925" s="2" t="s">
        <v>74</v>
      </c>
      <c r="U925" s="2" t="s">
        <v>74</v>
      </c>
      <c r="V925" s="5" t="s">
        <v>3766</v>
      </c>
      <c r="W925" s="2" t="s">
        <v>74</v>
      </c>
      <c r="X925" s="2" t="s">
        <v>74</v>
      </c>
      <c r="Y925" s="2" t="s">
        <v>74</v>
      </c>
      <c r="Z925" s="2" t="s">
        <v>74</v>
      </c>
      <c r="AA925" s="2" t="s">
        <v>3767</v>
      </c>
      <c r="AB925" s="2" t="s">
        <v>3768</v>
      </c>
      <c r="AC925" s="2" t="s">
        <v>74</v>
      </c>
      <c r="AD925" s="2" t="s">
        <v>74</v>
      </c>
      <c r="AE925" s="2" t="s">
        <v>74</v>
      </c>
      <c r="AF925" s="2" t="s">
        <v>74</v>
      </c>
      <c r="AG925" s="2" t="s">
        <v>74</v>
      </c>
      <c r="AH925" s="2" t="s">
        <v>74</v>
      </c>
      <c r="AI925" s="2" t="s">
        <v>74</v>
      </c>
      <c r="AJ925" s="2" t="s">
        <v>74</v>
      </c>
      <c r="AK925" s="2" t="s">
        <v>74</v>
      </c>
      <c r="AL925" s="2" t="s">
        <v>74</v>
      </c>
      <c r="AM925" s="2" t="s">
        <v>74</v>
      </c>
      <c r="AN925" s="2" t="s">
        <v>74</v>
      </c>
      <c r="AO925" s="2" t="s">
        <v>2211</v>
      </c>
      <c r="AP925" s="2" t="s">
        <v>2461</v>
      </c>
      <c r="AQ925" s="2" t="s">
        <v>74</v>
      </c>
      <c r="AR925" s="2" t="s">
        <v>74</v>
      </c>
      <c r="AS925" s="2" t="s">
        <v>74</v>
      </c>
      <c r="AT925" s="2" t="s">
        <v>213</v>
      </c>
      <c r="AU925" s="2">
        <v>2004</v>
      </c>
      <c r="AV925" s="2">
        <v>35</v>
      </c>
      <c r="AW925" s="2">
        <v>6</v>
      </c>
      <c r="AX925" s="2" t="s">
        <v>74</v>
      </c>
      <c r="AY925" s="2" t="s">
        <v>74</v>
      </c>
      <c r="AZ925" s="2" t="s">
        <v>74</v>
      </c>
      <c r="BA925" s="2" t="s">
        <v>74</v>
      </c>
      <c r="BB925" s="2">
        <v>492</v>
      </c>
      <c r="BC925" s="2">
        <v>500</v>
      </c>
      <c r="BD925" s="2" t="s">
        <v>74</v>
      </c>
      <c r="BE925" s="2" t="s">
        <v>3769</v>
      </c>
      <c r="BF925" s="2" t="str">
        <f>HYPERLINK("http://dx.doi.org/10.1111/j.0908-8857.2004.03294.x","http://dx.doi.org/10.1111/j.0908-8857.2004.03294.x")</f>
        <v>http://dx.doi.org/10.1111/j.0908-8857.2004.03294.x</v>
      </c>
      <c r="BG925" s="2" t="s">
        <v>74</v>
      </c>
      <c r="BH925" s="2" t="s">
        <v>74</v>
      </c>
      <c r="BI925" s="2" t="s">
        <v>74</v>
      </c>
      <c r="BJ925" s="2" t="s">
        <v>74</v>
      </c>
      <c r="BK925" s="2" t="s">
        <v>74</v>
      </c>
      <c r="BL925" s="2" t="s">
        <v>74</v>
      </c>
      <c r="BM925" s="2" t="s">
        <v>74</v>
      </c>
      <c r="BN925" s="2" t="s">
        <v>74</v>
      </c>
      <c r="BO925" s="2" t="s">
        <v>74</v>
      </c>
      <c r="BP925" s="2" t="s">
        <v>74</v>
      </c>
      <c r="BQ925" s="2" t="s">
        <v>74</v>
      </c>
      <c r="BR925" s="2" t="s">
        <v>74</v>
      </c>
      <c r="BS925" s="2" t="s">
        <v>3770</v>
      </c>
      <c r="BT925" s="2" t="str">
        <f>HYPERLINK("https%3A%2F%2Fwww.webofscience.com%2Fwos%2Fwoscc%2Ffull-record%2FWOS:000225224600007","View Full Record in Web of Science")</f>
        <v>View Full Record in Web of Science</v>
      </c>
    </row>
    <row r="926" spans="1:72" s="2" customFormat="1" x14ac:dyDescent="0.4">
      <c r="A926" s="2" t="s">
        <v>72</v>
      </c>
      <c r="B926" s="2" t="s">
        <v>6564</v>
      </c>
      <c r="C926" s="2" t="s">
        <v>74</v>
      </c>
      <c r="D926" s="2" t="s">
        <v>74</v>
      </c>
      <c r="E926" s="2" t="s">
        <v>74</v>
      </c>
      <c r="F926" s="2" t="s">
        <v>6564</v>
      </c>
      <c r="G926" s="2" t="s">
        <v>74</v>
      </c>
      <c r="H926" s="2" t="s">
        <v>74</v>
      </c>
      <c r="I926" s="2" t="s">
        <v>6565</v>
      </c>
      <c r="J926" s="2" t="s">
        <v>344</v>
      </c>
      <c r="K926" s="2" t="s">
        <v>74</v>
      </c>
      <c r="L926" s="2" t="s">
        <v>74</v>
      </c>
      <c r="M926" s="2" t="s">
        <v>74</v>
      </c>
      <c r="N926" s="2" t="s">
        <v>74</v>
      </c>
      <c r="O926" s="2" t="s">
        <v>6566</v>
      </c>
      <c r="P926" s="2">
        <v>1996</v>
      </c>
      <c r="Q926" s="2" t="s">
        <v>6567</v>
      </c>
      <c r="R926" s="2" t="s">
        <v>74</v>
      </c>
      <c r="S926" s="2" t="s">
        <v>74</v>
      </c>
      <c r="T926" s="2" t="s">
        <v>74</v>
      </c>
      <c r="U926" s="2" t="s">
        <v>74</v>
      </c>
      <c r="V926" s="5" t="s">
        <v>6568</v>
      </c>
      <c r="W926" s="2" t="s">
        <v>74</v>
      </c>
      <c r="X926" s="2" t="s">
        <v>74</v>
      </c>
      <c r="Y926" s="2" t="s">
        <v>74</v>
      </c>
      <c r="Z926" s="2" t="s">
        <v>74</v>
      </c>
      <c r="AA926" s="2" t="s">
        <v>74</v>
      </c>
      <c r="AB926" s="2" t="s">
        <v>74</v>
      </c>
      <c r="AC926" s="2" t="s">
        <v>74</v>
      </c>
      <c r="AD926" s="2" t="s">
        <v>74</v>
      </c>
      <c r="AE926" s="2" t="s">
        <v>74</v>
      </c>
      <c r="AF926" s="2" t="s">
        <v>74</v>
      </c>
      <c r="AG926" s="2" t="s">
        <v>74</v>
      </c>
      <c r="AH926" s="2" t="s">
        <v>74</v>
      </c>
      <c r="AI926" s="2" t="s">
        <v>74</v>
      </c>
      <c r="AJ926" s="2" t="s">
        <v>74</v>
      </c>
      <c r="AK926" s="2" t="s">
        <v>74</v>
      </c>
      <c r="AL926" s="2" t="s">
        <v>74</v>
      </c>
      <c r="AM926" s="2" t="s">
        <v>74</v>
      </c>
      <c r="AN926" s="2" t="s">
        <v>74</v>
      </c>
      <c r="AO926" s="2" t="s">
        <v>346</v>
      </c>
      <c r="AP926" s="2" t="s">
        <v>6569</v>
      </c>
      <c r="AQ926" s="2" t="s">
        <v>74</v>
      </c>
      <c r="AR926" s="2" t="s">
        <v>74</v>
      </c>
      <c r="AS926" s="2" t="s">
        <v>74</v>
      </c>
      <c r="AT926" s="2" t="s">
        <v>213</v>
      </c>
      <c r="AU926" s="2">
        <v>1999</v>
      </c>
      <c r="AV926" s="2">
        <v>56</v>
      </c>
      <c r="AW926" s="2">
        <v>3</v>
      </c>
      <c r="AX926" s="2" t="s">
        <v>74</v>
      </c>
      <c r="AY926" s="2" t="s">
        <v>74</v>
      </c>
      <c r="AZ926" s="2" t="s">
        <v>74</v>
      </c>
      <c r="BA926" s="2" t="s">
        <v>74</v>
      </c>
      <c r="BB926" s="2">
        <v>285</v>
      </c>
      <c r="BC926" s="2">
        <v>305</v>
      </c>
      <c r="BD926" s="2" t="s">
        <v>74</v>
      </c>
      <c r="BE926" s="2" t="s">
        <v>6570</v>
      </c>
      <c r="BF926" s="2" t="str">
        <f>HYPERLINK("http://dx.doi.org/10.1023/A:1007517720723","http://dx.doi.org/10.1023/A:1007517720723")</f>
        <v>http://dx.doi.org/10.1023/A:1007517720723</v>
      </c>
      <c r="BG926" s="2" t="s">
        <v>74</v>
      </c>
      <c r="BH926" s="2" t="s">
        <v>74</v>
      </c>
      <c r="BI926" s="2" t="s">
        <v>74</v>
      </c>
      <c r="BJ926" s="2" t="s">
        <v>74</v>
      </c>
      <c r="BK926" s="2" t="s">
        <v>74</v>
      </c>
      <c r="BL926" s="2" t="s">
        <v>74</v>
      </c>
      <c r="BM926" s="2" t="s">
        <v>74</v>
      </c>
      <c r="BN926" s="2" t="s">
        <v>74</v>
      </c>
      <c r="BO926" s="2" t="s">
        <v>74</v>
      </c>
      <c r="BP926" s="2" t="s">
        <v>74</v>
      </c>
      <c r="BQ926" s="2" t="s">
        <v>74</v>
      </c>
      <c r="BR926" s="2" t="s">
        <v>74</v>
      </c>
      <c r="BS926" s="2" t="s">
        <v>6571</v>
      </c>
      <c r="BT926" s="2" t="str">
        <f>HYPERLINK("https%3A%2F%2Fwww.webofscience.com%2Fwos%2Fwoscc%2Ffull-record%2FWOS:000083273300002","View Full Record in Web of Science")</f>
        <v>View Full Record in Web of Science</v>
      </c>
    </row>
    <row r="927" spans="1:72" s="2" customFormat="1" x14ac:dyDescent="0.4">
      <c r="A927" s="2" t="s">
        <v>72</v>
      </c>
      <c r="B927" s="2" t="s">
        <v>3491</v>
      </c>
      <c r="C927" s="2" t="s">
        <v>74</v>
      </c>
      <c r="D927" s="2" t="s">
        <v>74</v>
      </c>
      <c r="E927" s="2" t="s">
        <v>74</v>
      </c>
      <c r="F927" s="2" t="s">
        <v>3491</v>
      </c>
      <c r="G927" s="2" t="s">
        <v>74</v>
      </c>
      <c r="H927" s="2" t="s">
        <v>74</v>
      </c>
      <c r="I927" s="2" t="s">
        <v>3492</v>
      </c>
      <c r="J927" s="2" t="s">
        <v>140</v>
      </c>
      <c r="K927" s="2" t="s">
        <v>74</v>
      </c>
      <c r="L927" s="2" t="s">
        <v>74</v>
      </c>
      <c r="M927" s="2" t="s">
        <v>74</v>
      </c>
      <c r="N927" s="2" t="s">
        <v>74</v>
      </c>
      <c r="O927" s="2" t="s">
        <v>74</v>
      </c>
      <c r="P927" s="2" t="s">
        <v>74</v>
      </c>
      <c r="Q927" s="2" t="s">
        <v>74</v>
      </c>
      <c r="R927" s="2" t="s">
        <v>74</v>
      </c>
      <c r="S927" s="2" t="s">
        <v>74</v>
      </c>
      <c r="T927" s="2" t="s">
        <v>74</v>
      </c>
      <c r="U927" s="2" t="s">
        <v>74</v>
      </c>
      <c r="V927" s="5" t="s">
        <v>3493</v>
      </c>
      <c r="W927" s="2" t="s">
        <v>74</v>
      </c>
      <c r="X927" s="2" t="s">
        <v>74</v>
      </c>
      <c r="Y927" s="2" t="s">
        <v>74</v>
      </c>
      <c r="Z927" s="2" t="s">
        <v>74</v>
      </c>
      <c r="AA927" s="2" t="s">
        <v>74</v>
      </c>
      <c r="AB927" s="2" t="s">
        <v>74</v>
      </c>
      <c r="AC927" s="2" t="s">
        <v>74</v>
      </c>
      <c r="AD927" s="2" t="s">
        <v>74</v>
      </c>
      <c r="AE927" s="2" t="s">
        <v>74</v>
      </c>
      <c r="AF927" s="2" t="s">
        <v>74</v>
      </c>
      <c r="AG927" s="2" t="s">
        <v>74</v>
      </c>
      <c r="AH927" s="2" t="s">
        <v>74</v>
      </c>
      <c r="AI927" s="2" t="s">
        <v>74</v>
      </c>
      <c r="AJ927" s="2" t="s">
        <v>74</v>
      </c>
      <c r="AK927" s="2" t="s">
        <v>74</v>
      </c>
      <c r="AL927" s="2" t="s">
        <v>74</v>
      </c>
      <c r="AM927" s="2" t="s">
        <v>74</v>
      </c>
      <c r="AN927" s="2" t="s">
        <v>74</v>
      </c>
      <c r="AO927" s="2" t="s">
        <v>143</v>
      </c>
      <c r="AP927" s="2" t="s">
        <v>144</v>
      </c>
      <c r="AQ927" s="2" t="s">
        <v>74</v>
      </c>
      <c r="AR927" s="2" t="s">
        <v>74</v>
      </c>
      <c r="AS927" s="2" t="s">
        <v>74</v>
      </c>
      <c r="AT927" s="2" t="s">
        <v>204</v>
      </c>
      <c r="AU927" s="2">
        <v>1995</v>
      </c>
      <c r="AV927" s="2">
        <v>50</v>
      </c>
      <c r="AW927" s="2" t="s">
        <v>74</v>
      </c>
      <c r="AX927" s="2">
        <v>1</v>
      </c>
      <c r="AY927" s="2" t="s">
        <v>74</v>
      </c>
      <c r="AZ927" s="2" t="s">
        <v>74</v>
      </c>
      <c r="BA927" s="2" t="s">
        <v>74</v>
      </c>
      <c r="BB927" s="2">
        <v>267</v>
      </c>
      <c r="BC927" s="2">
        <v>272</v>
      </c>
      <c r="BD927" s="2" t="s">
        <v>74</v>
      </c>
      <c r="BE927" s="2" t="s">
        <v>3494</v>
      </c>
      <c r="BF927" s="2" t="str">
        <f>HYPERLINK("http://dx.doi.org/10.1006/anbe.1995.0239","http://dx.doi.org/10.1006/anbe.1995.0239")</f>
        <v>http://dx.doi.org/10.1006/anbe.1995.0239</v>
      </c>
      <c r="BG927" s="2" t="s">
        <v>74</v>
      </c>
      <c r="BH927" s="2" t="s">
        <v>74</v>
      </c>
      <c r="BI927" s="2" t="s">
        <v>74</v>
      </c>
      <c r="BJ927" s="2" t="s">
        <v>74</v>
      </c>
      <c r="BK927" s="2" t="s">
        <v>74</v>
      </c>
      <c r="BL927" s="2" t="s">
        <v>74</v>
      </c>
      <c r="BM927" s="2" t="s">
        <v>74</v>
      </c>
      <c r="BN927" s="2" t="s">
        <v>74</v>
      </c>
      <c r="BO927" s="2" t="s">
        <v>74</v>
      </c>
      <c r="BP927" s="2" t="s">
        <v>74</v>
      </c>
      <c r="BQ927" s="2" t="s">
        <v>74</v>
      </c>
      <c r="BR927" s="2" t="s">
        <v>74</v>
      </c>
      <c r="BS927" s="2" t="s">
        <v>3495</v>
      </c>
      <c r="BT927" s="2" t="str">
        <f>HYPERLINK("https%3A%2F%2Fwww.webofscience.com%2Fwos%2Fwoscc%2Ffull-record%2FWOS:A1995RM19000026","View Full Record in Web of Science")</f>
        <v>View Full Record in Web of Science</v>
      </c>
    </row>
    <row r="928" spans="1:72" s="2" customFormat="1" x14ac:dyDescent="0.4">
      <c r="A928" s="2" t="s">
        <v>72</v>
      </c>
      <c r="B928" s="2" t="s">
        <v>3426</v>
      </c>
      <c r="C928" s="2" t="s">
        <v>74</v>
      </c>
      <c r="D928" s="2" t="s">
        <v>74</v>
      </c>
      <c r="E928" s="2" t="s">
        <v>74</v>
      </c>
      <c r="F928" s="2" t="s">
        <v>3426</v>
      </c>
      <c r="G928" s="2" t="s">
        <v>74</v>
      </c>
      <c r="H928" s="2" t="s">
        <v>74</v>
      </c>
      <c r="I928" s="2" t="s">
        <v>3427</v>
      </c>
      <c r="J928" s="2" t="s">
        <v>140</v>
      </c>
      <c r="K928" s="2" t="s">
        <v>74</v>
      </c>
      <c r="L928" s="2" t="s">
        <v>74</v>
      </c>
      <c r="M928" s="2" t="s">
        <v>74</v>
      </c>
      <c r="N928" s="2" t="s">
        <v>74</v>
      </c>
      <c r="O928" s="2" t="s">
        <v>74</v>
      </c>
      <c r="P928" s="2" t="s">
        <v>74</v>
      </c>
      <c r="Q928" s="2" t="s">
        <v>74</v>
      </c>
      <c r="R928" s="2" t="s">
        <v>74</v>
      </c>
      <c r="S928" s="2" t="s">
        <v>74</v>
      </c>
      <c r="T928" s="2" t="s">
        <v>74</v>
      </c>
      <c r="U928" s="2" t="s">
        <v>74</v>
      </c>
      <c r="V928" s="5" t="s">
        <v>3428</v>
      </c>
      <c r="W928" s="2" t="s">
        <v>74</v>
      </c>
      <c r="X928" s="2" t="s">
        <v>74</v>
      </c>
      <c r="Y928" s="2" t="s">
        <v>74</v>
      </c>
      <c r="Z928" s="2" t="s">
        <v>74</v>
      </c>
      <c r="AA928" s="2" t="s">
        <v>74</v>
      </c>
      <c r="AB928" s="2" t="s">
        <v>74</v>
      </c>
      <c r="AC928" s="2" t="s">
        <v>74</v>
      </c>
      <c r="AD928" s="2" t="s">
        <v>74</v>
      </c>
      <c r="AE928" s="2" t="s">
        <v>74</v>
      </c>
      <c r="AF928" s="2" t="s">
        <v>74</v>
      </c>
      <c r="AG928" s="2" t="s">
        <v>74</v>
      </c>
      <c r="AH928" s="2" t="s">
        <v>74</v>
      </c>
      <c r="AI928" s="2" t="s">
        <v>74</v>
      </c>
      <c r="AJ928" s="2" t="s">
        <v>74</v>
      </c>
      <c r="AK928" s="2" t="s">
        <v>74</v>
      </c>
      <c r="AL928" s="2" t="s">
        <v>74</v>
      </c>
      <c r="AM928" s="2" t="s">
        <v>74</v>
      </c>
      <c r="AN928" s="2" t="s">
        <v>74</v>
      </c>
      <c r="AO928" s="2" t="s">
        <v>143</v>
      </c>
      <c r="AP928" s="2" t="s">
        <v>74</v>
      </c>
      <c r="AQ928" s="2" t="s">
        <v>74</v>
      </c>
      <c r="AR928" s="2" t="s">
        <v>74</v>
      </c>
      <c r="AS928" s="2" t="s">
        <v>74</v>
      </c>
      <c r="AT928" s="2" t="s">
        <v>102</v>
      </c>
      <c r="AU928" s="2">
        <v>1995</v>
      </c>
      <c r="AV928" s="2">
        <v>49</v>
      </c>
      <c r="AW928" s="2">
        <v>6</v>
      </c>
      <c r="AX928" s="2" t="s">
        <v>74</v>
      </c>
      <c r="AY928" s="2" t="s">
        <v>74</v>
      </c>
      <c r="AZ928" s="2" t="s">
        <v>74</v>
      </c>
      <c r="BA928" s="2" t="s">
        <v>74</v>
      </c>
      <c r="BB928" s="2">
        <v>1559</v>
      </c>
      <c r="BC928" s="2">
        <v>1567</v>
      </c>
      <c r="BD928" s="2" t="s">
        <v>74</v>
      </c>
      <c r="BE928" s="2" t="s">
        <v>3429</v>
      </c>
      <c r="BF928" s="2" t="str">
        <f>HYPERLINK("http://dx.doi.org/10.1016/0003-3472(95)90077-2","http://dx.doi.org/10.1016/0003-3472(95)90077-2")</f>
        <v>http://dx.doi.org/10.1016/0003-3472(95)90077-2</v>
      </c>
      <c r="BG928" s="2" t="s">
        <v>74</v>
      </c>
      <c r="BH928" s="2" t="s">
        <v>74</v>
      </c>
      <c r="BI928" s="2" t="s">
        <v>74</v>
      </c>
      <c r="BJ928" s="2" t="s">
        <v>74</v>
      </c>
      <c r="BK928" s="2" t="s">
        <v>74</v>
      </c>
      <c r="BL928" s="2" t="s">
        <v>74</v>
      </c>
      <c r="BM928" s="2" t="s">
        <v>74</v>
      </c>
      <c r="BN928" s="2" t="s">
        <v>74</v>
      </c>
      <c r="BO928" s="2" t="s">
        <v>74</v>
      </c>
      <c r="BP928" s="2" t="s">
        <v>74</v>
      </c>
      <c r="BQ928" s="2" t="s">
        <v>74</v>
      </c>
      <c r="BR928" s="2" t="s">
        <v>74</v>
      </c>
      <c r="BS928" s="2" t="s">
        <v>3430</v>
      </c>
      <c r="BT928" s="2" t="str">
        <f>HYPERLINK("https%3A%2F%2Fwww.webofscience.com%2Fwos%2Fwoscc%2Ffull-record%2FWOS:A1995RE98700015","View Full Record in Web of Science")</f>
        <v>View Full Record in Web of Science</v>
      </c>
    </row>
    <row r="929" spans="1:72" s="2" customFormat="1" x14ac:dyDescent="0.4">
      <c r="A929" s="2" t="s">
        <v>72</v>
      </c>
      <c r="B929" s="2" t="s">
        <v>7833</v>
      </c>
      <c r="C929" s="2" t="s">
        <v>74</v>
      </c>
      <c r="D929" s="2" t="s">
        <v>74</v>
      </c>
      <c r="E929" s="2" t="s">
        <v>74</v>
      </c>
      <c r="F929" s="2" t="s">
        <v>7834</v>
      </c>
      <c r="G929" s="2" t="s">
        <v>74</v>
      </c>
      <c r="H929" s="2" t="s">
        <v>74</v>
      </c>
      <c r="I929" s="2" t="s">
        <v>7835</v>
      </c>
      <c r="J929" s="2" t="s">
        <v>2207</v>
      </c>
      <c r="K929" s="2" t="s">
        <v>74</v>
      </c>
      <c r="L929" s="2" t="s">
        <v>74</v>
      </c>
      <c r="M929" s="2" t="s">
        <v>74</v>
      </c>
      <c r="N929" s="2" t="s">
        <v>74</v>
      </c>
      <c r="O929" s="2" t="s">
        <v>74</v>
      </c>
      <c r="P929" s="2" t="s">
        <v>74</v>
      </c>
      <c r="Q929" s="2" t="s">
        <v>74</v>
      </c>
      <c r="R929" s="2" t="s">
        <v>74</v>
      </c>
      <c r="S929" s="2" t="s">
        <v>74</v>
      </c>
      <c r="T929" s="2" t="s">
        <v>74</v>
      </c>
      <c r="U929" s="2" t="s">
        <v>74</v>
      </c>
      <c r="V929" s="5" t="s">
        <v>7836</v>
      </c>
      <c r="W929" s="2" t="s">
        <v>74</v>
      </c>
      <c r="X929" s="2" t="s">
        <v>74</v>
      </c>
      <c r="Y929" s="2" t="s">
        <v>74</v>
      </c>
      <c r="Z929" s="2" t="s">
        <v>74</v>
      </c>
      <c r="AA929" s="2" t="s">
        <v>7837</v>
      </c>
      <c r="AB929" s="2" t="s">
        <v>7838</v>
      </c>
      <c r="AC929" s="2" t="s">
        <v>74</v>
      </c>
      <c r="AD929" s="2" t="s">
        <v>74</v>
      </c>
      <c r="AE929" s="2" t="s">
        <v>74</v>
      </c>
      <c r="AF929" s="2" t="s">
        <v>74</v>
      </c>
      <c r="AG929" s="2" t="s">
        <v>74</v>
      </c>
      <c r="AH929" s="2" t="s">
        <v>74</v>
      </c>
      <c r="AI929" s="2" t="s">
        <v>74</v>
      </c>
      <c r="AJ929" s="2" t="s">
        <v>74</v>
      </c>
      <c r="AK929" s="2" t="s">
        <v>74</v>
      </c>
      <c r="AL929" s="2" t="s">
        <v>74</v>
      </c>
      <c r="AM929" s="2" t="s">
        <v>74</v>
      </c>
      <c r="AN929" s="2" t="s">
        <v>74</v>
      </c>
      <c r="AO929" s="2" t="s">
        <v>2211</v>
      </c>
      <c r="AP929" s="2" t="s">
        <v>2461</v>
      </c>
      <c r="AQ929" s="2" t="s">
        <v>74</v>
      </c>
      <c r="AR929" s="2" t="s">
        <v>74</v>
      </c>
      <c r="AS929" s="2" t="s">
        <v>74</v>
      </c>
      <c r="AT929" s="2" t="s">
        <v>213</v>
      </c>
      <c r="AU929" s="2">
        <v>2017</v>
      </c>
      <c r="AV929" s="2">
        <v>48</v>
      </c>
      <c r="AW929" s="2">
        <v>11</v>
      </c>
      <c r="AX929" s="2" t="s">
        <v>74</v>
      </c>
      <c r="AY929" s="2" t="s">
        <v>74</v>
      </c>
      <c r="AZ929" s="2" t="s">
        <v>74</v>
      </c>
      <c r="BA929" s="2" t="s">
        <v>74</v>
      </c>
      <c r="BB929" s="2">
        <v>1425</v>
      </c>
      <c r="BC929" s="2">
        <v>1431</v>
      </c>
      <c r="BD929" s="2" t="s">
        <v>74</v>
      </c>
      <c r="BE929" s="2" t="s">
        <v>7839</v>
      </c>
      <c r="BF929" s="2" t="str">
        <f>HYPERLINK("http://dx.doi.org/10.1111/jav.01402","http://dx.doi.org/10.1111/jav.01402")</f>
        <v>http://dx.doi.org/10.1111/jav.01402</v>
      </c>
      <c r="BG929" s="2" t="s">
        <v>74</v>
      </c>
      <c r="BH929" s="2" t="s">
        <v>74</v>
      </c>
      <c r="BI929" s="2" t="s">
        <v>74</v>
      </c>
      <c r="BJ929" s="2" t="s">
        <v>74</v>
      </c>
      <c r="BK929" s="2" t="s">
        <v>74</v>
      </c>
      <c r="BL929" s="2" t="s">
        <v>74</v>
      </c>
      <c r="BM929" s="2" t="s">
        <v>74</v>
      </c>
      <c r="BN929" s="2" t="s">
        <v>74</v>
      </c>
      <c r="BO929" s="2" t="s">
        <v>74</v>
      </c>
      <c r="BP929" s="2" t="s">
        <v>74</v>
      </c>
      <c r="BQ929" s="2" t="s">
        <v>74</v>
      </c>
      <c r="BR929" s="2" t="s">
        <v>74</v>
      </c>
      <c r="BS929" s="2" t="s">
        <v>7840</v>
      </c>
      <c r="BT929" s="2" t="str">
        <f>HYPERLINK("https%3A%2F%2Fwww.webofscience.com%2Fwos%2Fwoscc%2Ffull-record%2FWOS:000416331100009","View Full Record in Web of Science")</f>
        <v>View Full Record in Web of Science</v>
      </c>
    </row>
    <row r="930" spans="1:72" s="2" customFormat="1" x14ac:dyDescent="0.4">
      <c r="A930" s="2" t="s">
        <v>72</v>
      </c>
      <c r="B930" s="2" t="s">
        <v>4396</v>
      </c>
      <c r="C930" s="2" t="s">
        <v>74</v>
      </c>
      <c r="D930" s="2" t="s">
        <v>74</v>
      </c>
      <c r="E930" s="2" t="s">
        <v>74</v>
      </c>
      <c r="F930" s="2" t="s">
        <v>4396</v>
      </c>
      <c r="G930" s="2" t="s">
        <v>74</v>
      </c>
      <c r="H930" s="2" t="s">
        <v>74</v>
      </c>
      <c r="I930" s="2" t="s">
        <v>4397</v>
      </c>
      <c r="J930" s="2" t="s">
        <v>77</v>
      </c>
      <c r="K930" s="2" t="s">
        <v>74</v>
      </c>
      <c r="L930" s="2" t="s">
        <v>74</v>
      </c>
      <c r="M930" s="2" t="s">
        <v>74</v>
      </c>
      <c r="N930" s="2" t="s">
        <v>74</v>
      </c>
      <c r="O930" s="2" t="s">
        <v>74</v>
      </c>
      <c r="P930" s="2" t="s">
        <v>74</v>
      </c>
      <c r="Q930" s="2" t="s">
        <v>74</v>
      </c>
      <c r="R930" s="2" t="s">
        <v>74</v>
      </c>
      <c r="S930" s="2" t="s">
        <v>74</v>
      </c>
      <c r="T930" s="2" t="s">
        <v>74</v>
      </c>
      <c r="U930" s="2" t="s">
        <v>74</v>
      </c>
      <c r="V930" s="5" t="s">
        <v>4398</v>
      </c>
      <c r="W930" s="2" t="s">
        <v>74</v>
      </c>
      <c r="X930" s="2" t="s">
        <v>74</v>
      </c>
      <c r="Y930" s="2" t="s">
        <v>74</v>
      </c>
      <c r="Z930" s="2" t="s">
        <v>74</v>
      </c>
      <c r="AA930" s="2" t="s">
        <v>74</v>
      </c>
      <c r="AB930" s="2" t="s">
        <v>74</v>
      </c>
      <c r="AC930" s="2" t="s">
        <v>74</v>
      </c>
      <c r="AD930" s="2" t="s">
        <v>74</v>
      </c>
      <c r="AE930" s="2" t="s">
        <v>74</v>
      </c>
      <c r="AF930" s="2" t="s">
        <v>74</v>
      </c>
      <c r="AG930" s="2" t="s">
        <v>74</v>
      </c>
      <c r="AH930" s="2" t="s">
        <v>74</v>
      </c>
      <c r="AI930" s="2" t="s">
        <v>74</v>
      </c>
      <c r="AJ930" s="2" t="s">
        <v>74</v>
      </c>
      <c r="AK930" s="2" t="s">
        <v>74</v>
      </c>
      <c r="AL930" s="2" t="s">
        <v>74</v>
      </c>
      <c r="AM930" s="2" t="s">
        <v>74</v>
      </c>
      <c r="AN930" s="2" t="s">
        <v>74</v>
      </c>
      <c r="AO930" s="2" t="s">
        <v>81</v>
      </c>
      <c r="AP930" s="2" t="s">
        <v>82</v>
      </c>
      <c r="AQ930" s="2" t="s">
        <v>74</v>
      </c>
      <c r="AR930" s="2" t="s">
        <v>74</v>
      </c>
      <c r="AS930" s="2" t="s">
        <v>74</v>
      </c>
      <c r="AT930" s="2" t="s">
        <v>4399</v>
      </c>
      <c r="AU930" s="2">
        <v>2003</v>
      </c>
      <c r="AV930" s="2">
        <v>140</v>
      </c>
      <c r="AW930" s="2" t="s">
        <v>74</v>
      </c>
      <c r="AX930" s="2" t="s">
        <v>4400</v>
      </c>
      <c r="AY930" s="2" t="s">
        <v>74</v>
      </c>
      <c r="AZ930" s="2" t="s">
        <v>74</v>
      </c>
      <c r="BA930" s="2" t="s">
        <v>74</v>
      </c>
      <c r="BB930" s="2">
        <v>1003</v>
      </c>
      <c r="BC930" s="2">
        <v>1019</v>
      </c>
      <c r="BD930" s="2" t="s">
        <v>74</v>
      </c>
      <c r="BE930" s="2" t="s">
        <v>4401</v>
      </c>
      <c r="BF930" s="2" t="str">
        <f>HYPERLINK("http://dx.doi.org/10.1163/156853903322589614","http://dx.doi.org/10.1163/156853903322589614")</f>
        <v>http://dx.doi.org/10.1163/156853903322589614</v>
      </c>
      <c r="BG930" s="2" t="s">
        <v>74</v>
      </c>
      <c r="BH930" s="2" t="s">
        <v>74</v>
      </c>
      <c r="BI930" s="2" t="s">
        <v>74</v>
      </c>
      <c r="BJ930" s="2" t="s">
        <v>74</v>
      </c>
      <c r="BK930" s="2" t="s">
        <v>74</v>
      </c>
      <c r="BL930" s="2" t="s">
        <v>74</v>
      </c>
      <c r="BM930" s="2" t="s">
        <v>74</v>
      </c>
      <c r="BN930" s="2" t="s">
        <v>74</v>
      </c>
      <c r="BO930" s="2" t="s">
        <v>74</v>
      </c>
      <c r="BP930" s="2" t="s">
        <v>74</v>
      </c>
      <c r="BQ930" s="2" t="s">
        <v>74</v>
      </c>
      <c r="BR930" s="2" t="s">
        <v>74</v>
      </c>
      <c r="BS930" s="2" t="s">
        <v>4402</v>
      </c>
      <c r="BT930" s="2" t="str">
        <f>HYPERLINK("https%3A%2F%2Fwww.webofscience.com%2Fwos%2Fwoscc%2Ffull-record%2FWOS:000187638300003","View Full Record in Web of Science")</f>
        <v>View Full Record in Web of Science</v>
      </c>
    </row>
    <row r="931" spans="1:72" s="2" customFormat="1" x14ac:dyDescent="0.4">
      <c r="A931" s="2" t="s">
        <v>72</v>
      </c>
      <c r="B931" s="2" t="s">
        <v>1818</v>
      </c>
      <c r="C931" s="2" t="s">
        <v>74</v>
      </c>
      <c r="D931" s="2" t="s">
        <v>74</v>
      </c>
      <c r="E931" s="2" t="s">
        <v>74</v>
      </c>
      <c r="F931" s="2" t="s">
        <v>1819</v>
      </c>
      <c r="G931" s="2" t="s">
        <v>74</v>
      </c>
      <c r="H931" s="2" t="s">
        <v>74</v>
      </c>
      <c r="I931" s="2" t="s">
        <v>1820</v>
      </c>
      <c r="J931" s="2" t="s">
        <v>576</v>
      </c>
      <c r="K931" s="2" t="s">
        <v>74</v>
      </c>
      <c r="L931" s="2" t="s">
        <v>74</v>
      </c>
      <c r="M931" s="2" t="s">
        <v>74</v>
      </c>
      <c r="N931" s="2" t="s">
        <v>74</v>
      </c>
      <c r="O931" s="2" t="s">
        <v>74</v>
      </c>
      <c r="P931" s="2" t="s">
        <v>74</v>
      </c>
      <c r="Q931" s="2" t="s">
        <v>74</v>
      </c>
      <c r="R931" s="2" t="s">
        <v>74</v>
      </c>
      <c r="S931" s="2" t="s">
        <v>74</v>
      </c>
      <c r="T931" s="2" t="s">
        <v>74</v>
      </c>
      <c r="U931" s="2" t="s">
        <v>74</v>
      </c>
      <c r="V931" s="5" t="s">
        <v>1821</v>
      </c>
      <c r="W931" s="2" t="s">
        <v>74</v>
      </c>
      <c r="X931" s="2" t="s">
        <v>74</v>
      </c>
      <c r="Y931" s="2" t="s">
        <v>74</v>
      </c>
      <c r="Z931" s="2" t="s">
        <v>74</v>
      </c>
      <c r="AA931" s="2" t="s">
        <v>74</v>
      </c>
      <c r="AB931" s="2" t="s">
        <v>1822</v>
      </c>
      <c r="AC931" s="2" t="s">
        <v>74</v>
      </c>
      <c r="AD931" s="2" t="s">
        <v>74</v>
      </c>
      <c r="AE931" s="2" t="s">
        <v>74</v>
      </c>
      <c r="AF931" s="2" t="s">
        <v>74</v>
      </c>
      <c r="AG931" s="2" t="s">
        <v>74</v>
      </c>
      <c r="AH931" s="2" t="s">
        <v>74</v>
      </c>
      <c r="AI931" s="2" t="s">
        <v>74</v>
      </c>
      <c r="AJ931" s="2" t="s">
        <v>74</v>
      </c>
      <c r="AK931" s="2" t="s">
        <v>74</v>
      </c>
      <c r="AL931" s="2" t="s">
        <v>74</v>
      </c>
      <c r="AM931" s="2" t="s">
        <v>74</v>
      </c>
      <c r="AN931" s="2" t="s">
        <v>74</v>
      </c>
      <c r="AO931" s="2" t="s">
        <v>579</v>
      </c>
      <c r="AP931" s="2" t="s">
        <v>580</v>
      </c>
      <c r="AQ931" s="2" t="s">
        <v>74</v>
      </c>
      <c r="AR931" s="2" t="s">
        <v>74</v>
      </c>
      <c r="AS931" s="2" t="s">
        <v>74</v>
      </c>
      <c r="AT931" s="2" t="s">
        <v>633</v>
      </c>
      <c r="AU931" s="2">
        <v>2017</v>
      </c>
      <c r="AV931" s="2">
        <v>31</v>
      </c>
      <c r="AW931" s="2">
        <v>2</v>
      </c>
      <c r="AX931" s="2" t="s">
        <v>74</v>
      </c>
      <c r="AY931" s="2" t="s">
        <v>74</v>
      </c>
      <c r="AZ931" s="2" t="s">
        <v>848</v>
      </c>
      <c r="BA931" s="2" t="s">
        <v>74</v>
      </c>
      <c r="BB931" s="2">
        <v>173</v>
      </c>
      <c r="BC931" s="2">
        <v>191</v>
      </c>
      <c r="BD931" s="2" t="s">
        <v>74</v>
      </c>
      <c r="BE931" s="2" t="s">
        <v>1823</v>
      </c>
      <c r="BF931" s="2" t="str">
        <f>HYPERLINK("http://dx.doi.org/10.1007/s10682-016-9848-1","http://dx.doi.org/10.1007/s10682-016-9848-1")</f>
        <v>http://dx.doi.org/10.1007/s10682-016-9848-1</v>
      </c>
      <c r="BG931" s="2" t="s">
        <v>74</v>
      </c>
      <c r="BH931" s="2" t="s">
        <v>74</v>
      </c>
      <c r="BI931" s="2" t="s">
        <v>74</v>
      </c>
      <c r="BJ931" s="2" t="s">
        <v>74</v>
      </c>
      <c r="BK931" s="2" t="s">
        <v>74</v>
      </c>
      <c r="BL931" s="2" t="s">
        <v>74</v>
      </c>
      <c r="BM931" s="2" t="s">
        <v>74</v>
      </c>
      <c r="BN931" s="2" t="s">
        <v>74</v>
      </c>
      <c r="BO931" s="2" t="s">
        <v>74</v>
      </c>
      <c r="BP931" s="2" t="s">
        <v>74</v>
      </c>
      <c r="BQ931" s="2" t="s">
        <v>74</v>
      </c>
      <c r="BR931" s="2" t="s">
        <v>74</v>
      </c>
      <c r="BS931" s="2" t="s">
        <v>1824</v>
      </c>
      <c r="BT931" s="2" t="str">
        <f>HYPERLINK("https%3A%2F%2Fwww.webofscience.com%2Fwos%2Fwoscc%2Ffull-record%2FWOS:000397595600003","View Full Record in Web of Science")</f>
        <v>View Full Record in Web of Science</v>
      </c>
    </row>
    <row r="932" spans="1:72" s="2" customFormat="1" x14ac:dyDescent="0.4">
      <c r="A932" s="2" t="s">
        <v>72</v>
      </c>
      <c r="B932" s="2" t="s">
        <v>8142</v>
      </c>
      <c r="C932" s="2" t="s">
        <v>74</v>
      </c>
      <c r="D932" s="2" t="s">
        <v>74</v>
      </c>
      <c r="E932" s="2" t="s">
        <v>74</v>
      </c>
      <c r="F932" s="2" t="s">
        <v>8143</v>
      </c>
      <c r="G932" s="2" t="s">
        <v>74</v>
      </c>
      <c r="H932" s="2" t="s">
        <v>74</v>
      </c>
      <c r="I932" s="2" t="s">
        <v>8144</v>
      </c>
      <c r="J932" s="2" t="s">
        <v>2017</v>
      </c>
      <c r="K932" s="2" t="s">
        <v>74</v>
      </c>
      <c r="L932" s="2" t="s">
        <v>74</v>
      </c>
      <c r="M932" s="2" t="s">
        <v>74</v>
      </c>
      <c r="N932" s="2" t="s">
        <v>74</v>
      </c>
      <c r="O932" s="2" t="s">
        <v>74</v>
      </c>
      <c r="P932" s="2" t="s">
        <v>74</v>
      </c>
      <c r="Q932" s="2" t="s">
        <v>74</v>
      </c>
      <c r="R932" s="2" t="s">
        <v>74</v>
      </c>
      <c r="S932" s="2" t="s">
        <v>74</v>
      </c>
      <c r="T932" s="2" t="s">
        <v>74</v>
      </c>
      <c r="U932" s="2" t="s">
        <v>74</v>
      </c>
      <c r="V932" s="5" t="s">
        <v>8145</v>
      </c>
      <c r="W932" s="2" t="s">
        <v>74</v>
      </c>
      <c r="X932" s="2" t="s">
        <v>74</v>
      </c>
      <c r="Y932" s="2" t="s">
        <v>74</v>
      </c>
      <c r="Z932" s="2" t="s">
        <v>74</v>
      </c>
      <c r="AA932" s="2" t="s">
        <v>74</v>
      </c>
      <c r="AB932" s="2" t="s">
        <v>1822</v>
      </c>
      <c r="AC932" s="2" t="s">
        <v>74</v>
      </c>
      <c r="AD932" s="2" t="s">
        <v>74</v>
      </c>
      <c r="AE932" s="2" t="s">
        <v>74</v>
      </c>
      <c r="AF932" s="2" t="s">
        <v>74</v>
      </c>
      <c r="AG932" s="2" t="s">
        <v>74</v>
      </c>
      <c r="AH932" s="2" t="s">
        <v>74</v>
      </c>
      <c r="AI932" s="2" t="s">
        <v>74</v>
      </c>
      <c r="AJ932" s="2" t="s">
        <v>74</v>
      </c>
      <c r="AK932" s="2" t="s">
        <v>74</v>
      </c>
      <c r="AL932" s="2" t="s">
        <v>74</v>
      </c>
      <c r="AM932" s="2" t="s">
        <v>74</v>
      </c>
      <c r="AN932" s="2" t="s">
        <v>74</v>
      </c>
      <c r="AO932" s="2" t="s">
        <v>2021</v>
      </c>
      <c r="AP932" s="2" t="s">
        <v>74</v>
      </c>
      <c r="AQ932" s="2" t="s">
        <v>74</v>
      </c>
      <c r="AR932" s="2" t="s">
        <v>74</v>
      </c>
      <c r="AS932" s="2" t="s">
        <v>74</v>
      </c>
      <c r="AT932" s="2" t="s">
        <v>8146</v>
      </c>
      <c r="AU932" s="2">
        <v>2021</v>
      </c>
      <c r="AV932" s="2">
        <v>9</v>
      </c>
      <c r="AW932" s="2" t="s">
        <v>74</v>
      </c>
      <c r="AX932" s="2" t="s">
        <v>74</v>
      </c>
      <c r="AY932" s="2" t="s">
        <v>74</v>
      </c>
      <c r="AZ932" s="2" t="s">
        <v>74</v>
      </c>
      <c r="BA932" s="2" t="s">
        <v>74</v>
      </c>
      <c r="BB932" s="2" t="s">
        <v>74</v>
      </c>
      <c r="BC932" s="2" t="s">
        <v>74</v>
      </c>
      <c r="BD932" s="2">
        <v>724712</v>
      </c>
      <c r="BE932" s="2" t="s">
        <v>8147</v>
      </c>
      <c r="BF932" s="2" t="str">
        <f>HYPERLINK("http://dx.doi.org/10.3389/fevo.2021.724712","http://dx.doi.org/10.3389/fevo.2021.724712")</f>
        <v>http://dx.doi.org/10.3389/fevo.2021.724712</v>
      </c>
      <c r="BG932" s="2" t="s">
        <v>74</v>
      </c>
      <c r="BH932" s="2" t="s">
        <v>74</v>
      </c>
      <c r="BI932" s="2" t="s">
        <v>74</v>
      </c>
      <c r="BJ932" s="2" t="s">
        <v>74</v>
      </c>
      <c r="BK932" s="2" t="s">
        <v>74</v>
      </c>
      <c r="BL932" s="2" t="s">
        <v>74</v>
      </c>
      <c r="BM932" s="2" t="s">
        <v>74</v>
      </c>
      <c r="BN932" s="2" t="s">
        <v>74</v>
      </c>
      <c r="BO932" s="2" t="s">
        <v>74</v>
      </c>
      <c r="BP932" s="2" t="s">
        <v>74</v>
      </c>
      <c r="BQ932" s="2" t="s">
        <v>74</v>
      </c>
      <c r="BR932" s="2" t="s">
        <v>74</v>
      </c>
      <c r="BS932" s="2" t="s">
        <v>8148</v>
      </c>
      <c r="BT932" s="2" t="str">
        <f>HYPERLINK("https%3A%2F%2Fwww.webofscience.com%2Fwos%2Fwoscc%2Ffull-record%2FWOS:000707224100001","View Full Record in Web of Science")</f>
        <v>View Full Record in Web of Science</v>
      </c>
    </row>
    <row r="933" spans="1:72" s="2" customFormat="1" x14ac:dyDescent="0.4">
      <c r="A933" s="2" t="s">
        <v>72</v>
      </c>
      <c r="B933" s="2" t="s">
        <v>6897</v>
      </c>
      <c r="C933" s="2" t="s">
        <v>74</v>
      </c>
      <c r="D933" s="2" t="s">
        <v>74</v>
      </c>
      <c r="E933" s="2" t="s">
        <v>74</v>
      </c>
      <c r="F933" s="2" t="s">
        <v>6897</v>
      </c>
      <c r="G933" s="2" t="s">
        <v>74</v>
      </c>
      <c r="H933" s="2" t="s">
        <v>74</v>
      </c>
      <c r="I933" s="2" t="s">
        <v>6898</v>
      </c>
      <c r="J933" s="2" t="s">
        <v>6899</v>
      </c>
      <c r="K933" s="2" t="s">
        <v>74</v>
      </c>
      <c r="L933" s="2" t="s">
        <v>74</v>
      </c>
      <c r="M933" s="2" t="s">
        <v>74</v>
      </c>
      <c r="N933" s="2" t="s">
        <v>74</v>
      </c>
      <c r="O933" s="2" t="s">
        <v>74</v>
      </c>
      <c r="P933" s="2" t="s">
        <v>74</v>
      </c>
      <c r="Q933" s="2" t="s">
        <v>74</v>
      </c>
      <c r="R933" s="2" t="s">
        <v>74</v>
      </c>
      <c r="S933" s="2" t="s">
        <v>74</v>
      </c>
      <c r="T933" s="2" t="s">
        <v>74</v>
      </c>
      <c r="U933" s="2" t="s">
        <v>74</v>
      </c>
      <c r="V933" s="5" t="s">
        <v>6900</v>
      </c>
      <c r="W933" s="2" t="s">
        <v>74</v>
      </c>
      <c r="X933" s="2" t="s">
        <v>74</v>
      </c>
      <c r="Y933" s="2" t="s">
        <v>74</v>
      </c>
      <c r="Z933" s="2" t="s">
        <v>74</v>
      </c>
      <c r="AA933" s="2" t="s">
        <v>6901</v>
      </c>
      <c r="AB933" s="2" t="s">
        <v>6902</v>
      </c>
      <c r="AC933" s="2" t="s">
        <v>74</v>
      </c>
      <c r="AD933" s="2" t="s">
        <v>74</v>
      </c>
      <c r="AE933" s="2" t="s">
        <v>74</v>
      </c>
      <c r="AF933" s="2" t="s">
        <v>74</v>
      </c>
      <c r="AG933" s="2" t="s">
        <v>74</v>
      </c>
      <c r="AH933" s="2" t="s">
        <v>74</v>
      </c>
      <c r="AI933" s="2" t="s">
        <v>74</v>
      </c>
      <c r="AJ933" s="2" t="s">
        <v>74</v>
      </c>
      <c r="AK933" s="2" t="s">
        <v>74</v>
      </c>
      <c r="AL933" s="2" t="s">
        <v>74</v>
      </c>
      <c r="AM933" s="2" t="s">
        <v>74</v>
      </c>
      <c r="AN933" s="2" t="s">
        <v>74</v>
      </c>
      <c r="AO933" s="2" t="s">
        <v>6903</v>
      </c>
      <c r="AP933" s="2" t="s">
        <v>74</v>
      </c>
      <c r="AQ933" s="2" t="s">
        <v>74</v>
      </c>
      <c r="AR933" s="2" t="s">
        <v>74</v>
      </c>
      <c r="AS933" s="2" t="s">
        <v>74</v>
      </c>
      <c r="AT933" s="2" t="s">
        <v>145</v>
      </c>
      <c r="AU933" s="2">
        <v>1997</v>
      </c>
      <c r="AV933" s="2">
        <v>84</v>
      </c>
      <c r="AW933" s="2">
        <v>2</v>
      </c>
      <c r="AX933" s="2" t="s">
        <v>74</v>
      </c>
      <c r="AY933" s="2" t="s">
        <v>74</v>
      </c>
      <c r="AZ933" s="2" t="s">
        <v>74</v>
      </c>
      <c r="BA933" s="2" t="s">
        <v>74</v>
      </c>
      <c r="BB933" s="2">
        <v>183</v>
      </c>
      <c r="BC933" s="2">
        <v>188</v>
      </c>
      <c r="BD933" s="2" t="s">
        <v>74</v>
      </c>
      <c r="BE933" s="2" t="s">
        <v>6904</v>
      </c>
      <c r="BF933" s="2" t="str">
        <f>HYPERLINK("http://dx.doi.org/10.1046/j.1570-7458.1997.00213.x","http://dx.doi.org/10.1046/j.1570-7458.1997.00213.x")</f>
        <v>http://dx.doi.org/10.1046/j.1570-7458.1997.00213.x</v>
      </c>
      <c r="BG933" s="2" t="s">
        <v>74</v>
      </c>
      <c r="BH933" s="2" t="s">
        <v>74</v>
      </c>
      <c r="BI933" s="2" t="s">
        <v>74</v>
      </c>
      <c r="BJ933" s="2" t="s">
        <v>74</v>
      </c>
      <c r="BK933" s="2" t="s">
        <v>74</v>
      </c>
      <c r="BL933" s="2" t="s">
        <v>74</v>
      </c>
      <c r="BM933" s="2" t="s">
        <v>74</v>
      </c>
      <c r="BN933" s="2" t="s">
        <v>74</v>
      </c>
      <c r="BO933" s="2" t="s">
        <v>74</v>
      </c>
      <c r="BP933" s="2" t="s">
        <v>74</v>
      </c>
      <c r="BQ933" s="2" t="s">
        <v>74</v>
      </c>
      <c r="BR933" s="2" t="s">
        <v>74</v>
      </c>
      <c r="BS933" s="2" t="s">
        <v>6905</v>
      </c>
      <c r="BT933" s="2" t="str">
        <f>HYPERLINK("https%3A%2F%2Fwww.webofscience.com%2Fwos%2Fwoscc%2Ffull-record%2FWOS:A1997XW62800009","View Full Record in Web of Science")</f>
        <v>View Full Record in Web of Science</v>
      </c>
    </row>
    <row r="934" spans="1:72" s="2" customFormat="1" x14ac:dyDescent="0.4">
      <c r="A934" s="2" t="s">
        <v>72</v>
      </c>
      <c r="B934" s="2" t="s">
        <v>3197</v>
      </c>
      <c r="C934" s="2" t="s">
        <v>74</v>
      </c>
      <c r="D934" s="2" t="s">
        <v>74</v>
      </c>
      <c r="E934" s="2" t="s">
        <v>74</v>
      </c>
      <c r="F934" s="2" t="s">
        <v>3198</v>
      </c>
      <c r="G934" s="2" t="s">
        <v>74</v>
      </c>
      <c r="H934" s="2" t="s">
        <v>74</v>
      </c>
      <c r="I934" s="2" t="s">
        <v>3199</v>
      </c>
      <c r="J934" s="2" t="s">
        <v>140</v>
      </c>
      <c r="K934" s="2" t="s">
        <v>74</v>
      </c>
      <c r="L934" s="2" t="s">
        <v>74</v>
      </c>
      <c r="M934" s="2" t="s">
        <v>74</v>
      </c>
      <c r="N934" s="2" t="s">
        <v>74</v>
      </c>
      <c r="O934" s="2" t="s">
        <v>74</v>
      </c>
      <c r="P934" s="2" t="s">
        <v>74</v>
      </c>
      <c r="Q934" s="2" t="s">
        <v>74</v>
      </c>
      <c r="R934" s="2" t="s">
        <v>74</v>
      </c>
      <c r="S934" s="2" t="s">
        <v>74</v>
      </c>
      <c r="T934" s="2" t="s">
        <v>74</v>
      </c>
      <c r="U934" s="2" t="s">
        <v>74</v>
      </c>
      <c r="V934" s="5" t="s">
        <v>3200</v>
      </c>
      <c r="W934" s="2" t="s">
        <v>74</v>
      </c>
      <c r="X934" s="2" t="s">
        <v>74</v>
      </c>
      <c r="Y934" s="2" t="s">
        <v>74</v>
      </c>
      <c r="Z934" s="2" t="s">
        <v>74</v>
      </c>
      <c r="AA934" s="2" t="s">
        <v>2184</v>
      </c>
      <c r="AB934" s="2" t="s">
        <v>2806</v>
      </c>
      <c r="AC934" s="2" t="s">
        <v>74</v>
      </c>
      <c r="AD934" s="2" t="s">
        <v>74</v>
      </c>
      <c r="AE934" s="2" t="s">
        <v>74</v>
      </c>
      <c r="AF934" s="2" t="s">
        <v>74</v>
      </c>
      <c r="AG934" s="2" t="s">
        <v>74</v>
      </c>
      <c r="AH934" s="2" t="s">
        <v>74</v>
      </c>
      <c r="AI934" s="2" t="s">
        <v>74</v>
      </c>
      <c r="AJ934" s="2" t="s">
        <v>74</v>
      </c>
      <c r="AK934" s="2" t="s">
        <v>74</v>
      </c>
      <c r="AL934" s="2" t="s">
        <v>74</v>
      </c>
      <c r="AM934" s="2" t="s">
        <v>74</v>
      </c>
      <c r="AN934" s="2" t="s">
        <v>74</v>
      </c>
      <c r="AO934" s="2" t="s">
        <v>143</v>
      </c>
      <c r="AP934" s="2" t="s">
        <v>144</v>
      </c>
      <c r="AQ934" s="2" t="s">
        <v>74</v>
      </c>
      <c r="AR934" s="2" t="s">
        <v>74</v>
      </c>
      <c r="AS934" s="2" t="s">
        <v>74</v>
      </c>
      <c r="AT934" s="2" t="s">
        <v>633</v>
      </c>
      <c r="AU934" s="2">
        <v>2017</v>
      </c>
      <c r="AV934" s="2">
        <v>126</v>
      </c>
      <c r="AW934" s="2" t="s">
        <v>74</v>
      </c>
      <c r="AX934" s="2" t="s">
        <v>74</v>
      </c>
      <c r="AY934" s="2" t="s">
        <v>74</v>
      </c>
      <c r="AZ934" s="2" t="s">
        <v>74</v>
      </c>
      <c r="BA934" s="2" t="s">
        <v>74</v>
      </c>
      <c r="BB934" s="2">
        <v>301</v>
      </c>
      <c r="BC934" s="2">
        <v>307</v>
      </c>
      <c r="BD934" s="2" t="s">
        <v>74</v>
      </c>
      <c r="BE934" s="2" t="s">
        <v>3201</v>
      </c>
      <c r="BF934" s="2" t="str">
        <f>HYPERLINK("http://dx.doi.org/10.1016/j.anbehav.2017.02.012","http://dx.doi.org/10.1016/j.anbehav.2017.02.012")</f>
        <v>http://dx.doi.org/10.1016/j.anbehav.2017.02.012</v>
      </c>
      <c r="BG934" s="2" t="s">
        <v>74</v>
      </c>
      <c r="BH934" s="2" t="s">
        <v>74</v>
      </c>
      <c r="BI934" s="2" t="s">
        <v>74</v>
      </c>
      <c r="BJ934" s="2" t="s">
        <v>74</v>
      </c>
      <c r="BK934" s="2" t="s">
        <v>74</v>
      </c>
      <c r="BL934" s="2" t="s">
        <v>74</v>
      </c>
      <c r="BM934" s="2" t="s">
        <v>74</v>
      </c>
      <c r="BN934" s="2" t="s">
        <v>74</v>
      </c>
      <c r="BO934" s="2" t="s">
        <v>74</v>
      </c>
      <c r="BP934" s="2" t="s">
        <v>74</v>
      </c>
      <c r="BQ934" s="2" t="s">
        <v>74</v>
      </c>
      <c r="BR934" s="2" t="s">
        <v>74</v>
      </c>
      <c r="BS934" s="2" t="s">
        <v>3202</v>
      </c>
      <c r="BT934" s="2" t="str">
        <f>HYPERLINK("https%3A%2F%2Fwww.webofscience.com%2Fwos%2Fwoscc%2Ffull-record%2FWOS:000400402700031","View Full Record in Web of Science")</f>
        <v>View Full Record in Web of Science</v>
      </c>
    </row>
    <row r="935" spans="1:72" s="2" customFormat="1" x14ac:dyDescent="0.4">
      <c r="A935" s="2" t="s">
        <v>72</v>
      </c>
      <c r="B935" s="2" t="s">
        <v>636</v>
      </c>
      <c r="C935" s="2" t="s">
        <v>74</v>
      </c>
      <c r="D935" s="2" t="s">
        <v>74</v>
      </c>
      <c r="E935" s="2" t="s">
        <v>74</v>
      </c>
      <c r="F935" s="2" t="s">
        <v>636</v>
      </c>
      <c r="G935" s="2" t="s">
        <v>74</v>
      </c>
      <c r="H935" s="2" t="s">
        <v>74</v>
      </c>
      <c r="I935" s="2" t="s">
        <v>637</v>
      </c>
      <c r="J935" s="2" t="s">
        <v>312</v>
      </c>
      <c r="K935" s="2" t="s">
        <v>74</v>
      </c>
      <c r="L935" s="2" t="s">
        <v>74</v>
      </c>
      <c r="M935" s="2" t="s">
        <v>74</v>
      </c>
      <c r="N935" s="2" t="s">
        <v>74</v>
      </c>
      <c r="O935" s="2" t="s">
        <v>74</v>
      </c>
      <c r="P935" s="2" t="s">
        <v>74</v>
      </c>
      <c r="Q935" s="2" t="s">
        <v>74</v>
      </c>
      <c r="R935" s="2" t="s">
        <v>74</v>
      </c>
      <c r="S935" s="2" t="s">
        <v>74</v>
      </c>
      <c r="T935" s="2" t="s">
        <v>74</v>
      </c>
      <c r="U935" s="2" t="s">
        <v>74</v>
      </c>
      <c r="V935" s="5" t="s">
        <v>638</v>
      </c>
      <c r="W935" s="2" t="s">
        <v>74</v>
      </c>
      <c r="X935" s="2" t="s">
        <v>74</v>
      </c>
      <c r="Y935" s="2" t="s">
        <v>74</v>
      </c>
      <c r="Z935" s="2" t="s">
        <v>74</v>
      </c>
      <c r="AA935" s="2" t="s">
        <v>639</v>
      </c>
      <c r="AB935" s="2" t="s">
        <v>640</v>
      </c>
      <c r="AC935" s="2" t="s">
        <v>74</v>
      </c>
      <c r="AD935" s="2" t="s">
        <v>74</v>
      </c>
      <c r="AE935" s="2" t="s">
        <v>74</v>
      </c>
      <c r="AF935" s="2" t="s">
        <v>74</v>
      </c>
      <c r="AG935" s="2" t="s">
        <v>74</v>
      </c>
      <c r="AH935" s="2" t="s">
        <v>74</v>
      </c>
      <c r="AI935" s="2" t="s">
        <v>74</v>
      </c>
      <c r="AJ935" s="2" t="s">
        <v>74</v>
      </c>
      <c r="AK935" s="2" t="s">
        <v>74</v>
      </c>
      <c r="AL935" s="2" t="s">
        <v>74</v>
      </c>
      <c r="AM935" s="2" t="s">
        <v>74</v>
      </c>
      <c r="AN935" s="2" t="s">
        <v>74</v>
      </c>
      <c r="AO935" s="2" t="s">
        <v>314</v>
      </c>
      <c r="AP935" s="2" t="s">
        <v>74</v>
      </c>
      <c r="AQ935" s="2" t="s">
        <v>74</v>
      </c>
      <c r="AR935" s="2" t="s">
        <v>74</v>
      </c>
      <c r="AS935" s="2" t="s">
        <v>74</v>
      </c>
      <c r="AT935" s="2" t="s">
        <v>633</v>
      </c>
      <c r="AU935" s="2">
        <v>2001</v>
      </c>
      <c r="AV935" s="2">
        <v>157</v>
      </c>
      <c r="AW935" s="2">
        <v>4</v>
      </c>
      <c r="AX935" s="2" t="s">
        <v>74</v>
      </c>
      <c r="AY935" s="2" t="s">
        <v>74</v>
      </c>
      <c r="AZ935" s="2" t="s">
        <v>74</v>
      </c>
      <c r="BA935" s="2" t="s">
        <v>74</v>
      </c>
      <c r="BB935" s="2">
        <v>451</v>
      </c>
      <c r="BC935" s="2">
        <v>458</v>
      </c>
      <c r="BD935" s="2" t="s">
        <v>74</v>
      </c>
      <c r="BE935" s="2" t="s">
        <v>641</v>
      </c>
      <c r="BF935" s="2" t="str">
        <f>HYPERLINK("http://dx.doi.org/10.1086/319319","http://dx.doi.org/10.1086/319319")</f>
        <v>http://dx.doi.org/10.1086/319319</v>
      </c>
      <c r="BG935" s="2" t="s">
        <v>74</v>
      </c>
      <c r="BH935" s="2" t="s">
        <v>74</v>
      </c>
      <c r="BI935" s="2" t="s">
        <v>74</v>
      </c>
      <c r="BJ935" s="2" t="s">
        <v>74</v>
      </c>
      <c r="BK935" s="2" t="s">
        <v>74</v>
      </c>
      <c r="BL935" s="2" t="s">
        <v>74</v>
      </c>
      <c r="BM935" s="2" t="s">
        <v>74</v>
      </c>
      <c r="BN935" s="2">
        <v>18707253</v>
      </c>
      <c r="BO935" s="2" t="s">
        <v>74</v>
      </c>
      <c r="BP935" s="2" t="s">
        <v>74</v>
      </c>
      <c r="BQ935" s="2" t="s">
        <v>74</v>
      </c>
      <c r="BR935" s="2" t="s">
        <v>74</v>
      </c>
      <c r="BS935" s="2" t="s">
        <v>642</v>
      </c>
      <c r="BT935" s="2" t="str">
        <f>HYPERLINK("https%3A%2F%2Fwww.webofscience.com%2Fwos%2Fwoscc%2Ffull-record%2FWOS:000167830600007","View Full Record in Web of Science")</f>
        <v>View Full Record in Web of Science</v>
      </c>
    </row>
    <row r="936" spans="1:72" s="2" customFormat="1" x14ac:dyDescent="0.4">
      <c r="A936" s="2" t="s">
        <v>72</v>
      </c>
      <c r="B936" s="2" t="s">
        <v>8156</v>
      </c>
      <c r="C936" s="2" t="s">
        <v>74</v>
      </c>
      <c r="D936" s="2" t="s">
        <v>74</v>
      </c>
      <c r="E936" s="2" t="s">
        <v>74</v>
      </c>
      <c r="F936" s="2" t="s">
        <v>8157</v>
      </c>
      <c r="G936" s="2" t="s">
        <v>74</v>
      </c>
      <c r="H936" s="2" t="s">
        <v>74</v>
      </c>
      <c r="I936" s="2" t="s">
        <v>8158</v>
      </c>
      <c r="J936" s="2" t="s">
        <v>775</v>
      </c>
      <c r="K936" s="2" t="s">
        <v>74</v>
      </c>
      <c r="L936" s="2" t="s">
        <v>74</v>
      </c>
      <c r="M936" s="2" t="s">
        <v>74</v>
      </c>
      <c r="N936" s="2" t="s">
        <v>74</v>
      </c>
      <c r="O936" s="2" t="s">
        <v>74</v>
      </c>
      <c r="P936" s="2" t="s">
        <v>74</v>
      </c>
      <c r="Q936" s="2" t="s">
        <v>74</v>
      </c>
      <c r="R936" s="2" t="s">
        <v>74</v>
      </c>
      <c r="S936" s="2" t="s">
        <v>74</v>
      </c>
      <c r="T936" s="2" t="s">
        <v>74</v>
      </c>
      <c r="U936" s="2" t="s">
        <v>74</v>
      </c>
      <c r="V936" s="5" t="s">
        <v>8159</v>
      </c>
      <c r="W936" s="2" t="s">
        <v>74</v>
      </c>
      <c r="X936" s="2" t="s">
        <v>74</v>
      </c>
      <c r="Y936" s="2" t="s">
        <v>74</v>
      </c>
      <c r="Z936" s="2" t="s">
        <v>74</v>
      </c>
      <c r="AA936" s="2" t="s">
        <v>74</v>
      </c>
      <c r="AB936" s="2" t="s">
        <v>74</v>
      </c>
      <c r="AC936" s="2" t="s">
        <v>74</v>
      </c>
      <c r="AD936" s="2" t="s">
        <v>74</v>
      </c>
      <c r="AE936" s="2" t="s">
        <v>74</v>
      </c>
      <c r="AF936" s="2" t="s">
        <v>74</v>
      </c>
      <c r="AG936" s="2" t="s">
        <v>74</v>
      </c>
      <c r="AH936" s="2" t="s">
        <v>74</v>
      </c>
      <c r="AI936" s="2" t="s">
        <v>74</v>
      </c>
      <c r="AJ936" s="2" t="s">
        <v>74</v>
      </c>
      <c r="AK936" s="2" t="s">
        <v>74</v>
      </c>
      <c r="AL936" s="2" t="s">
        <v>74</v>
      </c>
      <c r="AM936" s="2" t="s">
        <v>74</v>
      </c>
      <c r="AN936" s="2" t="s">
        <v>74</v>
      </c>
      <c r="AO936" s="2" t="s">
        <v>778</v>
      </c>
      <c r="AP936" s="2" t="s">
        <v>779</v>
      </c>
      <c r="AQ936" s="2" t="s">
        <v>74</v>
      </c>
      <c r="AR936" s="2" t="s">
        <v>74</v>
      </c>
      <c r="AS936" s="2" t="s">
        <v>74</v>
      </c>
      <c r="AT936" s="2" t="s">
        <v>102</v>
      </c>
      <c r="AU936" s="2">
        <v>2010</v>
      </c>
      <c r="AV936" s="2">
        <v>56</v>
      </c>
      <c r="AW936" s="2">
        <v>3</v>
      </c>
      <c r="AX936" s="2" t="s">
        <v>74</v>
      </c>
      <c r="AY936" s="2" t="s">
        <v>74</v>
      </c>
      <c r="AZ936" s="2" t="s">
        <v>848</v>
      </c>
      <c r="BA936" s="2" t="s">
        <v>74</v>
      </c>
      <c r="BB936" s="2">
        <v>343</v>
      </c>
      <c r="BC936" s="2">
        <v>357</v>
      </c>
      <c r="BD936" s="2" t="s">
        <v>74</v>
      </c>
      <c r="BE936" s="2" t="s">
        <v>8160</v>
      </c>
      <c r="BF936" s="2" t="str">
        <f>HYPERLINK("http://dx.doi.org/10.1093/czoolo/56.3.343","http://dx.doi.org/10.1093/czoolo/56.3.343")</f>
        <v>http://dx.doi.org/10.1093/czoolo/56.3.343</v>
      </c>
      <c r="BG936" s="2" t="s">
        <v>74</v>
      </c>
      <c r="BH936" s="2" t="s">
        <v>74</v>
      </c>
      <c r="BI936" s="2" t="s">
        <v>74</v>
      </c>
      <c r="BJ936" s="2" t="s">
        <v>74</v>
      </c>
      <c r="BK936" s="2" t="s">
        <v>74</v>
      </c>
      <c r="BL936" s="2" t="s">
        <v>74</v>
      </c>
      <c r="BM936" s="2" t="s">
        <v>74</v>
      </c>
      <c r="BN936" s="2" t="s">
        <v>74</v>
      </c>
      <c r="BO936" s="2" t="s">
        <v>74</v>
      </c>
      <c r="BP936" s="2" t="s">
        <v>74</v>
      </c>
      <c r="BQ936" s="2" t="s">
        <v>74</v>
      </c>
      <c r="BR936" s="2" t="s">
        <v>74</v>
      </c>
      <c r="BS936" s="2" t="s">
        <v>8161</v>
      </c>
      <c r="BT936" s="2" t="str">
        <f>HYPERLINK("https%3A%2F%2Fwww.webofscience.com%2Fwos%2Fwoscc%2Ffull-record%2FWOS:000278715600009","View Full Record in Web of Science")</f>
        <v>View Full Record in Web of Science</v>
      </c>
    </row>
    <row r="937" spans="1:72" s="2" customFormat="1" x14ac:dyDescent="0.4">
      <c r="A937" s="2" t="s">
        <v>72</v>
      </c>
      <c r="B937" s="2" t="s">
        <v>1663</v>
      </c>
      <c r="C937" s="2" t="s">
        <v>74</v>
      </c>
      <c r="D937" s="2" t="s">
        <v>74</v>
      </c>
      <c r="E937" s="2" t="s">
        <v>74</v>
      </c>
      <c r="F937" s="2" t="s">
        <v>1664</v>
      </c>
      <c r="G937" s="2" t="s">
        <v>74</v>
      </c>
      <c r="H937" s="2" t="s">
        <v>74</v>
      </c>
      <c r="I937" s="2" t="s">
        <v>1665</v>
      </c>
      <c r="J937" s="2" t="s">
        <v>229</v>
      </c>
      <c r="K937" s="2" t="s">
        <v>74</v>
      </c>
      <c r="L937" s="2" t="s">
        <v>74</v>
      </c>
      <c r="M937" s="2" t="s">
        <v>74</v>
      </c>
      <c r="N937" s="2" t="s">
        <v>74</v>
      </c>
      <c r="O937" s="2" t="s">
        <v>74</v>
      </c>
      <c r="P937" s="2" t="s">
        <v>74</v>
      </c>
      <c r="Q937" s="2" t="s">
        <v>74</v>
      </c>
      <c r="R937" s="2" t="s">
        <v>74</v>
      </c>
      <c r="S937" s="2" t="s">
        <v>74</v>
      </c>
      <c r="T937" s="2" t="s">
        <v>74</v>
      </c>
      <c r="U937" s="2" t="s">
        <v>74</v>
      </c>
      <c r="V937" s="5" t="s">
        <v>1666</v>
      </c>
      <c r="W937" s="2" t="s">
        <v>74</v>
      </c>
      <c r="X937" s="2" t="s">
        <v>74</v>
      </c>
      <c r="Y937" s="2" t="s">
        <v>74</v>
      </c>
      <c r="Z937" s="2" t="s">
        <v>74</v>
      </c>
      <c r="AA937" s="2" t="s">
        <v>1667</v>
      </c>
      <c r="AB937" s="2" t="s">
        <v>1668</v>
      </c>
      <c r="AC937" s="2" t="s">
        <v>74</v>
      </c>
      <c r="AD937" s="2" t="s">
        <v>74</v>
      </c>
      <c r="AE937" s="2" t="s">
        <v>74</v>
      </c>
      <c r="AF937" s="2" t="s">
        <v>74</v>
      </c>
      <c r="AG937" s="2" t="s">
        <v>74</v>
      </c>
      <c r="AH937" s="2" t="s">
        <v>74</v>
      </c>
      <c r="AI937" s="2" t="s">
        <v>74</v>
      </c>
      <c r="AJ937" s="2" t="s">
        <v>74</v>
      </c>
      <c r="AK937" s="2" t="s">
        <v>74</v>
      </c>
      <c r="AL937" s="2" t="s">
        <v>74</v>
      </c>
      <c r="AM937" s="2" t="s">
        <v>74</v>
      </c>
      <c r="AN937" s="2" t="s">
        <v>74</v>
      </c>
      <c r="AO937" s="2" t="s">
        <v>233</v>
      </c>
      <c r="AP937" s="2" t="s">
        <v>234</v>
      </c>
      <c r="AQ937" s="2" t="s">
        <v>74</v>
      </c>
      <c r="AR937" s="2" t="s">
        <v>74</v>
      </c>
      <c r="AS937" s="2" t="s">
        <v>74</v>
      </c>
      <c r="AT937" s="2" t="s">
        <v>808</v>
      </c>
      <c r="AU937" s="2">
        <v>2009</v>
      </c>
      <c r="AV937" s="2">
        <v>35</v>
      </c>
      <c r="AW937" s="2">
        <v>3</v>
      </c>
      <c r="AX937" s="2" t="s">
        <v>74</v>
      </c>
      <c r="AY937" s="2" t="s">
        <v>74</v>
      </c>
      <c r="AZ937" s="2" t="s">
        <v>74</v>
      </c>
      <c r="BA937" s="2" t="s">
        <v>74</v>
      </c>
      <c r="BB937" s="2">
        <v>274</v>
      </c>
      <c r="BC937" s="2">
        <v>283</v>
      </c>
      <c r="BD937" s="2" t="s">
        <v>74</v>
      </c>
      <c r="BE937" s="2" t="s">
        <v>1669</v>
      </c>
      <c r="BF937" s="2" t="str">
        <f>HYPERLINK("http://dx.doi.org/10.1002/ab.20305","http://dx.doi.org/10.1002/ab.20305")</f>
        <v>http://dx.doi.org/10.1002/ab.20305</v>
      </c>
      <c r="BG937" s="2" t="s">
        <v>74</v>
      </c>
      <c r="BH937" s="2" t="s">
        <v>74</v>
      </c>
      <c r="BI937" s="2" t="s">
        <v>74</v>
      </c>
      <c r="BJ937" s="2" t="s">
        <v>74</v>
      </c>
      <c r="BK937" s="2" t="s">
        <v>74</v>
      </c>
      <c r="BL937" s="2" t="s">
        <v>74</v>
      </c>
      <c r="BM937" s="2" t="s">
        <v>74</v>
      </c>
      <c r="BN937" s="2">
        <v>19291744</v>
      </c>
      <c r="BO937" s="2" t="s">
        <v>74</v>
      </c>
      <c r="BP937" s="2" t="s">
        <v>74</v>
      </c>
      <c r="BQ937" s="2" t="s">
        <v>74</v>
      </c>
      <c r="BR937" s="2" t="s">
        <v>74</v>
      </c>
      <c r="BS937" s="2" t="s">
        <v>1670</v>
      </c>
      <c r="BT937" s="2" t="str">
        <f>HYPERLINK("https%3A%2F%2Fwww.webofscience.com%2Fwos%2Fwoscc%2Ffull-record%2FWOS:000265331000006","View Full Record in Web of Science")</f>
        <v>View Full Record in Web of Science</v>
      </c>
    </row>
    <row r="938" spans="1:72" s="2" customFormat="1" x14ac:dyDescent="0.4">
      <c r="A938" s="2" t="s">
        <v>72</v>
      </c>
      <c r="B938" s="2" t="s">
        <v>5122</v>
      </c>
      <c r="C938" s="2" t="s">
        <v>74</v>
      </c>
      <c r="D938" s="2" t="s">
        <v>74</v>
      </c>
      <c r="E938" s="2" t="s">
        <v>74</v>
      </c>
      <c r="F938" s="2" t="s">
        <v>5122</v>
      </c>
      <c r="G938" s="2" t="s">
        <v>74</v>
      </c>
      <c r="H938" s="2" t="s">
        <v>74</v>
      </c>
      <c r="I938" s="2" t="s">
        <v>5123</v>
      </c>
      <c r="J938" s="2" t="s">
        <v>2207</v>
      </c>
      <c r="K938" s="2" t="s">
        <v>74</v>
      </c>
      <c r="L938" s="2" t="s">
        <v>74</v>
      </c>
      <c r="M938" s="2" t="s">
        <v>74</v>
      </c>
      <c r="N938" s="2" t="s">
        <v>74</v>
      </c>
      <c r="O938" s="2" t="s">
        <v>74</v>
      </c>
      <c r="P938" s="2" t="s">
        <v>74</v>
      </c>
      <c r="Q938" s="2" t="s">
        <v>74</v>
      </c>
      <c r="R938" s="2" t="s">
        <v>74</v>
      </c>
      <c r="S938" s="2" t="s">
        <v>74</v>
      </c>
      <c r="T938" s="2" t="s">
        <v>74</v>
      </c>
      <c r="U938" s="2" t="s">
        <v>74</v>
      </c>
      <c r="V938" s="5" t="s">
        <v>5124</v>
      </c>
      <c r="W938" s="2" t="s">
        <v>74</v>
      </c>
      <c r="X938" s="2" t="s">
        <v>74</v>
      </c>
      <c r="Y938" s="2" t="s">
        <v>74</v>
      </c>
      <c r="Z938" s="2" t="s">
        <v>74</v>
      </c>
      <c r="AA938" s="2" t="s">
        <v>74</v>
      </c>
      <c r="AB938" s="2" t="s">
        <v>74</v>
      </c>
      <c r="AC938" s="2" t="s">
        <v>74</v>
      </c>
      <c r="AD938" s="2" t="s">
        <v>74</v>
      </c>
      <c r="AE938" s="2" t="s">
        <v>74</v>
      </c>
      <c r="AF938" s="2" t="s">
        <v>74</v>
      </c>
      <c r="AG938" s="2" t="s">
        <v>74</v>
      </c>
      <c r="AH938" s="2" t="s">
        <v>74</v>
      </c>
      <c r="AI938" s="2" t="s">
        <v>74</v>
      </c>
      <c r="AJ938" s="2" t="s">
        <v>74</v>
      </c>
      <c r="AK938" s="2" t="s">
        <v>74</v>
      </c>
      <c r="AL938" s="2" t="s">
        <v>74</v>
      </c>
      <c r="AM938" s="2" t="s">
        <v>74</v>
      </c>
      <c r="AN938" s="2" t="s">
        <v>74</v>
      </c>
      <c r="AO938" s="2" t="s">
        <v>2211</v>
      </c>
      <c r="AP938" s="2" t="s">
        <v>2461</v>
      </c>
      <c r="AQ938" s="2" t="s">
        <v>74</v>
      </c>
      <c r="AR938" s="2" t="s">
        <v>74</v>
      </c>
      <c r="AS938" s="2" t="s">
        <v>74</v>
      </c>
      <c r="AT938" s="2" t="s">
        <v>352</v>
      </c>
      <c r="AU938" s="2">
        <v>1997</v>
      </c>
      <c r="AV938" s="2">
        <v>28</v>
      </c>
      <c r="AW938" s="2">
        <v>3</v>
      </c>
      <c r="AX938" s="2" t="s">
        <v>74</v>
      </c>
      <c r="AY938" s="2" t="s">
        <v>74</v>
      </c>
      <c r="AZ938" s="2" t="s">
        <v>74</v>
      </c>
      <c r="BA938" s="2" t="s">
        <v>74</v>
      </c>
      <c r="BB938" s="2">
        <v>259</v>
      </c>
      <c r="BC938" s="2">
        <v>263</v>
      </c>
      <c r="BD938" s="2" t="s">
        <v>74</v>
      </c>
      <c r="BE938" s="2" t="s">
        <v>5125</v>
      </c>
      <c r="BF938" s="2" t="str">
        <f>HYPERLINK("http://dx.doi.org/10.2307/3676978","http://dx.doi.org/10.2307/3676978")</f>
        <v>http://dx.doi.org/10.2307/3676978</v>
      </c>
      <c r="BG938" s="2" t="s">
        <v>74</v>
      </c>
      <c r="BH938" s="2" t="s">
        <v>74</v>
      </c>
      <c r="BI938" s="2" t="s">
        <v>74</v>
      </c>
      <c r="BJ938" s="2" t="s">
        <v>74</v>
      </c>
      <c r="BK938" s="2" t="s">
        <v>74</v>
      </c>
      <c r="BL938" s="2" t="s">
        <v>74</v>
      </c>
      <c r="BM938" s="2" t="s">
        <v>74</v>
      </c>
      <c r="BN938" s="2" t="s">
        <v>74</v>
      </c>
      <c r="BO938" s="2" t="s">
        <v>74</v>
      </c>
      <c r="BP938" s="2" t="s">
        <v>74</v>
      </c>
      <c r="BQ938" s="2" t="s">
        <v>74</v>
      </c>
      <c r="BR938" s="2" t="s">
        <v>74</v>
      </c>
      <c r="BS938" s="2" t="s">
        <v>5126</v>
      </c>
      <c r="BT938" s="2" t="str">
        <f>HYPERLINK("https%3A%2F%2Fwww.webofscience.com%2Fwos%2Fwoscc%2Ffull-record%2FWOS:A1997XX48100010","View Full Record in Web of Science")</f>
        <v>View Full Record in Web of Science</v>
      </c>
    </row>
    <row r="939" spans="1:72" s="2" customFormat="1" x14ac:dyDescent="0.4">
      <c r="A939" s="2" t="s">
        <v>72</v>
      </c>
      <c r="B939" s="2" t="s">
        <v>5234</v>
      </c>
      <c r="C939" s="2" t="s">
        <v>74</v>
      </c>
      <c r="D939" s="2" t="s">
        <v>74</v>
      </c>
      <c r="E939" s="2" t="s">
        <v>74</v>
      </c>
      <c r="F939" s="2" t="s">
        <v>5234</v>
      </c>
      <c r="G939" s="2" t="s">
        <v>74</v>
      </c>
      <c r="H939" s="2" t="s">
        <v>74</v>
      </c>
      <c r="I939" s="2" t="s">
        <v>5235</v>
      </c>
      <c r="J939" s="2" t="s">
        <v>140</v>
      </c>
      <c r="K939" s="2" t="s">
        <v>74</v>
      </c>
      <c r="L939" s="2" t="s">
        <v>74</v>
      </c>
      <c r="M939" s="2" t="s">
        <v>74</v>
      </c>
      <c r="N939" s="2" t="s">
        <v>74</v>
      </c>
      <c r="O939" s="2" t="s">
        <v>74</v>
      </c>
      <c r="P939" s="2" t="s">
        <v>74</v>
      </c>
      <c r="Q939" s="2" t="s">
        <v>74</v>
      </c>
      <c r="R939" s="2" t="s">
        <v>74</v>
      </c>
      <c r="S939" s="2" t="s">
        <v>74</v>
      </c>
      <c r="T939" s="2" t="s">
        <v>74</v>
      </c>
      <c r="U939" s="2" t="s">
        <v>74</v>
      </c>
      <c r="V939" s="5" t="s">
        <v>74</v>
      </c>
      <c r="W939" s="2" t="s">
        <v>74</v>
      </c>
      <c r="X939" s="2" t="s">
        <v>74</v>
      </c>
      <c r="Y939" s="2" t="s">
        <v>74</v>
      </c>
      <c r="Z939" s="2" t="s">
        <v>74</v>
      </c>
      <c r="AA939" s="2" t="s">
        <v>74</v>
      </c>
      <c r="AB939" s="2" t="s">
        <v>74</v>
      </c>
      <c r="AC939" s="2" t="s">
        <v>74</v>
      </c>
      <c r="AD939" s="2" t="s">
        <v>74</v>
      </c>
      <c r="AE939" s="2" t="s">
        <v>74</v>
      </c>
      <c r="AF939" s="2" t="s">
        <v>74</v>
      </c>
      <c r="AG939" s="2" t="s">
        <v>74</v>
      </c>
      <c r="AH939" s="2" t="s">
        <v>74</v>
      </c>
      <c r="AI939" s="2" t="s">
        <v>74</v>
      </c>
      <c r="AJ939" s="2" t="s">
        <v>74</v>
      </c>
      <c r="AK939" s="2" t="s">
        <v>74</v>
      </c>
      <c r="AL939" s="2" t="s">
        <v>74</v>
      </c>
      <c r="AM939" s="2" t="s">
        <v>74</v>
      </c>
      <c r="AN939" s="2" t="s">
        <v>74</v>
      </c>
      <c r="AO939" s="2" t="s">
        <v>143</v>
      </c>
      <c r="AP939" s="2" t="s">
        <v>74</v>
      </c>
      <c r="AQ939" s="2" t="s">
        <v>74</v>
      </c>
      <c r="AR939" s="2" t="s">
        <v>74</v>
      </c>
      <c r="AS939" s="2" t="s">
        <v>74</v>
      </c>
      <c r="AT939" s="2" t="s">
        <v>145</v>
      </c>
      <c r="AU939" s="2">
        <v>1992</v>
      </c>
      <c r="AV939" s="2">
        <v>44</v>
      </c>
      <c r="AW939" s="2">
        <v>2</v>
      </c>
      <c r="AX939" s="2" t="s">
        <v>74</v>
      </c>
      <c r="AY939" s="2" t="s">
        <v>74</v>
      </c>
      <c r="AZ939" s="2" t="s">
        <v>74</v>
      </c>
      <c r="BA939" s="2" t="s">
        <v>74</v>
      </c>
      <c r="BB939" s="2">
        <v>293</v>
      </c>
      <c r="BC939" s="2">
        <v>299</v>
      </c>
      <c r="BD939" s="2" t="s">
        <v>74</v>
      </c>
      <c r="BE939" s="2" t="s">
        <v>5236</v>
      </c>
      <c r="BF939" s="2" t="str">
        <f>HYPERLINK("http://dx.doi.org/10.1016/0003-3472(92)90035-8","http://dx.doi.org/10.1016/0003-3472(92)90035-8")</f>
        <v>http://dx.doi.org/10.1016/0003-3472(92)90035-8</v>
      </c>
      <c r="BG939" s="2" t="s">
        <v>74</v>
      </c>
      <c r="BH939" s="2" t="s">
        <v>74</v>
      </c>
      <c r="BI939" s="2" t="s">
        <v>74</v>
      </c>
      <c r="BJ939" s="2" t="s">
        <v>74</v>
      </c>
      <c r="BK939" s="2" t="s">
        <v>74</v>
      </c>
      <c r="BL939" s="2" t="s">
        <v>74</v>
      </c>
      <c r="BM939" s="2" t="s">
        <v>74</v>
      </c>
      <c r="BN939" s="2" t="s">
        <v>74</v>
      </c>
      <c r="BO939" s="2" t="s">
        <v>74</v>
      </c>
      <c r="BP939" s="2" t="s">
        <v>74</v>
      </c>
      <c r="BQ939" s="2" t="s">
        <v>74</v>
      </c>
      <c r="BR939" s="2" t="s">
        <v>74</v>
      </c>
      <c r="BS939" s="2" t="s">
        <v>5237</v>
      </c>
      <c r="BT939" s="2" t="str">
        <f>HYPERLINK("https%3A%2F%2Fwww.webofscience.com%2Fwos%2Fwoscc%2Ffull-record%2FWOS:A1992JK06900011","View Full Record in Web of Science")</f>
        <v>View Full Record in Web of Science</v>
      </c>
    </row>
    <row r="940" spans="1:72" s="2" customFormat="1" x14ac:dyDescent="0.4">
      <c r="A940" s="2" t="s">
        <v>72</v>
      </c>
      <c r="B940" s="2" t="s">
        <v>8346</v>
      </c>
      <c r="C940" s="2" t="s">
        <v>74</v>
      </c>
      <c r="D940" s="2" t="s">
        <v>74</v>
      </c>
      <c r="E940" s="2" t="s">
        <v>74</v>
      </c>
      <c r="F940" s="2" t="s">
        <v>8347</v>
      </c>
      <c r="G940" s="2" t="s">
        <v>74</v>
      </c>
      <c r="H940" s="2" t="s">
        <v>74</v>
      </c>
      <c r="I940" s="2" t="s">
        <v>8348</v>
      </c>
      <c r="J940" s="2" t="s">
        <v>129</v>
      </c>
      <c r="K940" s="2" t="s">
        <v>74</v>
      </c>
      <c r="L940" s="2" t="s">
        <v>74</v>
      </c>
      <c r="M940" s="2" t="s">
        <v>74</v>
      </c>
      <c r="N940" s="2" t="s">
        <v>74</v>
      </c>
      <c r="O940" s="2" t="s">
        <v>74</v>
      </c>
      <c r="P940" s="2" t="s">
        <v>74</v>
      </c>
      <c r="Q940" s="2" t="s">
        <v>74</v>
      </c>
      <c r="R940" s="2" t="s">
        <v>74</v>
      </c>
      <c r="S940" s="2" t="s">
        <v>74</v>
      </c>
      <c r="T940" s="2" t="s">
        <v>74</v>
      </c>
      <c r="U940" s="2" t="s">
        <v>74</v>
      </c>
      <c r="V940" s="5" t="s">
        <v>8349</v>
      </c>
      <c r="W940" s="2" t="s">
        <v>74</v>
      </c>
      <c r="X940" s="2" t="s">
        <v>74</v>
      </c>
      <c r="Y940" s="2" t="s">
        <v>74</v>
      </c>
      <c r="Z940" s="2" t="s">
        <v>74</v>
      </c>
      <c r="AA940" s="2" t="s">
        <v>74</v>
      </c>
      <c r="AB940" s="2" t="s">
        <v>74</v>
      </c>
      <c r="AC940" s="2" t="s">
        <v>74</v>
      </c>
      <c r="AD940" s="2" t="s">
        <v>74</v>
      </c>
      <c r="AE940" s="2" t="s">
        <v>74</v>
      </c>
      <c r="AF940" s="2" t="s">
        <v>74</v>
      </c>
      <c r="AG940" s="2" t="s">
        <v>74</v>
      </c>
      <c r="AH940" s="2" t="s">
        <v>74</v>
      </c>
      <c r="AI940" s="2" t="s">
        <v>74</v>
      </c>
      <c r="AJ940" s="2" t="s">
        <v>74</v>
      </c>
      <c r="AK940" s="2" t="s">
        <v>74</v>
      </c>
      <c r="AL940" s="2" t="s">
        <v>74</v>
      </c>
      <c r="AM940" s="2" t="s">
        <v>74</v>
      </c>
      <c r="AN940" s="2" t="s">
        <v>74</v>
      </c>
      <c r="AO940" s="2" t="s">
        <v>132</v>
      </c>
      <c r="AP940" s="2" t="s">
        <v>74</v>
      </c>
      <c r="AQ940" s="2" t="s">
        <v>74</v>
      </c>
      <c r="AR940" s="2" t="s">
        <v>74</v>
      </c>
      <c r="AS940" s="2" t="s">
        <v>74</v>
      </c>
      <c r="AT940" s="2" t="s">
        <v>204</v>
      </c>
      <c r="AU940" s="2">
        <v>2007</v>
      </c>
      <c r="AV940" s="2">
        <v>61</v>
      </c>
      <c r="AW940" s="2">
        <v>9</v>
      </c>
      <c r="AX940" s="2" t="s">
        <v>74</v>
      </c>
      <c r="AY940" s="2" t="s">
        <v>74</v>
      </c>
      <c r="AZ940" s="2" t="s">
        <v>74</v>
      </c>
      <c r="BA940" s="2" t="s">
        <v>74</v>
      </c>
      <c r="BB940" s="2">
        <v>1359</v>
      </c>
      <c r="BC940" s="2">
        <v>1368</v>
      </c>
      <c r="BD940" s="2" t="s">
        <v>74</v>
      </c>
      <c r="BE940" s="2" t="s">
        <v>8350</v>
      </c>
      <c r="BF940" s="2" t="str">
        <f>HYPERLINK("http://dx.doi.org/10.1007/s00265-007-0366-6","http://dx.doi.org/10.1007/s00265-007-0366-6")</f>
        <v>http://dx.doi.org/10.1007/s00265-007-0366-6</v>
      </c>
      <c r="BG940" s="2" t="s">
        <v>74</v>
      </c>
      <c r="BH940" s="2" t="s">
        <v>74</v>
      </c>
      <c r="BI940" s="2" t="s">
        <v>74</v>
      </c>
      <c r="BJ940" s="2" t="s">
        <v>74</v>
      </c>
      <c r="BK940" s="2" t="s">
        <v>74</v>
      </c>
      <c r="BL940" s="2" t="s">
        <v>74</v>
      </c>
      <c r="BM940" s="2" t="s">
        <v>74</v>
      </c>
      <c r="BN940" s="2" t="s">
        <v>74</v>
      </c>
      <c r="BO940" s="2" t="s">
        <v>74</v>
      </c>
      <c r="BP940" s="2" t="s">
        <v>74</v>
      </c>
      <c r="BQ940" s="2" t="s">
        <v>74</v>
      </c>
      <c r="BR940" s="2" t="s">
        <v>74</v>
      </c>
      <c r="BS940" s="2" t="s">
        <v>8351</v>
      </c>
      <c r="BT940" s="2" t="str">
        <f>HYPERLINK("https%3A%2F%2Fwww.webofscience.com%2Fwos%2Fwoscc%2Ffull-record%2FWOS:000247256000005","View Full Record in Web of Science")</f>
        <v>View Full Record in Web of Science</v>
      </c>
    </row>
    <row r="941" spans="1:72" s="7" customFormat="1" x14ac:dyDescent="0.4">
      <c r="A941" s="2" t="s">
        <v>72</v>
      </c>
      <c r="B941" s="2" t="s">
        <v>8373</v>
      </c>
      <c r="C941" s="2" t="s">
        <v>74</v>
      </c>
      <c r="D941" s="2" t="s">
        <v>74</v>
      </c>
      <c r="E941" s="2" t="s">
        <v>74</v>
      </c>
      <c r="F941" s="2" t="s">
        <v>8373</v>
      </c>
      <c r="G941" s="2" t="s">
        <v>74</v>
      </c>
      <c r="H941" s="2" t="s">
        <v>74</v>
      </c>
      <c r="I941" s="2" t="s">
        <v>8374</v>
      </c>
      <c r="J941" s="2" t="s">
        <v>333</v>
      </c>
      <c r="K941" s="2" t="s">
        <v>74</v>
      </c>
      <c r="L941" s="2" t="s">
        <v>74</v>
      </c>
      <c r="M941" s="2" t="s">
        <v>74</v>
      </c>
      <c r="N941" s="2" t="s">
        <v>74</v>
      </c>
      <c r="O941" s="2" t="s">
        <v>74</v>
      </c>
      <c r="P941" s="2" t="s">
        <v>74</v>
      </c>
      <c r="Q941" s="2" t="s">
        <v>74</v>
      </c>
      <c r="R941" s="2" t="s">
        <v>74</v>
      </c>
      <c r="S941" s="2" t="s">
        <v>74</v>
      </c>
      <c r="T941" s="2" t="s">
        <v>74</v>
      </c>
      <c r="U941" s="2" t="s">
        <v>74</v>
      </c>
      <c r="V941" s="5" t="s">
        <v>8375</v>
      </c>
      <c r="W941" s="2" t="s">
        <v>74</v>
      </c>
      <c r="X941" s="2" t="s">
        <v>74</v>
      </c>
      <c r="Y941" s="2" t="s">
        <v>74</v>
      </c>
      <c r="Z941" s="2" t="s">
        <v>74</v>
      </c>
      <c r="AA941" s="2" t="s">
        <v>8376</v>
      </c>
      <c r="AB941" s="2" t="s">
        <v>1934</v>
      </c>
      <c r="AC941" s="2" t="s">
        <v>74</v>
      </c>
      <c r="AD941" s="2" t="s">
        <v>74</v>
      </c>
      <c r="AE941" s="2" t="s">
        <v>74</v>
      </c>
      <c r="AF941" s="2" t="s">
        <v>74</v>
      </c>
      <c r="AG941" s="2" t="s">
        <v>74</v>
      </c>
      <c r="AH941" s="2" t="s">
        <v>74</v>
      </c>
      <c r="AI941" s="2" t="s">
        <v>74</v>
      </c>
      <c r="AJ941" s="2" t="s">
        <v>74</v>
      </c>
      <c r="AK941" s="2" t="s">
        <v>74</v>
      </c>
      <c r="AL941" s="2" t="s">
        <v>74</v>
      </c>
      <c r="AM941" s="2" t="s">
        <v>74</v>
      </c>
      <c r="AN941" s="2" t="s">
        <v>74</v>
      </c>
      <c r="AO941" s="2" t="s">
        <v>337</v>
      </c>
      <c r="AP941" s="2" t="s">
        <v>338</v>
      </c>
      <c r="AQ941" s="2" t="s">
        <v>74</v>
      </c>
      <c r="AR941" s="2" t="s">
        <v>74</v>
      </c>
      <c r="AS941" s="2" t="s">
        <v>74</v>
      </c>
      <c r="AT941" s="2" t="s">
        <v>3338</v>
      </c>
      <c r="AU941" s="2">
        <v>1996</v>
      </c>
      <c r="AV941" s="2">
        <v>7</v>
      </c>
      <c r="AW941" s="2">
        <v>2</v>
      </c>
      <c r="AX941" s="2" t="s">
        <v>74</v>
      </c>
      <c r="AY941" s="2" t="s">
        <v>74</v>
      </c>
      <c r="AZ941" s="2" t="s">
        <v>74</v>
      </c>
      <c r="BA941" s="2" t="s">
        <v>74</v>
      </c>
      <c r="BB941" s="2">
        <v>145</v>
      </c>
      <c r="BC941" s="2">
        <v>150</v>
      </c>
      <c r="BD941" s="2" t="s">
        <v>74</v>
      </c>
      <c r="BE941" s="2" t="s">
        <v>8377</v>
      </c>
      <c r="BF941" s="2" t="str">
        <f>HYPERLINK("http://dx.doi.org/10.1093/beheco/7.2.145","http://dx.doi.org/10.1093/beheco/7.2.145")</f>
        <v>http://dx.doi.org/10.1093/beheco/7.2.145</v>
      </c>
      <c r="BG941" s="2" t="s">
        <v>74</v>
      </c>
      <c r="BH941" s="2" t="s">
        <v>74</v>
      </c>
      <c r="BI941" s="2" t="s">
        <v>74</v>
      </c>
      <c r="BJ941" s="2" t="s">
        <v>74</v>
      </c>
      <c r="BK941" s="2" t="s">
        <v>74</v>
      </c>
      <c r="BL941" s="2" t="s">
        <v>74</v>
      </c>
      <c r="BM941" s="2" t="s">
        <v>74</v>
      </c>
      <c r="BN941" s="2" t="s">
        <v>74</v>
      </c>
      <c r="BO941" s="2" t="s">
        <v>74</v>
      </c>
      <c r="BP941" s="2" t="s">
        <v>74</v>
      </c>
      <c r="BQ941" s="2" t="s">
        <v>74</v>
      </c>
      <c r="BR941" s="2" t="s">
        <v>74</v>
      </c>
      <c r="BS941" s="2" t="s">
        <v>8378</v>
      </c>
      <c r="BT941" s="2" t="str">
        <f>HYPERLINK("https%3A%2F%2Fwww.webofscience.com%2Fwos%2Fwoscc%2Ffull-record%2FWOS:A1996UK92900006","View Full Record in Web of Science")</f>
        <v>View Full Record in Web of Science</v>
      </c>
    </row>
    <row r="942" spans="1:72" s="1" customFormat="1" x14ac:dyDescent="0.4">
      <c r="A942" s="2" t="s">
        <v>72</v>
      </c>
      <c r="B942" s="2" t="s">
        <v>4262</v>
      </c>
      <c r="C942" s="2" t="s">
        <v>74</v>
      </c>
      <c r="D942" s="2" t="s">
        <v>74</v>
      </c>
      <c r="E942" s="2" t="s">
        <v>74</v>
      </c>
      <c r="F942" s="2" t="s">
        <v>4263</v>
      </c>
      <c r="G942" s="2" t="s">
        <v>74</v>
      </c>
      <c r="H942" s="2" t="s">
        <v>74</v>
      </c>
      <c r="I942" s="2" t="s">
        <v>4264</v>
      </c>
      <c r="J942" s="2" t="s">
        <v>241</v>
      </c>
      <c r="K942" s="2" t="s">
        <v>74</v>
      </c>
      <c r="L942" s="2" t="s">
        <v>74</v>
      </c>
      <c r="M942" s="2" t="s">
        <v>74</v>
      </c>
      <c r="N942" s="2" t="s">
        <v>74</v>
      </c>
      <c r="O942" s="2" t="s">
        <v>74</v>
      </c>
      <c r="P942" s="2" t="s">
        <v>74</v>
      </c>
      <c r="Q942" s="2" t="s">
        <v>74</v>
      </c>
      <c r="R942" s="2" t="s">
        <v>74</v>
      </c>
      <c r="S942" s="2" t="s">
        <v>74</v>
      </c>
      <c r="T942" s="2" t="s">
        <v>74</v>
      </c>
      <c r="U942" s="2" t="s">
        <v>74</v>
      </c>
      <c r="V942" s="5" t="s">
        <v>4265</v>
      </c>
      <c r="W942" s="2" t="s">
        <v>74</v>
      </c>
      <c r="X942" s="2" t="s">
        <v>74</v>
      </c>
      <c r="Y942" s="2" t="s">
        <v>74</v>
      </c>
      <c r="Z942" s="2" t="s">
        <v>74</v>
      </c>
      <c r="AA942" s="2" t="s">
        <v>4266</v>
      </c>
      <c r="AB942" s="2" t="s">
        <v>4267</v>
      </c>
      <c r="AC942" s="2" t="s">
        <v>74</v>
      </c>
      <c r="AD942" s="2" t="s">
        <v>74</v>
      </c>
      <c r="AE942" s="2" t="s">
        <v>74</v>
      </c>
      <c r="AF942" s="2" t="s">
        <v>74</v>
      </c>
      <c r="AG942" s="2" t="s">
        <v>74</v>
      </c>
      <c r="AH942" s="2" t="s">
        <v>74</v>
      </c>
      <c r="AI942" s="2" t="s">
        <v>74</v>
      </c>
      <c r="AJ942" s="2" t="s">
        <v>74</v>
      </c>
      <c r="AK942" s="2" t="s">
        <v>74</v>
      </c>
      <c r="AL942" s="2" t="s">
        <v>74</v>
      </c>
      <c r="AM942" s="2" t="s">
        <v>74</v>
      </c>
      <c r="AN942" s="2" t="s">
        <v>74</v>
      </c>
      <c r="AO942" s="2" t="s">
        <v>245</v>
      </c>
      <c r="AP942" s="2" t="s">
        <v>246</v>
      </c>
      <c r="AQ942" s="2" t="s">
        <v>74</v>
      </c>
      <c r="AR942" s="2" t="s">
        <v>74</v>
      </c>
      <c r="AS942" s="2" t="s">
        <v>74</v>
      </c>
      <c r="AT942" s="2" t="s">
        <v>255</v>
      </c>
      <c r="AU942" s="2">
        <v>2013</v>
      </c>
      <c r="AV942" s="2">
        <v>171</v>
      </c>
      <c r="AW942" s="2">
        <v>1</v>
      </c>
      <c r="AX942" s="2" t="s">
        <v>74</v>
      </c>
      <c r="AY942" s="2" t="s">
        <v>74</v>
      </c>
      <c r="AZ942" s="2" t="s">
        <v>74</v>
      </c>
      <c r="BA942" s="2" t="s">
        <v>74</v>
      </c>
      <c r="BB942" s="2">
        <v>105</v>
      </c>
      <c r="BC942" s="2">
        <v>113</v>
      </c>
      <c r="BD942" s="2" t="s">
        <v>74</v>
      </c>
      <c r="BE942" s="2" t="s">
        <v>4268</v>
      </c>
      <c r="BF942" s="2" t="str">
        <f>HYPERLINK("http://dx.doi.org/10.1007/s00442-012-2388-7","http://dx.doi.org/10.1007/s00442-012-2388-7")</f>
        <v>http://dx.doi.org/10.1007/s00442-012-2388-7</v>
      </c>
      <c r="BG942" s="2" t="s">
        <v>74</v>
      </c>
      <c r="BH942" s="2" t="s">
        <v>74</v>
      </c>
      <c r="BI942" s="2" t="s">
        <v>74</v>
      </c>
      <c r="BJ942" s="2" t="s">
        <v>74</v>
      </c>
      <c r="BK942" s="2" t="s">
        <v>74</v>
      </c>
      <c r="BL942" s="2" t="s">
        <v>74</v>
      </c>
      <c r="BM942" s="2" t="s">
        <v>74</v>
      </c>
      <c r="BN942" s="2">
        <v>22710614</v>
      </c>
      <c r="BO942" s="2" t="s">
        <v>74</v>
      </c>
      <c r="BP942" s="2" t="s">
        <v>74</v>
      </c>
      <c r="BQ942" s="2" t="s">
        <v>74</v>
      </c>
      <c r="BR942" s="2" t="s">
        <v>74</v>
      </c>
      <c r="BS942" s="2" t="s">
        <v>4269</v>
      </c>
      <c r="BT942" s="2" t="str">
        <f>HYPERLINK("https%3A%2F%2Fwww.webofscience.com%2Fwos%2Fwoscc%2Ffull-record%2FWOS:000313079100010","View Full Record in Web of Science")</f>
        <v>View Full Record in Web of Science</v>
      </c>
    </row>
    <row r="943" spans="1:72" s="2" customFormat="1" x14ac:dyDescent="0.4">
      <c r="A943" s="2" t="s">
        <v>72</v>
      </c>
      <c r="B943" s="2" t="s">
        <v>6284</v>
      </c>
      <c r="C943" s="2" t="s">
        <v>74</v>
      </c>
      <c r="D943" s="2" t="s">
        <v>74</v>
      </c>
      <c r="E943" s="2" t="s">
        <v>74</v>
      </c>
      <c r="F943" s="2" t="s">
        <v>6285</v>
      </c>
      <c r="G943" s="2" t="s">
        <v>74</v>
      </c>
      <c r="H943" s="2" t="s">
        <v>74</v>
      </c>
      <c r="I943" s="2" t="s">
        <v>6286</v>
      </c>
      <c r="J943" s="2" t="s">
        <v>1656</v>
      </c>
      <c r="K943" s="2" t="s">
        <v>74</v>
      </c>
      <c r="L943" s="2" t="s">
        <v>74</v>
      </c>
      <c r="M943" s="2" t="s">
        <v>74</v>
      </c>
      <c r="N943" s="2" t="s">
        <v>74</v>
      </c>
      <c r="O943" s="2" t="s">
        <v>74</v>
      </c>
      <c r="P943" s="2" t="s">
        <v>74</v>
      </c>
      <c r="Q943" s="2" t="s">
        <v>74</v>
      </c>
      <c r="R943" s="2" t="s">
        <v>74</v>
      </c>
      <c r="S943" s="2" t="s">
        <v>74</v>
      </c>
      <c r="T943" s="2" t="s">
        <v>74</v>
      </c>
      <c r="U943" s="2" t="s">
        <v>74</v>
      </c>
      <c r="V943" s="5" t="s">
        <v>6287</v>
      </c>
      <c r="W943" s="2" t="s">
        <v>74</v>
      </c>
      <c r="X943" s="2" t="s">
        <v>74</v>
      </c>
      <c r="Y943" s="2" t="s">
        <v>74</v>
      </c>
      <c r="Z943" s="2" t="s">
        <v>74</v>
      </c>
      <c r="AA943" s="2" t="s">
        <v>74</v>
      </c>
      <c r="AB943" s="2" t="s">
        <v>74</v>
      </c>
      <c r="AC943" s="2" t="s">
        <v>74</v>
      </c>
      <c r="AD943" s="2" t="s">
        <v>74</v>
      </c>
      <c r="AE943" s="2" t="s">
        <v>74</v>
      </c>
      <c r="AF943" s="2" t="s">
        <v>74</v>
      </c>
      <c r="AG943" s="2" t="s">
        <v>74</v>
      </c>
      <c r="AH943" s="2" t="s">
        <v>74</v>
      </c>
      <c r="AI943" s="2" t="s">
        <v>74</v>
      </c>
      <c r="AJ943" s="2" t="s">
        <v>74</v>
      </c>
      <c r="AK943" s="2" t="s">
        <v>74</v>
      </c>
      <c r="AL943" s="2" t="s">
        <v>74</v>
      </c>
      <c r="AM943" s="2" t="s">
        <v>74</v>
      </c>
      <c r="AN943" s="2" t="s">
        <v>74</v>
      </c>
      <c r="AO943" s="2" t="s">
        <v>1658</v>
      </c>
      <c r="AP943" s="2" t="s">
        <v>1659</v>
      </c>
      <c r="AQ943" s="2" t="s">
        <v>74</v>
      </c>
      <c r="AR943" s="2" t="s">
        <v>74</v>
      </c>
      <c r="AS943" s="2" t="s">
        <v>74</v>
      </c>
      <c r="AT943" s="2" t="s">
        <v>6288</v>
      </c>
      <c r="AU943" s="2">
        <v>2010</v>
      </c>
      <c r="AV943" s="2" t="s">
        <v>74</v>
      </c>
      <c r="AW943" s="2">
        <v>2355</v>
      </c>
      <c r="AX943" s="2" t="s">
        <v>74</v>
      </c>
      <c r="AY943" s="2" t="s">
        <v>74</v>
      </c>
      <c r="AZ943" s="2" t="s">
        <v>74</v>
      </c>
      <c r="BA943" s="2" t="s">
        <v>74</v>
      </c>
      <c r="BB943" s="2">
        <v>56</v>
      </c>
      <c r="BC943" s="2">
        <v>68</v>
      </c>
      <c r="BD943" s="2" t="s">
        <v>74</v>
      </c>
      <c r="BE943" s="2" t="s">
        <v>74</v>
      </c>
      <c r="BF943" s="2" t="s">
        <v>74</v>
      </c>
      <c r="BG943" s="2" t="s">
        <v>74</v>
      </c>
      <c r="BH943" s="2" t="s">
        <v>74</v>
      </c>
      <c r="BI943" s="2" t="s">
        <v>74</v>
      </c>
      <c r="BJ943" s="2" t="s">
        <v>74</v>
      </c>
      <c r="BK943" s="2" t="s">
        <v>74</v>
      </c>
      <c r="BL943" s="2" t="s">
        <v>74</v>
      </c>
      <c r="BM943" s="2" t="s">
        <v>74</v>
      </c>
      <c r="BN943" s="2" t="s">
        <v>74</v>
      </c>
      <c r="BO943" s="2" t="s">
        <v>74</v>
      </c>
      <c r="BP943" s="2" t="s">
        <v>74</v>
      </c>
      <c r="BQ943" s="2" t="s">
        <v>74</v>
      </c>
      <c r="BR943" s="2" t="s">
        <v>74</v>
      </c>
      <c r="BS943" s="2" t="s">
        <v>6289</v>
      </c>
      <c r="BT943" s="2" t="str">
        <f>HYPERLINK("https%3A%2F%2Fwww.webofscience.com%2Fwos%2Fwoscc%2Ffull-record%2FWOS:000274639400003","View Full Record in Web of Science")</f>
        <v>View Full Record in Web of Science</v>
      </c>
    </row>
    <row r="944" spans="1:72" s="2" customFormat="1" x14ac:dyDescent="0.4">
      <c r="A944" s="2" t="s">
        <v>72</v>
      </c>
      <c r="B944" s="2" t="s">
        <v>5595</v>
      </c>
      <c r="C944" s="2" t="s">
        <v>74</v>
      </c>
      <c r="D944" s="2" t="s">
        <v>74</v>
      </c>
      <c r="E944" s="2" t="s">
        <v>74</v>
      </c>
      <c r="F944" s="2" t="s">
        <v>5596</v>
      </c>
      <c r="G944" s="2" t="s">
        <v>74</v>
      </c>
      <c r="H944" s="2" t="s">
        <v>74</v>
      </c>
      <c r="I944" s="2" t="s">
        <v>5597</v>
      </c>
      <c r="J944" s="2" t="s">
        <v>1044</v>
      </c>
      <c r="K944" s="2" t="s">
        <v>74</v>
      </c>
      <c r="L944" s="2" t="s">
        <v>74</v>
      </c>
      <c r="M944" s="2" t="s">
        <v>74</v>
      </c>
      <c r="N944" s="2" t="s">
        <v>74</v>
      </c>
      <c r="O944" s="2" t="s">
        <v>74</v>
      </c>
      <c r="P944" s="2" t="s">
        <v>74</v>
      </c>
      <c r="Q944" s="2" t="s">
        <v>74</v>
      </c>
      <c r="R944" s="2" t="s">
        <v>74</v>
      </c>
      <c r="S944" s="2" t="s">
        <v>74</v>
      </c>
      <c r="T944" s="2" t="s">
        <v>74</v>
      </c>
      <c r="U944" s="2" t="s">
        <v>74</v>
      </c>
      <c r="V944" s="5" t="s">
        <v>5598</v>
      </c>
      <c r="W944" s="2" t="s">
        <v>74</v>
      </c>
      <c r="X944" s="2" t="s">
        <v>74</v>
      </c>
      <c r="Y944" s="2" t="s">
        <v>74</v>
      </c>
      <c r="Z944" s="2" t="s">
        <v>74</v>
      </c>
      <c r="AA944" s="2" t="s">
        <v>5599</v>
      </c>
      <c r="AB944" s="2" t="s">
        <v>5600</v>
      </c>
      <c r="AC944" s="2" t="s">
        <v>74</v>
      </c>
      <c r="AD944" s="2" t="s">
        <v>74</v>
      </c>
      <c r="AE944" s="2" t="s">
        <v>74</v>
      </c>
      <c r="AF944" s="2" t="s">
        <v>74</v>
      </c>
      <c r="AG944" s="2" t="s">
        <v>74</v>
      </c>
      <c r="AH944" s="2" t="s">
        <v>74</v>
      </c>
      <c r="AI944" s="2" t="s">
        <v>74</v>
      </c>
      <c r="AJ944" s="2" t="s">
        <v>74</v>
      </c>
      <c r="AK944" s="2" t="s">
        <v>74</v>
      </c>
      <c r="AL944" s="2" t="s">
        <v>74</v>
      </c>
      <c r="AM944" s="2" t="s">
        <v>74</v>
      </c>
      <c r="AN944" s="2" t="s">
        <v>74</v>
      </c>
      <c r="AO944" s="2" t="s">
        <v>1048</v>
      </c>
      <c r="AP944" s="2" t="s">
        <v>1049</v>
      </c>
      <c r="AQ944" s="2" t="s">
        <v>74</v>
      </c>
      <c r="AR944" s="2" t="s">
        <v>74</v>
      </c>
      <c r="AS944" s="2" t="s">
        <v>74</v>
      </c>
      <c r="AT944" s="2" t="s">
        <v>352</v>
      </c>
      <c r="AU944" s="2">
        <v>2015</v>
      </c>
      <c r="AV944" s="2">
        <v>24</v>
      </c>
      <c r="AW944" s="2">
        <v>18</v>
      </c>
      <c r="AX944" s="2" t="s">
        <v>74</v>
      </c>
      <c r="AY944" s="2" t="s">
        <v>74</v>
      </c>
      <c r="AZ944" s="2" t="s">
        <v>74</v>
      </c>
      <c r="BA944" s="2" t="s">
        <v>74</v>
      </c>
      <c r="BB944" s="2">
        <v>4679</v>
      </c>
      <c r="BC944" s="2">
        <v>4696</v>
      </c>
      <c r="BD944" s="2" t="s">
        <v>74</v>
      </c>
      <c r="BE944" s="2" t="s">
        <v>5601</v>
      </c>
      <c r="BF944" s="2" t="str">
        <f>HYPERLINK("http://dx.doi.org/10.1111/mec.13346","http://dx.doi.org/10.1111/mec.13346")</f>
        <v>http://dx.doi.org/10.1111/mec.13346</v>
      </c>
      <c r="BG944" s="2" t="s">
        <v>74</v>
      </c>
      <c r="BH944" s="2" t="s">
        <v>74</v>
      </c>
      <c r="BI944" s="2" t="s">
        <v>74</v>
      </c>
      <c r="BJ944" s="2" t="s">
        <v>74</v>
      </c>
      <c r="BK944" s="2" t="s">
        <v>74</v>
      </c>
      <c r="BL944" s="2" t="s">
        <v>74</v>
      </c>
      <c r="BM944" s="2" t="s">
        <v>74</v>
      </c>
      <c r="BN944" s="2">
        <v>26289828</v>
      </c>
      <c r="BO944" s="2" t="s">
        <v>74</v>
      </c>
      <c r="BP944" s="2" t="s">
        <v>74</v>
      </c>
      <c r="BQ944" s="2" t="s">
        <v>74</v>
      </c>
      <c r="BR944" s="2" t="s">
        <v>74</v>
      </c>
      <c r="BS944" s="2" t="s">
        <v>5602</v>
      </c>
      <c r="BT944" s="2" t="str">
        <f>HYPERLINK("https%3A%2F%2Fwww.webofscience.com%2Fwos%2Fwoscc%2Ffull-record%2FWOS:000361555900008","View Full Record in Web of Science")</f>
        <v>View Full Record in Web of Science</v>
      </c>
    </row>
    <row r="945" spans="1:72" s="1" customFormat="1" x14ac:dyDescent="0.4">
      <c r="A945" s="2" t="s">
        <v>72</v>
      </c>
      <c r="B945" s="2" t="s">
        <v>1851</v>
      </c>
      <c r="C945" s="2" t="s">
        <v>74</v>
      </c>
      <c r="D945" s="2" t="s">
        <v>74</v>
      </c>
      <c r="E945" s="2" t="s">
        <v>74</v>
      </c>
      <c r="F945" s="2" t="s">
        <v>1852</v>
      </c>
      <c r="G945" s="2" t="s">
        <v>74</v>
      </c>
      <c r="H945" s="2" t="s">
        <v>74</v>
      </c>
      <c r="I945" s="2" t="s">
        <v>1853</v>
      </c>
      <c r="J945" s="2" t="s">
        <v>1854</v>
      </c>
      <c r="K945" s="2" t="s">
        <v>74</v>
      </c>
      <c r="L945" s="2" t="s">
        <v>74</v>
      </c>
      <c r="M945" s="2" t="s">
        <v>74</v>
      </c>
      <c r="N945" s="2" t="s">
        <v>74</v>
      </c>
      <c r="O945" s="2" t="s">
        <v>74</v>
      </c>
      <c r="P945" s="2" t="s">
        <v>74</v>
      </c>
      <c r="Q945" s="2" t="s">
        <v>74</v>
      </c>
      <c r="R945" s="2" t="s">
        <v>74</v>
      </c>
      <c r="S945" s="2" t="s">
        <v>74</v>
      </c>
      <c r="T945" s="2" t="s">
        <v>74</v>
      </c>
      <c r="U945" s="2" t="s">
        <v>74</v>
      </c>
      <c r="V945" s="5" t="s">
        <v>1855</v>
      </c>
      <c r="W945" s="2" t="s">
        <v>74</v>
      </c>
      <c r="X945" s="2" t="s">
        <v>74</v>
      </c>
      <c r="Y945" s="2" t="s">
        <v>74</v>
      </c>
      <c r="Z945" s="2" t="s">
        <v>74</v>
      </c>
      <c r="AA945" s="2" t="s">
        <v>1856</v>
      </c>
      <c r="AB945" s="2" t="s">
        <v>1857</v>
      </c>
      <c r="AC945" s="2" t="s">
        <v>74</v>
      </c>
      <c r="AD945" s="2" t="s">
        <v>74</v>
      </c>
      <c r="AE945" s="2" t="s">
        <v>74</v>
      </c>
      <c r="AF945" s="2" t="s">
        <v>74</v>
      </c>
      <c r="AG945" s="2" t="s">
        <v>74</v>
      </c>
      <c r="AH945" s="2" t="s">
        <v>74</v>
      </c>
      <c r="AI945" s="2" t="s">
        <v>74</v>
      </c>
      <c r="AJ945" s="2" t="s">
        <v>74</v>
      </c>
      <c r="AK945" s="2" t="s">
        <v>74</v>
      </c>
      <c r="AL945" s="2" t="s">
        <v>74</v>
      </c>
      <c r="AM945" s="2" t="s">
        <v>74</v>
      </c>
      <c r="AN945" s="2" t="s">
        <v>74</v>
      </c>
      <c r="AO945" s="2" t="s">
        <v>1858</v>
      </c>
      <c r="AP945" s="2" t="s">
        <v>1859</v>
      </c>
      <c r="AQ945" s="2" t="s">
        <v>74</v>
      </c>
      <c r="AR945" s="2" t="s">
        <v>74</v>
      </c>
      <c r="AS945" s="2" t="s">
        <v>74</v>
      </c>
      <c r="AT945" s="2" t="s">
        <v>305</v>
      </c>
      <c r="AU945" s="2">
        <v>2016</v>
      </c>
      <c r="AV945" s="2">
        <v>45</v>
      </c>
      <c r="AW945" s="2">
        <v>6</v>
      </c>
      <c r="AX945" s="2" t="s">
        <v>74</v>
      </c>
      <c r="AY945" s="2" t="s">
        <v>74</v>
      </c>
      <c r="AZ945" s="2" t="s">
        <v>74</v>
      </c>
      <c r="BA945" s="2" t="s">
        <v>74</v>
      </c>
      <c r="BB945" s="2">
        <v>658</v>
      </c>
      <c r="BC945" s="2">
        <v>664</v>
      </c>
      <c r="BD945" s="2" t="s">
        <v>74</v>
      </c>
      <c r="BE945" s="2" t="s">
        <v>1860</v>
      </c>
      <c r="BF945" s="2" t="str">
        <f>HYPERLINK("http://dx.doi.org/10.1007/s13744-016-0417-7","http://dx.doi.org/10.1007/s13744-016-0417-7")</f>
        <v>http://dx.doi.org/10.1007/s13744-016-0417-7</v>
      </c>
      <c r="BG945" s="2" t="s">
        <v>74</v>
      </c>
      <c r="BH945" s="2" t="s">
        <v>74</v>
      </c>
      <c r="BI945" s="2" t="s">
        <v>74</v>
      </c>
      <c r="BJ945" s="2" t="s">
        <v>74</v>
      </c>
      <c r="BK945" s="2" t="s">
        <v>74</v>
      </c>
      <c r="BL945" s="2" t="s">
        <v>74</v>
      </c>
      <c r="BM945" s="2" t="s">
        <v>74</v>
      </c>
      <c r="BN945" s="2">
        <v>27379758</v>
      </c>
      <c r="BO945" s="2" t="s">
        <v>74</v>
      </c>
      <c r="BP945" s="2" t="s">
        <v>74</v>
      </c>
      <c r="BQ945" s="2" t="s">
        <v>74</v>
      </c>
      <c r="BR945" s="2" t="s">
        <v>74</v>
      </c>
      <c r="BS945" s="2" t="s">
        <v>1861</v>
      </c>
      <c r="BT945" s="2" t="str">
        <f>HYPERLINK("https%3A%2F%2Fwww.webofscience.com%2Fwos%2Fwoscc%2Ffull-record%2FWOS:000389000400006","View Full Record in Web of Science")</f>
        <v>View Full Record in Web of Science</v>
      </c>
    </row>
    <row r="946" spans="1:72" s="1" customFormat="1" x14ac:dyDescent="0.4">
      <c r="A946" s="2" t="s">
        <v>72</v>
      </c>
      <c r="B946" s="2" t="s">
        <v>1868</v>
      </c>
      <c r="C946" s="2" t="s">
        <v>74</v>
      </c>
      <c r="D946" s="2" t="s">
        <v>74</v>
      </c>
      <c r="E946" s="2" t="s">
        <v>74</v>
      </c>
      <c r="F946" s="2" t="s">
        <v>1869</v>
      </c>
      <c r="G946" s="2" t="s">
        <v>74</v>
      </c>
      <c r="H946" s="2" t="s">
        <v>74</v>
      </c>
      <c r="I946" s="2" t="s">
        <v>1870</v>
      </c>
      <c r="J946" s="2" t="s">
        <v>731</v>
      </c>
      <c r="K946" s="2" t="s">
        <v>74</v>
      </c>
      <c r="L946" s="2" t="s">
        <v>74</v>
      </c>
      <c r="M946" s="2" t="s">
        <v>74</v>
      </c>
      <c r="N946" s="2" t="s">
        <v>74</v>
      </c>
      <c r="O946" s="2" t="s">
        <v>74</v>
      </c>
      <c r="P946" s="2" t="s">
        <v>74</v>
      </c>
      <c r="Q946" s="2" t="s">
        <v>74</v>
      </c>
      <c r="R946" s="2" t="s">
        <v>74</v>
      </c>
      <c r="S946" s="2" t="s">
        <v>74</v>
      </c>
      <c r="T946" s="2" t="s">
        <v>74</v>
      </c>
      <c r="U946" s="2" t="s">
        <v>74</v>
      </c>
      <c r="V946" s="5" t="s">
        <v>1871</v>
      </c>
      <c r="W946" s="2" t="s">
        <v>74</v>
      </c>
      <c r="X946" s="2" t="s">
        <v>74</v>
      </c>
      <c r="Y946" s="2" t="s">
        <v>74</v>
      </c>
      <c r="Z946" s="2" t="s">
        <v>74</v>
      </c>
      <c r="AA946" s="2" t="s">
        <v>74</v>
      </c>
      <c r="AB946" s="2" t="s">
        <v>74</v>
      </c>
      <c r="AC946" s="2" t="s">
        <v>74</v>
      </c>
      <c r="AD946" s="2" t="s">
        <v>74</v>
      </c>
      <c r="AE946" s="2" t="s">
        <v>74</v>
      </c>
      <c r="AF946" s="2" t="s">
        <v>74</v>
      </c>
      <c r="AG946" s="2" t="s">
        <v>74</v>
      </c>
      <c r="AH946" s="2" t="s">
        <v>74</v>
      </c>
      <c r="AI946" s="2" t="s">
        <v>74</v>
      </c>
      <c r="AJ946" s="2" t="s">
        <v>74</v>
      </c>
      <c r="AK946" s="2" t="s">
        <v>74</v>
      </c>
      <c r="AL946" s="2" t="s">
        <v>74</v>
      </c>
      <c r="AM946" s="2" t="s">
        <v>74</v>
      </c>
      <c r="AN946" s="2" t="s">
        <v>74</v>
      </c>
      <c r="AO946" s="2" t="s">
        <v>733</v>
      </c>
      <c r="AP946" s="2" t="s">
        <v>734</v>
      </c>
      <c r="AQ946" s="2" t="s">
        <v>74</v>
      </c>
      <c r="AR946" s="2" t="s">
        <v>74</v>
      </c>
      <c r="AS946" s="2" t="s">
        <v>74</v>
      </c>
      <c r="AT946" s="2" t="s">
        <v>1872</v>
      </c>
      <c r="AU946" s="2">
        <v>2008</v>
      </c>
      <c r="AV946" s="2">
        <v>191</v>
      </c>
      <c r="AW946" s="2">
        <v>1</v>
      </c>
      <c r="AX946" s="2" t="s">
        <v>74</v>
      </c>
      <c r="AY946" s="2" t="s">
        <v>74</v>
      </c>
      <c r="AZ946" s="2" t="s">
        <v>74</v>
      </c>
      <c r="BA946" s="2" t="s">
        <v>74</v>
      </c>
      <c r="BB946" s="2">
        <v>77</v>
      </c>
      <c r="BC946" s="2">
        <v>87</v>
      </c>
      <c r="BD946" s="2" t="s">
        <v>74</v>
      </c>
      <c r="BE946" s="2" t="s">
        <v>1873</v>
      </c>
      <c r="BF946" s="2" t="str">
        <f>HYPERLINK("http://dx.doi.org/10.1016/j.bbr.2008.03.013","http://dx.doi.org/10.1016/j.bbr.2008.03.013")</f>
        <v>http://dx.doi.org/10.1016/j.bbr.2008.03.013</v>
      </c>
      <c r="BG946" s="2" t="s">
        <v>74</v>
      </c>
      <c r="BH946" s="2" t="s">
        <v>74</v>
      </c>
      <c r="BI946" s="2" t="s">
        <v>74</v>
      </c>
      <c r="BJ946" s="2" t="s">
        <v>74</v>
      </c>
      <c r="BK946" s="2" t="s">
        <v>74</v>
      </c>
      <c r="BL946" s="2" t="s">
        <v>74</v>
      </c>
      <c r="BM946" s="2" t="s">
        <v>74</v>
      </c>
      <c r="BN946" s="2">
        <v>18423643</v>
      </c>
      <c r="BO946" s="2" t="s">
        <v>74</v>
      </c>
      <c r="BP946" s="2" t="s">
        <v>74</v>
      </c>
      <c r="BQ946" s="2" t="s">
        <v>74</v>
      </c>
      <c r="BR946" s="2" t="s">
        <v>74</v>
      </c>
      <c r="BS946" s="2" t="s">
        <v>1874</v>
      </c>
      <c r="BT946" s="2" t="str">
        <f>HYPERLINK("https%3A%2F%2Fwww.webofscience.com%2Fwos%2Fwoscc%2Ffull-record%2FWOS:000256786700012","View Full Record in Web of Science")</f>
        <v>View Full Record in Web of Science</v>
      </c>
    </row>
    <row r="947" spans="1:72" s="2" customFormat="1" x14ac:dyDescent="0.4">
      <c r="A947" s="2" t="s">
        <v>72</v>
      </c>
      <c r="B947" s="2" t="s">
        <v>2328</v>
      </c>
      <c r="C947" s="2" t="s">
        <v>74</v>
      </c>
      <c r="D947" s="2" t="s">
        <v>74</v>
      </c>
      <c r="E947" s="2" t="s">
        <v>74</v>
      </c>
      <c r="F947" s="2" t="s">
        <v>2329</v>
      </c>
      <c r="G947" s="2" t="s">
        <v>74</v>
      </c>
      <c r="H947" s="2" t="s">
        <v>74</v>
      </c>
      <c r="I947" s="2" t="s">
        <v>2330</v>
      </c>
      <c r="J947" s="2" t="s">
        <v>1244</v>
      </c>
      <c r="K947" s="2" t="s">
        <v>74</v>
      </c>
      <c r="L947" s="2" t="s">
        <v>74</v>
      </c>
      <c r="M947" s="2" t="s">
        <v>74</v>
      </c>
      <c r="N947" s="2" t="s">
        <v>74</v>
      </c>
      <c r="O947" s="2" t="s">
        <v>74</v>
      </c>
      <c r="P947" s="2" t="s">
        <v>74</v>
      </c>
      <c r="Q947" s="2" t="s">
        <v>74</v>
      </c>
      <c r="R947" s="2" t="s">
        <v>74</v>
      </c>
      <c r="S947" s="2" t="s">
        <v>74</v>
      </c>
      <c r="T947" s="2" t="s">
        <v>74</v>
      </c>
      <c r="U947" s="2" t="s">
        <v>74</v>
      </c>
      <c r="V947" s="5" t="s">
        <v>2331</v>
      </c>
      <c r="W947" s="2" t="s">
        <v>74</v>
      </c>
      <c r="X947" s="2" t="s">
        <v>74</v>
      </c>
      <c r="Y947" s="2" t="s">
        <v>74</v>
      </c>
      <c r="Z947" s="2" t="s">
        <v>74</v>
      </c>
      <c r="AA947" s="2" t="s">
        <v>74</v>
      </c>
      <c r="AB947" s="2" t="s">
        <v>74</v>
      </c>
      <c r="AC947" s="2" t="s">
        <v>74</v>
      </c>
      <c r="AD947" s="2" t="s">
        <v>74</v>
      </c>
      <c r="AE947" s="2" t="s">
        <v>74</v>
      </c>
      <c r="AF947" s="2" t="s">
        <v>74</v>
      </c>
      <c r="AG947" s="2" t="s">
        <v>74</v>
      </c>
      <c r="AH947" s="2" t="s">
        <v>74</v>
      </c>
      <c r="AI947" s="2" t="s">
        <v>74</v>
      </c>
      <c r="AJ947" s="2" t="s">
        <v>74</v>
      </c>
      <c r="AK947" s="2" t="s">
        <v>74</v>
      </c>
      <c r="AL947" s="2" t="s">
        <v>74</v>
      </c>
      <c r="AM947" s="2" t="s">
        <v>74</v>
      </c>
      <c r="AN947" s="2" t="s">
        <v>74</v>
      </c>
      <c r="AO947" s="2" t="s">
        <v>1246</v>
      </c>
      <c r="AP947" s="2" t="s">
        <v>74</v>
      </c>
      <c r="AQ947" s="2" t="s">
        <v>74</v>
      </c>
      <c r="AR947" s="2" t="s">
        <v>74</v>
      </c>
      <c r="AS947" s="2" t="s">
        <v>74</v>
      </c>
      <c r="AT947" s="2" t="s">
        <v>2332</v>
      </c>
      <c r="AU947" s="2">
        <v>2014</v>
      </c>
      <c r="AV947" s="2">
        <v>43</v>
      </c>
      <c r="AW947" s="2" t="s">
        <v>1276</v>
      </c>
      <c r="AX947" s="2" t="s">
        <v>74</v>
      </c>
      <c r="AY947" s="2" t="s">
        <v>74</v>
      </c>
      <c r="AZ947" s="2" t="s">
        <v>74</v>
      </c>
      <c r="BA947" s="2" t="s">
        <v>74</v>
      </c>
      <c r="BB947" s="2">
        <v>227</v>
      </c>
      <c r="BC947" s="2">
        <v>235</v>
      </c>
      <c r="BD947" s="2" t="s">
        <v>74</v>
      </c>
      <c r="BE947" s="2" t="s">
        <v>74</v>
      </c>
      <c r="BF947" s="2" t="s">
        <v>74</v>
      </c>
      <c r="BG947" s="2" t="s">
        <v>74</v>
      </c>
      <c r="BH947" s="2" t="s">
        <v>74</v>
      </c>
      <c r="BI947" s="2" t="s">
        <v>74</v>
      </c>
      <c r="BJ947" s="2" t="s">
        <v>74</v>
      </c>
      <c r="BK947" s="2" t="s">
        <v>74</v>
      </c>
      <c r="BL947" s="2" t="s">
        <v>74</v>
      </c>
      <c r="BM947" s="2" t="s">
        <v>74</v>
      </c>
      <c r="BN947" s="2" t="s">
        <v>74</v>
      </c>
      <c r="BO947" s="2" t="s">
        <v>74</v>
      </c>
      <c r="BP947" s="2" t="s">
        <v>74</v>
      </c>
      <c r="BQ947" s="2" t="s">
        <v>74</v>
      </c>
      <c r="BR947" s="2" t="s">
        <v>74</v>
      </c>
      <c r="BS947" s="2" t="s">
        <v>2333</v>
      </c>
      <c r="BT947" s="2" t="str">
        <f>HYPERLINK("https%3A%2F%2Fwww.webofscience.com%2Fwos%2Fwoscc%2Ffull-record%2FWOS:000345540300007","View Full Record in Web of Science")</f>
        <v>View Full Record in Web of Science</v>
      </c>
    </row>
    <row r="948" spans="1:72" s="2" customFormat="1" x14ac:dyDescent="0.4">
      <c r="A948" s="2" t="s">
        <v>72</v>
      </c>
      <c r="B948" s="2" t="s">
        <v>3843</v>
      </c>
      <c r="C948" s="2" t="s">
        <v>74</v>
      </c>
      <c r="D948" s="2" t="s">
        <v>74</v>
      </c>
      <c r="E948" s="2" t="s">
        <v>74</v>
      </c>
      <c r="F948" s="2" t="s">
        <v>3844</v>
      </c>
      <c r="G948" s="2" t="s">
        <v>74</v>
      </c>
      <c r="H948" s="2" t="s">
        <v>74</v>
      </c>
      <c r="I948" s="2" t="s">
        <v>3845</v>
      </c>
      <c r="J948" s="2" t="s">
        <v>3846</v>
      </c>
      <c r="K948" s="2" t="s">
        <v>74</v>
      </c>
      <c r="L948" s="2" t="s">
        <v>74</v>
      </c>
      <c r="M948" s="2" t="s">
        <v>74</v>
      </c>
      <c r="N948" s="2" t="s">
        <v>74</v>
      </c>
      <c r="O948" s="2" t="s">
        <v>74</v>
      </c>
      <c r="P948" s="2" t="s">
        <v>74</v>
      </c>
      <c r="Q948" s="2" t="s">
        <v>74</v>
      </c>
      <c r="R948" s="2" t="s">
        <v>74</v>
      </c>
      <c r="S948" s="2" t="s">
        <v>74</v>
      </c>
      <c r="T948" s="2" t="s">
        <v>74</v>
      </c>
      <c r="U948" s="2" t="s">
        <v>74</v>
      </c>
      <c r="V948" s="5" t="s">
        <v>3847</v>
      </c>
      <c r="W948" s="2" t="s">
        <v>74</v>
      </c>
      <c r="X948" s="2" t="s">
        <v>74</v>
      </c>
      <c r="Y948" s="2" t="s">
        <v>74</v>
      </c>
      <c r="Z948" s="2" t="s">
        <v>74</v>
      </c>
      <c r="AA948" s="2" t="s">
        <v>231</v>
      </c>
      <c r="AB948" s="2" t="s">
        <v>3848</v>
      </c>
      <c r="AC948" s="2" t="s">
        <v>74</v>
      </c>
      <c r="AD948" s="2" t="s">
        <v>74</v>
      </c>
      <c r="AE948" s="2" t="s">
        <v>74</v>
      </c>
      <c r="AF948" s="2" t="s">
        <v>74</v>
      </c>
      <c r="AG948" s="2" t="s">
        <v>74</v>
      </c>
      <c r="AH948" s="2" t="s">
        <v>74</v>
      </c>
      <c r="AI948" s="2" t="s">
        <v>74</v>
      </c>
      <c r="AJ948" s="2" t="s">
        <v>74</v>
      </c>
      <c r="AK948" s="2" t="s">
        <v>74</v>
      </c>
      <c r="AL948" s="2" t="s">
        <v>74</v>
      </c>
      <c r="AM948" s="2" t="s">
        <v>74</v>
      </c>
      <c r="AN948" s="2" t="s">
        <v>74</v>
      </c>
      <c r="AO948" s="2" t="s">
        <v>3849</v>
      </c>
      <c r="AP948" s="2" t="s">
        <v>3850</v>
      </c>
      <c r="AQ948" s="2" t="s">
        <v>74</v>
      </c>
      <c r="AR948" s="2" t="s">
        <v>74</v>
      </c>
      <c r="AS948" s="2" t="s">
        <v>74</v>
      </c>
      <c r="AT948" s="2" t="s">
        <v>102</v>
      </c>
      <c r="AU948" s="2">
        <v>2019</v>
      </c>
      <c r="AV948" s="2">
        <v>14</v>
      </c>
      <c r="AW948" s="2">
        <v>1</v>
      </c>
      <c r="AX948" s="2" t="s">
        <v>74</v>
      </c>
      <c r="AY948" s="2" t="s">
        <v>74</v>
      </c>
      <c r="AZ948" s="2" t="s">
        <v>74</v>
      </c>
      <c r="BA948" s="2" t="s">
        <v>74</v>
      </c>
      <c r="BB948" s="2">
        <v>35</v>
      </c>
      <c r="BC948" s="2">
        <v>41</v>
      </c>
      <c r="BD948" s="2" t="s">
        <v>74</v>
      </c>
      <c r="BE948" s="2" t="s">
        <v>3851</v>
      </c>
      <c r="BF948" s="2" t="str">
        <f>HYPERLINK("http://dx.doi.org/10.13128/Acta_Herpetol-24651","http://dx.doi.org/10.13128/Acta_Herpetol-24651")</f>
        <v>http://dx.doi.org/10.13128/Acta_Herpetol-24651</v>
      </c>
      <c r="BG948" s="2" t="s">
        <v>74</v>
      </c>
      <c r="BH948" s="2" t="s">
        <v>74</v>
      </c>
      <c r="BI948" s="2" t="s">
        <v>74</v>
      </c>
      <c r="BJ948" s="2" t="s">
        <v>74</v>
      </c>
      <c r="BK948" s="2" t="s">
        <v>74</v>
      </c>
      <c r="BL948" s="2" t="s">
        <v>74</v>
      </c>
      <c r="BM948" s="2" t="s">
        <v>74</v>
      </c>
      <c r="BN948" s="2" t="s">
        <v>74</v>
      </c>
      <c r="BO948" s="2" t="s">
        <v>74</v>
      </c>
      <c r="BP948" s="2" t="s">
        <v>74</v>
      </c>
      <c r="BQ948" s="2" t="s">
        <v>74</v>
      </c>
      <c r="BR948" s="2" t="s">
        <v>74</v>
      </c>
      <c r="BS948" s="2" t="s">
        <v>3852</v>
      </c>
      <c r="BT948" s="2" t="str">
        <f>HYPERLINK("https%3A%2F%2Fwww.webofscience.com%2Fwos%2Fwoscc%2Ffull-record%2FWOS:000482630700005","View Full Record in Web of Science")</f>
        <v>View Full Record in Web of Science</v>
      </c>
    </row>
    <row r="949" spans="1:72" s="2" customFormat="1" x14ac:dyDescent="0.4">
      <c r="A949" s="2" t="s">
        <v>72</v>
      </c>
      <c r="B949" s="2" t="s">
        <v>7982</v>
      </c>
      <c r="C949" s="2" t="s">
        <v>74</v>
      </c>
      <c r="D949" s="2" t="s">
        <v>74</v>
      </c>
      <c r="E949" s="2" t="s">
        <v>74</v>
      </c>
      <c r="F949" s="2" t="s">
        <v>7982</v>
      </c>
      <c r="G949" s="2" t="s">
        <v>74</v>
      </c>
      <c r="H949" s="2" t="s">
        <v>74</v>
      </c>
      <c r="I949" s="2" t="s">
        <v>7983</v>
      </c>
      <c r="J949" s="2" t="s">
        <v>530</v>
      </c>
      <c r="K949" s="2" t="s">
        <v>74</v>
      </c>
      <c r="L949" s="2" t="s">
        <v>74</v>
      </c>
      <c r="M949" s="2" t="s">
        <v>74</v>
      </c>
      <c r="N949" s="2" t="s">
        <v>74</v>
      </c>
      <c r="O949" s="2" t="s">
        <v>74</v>
      </c>
      <c r="P949" s="2" t="s">
        <v>74</v>
      </c>
      <c r="Q949" s="2" t="s">
        <v>74</v>
      </c>
      <c r="R949" s="2" t="s">
        <v>74</v>
      </c>
      <c r="S949" s="2" t="s">
        <v>74</v>
      </c>
      <c r="T949" s="2" t="s">
        <v>74</v>
      </c>
      <c r="U949" s="2" t="s">
        <v>74</v>
      </c>
      <c r="V949" s="5" t="s">
        <v>7984</v>
      </c>
      <c r="W949" s="2" t="s">
        <v>74</v>
      </c>
      <c r="X949" s="2" t="s">
        <v>74</v>
      </c>
      <c r="Y949" s="2" t="s">
        <v>74</v>
      </c>
      <c r="Z949" s="2" t="s">
        <v>74</v>
      </c>
      <c r="AA949" s="2" t="s">
        <v>7985</v>
      </c>
      <c r="AB949" s="2" t="s">
        <v>7986</v>
      </c>
      <c r="AC949" s="2" t="s">
        <v>74</v>
      </c>
      <c r="AD949" s="2" t="s">
        <v>74</v>
      </c>
      <c r="AE949" s="2" t="s">
        <v>74</v>
      </c>
      <c r="AF949" s="2" t="s">
        <v>74</v>
      </c>
      <c r="AG949" s="2" t="s">
        <v>74</v>
      </c>
      <c r="AH949" s="2" t="s">
        <v>74</v>
      </c>
      <c r="AI949" s="2" t="s">
        <v>74</v>
      </c>
      <c r="AJ949" s="2" t="s">
        <v>74</v>
      </c>
      <c r="AK949" s="2" t="s">
        <v>74</v>
      </c>
      <c r="AL949" s="2" t="s">
        <v>74</v>
      </c>
      <c r="AM949" s="2" t="s">
        <v>74</v>
      </c>
      <c r="AN949" s="2" t="s">
        <v>74</v>
      </c>
      <c r="AO949" s="2" t="s">
        <v>532</v>
      </c>
      <c r="AP949" s="2" t="s">
        <v>74</v>
      </c>
      <c r="AQ949" s="2" t="s">
        <v>74</v>
      </c>
      <c r="AR949" s="2" t="s">
        <v>74</v>
      </c>
      <c r="AS949" s="2" t="s">
        <v>74</v>
      </c>
      <c r="AT949" s="2" t="s">
        <v>964</v>
      </c>
      <c r="AU949" s="2">
        <v>2005</v>
      </c>
      <c r="AV949" s="2">
        <v>146</v>
      </c>
      <c r="AW949" s="2">
        <v>3</v>
      </c>
      <c r="AX949" s="2" t="s">
        <v>74</v>
      </c>
      <c r="AY949" s="2" t="s">
        <v>74</v>
      </c>
      <c r="AZ949" s="2" t="s">
        <v>74</v>
      </c>
      <c r="BA949" s="2" t="s">
        <v>74</v>
      </c>
      <c r="BB949" s="2">
        <v>435</v>
      </c>
      <c r="BC949" s="2">
        <v>443</v>
      </c>
      <c r="BD949" s="2" t="s">
        <v>74</v>
      </c>
      <c r="BE949" s="2" t="s">
        <v>7987</v>
      </c>
      <c r="BF949" s="2" t="str">
        <f>HYPERLINK("http://dx.doi.org/10.1007/s00227-004-1462-z","http://dx.doi.org/10.1007/s00227-004-1462-z")</f>
        <v>http://dx.doi.org/10.1007/s00227-004-1462-z</v>
      </c>
      <c r="BG949" s="2" t="s">
        <v>74</v>
      </c>
      <c r="BH949" s="2" t="s">
        <v>74</v>
      </c>
      <c r="BI949" s="2" t="s">
        <v>74</v>
      </c>
      <c r="BJ949" s="2" t="s">
        <v>74</v>
      </c>
      <c r="BK949" s="2" t="s">
        <v>74</v>
      </c>
      <c r="BL949" s="2" t="s">
        <v>74</v>
      </c>
      <c r="BM949" s="2" t="s">
        <v>74</v>
      </c>
      <c r="BN949" s="2" t="s">
        <v>74</v>
      </c>
      <c r="BO949" s="2" t="s">
        <v>74</v>
      </c>
      <c r="BP949" s="2" t="s">
        <v>74</v>
      </c>
      <c r="BQ949" s="2" t="s">
        <v>74</v>
      </c>
      <c r="BR949" s="2" t="s">
        <v>74</v>
      </c>
      <c r="BS949" s="2" t="s">
        <v>7988</v>
      </c>
      <c r="BT949" s="2" t="str">
        <f>HYPERLINK("https%3A%2F%2Fwww.webofscience.com%2Fwos%2Fwoscc%2Ffull-record%2FWOS:000226810300002","View Full Record in Web of Science")</f>
        <v>View Full Record in Web of Science</v>
      </c>
    </row>
    <row r="950" spans="1:72" s="2" customFormat="1" x14ac:dyDescent="0.4">
      <c r="A950" s="2" t="s">
        <v>72</v>
      </c>
      <c r="B950" s="2" t="s">
        <v>4783</v>
      </c>
      <c r="C950" s="2" t="s">
        <v>74</v>
      </c>
      <c r="D950" s="2" t="s">
        <v>74</v>
      </c>
      <c r="E950" s="2" t="s">
        <v>74</v>
      </c>
      <c r="F950" s="2" t="s">
        <v>4784</v>
      </c>
      <c r="G950" s="2" t="s">
        <v>74</v>
      </c>
      <c r="H950" s="2" t="s">
        <v>74</v>
      </c>
      <c r="I950" s="2" t="s">
        <v>4785</v>
      </c>
      <c r="J950" s="2" t="s">
        <v>1601</v>
      </c>
      <c r="K950" s="2" t="s">
        <v>74</v>
      </c>
      <c r="L950" s="2" t="s">
        <v>74</v>
      </c>
      <c r="M950" s="2" t="s">
        <v>74</v>
      </c>
      <c r="N950" s="2" t="s">
        <v>74</v>
      </c>
      <c r="O950" s="2" t="s">
        <v>74</v>
      </c>
      <c r="P950" s="2" t="s">
        <v>74</v>
      </c>
      <c r="Q950" s="2" t="s">
        <v>74</v>
      </c>
      <c r="R950" s="2" t="s">
        <v>74</v>
      </c>
      <c r="S950" s="2" t="s">
        <v>74</v>
      </c>
      <c r="T950" s="2" t="s">
        <v>74</v>
      </c>
      <c r="U950" s="2" t="s">
        <v>74</v>
      </c>
      <c r="V950" s="5" t="s">
        <v>4786</v>
      </c>
      <c r="W950" s="2" t="s">
        <v>74</v>
      </c>
      <c r="X950" s="2" t="s">
        <v>74</v>
      </c>
      <c r="Y950" s="2" t="s">
        <v>74</v>
      </c>
      <c r="Z950" s="2" t="s">
        <v>74</v>
      </c>
      <c r="AA950" s="2" t="s">
        <v>74</v>
      </c>
      <c r="AB950" s="2" t="s">
        <v>74</v>
      </c>
      <c r="AC950" s="2" t="s">
        <v>74</v>
      </c>
      <c r="AD950" s="2" t="s">
        <v>74</v>
      </c>
      <c r="AE950" s="2" t="s">
        <v>74</v>
      </c>
      <c r="AF950" s="2" t="s">
        <v>74</v>
      </c>
      <c r="AG950" s="2" t="s">
        <v>74</v>
      </c>
      <c r="AH950" s="2" t="s">
        <v>74</v>
      </c>
      <c r="AI950" s="2" t="s">
        <v>74</v>
      </c>
      <c r="AJ950" s="2" t="s">
        <v>74</v>
      </c>
      <c r="AK950" s="2" t="s">
        <v>74</v>
      </c>
      <c r="AL950" s="2" t="s">
        <v>74</v>
      </c>
      <c r="AM950" s="2" t="s">
        <v>74</v>
      </c>
      <c r="AN950" s="2" t="s">
        <v>74</v>
      </c>
      <c r="AO950" s="2" t="s">
        <v>1603</v>
      </c>
      <c r="AP950" s="2" t="s">
        <v>74</v>
      </c>
      <c r="AQ950" s="2" t="s">
        <v>74</v>
      </c>
      <c r="AR950" s="2" t="s">
        <v>74</v>
      </c>
      <c r="AS950" s="2" t="s">
        <v>74</v>
      </c>
      <c r="AT950" s="2" t="s">
        <v>352</v>
      </c>
      <c r="AU950" s="2">
        <v>2006</v>
      </c>
      <c r="AV950" s="2">
        <v>113</v>
      </c>
      <c r="AW950" s="2">
        <v>3</v>
      </c>
      <c r="AX950" s="2" t="s">
        <v>74</v>
      </c>
      <c r="AY950" s="2" t="s">
        <v>74</v>
      </c>
      <c r="AZ950" s="2" t="s">
        <v>74</v>
      </c>
      <c r="BA950" s="2" t="s">
        <v>74</v>
      </c>
      <c r="BB950" s="2">
        <v>675</v>
      </c>
      <c r="BC950" s="2">
        <v>691</v>
      </c>
      <c r="BD950" s="2" t="s">
        <v>74</v>
      </c>
      <c r="BE950" s="2" t="s">
        <v>4787</v>
      </c>
      <c r="BF950" s="2" t="str">
        <f>HYPERLINK("http://dx.doi.org/10.5962/bhl.part.80367","http://dx.doi.org/10.5962/bhl.part.80367")</f>
        <v>http://dx.doi.org/10.5962/bhl.part.80367</v>
      </c>
      <c r="BG950" s="2" t="s">
        <v>74</v>
      </c>
      <c r="BH950" s="2" t="s">
        <v>74</v>
      </c>
      <c r="BI950" s="2" t="s">
        <v>74</v>
      </c>
      <c r="BJ950" s="2" t="s">
        <v>74</v>
      </c>
      <c r="BK950" s="2" t="s">
        <v>74</v>
      </c>
      <c r="BL950" s="2" t="s">
        <v>74</v>
      </c>
      <c r="BM950" s="2" t="s">
        <v>74</v>
      </c>
      <c r="BN950" s="2" t="s">
        <v>74</v>
      </c>
      <c r="BO950" s="2" t="s">
        <v>74</v>
      </c>
      <c r="BP950" s="2" t="s">
        <v>74</v>
      </c>
      <c r="BQ950" s="2" t="s">
        <v>74</v>
      </c>
      <c r="BR950" s="2" t="s">
        <v>74</v>
      </c>
      <c r="BS950" s="2" t="s">
        <v>4788</v>
      </c>
      <c r="BT950" s="2" t="str">
        <f>HYPERLINK("https%3A%2F%2Fwww.webofscience.com%2Fwos%2Fwoscc%2Ffull-record%2FWOS:000241077500009","View Full Record in Web of Science")</f>
        <v>View Full Record in Web of Science</v>
      </c>
    </row>
    <row r="951" spans="1:72" s="2" customFormat="1" x14ac:dyDescent="0.4">
      <c r="A951" s="2" t="s">
        <v>72</v>
      </c>
      <c r="B951" s="2" t="s">
        <v>3244</v>
      </c>
      <c r="C951" s="2" t="s">
        <v>74</v>
      </c>
      <c r="D951" s="2" t="s">
        <v>74</v>
      </c>
      <c r="E951" s="2" t="s">
        <v>74</v>
      </c>
      <c r="F951" s="2" t="s">
        <v>3245</v>
      </c>
      <c r="G951" s="2" t="s">
        <v>74</v>
      </c>
      <c r="H951" s="2" t="s">
        <v>74</v>
      </c>
      <c r="I951" s="2" t="s">
        <v>3246</v>
      </c>
      <c r="J951" s="2" t="s">
        <v>610</v>
      </c>
      <c r="K951" s="2" t="s">
        <v>74</v>
      </c>
      <c r="L951" s="2" t="s">
        <v>74</v>
      </c>
      <c r="M951" s="2" t="s">
        <v>74</v>
      </c>
      <c r="N951" s="2" t="s">
        <v>74</v>
      </c>
      <c r="O951" s="2" t="s">
        <v>74</v>
      </c>
      <c r="P951" s="2" t="s">
        <v>74</v>
      </c>
      <c r="Q951" s="2" t="s">
        <v>74</v>
      </c>
      <c r="R951" s="2" t="s">
        <v>74</v>
      </c>
      <c r="S951" s="2" t="s">
        <v>74</v>
      </c>
      <c r="T951" s="2" t="s">
        <v>74</v>
      </c>
      <c r="U951" s="2" t="s">
        <v>74</v>
      </c>
      <c r="V951" s="5" t="s">
        <v>3247</v>
      </c>
      <c r="W951" s="2" t="s">
        <v>74</v>
      </c>
      <c r="X951" s="2" t="s">
        <v>74</v>
      </c>
      <c r="Y951" s="2" t="s">
        <v>74</v>
      </c>
      <c r="Z951" s="2" t="s">
        <v>74</v>
      </c>
      <c r="AA951" s="2" t="s">
        <v>3248</v>
      </c>
      <c r="AB951" s="2" t="s">
        <v>3249</v>
      </c>
      <c r="AC951" s="2" t="s">
        <v>74</v>
      </c>
      <c r="AD951" s="2" t="s">
        <v>74</v>
      </c>
      <c r="AE951" s="2" t="s">
        <v>74</v>
      </c>
      <c r="AF951" s="2" t="s">
        <v>74</v>
      </c>
      <c r="AG951" s="2" t="s">
        <v>74</v>
      </c>
      <c r="AH951" s="2" t="s">
        <v>74</v>
      </c>
      <c r="AI951" s="2" t="s">
        <v>74</v>
      </c>
      <c r="AJ951" s="2" t="s">
        <v>74</v>
      </c>
      <c r="AK951" s="2" t="s">
        <v>74</v>
      </c>
      <c r="AL951" s="2" t="s">
        <v>74</v>
      </c>
      <c r="AM951" s="2" t="s">
        <v>74</v>
      </c>
      <c r="AN951" s="2" t="s">
        <v>74</v>
      </c>
      <c r="AO951" s="2" t="s">
        <v>614</v>
      </c>
      <c r="AP951" s="2" t="s">
        <v>615</v>
      </c>
      <c r="AQ951" s="2" t="s">
        <v>74</v>
      </c>
      <c r="AR951" s="2" t="s">
        <v>74</v>
      </c>
      <c r="AS951" s="2" t="s">
        <v>74</v>
      </c>
      <c r="AT951" s="2" t="s">
        <v>145</v>
      </c>
      <c r="AU951" s="2">
        <v>2017</v>
      </c>
      <c r="AV951" s="2">
        <v>123</v>
      </c>
      <c r="AW951" s="2">
        <v>8</v>
      </c>
      <c r="AX951" s="2" t="s">
        <v>74</v>
      </c>
      <c r="AY951" s="2" t="s">
        <v>74</v>
      </c>
      <c r="AZ951" s="2" t="s">
        <v>74</v>
      </c>
      <c r="BA951" s="2" t="s">
        <v>74</v>
      </c>
      <c r="BB951" s="2">
        <v>560</v>
      </c>
      <c r="BC951" s="2">
        <v>570</v>
      </c>
      <c r="BD951" s="2" t="s">
        <v>74</v>
      </c>
      <c r="BE951" s="2" t="s">
        <v>3250</v>
      </c>
      <c r="BF951" s="2" t="str">
        <f>HYPERLINK("http://dx.doi.org/10.1111/eth.12630","http://dx.doi.org/10.1111/eth.12630")</f>
        <v>http://dx.doi.org/10.1111/eth.12630</v>
      </c>
      <c r="BG951" s="2" t="s">
        <v>74</v>
      </c>
      <c r="BH951" s="2" t="s">
        <v>74</v>
      </c>
      <c r="BI951" s="2" t="s">
        <v>74</v>
      </c>
      <c r="BJ951" s="2" t="s">
        <v>74</v>
      </c>
      <c r="BK951" s="2" t="s">
        <v>74</v>
      </c>
      <c r="BL951" s="2" t="s">
        <v>74</v>
      </c>
      <c r="BM951" s="2" t="s">
        <v>74</v>
      </c>
      <c r="BN951" s="2" t="s">
        <v>74</v>
      </c>
      <c r="BO951" s="2" t="s">
        <v>74</v>
      </c>
      <c r="BP951" s="2" t="s">
        <v>74</v>
      </c>
      <c r="BQ951" s="2" t="s">
        <v>74</v>
      </c>
      <c r="BR951" s="2" t="s">
        <v>74</v>
      </c>
      <c r="BS951" s="2" t="s">
        <v>3251</v>
      </c>
      <c r="BT951" s="2" t="str">
        <f>HYPERLINK("https%3A%2F%2Fwww.webofscience.com%2Fwos%2Fwoscc%2Ffull-record%2FWOS:000404616400008","View Full Record in Web of Science")</f>
        <v>View Full Record in Web of Science</v>
      </c>
    </row>
    <row r="952" spans="1:72" s="2" customFormat="1" x14ac:dyDescent="0.4">
      <c r="A952" s="2" t="s">
        <v>72</v>
      </c>
      <c r="B952" s="2" t="s">
        <v>6160</v>
      </c>
      <c r="C952" s="2" t="s">
        <v>74</v>
      </c>
      <c r="D952" s="2" t="s">
        <v>74</v>
      </c>
      <c r="E952" s="2" t="s">
        <v>74</v>
      </c>
      <c r="F952" s="2" t="s">
        <v>6161</v>
      </c>
      <c r="G952" s="2" t="s">
        <v>74</v>
      </c>
      <c r="H952" s="2" t="s">
        <v>74</v>
      </c>
      <c r="I952" s="2" t="s">
        <v>6162</v>
      </c>
      <c r="J952" s="2" t="s">
        <v>1656</v>
      </c>
      <c r="K952" s="2" t="s">
        <v>74</v>
      </c>
      <c r="L952" s="2" t="s">
        <v>74</v>
      </c>
      <c r="M952" s="2" t="s">
        <v>74</v>
      </c>
      <c r="N952" s="2" t="s">
        <v>74</v>
      </c>
      <c r="O952" s="2" t="s">
        <v>74</v>
      </c>
      <c r="P952" s="2" t="s">
        <v>74</v>
      </c>
      <c r="Q952" s="2" t="s">
        <v>74</v>
      </c>
      <c r="R952" s="2" t="s">
        <v>74</v>
      </c>
      <c r="S952" s="2" t="s">
        <v>74</v>
      </c>
      <c r="T952" s="2" t="s">
        <v>74</v>
      </c>
      <c r="U952" s="2" t="s">
        <v>74</v>
      </c>
      <c r="V952" s="5" t="s">
        <v>6163</v>
      </c>
      <c r="W952" s="2" t="s">
        <v>74</v>
      </c>
      <c r="X952" s="2" t="s">
        <v>74</v>
      </c>
      <c r="Y952" s="2" t="s">
        <v>74</v>
      </c>
      <c r="Z952" s="2" t="s">
        <v>74</v>
      </c>
      <c r="AA952" s="2" t="s">
        <v>6164</v>
      </c>
      <c r="AB952" s="2" t="s">
        <v>6165</v>
      </c>
      <c r="AC952" s="2" t="s">
        <v>74</v>
      </c>
      <c r="AD952" s="2" t="s">
        <v>74</v>
      </c>
      <c r="AE952" s="2" t="s">
        <v>74</v>
      </c>
      <c r="AF952" s="2" t="s">
        <v>74</v>
      </c>
      <c r="AG952" s="2" t="s">
        <v>74</v>
      </c>
      <c r="AH952" s="2" t="s">
        <v>74</v>
      </c>
      <c r="AI952" s="2" t="s">
        <v>74</v>
      </c>
      <c r="AJ952" s="2" t="s">
        <v>74</v>
      </c>
      <c r="AK952" s="2" t="s">
        <v>74</v>
      </c>
      <c r="AL952" s="2" t="s">
        <v>74</v>
      </c>
      <c r="AM952" s="2" t="s">
        <v>74</v>
      </c>
      <c r="AN952" s="2" t="s">
        <v>74</v>
      </c>
      <c r="AO952" s="2" t="s">
        <v>1658</v>
      </c>
      <c r="AP952" s="2" t="s">
        <v>1659</v>
      </c>
      <c r="AQ952" s="2" t="s">
        <v>74</v>
      </c>
      <c r="AR952" s="2" t="s">
        <v>74</v>
      </c>
      <c r="AS952" s="2" t="s">
        <v>74</v>
      </c>
      <c r="AT952" s="2" t="s">
        <v>4913</v>
      </c>
      <c r="AU952" s="2">
        <v>2019</v>
      </c>
      <c r="AV952" s="2">
        <v>4555</v>
      </c>
      <c r="AW952" s="2">
        <v>2</v>
      </c>
      <c r="AX952" s="2" t="s">
        <v>74</v>
      </c>
      <c r="AY952" s="2" t="s">
        <v>74</v>
      </c>
      <c r="AZ952" s="2" t="s">
        <v>74</v>
      </c>
      <c r="BA952" s="2" t="s">
        <v>74</v>
      </c>
      <c r="BB952" s="2">
        <v>283</v>
      </c>
      <c r="BC952" s="2">
        <v>286</v>
      </c>
      <c r="BD952" s="2" t="s">
        <v>74</v>
      </c>
      <c r="BE952" s="2" t="s">
        <v>6166</v>
      </c>
      <c r="BF952" s="2" t="str">
        <f>HYPERLINK("http://dx.doi.org/10.11646/zootaxa.4555.2.10","http://dx.doi.org/10.11646/zootaxa.4555.2.10")</f>
        <v>http://dx.doi.org/10.11646/zootaxa.4555.2.10</v>
      </c>
      <c r="BG952" s="2" t="s">
        <v>74</v>
      </c>
      <c r="BH952" s="2" t="s">
        <v>74</v>
      </c>
      <c r="BI952" s="2" t="s">
        <v>74</v>
      </c>
      <c r="BJ952" s="2" t="s">
        <v>74</v>
      </c>
      <c r="BK952" s="2" t="s">
        <v>74</v>
      </c>
      <c r="BL952" s="2" t="s">
        <v>74</v>
      </c>
      <c r="BM952" s="2" t="s">
        <v>74</v>
      </c>
      <c r="BN952" s="2">
        <v>30790965</v>
      </c>
      <c r="BO952" s="2" t="s">
        <v>74</v>
      </c>
      <c r="BP952" s="2" t="s">
        <v>74</v>
      </c>
      <c r="BQ952" s="2" t="s">
        <v>74</v>
      </c>
      <c r="BR952" s="2" t="s">
        <v>74</v>
      </c>
      <c r="BS952" s="2" t="s">
        <v>6167</v>
      </c>
      <c r="BT952" s="2" t="str">
        <f>HYPERLINK("https%3A%2F%2Fwww.webofscience.com%2Fwos%2Fwoscc%2Ffull-record%2FWOS:000458428100010","View Full Record in Web of Science")</f>
        <v>View Full Record in Web of Science</v>
      </c>
    </row>
    <row r="953" spans="1:72" s="2" customFormat="1" x14ac:dyDescent="0.4">
      <c r="A953" s="2" t="s">
        <v>72</v>
      </c>
      <c r="B953" s="2" t="s">
        <v>7686</v>
      </c>
      <c r="C953" s="2" t="s">
        <v>74</v>
      </c>
      <c r="D953" s="2" t="s">
        <v>74</v>
      </c>
      <c r="E953" s="2" t="s">
        <v>74</v>
      </c>
      <c r="F953" s="2" t="s">
        <v>7687</v>
      </c>
      <c r="G953" s="2" t="s">
        <v>74</v>
      </c>
      <c r="H953" s="2" t="s">
        <v>74</v>
      </c>
      <c r="I953" s="2" t="s">
        <v>7688</v>
      </c>
      <c r="J953" s="2" t="s">
        <v>1541</v>
      </c>
      <c r="K953" s="2" t="s">
        <v>74</v>
      </c>
      <c r="L953" s="2" t="s">
        <v>74</v>
      </c>
      <c r="M953" s="2" t="s">
        <v>74</v>
      </c>
      <c r="N953" s="2" t="s">
        <v>74</v>
      </c>
      <c r="O953" s="2" t="s">
        <v>74</v>
      </c>
      <c r="P953" s="2" t="s">
        <v>74</v>
      </c>
      <c r="Q953" s="2" t="s">
        <v>74</v>
      </c>
      <c r="R953" s="2" t="s">
        <v>74</v>
      </c>
      <c r="S953" s="2" t="s">
        <v>74</v>
      </c>
      <c r="T953" s="2" t="s">
        <v>74</v>
      </c>
      <c r="U953" s="2" t="s">
        <v>74</v>
      </c>
      <c r="V953" s="5" t="s">
        <v>7689</v>
      </c>
      <c r="W953" s="2" t="s">
        <v>74</v>
      </c>
      <c r="X953" s="2" t="s">
        <v>74</v>
      </c>
      <c r="Y953" s="2" t="s">
        <v>74</v>
      </c>
      <c r="Z953" s="2" t="s">
        <v>74</v>
      </c>
      <c r="AA953" s="2" t="s">
        <v>7690</v>
      </c>
      <c r="AB953" s="2" t="s">
        <v>7691</v>
      </c>
      <c r="AC953" s="2" t="s">
        <v>74</v>
      </c>
      <c r="AD953" s="2" t="s">
        <v>74</v>
      </c>
      <c r="AE953" s="2" t="s">
        <v>74</v>
      </c>
      <c r="AF953" s="2" t="s">
        <v>74</v>
      </c>
      <c r="AG953" s="2" t="s">
        <v>74</v>
      </c>
      <c r="AH953" s="2" t="s">
        <v>74</v>
      </c>
      <c r="AI953" s="2" t="s">
        <v>74</v>
      </c>
      <c r="AJ953" s="2" t="s">
        <v>74</v>
      </c>
      <c r="AK953" s="2" t="s">
        <v>74</v>
      </c>
      <c r="AL953" s="2" t="s">
        <v>74</v>
      </c>
      <c r="AM953" s="2" t="s">
        <v>74</v>
      </c>
      <c r="AN953" s="2" t="s">
        <v>74</v>
      </c>
      <c r="AO953" s="2" t="s">
        <v>1543</v>
      </c>
      <c r="AP953" s="2" t="s">
        <v>1544</v>
      </c>
      <c r="AQ953" s="2" t="s">
        <v>74</v>
      </c>
      <c r="AR953" s="2" t="s">
        <v>74</v>
      </c>
      <c r="AS953" s="2" t="s">
        <v>74</v>
      </c>
      <c r="AT953" s="2" t="s">
        <v>213</v>
      </c>
      <c r="AU953" s="2">
        <v>2016</v>
      </c>
      <c r="AV953" s="2">
        <v>97</v>
      </c>
      <c r="AW953" s="2">
        <v>11</v>
      </c>
      <c r="AX953" s="2" t="s">
        <v>74</v>
      </c>
      <c r="AY953" s="2" t="s">
        <v>74</v>
      </c>
      <c r="AZ953" s="2" t="s">
        <v>74</v>
      </c>
      <c r="BA953" s="2" t="s">
        <v>74</v>
      </c>
      <c r="BB953" s="2">
        <v>3110</v>
      </c>
      <c r="BC953" s="2">
        <v>3118</v>
      </c>
      <c r="BD953" s="2" t="s">
        <v>74</v>
      </c>
      <c r="BE953" s="2" t="s">
        <v>7692</v>
      </c>
      <c r="BF953" s="2" t="str">
        <f>HYPERLINK("http://dx.doi.org/10.1002/ecy.1565","http://dx.doi.org/10.1002/ecy.1565")</f>
        <v>http://dx.doi.org/10.1002/ecy.1565</v>
      </c>
      <c r="BG953" s="2" t="s">
        <v>74</v>
      </c>
      <c r="BH953" s="2" t="s">
        <v>74</v>
      </c>
      <c r="BI953" s="2" t="s">
        <v>74</v>
      </c>
      <c r="BJ953" s="2" t="s">
        <v>74</v>
      </c>
      <c r="BK953" s="2" t="s">
        <v>74</v>
      </c>
      <c r="BL953" s="2" t="s">
        <v>74</v>
      </c>
      <c r="BM953" s="2" t="s">
        <v>74</v>
      </c>
      <c r="BN953" s="2">
        <v>27870050</v>
      </c>
      <c r="BO953" s="2" t="s">
        <v>74</v>
      </c>
      <c r="BP953" s="2" t="s">
        <v>74</v>
      </c>
      <c r="BQ953" s="2" t="s">
        <v>74</v>
      </c>
      <c r="BR953" s="2" t="s">
        <v>74</v>
      </c>
      <c r="BS953" s="2" t="s">
        <v>7693</v>
      </c>
      <c r="BT953" s="2" t="str">
        <f>HYPERLINK("https%3A%2F%2Fwww.webofscience.com%2Fwos%2Fwoscc%2Ffull-record%2FWOS:000387228200021","View Full Record in Web of Science")</f>
        <v>View Full Record in Web of Science</v>
      </c>
    </row>
    <row r="954" spans="1:72" s="2" customFormat="1" x14ac:dyDescent="0.4">
      <c r="A954" s="2" t="s">
        <v>72</v>
      </c>
      <c r="B954" s="2" t="s">
        <v>4932</v>
      </c>
      <c r="C954" s="2" t="s">
        <v>74</v>
      </c>
      <c r="D954" s="2" t="s">
        <v>74</v>
      </c>
      <c r="E954" s="2" t="s">
        <v>74</v>
      </c>
      <c r="F954" s="2" t="s">
        <v>4932</v>
      </c>
      <c r="G954" s="2" t="s">
        <v>74</v>
      </c>
      <c r="H954" s="2" t="s">
        <v>74</v>
      </c>
      <c r="I954" s="2" t="s">
        <v>4933</v>
      </c>
      <c r="J954" s="2" t="s">
        <v>4934</v>
      </c>
      <c r="K954" s="2" t="s">
        <v>74</v>
      </c>
      <c r="L954" s="2" t="s">
        <v>74</v>
      </c>
      <c r="M954" s="2" t="s">
        <v>74</v>
      </c>
      <c r="N954" s="2" t="s">
        <v>74</v>
      </c>
      <c r="O954" s="2" t="s">
        <v>74</v>
      </c>
      <c r="P954" s="2" t="s">
        <v>74</v>
      </c>
      <c r="Q954" s="2" t="s">
        <v>74</v>
      </c>
      <c r="R954" s="2" t="s">
        <v>74</v>
      </c>
      <c r="S954" s="2" t="s">
        <v>74</v>
      </c>
      <c r="T954" s="2" t="s">
        <v>74</v>
      </c>
      <c r="U954" s="2" t="s">
        <v>74</v>
      </c>
      <c r="V954" s="5" t="s">
        <v>4935</v>
      </c>
      <c r="W954" s="2" t="s">
        <v>74</v>
      </c>
      <c r="X954" s="2" t="s">
        <v>74</v>
      </c>
      <c r="Y954" s="2" t="s">
        <v>74</v>
      </c>
      <c r="Z954" s="2" t="s">
        <v>74</v>
      </c>
      <c r="AA954" s="2" t="s">
        <v>74</v>
      </c>
      <c r="AB954" s="2" t="s">
        <v>74</v>
      </c>
      <c r="AC954" s="2" t="s">
        <v>74</v>
      </c>
      <c r="AD954" s="2" t="s">
        <v>74</v>
      </c>
      <c r="AE954" s="2" t="s">
        <v>74</v>
      </c>
      <c r="AF954" s="2" t="s">
        <v>74</v>
      </c>
      <c r="AG954" s="2" t="s">
        <v>74</v>
      </c>
      <c r="AH954" s="2" t="s">
        <v>74</v>
      </c>
      <c r="AI954" s="2" t="s">
        <v>74</v>
      </c>
      <c r="AJ954" s="2" t="s">
        <v>74</v>
      </c>
      <c r="AK954" s="2" t="s">
        <v>74</v>
      </c>
      <c r="AL954" s="2" t="s">
        <v>74</v>
      </c>
      <c r="AM954" s="2" t="s">
        <v>74</v>
      </c>
      <c r="AN954" s="2" t="s">
        <v>74</v>
      </c>
      <c r="AO954" s="2" t="s">
        <v>4936</v>
      </c>
      <c r="AP954" s="2" t="s">
        <v>74</v>
      </c>
      <c r="AQ954" s="2" t="s">
        <v>74</v>
      </c>
      <c r="AR954" s="2" t="s">
        <v>74</v>
      </c>
      <c r="AS954" s="2" t="s">
        <v>74</v>
      </c>
      <c r="AT954" s="2" t="s">
        <v>633</v>
      </c>
      <c r="AU954" s="2">
        <v>1995</v>
      </c>
      <c r="AV954" s="2">
        <v>71</v>
      </c>
      <c r="AW954" s="2">
        <v>2</v>
      </c>
      <c r="AX954" s="2" t="s">
        <v>74</v>
      </c>
      <c r="AY954" s="2" t="s">
        <v>74</v>
      </c>
      <c r="AZ954" s="2" t="s">
        <v>74</v>
      </c>
      <c r="BA954" s="2" t="s">
        <v>74</v>
      </c>
      <c r="BB954" s="2">
        <v>113</v>
      </c>
      <c r="BC954" s="2">
        <v>120</v>
      </c>
      <c r="BD954" s="2" t="s">
        <v>74</v>
      </c>
      <c r="BE954" s="2" t="s">
        <v>74</v>
      </c>
      <c r="BF954" s="2" t="s">
        <v>74</v>
      </c>
      <c r="BG954" s="2" t="s">
        <v>74</v>
      </c>
      <c r="BH954" s="2" t="s">
        <v>74</v>
      </c>
      <c r="BI954" s="2" t="s">
        <v>74</v>
      </c>
      <c r="BJ954" s="2" t="s">
        <v>74</v>
      </c>
      <c r="BK954" s="2" t="s">
        <v>74</v>
      </c>
      <c r="BL954" s="2" t="s">
        <v>74</v>
      </c>
      <c r="BM954" s="2" t="s">
        <v>74</v>
      </c>
      <c r="BN954" s="2" t="s">
        <v>74</v>
      </c>
      <c r="BO954" s="2" t="s">
        <v>74</v>
      </c>
      <c r="BP954" s="2" t="s">
        <v>74</v>
      </c>
      <c r="BQ954" s="2" t="s">
        <v>74</v>
      </c>
      <c r="BR954" s="2" t="s">
        <v>74</v>
      </c>
      <c r="BS954" s="2" t="s">
        <v>4937</v>
      </c>
      <c r="BT954" s="2" t="str">
        <f>HYPERLINK("https%3A%2F%2Fwww.webofscience.com%2Fwos%2Fwoscc%2Ffull-record%2FWOS:A1995TA18200008","View Full Record in Web of Science")</f>
        <v>View Full Record in Web of Science</v>
      </c>
    </row>
    <row r="955" spans="1:72" s="2" customFormat="1" x14ac:dyDescent="0.4">
      <c r="A955" s="2" t="s">
        <v>72</v>
      </c>
      <c r="B955" s="2" t="s">
        <v>8311</v>
      </c>
      <c r="C955" s="2" t="s">
        <v>74</v>
      </c>
      <c r="D955" s="2" t="s">
        <v>74</v>
      </c>
      <c r="E955" s="2" t="s">
        <v>74</v>
      </c>
      <c r="F955" s="2" t="s">
        <v>8312</v>
      </c>
      <c r="G955" s="2" t="s">
        <v>74</v>
      </c>
      <c r="H955" s="2" t="s">
        <v>74</v>
      </c>
      <c r="I955" s="2" t="s">
        <v>8313</v>
      </c>
      <c r="J955" s="2" t="s">
        <v>654</v>
      </c>
      <c r="K955" s="2" t="s">
        <v>74</v>
      </c>
      <c r="L955" s="2" t="s">
        <v>74</v>
      </c>
      <c r="M955" s="2" t="s">
        <v>74</v>
      </c>
      <c r="N955" s="2" t="s">
        <v>74</v>
      </c>
      <c r="O955" s="2" t="s">
        <v>74</v>
      </c>
      <c r="P955" s="2" t="s">
        <v>74</v>
      </c>
      <c r="Q955" s="2" t="s">
        <v>74</v>
      </c>
      <c r="R955" s="2" t="s">
        <v>74</v>
      </c>
      <c r="S955" s="2" t="s">
        <v>74</v>
      </c>
      <c r="T955" s="2" t="s">
        <v>74</v>
      </c>
      <c r="U955" s="2" t="s">
        <v>74</v>
      </c>
      <c r="V955" s="5" t="s">
        <v>8314</v>
      </c>
      <c r="W955" s="2" t="s">
        <v>74</v>
      </c>
      <c r="X955" s="2" t="s">
        <v>74</v>
      </c>
      <c r="Y955" s="2" t="s">
        <v>74</v>
      </c>
      <c r="Z955" s="2" t="s">
        <v>74</v>
      </c>
      <c r="AA955" s="2" t="s">
        <v>74</v>
      </c>
      <c r="AB955" s="2" t="s">
        <v>74</v>
      </c>
      <c r="AC955" s="2" t="s">
        <v>74</v>
      </c>
      <c r="AD955" s="2" t="s">
        <v>74</v>
      </c>
      <c r="AE955" s="2" t="s">
        <v>74</v>
      </c>
      <c r="AF955" s="2" t="s">
        <v>74</v>
      </c>
      <c r="AG955" s="2" t="s">
        <v>74</v>
      </c>
      <c r="AH955" s="2" t="s">
        <v>74</v>
      </c>
      <c r="AI955" s="2" t="s">
        <v>74</v>
      </c>
      <c r="AJ955" s="2" t="s">
        <v>74</v>
      </c>
      <c r="AK955" s="2" t="s">
        <v>74</v>
      </c>
      <c r="AL955" s="2" t="s">
        <v>74</v>
      </c>
      <c r="AM955" s="2" t="s">
        <v>74</v>
      </c>
      <c r="AN955" s="2" t="s">
        <v>74</v>
      </c>
      <c r="AO955" s="2" t="s">
        <v>658</v>
      </c>
      <c r="AP955" s="2" t="s">
        <v>74</v>
      </c>
      <c r="AQ955" s="2" t="s">
        <v>74</v>
      </c>
      <c r="AR955" s="2" t="s">
        <v>74</v>
      </c>
      <c r="AS955" s="2" t="s">
        <v>74</v>
      </c>
      <c r="AT955" s="2" t="s">
        <v>255</v>
      </c>
      <c r="AU955" s="2">
        <v>2024</v>
      </c>
      <c r="AV955" s="2">
        <v>14</v>
      </c>
      <c r="AW955" s="2">
        <v>1</v>
      </c>
      <c r="AX955" s="2" t="s">
        <v>74</v>
      </c>
      <c r="AY955" s="2" t="s">
        <v>74</v>
      </c>
      <c r="AZ955" s="2" t="s">
        <v>74</v>
      </c>
      <c r="BA955" s="2" t="s">
        <v>74</v>
      </c>
      <c r="BB955" s="2" t="s">
        <v>74</v>
      </c>
      <c r="BC955" s="2" t="s">
        <v>74</v>
      </c>
      <c r="BD955" s="2" t="s">
        <v>8315</v>
      </c>
      <c r="BE955" s="2" t="s">
        <v>8316</v>
      </c>
      <c r="BF955" s="2" t="str">
        <f>HYPERLINK("http://dx.doi.org/10.1002/ece3.10851","http://dx.doi.org/10.1002/ece3.10851")</f>
        <v>http://dx.doi.org/10.1002/ece3.10851</v>
      </c>
      <c r="BG955" s="2" t="s">
        <v>74</v>
      </c>
      <c r="BH955" s="2" t="s">
        <v>74</v>
      </c>
      <c r="BI955" s="2" t="s">
        <v>74</v>
      </c>
      <c r="BJ955" s="2" t="s">
        <v>74</v>
      </c>
      <c r="BK955" s="2" t="s">
        <v>74</v>
      </c>
      <c r="BL955" s="2" t="s">
        <v>74</v>
      </c>
      <c r="BM955" s="2" t="s">
        <v>74</v>
      </c>
      <c r="BN955" s="2">
        <v>38274864</v>
      </c>
      <c r="BO955" s="2" t="s">
        <v>74</v>
      </c>
      <c r="BP955" s="2" t="s">
        <v>74</v>
      </c>
      <c r="BQ955" s="2" t="s">
        <v>74</v>
      </c>
      <c r="BR955" s="2" t="s">
        <v>74</v>
      </c>
      <c r="BS955" s="2" t="s">
        <v>8317</v>
      </c>
      <c r="BT955" s="2" t="str">
        <f>HYPERLINK("https%3A%2F%2Fwww.webofscience.com%2Fwos%2Fwoscc%2Ffull-record%2FWOS:001148034400001","View Full Record in Web of Science")</f>
        <v>View Full Record in Web of Science</v>
      </c>
    </row>
    <row r="956" spans="1:72" s="2" customFormat="1" x14ac:dyDescent="0.4">
      <c r="A956" s="2" t="s">
        <v>72</v>
      </c>
      <c r="B956" s="2" t="s">
        <v>1777</v>
      </c>
      <c r="C956" s="2" t="s">
        <v>74</v>
      </c>
      <c r="D956" s="2" t="s">
        <v>74</v>
      </c>
      <c r="E956" s="2" t="s">
        <v>74</v>
      </c>
      <c r="F956" s="2" t="s">
        <v>1778</v>
      </c>
      <c r="G956" s="2" t="s">
        <v>74</v>
      </c>
      <c r="H956" s="2" t="s">
        <v>74</v>
      </c>
      <c r="I956" s="2" t="s">
        <v>1779</v>
      </c>
      <c r="J956" s="2" t="s">
        <v>140</v>
      </c>
      <c r="K956" s="2" t="s">
        <v>74</v>
      </c>
      <c r="L956" s="2" t="s">
        <v>74</v>
      </c>
      <c r="M956" s="2" t="s">
        <v>74</v>
      </c>
      <c r="N956" s="2" t="s">
        <v>74</v>
      </c>
      <c r="O956" s="2" t="s">
        <v>74</v>
      </c>
      <c r="P956" s="2" t="s">
        <v>74</v>
      </c>
      <c r="Q956" s="2" t="s">
        <v>74</v>
      </c>
      <c r="R956" s="2" t="s">
        <v>74</v>
      </c>
      <c r="S956" s="2" t="s">
        <v>74</v>
      </c>
      <c r="T956" s="2" t="s">
        <v>74</v>
      </c>
      <c r="U956" s="2" t="s">
        <v>74</v>
      </c>
      <c r="V956" s="5" t="s">
        <v>1780</v>
      </c>
      <c r="W956" s="2" t="s">
        <v>74</v>
      </c>
      <c r="X956" s="2" t="s">
        <v>74</v>
      </c>
      <c r="Y956" s="2" t="s">
        <v>74</v>
      </c>
      <c r="Z956" s="2" t="s">
        <v>74</v>
      </c>
      <c r="AA956" s="2" t="s">
        <v>1781</v>
      </c>
      <c r="AB956" s="2" t="s">
        <v>1782</v>
      </c>
      <c r="AC956" s="2" t="s">
        <v>74</v>
      </c>
      <c r="AD956" s="2" t="s">
        <v>74</v>
      </c>
      <c r="AE956" s="2" t="s">
        <v>74</v>
      </c>
      <c r="AF956" s="2" t="s">
        <v>74</v>
      </c>
      <c r="AG956" s="2" t="s">
        <v>74</v>
      </c>
      <c r="AH956" s="2" t="s">
        <v>74</v>
      </c>
      <c r="AI956" s="2" t="s">
        <v>74</v>
      </c>
      <c r="AJ956" s="2" t="s">
        <v>74</v>
      </c>
      <c r="AK956" s="2" t="s">
        <v>74</v>
      </c>
      <c r="AL956" s="2" t="s">
        <v>74</v>
      </c>
      <c r="AM956" s="2" t="s">
        <v>74</v>
      </c>
      <c r="AN956" s="2" t="s">
        <v>74</v>
      </c>
      <c r="AO956" s="2" t="s">
        <v>143</v>
      </c>
      <c r="AP956" s="2" t="s">
        <v>144</v>
      </c>
      <c r="AQ956" s="2" t="s">
        <v>74</v>
      </c>
      <c r="AR956" s="2" t="s">
        <v>74</v>
      </c>
      <c r="AS956" s="2" t="s">
        <v>74</v>
      </c>
      <c r="AT956" s="2" t="s">
        <v>213</v>
      </c>
      <c r="AU956" s="2">
        <v>2018</v>
      </c>
      <c r="AV956" s="2">
        <v>145</v>
      </c>
      <c r="AW956" s="2" t="s">
        <v>74</v>
      </c>
      <c r="AX956" s="2" t="s">
        <v>74</v>
      </c>
      <c r="AY956" s="2" t="s">
        <v>74</v>
      </c>
      <c r="AZ956" s="2" t="s">
        <v>74</v>
      </c>
      <c r="BA956" s="2" t="s">
        <v>74</v>
      </c>
      <c r="BB956" s="2">
        <v>29</v>
      </c>
      <c r="BC956" s="2">
        <v>37</v>
      </c>
      <c r="BD956" s="2" t="s">
        <v>74</v>
      </c>
      <c r="BE956" s="2" t="s">
        <v>1783</v>
      </c>
      <c r="BF956" s="2" t="str">
        <f>HYPERLINK("http://dx.doi.org/10.1016/j.anbehav.2018.08.015","http://dx.doi.org/10.1016/j.anbehav.2018.08.015")</f>
        <v>http://dx.doi.org/10.1016/j.anbehav.2018.08.015</v>
      </c>
      <c r="BG956" s="2" t="s">
        <v>74</v>
      </c>
      <c r="BH956" s="2" t="s">
        <v>74</v>
      </c>
      <c r="BI956" s="2" t="s">
        <v>74</v>
      </c>
      <c r="BJ956" s="2" t="s">
        <v>74</v>
      </c>
      <c r="BK956" s="2" t="s">
        <v>74</v>
      </c>
      <c r="BL956" s="2" t="s">
        <v>74</v>
      </c>
      <c r="BM956" s="2" t="s">
        <v>74</v>
      </c>
      <c r="BN956" s="2" t="s">
        <v>74</v>
      </c>
      <c r="BO956" s="2" t="s">
        <v>74</v>
      </c>
      <c r="BP956" s="2" t="s">
        <v>74</v>
      </c>
      <c r="BQ956" s="2" t="s">
        <v>74</v>
      </c>
      <c r="BR956" s="2" t="s">
        <v>74</v>
      </c>
      <c r="BS956" s="2" t="s">
        <v>1784</v>
      </c>
      <c r="BT956" s="2" t="str">
        <f>HYPERLINK("https%3A%2F%2Fwww.webofscience.com%2Fwos%2Fwoscc%2Ffull-record%2FWOS:000449696600003","View Full Record in Web of Science")</f>
        <v>View Full Record in Web of Science</v>
      </c>
    </row>
    <row r="957" spans="1:72" s="7" customFormat="1" x14ac:dyDescent="0.4">
      <c r="A957" s="2" t="s">
        <v>72</v>
      </c>
      <c r="B957" s="2" t="s">
        <v>4803</v>
      </c>
      <c r="C957" s="2" t="s">
        <v>74</v>
      </c>
      <c r="D957" s="2" t="s">
        <v>74</v>
      </c>
      <c r="E957" s="2" t="s">
        <v>74</v>
      </c>
      <c r="F957" s="2" t="s">
        <v>4804</v>
      </c>
      <c r="G957" s="2" t="s">
        <v>74</v>
      </c>
      <c r="H957" s="2" t="s">
        <v>74</v>
      </c>
      <c r="I957" s="2" t="s">
        <v>4805</v>
      </c>
      <c r="J957" s="2" t="s">
        <v>3089</v>
      </c>
      <c r="K957" s="2" t="s">
        <v>74</v>
      </c>
      <c r="L957" s="2" t="s">
        <v>74</v>
      </c>
      <c r="M957" s="2" t="s">
        <v>74</v>
      </c>
      <c r="N957" s="2" t="s">
        <v>74</v>
      </c>
      <c r="O957" s="2" t="s">
        <v>74</v>
      </c>
      <c r="P957" s="2" t="s">
        <v>74</v>
      </c>
      <c r="Q957" s="2" t="s">
        <v>74</v>
      </c>
      <c r="R957" s="2" t="s">
        <v>74</v>
      </c>
      <c r="S957" s="2" t="s">
        <v>74</v>
      </c>
      <c r="T957" s="2" t="s">
        <v>74</v>
      </c>
      <c r="U957" s="2" t="s">
        <v>74</v>
      </c>
      <c r="V957" s="5" t="s">
        <v>4806</v>
      </c>
      <c r="W957" s="2" t="s">
        <v>74</v>
      </c>
      <c r="X957" s="2" t="s">
        <v>74</v>
      </c>
      <c r="Y957" s="2" t="s">
        <v>74</v>
      </c>
      <c r="Z957" s="2" t="s">
        <v>74</v>
      </c>
      <c r="AA957" s="2" t="s">
        <v>4807</v>
      </c>
      <c r="AB957" s="2" t="s">
        <v>4808</v>
      </c>
      <c r="AC957" s="2" t="s">
        <v>74</v>
      </c>
      <c r="AD957" s="2" t="s">
        <v>74</v>
      </c>
      <c r="AE957" s="2" t="s">
        <v>74</v>
      </c>
      <c r="AF957" s="2" t="s">
        <v>74</v>
      </c>
      <c r="AG957" s="2" t="s">
        <v>74</v>
      </c>
      <c r="AH957" s="2" t="s">
        <v>74</v>
      </c>
      <c r="AI957" s="2" t="s">
        <v>74</v>
      </c>
      <c r="AJ957" s="2" t="s">
        <v>74</v>
      </c>
      <c r="AK957" s="2" t="s">
        <v>74</v>
      </c>
      <c r="AL957" s="2" t="s">
        <v>74</v>
      </c>
      <c r="AM957" s="2" t="s">
        <v>74</v>
      </c>
      <c r="AN957" s="2" t="s">
        <v>74</v>
      </c>
      <c r="AO957" s="2" t="s">
        <v>3093</v>
      </c>
      <c r="AP957" s="2" t="s">
        <v>3094</v>
      </c>
      <c r="AQ957" s="2" t="s">
        <v>74</v>
      </c>
      <c r="AR957" s="2" t="s">
        <v>74</v>
      </c>
      <c r="AS957" s="2" t="s">
        <v>74</v>
      </c>
      <c r="AT957" s="2" t="s">
        <v>134</v>
      </c>
      <c r="AU957" s="2">
        <v>2010</v>
      </c>
      <c r="AV957" s="2">
        <v>28</v>
      </c>
      <c r="AW957" s="2">
        <v>2</v>
      </c>
      <c r="AX957" s="2" t="s">
        <v>74</v>
      </c>
      <c r="AY957" s="2" t="s">
        <v>74</v>
      </c>
      <c r="AZ957" s="2" t="s">
        <v>74</v>
      </c>
      <c r="BA957" s="2" t="s">
        <v>74</v>
      </c>
      <c r="BB957" s="2">
        <v>273</v>
      </c>
      <c r="BC957" s="2">
        <v>286</v>
      </c>
      <c r="BD957" s="2" t="s">
        <v>74</v>
      </c>
      <c r="BE957" s="2" t="s">
        <v>4809</v>
      </c>
      <c r="BF957" s="2" t="str">
        <f>HYPERLINK("http://dx.doi.org/10.1007/s10164-009-0181-9","http://dx.doi.org/10.1007/s10164-009-0181-9")</f>
        <v>http://dx.doi.org/10.1007/s10164-009-0181-9</v>
      </c>
      <c r="BG957" s="2" t="s">
        <v>74</v>
      </c>
      <c r="BH957" s="2" t="s">
        <v>74</v>
      </c>
      <c r="BI957" s="2" t="s">
        <v>74</v>
      </c>
      <c r="BJ957" s="2" t="s">
        <v>74</v>
      </c>
      <c r="BK957" s="2" t="s">
        <v>74</v>
      </c>
      <c r="BL957" s="2" t="s">
        <v>74</v>
      </c>
      <c r="BM957" s="2" t="s">
        <v>74</v>
      </c>
      <c r="BN957" s="2" t="s">
        <v>74</v>
      </c>
      <c r="BO957" s="2" t="s">
        <v>74</v>
      </c>
      <c r="BP957" s="2" t="s">
        <v>74</v>
      </c>
      <c r="BQ957" s="2" t="s">
        <v>74</v>
      </c>
      <c r="BR957" s="2" t="s">
        <v>74</v>
      </c>
      <c r="BS957" s="2" t="s">
        <v>4810</v>
      </c>
      <c r="BT957" s="2" t="str">
        <f>HYPERLINK("https%3A%2F%2Fwww.webofscience.com%2Fwos%2Fwoscc%2Ffull-record%2FWOS:000277469300009","View Full Record in Web of Science")</f>
        <v>View Full Record in Web of Science</v>
      </c>
    </row>
    <row r="958" spans="1:72" s="2" customFormat="1" x14ac:dyDescent="0.4">
      <c r="A958" s="2" t="s">
        <v>72</v>
      </c>
      <c r="B958" s="2" t="s">
        <v>8480</v>
      </c>
      <c r="C958" s="2" t="s">
        <v>74</v>
      </c>
      <c r="D958" s="2" t="s">
        <v>74</v>
      </c>
      <c r="E958" s="2" t="s">
        <v>74</v>
      </c>
      <c r="F958" s="2" t="s">
        <v>8480</v>
      </c>
      <c r="G958" s="2" t="s">
        <v>74</v>
      </c>
      <c r="H958" s="2" t="s">
        <v>74</v>
      </c>
      <c r="I958" s="2" t="s">
        <v>8481</v>
      </c>
      <c r="J958" s="2" t="s">
        <v>1755</v>
      </c>
      <c r="K958" s="2" t="s">
        <v>74</v>
      </c>
      <c r="L958" s="2" t="s">
        <v>74</v>
      </c>
      <c r="M958" s="2" t="s">
        <v>74</v>
      </c>
      <c r="N958" s="2" t="s">
        <v>74</v>
      </c>
      <c r="O958" s="2" t="s">
        <v>74</v>
      </c>
      <c r="P958" s="2" t="s">
        <v>74</v>
      </c>
      <c r="Q958" s="2" t="s">
        <v>74</v>
      </c>
      <c r="R958" s="2" t="s">
        <v>74</v>
      </c>
      <c r="S958" s="2" t="s">
        <v>74</v>
      </c>
      <c r="T958" s="2" t="s">
        <v>74</v>
      </c>
      <c r="U958" s="2" t="s">
        <v>74</v>
      </c>
      <c r="V958" s="5" t="s">
        <v>8482</v>
      </c>
      <c r="W958" s="2" t="s">
        <v>74</v>
      </c>
      <c r="X958" s="2" t="s">
        <v>74</v>
      </c>
      <c r="Y958" s="2" t="s">
        <v>74</v>
      </c>
      <c r="Z958" s="2" t="s">
        <v>74</v>
      </c>
      <c r="AA958" s="2" t="s">
        <v>74</v>
      </c>
      <c r="AB958" s="2" t="s">
        <v>74</v>
      </c>
      <c r="AC958" s="2" t="s">
        <v>74</v>
      </c>
      <c r="AD958" s="2" t="s">
        <v>74</v>
      </c>
      <c r="AE958" s="2" t="s">
        <v>74</v>
      </c>
      <c r="AF958" s="2" t="s">
        <v>74</v>
      </c>
      <c r="AG958" s="2" t="s">
        <v>74</v>
      </c>
      <c r="AH958" s="2" t="s">
        <v>74</v>
      </c>
      <c r="AI958" s="2" t="s">
        <v>74</v>
      </c>
      <c r="AJ958" s="2" t="s">
        <v>74</v>
      </c>
      <c r="AK958" s="2" t="s">
        <v>74</v>
      </c>
      <c r="AL958" s="2" t="s">
        <v>74</v>
      </c>
      <c r="AM958" s="2" t="s">
        <v>74</v>
      </c>
      <c r="AN958" s="2" t="s">
        <v>74</v>
      </c>
      <c r="AO958" s="2" t="s">
        <v>1759</v>
      </c>
      <c r="AP958" s="2" t="s">
        <v>1760</v>
      </c>
      <c r="AQ958" s="2" t="s">
        <v>74</v>
      </c>
      <c r="AR958" s="2" t="s">
        <v>74</v>
      </c>
      <c r="AS958" s="2" t="s">
        <v>74</v>
      </c>
      <c r="AT958" s="2" t="s">
        <v>352</v>
      </c>
      <c r="AU958" s="2">
        <v>2001</v>
      </c>
      <c r="AV958" s="2">
        <v>14</v>
      </c>
      <c r="AW958" s="2">
        <v>5</v>
      </c>
      <c r="AX958" s="2" t="s">
        <v>74</v>
      </c>
      <c r="AY958" s="2" t="s">
        <v>74</v>
      </c>
      <c r="AZ958" s="2" t="s">
        <v>74</v>
      </c>
      <c r="BA958" s="2" t="s">
        <v>74</v>
      </c>
      <c r="BB958" s="2">
        <v>607</v>
      </c>
      <c r="BC958" s="2">
        <v>620</v>
      </c>
      <c r="BD958" s="2" t="s">
        <v>74</v>
      </c>
      <c r="BE958" s="2" t="s">
        <v>8483</v>
      </c>
      <c r="BF958" s="2" t="str">
        <f>HYPERLINK("http://dx.doi.org/10.1023/A:1012223217250","http://dx.doi.org/10.1023/A:1012223217250")</f>
        <v>http://dx.doi.org/10.1023/A:1012223217250</v>
      </c>
      <c r="BG958" s="2" t="s">
        <v>74</v>
      </c>
      <c r="BH958" s="2" t="s">
        <v>74</v>
      </c>
      <c r="BI958" s="2" t="s">
        <v>74</v>
      </c>
      <c r="BJ958" s="2" t="s">
        <v>74</v>
      </c>
      <c r="BK958" s="2" t="s">
        <v>74</v>
      </c>
      <c r="BL958" s="2" t="s">
        <v>74</v>
      </c>
      <c r="BM958" s="2" t="s">
        <v>74</v>
      </c>
      <c r="BN958" s="2" t="s">
        <v>74</v>
      </c>
      <c r="BO958" s="2" t="s">
        <v>74</v>
      </c>
      <c r="BP958" s="2" t="s">
        <v>74</v>
      </c>
      <c r="BQ958" s="2" t="s">
        <v>74</v>
      </c>
      <c r="BR958" s="2" t="s">
        <v>74</v>
      </c>
      <c r="BS958" s="2" t="s">
        <v>8484</v>
      </c>
      <c r="BT958" s="2" t="str">
        <f>HYPERLINK("https%3A%2F%2Fwww.webofscience.com%2Fwos%2Fwoscc%2Ffull-record%2FWOS:000172302200004","View Full Record in Web of Science")</f>
        <v>View Full Record in Web of Science</v>
      </c>
    </row>
    <row r="959" spans="1:72" s="2" customFormat="1" x14ac:dyDescent="0.4">
      <c r="A959" s="2" t="s">
        <v>72</v>
      </c>
      <c r="B959" s="2" t="s">
        <v>1508</v>
      </c>
      <c r="C959" s="2" t="s">
        <v>74</v>
      </c>
      <c r="D959" s="2" t="s">
        <v>74</v>
      </c>
      <c r="E959" s="2" t="s">
        <v>74</v>
      </c>
      <c r="F959" s="2" t="s">
        <v>1509</v>
      </c>
      <c r="G959" s="2" t="s">
        <v>74</v>
      </c>
      <c r="H959" s="2" t="s">
        <v>74</v>
      </c>
      <c r="I959" s="2" t="s">
        <v>1510</v>
      </c>
      <c r="J959" s="2" t="s">
        <v>140</v>
      </c>
      <c r="K959" s="2" t="s">
        <v>74</v>
      </c>
      <c r="L959" s="2" t="s">
        <v>74</v>
      </c>
      <c r="M959" s="2" t="s">
        <v>74</v>
      </c>
      <c r="N959" s="2" t="s">
        <v>74</v>
      </c>
      <c r="O959" s="2" t="s">
        <v>74</v>
      </c>
      <c r="P959" s="2" t="s">
        <v>74</v>
      </c>
      <c r="Q959" s="2" t="s">
        <v>74</v>
      </c>
      <c r="R959" s="2" t="s">
        <v>74</v>
      </c>
      <c r="S959" s="2" t="s">
        <v>74</v>
      </c>
      <c r="T959" s="2" t="s">
        <v>74</v>
      </c>
      <c r="U959" s="2" t="s">
        <v>74</v>
      </c>
      <c r="V959" s="5" t="s">
        <v>1511</v>
      </c>
      <c r="W959" s="2" t="s">
        <v>74</v>
      </c>
      <c r="X959" s="2" t="s">
        <v>74</v>
      </c>
      <c r="Y959" s="2" t="s">
        <v>74</v>
      </c>
      <c r="Z959" s="2" t="s">
        <v>74</v>
      </c>
      <c r="AA959" s="2" t="s">
        <v>1512</v>
      </c>
      <c r="AB959" s="2" t="s">
        <v>1513</v>
      </c>
      <c r="AC959" s="2" t="s">
        <v>74</v>
      </c>
      <c r="AD959" s="2" t="s">
        <v>74</v>
      </c>
      <c r="AE959" s="2" t="s">
        <v>74</v>
      </c>
      <c r="AF959" s="2" t="s">
        <v>74</v>
      </c>
      <c r="AG959" s="2" t="s">
        <v>74</v>
      </c>
      <c r="AH959" s="2" t="s">
        <v>74</v>
      </c>
      <c r="AI959" s="2" t="s">
        <v>74</v>
      </c>
      <c r="AJ959" s="2" t="s">
        <v>74</v>
      </c>
      <c r="AK959" s="2" t="s">
        <v>74</v>
      </c>
      <c r="AL959" s="2" t="s">
        <v>74</v>
      </c>
      <c r="AM959" s="2" t="s">
        <v>74</v>
      </c>
      <c r="AN959" s="2" t="s">
        <v>74</v>
      </c>
      <c r="AO959" s="2" t="s">
        <v>143</v>
      </c>
      <c r="AP959" s="2" t="s">
        <v>144</v>
      </c>
      <c r="AQ959" s="2" t="s">
        <v>74</v>
      </c>
      <c r="AR959" s="2" t="s">
        <v>74</v>
      </c>
      <c r="AS959" s="2" t="s">
        <v>74</v>
      </c>
      <c r="AT959" s="2" t="s">
        <v>175</v>
      </c>
      <c r="AU959" s="2">
        <v>2008</v>
      </c>
      <c r="AV959" s="2">
        <v>76</v>
      </c>
      <c r="AW959" s="2" t="s">
        <v>74</v>
      </c>
      <c r="AX959" s="2">
        <v>4</v>
      </c>
      <c r="AY959" s="2" t="s">
        <v>74</v>
      </c>
      <c r="AZ959" s="2" t="s">
        <v>74</v>
      </c>
      <c r="BA959" s="2" t="s">
        <v>74</v>
      </c>
      <c r="BB959" s="2">
        <v>1357</v>
      </c>
      <c r="BC959" s="2">
        <v>1364</v>
      </c>
      <c r="BD959" s="2" t="s">
        <v>74</v>
      </c>
      <c r="BE959" s="2" t="s">
        <v>1514</v>
      </c>
      <c r="BF959" s="2" t="str">
        <f>HYPERLINK("http://dx.doi.org/10.1016/j.anbehav.2008.04.024","http://dx.doi.org/10.1016/j.anbehav.2008.04.024")</f>
        <v>http://dx.doi.org/10.1016/j.anbehav.2008.04.024</v>
      </c>
      <c r="BG959" s="2" t="s">
        <v>74</v>
      </c>
      <c r="BH959" s="2" t="s">
        <v>74</v>
      </c>
      <c r="BI959" s="2" t="s">
        <v>74</v>
      </c>
      <c r="BJ959" s="2" t="s">
        <v>74</v>
      </c>
      <c r="BK959" s="2" t="s">
        <v>74</v>
      </c>
      <c r="BL959" s="2" t="s">
        <v>74</v>
      </c>
      <c r="BM959" s="2" t="s">
        <v>74</v>
      </c>
      <c r="BN959" s="2" t="s">
        <v>74</v>
      </c>
      <c r="BO959" s="2" t="s">
        <v>74</v>
      </c>
      <c r="BP959" s="2" t="s">
        <v>74</v>
      </c>
      <c r="BQ959" s="2" t="s">
        <v>74</v>
      </c>
      <c r="BR959" s="2" t="s">
        <v>74</v>
      </c>
      <c r="BS959" s="2" t="s">
        <v>1515</v>
      </c>
      <c r="BT959" s="2" t="str">
        <f>HYPERLINK("https%3A%2F%2Fwww.webofscience.com%2Fwos%2Fwoscc%2Ffull-record%2FWOS:000260118000026","View Full Record in Web of Science")</f>
        <v>View Full Record in Web of Science</v>
      </c>
    </row>
    <row r="960" spans="1:72" s="2" customFormat="1" x14ac:dyDescent="0.4">
      <c r="A960" s="2" t="s">
        <v>72</v>
      </c>
      <c r="B960" s="2" t="s">
        <v>4089</v>
      </c>
      <c r="C960" s="2" t="s">
        <v>74</v>
      </c>
      <c r="D960" s="2" t="s">
        <v>74</v>
      </c>
      <c r="E960" s="2" t="s">
        <v>74</v>
      </c>
      <c r="F960" s="2" t="s">
        <v>4090</v>
      </c>
      <c r="G960" s="2" t="s">
        <v>74</v>
      </c>
      <c r="H960" s="2" t="s">
        <v>74</v>
      </c>
      <c r="I960" s="2" t="s">
        <v>4091</v>
      </c>
      <c r="J960" s="2" t="s">
        <v>140</v>
      </c>
      <c r="K960" s="2" t="s">
        <v>74</v>
      </c>
      <c r="L960" s="2" t="s">
        <v>74</v>
      </c>
      <c r="M960" s="2" t="s">
        <v>74</v>
      </c>
      <c r="N960" s="2" t="s">
        <v>74</v>
      </c>
      <c r="O960" s="2" t="s">
        <v>74</v>
      </c>
      <c r="P960" s="2" t="s">
        <v>74</v>
      </c>
      <c r="Q960" s="2" t="s">
        <v>74</v>
      </c>
      <c r="R960" s="2" t="s">
        <v>74</v>
      </c>
      <c r="S960" s="2" t="s">
        <v>74</v>
      </c>
      <c r="T960" s="2" t="s">
        <v>74</v>
      </c>
      <c r="U960" s="2" t="s">
        <v>74</v>
      </c>
      <c r="V960" s="5" t="s">
        <v>4092</v>
      </c>
      <c r="W960" s="2" t="s">
        <v>74</v>
      </c>
      <c r="X960" s="2" t="s">
        <v>74</v>
      </c>
      <c r="Y960" s="2" t="s">
        <v>74</v>
      </c>
      <c r="Z960" s="2" t="s">
        <v>74</v>
      </c>
      <c r="AA960" s="2" t="s">
        <v>2989</v>
      </c>
      <c r="AB960" s="2" t="s">
        <v>4093</v>
      </c>
      <c r="AC960" s="2" t="s">
        <v>74</v>
      </c>
      <c r="AD960" s="2" t="s">
        <v>74</v>
      </c>
      <c r="AE960" s="2" t="s">
        <v>74</v>
      </c>
      <c r="AF960" s="2" t="s">
        <v>74</v>
      </c>
      <c r="AG960" s="2" t="s">
        <v>74</v>
      </c>
      <c r="AH960" s="2" t="s">
        <v>74</v>
      </c>
      <c r="AI960" s="2" t="s">
        <v>74</v>
      </c>
      <c r="AJ960" s="2" t="s">
        <v>74</v>
      </c>
      <c r="AK960" s="2" t="s">
        <v>74</v>
      </c>
      <c r="AL960" s="2" t="s">
        <v>74</v>
      </c>
      <c r="AM960" s="2" t="s">
        <v>74</v>
      </c>
      <c r="AN960" s="2" t="s">
        <v>74</v>
      </c>
      <c r="AO960" s="2" t="s">
        <v>143</v>
      </c>
      <c r="AP960" s="2" t="s">
        <v>144</v>
      </c>
      <c r="AQ960" s="2" t="s">
        <v>74</v>
      </c>
      <c r="AR960" s="2" t="s">
        <v>74</v>
      </c>
      <c r="AS960" s="2" t="s">
        <v>74</v>
      </c>
      <c r="AT960" s="2" t="s">
        <v>213</v>
      </c>
      <c r="AU960" s="2">
        <v>2013</v>
      </c>
      <c r="AV960" s="2">
        <v>86</v>
      </c>
      <c r="AW960" s="2">
        <v>5</v>
      </c>
      <c r="AX960" s="2" t="s">
        <v>74</v>
      </c>
      <c r="AY960" s="2" t="s">
        <v>74</v>
      </c>
      <c r="AZ960" s="2" t="s">
        <v>74</v>
      </c>
      <c r="BA960" s="2" t="s">
        <v>74</v>
      </c>
      <c r="BB960" s="2">
        <v>923</v>
      </c>
      <c r="BC960" s="2">
        <v>931</v>
      </c>
      <c r="BD960" s="2" t="s">
        <v>74</v>
      </c>
      <c r="BE960" s="2" t="s">
        <v>4094</v>
      </c>
      <c r="BF960" s="2" t="str">
        <f>HYPERLINK("http://dx.doi.org/10.1016/j.anbehav.2013.08.008","http://dx.doi.org/10.1016/j.anbehav.2013.08.008")</f>
        <v>http://dx.doi.org/10.1016/j.anbehav.2013.08.008</v>
      </c>
      <c r="BG960" s="2" t="s">
        <v>74</v>
      </c>
      <c r="BH960" s="2" t="s">
        <v>74</v>
      </c>
      <c r="BI960" s="2" t="s">
        <v>74</v>
      </c>
      <c r="BJ960" s="2" t="s">
        <v>74</v>
      </c>
      <c r="BK960" s="2" t="s">
        <v>74</v>
      </c>
      <c r="BL960" s="2" t="s">
        <v>74</v>
      </c>
      <c r="BM960" s="2" t="s">
        <v>74</v>
      </c>
      <c r="BN960" s="2" t="s">
        <v>74</v>
      </c>
      <c r="BO960" s="2" t="s">
        <v>74</v>
      </c>
      <c r="BP960" s="2" t="s">
        <v>74</v>
      </c>
      <c r="BQ960" s="2" t="s">
        <v>74</v>
      </c>
      <c r="BR960" s="2" t="s">
        <v>74</v>
      </c>
      <c r="BS960" s="2" t="s">
        <v>4095</v>
      </c>
      <c r="BT960" s="2" t="str">
        <f>HYPERLINK("https%3A%2F%2Fwww.webofscience.com%2Fwos%2Fwoscc%2Ffull-record%2FWOS:000326272200011","View Full Record in Web of Science")</f>
        <v>View Full Record in Web of Science</v>
      </c>
    </row>
    <row r="961" spans="1:72" s="2" customFormat="1" x14ac:dyDescent="0.4">
      <c r="A961" s="2" t="s">
        <v>72</v>
      </c>
      <c r="B961" s="2" t="s">
        <v>4471</v>
      </c>
      <c r="C961" s="2" t="s">
        <v>74</v>
      </c>
      <c r="D961" s="2" t="s">
        <v>74</v>
      </c>
      <c r="E961" s="2" t="s">
        <v>74</v>
      </c>
      <c r="F961" s="2" t="s">
        <v>4471</v>
      </c>
      <c r="G961" s="2" t="s">
        <v>74</v>
      </c>
      <c r="H961" s="2" t="s">
        <v>74</v>
      </c>
      <c r="I961" s="2" t="s">
        <v>4472</v>
      </c>
      <c r="J961" s="2" t="s">
        <v>4473</v>
      </c>
      <c r="K961" s="2" t="s">
        <v>74</v>
      </c>
      <c r="L961" s="2" t="s">
        <v>74</v>
      </c>
      <c r="M961" s="2" t="s">
        <v>74</v>
      </c>
      <c r="N961" s="2" t="s">
        <v>74</v>
      </c>
      <c r="O961" s="2" t="s">
        <v>74</v>
      </c>
      <c r="P961" s="2" t="s">
        <v>74</v>
      </c>
      <c r="Q961" s="2" t="s">
        <v>74</v>
      </c>
      <c r="R961" s="2" t="s">
        <v>74</v>
      </c>
      <c r="S961" s="2" t="s">
        <v>74</v>
      </c>
      <c r="T961" s="2" t="s">
        <v>74</v>
      </c>
      <c r="U961" s="2" t="s">
        <v>74</v>
      </c>
      <c r="V961" s="5" t="s">
        <v>4474</v>
      </c>
      <c r="W961" s="2" t="s">
        <v>74</v>
      </c>
      <c r="X961" s="2" t="s">
        <v>74</v>
      </c>
      <c r="Y961" s="2" t="s">
        <v>74</v>
      </c>
      <c r="Z961" s="2" t="s">
        <v>74</v>
      </c>
      <c r="AA961" s="2" t="s">
        <v>74</v>
      </c>
      <c r="AB961" s="2" t="s">
        <v>74</v>
      </c>
      <c r="AC961" s="2" t="s">
        <v>74</v>
      </c>
      <c r="AD961" s="2" t="s">
        <v>74</v>
      </c>
      <c r="AE961" s="2" t="s">
        <v>74</v>
      </c>
      <c r="AF961" s="2" t="s">
        <v>74</v>
      </c>
      <c r="AG961" s="2" t="s">
        <v>74</v>
      </c>
      <c r="AH961" s="2" t="s">
        <v>74</v>
      </c>
      <c r="AI961" s="2" t="s">
        <v>74</v>
      </c>
      <c r="AJ961" s="2" t="s">
        <v>74</v>
      </c>
      <c r="AK961" s="2" t="s">
        <v>74</v>
      </c>
      <c r="AL961" s="2" t="s">
        <v>74</v>
      </c>
      <c r="AM961" s="2" t="s">
        <v>74</v>
      </c>
      <c r="AN961" s="2" t="s">
        <v>74</v>
      </c>
      <c r="AO961" s="2" t="s">
        <v>818</v>
      </c>
      <c r="AP961" s="2" t="s">
        <v>74</v>
      </c>
      <c r="AQ961" s="2" t="s">
        <v>74</v>
      </c>
      <c r="AR961" s="2" t="s">
        <v>74</v>
      </c>
      <c r="AS961" s="2" t="s">
        <v>74</v>
      </c>
      <c r="AT961" s="2" t="s">
        <v>74</v>
      </c>
      <c r="AU961" s="2">
        <v>1995</v>
      </c>
      <c r="AV961" s="2">
        <v>99</v>
      </c>
      <c r="AW961" s="2">
        <v>2</v>
      </c>
      <c r="AX961" s="2" t="s">
        <v>74</v>
      </c>
      <c r="AY961" s="2" t="s">
        <v>74</v>
      </c>
      <c r="AZ961" s="2" t="s">
        <v>74</v>
      </c>
      <c r="BA961" s="2" t="s">
        <v>74</v>
      </c>
      <c r="BB961" s="2">
        <v>113</v>
      </c>
      <c r="BC961" s="2">
        <v>120</v>
      </c>
      <c r="BD961" s="2" t="s">
        <v>74</v>
      </c>
      <c r="BE961" s="2" t="s">
        <v>74</v>
      </c>
      <c r="BF961" s="2" t="s">
        <v>74</v>
      </c>
      <c r="BG961" s="2" t="s">
        <v>74</v>
      </c>
      <c r="BH961" s="2" t="s">
        <v>74</v>
      </c>
      <c r="BI961" s="2" t="s">
        <v>74</v>
      </c>
      <c r="BJ961" s="2" t="s">
        <v>74</v>
      </c>
      <c r="BK961" s="2" t="s">
        <v>74</v>
      </c>
      <c r="BL961" s="2" t="s">
        <v>74</v>
      </c>
      <c r="BM961" s="2" t="s">
        <v>74</v>
      </c>
      <c r="BN961" s="2" t="s">
        <v>74</v>
      </c>
      <c r="BO961" s="2" t="s">
        <v>74</v>
      </c>
      <c r="BP961" s="2" t="s">
        <v>74</v>
      </c>
      <c r="BQ961" s="2" t="s">
        <v>74</v>
      </c>
      <c r="BR961" s="2" t="s">
        <v>74</v>
      </c>
      <c r="BS961" s="2" t="s">
        <v>4475</v>
      </c>
      <c r="BT961" s="2" t="str">
        <f>HYPERLINK("https%3A%2F%2Fwww.webofscience.com%2Fwos%2Fwoscc%2Ffull-record%2FWOS:A1995UA71800003","View Full Record in Web of Science")</f>
        <v>View Full Record in Web of Science</v>
      </c>
    </row>
    <row r="962" spans="1:72" s="2" customFormat="1" x14ac:dyDescent="0.4">
      <c r="A962" s="2" t="s">
        <v>72</v>
      </c>
      <c r="B962" s="2" t="s">
        <v>6580</v>
      </c>
      <c r="C962" s="2" t="s">
        <v>74</v>
      </c>
      <c r="D962" s="2" t="s">
        <v>74</v>
      </c>
      <c r="E962" s="2" t="s">
        <v>74</v>
      </c>
      <c r="F962" s="2" t="s">
        <v>6580</v>
      </c>
      <c r="G962" s="2" t="s">
        <v>74</v>
      </c>
      <c r="H962" s="2" t="s">
        <v>74</v>
      </c>
      <c r="I962" s="2" t="s">
        <v>6581</v>
      </c>
      <c r="J962" s="2" t="s">
        <v>77</v>
      </c>
      <c r="K962" s="2" t="s">
        <v>74</v>
      </c>
      <c r="L962" s="2" t="s">
        <v>74</v>
      </c>
      <c r="M962" s="2" t="s">
        <v>74</v>
      </c>
      <c r="N962" s="2" t="s">
        <v>74</v>
      </c>
      <c r="O962" s="2" t="s">
        <v>74</v>
      </c>
      <c r="P962" s="2" t="s">
        <v>74</v>
      </c>
      <c r="Q962" s="2" t="s">
        <v>74</v>
      </c>
      <c r="R962" s="2" t="s">
        <v>74</v>
      </c>
      <c r="S962" s="2" t="s">
        <v>74</v>
      </c>
      <c r="T962" s="2" t="s">
        <v>74</v>
      </c>
      <c r="U962" s="2" t="s">
        <v>74</v>
      </c>
      <c r="V962" s="5" t="s">
        <v>6582</v>
      </c>
      <c r="W962" s="2" t="s">
        <v>74</v>
      </c>
      <c r="X962" s="2" t="s">
        <v>74</v>
      </c>
      <c r="Y962" s="2" t="s">
        <v>74</v>
      </c>
      <c r="Z962" s="2" t="s">
        <v>74</v>
      </c>
      <c r="AA962" s="2" t="s">
        <v>74</v>
      </c>
      <c r="AB962" s="2" t="s">
        <v>74</v>
      </c>
      <c r="AC962" s="2" t="s">
        <v>74</v>
      </c>
      <c r="AD962" s="2" t="s">
        <v>74</v>
      </c>
      <c r="AE962" s="2" t="s">
        <v>74</v>
      </c>
      <c r="AF962" s="2" t="s">
        <v>74</v>
      </c>
      <c r="AG962" s="2" t="s">
        <v>74</v>
      </c>
      <c r="AH962" s="2" t="s">
        <v>74</v>
      </c>
      <c r="AI962" s="2" t="s">
        <v>74</v>
      </c>
      <c r="AJ962" s="2" t="s">
        <v>74</v>
      </c>
      <c r="AK962" s="2" t="s">
        <v>74</v>
      </c>
      <c r="AL962" s="2" t="s">
        <v>74</v>
      </c>
      <c r="AM962" s="2" t="s">
        <v>74</v>
      </c>
      <c r="AN962" s="2" t="s">
        <v>74</v>
      </c>
      <c r="AO962" s="2" t="s">
        <v>81</v>
      </c>
      <c r="AP962" s="2" t="s">
        <v>82</v>
      </c>
      <c r="AQ962" s="2" t="s">
        <v>74</v>
      </c>
      <c r="AR962" s="2" t="s">
        <v>74</v>
      </c>
      <c r="AS962" s="2" t="s">
        <v>74</v>
      </c>
      <c r="AT962" s="2" t="s">
        <v>213</v>
      </c>
      <c r="AU962" s="2">
        <v>1988</v>
      </c>
      <c r="AV962" s="2">
        <v>107</v>
      </c>
      <c r="AW962" s="2" t="s">
        <v>74</v>
      </c>
      <c r="AX962" s="2" t="s">
        <v>548</v>
      </c>
      <c r="AY962" s="2" t="s">
        <v>74</v>
      </c>
      <c r="AZ962" s="2" t="s">
        <v>74</v>
      </c>
      <c r="BA962" s="2" t="s">
        <v>74</v>
      </c>
      <c r="BB962" s="2">
        <v>107</v>
      </c>
      <c r="BC962" s="2">
        <v>121</v>
      </c>
      <c r="BD962" s="2" t="s">
        <v>74</v>
      </c>
      <c r="BE962" s="2" t="s">
        <v>6583</v>
      </c>
      <c r="BF962" s="2" t="str">
        <f>HYPERLINK("http://dx.doi.org/10.1163/156853988X00223","http://dx.doi.org/10.1163/156853988X00223")</f>
        <v>http://dx.doi.org/10.1163/156853988X00223</v>
      </c>
      <c r="BG962" s="2" t="s">
        <v>74</v>
      </c>
      <c r="BH962" s="2" t="s">
        <v>74</v>
      </c>
      <c r="BI962" s="2" t="s">
        <v>74</v>
      </c>
      <c r="BJ962" s="2" t="s">
        <v>74</v>
      </c>
      <c r="BK962" s="2" t="s">
        <v>74</v>
      </c>
      <c r="BL962" s="2" t="s">
        <v>74</v>
      </c>
      <c r="BM962" s="2" t="s">
        <v>74</v>
      </c>
      <c r="BN962" s="2" t="s">
        <v>74</v>
      </c>
      <c r="BO962" s="2" t="s">
        <v>74</v>
      </c>
      <c r="BP962" s="2" t="s">
        <v>74</v>
      </c>
      <c r="BQ962" s="2" t="s">
        <v>74</v>
      </c>
      <c r="BR962" s="2" t="s">
        <v>74</v>
      </c>
      <c r="BS962" s="2" t="s">
        <v>6584</v>
      </c>
      <c r="BT962" s="2" t="str">
        <f>HYPERLINK("https%3A%2F%2Fwww.webofscience.com%2Fwos%2Fwoscc%2Ffull-record%2FWOS:A1988R479600008","View Full Record in Web of Science")</f>
        <v>View Full Record in Web of Science</v>
      </c>
    </row>
    <row r="963" spans="1:72" s="2" customFormat="1" x14ac:dyDescent="0.4">
      <c r="A963" s="2" t="s">
        <v>72</v>
      </c>
      <c r="B963" s="2" t="s">
        <v>8444</v>
      </c>
      <c r="C963" s="2" t="s">
        <v>74</v>
      </c>
      <c r="D963" s="2" t="s">
        <v>74</v>
      </c>
      <c r="E963" s="2" t="s">
        <v>74</v>
      </c>
      <c r="F963" s="2" t="s">
        <v>8445</v>
      </c>
      <c r="G963" s="2" t="s">
        <v>74</v>
      </c>
      <c r="H963" s="2" t="s">
        <v>74</v>
      </c>
      <c r="I963" s="2" t="s">
        <v>8446</v>
      </c>
      <c r="J963" s="2" t="s">
        <v>3332</v>
      </c>
      <c r="K963" s="2" t="s">
        <v>74</v>
      </c>
      <c r="L963" s="2" t="s">
        <v>74</v>
      </c>
      <c r="M963" s="2" t="s">
        <v>74</v>
      </c>
      <c r="N963" s="2" t="s">
        <v>74</v>
      </c>
      <c r="O963" s="2" t="s">
        <v>74</v>
      </c>
      <c r="P963" s="2" t="s">
        <v>74</v>
      </c>
      <c r="Q963" s="2" t="s">
        <v>74</v>
      </c>
      <c r="R963" s="2" t="s">
        <v>74</v>
      </c>
      <c r="S963" s="2" t="s">
        <v>74</v>
      </c>
      <c r="T963" s="2" t="s">
        <v>74</v>
      </c>
      <c r="U963" s="2" t="s">
        <v>74</v>
      </c>
      <c r="V963" s="5" t="s">
        <v>8447</v>
      </c>
      <c r="W963" s="2" t="s">
        <v>74</v>
      </c>
      <c r="X963" s="2" t="s">
        <v>74</v>
      </c>
      <c r="Y963" s="2" t="s">
        <v>74</v>
      </c>
      <c r="Z963" s="2" t="s">
        <v>74</v>
      </c>
      <c r="AA963" s="2" t="s">
        <v>8448</v>
      </c>
      <c r="AB963" s="2" t="s">
        <v>8449</v>
      </c>
      <c r="AC963" s="2" t="s">
        <v>74</v>
      </c>
      <c r="AD963" s="2" t="s">
        <v>74</v>
      </c>
      <c r="AE963" s="2" t="s">
        <v>74</v>
      </c>
      <c r="AF963" s="2" t="s">
        <v>74</v>
      </c>
      <c r="AG963" s="2" t="s">
        <v>74</v>
      </c>
      <c r="AH963" s="2" t="s">
        <v>74</v>
      </c>
      <c r="AI963" s="2" t="s">
        <v>74</v>
      </c>
      <c r="AJ963" s="2" t="s">
        <v>74</v>
      </c>
      <c r="AK963" s="2" t="s">
        <v>74</v>
      </c>
      <c r="AL963" s="2" t="s">
        <v>74</v>
      </c>
      <c r="AM963" s="2" t="s">
        <v>74</v>
      </c>
      <c r="AN963" s="2" t="s">
        <v>74</v>
      </c>
      <c r="AO963" s="2" t="s">
        <v>3336</v>
      </c>
      <c r="AP963" s="2" t="s">
        <v>3337</v>
      </c>
      <c r="AQ963" s="2" t="s">
        <v>74</v>
      </c>
      <c r="AR963" s="2" t="s">
        <v>74</v>
      </c>
      <c r="AS963" s="2" t="s">
        <v>74</v>
      </c>
      <c r="AT963" s="2" t="s">
        <v>3338</v>
      </c>
      <c r="AU963" s="2">
        <v>2010</v>
      </c>
      <c r="AV963" s="2">
        <v>45</v>
      </c>
      <c r="AW963" s="2">
        <v>1</v>
      </c>
      <c r="AX963" s="2" t="s">
        <v>74</v>
      </c>
      <c r="AY963" s="2" t="s">
        <v>74</v>
      </c>
      <c r="AZ963" s="2" t="s">
        <v>74</v>
      </c>
      <c r="BA963" s="2" t="s">
        <v>74</v>
      </c>
      <c r="BB963" s="2">
        <v>91</v>
      </c>
      <c r="BC963" s="2">
        <v>97</v>
      </c>
      <c r="BD963" s="2" t="s">
        <v>74</v>
      </c>
      <c r="BE963" s="2" t="s">
        <v>8450</v>
      </c>
      <c r="BF963" s="2" t="str">
        <f>HYPERLINK("http://dx.doi.org/10.3161/000164510X516146","http://dx.doi.org/10.3161/000164510X516146")</f>
        <v>http://dx.doi.org/10.3161/000164510X516146</v>
      </c>
      <c r="BG963" s="2" t="s">
        <v>74</v>
      </c>
      <c r="BH963" s="2" t="s">
        <v>74</v>
      </c>
      <c r="BI963" s="2" t="s">
        <v>74</v>
      </c>
      <c r="BJ963" s="2" t="s">
        <v>74</v>
      </c>
      <c r="BK963" s="2" t="s">
        <v>74</v>
      </c>
      <c r="BL963" s="2" t="s">
        <v>74</v>
      </c>
      <c r="BM963" s="2" t="s">
        <v>74</v>
      </c>
      <c r="BN963" s="2" t="s">
        <v>74</v>
      </c>
      <c r="BO963" s="2" t="s">
        <v>74</v>
      </c>
      <c r="BP963" s="2" t="s">
        <v>74</v>
      </c>
      <c r="BQ963" s="2" t="s">
        <v>74</v>
      </c>
      <c r="BR963" s="2" t="s">
        <v>74</v>
      </c>
      <c r="BS963" s="2" t="s">
        <v>8451</v>
      </c>
      <c r="BT963" s="2" t="str">
        <f>HYPERLINK("https%3A%2F%2Fwww.webofscience.com%2Fwos%2Fwoscc%2Ffull-record%2FWOS:000280387600010","View Full Record in Web of Science")</f>
        <v>View Full Record in Web of Science</v>
      </c>
    </row>
    <row r="964" spans="1:72" s="2" customFormat="1" x14ac:dyDescent="0.4">
      <c r="A964" s="2" t="s">
        <v>72</v>
      </c>
      <c r="B964" s="2" t="s">
        <v>6061</v>
      </c>
      <c r="C964" s="2" t="s">
        <v>74</v>
      </c>
      <c r="D964" s="2" t="s">
        <v>74</v>
      </c>
      <c r="E964" s="2" t="s">
        <v>74</v>
      </c>
      <c r="F964" s="2" t="s">
        <v>6062</v>
      </c>
      <c r="G964" s="2" t="s">
        <v>74</v>
      </c>
      <c r="H964" s="2" t="s">
        <v>74</v>
      </c>
      <c r="I964" s="2" t="s">
        <v>6063</v>
      </c>
      <c r="J964" s="2" t="s">
        <v>576</v>
      </c>
      <c r="K964" s="2" t="s">
        <v>74</v>
      </c>
      <c r="L964" s="2" t="s">
        <v>74</v>
      </c>
      <c r="M964" s="2" t="s">
        <v>74</v>
      </c>
      <c r="N964" s="2" t="s">
        <v>74</v>
      </c>
      <c r="O964" s="2" t="s">
        <v>74</v>
      </c>
      <c r="P964" s="2" t="s">
        <v>74</v>
      </c>
      <c r="Q964" s="2" t="s">
        <v>74</v>
      </c>
      <c r="R964" s="2" t="s">
        <v>74</v>
      </c>
      <c r="S964" s="2" t="s">
        <v>74</v>
      </c>
      <c r="T964" s="2" t="s">
        <v>74</v>
      </c>
      <c r="U964" s="2" t="s">
        <v>74</v>
      </c>
      <c r="V964" s="5" t="s">
        <v>6064</v>
      </c>
      <c r="W964" s="2" t="s">
        <v>74</v>
      </c>
      <c r="X964" s="2" t="s">
        <v>74</v>
      </c>
      <c r="Y964" s="2" t="s">
        <v>74</v>
      </c>
      <c r="Z964" s="2" t="s">
        <v>74</v>
      </c>
      <c r="AA964" s="2" t="s">
        <v>74</v>
      </c>
      <c r="AB964" s="2" t="s">
        <v>6065</v>
      </c>
      <c r="AC964" s="2" t="s">
        <v>74</v>
      </c>
      <c r="AD964" s="2" t="s">
        <v>74</v>
      </c>
      <c r="AE964" s="2" t="s">
        <v>74</v>
      </c>
      <c r="AF964" s="2" t="s">
        <v>74</v>
      </c>
      <c r="AG964" s="2" t="s">
        <v>74</v>
      </c>
      <c r="AH964" s="2" t="s">
        <v>74</v>
      </c>
      <c r="AI964" s="2" t="s">
        <v>74</v>
      </c>
      <c r="AJ964" s="2" t="s">
        <v>74</v>
      </c>
      <c r="AK964" s="2" t="s">
        <v>74</v>
      </c>
      <c r="AL964" s="2" t="s">
        <v>74</v>
      </c>
      <c r="AM964" s="2" t="s">
        <v>74</v>
      </c>
      <c r="AN964" s="2" t="s">
        <v>74</v>
      </c>
      <c r="AO964" s="2" t="s">
        <v>579</v>
      </c>
      <c r="AP964" s="2" t="s">
        <v>580</v>
      </c>
      <c r="AQ964" s="2" t="s">
        <v>74</v>
      </c>
      <c r="AR964" s="2" t="s">
        <v>74</v>
      </c>
      <c r="AS964" s="2" t="s">
        <v>74</v>
      </c>
      <c r="AT964" s="2" t="s">
        <v>123</v>
      </c>
      <c r="AU964" s="2">
        <v>2015</v>
      </c>
      <c r="AV964" s="2">
        <v>29</v>
      </c>
      <c r="AW964" s="2">
        <v>2</v>
      </c>
      <c r="AX964" s="2" t="s">
        <v>74</v>
      </c>
      <c r="AY964" s="2" t="s">
        <v>74</v>
      </c>
      <c r="AZ964" s="2" t="s">
        <v>74</v>
      </c>
      <c r="BA964" s="2" t="s">
        <v>74</v>
      </c>
      <c r="BB964" s="2">
        <v>217</v>
      </c>
      <c r="BC964" s="2">
        <v>227</v>
      </c>
      <c r="BD964" s="2" t="s">
        <v>74</v>
      </c>
      <c r="BE964" s="2" t="s">
        <v>6066</v>
      </c>
      <c r="BF964" s="2" t="str">
        <f>HYPERLINK("http://dx.doi.org/10.1007/s10682-014-9744-5","http://dx.doi.org/10.1007/s10682-014-9744-5")</f>
        <v>http://dx.doi.org/10.1007/s10682-014-9744-5</v>
      </c>
      <c r="BG964" s="2" t="s">
        <v>74</v>
      </c>
      <c r="BH964" s="2" t="s">
        <v>74</v>
      </c>
      <c r="BI964" s="2" t="s">
        <v>74</v>
      </c>
      <c r="BJ964" s="2" t="s">
        <v>74</v>
      </c>
      <c r="BK964" s="2" t="s">
        <v>74</v>
      </c>
      <c r="BL964" s="2" t="s">
        <v>74</v>
      </c>
      <c r="BM964" s="2" t="s">
        <v>74</v>
      </c>
      <c r="BN964" s="2" t="s">
        <v>74</v>
      </c>
      <c r="BO964" s="2" t="s">
        <v>74</v>
      </c>
      <c r="BP964" s="2" t="s">
        <v>74</v>
      </c>
      <c r="BQ964" s="2" t="s">
        <v>74</v>
      </c>
      <c r="BR964" s="2" t="s">
        <v>74</v>
      </c>
      <c r="BS964" s="2" t="s">
        <v>6067</v>
      </c>
      <c r="BT964" s="2" t="str">
        <f>HYPERLINK("https%3A%2F%2Fwww.webofscience.com%2Fwos%2Fwoscc%2Ffull-record%2FWOS:000349964700002","View Full Record in Web of Science")</f>
        <v>View Full Record in Web of Science</v>
      </c>
    </row>
    <row r="965" spans="1:72" s="2" customFormat="1" x14ac:dyDescent="0.4">
      <c r="A965" s="2" t="s">
        <v>72</v>
      </c>
      <c r="B965" s="2" t="s">
        <v>6015</v>
      </c>
      <c r="C965" s="2" t="s">
        <v>74</v>
      </c>
      <c r="D965" s="2" t="s">
        <v>74</v>
      </c>
      <c r="E965" s="2" t="s">
        <v>74</v>
      </c>
      <c r="F965" s="2" t="s">
        <v>6015</v>
      </c>
      <c r="G965" s="2" t="s">
        <v>74</v>
      </c>
      <c r="H965" s="2" t="s">
        <v>74</v>
      </c>
      <c r="I965" s="2" t="s">
        <v>6016</v>
      </c>
      <c r="J965" s="2" t="s">
        <v>4655</v>
      </c>
      <c r="K965" s="2" t="s">
        <v>74</v>
      </c>
      <c r="L965" s="2" t="s">
        <v>74</v>
      </c>
      <c r="M965" s="2" t="s">
        <v>74</v>
      </c>
      <c r="N965" s="2" t="s">
        <v>74</v>
      </c>
      <c r="O965" s="2" t="s">
        <v>74</v>
      </c>
      <c r="P965" s="2" t="s">
        <v>74</v>
      </c>
      <c r="Q965" s="2" t="s">
        <v>74</v>
      </c>
      <c r="R965" s="2" t="s">
        <v>74</v>
      </c>
      <c r="S965" s="2" t="s">
        <v>74</v>
      </c>
      <c r="T965" s="2" t="s">
        <v>74</v>
      </c>
      <c r="U965" s="2" t="s">
        <v>74</v>
      </c>
      <c r="V965" s="5" t="s">
        <v>6017</v>
      </c>
      <c r="W965" s="2" t="s">
        <v>74</v>
      </c>
      <c r="X965" s="2" t="s">
        <v>74</v>
      </c>
      <c r="Y965" s="2" t="s">
        <v>74</v>
      </c>
      <c r="Z965" s="2" t="s">
        <v>74</v>
      </c>
      <c r="AA965" s="2" t="s">
        <v>74</v>
      </c>
      <c r="AB965" s="2" t="s">
        <v>74</v>
      </c>
      <c r="AC965" s="2" t="s">
        <v>74</v>
      </c>
      <c r="AD965" s="2" t="s">
        <v>74</v>
      </c>
      <c r="AE965" s="2" t="s">
        <v>74</v>
      </c>
      <c r="AF965" s="2" t="s">
        <v>74</v>
      </c>
      <c r="AG965" s="2" t="s">
        <v>74</v>
      </c>
      <c r="AH965" s="2" t="s">
        <v>74</v>
      </c>
      <c r="AI965" s="2" t="s">
        <v>74</v>
      </c>
      <c r="AJ965" s="2" t="s">
        <v>74</v>
      </c>
      <c r="AK965" s="2" t="s">
        <v>74</v>
      </c>
      <c r="AL965" s="2" t="s">
        <v>74</v>
      </c>
      <c r="AM965" s="2" t="s">
        <v>74</v>
      </c>
      <c r="AN965" s="2" t="s">
        <v>74</v>
      </c>
      <c r="AO965" s="2" t="s">
        <v>4657</v>
      </c>
      <c r="AP965" s="2" t="s">
        <v>74</v>
      </c>
      <c r="AQ965" s="2" t="s">
        <v>74</v>
      </c>
      <c r="AR965" s="2" t="s">
        <v>74</v>
      </c>
      <c r="AS965" s="2" t="s">
        <v>74</v>
      </c>
      <c r="AT965" s="2" t="s">
        <v>102</v>
      </c>
      <c r="AU965" s="2">
        <v>1991</v>
      </c>
      <c r="AV965" s="2">
        <v>103</v>
      </c>
      <c r="AW965" s="2">
        <v>2</v>
      </c>
      <c r="AX965" s="2" t="s">
        <v>74</v>
      </c>
      <c r="AY965" s="2" t="s">
        <v>74</v>
      </c>
      <c r="AZ965" s="2" t="s">
        <v>74</v>
      </c>
      <c r="BA965" s="2" t="s">
        <v>74</v>
      </c>
      <c r="BB965" s="2">
        <v>190</v>
      </c>
      <c r="BC965" s="2">
        <v>203</v>
      </c>
      <c r="BD965" s="2" t="s">
        <v>74</v>
      </c>
      <c r="BE965" s="2" t="s">
        <v>74</v>
      </c>
      <c r="BF965" s="2" t="s">
        <v>74</v>
      </c>
      <c r="BG965" s="2" t="s">
        <v>74</v>
      </c>
      <c r="BH965" s="2" t="s">
        <v>74</v>
      </c>
      <c r="BI965" s="2" t="s">
        <v>74</v>
      </c>
      <c r="BJ965" s="2" t="s">
        <v>74</v>
      </c>
      <c r="BK965" s="2" t="s">
        <v>74</v>
      </c>
      <c r="BL965" s="2" t="s">
        <v>74</v>
      </c>
      <c r="BM965" s="2" t="s">
        <v>74</v>
      </c>
      <c r="BN965" s="2" t="s">
        <v>74</v>
      </c>
      <c r="BO965" s="2" t="s">
        <v>74</v>
      </c>
      <c r="BP965" s="2" t="s">
        <v>74</v>
      </c>
      <c r="BQ965" s="2" t="s">
        <v>74</v>
      </c>
      <c r="BR965" s="2" t="s">
        <v>74</v>
      </c>
      <c r="BS965" s="2" t="s">
        <v>6018</v>
      </c>
      <c r="BT965" s="2" t="str">
        <f>HYPERLINK("https%3A%2F%2Fwww.webofscience.com%2Fwos%2Fwoscc%2Ffull-record%2FWOS:A1991FP90500003","View Full Record in Web of Science")</f>
        <v>View Full Record in Web of Science</v>
      </c>
    </row>
    <row r="966" spans="1:72" s="2" customFormat="1" x14ac:dyDescent="0.4">
      <c r="A966" s="2" t="s">
        <v>72</v>
      </c>
      <c r="B966" s="2" t="s">
        <v>1793</v>
      </c>
      <c r="C966" s="2" t="s">
        <v>74</v>
      </c>
      <c r="D966" s="2" t="s">
        <v>74</v>
      </c>
      <c r="E966" s="2" t="s">
        <v>74</v>
      </c>
      <c r="F966" s="2" t="s">
        <v>1793</v>
      </c>
      <c r="G966" s="2" t="s">
        <v>74</v>
      </c>
      <c r="H966" s="2" t="s">
        <v>74</v>
      </c>
      <c r="I966" s="2" t="s">
        <v>1794</v>
      </c>
      <c r="J966" s="2" t="s">
        <v>108</v>
      </c>
      <c r="K966" s="2" t="s">
        <v>74</v>
      </c>
      <c r="L966" s="2" t="s">
        <v>74</v>
      </c>
      <c r="M966" s="2" t="s">
        <v>74</v>
      </c>
      <c r="N966" s="2" t="s">
        <v>74</v>
      </c>
      <c r="O966" s="2" t="s">
        <v>74</v>
      </c>
      <c r="P966" s="2" t="s">
        <v>74</v>
      </c>
      <c r="Q966" s="2" t="s">
        <v>74</v>
      </c>
      <c r="R966" s="2" t="s">
        <v>74</v>
      </c>
      <c r="S966" s="2" t="s">
        <v>74</v>
      </c>
      <c r="T966" s="2" t="s">
        <v>74</v>
      </c>
      <c r="U966" s="2" t="s">
        <v>74</v>
      </c>
      <c r="V966" s="5" t="s">
        <v>1795</v>
      </c>
      <c r="W966" s="2" t="s">
        <v>74</v>
      </c>
      <c r="X966" s="2" t="s">
        <v>74</v>
      </c>
      <c r="Y966" s="2" t="s">
        <v>74</v>
      </c>
      <c r="Z966" s="2" t="s">
        <v>74</v>
      </c>
      <c r="AA966" s="2" t="s">
        <v>1106</v>
      </c>
      <c r="AB966" s="2" t="s">
        <v>1796</v>
      </c>
      <c r="AC966" s="2" t="s">
        <v>74</v>
      </c>
      <c r="AD966" s="2" t="s">
        <v>74</v>
      </c>
      <c r="AE966" s="2" t="s">
        <v>74</v>
      </c>
      <c r="AF966" s="2" t="s">
        <v>74</v>
      </c>
      <c r="AG966" s="2" t="s">
        <v>74</v>
      </c>
      <c r="AH966" s="2" t="s">
        <v>74</v>
      </c>
      <c r="AI966" s="2" t="s">
        <v>74</v>
      </c>
      <c r="AJ966" s="2" t="s">
        <v>74</v>
      </c>
      <c r="AK966" s="2" t="s">
        <v>74</v>
      </c>
      <c r="AL966" s="2" t="s">
        <v>74</v>
      </c>
      <c r="AM966" s="2" t="s">
        <v>74</v>
      </c>
      <c r="AN966" s="2" t="s">
        <v>74</v>
      </c>
      <c r="AO966" s="2" t="s">
        <v>111</v>
      </c>
      <c r="AP966" s="2" t="s">
        <v>112</v>
      </c>
      <c r="AQ966" s="2" t="s">
        <v>74</v>
      </c>
      <c r="AR966" s="2" t="s">
        <v>74</v>
      </c>
      <c r="AS966" s="2" t="s">
        <v>74</v>
      </c>
      <c r="AT966" s="2" t="s">
        <v>1797</v>
      </c>
      <c r="AU966" s="2">
        <v>2004</v>
      </c>
      <c r="AV966" s="2">
        <v>271</v>
      </c>
      <c r="AW966" s="2">
        <v>1546</v>
      </c>
      <c r="AX966" s="2" t="s">
        <v>74</v>
      </c>
      <c r="AY966" s="2" t="s">
        <v>74</v>
      </c>
      <c r="AZ966" s="2" t="s">
        <v>74</v>
      </c>
      <c r="BA966" s="2" t="s">
        <v>74</v>
      </c>
      <c r="BB966" s="2">
        <v>1345</v>
      </c>
      <c r="BC966" s="2">
        <v>1353</v>
      </c>
      <c r="BD966" s="2" t="s">
        <v>74</v>
      </c>
      <c r="BE966" s="2" t="s">
        <v>1798</v>
      </c>
      <c r="BF966" s="2" t="str">
        <f>HYPERLINK("http://dx.doi.org/10.1098/rspb.2004.2737","http://dx.doi.org/10.1098/rspb.2004.2737")</f>
        <v>http://dx.doi.org/10.1098/rspb.2004.2737</v>
      </c>
      <c r="BG966" s="2" t="s">
        <v>74</v>
      </c>
      <c r="BH966" s="2" t="s">
        <v>74</v>
      </c>
      <c r="BI966" s="2" t="s">
        <v>74</v>
      </c>
      <c r="BJ966" s="2" t="s">
        <v>74</v>
      </c>
      <c r="BK966" s="2" t="s">
        <v>74</v>
      </c>
      <c r="BL966" s="2" t="s">
        <v>74</v>
      </c>
      <c r="BM966" s="2" t="s">
        <v>74</v>
      </c>
      <c r="BN966" s="2">
        <v>15306332</v>
      </c>
      <c r="BO966" s="2" t="s">
        <v>74</v>
      </c>
      <c r="BP966" s="2" t="s">
        <v>74</v>
      </c>
      <c r="BQ966" s="2" t="s">
        <v>74</v>
      </c>
      <c r="BR966" s="2" t="s">
        <v>74</v>
      </c>
      <c r="BS966" s="2" t="s">
        <v>1799</v>
      </c>
      <c r="BT966" s="2" t="str">
        <f>HYPERLINK("https%3A%2F%2Fwww.webofscience.com%2Fwos%2Fwoscc%2Ffull-record%2FWOS:000222576500004","View Full Record in Web of Science")</f>
        <v>View Full Record in Web of Science</v>
      </c>
    </row>
    <row r="967" spans="1:72" s="2" customFormat="1" x14ac:dyDescent="0.4">
      <c r="A967" s="2" t="s">
        <v>72</v>
      </c>
      <c r="B967" s="2" t="s">
        <v>698</v>
      </c>
      <c r="C967" s="2" t="s">
        <v>74</v>
      </c>
      <c r="D967" s="2" t="s">
        <v>74</v>
      </c>
      <c r="E967" s="2" t="s">
        <v>74</v>
      </c>
      <c r="F967" s="2" t="s">
        <v>699</v>
      </c>
      <c r="G967" s="2" t="s">
        <v>74</v>
      </c>
      <c r="H967" s="2" t="s">
        <v>74</v>
      </c>
      <c r="I967" s="2" t="s">
        <v>700</v>
      </c>
      <c r="J967" s="2" t="s">
        <v>701</v>
      </c>
      <c r="K967" s="2" t="s">
        <v>74</v>
      </c>
      <c r="L967" s="2" t="s">
        <v>74</v>
      </c>
      <c r="M967" s="2" t="s">
        <v>74</v>
      </c>
      <c r="N967" s="2" t="s">
        <v>74</v>
      </c>
      <c r="O967" s="2" t="s">
        <v>74</v>
      </c>
      <c r="P967" s="2" t="s">
        <v>74</v>
      </c>
      <c r="Q967" s="2" t="s">
        <v>74</v>
      </c>
      <c r="R967" s="2" t="s">
        <v>74</v>
      </c>
      <c r="S967" s="2" t="s">
        <v>74</v>
      </c>
      <c r="T967" s="2" t="s">
        <v>74</v>
      </c>
      <c r="U967" s="2" t="s">
        <v>74</v>
      </c>
      <c r="V967" s="5" t="s">
        <v>702</v>
      </c>
      <c r="W967" s="2" t="s">
        <v>74</v>
      </c>
      <c r="X967" s="2" t="s">
        <v>74</v>
      </c>
      <c r="Y967" s="2" t="s">
        <v>74</v>
      </c>
      <c r="Z967" s="2" t="s">
        <v>74</v>
      </c>
      <c r="AA967" s="2" t="s">
        <v>74</v>
      </c>
      <c r="AB967" s="2" t="s">
        <v>74</v>
      </c>
      <c r="AC967" s="2" t="s">
        <v>74</v>
      </c>
      <c r="AD967" s="2" t="s">
        <v>74</v>
      </c>
      <c r="AE967" s="2" t="s">
        <v>74</v>
      </c>
      <c r="AF967" s="2" t="s">
        <v>74</v>
      </c>
      <c r="AG967" s="2" t="s">
        <v>74</v>
      </c>
      <c r="AH967" s="2" t="s">
        <v>74</v>
      </c>
      <c r="AI967" s="2" t="s">
        <v>74</v>
      </c>
      <c r="AJ967" s="2" t="s">
        <v>74</v>
      </c>
      <c r="AK967" s="2" t="s">
        <v>74</v>
      </c>
      <c r="AL967" s="2" t="s">
        <v>74</v>
      </c>
      <c r="AM967" s="2" t="s">
        <v>74</v>
      </c>
      <c r="AN967" s="2" t="s">
        <v>74</v>
      </c>
      <c r="AO967" s="2" t="s">
        <v>703</v>
      </c>
      <c r="AP967" s="2" t="s">
        <v>704</v>
      </c>
      <c r="AQ967" s="2" t="s">
        <v>74</v>
      </c>
      <c r="AR967" s="2" t="s">
        <v>74</v>
      </c>
      <c r="AS967" s="2" t="s">
        <v>74</v>
      </c>
      <c r="AT967" s="2" t="s">
        <v>74</v>
      </c>
      <c r="AU967" s="2">
        <v>2009</v>
      </c>
      <c r="AV967" s="2">
        <v>55</v>
      </c>
      <c r="AW967" s="2">
        <v>4</v>
      </c>
      <c r="AX967" s="2" t="s">
        <v>74</v>
      </c>
      <c r="AY967" s="2" t="s">
        <v>74</v>
      </c>
      <c r="AZ967" s="2" t="s">
        <v>74</v>
      </c>
      <c r="BA967" s="2" t="s">
        <v>74</v>
      </c>
      <c r="BB967" s="2">
        <v>359</v>
      </c>
      <c r="BC967" s="2">
        <v>367</v>
      </c>
      <c r="BD967" s="2" t="s">
        <v>74</v>
      </c>
      <c r="BE967" s="2" t="s">
        <v>705</v>
      </c>
      <c r="BF967" s="2" t="str">
        <f>HYPERLINK("http://dx.doi.org/10.1560/IJEE.55.4.359","http://dx.doi.org/10.1560/IJEE.55.4.359")</f>
        <v>http://dx.doi.org/10.1560/IJEE.55.4.359</v>
      </c>
      <c r="BG967" s="2" t="s">
        <v>74</v>
      </c>
      <c r="BH967" s="2" t="s">
        <v>74</v>
      </c>
      <c r="BI967" s="2" t="s">
        <v>74</v>
      </c>
      <c r="BJ967" s="2" t="s">
        <v>74</v>
      </c>
      <c r="BK967" s="2" t="s">
        <v>74</v>
      </c>
      <c r="BL967" s="2" t="s">
        <v>74</v>
      </c>
      <c r="BM967" s="2" t="s">
        <v>74</v>
      </c>
      <c r="BN967" s="2" t="s">
        <v>74</v>
      </c>
      <c r="BO967" s="2" t="s">
        <v>74</v>
      </c>
      <c r="BP967" s="2" t="s">
        <v>74</v>
      </c>
      <c r="BQ967" s="2" t="s">
        <v>74</v>
      </c>
      <c r="BR967" s="2" t="s">
        <v>74</v>
      </c>
      <c r="BS967" s="2" t="s">
        <v>706</v>
      </c>
      <c r="BT967" s="2" t="str">
        <f>HYPERLINK("https%3A%2F%2Fwww.webofscience.com%2Fwos%2Fwoscc%2Ffull-record%2FWOS:000281916500005","View Full Record in Web of Science")</f>
        <v>View Full Record in Web of Science</v>
      </c>
    </row>
    <row r="968" spans="1:72" s="2" customFormat="1" x14ac:dyDescent="0.4">
      <c r="A968" s="2" t="s">
        <v>72</v>
      </c>
      <c r="B968" s="2" t="s">
        <v>8465</v>
      </c>
      <c r="C968" s="2" t="s">
        <v>74</v>
      </c>
      <c r="D968" s="2" t="s">
        <v>74</v>
      </c>
      <c r="E968" s="2" t="s">
        <v>74</v>
      </c>
      <c r="F968" s="2" t="s">
        <v>8466</v>
      </c>
      <c r="G968" s="2" t="s">
        <v>74</v>
      </c>
      <c r="H968" s="2" t="s">
        <v>74</v>
      </c>
      <c r="I968" s="2" t="s">
        <v>8467</v>
      </c>
      <c r="J968" s="2" t="s">
        <v>8468</v>
      </c>
      <c r="K968" s="2" t="s">
        <v>74</v>
      </c>
      <c r="L968" s="2" t="s">
        <v>74</v>
      </c>
      <c r="M968" s="2" t="s">
        <v>74</v>
      </c>
      <c r="N968" s="2" t="s">
        <v>74</v>
      </c>
      <c r="O968" s="2" t="s">
        <v>74</v>
      </c>
      <c r="P968" s="2" t="s">
        <v>74</v>
      </c>
      <c r="Q968" s="2" t="s">
        <v>74</v>
      </c>
      <c r="R968" s="2" t="s">
        <v>74</v>
      </c>
      <c r="S968" s="2" t="s">
        <v>74</v>
      </c>
      <c r="T968" s="2" t="s">
        <v>74</v>
      </c>
      <c r="U968" s="2" t="s">
        <v>74</v>
      </c>
      <c r="V968" s="5" t="s">
        <v>8469</v>
      </c>
      <c r="W968" s="2" t="s">
        <v>74</v>
      </c>
      <c r="X968" s="2" t="s">
        <v>74</v>
      </c>
      <c r="Y968" s="2" t="s">
        <v>74</v>
      </c>
      <c r="Z968" s="2" t="s">
        <v>74</v>
      </c>
      <c r="AA968" s="2" t="s">
        <v>74</v>
      </c>
      <c r="AB968" s="2" t="s">
        <v>74</v>
      </c>
      <c r="AC968" s="2" t="s">
        <v>74</v>
      </c>
      <c r="AD968" s="2" t="s">
        <v>74</v>
      </c>
      <c r="AE968" s="2" t="s">
        <v>74</v>
      </c>
      <c r="AF968" s="2" t="s">
        <v>74</v>
      </c>
      <c r="AG968" s="2" t="s">
        <v>74</v>
      </c>
      <c r="AH968" s="2" t="s">
        <v>74</v>
      </c>
      <c r="AI968" s="2" t="s">
        <v>74</v>
      </c>
      <c r="AJ968" s="2" t="s">
        <v>74</v>
      </c>
      <c r="AK968" s="2" t="s">
        <v>74</v>
      </c>
      <c r="AL968" s="2" t="s">
        <v>74</v>
      </c>
      <c r="AM968" s="2" t="s">
        <v>74</v>
      </c>
      <c r="AN968" s="2" t="s">
        <v>74</v>
      </c>
      <c r="AO968" s="2" t="s">
        <v>8470</v>
      </c>
      <c r="AP968" s="2" t="s">
        <v>74</v>
      </c>
      <c r="AQ968" s="2" t="s">
        <v>74</v>
      </c>
      <c r="AR968" s="2" t="s">
        <v>74</v>
      </c>
      <c r="AS968" s="2" t="s">
        <v>74</v>
      </c>
      <c r="AT968" s="2" t="s">
        <v>352</v>
      </c>
      <c r="AU968" s="2">
        <v>2016</v>
      </c>
      <c r="AV968" s="2">
        <v>23</v>
      </c>
      <c r="AW968" s="2" t="s">
        <v>74</v>
      </c>
      <c r="AX968" s="2" t="s">
        <v>74</v>
      </c>
      <c r="AY968" s="2" t="s">
        <v>74</v>
      </c>
      <c r="AZ968" s="2" t="s">
        <v>74</v>
      </c>
      <c r="BA968" s="2" t="s">
        <v>74</v>
      </c>
      <c r="BB968" s="2">
        <v>41</v>
      </c>
      <c r="BC968" s="2">
        <v>59</v>
      </c>
      <c r="BD968" s="2" t="s">
        <v>74</v>
      </c>
      <c r="BE968" s="2" t="s">
        <v>74</v>
      </c>
      <c r="BF968" s="2" t="s">
        <v>74</v>
      </c>
      <c r="BG968" s="2" t="s">
        <v>74</v>
      </c>
      <c r="BH968" s="2" t="s">
        <v>74</v>
      </c>
      <c r="BI968" s="2" t="s">
        <v>74</v>
      </c>
      <c r="BJ968" s="2" t="s">
        <v>74</v>
      </c>
      <c r="BK968" s="2" t="s">
        <v>74</v>
      </c>
      <c r="BL968" s="2" t="s">
        <v>74</v>
      </c>
      <c r="BM968" s="2" t="s">
        <v>74</v>
      </c>
      <c r="BN968" s="2" t="s">
        <v>74</v>
      </c>
      <c r="BO968" s="2" t="s">
        <v>74</v>
      </c>
      <c r="BP968" s="2" t="s">
        <v>74</v>
      </c>
      <c r="BQ968" s="2" t="s">
        <v>74</v>
      </c>
      <c r="BR968" s="2" t="s">
        <v>74</v>
      </c>
      <c r="BS968" s="2" t="s">
        <v>8471</v>
      </c>
      <c r="BT968" s="2" t="str">
        <f>HYPERLINK("https%3A%2F%2Fwww.webofscience.com%2Fwos%2Fwoscc%2Ffull-record%2FWOS:000383924400005","View Full Record in Web of Science")</f>
        <v>View Full Record in Web of Science</v>
      </c>
    </row>
    <row r="969" spans="1:72" s="2" customFormat="1" x14ac:dyDescent="0.4">
      <c r="A969" s="2" t="s">
        <v>72</v>
      </c>
      <c r="B969" s="2" t="s">
        <v>5978</v>
      </c>
      <c r="C969" s="2" t="s">
        <v>74</v>
      </c>
      <c r="D969" s="2" t="s">
        <v>74</v>
      </c>
      <c r="E969" s="2" t="s">
        <v>74</v>
      </c>
      <c r="F969" s="2" t="s">
        <v>5979</v>
      </c>
      <c r="G969" s="2" t="s">
        <v>74</v>
      </c>
      <c r="H969" s="2" t="s">
        <v>74</v>
      </c>
      <c r="I969" s="2" t="s">
        <v>5980</v>
      </c>
      <c r="J969" s="2" t="s">
        <v>108</v>
      </c>
      <c r="K969" s="2" t="s">
        <v>74</v>
      </c>
      <c r="L969" s="2" t="s">
        <v>74</v>
      </c>
      <c r="M969" s="2" t="s">
        <v>74</v>
      </c>
      <c r="N969" s="2" t="s">
        <v>74</v>
      </c>
      <c r="O969" s="2" t="s">
        <v>74</v>
      </c>
      <c r="P969" s="2" t="s">
        <v>74</v>
      </c>
      <c r="Q969" s="2" t="s">
        <v>74</v>
      </c>
      <c r="R969" s="2" t="s">
        <v>74</v>
      </c>
      <c r="S969" s="2" t="s">
        <v>74</v>
      </c>
      <c r="T969" s="2" t="s">
        <v>74</v>
      </c>
      <c r="U969" s="2" t="s">
        <v>74</v>
      </c>
      <c r="V969" s="5" t="s">
        <v>5981</v>
      </c>
      <c r="W969" s="2" t="s">
        <v>74</v>
      </c>
      <c r="X969" s="2" t="s">
        <v>74</v>
      </c>
      <c r="Y969" s="2" t="s">
        <v>74</v>
      </c>
      <c r="Z969" s="2" t="s">
        <v>74</v>
      </c>
      <c r="AA969" s="2" t="s">
        <v>5982</v>
      </c>
      <c r="AB969" s="2" t="s">
        <v>5983</v>
      </c>
      <c r="AC969" s="2" t="s">
        <v>74</v>
      </c>
      <c r="AD969" s="2" t="s">
        <v>74</v>
      </c>
      <c r="AE969" s="2" t="s">
        <v>74</v>
      </c>
      <c r="AF969" s="2" t="s">
        <v>74</v>
      </c>
      <c r="AG969" s="2" t="s">
        <v>74</v>
      </c>
      <c r="AH969" s="2" t="s">
        <v>74</v>
      </c>
      <c r="AI969" s="2" t="s">
        <v>74</v>
      </c>
      <c r="AJ969" s="2" t="s">
        <v>74</v>
      </c>
      <c r="AK969" s="2" t="s">
        <v>74</v>
      </c>
      <c r="AL969" s="2" t="s">
        <v>74</v>
      </c>
      <c r="AM969" s="2" t="s">
        <v>74</v>
      </c>
      <c r="AN969" s="2" t="s">
        <v>74</v>
      </c>
      <c r="AO969" s="2" t="s">
        <v>111</v>
      </c>
      <c r="AP969" s="2" t="s">
        <v>112</v>
      </c>
      <c r="AQ969" s="2" t="s">
        <v>74</v>
      </c>
      <c r="AR969" s="2" t="s">
        <v>74</v>
      </c>
      <c r="AS969" s="2" t="s">
        <v>74</v>
      </c>
      <c r="AT969" s="2" t="s">
        <v>5984</v>
      </c>
      <c r="AU969" s="2">
        <v>2016</v>
      </c>
      <c r="AV969" s="2">
        <v>283</v>
      </c>
      <c r="AW969" s="2">
        <v>1830</v>
      </c>
      <c r="AX969" s="2" t="s">
        <v>74</v>
      </c>
      <c r="AY969" s="2" t="s">
        <v>74</v>
      </c>
      <c r="AZ969" s="2" t="s">
        <v>74</v>
      </c>
      <c r="BA969" s="2" t="s">
        <v>74</v>
      </c>
      <c r="BB969" s="2" t="s">
        <v>74</v>
      </c>
      <c r="BC969" s="2" t="s">
        <v>74</v>
      </c>
      <c r="BD969" s="2">
        <v>20160172</v>
      </c>
      <c r="BE969" s="2" t="s">
        <v>5985</v>
      </c>
      <c r="BF969" s="2" t="str">
        <f>HYPERLINK("http://dx.doi.org/10.1098/rspb.2016.0172","http://dx.doi.org/10.1098/rspb.2016.0172")</f>
        <v>http://dx.doi.org/10.1098/rspb.2016.0172</v>
      </c>
      <c r="BG969" s="2" t="s">
        <v>74</v>
      </c>
      <c r="BH969" s="2" t="s">
        <v>74</v>
      </c>
      <c r="BI969" s="2" t="s">
        <v>74</v>
      </c>
      <c r="BJ969" s="2" t="s">
        <v>74</v>
      </c>
      <c r="BK969" s="2" t="s">
        <v>74</v>
      </c>
      <c r="BL969" s="2" t="s">
        <v>74</v>
      </c>
      <c r="BM969" s="2" t="s">
        <v>74</v>
      </c>
      <c r="BN969" s="2">
        <v>27147097</v>
      </c>
      <c r="BO969" s="2" t="s">
        <v>74</v>
      </c>
      <c r="BP969" s="2" t="s">
        <v>74</v>
      </c>
      <c r="BQ969" s="2" t="s">
        <v>74</v>
      </c>
      <c r="BR969" s="2" t="s">
        <v>74</v>
      </c>
      <c r="BS969" s="2" t="s">
        <v>5986</v>
      </c>
      <c r="BT969" s="2" t="str">
        <f>HYPERLINK("https%3A%2F%2Fwww.webofscience.com%2Fwos%2Fwoscc%2Ffull-record%2FWOS:000376158800013","View Full Record in Web of Science")</f>
        <v>View Full Record in Web of Science</v>
      </c>
    </row>
    <row r="970" spans="1:72" s="2" customFormat="1" x14ac:dyDescent="0.4">
      <c r="A970" s="2" t="s">
        <v>72</v>
      </c>
      <c r="B970" s="2" t="s">
        <v>4719</v>
      </c>
      <c r="C970" s="2" t="s">
        <v>74</v>
      </c>
      <c r="D970" s="2" t="s">
        <v>74</v>
      </c>
      <c r="E970" s="2" t="s">
        <v>74</v>
      </c>
      <c r="F970" s="2" t="s">
        <v>4719</v>
      </c>
      <c r="G970" s="2" t="s">
        <v>74</v>
      </c>
      <c r="H970" s="2" t="s">
        <v>74</v>
      </c>
      <c r="I970" s="2" t="s">
        <v>4720</v>
      </c>
      <c r="J970" s="2" t="s">
        <v>129</v>
      </c>
      <c r="K970" s="2" t="s">
        <v>74</v>
      </c>
      <c r="L970" s="2" t="s">
        <v>74</v>
      </c>
      <c r="M970" s="2" t="s">
        <v>74</v>
      </c>
      <c r="N970" s="2" t="s">
        <v>74</v>
      </c>
      <c r="O970" s="2" t="s">
        <v>74</v>
      </c>
      <c r="P970" s="2" t="s">
        <v>74</v>
      </c>
      <c r="Q970" s="2" t="s">
        <v>74</v>
      </c>
      <c r="R970" s="2" t="s">
        <v>74</v>
      </c>
      <c r="S970" s="2" t="s">
        <v>74</v>
      </c>
      <c r="T970" s="2" t="s">
        <v>74</v>
      </c>
      <c r="U970" s="2" t="s">
        <v>74</v>
      </c>
      <c r="V970" s="5" t="s">
        <v>4721</v>
      </c>
      <c r="W970" s="2" t="s">
        <v>74</v>
      </c>
      <c r="X970" s="2" t="s">
        <v>74</v>
      </c>
      <c r="Y970" s="2" t="s">
        <v>74</v>
      </c>
      <c r="Z970" s="2" t="s">
        <v>74</v>
      </c>
      <c r="AA970" s="2" t="s">
        <v>4722</v>
      </c>
      <c r="AB970" s="2" t="s">
        <v>4723</v>
      </c>
      <c r="AC970" s="2" t="s">
        <v>74</v>
      </c>
      <c r="AD970" s="2" t="s">
        <v>74</v>
      </c>
      <c r="AE970" s="2" t="s">
        <v>74</v>
      </c>
      <c r="AF970" s="2" t="s">
        <v>74</v>
      </c>
      <c r="AG970" s="2" t="s">
        <v>74</v>
      </c>
      <c r="AH970" s="2" t="s">
        <v>74</v>
      </c>
      <c r="AI970" s="2" t="s">
        <v>74</v>
      </c>
      <c r="AJ970" s="2" t="s">
        <v>74</v>
      </c>
      <c r="AK970" s="2" t="s">
        <v>74</v>
      </c>
      <c r="AL970" s="2" t="s">
        <v>74</v>
      </c>
      <c r="AM970" s="2" t="s">
        <v>74</v>
      </c>
      <c r="AN970" s="2" t="s">
        <v>74</v>
      </c>
      <c r="AO970" s="2" t="s">
        <v>132</v>
      </c>
      <c r="AP970" s="2" t="s">
        <v>133</v>
      </c>
      <c r="AQ970" s="2" t="s">
        <v>74</v>
      </c>
      <c r="AR970" s="2" t="s">
        <v>74</v>
      </c>
      <c r="AS970" s="2" t="s">
        <v>74</v>
      </c>
      <c r="AT970" s="2" t="s">
        <v>123</v>
      </c>
      <c r="AU970" s="2">
        <v>2005</v>
      </c>
      <c r="AV970" s="2">
        <v>57</v>
      </c>
      <c r="AW970" s="2">
        <v>5</v>
      </c>
      <c r="AX970" s="2" t="s">
        <v>74</v>
      </c>
      <c r="AY970" s="2" t="s">
        <v>74</v>
      </c>
      <c r="AZ970" s="2" t="s">
        <v>74</v>
      </c>
      <c r="BA970" s="2" t="s">
        <v>74</v>
      </c>
      <c r="BB970" s="2">
        <v>465</v>
      </c>
      <c r="BC970" s="2">
        <v>469</v>
      </c>
      <c r="BD970" s="2" t="s">
        <v>74</v>
      </c>
      <c r="BE970" s="2" t="s">
        <v>4724</v>
      </c>
      <c r="BF970" s="2" t="str">
        <f>HYPERLINK("http://dx.doi.org/10.1007/s00265-004-0873-7","http://dx.doi.org/10.1007/s00265-004-0873-7")</f>
        <v>http://dx.doi.org/10.1007/s00265-004-0873-7</v>
      </c>
      <c r="BG970" s="2" t="s">
        <v>74</v>
      </c>
      <c r="BH970" s="2" t="s">
        <v>74</v>
      </c>
      <c r="BI970" s="2" t="s">
        <v>74</v>
      </c>
      <c r="BJ970" s="2" t="s">
        <v>74</v>
      </c>
      <c r="BK970" s="2" t="s">
        <v>74</v>
      </c>
      <c r="BL970" s="2" t="s">
        <v>74</v>
      </c>
      <c r="BM970" s="2" t="s">
        <v>74</v>
      </c>
      <c r="BN970" s="2" t="s">
        <v>74</v>
      </c>
      <c r="BO970" s="2" t="s">
        <v>74</v>
      </c>
      <c r="BP970" s="2" t="s">
        <v>74</v>
      </c>
      <c r="BQ970" s="2" t="s">
        <v>74</v>
      </c>
      <c r="BR970" s="2" t="s">
        <v>74</v>
      </c>
      <c r="BS970" s="2" t="s">
        <v>4725</v>
      </c>
      <c r="BT970" s="2" t="str">
        <f>HYPERLINK("https%3A%2F%2Fwww.webofscience.com%2Fwos%2Fwoscc%2Ffull-record%2FWOS:000227366700008","View Full Record in Web of Science")</f>
        <v>View Full Record in Web of Science</v>
      </c>
    </row>
    <row r="971" spans="1:72" s="2" customFormat="1" x14ac:dyDescent="0.4">
      <c r="A971" s="2" t="s">
        <v>72</v>
      </c>
      <c r="B971" s="2" t="s">
        <v>5071</v>
      </c>
      <c r="C971" s="2" t="s">
        <v>74</v>
      </c>
      <c r="D971" s="2" t="s">
        <v>74</v>
      </c>
      <c r="E971" s="2" t="s">
        <v>74</v>
      </c>
      <c r="F971" s="2" t="s">
        <v>5071</v>
      </c>
      <c r="G971" s="2" t="s">
        <v>74</v>
      </c>
      <c r="H971" s="2" t="s">
        <v>74</v>
      </c>
      <c r="I971" s="2" t="s">
        <v>5072</v>
      </c>
      <c r="J971" s="2" t="s">
        <v>610</v>
      </c>
      <c r="K971" s="2" t="s">
        <v>74</v>
      </c>
      <c r="L971" s="2" t="s">
        <v>74</v>
      </c>
      <c r="M971" s="2" t="s">
        <v>74</v>
      </c>
      <c r="N971" s="2" t="s">
        <v>74</v>
      </c>
      <c r="O971" s="2" t="s">
        <v>5073</v>
      </c>
      <c r="P971" s="2" t="s">
        <v>5074</v>
      </c>
      <c r="Q971" s="2" t="s">
        <v>5075</v>
      </c>
      <c r="R971" s="2" t="s">
        <v>5076</v>
      </c>
      <c r="S971" s="2" t="s">
        <v>74</v>
      </c>
      <c r="T971" s="2" t="s">
        <v>74</v>
      </c>
      <c r="U971" s="2" t="s">
        <v>74</v>
      </c>
      <c r="V971" s="5" t="s">
        <v>5077</v>
      </c>
      <c r="W971" s="2" t="s">
        <v>74</v>
      </c>
      <c r="X971" s="2" t="s">
        <v>74</v>
      </c>
      <c r="Y971" s="2" t="s">
        <v>74</v>
      </c>
      <c r="Z971" s="2" t="s">
        <v>74</v>
      </c>
      <c r="AA971" s="2" t="s">
        <v>74</v>
      </c>
      <c r="AB971" s="2" t="s">
        <v>74</v>
      </c>
      <c r="AC971" s="2" t="s">
        <v>74</v>
      </c>
      <c r="AD971" s="2" t="s">
        <v>74</v>
      </c>
      <c r="AE971" s="2" t="s">
        <v>74</v>
      </c>
      <c r="AF971" s="2" t="s">
        <v>74</v>
      </c>
      <c r="AG971" s="2" t="s">
        <v>74</v>
      </c>
      <c r="AH971" s="2" t="s">
        <v>74</v>
      </c>
      <c r="AI971" s="2" t="s">
        <v>74</v>
      </c>
      <c r="AJ971" s="2" t="s">
        <v>74</v>
      </c>
      <c r="AK971" s="2" t="s">
        <v>74</v>
      </c>
      <c r="AL971" s="2" t="s">
        <v>74</v>
      </c>
      <c r="AM971" s="2" t="s">
        <v>74</v>
      </c>
      <c r="AN971" s="2" t="s">
        <v>74</v>
      </c>
      <c r="AO971" s="2" t="s">
        <v>614</v>
      </c>
      <c r="AP971" s="2" t="s">
        <v>615</v>
      </c>
      <c r="AQ971" s="2" t="s">
        <v>74</v>
      </c>
      <c r="AR971" s="2" t="s">
        <v>74</v>
      </c>
      <c r="AS971" s="2" t="s">
        <v>74</v>
      </c>
      <c r="AT971" s="2" t="s">
        <v>255</v>
      </c>
      <c r="AU971" s="2">
        <v>2005</v>
      </c>
      <c r="AV971" s="2">
        <v>111</v>
      </c>
      <c r="AW971" s="2">
        <v>1</v>
      </c>
      <c r="AX971" s="2" t="s">
        <v>74</v>
      </c>
      <c r="AY971" s="2" t="s">
        <v>74</v>
      </c>
      <c r="AZ971" s="2" t="s">
        <v>74</v>
      </c>
      <c r="BA971" s="2" t="s">
        <v>74</v>
      </c>
      <c r="BB971" s="2">
        <v>25</v>
      </c>
      <c r="BC971" s="2">
        <v>50</v>
      </c>
      <c r="BD971" s="2" t="s">
        <v>74</v>
      </c>
      <c r="BE971" s="2" t="s">
        <v>5078</v>
      </c>
      <c r="BF971" s="2" t="str">
        <f>HYPERLINK("http://dx.doi.org/10.1111/j.1439-0310.2004.01054.x","http://dx.doi.org/10.1111/j.1439-0310.2004.01054.x")</f>
        <v>http://dx.doi.org/10.1111/j.1439-0310.2004.01054.x</v>
      </c>
      <c r="BG971" s="2" t="s">
        <v>74</v>
      </c>
      <c r="BH971" s="2" t="s">
        <v>74</v>
      </c>
      <c r="BI971" s="2" t="s">
        <v>74</v>
      </c>
      <c r="BJ971" s="2" t="s">
        <v>74</v>
      </c>
      <c r="BK971" s="2" t="s">
        <v>74</v>
      </c>
      <c r="BL971" s="2" t="s">
        <v>74</v>
      </c>
      <c r="BM971" s="2" t="s">
        <v>74</v>
      </c>
      <c r="BN971" s="2" t="s">
        <v>74</v>
      </c>
      <c r="BO971" s="2" t="s">
        <v>74</v>
      </c>
      <c r="BP971" s="2" t="s">
        <v>74</v>
      </c>
      <c r="BQ971" s="2" t="s">
        <v>74</v>
      </c>
      <c r="BR971" s="2" t="s">
        <v>74</v>
      </c>
      <c r="BS971" s="2" t="s">
        <v>5079</v>
      </c>
      <c r="BT971" s="2" t="str">
        <f>HYPERLINK("https%3A%2F%2Fwww.webofscience.com%2Fwos%2Fwoscc%2Ffull-record%2FWOS:000226377200002","View Full Record in Web of Science")</f>
        <v>View Full Record in Web of Science</v>
      </c>
    </row>
    <row r="972" spans="1:72" s="2" customFormat="1" x14ac:dyDescent="0.4">
      <c r="A972" s="2" t="s">
        <v>72</v>
      </c>
      <c r="B972" s="2" t="s">
        <v>2765</v>
      </c>
      <c r="C972" s="2" t="s">
        <v>74</v>
      </c>
      <c r="D972" s="2" t="s">
        <v>74</v>
      </c>
      <c r="E972" s="2" t="s">
        <v>74</v>
      </c>
      <c r="F972" s="2" t="s">
        <v>2766</v>
      </c>
      <c r="G972" s="2" t="s">
        <v>74</v>
      </c>
      <c r="H972" s="2" t="s">
        <v>74</v>
      </c>
      <c r="I972" s="2" t="s">
        <v>2767</v>
      </c>
      <c r="J972" s="2" t="s">
        <v>691</v>
      </c>
      <c r="K972" s="2" t="s">
        <v>74</v>
      </c>
      <c r="L972" s="2" t="s">
        <v>74</v>
      </c>
      <c r="M972" s="2" t="s">
        <v>74</v>
      </c>
      <c r="N972" s="2" t="s">
        <v>74</v>
      </c>
      <c r="O972" s="2" t="s">
        <v>74</v>
      </c>
      <c r="P972" s="2" t="s">
        <v>74</v>
      </c>
      <c r="Q972" s="2" t="s">
        <v>74</v>
      </c>
      <c r="R972" s="2" t="s">
        <v>74</v>
      </c>
      <c r="S972" s="2" t="s">
        <v>74</v>
      </c>
      <c r="T972" s="2" t="s">
        <v>74</v>
      </c>
      <c r="U972" s="2" t="s">
        <v>74</v>
      </c>
      <c r="V972" s="5" t="s">
        <v>2768</v>
      </c>
      <c r="W972" s="2" t="s">
        <v>74</v>
      </c>
      <c r="X972" s="2" t="s">
        <v>74</v>
      </c>
      <c r="Y972" s="2" t="s">
        <v>74</v>
      </c>
      <c r="Z972" s="2" t="s">
        <v>74</v>
      </c>
      <c r="AA972" s="2" t="s">
        <v>74</v>
      </c>
      <c r="AB972" s="2" t="s">
        <v>74</v>
      </c>
      <c r="AC972" s="2" t="s">
        <v>74</v>
      </c>
      <c r="AD972" s="2" t="s">
        <v>74</v>
      </c>
      <c r="AE972" s="2" t="s">
        <v>74</v>
      </c>
      <c r="AF972" s="2" t="s">
        <v>74</v>
      </c>
      <c r="AG972" s="2" t="s">
        <v>74</v>
      </c>
      <c r="AH972" s="2" t="s">
        <v>74</v>
      </c>
      <c r="AI972" s="2" t="s">
        <v>74</v>
      </c>
      <c r="AJ972" s="2" t="s">
        <v>74</v>
      </c>
      <c r="AK972" s="2" t="s">
        <v>74</v>
      </c>
      <c r="AL972" s="2" t="s">
        <v>74</v>
      </c>
      <c r="AM972" s="2" t="s">
        <v>74</v>
      </c>
      <c r="AN972" s="2" t="s">
        <v>74</v>
      </c>
      <c r="AO972" s="2" t="s">
        <v>695</v>
      </c>
      <c r="AP972" s="2" t="s">
        <v>74</v>
      </c>
      <c r="AQ972" s="2" t="s">
        <v>74</v>
      </c>
      <c r="AR972" s="2" t="s">
        <v>74</v>
      </c>
      <c r="AS972" s="2" t="s">
        <v>74</v>
      </c>
      <c r="AT972" s="2" t="s">
        <v>1146</v>
      </c>
      <c r="AU972" s="2">
        <v>2015</v>
      </c>
      <c r="AV972" s="2">
        <v>147</v>
      </c>
      <c r="AW972" s="2" t="s">
        <v>74</v>
      </c>
      <c r="AX972" s="2" t="s">
        <v>74</v>
      </c>
      <c r="AY972" s="2" t="s">
        <v>74</v>
      </c>
      <c r="AZ972" s="2" t="s">
        <v>74</v>
      </c>
      <c r="BA972" s="2" t="s">
        <v>74</v>
      </c>
      <c r="BB972" s="2">
        <v>245</v>
      </c>
      <c r="BC972" s="2">
        <v>254</v>
      </c>
      <c r="BD972" s="2" t="s">
        <v>74</v>
      </c>
      <c r="BE972" s="2" t="s">
        <v>2769</v>
      </c>
      <c r="BF972" s="2" t="str">
        <f>HYPERLINK("http://dx.doi.org/10.1016/j.physbeh.2015.04.051","http://dx.doi.org/10.1016/j.physbeh.2015.04.051")</f>
        <v>http://dx.doi.org/10.1016/j.physbeh.2015.04.051</v>
      </c>
      <c r="BG972" s="2" t="s">
        <v>74</v>
      </c>
      <c r="BH972" s="2" t="s">
        <v>74</v>
      </c>
      <c r="BI972" s="2" t="s">
        <v>74</v>
      </c>
      <c r="BJ972" s="2" t="s">
        <v>74</v>
      </c>
      <c r="BK972" s="2" t="s">
        <v>74</v>
      </c>
      <c r="BL972" s="2" t="s">
        <v>74</v>
      </c>
      <c r="BM972" s="2" t="s">
        <v>74</v>
      </c>
      <c r="BN972" s="2">
        <v>25936819</v>
      </c>
      <c r="BO972" s="2" t="s">
        <v>74</v>
      </c>
      <c r="BP972" s="2" t="s">
        <v>74</v>
      </c>
      <c r="BQ972" s="2" t="s">
        <v>74</v>
      </c>
      <c r="BR972" s="2" t="s">
        <v>74</v>
      </c>
      <c r="BS972" s="2" t="s">
        <v>2770</v>
      </c>
      <c r="BT972" s="2" t="str">
        <f>HYPERLINK("https%3A%2F%2Fwww.webofscience.com%2Fwos%2Fwoscc%2Ffull-record%2FWOS:000356737100034","View Full Record in Web of Science")</f>
        <v>View Full Record in Web of Science</v>
      </c>
    </row>
    <row r="973" spans="1:72" s="2" customFormat="1" x14ac:dyDescent="0.4">
      <c r="A973" s="2" t="s">
        <v>72</v>
      </c>
      <c r="B973" s="2" t="s">
        <v>7075</v>
      </c>
      <c r="C973" s="2" t="s">
        <v>74</v>
      </c>
      <c r="D973" s="2" t="s">
        <v>74</v>
      </c>
      <c r="E973" s="2" t="s">
        <v>74</v>
      </c>
      <c r="F973" s="2" t="s">
        <v>7075</v>
      </c>
      <c r="G973" s="2" t="s">
        <v>74</v>
      </c>
      <c r="H973" s="2" t="s">
        <v>74</v>
      </c>
      <c r="I973" s="2" t="s">
        <v>7076</v>
      </c>
      <c r="J973" s="2" t="s">
        <v>5577</v>
      </c>
      <c r="K973" s="2" t="s">
        <v>74</v>
      </c>
      <c r="L973" s="2" t="s">
        <v>74</v>
      </c>
      <c r="M973" s="2" t="s">
        <v>74</v>
      </c>
      <c r="N973" s="2" t="s">
        <v>74</v>
      </c>
      <c r="O973" s="2" t="s">
        <v>74</v>
      </c>
      <c r="P973" s="2" t="s">
        <v>74</v>
      </c>
      <c r="Q973" s="2" t="s">
        <v>74</v>
      </c>
      <c r="R973" s="2" t="s">
        <v>74</v>
      </c>
      <c r="S973" s="2" t="s">
        <v>74</v>
      </c>
      <c r="T973" s="2" t="s">
        <v>74</v>
      </c>
      <c r="U973" s="2" t="s">
        <v>74</v>
      </c>
      <c r="V973" s="5" t="s">
        <v>7077</v>
      </c>
      <c r="W973" s="2" t="s">
        <v>74</v>
      </c>
      <c r="X973" s="2" t="s">
        <v>74</v>
      </c>
      <c r="Y973" s="2" t="s">
        <v>74</v>
      </c>
      <c r="Z973" s="2" t="s">
        <v>74</v>
      </c>
      <c r="AA973" s="2" t="s">
        <v>74</v>
      </c>
      <c r="AB973" s="2" t="s">
        <v>74</v>
      </c>
      <c r="AC973" s="2" t="s">
        <v>74</v>
      </c>
      <c r="AD973" s="2" t="s">
        <v>74</v>
      </c>
      <c r="AE973" s="2" t="s">
        <v>74</v>
      </c>
      <c r="AF973" s="2" t="s">
        <v>74</v>
      </c>
      <c r="AG973" s="2" t="s">
        <v>74</v>
      </c>
      <c r="AH973" s="2" t="s">
        <v>74</v>
      </c>
      <c r="AI973" s="2" t="s">
        <v>74</v>
      </c>
      <c r="AJ973" s="2" t="s">
        <v>74</v>
      </c>
      <c r="AK973" s="2" t="s">
        <v>74</v>
      </c>
      <c r="AL973" s="2" t="s">
        <v>74</v>
      </c>
      <c r="AM973" s="2" t="s">
        <v>74</v>
      </c>
      <c r="AN973" s="2" t="s">
        <v>74</v>
      </c>
      <c r="AO973" s="2" t="s">
        <v>5579</v>
      </c>
      <c r="AP973" s="2" t="s">
        <v>74</v>
      </c>
      <c r="AQ973" s="2" t="s">
        <v>74</v>
      </c>
      <c r="AR973" s="2" t="s">
        <v>74</v>
      </c>
      <c r="AS973" s="2" t="s">
        <v>74</v>
      </c>
      <c r="AT973" s="2" t="s">
        <v>204</v>
      </c>
      <c r="AU973" s="2">
        <v>1998</v>
      </c>
      <c r="AV973" s="2">
        <v>77</v>
      </c>
      <c r="AW973" s="2">
        <v>7</v>
      </c>
      <c r="AX973" s="2" t="s">
        <v>74</v>
      </c>
      <c r="AY973" s="2" t="s">
        <v>74</v>
      </c>
      <c r="AZ973" s="2" t="s">
        <v>74</v>
      </c>
      <c r="BA973" s="2" t="s">
        <v>74</v>
      </c>
      <c r="BB973" s="2">
        <v>809</v>
      </c>
      <c r="BC973" s="2">
        <v>817</v>
      </c>
      <c r="BD973" s="2" t="s">
        <v>74</v>
      </c>
      <c r="BE973" s="2" t="s">
        <v>74</v>
      </c>
      <c r="BF973" s="2" t="s">
        <v>74</v>
      </c>
      <c r="BG973" s="2" t="s">
        <v>74</v>
      </c>
      <c r="BH973" s="2" t="s">
        <v>74</v>
      </c>
      <c r="BI973" s="2" t="s">
        <v>74</v>
      </c>
      <c r="BJ973" s="2" t="s">
        <v>74</v>
      </c>
      <c r="BK973" s="2" t="s">
        <v>74</v>
      </c>
      <c r="BL973" s="2" t="s">
        <v>74</v>
      </c>
      <c r="BM973" s="2" t="s">
        <v>74</v>
      </c>
      <c r="BN973" s="2" t="s">
        <v>74</v>
      </c>
      <c r="BO973" s="2" t="s">
        <v>74</v>
      </c>
      <c r="BP973" s="2" t="s">
        <v>74</v>
      </c>
      <c r="BQ973" s="2" t="s">
        <v>74</v>
      </c>
      <c r="BR973" s="2" t="s">
        <v>74</v>
      </c>
      <c r="BS973" s="2" t="s">
        <v>7078</v>
      </c>
      <c r="BT973" s="2" t="str">
        <f>HYPERLINK("https%3A%2F%2Fwww.webofscience.com%2Fwos%2Fwoscc%2Ffull-record%2FWOS:000075812800006","View Full Record in Web of Science")</f>
        <v>View Full Record in Web of Science</v>
      </c>
    </row>
    <row r="974" spans="1:72" s="2" customFormat="1" x14ac:dyDescent="0.4">
      <c r="A974" s="2" t="s">
        <v>72</v>
      </c>
      <c r="B974" s="2" t="s">
        <v>5281</v>
      </c>
      <c r="C974" s="2" t="s">
        <v>74</v>
      </c>
      <c r="D974" s="2" t="s">
        <v>74</v>
      </c>
      <c r="E974" s="2" t="s">
        <v>74</v>
      </c>
      <c r="F974" s="2" t="s">
        <v>5282</v>
      </c>
      <c r="G974" s="2" t="s">
        <v>74</v>
      </c>
      <c r="H974" s="2" t="s">
        <v>74</v>
      </c>
      <c r="I974" s="2" t="s">
        <v>5283</v>
      </c>
      <c r="J974" s="2" t="s">
        <v>171</v>
      </c>
      <c r="K974" s="2" t="s">
        <v>74</v>
      </c>
      <c r="L974" s="2" t="s">
        <v>74</v>
      </c>
      <c r="M974" s="2" t="s">
        <v>74</v>
      </c>
      <c r="N974" s="2" t="s">
        <v>74</v>
      </c>
      <c r="O974" s="2" t="s">
        <v>74</v>
      </c>
      <c r="P974" s="2" t="s">
        <v>74</v>
      </c>
      <c r="Q974" s="2" t="s">
        <v>74</v>
      </c>
      <c r="R974" s="2" t="s">
        <v>74</v>
      </c>
      <c r="S974" s="2" t="s">
        <v>74</v>
      </c>
      <c r="T974" s="2" t="s">
        <v>74</v>
      </c>
      <c r="U974" s="2" t="s">
        <v>74</v>
      </c>
      <c r="V974" s="5" t="s">
        <v>5284</v>
      </c>
      <c r="W974" s="2" t="s">
        <v>74</v>
      </c>
      <c r="X974" s="2" t="s">
        <v>74</v>
      </c>
      <c r="Y974" s="2" t="s">
        <v>74</v>
      </c>
      <c r="Z974" s="2" t="s">
        <v>74</v>
      </c>
      <c r="AA974" s="2" t="s">
        <v>5285</v>
      </c>
      <c r="AB974" s="2" t="s">
        <v>5286</v>
      </c>
      <c r="AC974" s="2" t="s">
        <v>74</v>
      </c>
      <c r="AD974" s="2" t="s">
        <v>74</v>
      </c>
      <c r="AE974" s="2" t="s">
        <v>74</v>
      </c>
      <c r="AF974" s="2" t="s">
        <v>74</v>
      </c>
      <c r="AG974" s="2" t="s">
        <v>74</v>
      </c>
      <c r="AH974" s="2" t="s">
        <v>74</v>
      </c>
      <c r="AI974" s="2" t="s">
        <v>74</v>
      </c>
      <c r="AJ974" s="2" t="s">
        <v>74</v>
      </c>
      <c r="AK974" s="2" t="s">
        <v>74</v>
      </c>
      <c r="AL974" s="2" t="s">
        <v>74</v>
      </c>
      <c r="AM974" s="2" t="s">
        <v>74</v>
      </c>
      <c r="AN974" s="2" t="s">
        <v>74</v>
      </c>
      <c r="AO974" s="2" t="s">
        <v>173</v>
      </c>
      <c r="AP974" s="2" t="s">
        <v>174</v>
      </c>
      <c r="AQ974" s="2" t="s">
        <v>74</v>
      </c>
      <c r="AR974" s="2" t="s">
        <v>74</v>
      </c>
      <c r="AS974" s="2" t="s">
        <v>74</v>
      </c>
      <c r="AT974" s="2" t="s">
        <v>305</v>
      </c>
      <c r="AU974" s="2">
        <v>2009</v>
      </c>
      <c r="AV974" s="2">
        <v>63</v>
      </c>
      <c r="AW974" s="2">
        <v>12</v>
      </c>
      <c r="AX974" s="2" t="s">
        <v>74</v>
      </c>
      <c r="AY974" s="2" t="s">
        <v>74</v>
      </c>
      <c r="AZ974" s="2" t="s">
        <v>74</v>
      </c>
      <c r="BA974" s="2" t="s">
        <v>74</v>
      </c>
      <c r="BB974" s="2">
        <v>3106</v>
      </c>
      <c r="BC974" s="2">
        <v>3113</v>
      </c>
      <c r="BD974" s="2" t="s">
        <v>74</v>
      </c>
      <c r="BE974" s="2" t="s">
        <v>5287</v>
      </c>
      <c r="BF974" s="2" t="str">
        <f>HYPERLINK("http://dx.doi.org/10.1111/j.1558-5646.2009.00833.x","http://dx.doi.org/10.1111/j.1558-5646.2009.00833.x")</f>
        <v>http://dx.doi.org/10.1111/j.1558-5646.2009.00833.x</v>
      </c>
      <c r="BG974" s="2" t="s">
        <v>74</v>
      </c>
      <c r="BH974" s="2" t="s">
        <v>74</v>
      </c>
      <c r="BI974" s="2" t="s">
        <v>74</v>
      </c>
      <c r="BJ974" s="2" t="s">
        <v>74</v>
      </c>
      <c r="BK974" s="2" t="s">
        <v>74</v>
      </c>
      <c r="BL974" s="2" t="s">
        <v>74</v>
      </c>
      <c r="BM974" s="2" t="s">
        <v>74</v>
      </c>
      <c r="BN974" s="2">
        <v>19744121</v>
      </c>
      <c r="BO974" s="2" t="s">
        <v>74</v>
      </c>
      <c r="BP974" s="2" t="s">
        <v>74</v>
      </c>
      <c r="BQ974" s="2" t="s">
        <v>74</v>
      </c>
      <c r="BR974" s="2" t="s">
        <v>74</v>
      </c>
      <c r="BS974" s="2" t="s">
        <v>5288</v>
      </c>
      <c r="BT974" s="2" t="str">
        <f>HYPERLINK("https%3A%2F%2Fwww.webofscience.com%2Fwos%2Fwoscc%2Ffull-record%2FWOS:000271973600007","View Full Record in Web of Science")</f>
        <v>View Full Record in Web of Science</v>
      </c>
    </row>
    <row r="975" spans="1:72" s="2" customFormat="1" x14ac:dyDescent="0.4">
      <c r="A975" s="2" t="s">
        <v>72</v>
      </c>
      <c r="B975" s="2" t="s">
        <v>7960</v>
      </c>
      <c r="C975" s="2" t="s">
        <v>74</v>
      </c>
      <c r="D975" s="2" t="s">
        <v>74</v>
      </c>
      <c r="E975" s="2" t="s">
        <v>74</v>
      </c>
      <c r="F975" s="2" t="s">
        <v>7961</v>
      </c>
      <c r="G975" s="2" t="s">
        <v>74</v>
      </c>
      <c r="H975" s="2" t="s">
        <v>74</v>
      </c>
      <c r="I975" s="2" t="s">
        <v>7962</v>
      </c>
      <c r="J975" s="2" t="s">
        <v>2847</v>
      </c>
      <c r="K975" s="2" t="s">
        <v>74</v>
      </c>
      <c r="L975" s="2" t="s">
        <v>74</v>
      </c>
      <c r="M975" s="2" t="s">
        <v>74</v>
      </c>
      <c r="N975" s="2" t="s">
        <v>74</v>
      </c>
      <c r="O975" s="2" t="s">
        <v>74</v>
      </c>
      <c r="P975" s="2" t="s">
        <v>74</v>
      </c>
      <c r="Q975" s="2" t="s">
        <v>74</v>
      </c>
      <c r="R975" s="2" t="s">
        <v>74</v>
      </c>
      <c r="S975" s="2" t="s">
        <v>74</v>
      </c>
      <c r="T975" s="2" t="s">
        <v>74</v>
      </c>
      <c r="U975" s="2" t="s">
        <v>74</v>
      </c>
      <c r="V975" s="5" t="s">
        <v>7963</v>
      </c>
      <c r="W975" s="2" t="s">
        <v>74</v>
      </c>
      <c r="X975" s="2" t="s">
        <v>74</v>
      </c>
      <c r="Y975" s="2" t="s">
        <v>74</v>
      </c>
      <c r="Z975" s="2" t="s">
        <v>74</v>
      </c>
      <c r="AA975" s="2" t="s">
        <v>74</v>
      </c>
      <c r="AB975" s="2" t="s">
        <v>74</v>
      </c>
      <c r="AC975" s="2" t="s">
        <v>74</v>
      </c>
      <c r="AD975" s="2" t="s">
        <v>74</v>
      </c>
      <c r="AE975" s="2" t="s">
        <v>74</v>
      </c>
      <c r="AF975" s="2" t="s">
        <v>74</v>
      </c>
      <c r="AG975" s="2" t="s">
        <v>74</v>
      </c>
      <c r="AH975" s="2" t="s">
        <v>74</v>
      </c>
      <c r="AI975" s="2" t="s">
        <v>74</v>
      </c>
      <c r="AJ975" s="2" t="s">
        <v>74</v>
      </c>
      <c r="AK975" s="2" t="s">
        <v>74</v>
      </c>
      <c r="AL975" s="2" t="s">
        <v>74</v>
      </c>
      <c r="AM975" s="2" t="s">
        <v>74</v>
      </c>
      <c r="AN975" s="2" t="s">
        <v>74</v>
      </c>
      <c r="AO975" s="2" t="s">
        <v>2849</v>
      </c>
      <c r="AP975" s="2" t="s">
        <v>2850</v>
      </c>
      <c r="AQ975" s="2" t="s">
        <v>74</v>
      </c>
      <c r="AR975" s="2" t="s">
        <v>74</v>
      </c>
      <c r="AS975" s="2" t="s">
        <v>74</v>
      </c>
      <c r="AT975" s="2" t="s">
        <v>1013</v>
      </c>
      <c r="AU975" s="2">
        <v>2020</v>
      </c>
      <c r="AV975" s="2">
        <v>530</v>
      </c>
      <c r="AW975" s="2" t="s">
        <v>74</v>
      </c>
      <c r="AX975" s="2" t="s">
        <v>74</v>
      </c>
      <c r="AY975" s="2" t="s">
        <v>74</v>
      </c>
      <c r="AZ975" s="2" t="s">
        <v>74</v>
      </c>
      <c r="BA975" s="2" t="s">
        <v>74</v>
      </c>
      <c r="BB975" s="2" t="s">
        <v>74</v>
      </c>
      <c r="BC975" s="2" t="s">
        <v>74</v>
      </c>
      <c r="BD975" s="2">
        <v>151430</v>
      </c>
      <c r="BE975" s="2" t="s">
        <v>7964</v>
      </c>
      <c r="BF975" s="2" t="str">
        <f>HYPERLINK("http://dx.doi.org/10.1016/j.jembe.2020.151430","http://dx.doi.org/10.1016/j.jembe.2020.151430")</f>
        <v>http://dx.doi.org/10.1016/j.jembe.2020.151430</v>
      </c>
      <c r="BG975" s="2" t="s">
        <v>74</v>
      </c>
      <c r="BH975" s="2" t="s">
        <v>74</v>
      </c>
      <c r="BI975" s="2" t="s">
        <v>74</v>
      </c>
      <c r="BJ975" s="2" t="s">
        <v>74</v>
      </c>
      <c r="BK975" s="2" t="s">
        <v>74</v>
      </c>
      <c r="BL975" s="2" t="s">
        <v>74</v>
      </c>
      <c r="BM975" s="2" t="s">
        <v>74</v>
      </c>
      <c r="BN975" s="2" t="s">
        <v>74</v>
      </c>
      <c r="BO975" s="2" t="s">
        <v>74</v>
      </c>
      <c r="BP975" s="2" t="s">
        <v>74</v>
      </c>
      <c r="BQ975" s="2" t="s">
        <v>74</v>
      </c>
      <c r="BR975" s="2" t="s">
        <v>74</v>
      </c>
      <c r="BS975" s="2" t="s">
        <v>7965</v>
      </c>
      <c r="BT975" s="2" t="str">
        <f>HYPERLINK("https%3A%2F%2Fwww.webofscience.com%2Fwos%2Fwoscc%2Ffull-record%2FWOS:000562582100021","View Full Record in Web of Science")</f>
        <v>View Full Record in Web of Science</v>
      </c>
    </row>
    <row r="976" spans="1:72" s="2" customFormat="1" x14ac:dyDescent="0.4">
      <c r="A976" s="2" t="s">
        <v>72</v>
      </c>
      <c r="B976" s="2" t="s">
        <v>5348</v>
      </c>
      <c r="C976" s="2" t="s">
        <v>74</v>
      </c>
      <c r="D976" s="2" t="s">
        <v>74</v>
      </c>
      <c r="E976" s="2" t="s">
        <v>74</v>
      </c>
      <c r="F976" s="2" t="s">
        <v>5348</v>
      </c>
      <c r="G976" s="2" t="s">
        <v>74</v>
      </c>
      <c r="H976" s="2" t="s">
        <v>74</v>
      </c>
      <c r="I976" s="2" t="s">
        <v>5349</v>
      </c>
      <c r="J976" s="2" t="s">
        <v>129</v>
      </c>
      <c r="K976" s="2" t="s">
        <v>74</v>
      </c>
      <c r="L976" s="2" t="s">
        <v>74</v>
      </c>
      <c r="M976" s="2" t="s">
        <v>74</v>
      </c>
      <c r="N976" s="2" t="s">
        <v>74</v>
      </c>
      <c r="O976" s="2" t="s">
        <v>74</v>
      </c>
      <c r="P976" s="2" t="s">
        <v>74</v>
      </c>
      <c r="Q976" s="2" t="s">
        <v>74</v>
      </c>
      <c r="R976" s="2" t="s">
        <v>74</v>
      </c>
      <c r="S976" s="2" t="s">
        <v>74</v>
      </c>
      <c r="T976" s="2" t="s">
        <v>74</v>
      </c>
      <c r="U976" s="2" t="s">
        <v>74</v>
      </c>
      <c r="V976" s="5" t="s">
        <v>5350</v>
      </c>
      <c r="W976" s="2" t="s">
        <v>74</v>
      </c>
      <c r="X976" s="2" t="s">
        <v>74</v>
      </c>
      <c r="Y976" s="2" t="s">
        <v>74</v>
      </c>
      <c r="Z976" s="2" t="s">
        <v>74</v>
      </c>
      <c r="AA976" s="2" t="s">
        <v>5351</v>
      </c>
      <c r="AB976" s="2" t="s">
        <v>5352</v>
      </c>
      <c r="AC976" s="2" t="s">
        <v>74</v>
      </c>
      <c r="AD976" s="2" t="s">
        <v>74</v>
      </c>
      <c r="AE976" s="2" t="s">
        <v>74</v>
      </c>
      <c r="AF976" s="2" t="s">
        <v>74</v>
      </c>
      <c r="AG976" s="2" t="s">
        <v>74</v>
      </c>
      <c r="AH976" s="2" t="s">
        <v>74</v>
      </c>
      <c r="AI976" s="2" t="s">
        <v>74</v>
      </c>
      <c r="AJ976" s="2" t="s">
        <v>74</v>
      </c>
      <c r="AK976" s="2" t="s">
        <v>74</v>
      </c>
      <c r="AL976" s="2" t="s">
        <v>74</v>
      </c>
      <c r="AM976" s="2" t="s">
        <v>74</v>
      </c>
      <c r="AN976" s="2" t="s">
        <v>74</v>
      </c>
      <c r="AO976" s="2" t="s">
        <v>132</v>
      </c>
      <c r="AP976" s="2" t="s">
        <v>133</v>
      </c>
      <c r="AQ976" s="2" t="s">
        <v>74</v>
      </c>
      <c r="AR976" s="2" t="s">
        <v>74</v>
      </c>
      <c r="AS976" s="2" t="s">
        <v>74</v>
      </c>
      <c r="AT976" s="2" t="s">
        <v>123</v>
      </c>
      <c r="AU976" s="2">
        <v>2006</v>
      </c>
      <c r="AV976" s="2">
        <v>59</v>
      </c>
      <c r="AW976" s="2">
        <v>5</v>
      </c>
      <c r="AX976" s="2" t="s">
        <v>74</v>
      </c>
      <c r="AY976" s="2" t="s">
        <v>74</v>
      </c>
      <c r="AZ976" s="2" t="s">
        <v>74</v>
      </c>
      <c r="BA976" s="2" t="s">
        <v>74</v>
      </c>
      <c r="BB976" s="2">
        <v>651</v>
      </c>
      <c r="BC976" s="2">
        <v>656</v>
      </c>
      <c r="BD976" s="2" t="s">
        <v>74</v>
      </c>
      <c r="BE976" s="2" t="s">
        <v>5353</v>
      </c>
      <c r="BF976" s="2" t="str">
        <f>HYPERLINK("http://dx.doi.org/10.1007/s00265-005-0092-x","http://dx.doi.org/10.1007/s00265-005-0092-x")</f>
        <v>http://dx.doi.org/10.1007/s00265-005-0092-x</v>
      </c>
      <c r="BG976" s="2" t="s">
        <v>74</v>
      </c>
      <c r="BH976" s="2" t="s">
        <v>74</v>
      </c>
      <c r="BI976" s="2" t="s">
        <v>74</v>
      </c>
      <c r="BJ976" s="2" t="s">
        <v>74</v>
      </c>
      <c r="BK976" s="2" t="s">
        <v>74</v>
      </c>
      <c r="BL976" s="2" t="s">
        <v>74</v>
      </c>
      <c r="BM976" s="2" t="s">
        <v>74</v>
      </c>
      <c r="BN976" s="2" t="s">
        <v>74</v>
      </c>
      <c r="BO976" s="2" t="s">
        <v>74</v>
      </c>
      <c r="BP976" s="2" t="s">
        <v>74</v>
      </c>
      <c r="BQ976" s="2" t="s">
        <v>74</v>
      </c>
      <c r="BR976" s="2" t="s">
        <v>74</v>
      </c>
      <c r="BS976" s="2" t="s">
        <v>5354</v>
      </c>
      <c r="BT976" s="2" t="str">
        <f>HYPERLINK("https%3A%2F%2Fwww.webofscience.com%2Fwos%2Fwoscc%2Ffull-record%2FWOS:000235219700008","View Full Record in Web of Science")</f>
        <v>View Full Record in Web of Science</v>
      </c>
    </row>
    <row r="977" spans="1:72" s="2" customFormat="1" x14ac:dyDescent="0.4">
      <c r="A977" s="2" t="s">
        <v>72</v>
      </c>
      <c r="B977" s="2" t="s">
        <v>5760</v>
      </c>
      <c r="C977" s="2" t="s">
        <v>74</v>
      </c>
      <c r="D977" s="2" t="s">
        <v>74</v>
      </c>
      <c r="E977" s="2" t="s">
        <v>74</v>
      </c>
      <c r="F977" s="2" t="s">
        <v>5760</v>
      </c>
      <c r="G977" s="2" t="s">
        <v>74</v>
      </c>
      <c r="H977" s="2" t="s">
        <v>74</v>
      </c>
      <c r="I977" s="2" t="s">
        <v>5761</v>
      </c>
      <c r="J977" s="2" t="s">
        <v>4655</v>
      </c>
      <c r="K977" s="2" t="s">
        <v>74</v>
      </c>
      <c r="L977" s="2" t="s">
        <v>74</v>
      </c>
      <c r="M977" s="2" t="s">
        <v>74</v>
      </c>
      <c r="N977" s="2" t="s">
        <v>74</v>
      </c>
      <c r="O977" s="2" t="s">
        <v>74</v>
      </c>
      <c r="P977" s="2" t="s">
        <v>74</v>
      </c>
      <c r="Q977" s="2" t="s">
        <v>74</v>
      </c>
      <c r="R977" s="2" t="s">
        <v>74</v>
      </c>
      <c r="S977" s="2" t="s">
        <v>74</v>
      </c>
      <c r="T977" s="2" t="s">
        <v>74</v>
      </c>
      <c r="U977" s="2" t="s">
        <v>74</v>
      </c>
      <c r="V977" s="5" t="s">
        <v>5762</v>
      </c>
      <c r="W977" s="2" t="s">
        <v>74</v>
      </c>
      <c r="X977" s="2" t="s">
        <v>74</v>
      </c>
      <c r="Y977" s="2" t="s">
        <v>74</v>
      </c>
      <c r="Z977" s="2" t="s">
        <v>74</v>
      </c>
      <c r="AA977" s="2" t="s">
        <v>74</v>
      </c>
      <c r="AB977" s="2" t="s">
        <v>74</v>
      </c>
      <c r="AC977" s="2" t="s">
        <v>74</v>
      </c>
      <c r="AD977" s="2" t="s">
        <v>74</v>
      </c>
      <c r="AE977" s="2" t="s">
        <v>74</v>
      </c>
      <c r="AF977" s="2" t="s">
        <v>74</v>
      </c>
      <c r="AG977" s="2" t="s">
        <v>74</v>
      </c>
      <c r="AH977" s="2" t="s">
        <v>74</v>
      </c>
      <c r="AI977" s="2" t="s">
        <v>74</v>
      </c>
      <c r="AJ977" s="2" t="s">
        <v>74</v>
      </c>
      <c r="AK977" s="2" t="s">
        <v>74</v>
      </c>
      <c r="AL977" s="2" t="s">
        <v>74</v>
      </c>
      <c r="AM977" s="2" t="s">
        <v>74</v>
      </c>
      <c r="AN977" s="2" t="s">
        <v>74</v>
      </c>
      <c r="AO977" s="2" t="s">
        <v>4657</v>
      </c>
      <c r="AP977" s="2" t="s">
        <v>74</v>
      </c>
      <c r="AQ977" s="2" t="s">
        <v>74</v>
      </c>
      <c r="AR977" s="2" t="s">
        <v>74</v>
      </c>
      <c r="AS977" s="2" t="s">
        <v>74</v>
      </c>
      <c r="AT977" s="2" t="s">
        <v>305</v>
      </c>
      <c r="AU977" s="2">
        <v>1986</v>
      </c>
      <c r="AV977" s="2">
        <v>98</v>
      </c>
      <c r="AW977" s="2">
        <v>4</v>
      </c>
      <c r="AX977" s="2" t="s">
        <v>74</v>
      </c>
      <c r="AY977" s="2" t="s">
        <v>74</v>
      </c>
      <c r="AZ977" s="2" t="s">
        <v>74</v>
      </c>
      <c r="BA977" s="2" t="s">
        <v>74</v>
      </c>
      <c r="BB977" s="2">
        <v>571</v>
      </c>
      <c r="BC977" s="2">
        <v>580</v>
      </c>
      <c r="BD977" s="2" t="s">
        <v>74</v>
      </c>
      <c r="BE977" s="2" t="s">
        <v>74</v>
      </c>
      <c r="BF977" s="2" t="s">
        <v>74</v>
      </c>
      <c r="BG977" s="2" t="s">
        <v>74</v>
      </c>
      <c r="BH977" s="2" t="s">
        <v>74</v>
      </c>
      <c r="BI977" s="2" t="s">
        <v>74</v>
      </c>
      <c r="BJ977" s="2" t="s">
        <v>74</v>
      </c>
      <c r="BK977" s="2" t="s">
        <v>74</v>
      </c>
      <c r="BL977" s="2" t="s">
        <v>74</v>
      </c>
      <c r="BM977" s="2" t="s">
        <v>74</v>
      </c>
      <c r="BN977" s="2" t="s">
        <v>74</v>
      </c>
      <c r="BO977" s="2" t="s">
        <v>74</v>
      </c>
      <c r="BP977" s="2" t="s">
        <v>74</v>
      </c>
      <c r="BQ977" s="2" t="s">
        <v>74</v>
      </c>
      <c r="BR977" s="2" t="s">
        <v>74</v>
      </c>
      <c r="BS977" s="2" t="s">
        <v>5763</v>
      </c>
      <c r="BT977" s="2" t="str">
        <f>HYPERLINK("https%3A%2F%2Fwww.webofscience.com%2Fwos%2Fwoscc%2Ffull-record%2FWOS:A1986F283900007","View Full Record in Web of Science")</f>
        <v>View Full Record in Web of Science</v>
      </c>
    </row>
    <row r="978" spans="1:72" s="2" customFormat="1" x14ac:dyDescent="0.4">
      <c r="A978" s="2" t="s">
        <v>72</v>
      </c>
      <c r="B978" s="2" t="s">
        <v>7303</v>
      </c>
      <c r="C978" s="2" t="s">
        <v>74</v>
      </c>
      <c r="D978" s="2" t="s">
        <v>74</v>
      </c>
      <c r="E978" s="2" t="s">
        <v>74</v>
      </c>
      <c r="F978" s="2" t="s">
        <v>7304</v>
      </c>
      <c r="G978" s="2" t="s">
        <v>74</v>
      </c>
      <c r="H978" s="2" t="s">
        <v>74</v>
      </c>
      <c r="I978" s="2" t="s">
        <v>7305</v>
      </c>
      <c r="J978" s="2" t="s">
        <v>4114</v>
      </c>
      <c r="K978" s="2" t="s">
        <v>74</v>
      </c>
      <c r="L978" s="2" t="s">
        <v>74</v>
      </c>
      <c r="M978" s="2" t="s">
        <v>74</v>
      </c>
      <c r="N978" s="2" t="s">
        <v>74</v>
      </c>
      <c r="O978" s="2" t="s">
        <v>74</v>
      </c>
      <c r="P978" s="2" t="s">
        <v>74</v>
      </c>
      <c r="Q978" s="2" t="s">
        <v>74</v>
      </c>
      <c r="R978" s="2" t="s">
        <v>74</v>
      </c>
      <c r="S978" s="2" t="s">
        <v>74</v>
      </c>
      <c r="T978" s="2" t="s">
        <v>74</v>
      </c>
      <c r="U978" s="2" t="s">
        <v>74</v>
      </c>
      <c r="V978" s="5" t="s">
        <v>7306</v>
      </c>
      <c r="W978" s="2" t="s">
        <v>74</v>
      </c>
      <c r="X978" s="2" t="s">
        <v>74</v>
      </c>
      <c r="Y978" s="2" t="s">
        <v>74</v>
      </c>
      <c r="Z978" s="2" t="s">
        <v>74</v>
      </c>
      <c r="AA978" s="2" t="s">
        <v>7307</v>
      </c>
      <c r="AB978" s="2" t="s">
        <v>7308</v>
      </c>
      <c r="AC978" s="2" t="s">
        <v>74</v>
      </c>
      <c r="AD978" s="2" t="s">
        <v>74</v>
      </c>
      <c r="AE978" s="2" t="s">
        <v>74</v>
      </c>
      <c r="AF978" s="2" t="s">
        <v>74</v>
      </c>
      <c r="AG978" s="2" t="s">
        <v>74</v>
      </c>
      <c r="AH978" s="2" t="s">
        <v>74</v>
      </c>
      <c r="AI978" s="2" t="s">
        <v>74</v>
      </c>
      <c r="AJ978" s="2" t="s">
        <v>74</v>
      </c>
      <c r="AK978" s="2" t="s">
        <v>74</v>
      </c>
      <c r="AL978" s="2" t="s">
        <v>74</v>
      </c>
      <c r="AM978" s="2" t="s">
        <v>74</v>
      </c>
      <c r="AN978" s="2" t="s">
        <v>74</v>
      </c>
      <c r="AO978" s="2" t="s">
        <v>4116</v>
      </c>
      <c r="AP978" s="2" t="s">
        <v>4117</v>
      </c>
      <c r="AQ978" s="2" t="s">
        <v>74</v>
      </c>
      <c r="AR978" s="2" t="s">
        <v>74</v>
      </c>
      <c r="AS978" s="2" t="s">
        <v>74</v>
      </c>
      <c r="AT978" s="2" t="s">
        <v>145</v>
      </c>
      <c r="AU978" s="2">
        <v>2016</v>
      </c>
      <c r="AV978" s="2">
        <v>41</v>
      </c>
      <c r="AW978" s="2">
        <v>4</v>
      </c>
      <c r="AX978" s="2" t="s">
        <v>74</v>
      </c>
      <c r="AY978" s="2" t="s">
        <v>74</v>
      </c>
      <c r="AZ978" s="2" t="s">
        <v>74</v>
      </c>
      <c r="BA978" s="2" t="s">
        <v>74</v>
      </c>
      <c r="BB978" s="2">
        <v>451</v>
      </c>
      <c r="BC978" s="2">
        <v>458</v>
      </c>
      <c r="BD978" s="2" t="s">
        <v>74</v>
      </c>
      <c r="BE978" s="2" t="s">
        <v>7309</v>
      </c>
      <c r="BF978" s="2" t="str">
        <f>HYPERLINK("http://dx.doi.org/10.1111/een.12315","http://dx.doi.org/10.1111/een.12315")</f>
        <v>http://dx.doi.org/10.1111/een.12315</v>
      </c>
      <c r="BG978" s="2" t="s">
        <v>74</v>
      </c>
      <c r="BH978" s="2" t="s">
        <v>74</v>
      </c>
      <c r="BI978" s="2" t="s">
        <v>74</v>
      </c>
      <c r="BJ978" s="2" t="s">
        <v>74</v>
      </c>
      <c r="BK978" s="2" t="s">
        <v>74</v>
      </c>
      <c r="BL978" s="2" t="s">
        <v>74</v>
      </c>
      <c r="BM978" s="2" t="s">
        <v>74</v>
      </c>
      <c r="BN978" s="2" t="s">
        <v>74</v>
      </c>
      <c r="BO978" s="2" t="s">
        <v>74</v>
      </c>
      <c r="BP978" s="2" t="s">
        <v>74</v>
      </c>
      <c r="BQ978" s="2" t="s">
        <v>74</v>
      </c>
      <c r="BR978" s="2" t="s">
        <v>74</v>
      </c>
      <c r="BS978" s="2" t="s">
        <v>7310</v>
      </c>
      <c r="BT978" s="2" t="str">
        <f>HYPERLINK("https%3A%2F%2Fwww.webofscience.com%2Fwos%2Fwoscc%2Ffull-record%2FWOS:000379942700010","View Full Record in Web of Science")</f>
        <v>View Full Record in Web of Science</v>
      </c>
    </row>
    <row r="979" spans="1:72" s="7" customFormat="1" x14ac:dyDescent="0.4">
      <c r="A979" s="2" t="s">
        <v>72</v>
      </c>
      <c r="B979" s="2" t="s">
        <v>3159</v>
      </c>
      <c r="C979" s="2" t="s">
        <v>74</v>
      </c>
      <c r="D979" s="2" t="s">
        <v>74</v>
      </c>
      <c r="E979" s="2" t="s">
        <v>74</v>
      </c>
      <c r="F979" s="2" t="s">
        <v>3160</v>
      </c>
      <c r="G979" s="2" t="s">
        <v>74</v>
      </c>
      <c r="H979" s="2" t="s">
        <v>74</v>
      </c>
      <c r="I979" s="2" t="s">
        <v>3161</v>
      </c>
      <c r="J979" s="2" t="s">
        <v>201</v>
      </c>
      <c r="K979" s="2" t="s">
        <v>74</v>
      </c>
      <c r="L979" s="2" t="s">
        <v>74</v>
      </c>
      <c r="M979" s="2" t="s">
        <v>74</v>
      </c>
      <c r="N979" s="2" t="s">
        <v>74</v>
      </c>
      <c r="O979" s="2" t="s">
        <v>74</v>
      </c>
      <c r="P979" s="2" t="s">
        <v>74</v>
      </c>
      <c r="Q979" s="2" t="s">
        <v>74</v>
      </c>
      <c r="R979" s="2" t="s">
        <v>74</v>
      </c>
      <c r="S979" s="2" t="s">
        <v>74</v>
      </c>
      <c r="T979" s="2" t="s">
        <v>74</v>
      </c>
      <c r="U979" s="2" t="s">
        <v>74</v>
      </c>
      <c r="V979" s="5" t="s">
        <v>3162</v>
      </c>
      <c r="W979" s="2" t="s">
        <v>74</v>
      </c>
      <c r="X979" s="2" t="s">
        <v>74</v>
      </c>
      <c r="Y979" s="2" t="s">
        <v>74</v>
      </c>
      <c r="Z979" s="2" t="s">
        <v>74</v>
      </c>
      <c r="AA979" s="2" t="s">
        <v>3163</v>
      </c>
      <c r="AB979" s="2" t="s">
        <v>3164</v>
      </c>
      <c r="AC979" s="2" t="s">
        <v>74</v>
      </c>
      <c r="AD979" s="2" t="s">
        <v>74</v>
      </c>
      <c r="AE979" s="2" t="s">
        <v>74</v>
      </c>
      <c r="AF979" s="2" t="s">
        <v>74</v>
      </c>
      <c r="AG979" s="2" t="s">
        <v>74</v>
      </c>
      <c r="AH979" s="2" t="s">
        <v>74</v>
      </c>
      <c r="AI979" s="2" t="s">
        <v>74</v>
      </c>
      <c r="AJ979" s="2" t="s">
        <v>74</v>
      </c>
      <c r="AK979" s="2" t="s">
        <v>74</v>
      </c>
      <c r="AL979" s="2" t="s">
        <v>74</v>
      </c>
      <c r="AM979" s="2" t="s">
        <v>74</v>
      </c>
      <c r="AN979" s="2" t="s">
        <v>74</v>
      </c>
      <c r="AO979" s="2" t="s">
        <v>203</v>
      </c>
      <c r="AP979" s="2" t="s">
        <v>1192</v>
      </c>
      <c r="AQ979" s="2" t="s">
        <v>74</v>
      </c>
      <c r="AR979" s="2" t="s">
        <v>74</v>
      </c>
      <c r="AS979" s="2" t="s">
        <v>74</v>
      </c>
      <c r="AT979" s="2" t="s">
        <v>123</v>
      </c>
      <c r="AU979" s="2">
        <v>2015</v>
      </c>
      <c r="AV979" s="2">
        <v>86</v>
      </c>
      <c r="AW979" s="2">
        <v>3</v>
      </c>
      <c r="AX979" s="2" t="s">
        <v>74</v>
      </c>
      <c r="AY979" s="2" t="s">
        <v>74</v>
      </c>
      <c r="AZ979" s="2" t="s">
        <v>74</v>
      </c>
      <c r="BA979" s="2" t="s">
        <v>74</v>
      </c>
      <c r="BB979" s="2">
        <v>1109</v>
      </c>
      <c r="BC979" s="2">
        <v>1120</v>
      </c>
      <c r="BD979" s="2" t="s">
        <v>74</v>
      </c>
      <c r="BE979" s="2" t="s">
        <v>3165</v>
      </c>
      <c r="BF979" s="2" t="str">
        <f>HYPERLINK("http://dx.doi.org/10.1111/jfb.12618","http://dx.doi.org/10.1111/jfb.12618")</f>
        <v>http://dx.doi.org/10.1111/jfb.12618</v>
      </c>
      <c r="BG979" s="2" t="s">
        <v>74</v>
      </c>
      <c r="BH979" s="2" t="s">
        <v>74</v>
      </c>
      <c r="BI979" s="2" t="s">
        <v>74</v>
      </c>
      <c r="BJ979" s="2" t="s">
        <v>74</v>
      </c>
      <c r="BK979" s="2" t="s">
        <v>74</v>
      </c>
      <c r="BL979" s="2" t="s">
        <v>74</v>
      </c>
      <c r="BM979" s="2" t="s">
        <v>74</v>
      </c>
      <c r="BN979" s="2">
        <v>25619403</v>
      </c>
      <c r="BO979" s="2" t="s">
        <v>74</v>
      </c>
      <c r="BP979" s="2" t="s">
        <v>74</v>
      </c>
      <c r="BQ979" s="2" t="s">
        <v>74</v>
      </c>
      <c r="BR979" s="2" t="s">
        <v>74</v>
      </c>
      <c r="BS979" s="2" t="s">
        <v>3166</v>
      </c>
      <c r="BT979" s="2" t="str">
        <f>HYPERLINK("https%3A%2F%2Fwww.webofscience.com%2Fwos%2Fwoscc%2Ffull-record%2FWOS:000351356700014","View Full Record in Web of Science")</f>
        <v>View Full Record in Web of Science</v>
      </c>
    </row>
    <row r="980" spans="1:72" s="2" customFormat="1" x14ac:dyDescent="0.4">
      <c r="A980" s="2" t="s">
        <v>72</v>
      </c>
      <c r="B980" s="2" t="s">
        <v>4927</v>
      </c>
      <c r="C980" s="2" t="s">
        <v>74</v>
      </c>
      <c r="D980" s="2" t="s">
        <v>74</v>
      </c>
      <c r="E980" s="2" t="s">
        <v>74</v>
      </c>
      <c r="F980" s="2" t="s">
        <v>4927</v>
      </c>
      <c r="G980" s="2" t="s">
        <v>74</v>
      </c>
      <c r="H980" s="2" t="s">
        <v>74</v>
      </c>
      <c r="I980" s="2" t="s">
        <v>4928</v>
      </c>
      <c r="J980" s="2" t="s">
        <v>140</v>
      </c>
      <c r="K980" s="2" t="s">
        <v>74</v>
      </c>
      <c r="L980" s="2" t="s">
        <v>74</v>
      </c>
      <c r="M980" s="2" t="s">
        <v>74</v>
      </c>
      <c r="N980" s="2" t="s">
        <v>74</v>
      </c>
      <c r="O980" s="2" t="s">
        <v>74</v>
      </c>
      <c r="P980" s="2" t="s">
        <v>74</v>
      </c>
      <c r="Q980" s="2" t="s">
        <v>74</v>
      </c>
      <c r="R980" s="2" t="s">
        <v>74</v>
      </c>
      <c r="S980" s="2" t="s">
        <v>74</v>
      </c>
      <c r="T980" s="2" t="s">
        <v>74</v>
      </c>
      <c r="U980" s="2" t="s">
        <v>74</v>
      </c>
      <c r="V980" s="5" t="s">
        <v>4929</v>
      </c>
      <c r="W980" s="2" t="s">
        <v>74</v>
      </c>
      <c r="X980" s="2" t="s">
        <v>74</v>
      </c>
      <c r="Y980" s="2" t="s">
        <v>74</v>
      </c>
      <c r="Z980" s="2" t="s">
        <v>74</v>
      </c>
      <c r="AA980" s="2" t="s">
        <v>74</v>
      </c>
      <c r="AB980" s="2" t="s">
        <v>74</v>
      </c>
      <c r="AC980" s="2" t="s">
        <v>74</v>
      </c>
      <c r="AD980" s="2" t="s">
        <v>74</v>
      </c>
      <c r="AE980" s="2" t="s">
        <v>74</v>
      </c>
      <c r="AF980" s="2" t="s">
        <v>74</v>
      </c>
      <c r="AG980" s="2" t="s">
        <v>74</v>
      </c>
      <c r="AH980" s="2" t="s">
        <v>74</v>
      </c>
      <c r="AI980" s="2" t="s">
        <v>74</v>
      </c>
      <c r="AJ980" s="2" t="s">
        <v>74</v>
      </c>
      <c r="AK980" s="2" t="s">
        <v>74</v>
      </c>
      <c r="AL980" s="2" t="s">
        <v>74</v>
      </c>
      <c r="AM980" s="2" t="s">
        <v>74</v>
      </c>
      <c r="AN980" s="2" t="s">
        <v>74</v>
      </c>
      <c r="AO980" s="2" t="s">
        <v>143</v>
      </c>
      <c r="AP980" s="2" t="s">
        <v>144</v>
      </c>
      <c r="AQ980" s="2" t="s">
        <v>74</v>
      </c>
      <c r="AR980" s="2" t="s">
        <v>74</v>
      </c>
      <c r="AS980" s="2" t="s">
        <v>74</v>
      </c>
      <c r="AT980" s="2" t="s">
        <v>74</v>
      </c>
      <c r="AU980" s="2">
        <v>1978</v>
      </c>
      <c r="AV980" s="2">
        <v>26</v>
      </c>
      <c r="AW980" s="2" t="s">
        <v>213</v>
      </c>
      <c r="AX980" s="2" t="s">
        <v>74</v>
      </c>
      <c r="AY980" s="2" t="s">
        <v>74</v>
      </c>
      <c r="AZ980" s="2" t="s">
        <v>74</v>
      </c>
      <c r="BA980" s="2" t="s">
        <v>74</v>
      </c>
      <c r="BB980" s="2">
        <v>1120</v>
      </c>
      <c r="BC980" s="2">
        <v>1125</v>
      </c>
      <c r="BD980" s="2" t="s">
        <v>74</v>
      </c>
      <c r="BE980" s="2" t="s">
        <v>4930</v>
      </c>
      <c r="BF980" s="2" t="str">
        <f>HYPERLINK("http://dx.doi.org/10.1016/0003-3472(78)90101-X","http://dx.doi.org/10.1016/0003-3472(78)90101-X")</f>
        <v>http://dx.doi.org/10.1016/0003-3472(78)90101-X</v>
      </c>
      <c r="BG980" s="2" t="s">
        <v>74</v>
      </c>
      <c r="BH980" s="2" t="s">
        <v>74</v>
      </c>
      <c r="BI980" s="2" t="s">
        <v>74</v>
      </c>
      <c r="BJ980" s="2" t="s">
        <v>74</v>
      </c>
      <c r="BK980" s="2" t="s">
        <v>74</v>
      </c>
      <c r="BL980" s="2" t="s">
        <v>74</v>
      </c>
      <c r="BM980" s="2" t="s">
        <v>74</v>
      </c>
      <c r="BN980" s="2" t="s">
        <v>74</v>
      </c>
      <c r="BO980" s="2" t="s">
        <v>74</v>
      </c>
      <c r="BP980" s="2" t="s">
        <v>74</v>
      </c>
      <c r="BQ980" s="2" t="s">
        <v>74</v>
      </c>
      <c r="BR980" s="2" t="s">
        <v>74</v>
      </c>
      <c r="BS980" s="2" t="s">
        <v>4931</v>
      </c>
      <c r="BT980" s="2" t="str">
        <f>HYPERLINK("https%3A%2F%2Fwww.webofscience.com%2Fwos%2Fwoscc%2Ffull-record%2FWOS:A1978GD83400017","View Full Record in Web of Science")</f>
        <v>View Full Record in Web of Science</v>
      </c>
    </row>
    <row r="981" spans="1:72" s="1" customFormat="1" x14ac:dyDescent="0.4">
      <c r="A981" s="2" t="s">
        <v>72</v>
      </c>
      <c r="B981" s="2" t="s">
        <v>1310</v>
      </c>
      <c r="C981" s="2" t="s">
        <v>74</v>
      </c>
      <c r="D981" s="2" t="s">
        <v>74</v>
      </c>
      <c r="E981" s="2" t="s">
        <v>74</v>
      </c>
      <c r="F981" s="2" t="s">
        <v>1311</v>
      </c>
      <c r="G981" s="2" t="s">
        <v>74</v>
      </c>
      <c r="H981" s="2" t="s">
        <v>74</v>
      </c>
      <c r="I981" s="2" t="s">
        <v>1312</v>
      </c>
      <c r="J981" s="2" t="s">
        <v>140</v>
      </c>
      <c r="K981" s="2" t="s">
        <v>74</v>
      </c>
      <c r="L981" s="2" t="s">
        <v>74</v>
      </c>
      <c r="M981" s="2" t="s">
        <v>74</v>
      </c>
      <c r="N981" s="2" t="s">
        <v>74</v>
      </c>
      <c r="O981" s="2" t="s">
        <v>74</v>
      </c>
      <c r="P981" s="2" t="s">
        <v>74</v>
      </c>
      <c r="Q981" s="2" t="s">
        <v>74</v>
      </c>
      <c r="R981" s="2" t="s">
        <v>74</v>
      </c>
      <c r="S981" s="2" t="s">
        <v>74</v>
      </c>
      <c r="T981" s="2" t="s">
        <v>74</v>
      </c>
      <c r="U981" s="2" t="s">
        <v>74</v>
      </c>
      <c r="V981" s="5" t="s">
        <v>1313</v>
      </c>
      <c r="W981" s="2" t="s">
        <v>74</v>
      </c>
      <c r="X981" s="2" t="s">
        <v>74</v>
      </c>
      <c r="Y981" s="2" t="s">
        <v>74</v>
      </c>
      <c r="Z981" s="2" t="s">
        <v>74</v>
      </c>
      <c r="AA981" s="2" t="s">
        <v>74</v>
      </c>
      <c r="AB981" s="2" t="s">
        <v>74</v>
      </c>
      <c r="AC981" s="2" t="s">
        <v>74</v>
      </c>
      <c r="AD981" s="2" t="s">
        <v>74</v>
      </c>
      <c r="AE981" s="2" t="s">
        <v>74</v>
      </c>
      <c r="AF981" s="2" t="s">
        <v>74</v>
      </c>
      <c r="AG981" s="2" t="s">
        <v>74</v>
      </c>
      <c r="AH981" s="2" t="s">
        <v>74</v>
      </c>
      <c r="AI981" s="2" t="s">
        <v>74</v>
      </c>
      <c r="AJ981" s="2" t="s">
        <v>74</v>
      </c>
      <c r="AK981" s="2" t="s">
        <v>74</v>
      </c>
      <c r="AL981" s="2" t="s">
        <v>74</v>
      </c>
      <c r="AM981" s="2" t="s">
        <v>74</v>
      </c>
      <c r="AN981" s="2" t="s">
        <v>74</v>
      </c>
      <c r="AO981" s="2" t="s">
        <v>143</v>
      </c>
      <c r="AP981" s="2" t="s">
        <v>74</v>
      </c>
      <c r="AQ981" s="2" t="s">
        <v>74</v>
      </c>
      <c r="AR981" s="2" t="s">
        <v>74</v>
      </c>
      <c r="AS981" s="2" t="s">
        <v>74</v>
      </c>
      <c r="AT981" s="2" t="s">
        <v>633</v>
      </c>
      <c r="AU981" s="2">
        <v>2011</v>
      </c>
      <c r="AV981" s="2">
        <v>81</v>
      </c>
      <c r="AW981" s="2">
        <v>4</v>
      </c>
      <c r="AX981" s="2" t="s">
        <v>74</v>
      </c>
      <c r="AY981" s="2" t="s">
        <v>74</v>
      </c>
      <c r="AZ981" s="2" t="s">
        <v>74</v>
      </c>
      <c r="BA981" s="2" t="s">
        <v>74</v>
      </c>
      <c r="BB981" s="2">
        <v>825</v>
      </c>
      <c r="BC981" s="2">
        <v>829</v>
      </c>
      <c r="BD981" s="2" t="s">
        <v>74</v>
      </c>
      <c r="BE981" s="2" t="s">
        <v>1314</v>
      </c>
      <c r="BF981" s="2" t="str">
        <f>HYPERLINK("http://dx.doi.org/10.1016/j.anbehav.2011.01.017","http://dx.doi.org/10.1016/j.anbehav.2011.01.017")</f>
        <v>http://dx.doi.org/10.1016/j.anbehav.2011.01.017</v>
      </c>
      <c r="BG981" s="2" t="s">
        <v>74</v>
      </c>
      <c r="BH981" s="2" t="s">
        <v>74</v>
      </c>
      <c r="BI981" s="2" t="s">
        <v>74</v>
      </c>
      <c r="BJ981" s="2" t="s">
        <v>74</v>
      </c>
      <c r="BK981" s="2" t="s">
        <v>74</v>
      </c>
      <c r="BL981" s="2" t="s">
        <v>74</v>
      </c>
      <c r="BM981" s="2" t="s">
        <v>74</v>
      </c>
      <c r="BN981" s="2" t="s">
        <v>74</v>
      </c>
      <c r="BO981" s="2" t="s">
        <v>74</v>
      </c>
      <c r="BP981" s="2" t="s">
        <v>74</v>
      </c>
      <c r="BQ981" s="2" t="s">
        <v>74</v>
      </c>
      <c r="BR981" s="2" t="s">
        <v>74</v>
      </c>
      <c r="BS981" s="2" t="s">
        <v>1315</v>
      </c>
      <c r="BT981" s="2" t="str">
        <f>HYPERLINK("https%3A%2F%2Fwww.webofscience.com%2Fwos%2Fwoscc%2Ffull-record%2FWOS:000288651200019","View Full Record in Web of Science")</f>
        <v>View Full Record in Web of Science</v>
      </c>
    </row>
    <row r="982" spans="1:72" s="2" customFormat="1" x14ac:dyDescent="0.4">
      <c r="A982" s="2" t="s">
        <v>72</v>
      </c>
      <c r="B982" s="2" t="s">
        <v>5857</v>
      </c>
      <c r="C982" s="2" t="s">
        <v>74</v>
      </c>
      <c r="D982" s="2" t="s">
        <v>74</v>
      </c>
      <c r="E982" s="2" t="s">
        <v>74</v>
      </c>
      <c r="F982" s="2" t="s">
        <v>5858</v>
      </c>
      <c r="G982" s="2" t="s">
        <v>74</v>
      </c>
      <c r="H982" s="2" t="s">
        <v>74</v>
      </c>
      <c r="I982" s="2" t="s">
        <v>5859</v>
      </c>
      <c r="J982" s="2" t="s">
        <v>509</v>
      </c>
      <c r="K982" s="2" t="s">
        <v>74</v>
      </c>
      <c r="L982" s="2" t="s">
        <v>74</v>
      </c>
      <c r="M982" s="2" t="s">
        <v>74</v>
      </c>
      <c r="N982" s="2" t="s">
        <v>74</v>
      </c>
      <c r="O982" s="2" t="s">
        <v>74</v>
      </c>
      <c r="P982" s="2" t="s">
        <v>74</v>
      </c>
      <c r="Q982" s="2" t="s">
        <v>74</v>
      </c>
      <c r="R982" s="2" t="s">
        <v>74</v>
      </c>
      <c r="S982" s="2" t="s">
        <v>74</v>
      </c>
      <c r="T982" s="2" t="s">
        <v>74</v>
      </c>
      <c r="U982" s="2" t="s">
        <v>74</v>
      </c>
      <c r="V982" s="5" t="s">
        <v>5860</v>
      </c>
      <c r="W982" s="2" t="s">
        <v>74</v>
      </c>
      <c r="X982" s="2" t="s">
        <v>74</v>
      </c>
      <c r="Y982" s="2" t="s">
        <v>74</v>
      </c>
      <c r="Z982" s="2" t="s">
        <v>74</v>
      </c>
      <c r="AA982" s="2" t="s">
        <v>5861</v>
      </c>
      <c r="AB982" s="2" t="s">
        <v>5862</v>
      </c>
      <c r="AC982" s="2" t="s">
        <v>74</v>
      </c>
      <c r="AD982" s="2" t="s">
        <v>74</v>
      </c>
      <c r="AE982" s="2" t="s">
        <v>74</v>
      </c>
      <c r="AF982" s="2" t="s">
        <v>74</v>
      </c>
      <c r="AG982" s="2" t="s">
        <v>74</v>
      </c>
      <c r="AH982" s="2" t="s">
        <v>74</v>
      </c>
      <c r="AI982" s="2" t="s">
        <v>74</v>
      </c>
      <c r="AJ982" s="2" t="s">
        <v>74</v>
      </c>
      <c r="AK982" s="2" t="s">
        <v>74</v>
      </c>
      <c r="AL982" s="2" t="s">
        <v>74</v>
      </c>
      <c r="AM982" s="2" t="s">
        <v>74</v>
      </c>
      <c r="AN982" s="2" t="s">
        <v>74</v>
      </c>
      <c r="AO982" s="2" t="s">
        <v>511</v>
      </c>
      <c r="AP982" s="2" t="s">
        <v>512</v>
      </c>
      <c r="AQ982" s="2" t="s">
        <v>74</v>
      </c>
      <c r="AR982" s="2" t="s">
        <v>74</v>
      </c>
      <c r="AS982" s="2" t="s">
        <v>74</v>
      </c>
      <c r="AT982" s="2" t="s">
        <v>352</v>
      </c>
      <c r="AU982" s="2">
        <v>2008</v>
      </c>
      <c r="AV982" s="2">
        <v>54</v>
      </c>
      <c r="AW982" s="2">
        <v>4</v>
      </c>
      <c r="AX982" s="2" t="s">
        <v>74</v>
      </c>
      <c r="AY982" s="2" t="s">
        <v>74</v>
      </c>
      <c r="AZ982" s="2" t="s">
        <v>74</v>
      </c>
      <c r="BA982" s="2" t="s">
        <v>74</v>
      </c>
      <c r="BB982" s="2">
        <v>549</v>
      </c>
      <c r="BC982" s="2">
        <v>556</v>
      </c>
      <c r="BD982" s="2" t="s">
        <v>74</v>
      </c>
      <c r="BE982" s="2" t="s">
        <v>5863</v>
      </c>
      <c r="BF982" s="2" t="str">
        <f>HYPERLINK("http://dx.doi.org/10.1016/j.yhbeh.2008.05.018","http://dx.doi.org/10.1016/j.yhbeh.2008.05.018")</f>
        <v>http://dx.doi.org/10.1016/j.yhbeh.2008.05.018</v>
      </c>
      <c r="BG982" s="2" t="s">
        <v>74</v>
      </c>
      <c r="BH982" s="2" t="s">
        <v>74</v>
      </c>
      <c r="BI982" s="2" t="s">
        <v>74</v>
      </c>
      <c r="BJ982" s="2" t="s">
        <v>74</v>
      </c>
      <c r="BK982" s="2" t="s">
        <v>74</v>
      </c>
      <c r="BL982" s="2" t="s">
        <v>74</v>
      </c>
      <c r="BM982" s="2" t="s">
        <v>74</v>
      </c>
      <c r="BN982" s="2">
        <v>18586039</v>
      </c>
      <c r="BO982" s="2" t="s">
        <v>74</v>
      </c>
      <c r="BP982" s="2" t="s">
        <v>74</v>
      </c>
      <c r="BQ982" s="2" t="s">
        <v>74</v>
      </c>
      <c r="BR982" s="2" t="s">
        <v>74</v>
      </c>
      <c r="BS982" s="2" t="s">
        <v>5864</v>
      </c>
      <c r="BT982" s="2" t="str">
        <f>HYPERLINK("https%3A%2F%2Fwww.webofscience.com%2Fwos%2Fwoscc%2Ffull-record%2FWOS:000259159200011","View Full Record in Web of Science")</f>
        <v>View Full Record in Web of Science</v>
      </c>
    </row>
    <row r="983" spans="1:72" s="2" customFormat="1" x14ac:dyDescent="0.4">
      <c r="A983" s="2" t="s">
        <v>72</v>
      </c>
      <c r="B983" s="2" t="s">
        <v>5127</v>
      </c>
      <c r="C983" s="2" t="s">
        <v>74</v>
      </c>
      <c r="D983" s="2" t="s">
        <v>74</v>
      </c>
      <c r="E983" s="2" t="s">
        <v>74</v>
      </c>
      <c r="F983" s="2" t="s">
        <v>5127</v>
      </c>
      <c r="G983" s="2" t="s">
        <v>74</v>
      </c>
      <c r="H983" s="2" t="s">
        <v>74</v>
      </c>
      <c r="I983" s="2" t="s">
        <v>5128</v>
      </c>
      <c r="J983" s="2" t="s">
        <v>5129</v>
      </c>
      <c r="K983" s="2" t="s">
        <v>74</v>
      </c>
      <c r="L983" s="2" t="s">
        <v>74</v>
      </c>
      <c r="M983" s="2" t="s">
        <v>74</v>
      </c>
      <c r="N983" s="2" t="s">
        <v>74</v>
      </c>
      <c r="O983" s="2" t="s">
        <v>74</v>
      </c>
      <c r="P983" s="2" t="s">
        <v>74</v>
      </c>
      <c r="Q983" s="2" t="s">
        <v>74</v>
      </c>
      <c r="R983" s="2" t="s">
        <v>74</v>
      </c>
      <c r="S983" s="2" t="s">
        <v>74</v>
      </c>
      <c r="T983" s="2" t="s">
        <v>74</v>
      </c>
      <c r="U983" s="2" t="s">
        <v>74</v>
      </c>
      <c r="V983" s="5" t="s">
        <v>5130</v>
      </c>
      <c r="W983" s="2" t="s">
        <v>74</v>
      </c>
      <c r="X983" s="2" t="s">
        <v>74</v>
      </c>
      <c r="Y983" s="2" t="s">
        <v>74</v>
      </c>
      <c r="Z983" s="2" t="s">
        <v>74</v>
      </c>
      <c r="AA983" s="2" t="s">
        <v>74</v>
      </c>
      <c r="AB983" s="2" t="s">
        <v>74</v>
      </c>
      <c r="AC983" s="2" t="s">
        <v>74</v>
      </c>
      <c r="AD983" s="2" t="s">
        <v>74</v>
      </c>
      <c r="AE983" s="2" t="s">
        <v>74</v>
      </c>
      <c r="AF983" s="2" t="s">
        <v>74</v>
      </c>
      <c r="AG983" s="2" t="s">
        <v>74</v>
      </c>
      <c r="AH983" s="2" t="s">
        <v>74</v>
      </c>
      <c r="AI983" s="2" t="s">
        <v>74</v>
      </c>
      <c r="AJ983" s="2" t="s">
        <v>74</v>
      </c>
      <c r="AK983" s="2" t="s">
        <v>74</v>
      </c>
      <c r="AL983" s="2" t="s">
        <v>74</v>
      </c>
      <c r="AM983" s="2" t="s">
        <v>74</v>
      </c>
      <c r="AN983" s="2" t="s">
        <v>74</v>
      </c>
      <c r="AO983" s="2" t="s">
        <v>5131</v>
      </c>
      <c r="AP983" s="2" t="s">
        <v>5132</v>
      </c>
      <c r="AQ983" s="2" t="s">
        <v>74</v>
      </c>
      <c r="AR983" s="2" t="s">
        <v>74</v>
      </c>
      <c r="AS983" s="2" t="s">
        <v>74</v>
      </c>
      <c r="AT983" s="2" t="s">
        <v>74</v>
      </c>
      <c r="AU983" s="2">
        <v>1993</v>
      </c>
      <c r="AV983" s="2">
        <v>81</v>
      </c>
      <c r="AW983" s="2">
        <v>1</v>
      </c>
      <c r="AX983" s="2" t="s">
        <v>74</v>
      </c>
      <c r="AY983" s="2" t="s">
        <v>74</v>
      </c>
      <c r="AZ983" s="2" t="s">
        <v>74</v>
      </c>
      <c r="BA983" s="2" t="s">
        <v>74</v>
      </c>
      <c r="BB983" s="2">
        <v>35</v>
      </c>
      <c r="BC983" s="2">
        <v>41</v>
      </c>
      <c r="BD983" s="2" t="s">
        <v>74</v>
      </c>
      <c r="BE983" s="2" t="s">
        <v>74</v>
      </c>
      <c r="BF983" s="2" t="s">
        <v>74</v>
      </c>
      <c r="BG983" s="2" t="s">
        <v>74</v>
      </c>
      <c r="BH983" s="2" t="s">
        <v>74</v>
      </c>
      <c r="BI983" s="2" t="s">
        <v>74</v>
      </c>
      <c r="BJ983" s="2" t="s">
        <v>74</v>
      </c>
      <c r="BK983" s="2" t="s">
        <v>74</v>
      </c>
      <c r="BL983" s="2" t="s">
        <v>74</v>
      </c>
      <c r="BM983" s="2" t="s">
        <v>74</v>
      </c>
      <c r="BN983" s="2" t="s">
        <v>74</v>
      </c>
      <c r="BO983" s="2" t="s">
        <v>74</v>
      </c>
      <c r="BP983" s="2" t="s">
        <v>74</v>
      </c>
      <c r="BQ983" s="2" t="s">
        <v>74</v>
      </c>
      <c r="BR983" s="2" t="s">
        <v>74</v>
      </c>
      <c r="BS983" s="2" t="s">
        <v>5133</v>
      </c>
      <c r="BT983" s="2" t="str">
        <f>HYPERLINK("https%3A%2F%2Fwww.webofscience.com%2Fwos%2Fwoscc%2Ffull-record%2FWOS:A1993LV04800007","View Full Record in Web of Science")</f>
        <v>View Full Record in Web of Science</v>
      </c>
    </row>
    <row r="984" spans="1:72" s="2" customFormat="1" x14ac:dyDescent="0.4">
      <c r="A984" s="2" t="s">
        <v>72</v>
      </c>
      <c r="B984" s="2" t="s">
        <v>3310</v>
      </c>
      <c r="C984" s="2" t="s">
        <v>74</v>
      </c>
      <c r="D984" s="2" t="s">
        <v>74</v>
      </c>
      <c r="E984" s="2" t="s">
        <v>74</v>
      </c>
      <c r="F984" s="2" t="s">
        <v>3310</v>
      </c>
      <c r="G984" s="2" t="s">
        <v>74</v>
      </c>
      <c r="H984" s="2" t="s">
        <v>74</v>
      </c>
      <c r="I984" s="2" t="s">
        <v>3311</v>
      </c>
      <c r="J984" s="2" t="s">
        <v>108</v>
      </c>
      <c r="K984" s="2" t="s">
        <v>74</v>
      </c>
      <c r="L984" s="2" t="s">
        <v>74</v>
      </c>
      <c r="M984" s="2" t="s">
        <v>74</v>
      </c>
      <c r="N984" s="2" t="s">
        <v>74</v>
      </c>
      <c r="O984" s="2" t="s">
        <v>74</v>
      </c>
      <c r="P984" s="2" t="s">
        <v>74</v>
      </c>
      <c r="Q984" s="2" t="s">
        <v>74</v>
      </c>
      <c r="R984" s="2" t="s">
        <v>74</v>
      </c>
      <c r="S984" s="2" t="s">
        <v>74</v>
      </c>
      <c r="T984" s="2" t="s">
        <v>74</v>
      </c>
      <c r="U984" s="2" t="s">
        <v>74</v>
      </c>
      <c r="V984" s="5" t="s">
        <v>3312</v>
      </c>
      <c r="W984" s="2" t="s">
        <v>74</v>
      </c>
      <c r="X984" s="2" t="s">
        <v>74</v>
      </c>
      <c r="Y984" s="2" t="s">
        <v>74</v>
      </c>
      <c r="Z984" s="2" t="s">
        <v>74</v>
      </c>
      <c r="AA984" s="2" t="s">
        <v>74</v>
      </c>
      <c r="AB984" s="2" t="s">
        <v>74</v>
      </c>
      <c r="AC984" s="2" t="s">
        <v>74</v>
      </c>
      <c r="AD984" s="2" t="s">
        <v>74</v>
      </c>
      <c r="AE984" s="2" t="s">
        <v>74</v>
      </c>
      <c r="AF984" s="2" t="s">
        <v>74</v>
      </c>
      <c r="AG984" s="2" t="s">
        <v>74</v>
      </c>
      <c r="AH984" s="2" t="s">
        <v>74</v>
      </c>
      <c r="AI984" s="2" t="s">
        <v>74</v>
      </c>
      <c r="AJ984" s="2" t="s">
        <v>74</v>
      </c>
      <c r="AK984" s="2" t="s">
        <v>74</v>
      </c>
      <c r="AL984" s="2" t="s">
        <v>74</v>
      </c>
      <c r="AM984" s="2" t="s">
        <v>74</v>
      </c>
      <c r="AN984" s="2" t="s">
        <v>74</v>
      </c>
      <c r="AO984" s="2" t="s">
        <v>111</v>
      </c>
      <c r="AP984" s="2" t="s">
        <v>112</v>
      </c>
      <c r="AQ984" s="2" t="s">
        <v>74</v>
      </c>
      <c r="AR984" s="2" t="s">
        <v>74</v>
      </c>
      <c r="AS984" s="2" t="s">
        <v>74</v>
      </c>
      <c r="AT984" s="2" t="s">
        <v>3313</v>
      </c>
      <c r="AU984" s="2">
        <v>1999</v>
      </c>
      <c r="AV984" s="2">
        <v>266</v>
      </c>
      <c r="AW984" s="2">
        <v>1422</v>
      </c>
      <c r="AX984" s="2" t="s">
        <v>74</v>
      </c>
      <c r="AY984" s="2" t="s">
        <v>74</v>
      </c>
      <c r="AZ984" s="2" t="s">
        <v>74</v>
      </c>
      <c r="BA984" s="2" t="s">
        <v>74</v>
      </c>
      <c r="BB984" s="2">
        <v>917</v>
      </c>
      <c r="BC984" s="2">
        <v>921</v>
      </c>
      <c r="BD984" s="2" t="s">
        <v>74</v>
      </c>
      <c r="BE984" s="2" t="s">
        <v>3314</v>
      </c>
      <c r="BF984" s="2" t="str">
        <f>HYPERLINK("http://dx.doi.org/10.1098/rspb.1999.0724","http://dx.doi.org/10.1098/rspb.1999.0724")</f>
        <v>http://dx.doi.org/10.1098/rspb.1999.0724</v>
      </c>
      <c r="BG984" s="2" t="s">
        <v>74</v>
      </c>
      <c r="BH984" s="2" t="s">
        <v>74</v>
      </c>
      <c r="BI984" s="2" t="s">
        <v>74</v>
      </c>
      <c r="BJ984" s="2" t="s">
        <v>74</v>
      </c>
      <c r="BK984" s="2" t="s">
        <v>74</v>
      </c>
      <c r="BL984" s="2" t="s">
        <v>74</v>
      </c>
      <c r="BM984" s="2" t="s">
        <v>74</v>
      </c>
      <c r="BN984" s="2" t="s">
        <v>74</v>
      </c>
      <c r="BO984" s="2" t="s">
        <v>74</v>
      </c>
      <c r="BP984" s="2" t="s">
        <v>74</v>
      </c>
      <c r="BQ984" s="2" t="s">
        <v>74</v>
      </c>
      <c r="BR984" s="2" t="s">
        <v>74</v>
      </c>
      <c r="BS984" s="2" t="s">
        <v>3315</v>
      </c>
      <c r="BT984" s="2" t="str">
        <f>HYPERLINK("https%3A%2F%2Fwww.webofscience.com%2Fwos%2Fwoscc%2Ffull-record%2FWOS:000080290100008","View Full Record in Web of Science")</f>
        <v>View Full Record in Web of Science</v>
      </c>
    </row>
    <row r="985" spans="1:72" s="2" customFormat="1" x14ac:dyDescent="0.4">
      <c r="A985" s="2" t="s">
        <v>72</v>
      </c>
      <c r="B985" s="2" t="s">
        <v>1278</v>
      </c>
      <c r="C985" s="2" t="s">
        <v>74</v>
      </c>
      <c r="D985" s="2" t="s">
        <v>74</v>
      </c>
      <c r="E985" s="2" t="s">
        <v>74</v>
      </c>
      <c r="F985" s="2" t="s">
        <v>1278</v>
      </c>
      <c r="G985" s="2" t="s">
        <v>74</v>
      </c>
      <c r="H985" s="2" t="s">
        <v>74</v>
      </c>
      <c r="I985" s="2" t="s">
        <v>1279</v>
      </c>
      <c r="J985" s="2" t="s">
        <v>171</v>
      </c>
      <c r="K985" s="2" t="s">
        <v>74</v>
      </c>
      <c r="L985" s="2" t="s">
        <v>74</v>
      </c>
      <c r="M985" s="2" t="s">
        <v>74</v>
      </c>
      <c r="N985" s="2" t="s">
        <v>74</v>
      </c>
      <c r="O985" s="2" t="s">
        <v>74</v>
      </c>
      <c r="P985" s="2" t="s">
        <v>74</v>
      </c>
      <c r="Q985" s="2" t="s">
        <v>74</v>
      </c>
      <c r="R985" s="2" t="s">
        <v>74</v>
      </c>
      <c r="S985" s="2" t="s">
        <v>74</v>
      </c>
      <c r="T985" s="2" t="s">
        <v>74</v>
      </c>
      <c r="U985" s="2" t="s">
        <v>74</v>
      </c>
      <c r="V985" s="5" t="s">
        <v>1280</v>
      </c>
      <c r="W985" s="2" t="s">
        <v>74</v>
      </c>
      <c r="X985" s="2" t="s">
        <v>74</v>
      </c>
      <c r="Y985" s="2" t="s">
        <v>74</v>
      </c>
      <c r="Z985" s="2" t="s">
        <v>74</v>
      </c>
      <c r="AA985" s="2" t="s">
        <v>74</v>
      </c>
      <c r="AB985" s="2" t="s">
        <v>74</v>
      </c>
      <c r="AC985" s="2" t="s">
        <v>74</v>
      </c>
      <c r="AD985" s="2" t="s">
        <v>74</v>
      </c>
      <c r="AE985" s="2" t="s">
        <v>74</v>
      </c>
      <c r="AF985" s="2" t="s">
        <v>74</v>
      </c>
      <c r="AG985" s="2" t="s">
        <v>74</v>
      </c>
      <c r="AH985" s="2" t="s">
        <v>74</v>
      </c>
      <c r="AI985" s="2" t="s">
        <v>74</v>
      </c>
      <c r="AJ985" s="2" t="s">
        <v>74</v>
      </c>
      <c r="AK985" s="2" t="s">
        <v>74</v>
      </c>
      <c r="AL985" s="2" t="s">
        <v>74</v>
      </c>
      <c r="AM985" s="2" t="s">
        <v>74</v>
      </c>
      <c r="AN985" s="2" t="s">
        <v>74</v>
      </c>
      <c r="AO985" s="2" t="s">
        <v>173</v>
      </c>
      <c r="AP985" s="2" t="s">
        <v>74</v>
      </c>
      <c r="AQ985" s="2" t="s">
        <v>74</v>
      </c>
      <c r="AR985" s="2" t="s">
        <v>74</v>
      </c>
      <c r="AS985" s="2" t="s">
        <v>74</v>
      </c>
      <c r="AT985" s="2" t="s">
        <v>102</v>
      </c>
      <c r="AU985" s="2">
        <v>1991</v>
      </c>
      <c r="AV985" s="2">
        <v>45</v>
      </c>
      <c r="AW985" s="2">
        <v>4</v>
      </c>
      <c r="AX985" s="2" t="s">
        <v>74</v>
      </c>
      <c r="AY985" s="2" t="s">
        <v>74</v>
      </c>
      <c r="AZ985" s="2" t="s">
        <v>74</v>
      </c>
      <c r="BA985" s="2" t="s">
        <v>74</v>
      </c>
      <c r="BB985" s="2">
        <v>910</v>
      </c>
      <c r="BC985" s="2">
        <v>917</v>
      </c>
      <c r="BD985" s="2" t="s">
        <v>74</v>
      </c>
      <c r="BE985" s="2" t="s">
        <v>1281</v>
      </c>
      <c r="BF985" s="2" t="str">
        <f>HYPERLINK("http://dx.doi.org/10.2307/2409698","http://dx.doi.org/10.2307/2409698")</f>
        <v>http://dx.doi.org/10.2307/2409698</v>
      </c>
      <c r="BG985" s="2" t="s">
        <v>74</v>
      </c>
      <c r="BH985" s="2" t="s">
        <v>74</v>
      </c>
      <c r="BI985" s="2" t="s">
        <v>74</v>
      </c>
      <c r="BJ985" s="2" t="s">
        <v>74</v>
      </c>
      <c r="BK985" s="2" t="s">
        <v>74</v>
      </c>
      <c r="BL985" s="2" t="s">
        <v>74</v>
      </c>
      <c r="BM985" s="2" t="s">
        <v>74</v>
      </c>
      <c r="BN985" s="2">
        <v>28564056</v>
      </c>
      <c r="BO985" s="2" t="s">
        <v>74</v>
      </c>
      <c r="BP985" s="2" t="s">
        <v>74</v>
      </c>
      <c r="BQ985" s="2" t="s">
        <v>74</v>
      </c>
      <c r="BR985" s="2" t="s">
        <v>74</v>
      </c>
      <c r="BS985" s="2" t="s">
        <v>1282</v>
      </c>
      <c r="BT985" s="2" t="str">
        <f>HYPERLINK("https%3A%2F%2Fwww.webofscience.com%2Fwos%2Fwoscc%2Ffull-record%2FWOS:A1991FW83600008","View Full Record in Web of Science")</f>
        <v>View Full Record in Web of Science</v>
      </c>
    </row>
    <row r="986" spans="1:72" s="2" customFormat="1" x14ac:dyDescent="0.4">
      <c r="A986" s="2" t="s">
        <v>72</v>
      </c>
      <c r="B986" s="2" t="s">
        <v>7317</v>
      </c>
      <c r="C986" s="2" t="s">
        <v>74</v>
      </c>
      <c r="D986" s="2" t="s">
        <v>74</v>
      </c>
      <c r="E986" s="2" t="s">
        <v>74</v>
      </c>
      <c r="F986" s="2" t="s">
        <v>7318</v>
      </c>
      <c r="G986" s="2" t="s">
        <v>74</v>
      </c>
      <c r="H986" s="2" t="s">
        <v>74</v>
      </c>
      <c r="I986" s="2" t="s">
        <v>7319</v>
      </c>
      <c r="J986" s="2" t="s">
        <v>140</v>
      </c>
      <c r="K986" s="2" t="s">
        <v>74</v>
      </c>
      <c r="L986" s="2" t="s">
        <v>74</v>
      </c>
      <c r="M986" s="2" t="s">
        <v>74</v>
      </c>
      <c r="N986" s="2" t="s">
        <v>74</v>
      </c>
      <c r="O986" s="2" t="s">
        <v>74</v>
      </c>
      <c r="P986" s="2" t="s">
        <v>74</v>
      </c>
      <c r="Q986" s="2" t="s">
        <v>74</v>
      </c>
      <c r="R986" s="2" t="s">
        <v>74</v>
      </c>
      <c r="S986" s="2" t="s">
        <v>74</v>
      </c>
      <c r="T986" s="2" t="s">
        <v>74</v>
      </c>
      <c r="U986" s="2" t="s">
        <v>74</v>
      </c>
      <c r="V986" s="5" t="s">
        <v>7320</v>
      </c>
      <c r="W986" s="2" t="s">
        <v>74</v>
      </c>
      <c r="X986" s="2" t="s">
        <v>74</v>
      </c>
      <c r="Y986" s="2" t="s">
        <v>74</v>
      </c>
      <c r="Z986" s="2" t="s">
        <v>74</v>
      </c>
      <c r="AA986" s="2" t="s">
        <v>7321</v>
      </c>
      <c r="AB986" s="2" t="s">
        <v>7322</v>
      </c>
      <c r="AC986" s="2" t="s">
        <v>74</v>
      </c>
      <c r="AD986" s="2" t="s">
        <v>74</v>
      </c>
      <c r="AE986" s="2" t="s">
        <v>74</v>
      </c>
      <c r="AF986" s="2" t="s">
        <v>74</v>
      </c>
      <c r="AG986" s="2" t="s">
        <v>74</v>
      </c>
      <c r="AH986" s="2" t="s">
        <v>74</v>
      </c>
      <c r="AI986" s="2" t="s">
        <v>74</v>
      </c>
      <c r="AJ986" s="2" t="s">
        <v>74</v>
      </c>
      <c r="AK986" s="2" t="s">
        <v>74</v>
      </c>
      <c r="AL986" s="2" t="s">
        <v>74</v>
      </c>
      <c r="AM986" s="2" t="s">
        <v>74</v>
      </c>
      <c r="AN986" s="2" t="s">
        <v>74</v>
      </c>
      <c r="AO986" s="2" t="s">
        <v>143</v>
      </c>
      <c r="AP986" s="2" t="s">
        <v>144</v>
      </c>
      <c r="AQ986" s="2" t="s">
        <v>74</v>
      </c>
      <c r="AR986" s="2" t="s">
        <v>74</v>
      </c>
      <c r="AS986" s="2" t="s">
        <v>74</v>
      </c>
      <c r="AT986" s="2" t="s">
        <v>134</v>
      </c>
      <c r="AU986" s="2">
        <v>2019</v>
      </c>
      <c r="AV986" s="2">
        <v>151</v>
      </c>
      <c r="AW986" s="2" t="s">
        <v>74</v>
      </c>
      <c r="AX986" s="2" t="s">
        <v>74</v>
      </c>
      <c r="AY986" s="2" t="s">
        <v>74</v>
      </c>
      <c r="AZ986" s="2" t="s">
        <v>74</v>
      </c>
      <c r="BA986" s="2" t="s">
        <v>74</v>
      </c>
      <c r="BB986" s="2">
        <v>185</v>
      </c>
      <c r="BC986" s="2">
        <v>193</v>
      </c>
      <c r="BD986" s="2" t="s">
        <v>74</v>
      </c>
      <c r="BE986" s="2" t="s">
        <v>7323</v>
      </c>
      <c r="BF986" s="2" t="str">
        <f>HYPERLINK("http://dx.doi.org/10.1016/j.anbehav.2019.02.002","http://dx.doi.org/10.1016/j.anbehav.2019.02.002")</f>
        <v>http://dx.doi.org/10.1016/j.anbehav.2019.02.002</v>
      </c>
      <c r="BG986" s="2" t="s">
        <v>74</v>
      </c>
      <c r="BH986" s="2" t="s">
        <v>74</v>
      </c>
      <c r="BI986" s="2" t="s">
        <v>74</v>
      </c>
      <c r="BJ986" s="2" t="s">
        <v>74</v>
      </c>
      <c r="BK986" s="2" t="s">
        <v>74</v>
      </c>
      <c r="BL986" s="2" t="s">
        <v>74</v>
      </c>
      <c r="BM986" s="2" t="s">
        <v>74</v>
      </c>
      <c r="BN986" s="2" t="s">
        <v>74</v>
      </c>
      <c r="BO986" s="2" t="s">
        <v>74</v>
      </c>
      <c r="BP986" s="2" t="s">
        <v>74</v>
      </c>
      <c r="BQ986" s="2" t="s">
        <v>74</v>
      </c>
      <c r="BR986" s="2" t="s">
        <v>74</v>
      </c>
      <c r="BS986" s="2" t="s">
        <v>7324</v>
      </c>
      <c r="BT986" s="2" t="str">
        <f>HYPERLINK("https%3A%2F%2Fwww.webofscience.com%2Fwos%2Fwoscc%2Ffull-record%2FWOS:000467013300018","View Full Record in Web of Science")</f>
        <v>View Full Record in Web of Science</v>
      </c>
    </row>
    <row r="987" spans="1:72" s="2" customFormat="1" x14ac:dyDescent="0.4">
      <c r="A987" s="2" t="s">
        <v>72</v>
      </c>
      <c r="B987" s="2" t="s">
        <v>7517</v>
      </c>
      <c r="C987" s="2" t="s">
        <v>74</v>
      </c>
      <c r="D987" s="2" t="s">
        <v>74</v>
      </c>
      <c r="E987" s="2" t="s">
        <v>74</v>
      </c>
      <c r="F987" s="2" t="s">
        <v>7517</v>
      </c>
      <c r="G987" s="2" t="s">
        <v>74</v>
      </c>
      <c r="H987" s="2" t="s">
        <v>74</v>
      </c>
      <c r="I987" s="2" t="s">
        <v>7518</v>
      </c>
      <c r="J987" s="2" t="s">
        <v>509</v>
      </c>
      <c r="K987" s="2" t="s">
        <v>74</v>
      </c>
      <c r="L987" s="2" t="s">
        <v>74</v>
      </c>
      <c r="M987" s="2" t="s">
        <v>74</v>
      </c>
      <c r="N987" s="2" t="s">
        <v>74</v>
      </c>
      <c r="O987" s="2" t="s">
        <v>74</v>
      </c>
      <c r="P987" s="2" t="s">
        <v>74</v>
      </c>
      <c r="Q987" s="2" t="s">
        <v>74</v>
      </c>
      <c r="R987" s="2" t="s">
        <v>74</v>
      </c>
      <c r="S987" s="2" t="s">
        <v>74</v>
      </c>
      <c r="T987" s="2" t="s">
        <v>74</v>
      </c>
      <c r="U987" s="2" t="s">
        <v>74</v>
      </c>
      <c r="V987" s="5" t="s">
        <v>7519</v>
      </c>
      <c r="W987" s="2" t="s">
        <v>74</v>
      </c>
      <c r="X987" s="2" t="s">
        <v>74</v>
      </c>
      <c r="Y987" s="2" t="s">
        <v>74</v>
      </c>
      <c r="Z987" s="2" t="s">
        <v>74</v>
      </c>
      <c r="AA987" s="2" t="s">
        <v>74</v>
      </c>
      <c r="AB987" s="2" t="s">
        <v>74</v>
      </c>
      <c r="AC987" s="2" t="s">
        <v>74</v>
      </c>
      <c r="AD987" s="2" t="s">
        <v>74</v>
      </c>
      <c r="AE987" s="2" t="s">
        <v>74</v>
      </c>
      <c r="AF987" s="2" t="s">
        <v>74</v>
      </c>
      <c r="AG987" s="2" t="s">
        <v>74</v>
      </c>
      <c r="AH987" s="2" t="s">
        <v>74</v>
      </c>
      <c r="AI987" s="2" t="s">
        <v>74</v>
      </c>
      <c r="AJ987" s="2" t="s">
        <v>74</v>
      </c>
      <c r="AK987" s="2" t="s">
        <v>74</v>
      </c>
      <c r="AL987" s="2" t="s">
        <v>74</v>
      </c>
      <c r="AM987" s="2" t="s">
        <v>74</v>
      </c>
      <c r="AN987" s="2" t="s">
        <v>74</v>
      </c>
      <c r="AO987" s="2" t="s">
        <v>511</v>
      </c>
      <c r="AP987" s="2" t="s">
        <v>512</v>
      </c>
      <c r="AQ987" s="2" t="s">
        <v>74</v>
      </c>
      <c r="AR987" s="2" t="s">
        <v>74</v>
      </c>
      <c r="AS987" s="2" t="s">
        <v>74</v>
      </c>
      <c r="AT987" s="2" t="s">
        <v>145</v>
      </c>
      <c r="AU987" s="2">
        <v>1999</v>
      </c>
      <c r="AV987" s="2">
        <v>36</v>
      </c>
      <c r="AW987" s="2">
        <v>1</v>
      </c>
      <c r="AX987" s="2" t="s">
        <v>74</v>
      </c>
      <c r="AY987" s="2" t="s">
        <v>74</v>
      </c>
      <c r="AZ987" s="2" t="s">
        <v>74</v>
      </c>
      <c r="BA987" s="2" t="s">
        <v>74</v>
      </c>
      <c r="BB987" s="2">
        <v>39</v>
      </c>
      <c r="BC987" s="2">
        <v>52</v>
      </c>
      <c r="BD987" s="2" t="s">
        <v>74</v>
      </c>
      <c r="BE987" s="2" t="s">
        <v>7520</v>
      </c>
      <c r="BF987" s="2" t="str">
        <f>HYPERLINK("http://dx.doi.org/10.1006/hbeh.1999.1523","http://dx.doi.org/10.1006/hbeh.1999.1523")</f>
        <v>http://dx.doi.org/10.1006/hbeh.1999.1523</v>
      </c>
      <c r="BG987" s="2" t="s">
        <v>74</v>
      </c>
      <c r="BH987" s="2" t="s">
        <v>74</v>
      </c>
      <c r="BI987" s="2" t="s">
        <v>74</v>
      </c>
      <c r="BJ987" s="2" t="s">
        <v>74</v>
      </c>
      <c r="BK987" s="2" t="s">
        <v>74</v>
      </c>
      <c r="BL987" s="2" t="s">
        <v>74</v>
      </c>
      <c r="BM987" s="2" t="s">
        <v>74</v>
      </c>
      <c r="BN987" s="2">
        <v>10433885</v>
      </c>
      <c r="BO987" s="2" t="s">
        <v>74</v>
      </c>
      <c r="BP987" s="2" t="s">
        <v>74</v>
      </c>
      <c r="BQ987" s="2" t="s">
        <v>74</v>
      </c>
      <c r="BR987" s="2" t="s">
        <v>74</v>
      </c>
      <c r="BS987" s="2" t="s">
        <v>7521</v>
      </c>
      <c r="BT987" s="2" t="str">
        <f>HYPERLINK("https%3A%2F%2Fwww.webofscience.com%2Fwos%2Fwoscc%2Ffull-record%2FWOS:000082107300004","View Full Record in Web of Science")</f>
        <v>View Full Record in Web of Science</v>
      </c>
    </row>
    <row r="988" spans="1:72" s="2" customFormat="1" x14ac:dyDescent="0.4">
      <c r="A988" s="2" t="s">
        <v>72</v>
      </c>
      <c r="B988" s="2" t="s">
        <v>438</v>
      </c>
      <c r="C988" s="2" t="s">
        <v>74</v>
      </c>
      <c r="D988" s="2" t="s">
        <v>74</v>
      </c>
      <c r="E988" s="2" t="s">
        <v>74</v>
      </c>
      <c r="F988" s="2" t="s">
        <v>438</v>
      </c>
      <c r="G988" s="2" t="s">
        <v>74</v>
      </c>
      <c r="H988" s="2" t="s">
        <v>74</v>
      </c>
      <c r="I988" s="2" t="s">
        <v>439</v>
      </c>
      <c r="J988" s="2" t="s">
        <v>229</v>
      </c>
      <c r="K988" s="2" t="s">
        <v>74</v>
      </c>
      <c r="L988" s="2" t="s">
        <v>74</v>
      </c>
      <c r="M988" s="2" t="s">
        <v>74</v>
      </c>
      <c r="N988" s="2" t="s">
        <v>74</v>
      </c>
      <c r="O988" s="2" t="s">
        <v>74</v>
      </c>
      <c r="P988" s="2" t="s">
        <v>74</v>
      </c>
      <c r="Q988" s="2" t="s">
        <v>74</v>
      </c>
      <c r="R988" s="2" t="s">
        <v>74</v>
      </c>
      <c r="S988" s="2" t="s">
        <v>74</v>
      </c>
      <c r="T988" s="2" t="s">
        <v>74</v>
      </c>
      <c r="U988" s="2" t="s">
        <v>74</v>
      </c>
      <c r="V988" s="5" t="s">
        <v>440</v>
      </c>
      <c r="W988" s="2" t="s">
        <v>74</v>
      </c>
      <c r="X988" s="2" t="s">
        <v>74</v>
      </c>
      <c r="Y988" s="2" t="s">
        <v>74</v>
      </c>
      <c r="Z988" s="2" t="s">
        <v>74</v>
      </c>
      <c r="AA988" s="2" t="s">
        <v>74</v>
      </c>
      <c r="AB988" s="2" t="s">
        <v>441</v>
      </c>
      <c r="AC988" s="2" t="s">
        <v>74</v>
      </c>
      <c r="AD988" s="2" t="s">
        <v>74</v>
      </c>
      <c r="AE988" s="2" t="s">
        <v>74</v>
      </c>
      <c r="AF988" s="2" t="s">
        <v>74</v>
      </c>
      <c r="AG988" s="2" t="s">
        <v>74</v>
      </c>
      <c r="AH988" s="2" t="s">
        <v>74</v>
      </c>
      <c r="AI988" s="2" t="s">
        <v>74</v>
      </c>
      <c r="AJ988" s="2" t="s">
        <v>74</v>
      </c>
      <c r="AK988" s="2" t="s">
        <v>74</v>
      </c>
      <c r="AL988" s="2" t="s">
        <v>74</v>
      </c>
      <c r="AM988" s="2" t="s">
        <v>74</v>
      </c>
      <c r="AN988" s="2" t="s">
        <v>74</v>
      </c>
      <c r="AO988" s="2" t="s">
        <v>233</v>
      </c>
      <c r="AP988" s="2" t="s">
        <v>234</v>
      </c>
      <c r="AQ988" s="2" t="s">
        <v>74</v>
      </c>
      <c r="AR988" s="2" t="s">
        <v>74</v>
      </c>
      <c r="AS988" s="2" t="s">
        <v>74</v>
      </c>
      <c r="AT988" s="2" t="s">
        <v>74</v>
      </c>
      <c r="AU988" s="2">
        <v>2005</v>
      </c>
      <c r="AV988" s="2">
        <v>31</v>
      </c>
      <c r="AW988" s="2">
        <v>3</v>
      </c>
      <c r="AX988" s="2" t="s">
        <v>74</v>
      </c>
      <c r="AY988" s="2" t="s">
        <v>74</v>
      </c>
      <c r="AZ988" s="2" t="s">
        <v>74</v>
      </c>
      <c r="BA988" s="2" t="s">
        <v>74</v>
      </c>
      <c r="BB988" s="2">
        <v>271</v>
      </c>
      <c r="BC988" s="2">
        <v>282</v>
      </c>
      <c r="BD988" s="2" t="s">
        <v>74</v>
      </c>
      <c r="BE988" s="2" t="s">
        <v>442</v>
      </c>
      <c r="BF988" s="2" t="str">
        <f>HYPERLINK("http://dx.doi.org/10.1002/ab.20071","http://dx.doi.org/10.1002/ab.20071")</f>
        <v>http://dx.doi.org/10.1002/ab.20071</v>
      </c>
      <c r="BG988" s="2" t="s">
        <v>74</v>
      </c>
      <c r="BH988" s="2" t="s">
        <v>74</v>
      </c>
      <c r="BI988" s="2" t="s">
        <v>74</v>
      </c>
      <c r="BJ988" s="2" t="s">
        <v>74</v>
      </c>
      <c r="BK988" s="2" t="s">
        <v>74</v>
      </c>
      <c r="BL988" s="2" t="s">
        <v>74</v>
      </c>
      <c r="BM988" s="2" t="s">
        <v>74</v>
      </c>
      <c r="BN988" s="2" t="s">
        <v>74</v>
      </c>
      <c r="BO988" s="2" t="s">
        <v>74</v>
      </c>
      <c r="BP988" s="2" t="s">
        <v>74</v>
      </c>
      <c r="BQ988" s="2" t="s">
        <v>74</v>
      </c>
      <c r="BR988" s="2" t="s">
        <v>74</v>
      </c>
      <c r="BS988" s="2" t="s">
        <v>443</v>
      </c>
      <c r="BT988" s="2" t="str">
        <f>HYPERLINK("https%3A%2F%2Fwww.webofscience.com%2Fwos%2Fwoscc%2Ffull-record%2FWOS:000227894100006","View Full Record in Web of Science")</f>
        <v>View Full Record in Web of Science</v>
      </c>
    </row>
    <row r="989" spans="1:72" s="2" customFormat="1" x14ac:dyDescent="0.4">
      <c r="A989" s="2" t="s">
        <v>72</v>
      </c>
      <c r="B989" s="2" t="s">
        <v>2529</v>
      </c>
      <c r="C989" s="2" t="s">
        <v>74</v>
      </c>
      <c r="D989" s="2" t="s">
        <v>74</v>
      </c>
      <c r="E989" s="2" t="s">
        <v>74</v>
      </c>
      <c r="F989" s="2" t="s">
        <v>2529</v>
      </c>
      <c r="G989" s="2" t="s">
        <v>74</v>
      </c>
      <c r="H989" s="2" t="s">
        <v>74</v>
      </c>
      <c r="I989" s="2" t="s">
        <v>2530</v>
      </c>
      <c r="J989" s="2" t="s">
        <v>108</v>
      </c>
      <c r="K989" s="2" t="s">
        <v>74</v>
      </c>
      <c r="L989" s="2" t="s">
        <v>74</v>
      </c>
      <c r="M989" s="2" t="s">
        <v>74</v>
      </c>
      <c r="N989" s="2" t="s">
        <v>74</v>
      </c>
      <c r="O989" s="2" t="s">
        <v>74</v>
      </c>
      <c r="P989" s="2" t="s">
        <v>74</v>
      </c>
      <c r="Q989" s="2" t="s">
        <v>74</v>
      </c>
      <c r="R989" s="2" t="s">
        <v>74</v>
      </c>
      <c r="S989" s="2" t="s">
        <v>74</v>
      </c>
      <c r="T989" s="2" t="s">
        <v>74</v>
      </c>
      <c r="U989" s="2" t="s">
        <v>74</v>
      </c>
      <c r="V989" s="5" t="s">
        <v>2531</v>
      </c>
      <c r="W989" s="2" t="s">
        <v>74</v>
      </c>
      <c r="X989" s="2" t="s">
        <v>74</v>
      </c>
      <c r="Y989" s="2" t="s">
        <v>74</v>
      </c>
      <c r="Z989" s="2" t="s">
        <v>74</v>
      </c>
      <c r="AA989" s="2" t="s">
        <v>74</v>
      </c>
      <c r="AB989" s="2" t="s">
        <v>74</v>
      </c>
      <c r="AC989" s="2" t="s">
        <v>74</v>
      </c>
      <c r="AD989" s="2" t="s">
        <v>74</v>
      </c>
      <c r="AE989" s="2" t="s">
        <v>74</v>
      </c>
      <c r="AF989" s="2" t="s">
        <v>74</v>
      </c>
      <c r="AG989" s="2" t="s">
        <v>74</v>
      </c>
      <c r="AH989" s="2" t="s">
        <v>74</v>
      </c>
      <c r="AI989" s="2" t="s">
        <v>74</v>
      </c>
      <c r="AJ989" s="2" t="s">
        <v>74</v>
      </c>
      <c r="AK989" s="2" t="s">
        <v>74</v>
      </c>
      <c r="AL989" s="2" t="s">
        <v>74</v>
      </c>
      <c r="AM989" s="2" t="s">
        <v>74</v>
      </c>
      <c r="AN989" s="2" t="s">
        <v>74</v>
      </c>
      <c r="AO989" s="2" t="s">
        <v>111</v>
      </c>
      <c r="AP989" s="2" t="s">
        <v>112</v>
      </c>
      <c r="AQ989" s="2" t="s">
        <v>74</v>
      </c>
      <c r="AR989" s="2" t="s">
        <v>74</v>
      </c>
      <c r="AS989" s="2" t="s">
        <v>74</v>
      </c>
      <c r="AT989" s="2" t="s">
        <v>1210</v>
      </c>
      <c r="AU989" s="2">
        <v>2002</v>
      </c>
      <c r="AV989" s="2">
        <v>269</v>
      </c>
      <c r="AW989" s="2">
        <v>1509</v>
      </c>
      <c r="AX989" s="2" t="s">
        <v>74</v>
      </c>
      <c r="AY989" s="2" t="s">
        <v>74</v>
      </c>
      <c r="AZ989" s="2" t="s">
        <v>74</v>
      </c>
      <c r="BA989" s="2" t="s">
        <v>74</v>
      </c>
      <c r="BB989" s="2">
        <v>2495</v>
      </c>
      <c r="BC989" s="2">
        <v>2502</v>
      </c>
      <c r="BD989" s="2" t="s">
        <v>74</v>
      </c>
      <c r="BE989" s="2" t="s">
        <v>2532</v>
      </c>
      <c r="BF989" s="2" t="str">
        <f>HYPERLINK("http://dx.doi.org/10.1098/rspb.2002.2188","http://dx.doi.org/10.1098/rspb.2002.2188")</f>
        <v>http://dx.doi.org/10.1098/rspb.2002.2188</v>
      </c>
      <c r="BG989" s="2" t="s">
        <v>74</v>
      </c>
      <c r="BH989" s="2" t="s">
        <v>74</v>
      </c>
      <c r="BI989" s="2" t="s">
        <v>74</v>
      </c>
      <c r="BJ989" s="2" t="s">
        <v>74</v>
      </c>
      <c r="BK989" s="2" t="s">
        <v>74</v>
      </c>
      <c r="BL989" s="2" t="s">
        <v>74</v>
      </c>
      <c r="BM989" s="2" t="s">
        <v>74</v>
      </c>
      <c r="BN989" s="2">
        <v>12573062</v>
      </c>
      <c r="BO989" s="2" t="s">
        <v>74</v>
      </c>
      <c r="BP989" s="2" t="s">
        <v>74</v>
      </c>
      <c r="BQ989" s="2" t="s">
        <v>74</v>
      </c>
      <c r="BR989" s="2" t="s">
        <v>74</v>
      </c>
      <c r="BS989" s="2" t="s">
        <v>2533</v>
      </c>
      <c r="BT989" s="2" t="str">
        <f>HYPERLINK("https%3A%2F%2Fwww.webofscience.com%2Fwos%2Fwoscc%2Ffull-record%2FWOS:000180221100001","View Full Record in Web of Science")</f>
        <v>View Full Record in Web of Science</v>
      </c>
    </row>
    <row r="990" spans="1:72" s="2" customFormat="1" x14ac:dyDescent="0.4">
      <c r="A990" s="2" t="s">
        <v>72</v>
      </c>
      <c r="B990" s="2" t="s">
        <v>2092</v>
      </c>
      <c r="C990" s="2" t="s">
        <v>74</v>
      </c>
      <c r="D990" s="2" t="s">
        <v>74</v>
      </c>
      <c r="E990" s="2" t="s">
        <v>74</v>
      </c>
      <c r="F990" s="2" t="s">
        <v>2093</v>
      </c>
      <c r="G990" s="2" t="s">
        <v>74</v>
      </c>
      <c r="H990" s="2" t="s">
        <v>74</v>
      </c>
      <c r="I990" s="2" t="s">
        <v>2094</v>
      </c>
      <c r="J990" s="2" t="s">
        <v>1743</v>
      </c>
      <c r="K990" s="2" t="s">
        <v>74</v>
      </c>
      <c r="L990" s="2" t="s">
        <v>74</v>
      </c>
      <c r="M990" s="2" t="s">
        <v>74</v>
      </c>
      <c r="N990" s="2" t="s">
        <v>74</v>
      </c>
      <c r="O990" s="2" t="s">
        <v>74</v>
      </c>
      <c r="P990" s="2" t="s">
        <v>74</v>
      </c>
      <c r="Q990" s="2" t="s">
        <v>74</v>
      </c>
      <c r="R990" s="2" t="s">
        <v>74</v>
      </c>
      <c r="S990" s="2" t="s">
        <v>74</v>
      </c>
      <c r="T990" s="2" t="s">
        <v>74</v>
      </c>
      <c r="U990" s="2" t="s">
        <v>74</v>
      </c>
      <c r="V990" s="5" t="s">
        <v>2095</v>
      </c>
      <c r="W990" s="2" t="s">
        <v>74</v>
      </c>
      <c r="X990" s="2" t="s">
        <v>74</v>
      </c>
      <c r="Y990" s="2" t="s">
        <v>74</v>
      </c>
      <c r="Z990" s="2" t="s">
        <v>74</v>
      </c>
      <c r="AA990" s="2" t="s">
        <v>2096</v>
      </c>
      <c r="AB990" s="2" t="s">
        <v>2097</v>
      </c>
      <c r="AC990" s="2" t="s">
        <v>74</v>
      </c>
      <c r="AD990" s="2" t="s">
        <v>74</v>
      </c>
      <c r="AE990" s="2" t="s">
        <v>74</v>
      </c>
      <c r="AF990" s="2" t="s">
        <v>74</v>
      </c>
      <c r="AG990" s="2" t="s">
        <v>74</v>
      </c>
      <c r="AH990" s="2" t="s">
        <v>74</v>
      </c>
      <c r="AI990" s="2" t="s">
        <v>74</v>
      </c>
      <c r="AJ990" s="2" t="s">
        <v>74</v>
      </c>
      <c r="AK990" s="2" t="s">
        <v>74</v>
      </c>
      <c r="AL990" s="2" t="s">
        <v>74</v>
      </c>
      <c r="AM990" s="2" t="s">
        <v>74</v>
      </c>
      <c r="AN990" s="2" t="s">
        <v>74</v>
      </c>
      <c r="AO990" s="2" t="s">
        <v>1746</v>
      </c>
      <c r="AP990" s="2" t="s">
        <v>74</v>
      </c>
      <c r="AQ990" s="2" t="s">
        <v>74</v>
      </c>
      <c r="AR990" s="2" t="s">
        <v>74</v>
      </c>
      <c r="AS990" s="2" t="s">
        <v>74</v>
      </c>
      <c r="AT990" s="2" t="s">
        <v>633</v>
      </c>
      <c r="AU990" s="2">
        <v>2023</v>
      </c>
      <c r="AV990" s="2">
        <v>40</v>
      </c>
      <c r="AW990" s="2">
        <v>2</v>
      </c>
      <c r="AX990" s="2" t="s">
        <v>74</v>
      </c>
      <c r="AY990" s="2" t="s">
        <v>74</v>
      </c>
      <c r="AZ990" s="2" t="s">
        <v>74</v>
      </c>
      <c r="BA990" s="2" t="s">
        <v>74</v>
      </c>
      <c r="BB990" s="2">
        <v>168</v>
      </c>
      <c r="BC990" s="2">
        <v>174</v>
      </c>
      <c r="BD990" s="2" t="s">
        <v>74</v>
      </c>
      <c r="BE990" s="2" t="s">
        <v>2098</v>
      </c>
      <c r="BF990" s="2" t="str">
        <f>HYPERLINK("http://dx.doi.org/10.2108/zs220088","http://dx.doi.org/10.2108/zs220088")</f>
        <v>http://dx.doi.org/10.2108/zs220088</v>
      </c>
      <c r="BG990" s="2" t="s">
        <v>74</v>
      </c>
      <c r="BH990" s="2" t="s">
        <v>74</v>
      </c>
      <c r="BI990" s="2" t="s">
        <v>74</v>
      </c>
      <c r="BJ990" s="2" t="s">
        <v>74</v>
      </c>
      <c r="BK990" s="2" t="s">
        <v>74</v>
      </c>
      <c r="BL990" s="2" t="s">
        <v>74</v>
      </c>
      <c r="BM990" s="2" t="s">
        <v>74</v>
      </c>
      <c r="BN990" s="2">
        <v>37042696</v>
      </c>
      <c r="BO990" s="2" t="s">
        <v>74</v>
      </c>
      <c r="BP990" s="2" t="s">
        <v>74</v>
      </c>
      <c r="BQ990" s="2" t="s">
        <v>74</v>
      </c>
      <c r="BR990" s="2" t="s">
        <v>74</v>
      </c>
      <c r="BS990" s="2" t="s">
        <v>2099</v>
      </c>
      <c r="BT990" s="2" t="str">
        <f>HYPERLINK("https%3A%2F%2Fwww.webofscience.com%2Fwos%2Fwoscc%2Ffull-record%2FWOS:000963816400010","View Full Record in Web of Science")</f>
        <v>View Full Record in Web of Science</v>
      </c>
    </row>
    <row r="991" spans="1:72" s="2" customFormat="1" x14ac:dyDescent="0.4">
      <c r="A991" s="2" t="s">
        <v>72</v>
      </c>
      <c r="B991" s="2" t="s">
        <v>7311</v>
      </c>
      <c r="C991" s="2" t="s">
        <v>74</v>
      </c>
      <c r="D991" s="2" t="s">
        <v>74</v>
      </c>
      <c r="E991" s="2" t="s">
        <v>74</v>
      </c>
      <c r="F991" s="2" t="s">
        <v>7312</v>
      </c>
      <c r="G991" s="2" t="s">
        <v>74</v>
      </c>
      <c r="H991" s="2" t="s">
        <v>74</v>
      </c>
      <c r="I991" s="2" t="s">
        <v>7313</v>
      </c>
      <c r="J991" s="2" t="s">
        <v>1526</v>
      </c>
      <c r="K991" s="2" t="s">
        <v>74</v>
      </c>
      <c r="L991" s="2" t="s">
        <v>74</v>
      </c>
      <c r="M991" s="2" t="s">
        <v>74</v>
      </c>
      <c r="N991" s="2" t="s">
        <v>74</v>
      </c>
      <c r="O991" s="2" t="s">
        <v>74</v>
      </c>
      <c r="P991" s="2" t="s">
        <v>74</v>
      </c>
      <c r="Q991" s="2" t="s">
        <v>74</v>
      </c>
      <c r="R991" s="2" t="s">
        <v>74</v>
      </c>
      <c r="S991" s="2" t="s">
        <v>74</v>
      </c>
      <c r="T991" s="2" t="s">
        <v>74</v>
      </c>
      <c r="U991" s="2" t="s">
        <v>74</v>
      </c>
      <c r="V991" s="5" t="s">
        <v>7314</v>
      </c>
      <c r="W991" s="2" t="s">
        <v>74</v>
      </c>
      <c r="X991" s="2" t="s">
        <v>74</v>
      </c>
      <c r="Y991" s="2" t="s">
        <v>74</v>
      </c>
      <c r="Z991" s="2" t="s">
        <v>74</v>
      </c>
      <c r="AA991" s="2" t="s">
        <v>74</v>
      </c>
      <c r="AB991" s="2" t="s">
        <v>74</v>
      </c>
      <c r="AC991" s="2" t="s">
        <v>74</v>
      </c>
      <c r="AD991" s="2" t="s">
        <v>74</v>
      </c>
      <c r="AE991" s="2" t="s">
        <v>74</v>
      </c>
      <c r="AF991" s="2" t="s">
        <v>74</v>
      </c>
      <c r="AG991" s="2" t="s">
        <v>74</v>
      </c>
      <c r="AH991" s="2" t="s">
        <v>74</v>
      </c>
      <c r="AI991" s="2" t="s">
        <v>74</v>
      </c>
      <c r="AJ991" s="2" t="s">
        <v>74</v>
      </c>
      <c r="AK991" s="2" t="s">
        <v>74</v>
      </c>
      <c r="AL991" s="2" t="s">
        <v>74</v>
      </c>
      <c r="AM991" s="2" t="s">
        <v>74</v>
      </c>
      <c r="AN991" s="2" t="s">
        <v>74</v>
      </c>
      <c r="AO991" s="2" t="s">
        <v>1528</v>
      </c>
      <c r="AP991" s="2" t="s">
        <v>74</v>
      </c>
      <c r="AQ991" s="2" t="s">
        <v>74</v>
      </c>
      <c r="AR991" s="2" t="s">
        <v>74</v>
      </c>
      <c r="AS991" s="2" t="s">
        <v>74</v>
      </c>
      <c r="AT991" s="2" t="s">
        <v>134</v>
      </c>
      <c r="AU991" s="2">
        <v>2007</v>
      </c>
      <c r="AV991" s="2">
        <v>109</v>
      </c>
      <c r="AW991" s="2">
        <v>2</v>
      </c>
      <c r="AX991" s="2" t="s">
        <v>74</v>
      </c>
      <c r="AY991" s="2" t="s">
        <v>74</v>
      </c>
      <c r="AZ991" s="2" t="s">
        <v>74</v>
      </c>
      <c r="BA991" s="2" t="s">
        <v>74</v>
      </c>
      <c r="BB991" s="2">
        <v>475</v>
      </c>
      <c r="BC991" s="2">
        <v>480</v>
      </c>
      <c r="BD991" s="2" t="s">
        <v>74</v>
      </c>
      <c r="BE991" s="2" t="s">
        <v>7315</v>
      </c>
      <c r="BF991" s="2" t="str">
        <f>HYPERLINK("http://dx.doi.org/10.1650/0010-5422(2007)109[475:WFNTDB]2.0.CO;2","http://dx.doi.org/10.1650/0010-5422(2007)109[475:WFNTDB]2.0.CO;2")</f>
        <v>http://dx.doi.org/10.1650/0010-5422(2007)109[475:WFNTDB]2.0.CO;2</v>
      </c>
      <c r="BG991" s="2" t="s">
        <v>74</v>
      </c>
      <c r="BH991" s="2" t="s">
        <v>74</v>
      </c>
      <c r="BI991" s="2" t="s">
        <v>74</v>
      </c>
      <c r="BJ991" s="2" t="s">
        <v>74</v>
      </c>
      <c r="BK991" s="2" t="s">
        <v>74</v>
      </c>
      <c r="BL991" s="2" t="s">
        <v>74</v>
      </c>
      <c r="BM991" s="2" t="s">
        <v>74</v>
      </c>
      <c r="BN991" s="2" t="s">
        <v>74</v>
      </c>
      <c r="BO991" s="2" t="s">
        <v>74</v>
      </c>
      <c r="BP991" s="2" t="s">
        <v>74</v>
      </c>
      <c r="BQ991" s="2" t="s">
        <v>74</v>
      </c>
      <c r="BR991" s="2" t="s">
        <v>74</v>
      </c>
      <c r="BS991" s="2" t="s">
        <v>7316</v>
      </c>
      <c r="BT991" s="2" t="str">
        <f>HYPERLINK("https%3A%2F%2Fwww.webofscience.com%2Fwos%2Fwoscc%2Ffull-record%2FWOS:000246603900024","View Full Record in Web of Science")</f>
        <v>View Full Record in Web of Science</v>
      </c>
    </row>
    <row r="992" spans="1:72" s="2" customFormat="1" x14ac:dyDescent="0.4">
      <c r="A992" s="2" t="s">
        <v>72</v>
      </c>
      <c r="B992" s="2" t="s">
        <v>745</v>
      </c>
      <c r="C992" s="2" t="s">
        <v>74</v>
      </c>
      <c r="D992" s="2" t="s">
        <v>74</v>
      </c>
      <c r="E992" s="2" t="s">
        <v>74</v>
      </c>
      <c r="F992" s="2" t="s">
        <v>746</v>
      </c>
      <c r="G992" s="2" t="s">
        <v>74</v>
      </c>
      <c r="H992" s="2" t="s">
        <v>74</v>
      </c>
      <c r="I992" s="2" t="s">
        <v>747</v>
      </c>
      <c r="J992" s="2" t="s">
        <v>748</v>
      </c>
      <c r="K992" s="2" t="s">
        <v>74</v>
      </c>
      <c r="L992" s="2" t="s">
        <v>74</v>
      </c>
      <c r="M992" s="2" t="s">
        <v>74</v>
      </c>
      <c r="N992" s="2" t="s">
        <v>74</v>
      </c>
      <c r="O992" s="2" t="s">
        <v>74</v>
      </c>
      <c r="P992" s="2" t="s">
        <v>74</v>
      </c>
      <c r="Q992" s="2" t="s">
        <v>74</v>
      </c>
      <c r="R992" s="2" t="s">
        <v>74</v>
      </c>
      <c r="S992" s="2" t="s">
        <v>74</v>
      </c>
      <c r="T992" s="2" t="s">
        <v>74</v>
      </c>
      <c r="U992" s="2" t="s">
        <v>74</v>
      </c>
      <c r="V992" s="5" t="s">
        <v>749</v>
      </c>
      <c r="W992" s="2" t="s">
        <v>74</v>
      </c>
      <c r="X992" s="2" t="s">
        <v>74</v>
      </c>
      <c r="Y992" s="2" t="s">
        <v>74</v>
      </c>
      <c r="Z992" s="2" t="s">
        <v>74</v>
      </c>
      <c r="AA992" s="2" t="s">
        <v>74</v>
      </c>
      <c r="AB992" s="2" t="s">
        <v>74</v>
      </c>
      <c r="AC992" s="2" t="s">
        <v>74</v>
      </c>
      <c r="AD992" s="2" t="s">
        <v>74</v>
      </c>
      <c r="AE992" s="2" t="s">
        <v>74</v>
      </c>
      <c r="AF992" s="2" t="s">
        <v>74</v>
      </c>
      <c r="AG992" s="2" t="s">
        <v>74</v>
      </c>
      <c r="AH992" s="2" t="s">
        <v>74</v>
      </c>
      <c r="AI992" s="2" t="s">
        <v>74</v>
      </c>
      <c r="AJ992" s="2" t="s">
        <v>74</v>
      </c>
      <c r="AK992" s="2" t="s">
        <v>74</v>
      </c>
      <c r="AL992" s="2" t="s">
        <v>74</v>
      </c>
      <c r="AM992" s="2" t="s">
        <v>74</v>
      </c>
      <c r="AN992" s="2" t="s">
        <v>74</v>
      </c>
      <c r="AO992" s="2" t="s">
        <v>750</v>
      </c>
      <c r="AP992" s="2" t="s">
        <v>74</v>
      </c>
      <c r="AQ992" s="2" t="s">
        <v>74</v>
      </c>
      <c r="AR992" s="2" t="s">
        <v>74</v>
      </c>
      <c r="AS992" s="2" t="s">
        <v>74</v>
      </c>
      <c r="AT992" s="2" t="s">
        <v>255</v>
      </c>
      <c r="AU992" s="2">
        <v>2022</v>
      </c>
      <c r="AV992" s="2">
        <v>21</v>
      </c>
      <c r="AW992" s="2">
        <v>1</v>
      </c>
      <c r="AX992" s="2" t="s">
        <v>74</v>
      </c>
      <c r="AY992" s="2" t="s">
        <v>74</v>
      </c>
      <c r="AZ992" s="2" t="s">
        <v>74</v>
      </c>
      <c r="BA992" s="2" t="s">
        <v>74</v>
      </c>
      <c r="BB992" s="2">
        <v>45</v>
      </c>
      <c r="BC992" s="2">
        <v>52</v>
      </c>
      <c r="BD992" s="2" t="s">
        <v>74</v>
      </c>
      <c r="BE992" s="2" t="s">
        <v>74</v>
      </c>
      <c r="BF992" s="2" t="s">
        <v>74</v>
      </c>
      <c r="BG992" s="2" t="s">
        <v>74</v>
      </c>
      <c r="BH992" s="2" t="s">
        <v>74</v>
      </c>
      <c r="BI992" s="2" t="s">
        <v>74</v>
      </c>
      <c r="BJ992" s="2" t="s">
        <v>74</v>
      </c>
      <c r="BK992" s="2" t="s">
        <v>74</v>
      </c>
      <c r="BL992" s="2" t="s">
        <v>74</v>
      </c>
      <c r="BM992" s="2" t="s">
        <v>74</v>
      </c>
      <c r="BN992" s="2" t="s">
        <v>74</v>
      </c>
      <c r="BO992" s="2" t="s">
        <v>74</v>
      </c>
      <c r="BP992" s="2" t="s">
        <v>74</v>
      </c>
      <c r="BQ992" s="2" t="s">
        <v>74</v>
      </c>
      <c r="BR992" s="2" t="s">
        <v>74</v>
      </c>
      <c r="BS992" s="2" t="s">
        <v>751</v>
      </c>
      <c r="BT992" s="2" t="str">
        <f>HYPERLINK("https%3A%2F%2Fwww.webofscience.com%2Fwos%2Fwoscc%2Ffull-record%2FWOS:000752459100006","View Full Record in Web of Science")</f>
        <v>View Full Record in Web of Science</v>
      </c>
    </row>
    <row r="993" spans="1:72" s="2" customFormat="1" x14ac:dyDescent="0.4">
      <c r="A993" s="2" t="s">
        <v>72</v>
      </c>
      <c r="B993" s="2" t="s">
        <v>1946</v>
      </c>
      <c r="C993" s="2" t="s">
        <v>74</v>
      </c>
      <c r="D993" s="2" t="s">
        <v>74</v>
      </c>
      <c r="E993" s="2" t="s">
        <v>74</v>
      </c>
      <c r="F993" s="2" t="s">
        <v>1947</v>
      </c>
      <c r="G993" s="2" t="s">
        <v>74</v>
      </c>
      <c r="H993" s="2" t="s">
        <v>74</v>
      </c>
      <c r="I993" s="2" t="s">
        <v>1948</v>
      </c>
      <c r="J993" s="2" t="s">
        <v>1949</v>
      </c>
      <c r="K993" s="2" t="s">
        <v>74</v>
      </c>
      <c r="L993" s="2" t="s">
        <v>74</v>
      </c>
      <c r="M993" s="2" t="s">
        <v>74</v>
      </c>
      <c r="N993" s="2" t="s">
        <v>74</v>
      </c>
      <c r="O993" s="2" t="s">
        <v>74</v>
      </c>
      <c r="P993" s="2" t="s">
        <v>74</v>
      </c>
      <c r="Q993" s="2" t="s">
        <v>74</v>
      </c>
      <c r="R993" s="2" t="s">
        <v>74</v>
      </c>
      <c r="S993" s="2" t="s">
        <v>74</v>
      </c>
      <c r="T993" s="2" t="s">
        <v>74</v>
      </c>
      <c r="U993" s="2" t="s">
        <v>74</v>
      </c>
      <c r="V993" s="5" t="s">
        <v>1950</v>
      </c>
      <c r="W993" s="2" t="s">
        <v>74</v>
      </c>
      <c r="X993" s="2" t="s">
        <v>74</v>
      </c>
      <c r="Y993" s="2" t="s">
        <v>74</v>
      </c>
      <c r="Z993" s="2" t="s">
        <v>74</v>
      </c>
      <c r="AA993" s="2" t="s">
        <v>1951</v>
      </c>
      <c r="AB993" s="2" t="s">
        <v>1952</v>
      </c>
      <c r="AC993" s="2" t="s">
        <v>74</v>
      </c>
      <c r="AD993" s="2" t="s">
        <v>74</v>
      </c>
      <c r="AE993" s="2" t="s">
        <v>74</v>
      </c>
      <c r="AF993" s="2" t="s">
        <v>74</v>
      </c>
      <c r="AG993" s="2" t="s">
        <v>74</v>
      </c>
      <c r="AH993" s="2" t="s">
        <v>74</v>
      </c>
      <c r="AI993" s="2" t="s">
        <v>74</v>
      </c>
      <c r="AJ993" s="2" t="s">
        <v>74</v>
      </c>
      <c r="AK993" s="2" t="s">
        <v>74</v>
      </c>
      <c r="AL993" s="2" t="s">
        <v>74</v>
      </c>
      <c r="AM993" s="2" t="s">
        <v>74</v>
      </c>
      <c r="AN993" s="2" t="s">
        <v>74</v>
      </c>
      <c r="AO993" s="2" t="s">
        <v>74</v>
      </c>
      <c r="AP993" s="2" t="s">
        <v>1953</v>
      </c>
      <c r="AQ993" s="2" t="s">
        <v>74</v>
      </c>
      <c r="AR993" s="2" t="s">
        <v>74</v>
      </c>
      <c r="AS993" s="2" t="s">
        <v>74</v>
      </c>
      <c r="AT993" s="2" t="s">
        <v>123</v>
      </c>
      <c r="AU993" s="2">
        <v>2023</v>
      </c>
      <c r="AV993" s="2">
        <v>14</v>
      </c>
      <c r="AW993" s="2">
        <v>3</v>
      </c>
      <c r="AX993" s="2" t="s">
        <v>74</v>
      </c>
      <c r="AY993" s="2" t="s">
        <v>74</v>
      </c>
      <c r="AZ993" s="2" t="s">
        <v>74</v>
      </c>
      <c r="BA993" s="2" t="s">
        <v>74</v>
      </c>
      <c r="BB993" s="2" t="s">
        <v>74</v>
      </c>
      <c r="BC993" s="2" t="s">
        <v>74</v>
      </c>
      <c r="BD993" s="2">
        <v>227</v>
      </c>
      <c r="BE993" s="2" t="s">
        <v>1954</v>
      </c>
      <c r="BF993" s="2" t="str">
        <f>HYPERLINK("http://dx.doi.org/10.3390/insects14030227","http://dx.doi.org/10.3390/insects14030227")</f>
        <v>http://dx.doi.org/10.3390/insects14030227</v>
      </c>
      <c r="BG993" s="2" t="s">
        <v>74</v>
      </c>
      <c r="BH993" s="2" t="s">
        <v>74</v>
      </c>
      <c r="BI993" s="2" t="s">
        <v>74</v>
      </c>
      <c r="BJ993" s="2" t="s">
        <v>74</v>
      </c>
      <c r="BK993" s="2" t="s">
        <v>74</v>
      </c>
      <c r="BL993" s="2" t="s">
        <v>74</v>
      </c>
      <c r="BM993" s="2" t="s">
        <v>74</v>
      </c>
      <c r="BN993" s="2">
        <v>36975912</v>
      </c>
      <c r="BO993" s="2" t="s">
        <v>74</v>
      </c>
      <c r="BP993" s="2" t="s">
        <v>74</v>
      </c>
      <c r="BQ993" s="2" t="s">
        <v>74</v>
      </c>
      <c r="BR993" s="2" t="s">
        <v>74</v>
      </c>
      <c r="BS993" s="2" t="s">
        <v>1955</v>
      </c>
      <c r="BT993" s="2" t="str">
        <f>HYPERLINK("https%3A%2F%2Fwww.webofscience.com%2Fwos%2Fwoscc%2Ffull-record%2FWOS:000955456800001","View Full Record in Web of Science")</f>
        <v>View Full Record in Web of Science</v>
      </c>
    </row>
    <row r="994" spans="1:72" s="2" customFormat="1" x14ac:dyDescent="0.4">
      <c r="A994" s="2" t="s">
        <v>72</v>
      </c>
      <c r="B994" s="2" t="s">
        <v>8058</v>
      </c>
      <c r="C994" s="2" t="s">
        <v>74</v>
      </c>
      <c r="D994" s="2" t="s">
        <v>74</v>
      </c>
      <c r="E994" s="2" t="s">
        <v>74</v>
      </c>
      <c r="F994" s="2" t="s">
        <v>8058</v>
      </c>
      <c r="G994" s="2" t="s">
        <v>74</v>
      </c>
      <c r="H994" s="2" t="s">
        <v>74</v>
      </c>
      <c r="I994" s="2" t="s">
        <v>8059</v>
      </c>
      <c r="J994" s="2" t="s">
        <v>8060</v>
      </c>
      <c r="K994" s="2" t="s">
        <v>74</v>
      </c>
      <c r="L994" s="2" t="s">
        <v>74</v>
      </c>
      <c r="M994" s="2" t="s">
        <v>74</v>
      </c>
      <c r="N994" s="2" t="s">
        <v>74</v>
      </c>
      <c r="O994" s="2" t="s">
        <v>74</v>
      </c>
      <c r="P994" s="2" t="s">
        <v>74</v>
      </c>
      <c r="Q994" s="2" t="s">
        <v>74</v>
      </c>
      <c r="R994" s="2" t="s">
        <v>74</v>
      </c>
      <c r="S994" s="2" t="s">
        <v>74</v>
      </c>
      <c r="T994" s="2" t="s">
        <v>74</v>
      </c>
      <c r="U994" s="2" t="s">
        <v>74</v>
      </c>
      <c r="V994" s="5" t="s">
        <v>8061</v>
      </c>
      <c r="W994" s="2" t="s">
        <v>74</v>
      </c>
      <c r="X994" s="2" t="s">
        <v>74</v>
      </c>
      <c r="Y994" s="2" t="s">
        <v>74</v>
      </c>
      <c r="Z994" s="2" t="s">
        <v>74</v>
      </c>
      <c r="AA994" s="2" t="s">
        <v>74</v>
      </c>
      <c r="AB994" s="2" t="s">
        <v>74</v>
      </c>
      <c r="AC994" s="2" t="s">
        <v>74</v>
      </c>
      <c r="AD994" s="2" t="s">
        <v>74</v>
      </c>
      <c r="AE994" s="2" t="s">
        <v>74</v>
      </c>
      <c r="AF994" s="2" t="s">
        <v>74</v>
      </c>
      <c r="AG994" s="2" t="s">
        <v>74</v>
      </c>
      <c r="AH994" s="2" t="s">
        <v>74</v>
      </c>
      <c r="AI994" s="2" t="s">
        <v>74</v>
      </c>
      <c r="AJ994" s="2" t="s">
        <v>74</v>
      </c>
      <c r="AK994" s="2" t="s">
        <v>74</v>
      </c>
      <c r="AL994" s="2" t="s">
        <v>74</v>
      </c>
      <c r="AM994" s="2" t="s">
        <v>74</v>
      </c>
      <c r="AN994" s="2" t="s">
        <v>74</v>
      </c>
      <c r="AO994" s="2" t="s">
        <v>8062</v>
      </c>
      <c r="AP994" s="2" t="s">
        <v>74</v>
      </c>
      <c r="AQ994" s="2" t="s">
        <v>74</v>
      </c>
      <c r="AR994" s="2" t="s">
        <v>74</v>
      </c>
      <c r="AS994" s="2" t="s">
        <v>74</v>
      </c>
      <c r="AT994" s="2" t="s">
        <v>352</v>
      </c>
      <c r="AU994" s="2">
        <v>2002</v>
      </c>
      <c r="AV994" s="2">
        <v>104</v>
      </c>
      <c r="AW994" s="2">
        <v>3</v>
      </c>
      <c r="AX994" s="2" t="s">
        <v>74</v>
      </c>
      <c r="AY994" s="2" t="s">
        <v>74</v>
      </c>
      <c r="AZ994" s="2" t="s">
        <v>74</v>
      </c>
      <c r="BA994" s="2" t="s">
        <v>74</v>
      </c>
      <c r="BB994" s="2">
        <v>353</v>
      </c>
      <c r="BC994" s="2">
        <v>360</v>
      </c>
      <c r="BD994" s="2" t="s">
        <v>74</v>
      </c>
      <c r="BE994" s="2" t="s">
        <v>74</v>
      </c>
      <c r="BF994" s="2" t="s">
        <v>74</v>
      </c>
      <c r="BG994" s="2" t="s">
        <v>74</v>
      </c>
      <c r="BH994" s="2" t="s">
        <v>74</v>
      </c>
      <c r="BI994" s="2" t="s">
        <v>74</v>
      </c>
      <c r="BJ994" s="2" t="s">
        <v>74</v>
      </c>
      <c r="BK994" s="2" t="s">
        <v>74</v>
      </c>
      <c r="BL994" s="2" t="s">
        <v>74</v>
      </c>
      <c r="BM994" s="2" t="s">
        <v>74</v>
      </c>
      <c r="BN994" s="2" t="s">
        <v>74</v>
      </c>
      <c r="BO994" s="2" t="s">
        <v>74</v>
      </c>
      <c r="BP994" s="2" t="s">
        <v>74</v>
      </c>
      <c r="BQ994" s="2" t="s">
        <v>74</v>
      </c>
      <c r="BR994" s="2" t="s">
        <v>74</v>
      </c>
      <c r="BS994" s="2" t="s">
        <v>8063</v>
      </c>
      <c r="BT994" s="2" t="str">
        <f>HYPERLINK("https%3A%2F%2Fwww.webofscience.com%2Fwos%2Fwoscc%2Ffull-record%2FWOS:000179601800016","View Full Record in Web of Science")</f>
        <v>View Full Record in Web of Science</v>
      </c>
    </row>
    <row r="995" spans="1:72" s="2" customFormat="1" x14ac:dyDescent="0.4">
      <c r="A995" s="2" t="s">
        <v>72</v>
      </c>
      <c r="B995" s="2" t="s">
        <v>1707</v>
      </c>
      <c r="C995" s="2" t="s">
        <v>74</v>
      </c>
      <c r="D995" s="2" t="s">
        <v>74</v>
      </c>
      <c r="E995" s="2" t="s">
        <v>74</v>
      </c>
      <c r="F995" s="2" t="s">
        <v>1708</v>
      </c>
      <c r="G995" s="2" t="s">
        <v>74</v>
      </c>
      <c r="H995" s="2" t="s">
        <v>74</v>
      </c>
      <c r="I995" s="2" t="s">
        <v>1709</v>
      </c>
      <c r="J995" s="2" t="s">
        <v>119</v>
      </c>
      <c r="K995" s="2" t="s">
        <v>74</v>
      </c>
      <c r="L995" s="2" t="s">
        <v>74</v>
      </c>
      <c r="M995" s="2" t="s">
        <v>74</v>
      </c>
      <c r="N995" s="2" t="s">
        <v>74</v>
      </c>
      <c r="O995" s="2" t="s">
        <v>74</v>
      </c>
      <c r="P995" s="2" t="s">
        <v>74</v>
      </c>
      <c r="Q995" s="2" t="s">
        <v>74</v>
      </c>
      <c r="R995" s="2" t="s">
        <v>74</v>
      </c>
      <c r="S995" s="2" t="s">
        <v>74</v>
      </c>
      <c r="T995" s="2" t="s">
        <v>74</v>
      </c>
      <c r="U995" s="2" t="s">
        <v>74</v>
      </c>
      <c r="V995" s="5" t="s">
        <v>1710</v>
      </c>
      <c r="W995" s="2" t="s">
        <v>74</v>
      </c>
      <c r="X995" s="2" t="s">
        <v>74</v>
      </c>
      <c r="Y995" s="2" t="s">
        <v>74</v>
      </c>
      <c r="Z995" s="2" t="s">
        <v>74</v>
      </c>
      <c r="AA995" s="2" t="s">
        <v>379</v>
      </c>
      <c r="AB995" s="2" t="s">
        <v>74</v>
      </c>
      <c r="AC995" s="2" t="s">
        <v>74</v>
      </c>
      <c r="AD995" s="2" t="s">
        <v>74</v>
      </c>
      <c r="AE995" s="2" t="s">
        <v>74</v>
      </c>
      <c r="AF995" s="2" t="s">
        <v>74</v>
      </c>
      <c r="AG995" s="2" t="s">
        <v>74</v>
      </c>
      <c r="AH995" s="2" t="s">
        <v>74</v>
      </c>
      <c r="AI995" s="2" t="s">
        <v>74</v>
      </c>
      <c r="AJ995" s="2" t="s">
        <v>74</v>
      </c>
      <c r="AK995" s="2" t="s">
        <v>74</v>
      </c>
      <c r="AL995" s="2" t="s">
        <v>74</v>
      </c>
      <c r="AM995" s="2" t="s">
        <v>74</v>
      </c>
      <c r="AN995" s="2" t="s">
        <v>74</v>
      </c>
      <c r="AO995" s="2" t="s">
        <v>121</v>
      </c>
      <c r="AP995" s="2" t="s">
        <v>122</v>
      </c>
      <c r="AQ995" s="2" t="s">
        <v>74</v>
      </c>
      <c r="AR995" s="2" t="s">
        <v>74</v>
      </c>
      <c r="AS995" s="2" t="s">
        <v>74</v>
      </c>
      <c r="AT995" s="2" t="s">
        <v>255</v>
      </c>
      <c r="AU995" s="2">
        <v>2020</v>
      </c>
      <c r="AV995" s="2">
        <v>170</v>
      </c>
      <c r="AW995" s="2" t="s">
        <v>74</v>
      </c>
      <c r="AX995" s="2" t="s">
        <v>74</v>
      </c>
      <c r="AY995" s="2" t="s">
        <v>74</v>
      </c>
      <c r="AZ995" s="2" t="s">
        <v>74</v>
      </c>
      <c r="BA995" s="2" t="s">
        <v>74</v>
      </c>
      <c r="BB995" s="2" t="s">
        <v>74</v>
      </c>
      <c r="BC995" s="2" t="s">
        <v>74</v>
      </c>
      <c r="BD995" s="2">
        <v>104013</v>
      </c>
      <c r="BE995" s="2" t="s">
        <v>1711</v>
      </c>
      <c r="BF995" s="2" t="str">
        <f>HYPERLINK("http://dx.doi.org/10.1016/j.beproc.2019.104013","http://dx.doi.org/10.1016/j.beproc.2019.104013")</f>
        <v>http://dx.doi.org/10.1016/j.beproc.2019.104013</v>
      </c>
      <c r="BG995" s="2" t="s">
        <v>74</v>
      </c>
      <c r="BH995" s="2" t="s">
        <v>74</v>
      </c>
      <c r="BI995" s="2" t="s">
        <v>74</v>
      </c>
      <c r="BJ995" s="2" t="s">
        <v>74</v>
      </c>
      <c r="BK995" s="2" t="s">
        <v>74</v>
      </c>
      <c r="BL995" s="2" t="s">
        <v>74</v>
      </c>
      <c r="BM995" s="2" t="s">
        <v>74</v>
      </c>
      <c r="BN995" s="2">
        <v>31751600</v>
      </c>
      <c r="BO995" s="2" t="s">
        <v>74</v>
      </c>
      <c r="BP995" s="2" t="s">
        <v>74</v>
      </c>
      <c r="BQ995" s="2" t="s">
        <v>74</v>
      </c>
      <c r="BR995" s="2" t="s">
        <v>74</v>
      </c>
      <c r="BS995" s="2" t="s">
        <v>1712</v>
      </c>
      <c r="BT995" s="2" t="str">
        <f>HYPERLINK("https%3A%2F%2Fwww.webofscience.com%2Fwos%2Fwoscc%2Ffull-record%2FWOS:000519226600012","View Full Record in Web of Science")</f>
        <v>View Full Record in Web of Science</v>
      </c>
    </row>
    <row r="996" spans="1:72" s="2" customFormat="1" x14ac:dyDescent="0.4">
      <c r="A996" s="2" t="s">
        <v>72</v>
      </c>
      <c r="B996" s="2" t="s">
        <v>189</v>
      </c>
      <c r="C996" s="2" t="s">
        <v>74</v>
      </c>
      <c r="D996" s="2" t="s">
        <v>74</v>
      </c>
      <c r="E996" s="2" t="s">
        <v>74</v>
      </c>
      <c r="F996" s="2" t="s">
        <v>190</v>
      </c>
      <c r="G996" s="2" t="s">
        <v>74</v>
      </c>
      <c r="H996" s="2" t="s">
        <v>74</v>
      </c>
      <c r="I996" s="2" t="s">
        <v>191</v>
      </c>
      <c r="J996" s="2" t="s">
        <v>192</v>
      </c>
      <c r="K996" s="2" t="s">
        <v>74</v>
      </c>
      <c r="L996" s="2" t="s">
        <v>74</v>
      </c>
      <c r="M996" s="2" t="s">
        <v>74</v>
      </c>
      <c r="N996" s="2" t="s">
        <v>74</v>
      </c>
      <c r="O996" s="2" t="s">
        <v>74</v>
      </c>
      <c r="P996" s="2" t="s">
        <v>74</v>
      </c>
      <c r="Q996" s="2" t="s">
        <v>74</v>
      </c>
      <c r="R996" s="2" t="s">
        <v>74</v>
      </c>
      <c r="S996" s="2" t="s">
        <v>74</v>
      </c>
      <c r="T996" s="2" t="s">
        <v>74</v>
      </c>
      <c r="U996" s="2" t="s">
        <v>74</v>
      </c>
      <c r="V996" s="5" t="s">
        <v>193</v>
      </c>
      <c r="W996" s="2" t="s">
        <v>74</v>
      </c>
      <c r="X996" s="2" t="s">
        <v>74</v>
      </c>
      <c r="Y996" s="2" t="s">
        <v>74</v>
      </c>
      <c r="Z996" s="2" t="s">
        <v>74</v>
      </c>
      <c r="AA996" s="2" t="s">
        <v>163</v>
      </c>
      <c r="AB996" s="2" t="s">
        <v>194</v>
      </c>
      <c r="AC996" s="2" t="s">
        <v>74</v>
      </c>
      <c r="AD996" s="2" t="s">
        <v>74</v>
      </c>
      <c r="AE996" s="2" t="s">
        <v>74</v>
      </c>
      <c r="AF996" s="2" t="s">
        <v>74</v>
      </c>
      <c r="AG996" s="2" t="s">
        <v>74</v>
      </c>
      <c r="AH996" s="2" t="s">
        <v>74</v>
      </c>
      <c r="AI996" s="2" t="s">
        <v>74</v>
      </c>
      <c r="AJ996" s="2" t="s">
        <v>74</v>
      </c>
      <c r="AK996" s="2" t="s">
        <v>74</v>
      </c>
      <c r="AL996" s="2" t="s">
        <v>74</v>
      </c>
      <c r="AM996" s="2" t="s">
        <v>74</v>
      </c>
      <c r="AN996" s="2" t="s">
        <v>74</v>
      </c>
      <c r="AO996" s="2" t="s">
        <v>195</v>
      </c>
      <c r="AP996" s="2" t="s">
        <v>196</v>
      </c>
      <c r="AQ996" s="2" t="s">
        <v>74</v>
      </c>
      <c r="AR996" s="2" t="s">
        <v>74</v>
      </c>
      <c r="AS996" s="2" t="s">
        <v>74</v>
      </c>
      <c r="AT996" s="2" t="s">
        <v>134</v>
      </c>
      <c r="AU996" s="2">
        <v>2017</v>
      </c>
      <c r="AV996" s="2">
        <v>791</v>
      </c>
      <c r="AW996" s="2">
        <v>1</v>
      </c>
      <c r="AX996" s="2" t="s">
        <v>74</v>
      </c>
      <c r="AY996" s="2" t="s">
        <v>74</v>
      </c>
      <c r="AZ996" s="2" t="s">
        <v>74</v>
      </c>
      <c r="BA996" s="2" t="s">
        <v>74</v>
      </c>
      <c r="BB996" s="2">
        <v>237</v>
      </c>
      <c r="BC996" s="2">
        <v>245</v>
      </c>
      <c r="BD996" s="2" t="s">
        <v>74</v>
      </c>
      <c r="BE996" s="2" t="s">
        <v>197</v>
      </c>
      <c r="BF996" s="2" t="str">
        <f>HYPERLINK("http://dx.doi.org/10.1007/s10750-016-2889-1","http://dx.doi.org/10.1007/s10750-016-2889-1")</f>
        <v>http://dx.doi.org/10.1007/s10750-016-2889-1</v>
      </c>
      <c r="BG996" s="2" t="s">
        <v>74</v>
      </c>
      <c r="BH996" s="2" t="s">
        <v>74</v>
      </c>
      <c r="BI996" s="2" t="s">
        <v>74</v>
      </c>
      <c r="BJ996" s="2" t="s">
        <v>74</v>
      </c>
      <c r="BK996" s="2" t="s">
        <v>74</v>
      </c>
      <c r="BL996" s="2" t="s">
        <v>74</v>
      </c>
      <c r="BM996" s="2" t="s">
        <v>74</v>
      </c>
      <c r="BN996" s="2" t="s">
        <v>74</v>
      </c>
      <c r="BO996" s="2" t="s">
        <v>74</v>
      </c>
      <c r="BP996" s="2" t="s">
        <v>74</v>
      </c>
      <c r="BQ996" s="2" t="s">
        <v>74</v>
      </c>
      <c r="BR996" s="2" t="s">
        <v>74</v>
      </c>
      <c r="BS996" s="2" t="s">
        <v>198</v>
      </c>
      <c r="BT996" s="2" t="str">
        <f>HYPERLINK("https%3A%2F%2Fwww.webofscience.com%2Fwos%2Fwoscc%2Ffull-record%2FWOS:000396043800017","View Full Record in Web of Science")</f>
        <v>View Full Record in Web of Science</v>
      </c>
    </row>
    <row r="997" spans="1:72" s="7" customFormat="1" x14ac:dyDescent="0.4">
      <c r="A997" s="2" t="s">
        <v>72</v>
      </c>
      <c r="B997" s="2" t="s">
        <v>5555</v>
      </c>
      <c r="C997" s="2" t="s">
        <v>74</v>
      </c>
      <c r="D997" s="2" t="s">
        <v>74</v>
      </c>
      <c r="E997" s="2" t="s">
        <v>74</v>
      </c>
      <c r="F997" s="2" t="s">
        <v>5556</v>
      </c>
      <c r="G997" s="2" t="s">
        <v>74</v>
      </c>
      <c r="H997" s="2" t="s">
        <v>74</v>
      </c>
      <c r="I997" s="2" t="s">
        <v>5557</v>
      </c>
      <c r="J997" s="2" t="s">
        <v>576</v>
      </c>
      <c r="K997" s="2" t="s">
        <v>74</v>
      </c>
      <c r="L997" s="2" t="s">
        <v>74</v>
      </c>
      <c r="M997" s="2" t="s">
        <v>74</v>
      </c>
      <c r="N997" s="2" t="s">
        <v>74</v>
      </c>
      <c r="O997" s="2" t="s">
        <v>74</v>
      </c>
      <c r="P997" s="2" t="s">
        <v>74</v>
      </c>
      <c r="Q997" s="2" t="s">
        <v>74</v>
      </c>
      <c r="R997" s="2" t="s">
        <v>74</v>
      </c>
      <c r="S997" s="2" t="s">
        <v>74</v>
      </c>
      <c r="T997" s="2" t="s">
        <v>74</v>
      </c>
      <c r="U997" s="2" t="s">
        <v>74</v>
      </c>
      <c r="V997" s="5" t="s">
        <v>5558</v>
      </c>
      <c r="W997" s="2" t="s">
        <v>74</v>
      </c>
      <c r="X997" s="2" t="s">
        <v>74</v>
      </c>
      <c r="Y997" s="2" t="s">
        <v>74</v>
      </c>
      <c r="Z997" s="2" t="s">
        <v>74</v>
      </c>
      <c r="AA997" s="2" t="s">
        <v>5559</v>
      </c>
      <c r="AB997" s="2" t="s">
        <v>5560</v>
      </c>
      <c r="AC997" s="2" t="s">
        <v>74</v>
      </c>
      <c r="AD997" s="2" t="s">
        <v>74</v>
      </c>
      <c r="AE997" s="2" t="s">
        <v>74</v>
      </c>
      <c r="AF997" s="2" t="s">
        <v>74</v>
      </c>
      <c r="AG997" s="2" t="s">
        <v>74</v>
      </c>
      <c r="AH997" s="2" t="s">
        <v>74</v>
      </c>
      <c r="AI997" s="2" t="s">
        <v>74</v>
      </c>
      <c r="AJ997" s="2" t="s">
        <v>74</v>
      </c>
      <c r="AK997" s="2" t="s">
        <v>74</v>
      </c>
      <c r="AL997" s="2" t="s">
        <v>74</v>
      </c>
      <c r="AM997" s="2" t="s">
        <v>74</v>
      </c>
      <c r="AN997" s="2" t="s">
        <v>74</v>
      </c>
      <c r="AO997" s="2" t="s">
        <v>579</v>
      </c>
      <c r="AP997" s="2" t="s">
        <v>580</v>
      </c>
      <c r="AQ997" s="2" t="s">
        <v>74</v>
      </c>
      <c r="AR997" s="2" t="s">
        <v>74</v>
      </c>
      <c r="AS997" s="2" t="s">
        <v>74</v>
      </c>
      <c r="AT997" s="2" t="s">
        <v>213</v>
      </c>
      <c r="AU997" s="2">
        <v>2009</v>
      </c>
      <c r="AV997" s="2">
        <v>23</v>
      </c>
      <c r="AW997" s="2">
        <v>6</v>
      </c>
      <c r="AX997" s="2" t="s">
        <v>74</v>
      </c>
      <c r="AY997" s="2" t="s">
        <v>74</v>
      </c>
      <c r="AZ997" s="2" t="s">
        <v>74</v>
      </c>
      <c r="BA997" s="2" t="s">
        <v>74</v>
      </c>
      <c r="BB997" s="2">
        <v>943</v>
      </c>
      <c r="BC997" s="2">
        <v>961</v>
      </c>
      <c r="BD997" s="2" t="s">
        <v>74</v>
      </c>
      <c r="BE997" s="2" t="s">
        <v>5561</v>
      </c>
      <c r="BF997" s="2" t="str">
        <f>HYPERLINK("http://dx.doi.org/10.1007/s10682-008-9283-z","http://dx.doi.org/10.1007/s10682-008-9283-z")</f>
        <v>http://dx.doi.org/10.1007/s10682-008-9283-z</v>
      </c>
      <c r="BG997" s="2" t="s">
        <v>74</v>
      </c>
      <c r="BH997" s="2" t="s">
        <v>74</v>
      </c>
      <c r="BI997" s="2" t="s">
        <v>74</v>
      </c>
      <c r="BJ997" s="2" t="s">
        <v>74</v>
      </c>
      <c r="BK997" s="2" t="s">
        <v>74</v>
      </c>
      <c r="BL997" s="2" t="s">
        <v>74</v>
      </c>
      <c r="BM997" s="2" t="s">
        <v>74</v>
      </c>
      <c r="BN997" s="2" t="s">
        <v>74</v>
      </c>
      <c r="BO997" s="2" t="s">
        <v>74</v>
      </c>
      <c r="BP997" s="2" t="s">
        <v>74</v>
      </c>
      <c r="BQ997" s="2" t="s">
        <v>74</v>
      </c>
      <c r="BR997" s="2" t="s">
        <v>74</v>
      </c>
      <c r="BS997" s="2" t="s">
        <v>5562</v>
      </c>
      <c r="BT997" s="2" t="str">
        <f>HYPERLINK("https%3A%2F%2Fwww.webofscience.com%2Fwos%2Fwoscc%2Ffull-record%2FWOS:000271949700009","View Full Record in Web of Science")</f>
        <v>View Full Record in Web of Science</v>
      </c>
    </row>
    <row r="998" spans="1:72" s="2" customFormat="1" x14ac:dyDescent="0.4">
      <c r="A998" s="2" t="s">
        <v>72</v>
      </c>
      <c r="B998" s="2" t="s">
        <v>5425</v>
      </c>
      <c r="C998" s="2" t="s">
        <v>74</v>
      </c>
      <c r="D998" s="2" t="s">
        <v>74</v>
      </c>
      <c r="E998" s="2" t="s">
        <v>74</v>
      </c>
      <c r="F998" s="2" t="s">
        <v>5426</v>
      </c>
      <c r="G998" s="2" t="s">
        <v>74</v>
      </c>
      <c r="H998" s="2" t="s">
        <v>74</v>
      </c>
      <c r="I998" s="2" t="s">
        <v>5427</v>
      </c>
      <c r="J998" s="2" t="s">
        <v>5428</v>
      </c>
      <c r="K998" s="2" t="s">
        <v>74</v>
      </c>
      <c r="L998" s="2" t="s">
        <v>74</v>
      </c>
      <c r="M998" s="2" t="s">
        <v>74</v>
      </c>
      <c r="N998" s="2" t="s">
        <v>74</v>
      </c>
      <c r="O998" s="2" t="s">
        <v>74</v>
      </c>
      <c r="P998" s="2" t="s">
        <v>74</v>
      </c>
      <c r="Q998" s="2" t="s">
        <v>74</v>
      </c>
      <c r="R998" s="2" t="s">
        <v>74</v>
      </c>
      <c r="S998" s="2" t="s">
        <v>74</v>
      </c>
      <c r="T998" s="2" t="s">
        <v>74</v>
      </c>
      <c r="U998" s="2" t="s">
        <v>74</v>
      </c>
      <c r="V998" s="5" t="s">
        <v>5429</v>
      </c>
      <c r="W998" s="2" t="s">
        <v>74</v>
      </c>
      <c r="X998" s="2" t="s">
        <v>74</v>
      </c>
      <c r="Y998" s="2" t="s">
        <v>74</v>
      </c>
      <c r="Z998" s="2" t="s">
        <v>74</v>
      </c>
      <c r="AA998" s="2" t="s">
        <v>4828</v>
      </c>
      <c r="AB998" s="2" t="s">
        <v>4829</v>
      </c>
      <c r="AC998" s="2" t="s">
        <v>74</v>
      </c>
      <c r="AD998" s="2" t="s">
        <v>74</v>
      </c>
      <c r="AE998" s="2" t="s">
        <v>74</v>
      </c>
      <c r="AF998" s="2" t="s">
        <v>74</v>
      </c>
      <c r="AG998" s="2" t="s">
        <v>74</v>
      </c>
      <c r="AH998" s="2" t="s">
        <v>74</v>
      </c>
      <c r="AI998" s="2" t="s">
        <v>74</v>
      </c>
      <c r="AJ998" s="2" t="s">
        <v>74</v>
      </c>
      <c r="AK998" s="2" t="s">
        <v>74</v>
      </c>
      <c r="AL998" s="2" t="s">
        <v>74</v>
      </c>
      <c r="AM998" s="2" t="s">
        <v>74</v>
      </c>
      <c r="AN998" s="2" t="s">
        <v>74</v>
      </c>
      <c r="AO998" s="2" t="s">
        <v>5430</v>
      </c>
      <c r="AP998" s="2" t="s">
        <v>5431</v>
      </c>
      <c r="AQ998" s="2" t="s">
        <v>74</v>
      </c>
      <c r="AR998" s="2" t="s">
        <v>74</v>
      </c>
      <c r="AS998" s="2" t="s">
        <v>74</v>
      </c>
      <c r="AT998" s="2" t="s">
        <v>352</v>
      </c>
      <c r="AU998" s="2">
        <v>2002</v>
      </c>
      <c r="AV998" s="2">
        <v>3</v>
      </c>
      <c r="AW998" s="2">
        <v>3</v>
      </c>
      <c r="AX998" s="2" t="s">
        <v>74</v>
      </c>
      <c r="AY998" s="2" t="s">
        <v>74</v>
      </c>
      <c r="AZ998" s="2" t="s">
        <v>74</v>
      </c>
      <c r="BA998" s="2" t="s">
        <v>74</v>
      </c>
      <c r="BB998" s="2">
        <v>213</v>
      </c>
      <c r="BC998" s="2">
        <v>224</v>
      </c>
      <c r="BD998" s="2" t="s">
        <v>74</v>
      </c>
      <c r="BE998" s="2" t="s">
        <v>5432</v>
      </c>
      <c r="BF998" s="2" t="str">
        <f>HYPERLINK("http://dx.doi.org/10.1046/j.1467-2979.2002.00088.x","http://dx.doi.org/10.1046/j.1467-2979.2002.00088.x")</f>
        <v>http://dx.doi.org/10.1046/j.1467-2979.2002.00088.x</v>
      </c>
      <c r="BG998" s="2" t="s">
        <v>74</v>
      </c>
      <c r="BH998" s="2" t="s">
        <v>74</v>
      </c>
      <c r="BI998" s="2" t="s">
        <v>74</v>
      </c>
      <c r="BJ998" s="2" t="s">
        <v>74</v>
      </c>
      <c r="BK998" s="2" t="s">
        <v>74</v>
      </c>
      <c r="BL998" s="2" t="s">
        <v>74</v>
      </c>
      <c r="BM998" s="2" t="s">
        <v>74</v>
      </c>
      <c r="BN998" s="2" t="s">
        <v>74</v>
      </c>
      <c r="BO998" s="2" t="s">
        <v>74</v>
      </c>
      <c r="BP998" s="2" t="s">
        <v>74</v>
      </c>
      <c r="BQ998" s="2" t="s">
        <v>74</v>
      </c>
      <c r="BR998" s="2" t="s">
        <v>74</v>
      </c>
      <c r="BS998" s="2" t="s">
        <v>5433</v>
      </c>
      <c r="BT998" s="2" t="str">
        <f>HYPERLINK("https%3A%2F%2Fwww.webofscience.com%2Fwos%2Fwoscc%2Ffull-record%2FWOS:000208993800007","View Full Record in Web of Science")</f>
        <v>View Full Record in Web of Science</v>
      </c>
    </row>
    <row r="999" spans="1:72" s="2" customFormat="1" x14ac:dyDescent="0.4">
      <c r="A999" s="2" t="s">
        <v>72</v>
      </c>
      <c r="B999" s="2" t="s">
        <v>1249</v>
      </c>
      <c r="C999" s="2" t="s">
        <v>74</v>
      </c>
      <c r="D999" s="2" t="s">
        <v>74</v>
      </c>
      <c r="E999" s="2" t="s">
        <v>74</v>
      </c>
      <c r="F999" s="2" t="s">
        <v>1249</v>
      </c>
      <c r="G999" s="2" t="s">
        <v>74</v>
      </c>
      <c r="H999" s="2" t="s">
        <v>74</v>
      </c>
      <c r="I999" s="2" t="s">
        <v>1250</v>
      </c>
      <c r="J999" s="2" t="s">
        <v>108</v>
      </c>
      <c r="K999" s="2" t="s">
        <v>74</v>
      </c>
      <c r="L999" s="2" t="s">
        <v>74</v>
      </c>
      <c r="M999" s="2" t="s">
        <v>74</v>
      </c>
      <c r="N999" s="2" t="s">
        <v>74</v>
      </c>
      <c r="O999" s="2" t="s">
        <v>74</v>
      </c>
      <c r="P999" s="2" t="s">
        <v>74</v>
      </c>
      <c r="Q999" s="2" t="s">
        <v>74</v>
      </c>
      <c r="R999" s="2" t="s">
        <v>74</v>
      </c>
      <c r="S999" s="2" t="s">
        <v>74</v>
      </c>
      <c r="T999" s="2" t="s">
        <v>74</v>
      </c>
      <c r="U999" s="2" t="s">
        <v>74</v>
      </c>
      <c r="V999" s="5" t="s">
        <v>1251</v>
      </c>
      <c r="W999" s="2" t="s">
        <v>74</v>
      </c>
      <c r="X999" s="2" t="s">
        <v>74</v>
      </c>
      <c r="Y999" s="2" t="s">
        <v>74</v>
      </c>
      <c r="Z999" s="2" t="s">
        <v>74</v>
      </c>
      <c r="AA999" s="2" t="s">
        <v>1252</v>
      </c>
      <c r="AB999" s="2" t="s">
        <v>74</v>
      </c>
      <c r="AC999" s="2" t="s">
        <v>74</v>
      </c>
      <c r="AD999" s="2" t="s">
        <v>74</v>
      </c>
      <c r="AE999" s="2" t="s">
        <v>74</v>
      </c>
      <c r="AF999" s="2" t="s">
        <v>74</v>
      </c>
      <c r="AG999" s="2" t="s">
        <v>74</v>
      </c>
      <c r="AH999" s="2" t="s">
        <v>74</v>
      </c>
      <c r="AI999" s="2" t="s">
        <v>74</v>
      </c>
      <c r="AJ999" s="2" t="s">
        <v>74</v>
      </c>
      <c r="AK999" s="2" t="s">
        <v>74</v>
      </c>
      <c r="AL999" s="2" t="s">
        <v>74</v>
      </c>
      <c r="AM999" s="2" t="s">
        <v>74</v>
      </c>
      <c r="AN999" s="2" t="s">
        <v>74</v>
      </c>
      <c r="AO999" s="2" t="s">
        <v>111</v>
      </c>
      <c r="AP999" s="2" t="s">
        <v>74</v>
      </c>
      <c r="AQ999" s="2" t="s">
        <v>74</v>
      </c>
      <c r="AR999" s="2" t="s">
        <v>74</v>
      </c>
      <c r="AS999" s="2" t="s">
        <v>74</v>
      </c>
      <c r="AT999" s="2" t="s">
        <v>1253</v>
      </c>
      <c r="AU999" s="2">
        <v>2004</v>
      </c>
      <c r="AV999" s="2">
        <v>271</v>
      </c>
      <c r="AW999" s="2">
        <v>1548</v>
      </c>
      <c r="AX999" s="2" t="s">
        <v>74</v>
      </c>
      <c r="AY999" s="2" t="s">
        <v>74</v>
      </c>
      <c r="AZ999" s="2" t="s">
        <v>74</v>
      </c>
      <c r="BA999" s="2" t="s">
        <v>74</v>
      </c>
      <c r="BB999" s="2">
        <v>1577</v>
      </c>
      <c r="BC999" s="2">
        <v>1584</v>
      </c>
      <c r="BD999" s="2" t="s">
        <v>74</v>
      </c>
      <c r="BE999" s="2" t="s">
        <v>1254</v>
      </c>
      <c r="BF999" s="2" t="str">
        <f>HYPERLINK("http://dx.doi.org/10.1098/rspb.2004.2781","http://dx.doi.org/10.1098/rspb.2004.2781")</f>
        <v>http://dx.doi.org/10.1098/rspb.2004.2781</v>
      </c>
      <c r="BG999" s="2" t="s">
        <v>74</v>
      </c>
      <c r="BH999" s="2" t="s">
        <v>74</v>
      </c>
      <c r="BI999" s="2" t="s">
        <v>74</v>
      </c>
      <c r="BJ999" s="2" t="s">
        <v>74</v>
      </c>
      <c r="BK999" s="2" t="s">
        <v>74</v>
      </c>
      <c r="BL999" s="2" t="s">
        <v>74</v>
      </c>
      <c r="BM999" s="2" t="s">
        <v>74</v>
      </c>
      <c r="BN999" s="2">
        <v>15306303</v>
      </c>
      <c r="BO999" s="2" t="s">
        <v>74</v>
      </c>
      <c r="BP999" s="2" t="s">
        <v>74</v>
      </c>
      <c r="BQ999" s="2" t="s">
        <v>74</v>
      </c>
      <c r="BR999" s="2" t="s">
        <v>74</v>
      </c>
      <c r="BS999" s="2" t="s">
        <v>1255</v>
      </c>
      <c r="BT999" s="2" t="str">
        <f>HYPERLINK("https%3A%2F%2Fwww.webofscience.com%2Fwos%2Fwoscc%2Ffull-record%2FWOS:000222995100005","View Full Record in Web of Science")</f>
        <v>View Full Record in Web of Science</v>
      </c>
    </row>
    <row r="1000" spans="1:72" s="2" customFormat="1" x14ac:dyDescent="0.4">
      <c r="A1000" s="2" t="s">
        <v>72</v>
      </c>
      <c r="B1000" s="2" t="s">
        <v>8539</v>
      </c>
      <c r="C1000" s="2" t="s">
        <v>74</v>
      </c>
      <c r="D1000" s="2" t="s">
        <v>74</v>
      </c>
      <c r="E1000" s="2" t="s">
        <v>74</v>
      </c>
      <c r="F1000" s="2" t="s">
        <v>8540</v>
      </c>
      <c r="G1000" s="2" t="s">
        <v>74</v>
      </c>
      <c r="H1000" s="2" t="s">
        <v>74</v>
      </c>
      <c r="I1000" s="2" t="s">
        <v>8541</v>
      </c>
      <c r="J1000" s="2" t="s">
        <v>171</v>
      </c>
      <c r="K1000" s="2" t="s">
        <v>74</v>
      </c>
      <c r="L1000" s="2" t="s">
        <v>74</v>
      </c>
      <c r="M1000" s="2" t="s">
        <v>74</v>
      </c>
      <c r="N1000" s="2" t="s">
        <v>74</v>
      </c>
      <c r="O1000" s="2" t="s">
        <v>74</v>
      </c>
      <c r="P1000" s="2" t="s">
        <v>74</v>
      </c>
      <c r="Q1000" s="2" t="s">
        <v>74</v>
      </c>
      <c r="R1000" s="2" t="s">
        <v>74</v>
      </c>
      <c r="S1000" s="2" t="s">
        <v>74</v>
      </c>
      <c r="T1000" s="2" t="s">
        <v>74</v>
      </c>
      <c r="U1000" s="2" t="s">
        <v>74</v>
      </c>
      <c r="V1000" s="5" t="s">
        <v>8542</v>
      </c>
      <c r="W1000" s="2" t="s">
        <v>74</v>
      </c>
      <c r="X1000" s="2" t="s">
        <v>74</v>
      </c>
      <c r="Y1000" s="2" t="s">
        <v>74</v>
      </c>
      <c r="Z1000" s="2" t="s">
        <v>74</v>
      </c>
      <c r="AA1000" s="2" t="s">
        <v>74</v>
      </c>
      <c r="AB1000" s="2" t="s">
        <v>322</v>
      </c>
      <c r="AC1000" s="2" t="s">
        <v>74</v>
      </c>
      <c r="AD1000" s="2" t="s">
        <v>74</v>
      </c>
      <c r="AE1000" s="2" t="s">
        <v>74</v>
      </c>
      <c r="AF1000" s="2" t="s">
        <v>74</v>
      </c>
      <c r="AG1000" s="2" t="s">
        <v>74</v>
      </c>
      <c r="AH1000" s="2" t="s">
        <v>74</v>
      </c>
      <c r="AI1000" s="2" t="s">
        <v>74</v>
      </c>
      <c r="AJ1000" s="2" t="s">
        <v>74</v>
      </c>
      <c r="AK1000" s="2" t="s">
        <v>74</v>
      </c>
      <c r="AL1000" s="2" t="s">
        <v>74</v>
      </c>
      <c r="AM1000" s="2" t="s">
        <v>74</v>
      </c>
      <c r="AN1000" s="2" t="s">
        <v>74</v>
      </c>
      <c r="AO1000" s="2" t="s">
        <v>173</v>
      </c>
      <c r="AP1000" s="2" t="s">
        <v>174</v>
      </c>
      <c r="AQ1000" s="2" t="s">
        <v>74</v>
      </c>
      <c r="AR1000" s="2" t="s">
        <v>74</v>
      </c>
      <c r="AS1000" s="2" t="s">
        <v>74</v>
      </c>
      <c r="AT1000" s="2" t="s">
        <v>204</v>
      </c>
      <c r="AU1000" s="2">
        <v>2006</v>
      </c>
      <c r="AV1000" s="2">
        <v>60</v>
      </c>
      <c r="AW1000" s="2">
        <v>7</v>
      </c>
      <c r="AX1000" s="2" t="s">
        <v>74</v>
      </c>
      <c r="AY1000" s="2" t="s">
        <v>74</v>
      </c>
      <c r="AZ1000" s="2" t="s">
        <v>74</v>
      </c>
      <c r="BA1000" s="2" t="s">
        <v>74</v>
      </c>
      <c r="BB1000" s="2">
        <v>1476</v>
      </c>
      <c r="BC1000" s="2">
        <v>1485</v>
      </c>
      <c r="BD1000" s="2" t="s">
        <v>74</v>
      </c>
      <c r="BE1000" s="2" t="s">
        <v>8543</v>
      </c>
      <c r="BF1000" s="2" t="str">
        <f>HYPERLINK("http://dx.doi.org/10.1111/j.0014-3820.2006.tb01226.x","http://dx.doi.org/10.1111/j.0014-3820.2006.tb01226.x")</f>
        <v>http://dx.doi.org/10.1111/j.0014-3820.2006.tb01226.x</v>
      </c>
      <c r="BG1000" s="2" t="s">
        <v>74</v>
      </c>
      <c r="BH1000" s="2" t="s">
        <v>74</v>
      </c>
      <c r="BI1000" s="2" t="s">
        <v>74</v>
      </c>
      <c r="BJ1000" s="2" t="s">
        <v>74</v>
      </c>
      <c r="BK1000" s="2" t="s">
        <v>74</v>
      </c>
      <c r="BL1000" s="2" t="s">
        <v>74</v>
      </c>
      <c r="BM1000" s="2" t="s">
        <v>74</v>
      </c>
      <c r="BN1000" s="2">
        <v>16929664</v>
      </c>
      <c r="BO1000" s="2" t="s">
        <v>74</v>
      </c>
      <c r="BP1000" s="2" t="s">
        <v>74</v>
      </c>
      <c r="BQ1000" s="2" t="s">
        <v>74</v>
      </c>
      <c r="BR1000" s="2" t="s">
        <v>74</v>
      </c>
      <c r="BS1000" s="2" t="s">
        <v>8544</v>
      </c>
      <c r="BT1000" s="2" t="str">
        <f>HYPERLINK("https%3A%2F%2Fwww.webofscience.com%2Fwos%2Fwoscc%2Ffull-record%2FWOS:000239682300015","View Full Record in Web of Science")</f>
        <v>View Full Record in Web of Science</v>
      </c>
    </row>
    <row r="1001" spans="1:72" s="2" customFormat="1" x14ac:dyDescent="0.4">
      <c r="A1001" s="2" t="s">
        <v>72</v>
      </c>
      <c r="B1001" s="2" t="s">
        <v>4537</v>
      </c>
      <c r="C1001" s="2" t="s">
        <v>74</v>
      </c>
      <c r="D1001" s="2" t="s">
        <v>74</v>
      </c>
      <c r="E1001" s="2" t="s">
        <v>74</v>
      </c>
      <c r="F1001" s="2" t="s">
        <v>4538</v>
      </c>
      <c r="G1001" s="2" t="s">
        <v>74</v>
      </c>
      <c r="H1001" s="2" t="s">
        <v>74</v>
      </c>
      <c r="I1001" s="2" t="s">
        <v>4539</v>
      </c>
      <c r="J1001" s="2" t="s">
        <v>4540</v>
      </c>
      <c r="K1001" s="2" t="s">
        <v>74</v>
      </c>
      <c r="L1001" s="2" t="s">
        <v>74</v>
      </c>
      <c r="M1001" s="2" t="s">
        <v>74</v>
      </c>
      <c r="N1001" s="2" t="s">
        <v>74</v>
      </c>
      <c r="O1001" s="2" t="s">
        <v>74</v>
      </c>
      <c r="P1001" s="2" t="s">
        <v>74</v>
      </c>
      <c r="Q1001" s="2" t="s">
        <v>74</v>
      </c>
      <c r="R1001" s="2" t="s">
        <v>74</v>
      </c>
      <c r="S1001" s="2" t="s">
        <v>74</v>
      </c>
      <c r="T1001" s="2" t="s">
        <v>74</v>
      </c>
      <c r="U1001" s="2" t="s">
        <v>74</v>
      </c>
      <c r="V1001" s="5" t="s">
        <v>4541</v>
      </c>
      <c r="W1001" s="2" t="s">
        <v>74</v>
      </c>
      <c r="X1001" s="2" t="s">
        <v>74</v>
      </c>
      <c r="Y1001" s="2" t="s">
        <v>74</v>
      </c>
      <c r="Z1001" s="2" t="s">
        <v>74</v>
      </c>
      <c r="AA1001" s="2" t="s">
        <v>4542</v>
      </c>
      <c r="AB1001" s="2" t="s">
        <v>4543</v>
      </c>
      <c r="AC1001" s="2" t="s">
        <v>74</v>
      </c>
      <c r="AD1001" s="2" t="s">
        <v>74</v>
      </c>
      <c r="AE1001" s="2" t="s">
        <v>74</v>
      </c>
      <c r="AF1001" s="2" t="s">
        <v>74</v>
      </c>
      <c r="AG1001" s="2" t="s">
        <v>74</v>
      </c>
      <c r="AH1001" s="2" t="s">
        <v>74</v>
      </c>
      <c r="AI1001" s="2" t="s">
        <v>74</v>
      </c>
      <c r="AJ1001" s="2" t="s">
        <v>74</v>
      </c>
      <c r="AK1001" s="2" t="s">
        <v>74</v>
      </c>
      <c r="AL1001" s="2" t="s">
        <v>74</v>
      </c>
      <c r="AM1001" s="2" t="s">
        <v>74</v>
      </c>
      <c r="AN1001" s="2" t="s">
        <v>74</v>
      </c>
      <c r="AO1001" s="2" t="s">
        <v>4544</v>
      </c>
      <c r="AP1001" s="2" t="s">
        <v>4545</v>
      </c>
      <c r="AQ1001" s="2" t="s">
        <v>74</v>
      </c>
      <c r="AR1001" s="2" t="s">
        <v>74</v>
      </c>
      <c r="AS1001" s="2" t="s">
        <v>74</v>
      </c>
      <c r="AT1001" s="2" t="s">
        <v>102</v>
      </c>
      <c r="AU1001" s="2">
        <v>2016</v>
      </c>
      <c r="AV1001" s="2">
        <v>99</v>
      </c>
      <c r="AW1001" s="2" t="s">
        <v>74</v>
      </c>
      <c r="AX1001" s="2" t="s">
        <v>74</v>
      </c>
      <c r="AY1001" s="2" t="s">
        <v>74</v>
      </c>
      <c r="AZ1001" s="2">
        <v>1</v>
      </c>
      <c r="BA1001" s="2" t="s">
        <v>74</v>
      </c>
      <c r="BB1001" s="2">
        <v>192</v>
      </c>
      <c r="BC1001" s="2">
        <v>199</v>
      </c>
      <c r="BD1001" s="2" t="s">
        <v>74</v>
      </c>
      <c r="BE1001" s="2" t="s">
        <v>4546</v>
      </c>
      <c r="BF1001" s="2" t="str">
        <f>HYPERLINK("http://dx.doi.org/10.1653/024.099.sp123","http://dx.doi.org/10.1653/024.099.sp123")</f>
        <v>http://dx.doi.org/10.1653/024.099.sp123</v>
      </c>
      <c r="BG1001" s="2" t="s">
        <v>74</v>
      </c>
      <c r="BH1001" s="2" t="s">
        <v>74</v>
      </c>
      <c r="BI1001" s="2" t="s">
        <v>74</v>
      </c>
      <c r="BJ1001" s="2" t="s">
        <v>74</v>
      </c>
      <c r="BK1001" s="2" t="s">
        <v>74</v>
      </c>
      <c r="BL1001" s="2" t="s">
        <v>74</v>
      </c>
      <c r="BM1001" s="2" t="s">
        <v>74</v>
      </c>
      <c r="BN1001" s="2" t="s">
        <v>74</v>
      </c>
      <c r="BO1001" s="2" t="s">
        <v>74</v>
      </c>
      <c r="BP1001" s="2" t="s">
        <v>74</v>
      </c>
      <c r="BQ1001" s="2" t="s">
        <v>74</v>
      </c>
      <c r="BR1001" s="2" t="s">
        <v>74</v>
      </c>
      <c r="BS1001" s="2" t="s">
        <v>4547</v>
      </c>
      <c r="BT1001" s="2" t="str">
        <f>HYPERLINK("https%3A%2F%2Fwww.webofscience.com%2Fwos%2Fwoscc%2Ffull-record%2FWOS:000382249300022","View Full Record in Web of Science")</f>
        <v>View Full Record in Web of Science</v>
      </c>
    </row>
    <row r="1002" spans="1:72" s="1" customFormat="1" x14ac:dyDescent="0.4">
      <c r="A1002" s="2" t="s">
        <v>72</v>
      </c>
      <c r="B1002" s="2" t="s">
        <v>2919</v>
      </c>
      <c r="C1002" s="2" t="s">
        <v>74</v>
      </c>
      <c r="D1002" s="2" t="s">
        <v>74</v>
      </c>
      <c r="E1002" s="2" t="s">
        <v>74</v>
      </c>
      <c r="F1002" s="2" t="s">
        <v>2920</v>
      </c>
      <c r="G1002" s="2" t="s">
        <v>74</v>
      </c>
      <c r="H1002" s="2" t="s">
        <v>74</v>
      </c>
      <c r="I1002" s="2" t="s">
        <v>2921</v>
      </c>
      <c r="J1002" s="2" t="s">
        <v>408</v>
      </c>
      <c r="K1002" s="2" t="s">
        <v>74</v>
      </c>
      <c r="L1002" s="2" t="s">
        <v>74</v>
      </c>
      <c r="M1002" s="2" t="s">
        <v>74</v>
      </c>
      <c r="N1002" s="2" t="s">
        <v>74</v>
      </c>
      <c r="O1002" s="2" t="s">
        <v>74</v>
      </c>
      <c r="P1002" s="2" t="s">
        <v>74</v>
      </c>
      <c r="Q1002" s="2" t="s">
        <v>74</v>
      </c>
      <c r="R1002" s="2" t="s">
        <v>74</v>
      </c>
      <c r="S1002" s="2" t="s">
        <v>74</v>
      </c>
      <c r="T1002" s="2" t="s">
        <v>74</v>
      </c>
      <c r="U1002" s="2" t="s">
        <v>74</v>
      </c>
      <c r="V1002" s="5" t="s">
        <v>2922</v>
      </c>
      <c r="W1002" s="2" t="s">
        <v>74</v>
      </c>
      <c r="X1002" s="2" t="s">
        <v>74</v>
      </c>
      <c r="Y1002" s="2" t="s">
        <v>74</v>
      </c>
      <c r="Z1002" s="2" t="s">
        <v>74</v>
      </c>
      <c r="AA1002" s="2" t="s">
        <v>2923</v>
      </c>
      <c r="AB1002" s="2" t="s">
        <v>2924</v>
      </c>
      <c r="AC1002" s="2" t="s">
        <v>74</v>
      </c>
      <c r="AD1002" s="2" t="s">
        <v>74</v>
      </c>
      <c r="AE1002" s="2" t="s">
        <v>74</v>
      </c>
      <c r="AF1002" s="2" t="s">
        <v>74</v>
      </c>
      <c r="AG1002" s="2" t="s">
        <v>74</v>
      </c>
      <c r="AH1002" s="2" t="s">
        <v>74</v>
      </c>
      <c r="AI1002" s="2" t="s">
        <v>74</v>
      </c>
      <c r="AJ1002" s="2" t="s">
        <v>74</v>
      </c>
      <c r="AK1002" s="2" t="s">
        <v>74</v>
      </c>
      <c r="AL1002" s="2" t="s">
        <v>74</v>
      </c>
      <c r="AM1002" s="2" t="s">
        <v>74</v>
      </c>
      <c r="AN1002" s="2" t="s">
        <v>74</v>
      </c>
      <c r="AO1002" s="2" t="s">
        <v>412</v>
      </c>
      <c r="AP1002" s="2" t="s">
        <v>413</v>
      </c>
      <c r="AQ1002" s="2" t="s">
        <v>74</v>
      </c>
      <c r="AR1002" s="2" t="s">
        <v>74</v>
      </c>
      <c r="AS1002" s="2" t="s">
        <v>74</v>
      </c>
      <c r="AT1002" s="2" t="s">
        <v>769</v>
      </c>
      <c r="AU1002" s="2">
        <v>2017</v>
      </c>
      <c r="AV1002" s="2">
        <v>120</v>
      </c>
      <c r="AW1002" s="2">
        <v>2</v>
      </c>
      <c r="AX1002" s="2" t="s">
        <v>74</v>
      </c>
      <c r="AY1002" s="2" t="s">
        <v>74</v>
      </c>
      <c r="AZ1002" s="2" t="s">
        <v>74</v>
      </c>
      <c r="BA1002" s="2" t="s">
        <v>74</v>
      </c>
      <c r="BB1002" s="2">
        <v>396</v>
      </c>
      <c r="BC1002" s="2">
        <v>409</v>
      </c>
      <c r="BD1002" s="2" t="s">
        <v>74</v>
      </c>
      <c r="BE1002" s="2" t="s">
        <v>74</v>
      </c>
      <c r="BF1002" s="2" t="s">
        <v>74</v>
      </c>
      <c r="BG1002" s="2" t="s">
        <v>74</v>
      </c>
      <c r="BH1002" s="2" t="s">
        <v>74</v>
      </c>
      <c r="BI1002" s="2" t="s">
        <v>74</v>
      </c>
      <c r="BJ1002" s="2" t="s">
        <v>74</v>
      </c>
      <c r="BK1002" s="2" t="s">
        <v>74</v>
      </c>
      <c r="BL1002" s="2" t="s">
        <v>74</v>
      </c>
      <c r="BM1002" s="2" t="s">
        <v>74</v>
      </c>
      <c r="BN1002" s="2" t="s">
        <v>74</v>
      </c>
      <c r="BO1002" s="2" t="s">
        <v>74</v>
      </c>
      <c r="BP1002" s="2" t="s">
        <v>74</v>
      </c>
      <c r="BQ1002" s="2" t="s">
        <v>74</v>
      </c>
      <c r="BR1002" s="2" t="s">
        <v>74</v>
      </c>
      <c r="BS1002" s="2" t="s">
        <v>2925</v>
      </c>
      <c r="BT1002" s="2" t="str">
        <f>HYPERLINK("https%3A%2F%2Fwww.webofscience.com%2Fwos%2Fwoscc%2Ffull-record%2FWOS:000400944500010","View Full Record in Web of Science")</f>
        <v>View Full Record in Web of Science</v>
      </c>
    </row>
    <row r="1003" spans="1:72" s="2" customFormat="1" x14ac:dyDescent="0.4">
      <c r="A1003" s="2" t="s">
        <v>72</v>
      </c>
      <c r="B1003" s="2" t="s">
        <v>5529</v>
      </c>
      <c r="C1003" s="2" t="s">
        <v>74</v>
      </c>
      <c r="D1003" s="2" t="s">
        <v>74</v>
      </c>
      <c r="E1003" s="2" t="s">
        <v>74</v>
      </c>
      <c r="F1003" s="2" t="s">
        <v>5530</v>
      </c>
      <c r="G1003" s="2" t="s">
        <v>74</v>
      </c>
      <c r="H1003" s="2" t="s">
        <v>74</v>
      </c>
      <c r="I1003" s="2" t="s">
        <v>5531</v>
      </c>
      <c r="J1003" s="2" t="s">
        <v>576</v>
      </c>
      <c r="K1003" s="2" t="s">
        <v>74</v>
      </c>
      <c r="L1003" s="2" t="s">
        <v>74</v>
      </c>
      <c r="M1003" s="2" t="s">
        <v>74</v>
      </c>
      <c r="N1003" s="2" t="s">
        <v>74</v>
      </c>
      <c r="O1003" s="2" t="s">
        <v>74</v>
      </c>
      <c r="P1003" s="2" t="s">
        <v>74</v>
      </c>
      <c r="Q1003" s="2" t="s">
        <v>74</v>
      </c>
      <c r="R1003" s="2" t="s">
        <v>74</v>
      </c>
      <c r="S1003" s="2" t="s">
        <v>74</v>
      </c>
      <c r="T1003" s="2" t="s">
        <v>74</v>
      </c>
      <c r="U1003" s="2" t="s">
        <v>74</v>
      </c>
      <c r="V1003" s="5" t="s">
        <v>5532</v>
      </c>
      <c r="W1003" s="2" t="s">
        <v>74</v>
      </c>
      <c r="X1003" s="2" t="s">
        <v>74</v>
      </c>
      <c r="Y1003" s="2" t="s">
        <v>74</v>
      </c>
      <c r="Z1003" s="2" t="s">
        <v>74</v>
      </c>
      <c r="AA1003" s="2" t="s">
        <v>5533</v>
      </c>
      <c r="AB1003" s="2" t="s">
        <v>5534</v>
      </c>
      <c r="AC1003" s="2" t="s">
        <v>74</v>
      </c>
      <c r="AD1003" s="2" t="s">
        <v>74</v>
      </c>
      <c r="AE1003" s="2" t="s">
        <v>74</v>
      </c>
      <c r="AF1003" s="2" t="s">
        <v>74</v>
      </c>
      <c r="AG1003" s="2" t="s">
        <v>74</v>
      </c>
      <c r="AH1003" s="2" t="s">
        <v>74</v>
      </c>
      <c r="AI1003" s="2" t="s">
        <v>74</v>
      </c>
      <c r="AJ1003" s="2" t="s">
        <v>74</v>
      </c>
      <c r="AK1003" s="2" t="s">
        <v>74</v>
      </c>
      <c r="AL1003" s="2" t="s">
        <v>74</v>
      </c>
      <c r="AM1003" s="2" t="s">
        <v>74</v>
      </c>
      <c r="AN1003" s="2" t="s">
        <v>74</v>
      </c>
      <c r="AO1003" s="2" t="s">
        <v>579</v>
      </c>
      <c r="AP1003" s="2" t="s">
        <v>580</v>
      </c>
      <c r="AQ1003" s="2" t="s">
        <v>74</v>
      </c>
      <c r="AR1003" s="2" t="s">
        <v>74</v>
      </c>
      <c r="AS1003" s="2" t="s">
        <v>74</v>
      </c>
      <c r="AT1003" s="2" t="s">
        <v>213</v>
      </c>
      <c r="AU1003" s="2">
        <v>2012</v>
      </c>
      <c r="AV1003" s="2">
        <v>26</v>
      </c>
      <c r="AW1003" s="2">
        <v>6</v>
      </c>
      <c r="AX1003" s="2" t="s">
        <v>74</v>
      </c>
      <c r="AY1003" s="2" t="s">
        <v>74</v>
      </c>
      <c r="AZ1003" s="2" t="s">
        <v>74</v>
      </c>
      <c r="BA1003" s="2" t="s">
        <v>74</v>
      </c>
      <c r="BB1003" s="2">
        <v>1277</v>
      </c>
      <c r="BC1003" s="2">
        <v>1291</v>
      </c>
      <c r="BD1003" s="2" t="s">
        <v>74</v>
      </c>
      <c r="BE1003" s="2" t="s">
        <v>5535</v>
      </c>
      <c r="BF1003" s="2" t="str">
        <f>HYPERLINK("http://dx.doi.org/10.1007/s10682-011-9551-1","http://dx.doi.org/10.1007/s10682-011-9551-1")</f>
        <v>http://dx.doi.org/10.1007/s10682-011-9551-1</v>
      </c>
      <c r="BG1003" s="2" t="s">
        <v>74</v>
      </c>
      <c r="BH1003" s="2" t="s">
        <v>74</v>
      </c>
      <c r="BI1003" s="2" t="s">
        <v>74</v>
      </c>
      <c r="BJ1003" s="2" t="s">
        <v>74</v>
      </c>
      <c r="BK1003" s="2" t="s">
        <v>74</v>
      </c>
      <c r="BL1003" s="2" t="s">
        <v>74</v>
      </c>
      <c r="BM1003" s="2" t="s">
        <v>74</v>
      </c>
      <c r="BN1003" s="2" t="s">
        <v>74</v>
      </c>
      <c r="BO1003" s="2" t="s">
        <v>74</v>
      </c>
      <c r="BP1003" s="2" t="s">
        <v>74</v>
      </c>
      <c r="BQ1003" s="2" t="s">
        <v>74</v>
      </c>
      <c r="BR1003" s="2" t="s">
        <v>74</v>
      </c>
      <c r="BS1003" s="2" t="s">
        <v>5536</v>
      </c>
      <c r="BT1003" s="2" t="str">
        <f>HYPERLINK("https%3A%2F%2Fwww.webofscience.com%2Fwos%2Fwoscc%2Ffull-record%2FWOS:000309869600001","View Full Record in Web of Science")</f>
        <v>View Full Record in Web of Science</v>
      </c>
    </row>
    <row r="1004" spans="1:72" s="2" customFormat="1" x14ac:dyDescent="0.4">
      <c r="A1004" s="2" t="s">
        <v>72</v>
      </c>
      <c r="B1004" s="2" t="s">
        <v>1985</v>
      </c>
      <c r="C1004" s="2" t="s">
        <v>74</v>
      </c>
      <c r="D1004" s="2" t="s">
        <v>74</v>
      </c>
      <c r="E1004" s="2" t="s">
        <v>74</v>
      </c>
      <c r="F1004" s="2" t="s">
        <v>1986</v>
      </c>
      <c r="G1004" s="2" t="s">
        <v>74</v>
      </c>
      <c r="H1004" s="2" t="s">
        <v>74</v>
      </c>
      <c r="I1004" s="2" t="s">
        <v>1987</v>
      </c>
      <c r="J1004" s="2" t="s">
        <v>88</v>
      </c>
      <c r="K1004" s="2" t="s">
        <v>74</v>
      </c>
      <c r="L1004" s="2" t="s">
        <v>74</v>
      </c>
      <c r="M1004" s="2" t="s">
        <v>74</v>
      </c>
      <c r="N1004" s="2" t="s">
        <v>74</v>
      </c>
      <c r="O1004" s="2" t="s">
        <v>74</v>
      </c>
      <c r="P1004" s="2" t="s">
        <v>74</v>
      </c>
      <c r="Q1004" s="2" t="s">
        <v>74</v>
      </c>
      <c r="R1004" s="2" t="s">
        <v>74</v>
      </c>
      <c r="S1004" s="2" t="s">
        <v>74</v>
      </c>
      <c r="T1004" s="2" t="s">
        <v>74</v>
      </c>
      <c r="U1004" s="2" t="s">
        <v>74</v>
      </c>
      <c r="V1004" s="5" t="s">
        <v>1988</v>
      </c>
      <c r="W1004" s="2" t="s">
        <v>74</v>
      </c>
      <c r="X1004" s="2" t="s">
        <v>74</v>
      </c>
      <c r="Y1004" s="2" t="s">
        <v>74</v>
      </c>
      <c r="Z1004" s="2" t="s">
        <v>74</v>
      </c>
      <c r="AA1004" s="2" t="s">
        <v>1989</v>
      </c>
      <c r="AB1004" s="2" t="s">
        <v>1990</v>
      </c>
      <c r="AC1004" s="2" t="s">
        <v>74</v>
      </c>
      <c r="AD1004" s="2" t="s">
        <v>74</v>
      </c>
      <c r="AE1004" s="2" t="s">
        <v>74</v>
      </c>
      <c r="AF1004" s="2" t="s">
        <v>74</v>
      </c>
      <c r="AG1004" s="2" t="s">
        <v>74</v>
      </c>
      <c r="AH1004" s="2" t="s">
        <v>74</v>
      </c>
      <c r="AI1004" s="2" t="s">
        <v>74</v>
      </c>
      <c r="AJ1004" s="2" t="s">
        <v>74</v>
      </c>
      <c r="AK1004" s="2" t="s">
        <v>74</v>
      </c>
      <c r="AL1004" s="2" t="s">
        <v>74</v>
      </c>
      <c r="AM1004" s="2" t="s">
        <v>74</v>
      </c>
      <c r="AN1004" s="2" t="s">
        <v>74</v>
      </c>
      <c r="AO1004" s="2" t="s">
        <v>91</v>
      </c>
      <c r="AP1004" s="2" t="s">
        <v>74</v>
      </c>
      <c r="AQ1004" s="2" t="s">
        <v>74</v>
      </c>
      <c r="AR1004" s="2" t="s">
        <v>74</v>
      </c>
      <c r="AS1004" s="2" t="s">
        <v>74</v>
      </c>
      <c r="AT1004" s="2" t="s">
        <v>93</v>
      </c>
      <c r="AU1004" s="2">
        <v>2012</v>
      </c>
      <c r="AV1004" s="2">
        <v>8</v>
      </c>
      <c r="AW1004" s="2">
        <v>2</v>
      </c>
      <c r="AX1004" s="2" t="s">
        <v>74</v>
      </c>
      <c r="AY1004" s="2" t="s">
        <v>74</v>
      </c>
      <c r="AZ1004" s="2" t="s">
        <v>74</v>
      </c>
      <c r="BA1004" s="2" t="s">
        <v>74</v>
      </c>
      <c r="BB1004" s="2">
        <v>167</v>
      </c>
      <c r="BC1004" s="2">
        <v>170</v>
      </c>
      <c r="BD1004" s="2" t="s">
        <v>74</v>
      </c>
      <c r="BE1004" s="2" t="s">
        <v>1991</v>
      </c>
      <c r="BF1004" s="2" t="str">
        <f>HYPERLINK("http://dx.doi.org/10.1098/rsbl.2011.0914","http://dx.doi.org/10.1098/rsbl.2011.0914")</f>
        <v>http://dx.doi.org/10.1098/rsbl.2011.0914</v>
      </c>
      <c r="BG1004" s="2" t="s">
        <v>74</v>
      </c>
      <c r="BH1004" s="2" t="s">
        <v>74</v>
      </c>
      <c r="BI1004" s="2" t="s">
        <v>74</v>
      </c>
      <c r="BJ1004" s="2" t="s">
        <v>74</v>
      </c>
      <c r="BK1004" s="2" t="s">
        <v>74</v>
      </c>
      <c r="BL1004" s="2" t="s">
        <v>74</v>
      </c>
      <c r="BM1004" s="2" t="s">
        <v>74</v>
      </c>
      <c r="BN1004" s="2">
        <v>22072281</v>
      </c>
      <c r="BO1004" s="2" t="s">
        <v>74</v>
      </c>
      <c r="BP1004" s="2" t="s">
        <v>74</v>
      </c>
      <c r="BQ1004" s="2" t="s">
        <v>74</v>
      </c>
      <c r="BR1004" s="2" t="s">
        <v>74</v>
      </c>
      <c r="BS1004" s="2" t="s">
        <v>1992</v>
      </c>
      <c r="BT1004" s="2" t="str">
        <f>HYPERLINK("https%3A%2F%2Fwww.webofscience.com%2Fwos%2Fwoscc%2Ffull-record%2FWOS:000301304000003","View Full Record in Web of Science")</f>
        <v>View Full Record in Web of Science</v>
      </c>
    </row>
    <row r="1005" spans="1:72" s="7" customFormat="1" x14ac:dyDescent="0.4">
      <c r="A1005" s="2" t="s">
        <v>72</v>
      </c>
      <c r="B1005" s="2" t="s">
        <v>543</v>
      </c>
      <c r="C1005" s="2" t="s">
        <v>74</v>
      </c>
      <c r="D1005" s="2" t="s">
        <v>74</v>
      </c>
      <c r="E1005" s="2" t="s">
        <v>74</v>
      </c>
      <c r="F1005" s="2" t="s">
        <v>543</v>
      </c>
      <c r="G1005" s="2" t="s">
        <v>74</v>
      </c>
      <c r="H1005" s="2" t="s">
        <v>74</v>
      </c>
      <c r="I1005" s="2" t="s">
        <v>544</v>
      </c>
      <c r="J1005" s="2" t="s">
        <v>545</v>
      </c>
      <c r="K1005" s="2" t="s">
        <v>74</v>
      </c>
      <c r="L1005" s="2" t="s">
        <v>74</v>
      </c>
      <c r="M1005" s="2" t="s">
        <v>74</v>
      </c>
      <c r="N1005" s="2" t="s">
        <v>74</v>
      </c>
      <c r="O1005" s="2" t="s">
        <v>74</v>
      </c>
      <c r="P1005" s="2" t="s">
        <v>74</v>
      </c>
      <c r="Q1005" s="2" t="s">
        <v>74</v>
      </c>
      <c r="R1005" s="2" t="s">
        <v>74</v>
      </c>
      <c r="S1005" s="2" t="s">
        <v>74</v>
      </c>
      <c r="T1005" s="2" t="s">
        <v>74</v>
      </c>
      <c r="U1005" s="2" t="s">
        <v>74</v>
      </c>
      <c r="V1005" s="5" t="s">
        <v>546</v>
      </c>
      <c r="W1005" s="2" t="s">
        <v>74</v>
      </c>
      <c r="X1005" s="2" t="s">
        <v>74</v>
      </c>
      <c r="Y1005" s="2" t="s">
        <v>74</v>
      </c>
      <c r="Z1005" s="2" t="s">
        <v>74</v>
      </c>
      <c r="AA1005" s="2" t="s">
        <v>74</v>
      </c>
      <c r="AB1005" s="2" t="s">
        <v>74</v>
      </c>
      <c r="AC1005" s="2" t="s">
        <v>74</v>
      </c>
      <c r="AD1005" s="2" t="s">
        <v>74</v>
      </c>
      <c r="AE1005" s="2" t="s">
        <v>74</v>
      </c>
      <c r="AF1005" s="2" t="s">
        <v>74</v>
      </c>
      <c r="AG1005" s="2" t="s">
        <v>74</v>
      </c>
      <c r="AH1005" s="2" t="s">
        <v>74</v>
      </c>
      <c r="AI1005" s="2" t="s">
        <v>74</v>
      </c>
      <c r="AJ1005" s="2" t="s">
        <v>74</v>
      </c>
      <c r="AK1005" s="2" t="s">
        <v>74</v>
      </c>
      <c r="AL1005" s="2" t="s">
        <v>74</v>
      </c>
      <c r="AM1005" s="2" t="s">
        <v>74</v>
      </c>
      <c r="AN1005" s="2" t="s">
        <v>74</v>
      </c>
      <c r="AO1005" s="2" t="s">
        <v>547</v>
      </c>
      <c r="AP1005" s="2" t="s">
        <v>74</v>
      </c>
      <c r="AQ1005" s="2" t="s">
        <v>74</v>
      </c>
      <c r="AR1005" s="2" t="s">
        <v>74</v>
      </c>
      <c r="AS1005" s="2" t="s">
        <v>74</v>
      </c>
      <c r="AT1005" s="2" t="s">
        <v>305</v>
      </c>
      <c r="AU1005" s="2">
        <v>1996</v>
      </c>
      <c r="AV1005" s="2">
        <v>235</v>
      </c>
      <c r="AW1005" s="2" t="s">
        <v>548</v>
      </c>
      <c r="AX1005" s="2" t="s">
        <v>74</v>
      </c>
      <c r="AY1005" s="2" t="s">
        <v>74</v>
      </c>
      <c r="AZ1005" s="2" t="s">
        <v>74</v>
      </c>
      <c r="BA1005" s="2" t="s">
        <v>74</v>
      </c>
      <c r="BB1005" s="2">
        <v>77</v>
      </c>
      <c r="BC1005" s="2">
        <v>88</v>
      </c>
      <c r="BD1005" s="2" t="s">
        <v>74</v>
      </c>
      <c r="BE1005" s="2" t="s">
        <v>74</v>
      </c>
      <c r="BF1005" s="2" t="s">
        <v>74</v>
      </c>
      <c r="BG1005" s="2" t="s">
        <v>74</v>
      </c>
      <c r="BH1005" s="2" t="s">
        <v>74</v>
      </c>
      <c r="BI1005" s="2" t="s">
        <v>74</v>
      </c>
      <c r="BJ1005" s="2" t="s">
        <v>74</v>
      </c>
      <c r="BK1005" s="2" t="s">
        <v>74</v>
      </c>
      <c r="BL1005" s="2" t="s">
        <v>74</v>
      </c>
      <c r="BM1005" s="2" t="s">
        <v>74</v>
      </c>
      <c r="BN1005" s="2" t="s">
        <v>74</v>
      </c>
      <c r="BO1005" s="2" t="s">
        <v>74</v>
      </c>
      <c r="BP1005" s="2" t="s">
        <v>74</v>
      </c>
      <c r="BQ1005" s="2" t="s">
        <v>74</v>
      </c>
      <c r="BR1005" s="2" t="s">
        <v>74</v>
      </c>
      <c r="BS1005" s="2" t="s">
        <v>549</v>
      </c>
      <c r="BT1005" s="2" t="str">
        <f>HYPERLINK("https%3A%2F%2Fwww.webofscience.com%2Fwos%2Fwoscc%2Ffull-record%2FWOS:A1996WG04900005","View Full Record in Web of Science")</f>
        <v>View Full Record in Web of Science</v>
      </c>
    </row>
    <row r="1006" spans="1:72" s="2" customFormat="1" x14ac:dyDescent="0.4">
      <c r="A1006" s="2" t="s">
        <v>72</v>
      </c>
      <c r="B1006" s="2" t="s">
        <v>4747</v>
      </c>
      <c r="C1006" s="2" t="s">
        <v>74</v>
      </c>
      <c r="D1006" s="2" t="s">
        <v>74</v>
      </c>
      <c r="E1006" s="2" t="s">
        <v>74</v>
      </c>
      <c r="F1006" s="2" t="s">
        <v>4748</v>
      </c>
      <c r="G1006" s="2" t="s">
        <v>74</v>
      </c>
      <c r="H1006" s="2" t="s">
        <v>74</v>
      </c>
      <c r="I1006" s="2" t="s">
        <v>4749</v>
      </c>
      <c r="J1006" s="2" t="s">
        <v>1044</v>
      </c>
      <c r="K1006" s="2" t="s">
        <v>74</v>
      </c>
      <c r="L1006" s="2" t="s">
        <v>74</v>
      </c>
      <c r="M1006" s="2" t="s">
        <v>74</v>
      </c>
      <c r="N1006" s="2" t="s">
        <v>74</v>
      </c>
      <c r="O1006" s="2" t="s">
        <v>74</v>
      </c>
      <c r="P1006" s="2" t="s">
        <v>74</v>
      </c>
      <c r="Q1006" s="2" t="s">
        <v>74</v>
      </c>
      <c r="R1006" s="2" t="s">
        <v>74</v>
      </c>
      <c r="S1006" s="2" t="s">
        <v>74</v>
      </c>
      <c r="T1006" s="2" t="s">
        <v>74</v>
      </c>
      <c r="U1006" s="2" t="s">
        <v>74</v>
      </c>
      <c r="V1006" s="5" t="s">
        <v>4750</v>
      </c>
      <c r="W1006" s="2" t="s">
        <v>74</v>
      </c>
      <c r="X1006" s="2" t="s">
        <v>74</v>
      </c>
      <c r="Y1006" s="2" t="s">
        <v>74</v>
      </c>
      <c r="Z1006" s="2" t="s">
        <v>74</v>
      </c>
      <c r="AA1006" s="2" t="s">
        <v>4751</v>
      </c>
      <c r="AB1006" s="2" t="s">
        <v>4752</v>
      </c>
      <c r="AC1006" s="2" t="s">
        <v>74</v>
      </c>
      <c r="AD1006" s="2" t="s">
        <v>74</v>
      </c>
      <c r="AE1006" s="2" t="s">
        <v>74</v>
      </c>
      <c r="AF1006" s="2" t="s">
        <v>74</v>
      </c>
      <c r="AG1006" s="2" t="s">
        <v>74</v>
      </c>
      <c r="AH1006" s="2" t="s">
        <v>74</v>
      </c>
      <c r="AI1006" s="2" t="s">
        <v>74</v>
      </c>
      <c r="AJ1006" s="2" t="s">
        <v>74</v>
      </c>
      <c r="AK1006" s="2" t="s">
        <v>74</v>
      </c>
      <c r="AL1006" s="2" t="s">
        <v>74</v>
      </c>
      <c r="AM1006" s="2" t="s">
        <v>74</v>
      </c>
      <c r="AN1006" s="2" t="s">
        <v>74</v>
      </c>
      <c r="AO1006" s="2" t="s">
        <v>1048</v>
      </c>
      <c r="AP1006" s="2" t="s">
        <v>1049</v>
      </c>
      <c r="AQ1006" s="2" t="s">
        <v>74</v>
      </c>
      <c r="AR1006" s="2" t="s">
        <v>74</v>
      </c>
      <c r="AS1006" s="2" t="s">
        <v>74</v>
      </c>
      <c r="AT1006" s="2" t="s">
        <v>633</v>
      </c>
      <c r="AU1006" s="2">
        <v>2023</v>
      </c>
      <c r="AV1006" s="2">
        <v>32</v>
      </c>
      <c r="AW1006" s="2">
        <v>7</v>
      </c>
      <c r="AX1006" s="2" t="s">
        <v>74</v>
      </c>
      <c r="AY1006" s="2" t="s">
        <v>74</v>
      </c>
      <c r="AZ1006" s="2" t="s">
        <v>74</v>
      </c>
      <c r="BA1006" s="2" t="s">
        <v>74</v>
      </c>
      <c r="BB1006" s="2">
        <v>1656</v>
      </c>
      <c r="BC1006" s="2">
        <v>1672</v>
      </c>
      <c r="BD1006" s="2" t="s">
        <v>74</v>
      </c>
      <c r="BE1006" s="2" t="s">
        <v>4753</v>
      </c>
      <c r="BF1006" s="2" t="str">
        <f>HYPERLINK("http://dx.doi.org/10.1111/mec.16831","http://dx.doi.org/10.1111/mec.16831")</f>
        <v>http://dx.doi.org/10.1111/mec.16831</v>
      </c>
      <c r="BG1006" s="2" t="s">
        <v>74</v>
      </c>
      <c r="BH1006" s="2" t="s">
        <v>3048</v>
      </c>
      <c r="BI1006" s="2" t="s">
        <v>74</v>
      </c>
      <c r="BJ1006" s="2" t="s">
        <v>74</v>
      </c>
      <c r="BK1006" s="2" t="s">
        <v>74</v>
      </c>
      <c r="BL1006" s="2" t="s">
        <v>74</v>
      </c>
      <c r="BM1006" s="2" t="s">
        <v>74</v>
      </c>
      <c r="BN1006" s="2">
        <v>36560895</v>
      </c>
      <c r="BO1006" s="2" t="s">
        <v>74</v>
      </c>
      <c r="BP1006" s="2" t="s">
        <v>74</v>
      </c>
      <c r="BQ1006" s="2" t="s">
        <v>74</v>
      </c>
      <c r="BR1006" s="2" t="s">
        <v>74</v>
      </c>
      <c r="BS1006" s="2" t="s">
        <v>4754</v>
      </c>
      <c r="BT1006" s="2" t="str">
        <f>HYPERLINK("https%3A%2F%2Fwww.webofscience.com%2Fwos%2Fwoscc%2Ffull-record%2FWOS:000913280100001","View Full Record in Web of Science")</f>
        <v>View Full Record in Web of Science</v>
      </c>
    </row>
    <row r="1007" spans="1:72" s="2" customFormat="1" x14ac:dyDescent="0.4">
      <c r="A1007" s="2" t="s">
        <v>72</v>
      </c>
      <c r="B1007" s="2" t="s">
        <v>6616</v>
      </c>
      <c r="C1007" s="2" t="s">
        <v>74</v>
      </c>
      <c r="D1007" s="2" t="s">
        <v>74</v>
      </c>
      <c r="E1007" s="2" t="s">
        <v>74</v>
      </c>
      <c r="F1007" s="2" t="s">
        <v>6617</v>
      </c>
      <c r="G1007" s="2" t="s">
        <v>74</v>
      </c>
      <c r="H1007" s="2" t="s">
        <v>74</v>
      </c>
      <c r="I1007" s="2" t="s">
        <v>6618</v>
      </c>
      <c r="J1007" s="2" t="s">
        <v>5474</v>
      </c>
      <c r="K1007" s="2" t="s">
        <v>74</v>
      </c>
      <c r="L1007" s="2" t="s">
        <v>74</v>
      </c>
      <c r="M1007" s="2" t="s">
        <v>74</v>
      </c>
      <c r="N1007" s="2" t="s">
        <v>74</v>
      </c>
      <c r="O1007" s="2" t="s">
        <v>74</v>
      </c>
      <c r="P1007" s="2" t="s">
        <v>74</v>
      </c>
      <c r="Q1007" s="2" t="s">
        <v>74</v>
      </c>
      <c r="R1007" s="2" t="s">
        <v>74</v>
      </c>
      <c r="S1007" s="2" t="s">
        <v>74</v>
      </c>
      <c r="T1007" s="2" t="s">
        <v>74</v>
      </c>
      <c r="U1007" s="2" t="s">
        <v>74</v>
      </c>
      <c r="V1007" s="5" t="s">
        <v>6619</v>
      </c>
      <c r="W1007" s="2" t="s">
        <v>74</v>
      </c>
      <c r="X1007" s="2" t="s">
        <v>74</v>
      </c>
      <c r="Y1007" s="2" t="s">
        <v>74</v>
      </c>
      <c r="Z1007" s="2" t="s">
        <v>74</v>
      </c>
      <c r="AA1007" s="2" t="s">
        <v>6620</v>
      </c>
      <c r="AB1007" s="2" t="s">
        <v>6621</v>
      </c>
      <c r="AC1007" s="2" t="s">
        <v>74</v>
      </c>
      <c r="AD1007" s="2" t="s">
        <v>74</v>
      </c>
      <c r="AE1007" s="2" t="s">
        <v>74</v>
      </c>
      <c r="AF1007" s="2" t="s">
        <v>74</v>
      </c>
      <c r="AG1007" s="2" t="s">
        <v>74</v>
      </c>
      <c r="AH1007" s="2" t="s">
        <v>74</v>
      </c>
      <c r="AI1007" s="2" t="s">
        <v>74</v>
      </c>
      <c r="AJ1007" s="2" t="s">
        <v>74</v>
      </c>
      <c r="AK1007" s="2" t="s">
        <v>74</v>
      </c>
      <c r="AL1007" s="2" t="s">
        <v>74</v>
      </c>
      <c r="AM1007" s="2" t="s">
        <v>74</v>
      </c>
      <c r="AN1007" s="2" t="s">
        <v>74</v>
      </c>
      <c r="AO1007" s="2" t="s">
        <v>5478</v>
      </c>
      <c r="AP1007" s="2" t="s">
        <v>74</v>
      </c>
      <c r="AQ1007" s="2" t="s">
        <v>74</v>
      </c>
      <c r="AR1007" s="2" t="s">
        <v>74</v>
      </c>
      <c r="AS1007" s="2" t="s">
        <v>74</v>
      </c>
      <c r="AT1007" s="2" t="s">
        <v>6622</v>
      </c>
      <c r="AU1007" s="2">
        <v>2013</v>
      </c>
      <c r="AV1007" s="2">
        <v>68</v>
      </c>
      <c r="AW1007" s="2" t="s">
        <v>74</v>
      </c>
      <c r="AX1007" s="2" t="s">
        <v>74</v>
      </c>
      <c r="AY1007" s="2" t="s">
        <v>74</v>
      </c>
      <c r="AZ1007" s="2" t="s">
        <v>74</v>
      </c>
      <c r="BA1007" s="2" t="s">
        <v>74</v>
      </c>
      <c r="BB1007" s="2">
        <v>1</v>
      </c>
      <c r="BC1007" s="2">
        <v>26</v>
      </c>
      <c r="BD1007" s="2" t="s">
        <v>74</v>
      </c>
      <c r="BE1007" s="2" t="s">
        <v>6623</v>
      </c>
      <c r="BF1007" s="2" t="str">
        <f>HYPERLINK("http://dx.doi.org/10.5852/ejt.2013.68","http://dx.doi.org/10.5852/ejt.2013.68")</f>
        <v>http://dx.doi.org/10.5852/ejt.2013.68</v>
      </c>
      <c r="BG1007" s="2" t="s">
        <v>74</v>
      </c>
      <c r="BH1007" s="2" t="s">
        <v>74</v>
      </c>
      <c r="BI1007" s="2" t="s">
        <v>74</v>
      </c>
      <c r="BJ1007" s="2" t="s">
        <v>74</v>
      </c>
      <c r="BK1007" s="2" t="s">
        <v>74</v>
      </c>
      <c r="BL1007" s="2" t="s">
        <v>74</v>
      </c>
      <c r="BM1007" s="2" t="s">
        <v>74</v>
      </c>
      <c r="BN1007" s="2" t="s">
        <v>74</v>
      </c>
      <c r="BO1007" s="2" t="s">
        <v>74</v>
      </c>
      <c r="BP1007" s="2" t="s">
        <v>74</v>
      </c>
      <c r="BQ1007" s="2" t="s">
        <v>74</v>
      </c>
      <c r="BR1007" s="2" t="s">
        <v>74</v>
      </c>
      <c r="BS1007" s="2" t="s">
        <v>6624</v>
      </c>
      <c r="BT1007" s="2" t="str">
        <f>HYPERLINK("https%3A%2F%2Fwww.webofscience.com%2Fwos%2Fwoscc%2Ffull-record%2FWOS:000333018600001","View Full Record in Web of Science")</f>
        <v>View Full Record in Web of Science</v>
      </c>
    </row>
    <row r="1008" spans="1:72" s="2" customFormat="1" x14ac:dyDescent="0.4">
      <c r="A1008" s="2" t="s">
        <v>72</v>
      </c>
      <c r="B1008" s="2" t="s">
        <v>5471</v>
      </c>
      <c r="C1008" s="2" t="s">
        <v>74</v>
      </c>
      <c r="D1008" s="2" t="s">
        <v>74</v>
      </c>
      <c r="E1008" s="2" t="s">
        <v>74</v>
      </c>
      <c r="F1008" s="2" t="s">
        <v>5472</v>
      </c>
      <c r="G1008" s="2" t="s">
        <v>74</v>
      </c>
      <c r="H1008" s="2" t="s">
        <v>74</v>
      </c>
      <c r="I1008" s="2" t="s">
        <v>5473</v>
      </c>
      <c r="J1008" s="2" t="s">
        <v>5474</v>
      </c>
      <c r="K1008" s="2" t="s">
        <v>74</v>
      </c>
      <c r="L1008" s="2" t="s">
        <v>74</v>
      </c>
      <c r="M1008" s="2" t="s">
        <v>74</v>
      </c>
      <c r="N1008" s="2" t="s">
        <v>74</v>
      </c>
      <c r="O1008" s="2" t="s">
        <v>74</v>
      </c>
      <c r="P1008" s="2" t="s">
        <v>74</v>
      </c>
      <c r="Q1008" s="2" t="s">
        <v>74</v>
      </c>
      <c r="R1008" s="2" t="s">
        <v>74</v>
      </c>
      <c r="S1008" s="2" t="s">
        <v>74</v>
      </c>
      <c r="T1008" s="2" t="s">
        <v>74</v>
      </c>
      <c r="U1008" s="2" t="s">
        <v>74</v>
      </c>
      <c r="V1008" s="5" t="s">
        <v>5475</v>
      </c>
      <c r="W1008" s="2" t="s">
        <v>74</v>
      </c>
      <c r="X1008" s="2" t="s">
        <v>74</v>
      </c>
      <c r="Y1008" s="2" t="s">
        <v>74</v>
      </c>
      <c r="Z1008" s="2" t="s">
        <v>74</v>
      </c>
      <c r="AA1008" s="2" t="s">
        <v>5476</v>
      </c>
      <c r="AB1008" s="2" t="s">
        <v>5477</v>
      </c>
      <c r="AC1008" s="2" t="s">
        <v>74</v>
      </c>
      <c r="AD1008" s="2" t="s">
        <v>74</v>
      </c>
      <c r="AE1008" s="2" t="s">
        <v>74</v>
      </c>
      <c r="AF1008" s="2" t="s">
        <v>74</v>
      </c>
      <c r="AG1008" s="2" t="s">
        <v>74</v>
      </c>
      <c r="AH1008" s="2" t="s">
        <v>74</v>
      </c>
      <c r="AI1008" s="2" t="s">
        <v>74</v>
      </c>
      <c r="AJ1008" s="2" t="s">
        <v>74</v>
      </c>
      <c r="AK1008" s="2" t="s">
        <v>74</v>
      </c>
      <c r="AL1008" s="2" t="s">
        <v>74</v>
      </c>
      <c r="AM1008" s="2" t="s">
        <v>74</v>
      </c>
      <c r="AN1008" s="2" t="s">
        <v>74</v>
      </c>
      <c r="AO1008" s="2" t="s">
        <v>5478</v>
      </c>
      <c r="AP1008" s="2" t="s">
        <v>74</v>
      </c>
      <c r="AQ1008" s="2" t="s">
        <v>74</v>
      </c>
      <c r="AR1008" s="2" t="s">
        <v>74</v>
      </c>
      <c r="AS1008" s="2" t="s">
        <v>74</v>
      </c>
      <c r="AT1008" s="2" t="s">
        <v>5479</v>
      </c>
      <c r="AU1008" s="2">
        <v>2020</v>
      </c>
      <c r="AV1008" s="2">
        <v>600</v>
      </c>
      <c r="AW1008" s="2" t="s">
        <v>74</v>
      </c>
      <c r="AX1008" s="2" t="s">
        <v>74</v>
      </c>
      <c r="AY1008" s="2" t="s">
        <v>74</v>
      </c>
      <c r="AZ1008" s="2" t="s">
        <v>74</v>
      </c>
      <c r="BA1008" s="2" t="s">
        <v>74</v>
      </c>
      <c r="BB1008" s="2" t="s">
        <v>74</v>
      </c>
      <c r="BC1008" s="2" t="s">
        <v>74</v>
      </c>
      <c r="BD1008" s="2" t="s">
        <v>74</v>
      </c>
      <c r="BE1008" s="2" t="s">
        <v>5480</v>
      </c>
      <c r="BF1008" s="2" t="str">
        <f>HYPERLINK("http://dx.doi.org/10.5852/ejt.2020.600","http://dx.doi.org/10.5852/ejt.2020.600")</f>
        <v>http://dx.doi.org/10.5852/ejt.2020.600</v>
      </c>
      <c r="BG1008" s="2" t="s">
        <v>74</v>
      </c>
      <c r="BH1008" s="2" t="s">
        <v>74</v>
      </c>
      <c r="BI1008" s="2" t="s">
        <v>74</v>
      </c>
      <c r="BJ1008" s="2" t="s">
        <v>74</v>
      </c>
      <c r="BK1008" s="2" t="s">
        <v>74</v>
      </c>
      <c r="BL1008" s="2" t="s">
        <v>74</v>
      </c>
      <c r="BM1008" s="2" t="s">
        <v>74</v>
      </c>
      <c r="BN1008" s="2" t="s">
        <v>74</v>
      </c>
      <c r="BO1008" s="2" t="s">
        <v>74</v>
      </c>
      <c r="BP1008" s="2" t="s">
        <v>74</v>
      </c>
      <c r="BQ1008" s="2" t="s">
        <v>74</v>
      </c>
      <c r="BR1008" s="2" t="s">
        <v>74</v>
      </c>
      <c r="BS1008" s="2" t="s">
        <v>5481</v>
      </c>
      <c r="BT1008" s="2" t="str">
        <f>HYPERLINK("https%3A%2F%2Fwww.webofscience.com%2Fwos%2Fwoscc%2Ffull-record%2FWOS:000512655700001","View Full Record in Web of Science")</f>
        <v>View Full Record in Web of Science</v>
      </c>
    </row>
    <row r="1009" spans="1:72" s="2" customFormat="1" x14ac:dyDescent="0.4">
      <c r="A1009" s="2" t="s">
        <v>72</v>
      </c>
      <c r="B1009" s="2" t="s">
        <v>3329</v>
      </c>
      <c r="C1009" s="2" t="s">
        <v>74</v>
      </c>
      <c r="D1009" s="2" t="s">
        <v>74</v>
      </c>
      <c r="E1009" s="2" t="s">
        <v>74</v>
      </c>
      <c r="F1009" s="2" t="s">
        <v>3330</v>
      </c>
      <c r="G1009" s="2" t="s">
        <v>74</v>
      </c>
      <c r="H1009" s="2" t="s">
        <v>74</v>
      </c>
      <c r="I1009" s="2" t="s">
        <v>3331</v>
      </c>
      <c r="J1009" s="2" t="s">
        <v>3332</v>
      </c>
      <c r="K1009" s="2" t="s">
        <v>74</v>
      </c>
      <c r="L1009" s="2" t="s">
        <v>74</v>
      </c>
      <c r="M1009" s="2" t="s">
        <v>74</v>
      </c>
      <c r="N1009" s="2" t="s">
        <v>74</v>
      </c>
      <c r="O1009" s="2" t="s">
        <v>74</v>
      </c>
      <c r="P1009" s="2" t="s">
        <v>74</v>
      </c>
      <c r="Q1009" s="2" t="s">
        <v>74</v>
      </c>
      <c r="R1009" s="2" t="s">
        <v>74</v>
      </c>
      <c r="S1009" s="2" t="s">
        <v>74</v>
      </c>
      <c r="T1009" s="2" t="s">
        <v>74</v>
      </c>
      <c r="U1009" s="2" t="s">
        <v>74</v>
      </c>
      <c r="V1009" s="5" t="s">
        <v>3333</v>
      </c>
      <c r="W1009" s="2" t="s">
        <v>74</v>
      </c>
      <c r="X1009" s="2" t="s">
        <v>74</v>
      </c>
      <c r="Y1009" s="2" t="s">
        <v>74</v>
      </c>
      <c r="Z1009" s="2" t="s">
        <v>74</v>
      </c>
      <c r="AA1009" s="2" t="s">
        <v>3334</v>
      </c>
      <c r="AB1009" s="2" t="s">
        <v>3335</v>
      </c>
      <c r="AC1009" s="2" t="s">
        <v>74</v>
      </c>
      <c r="AD1009" s="2" t="s">
        <v>74</v>
      </c>
      <c r="AE1009" s="2" t="s">
        <v>74</v>
      </c>
      <c r="AF1009" s="2" t="s">
        <v>74</v>
      </c>
      <c r="AG1009" s="2" t="s">
        <v>74</v>
      </c>
      <c r="AH1009" s="2" t="s">
        <v>74</v>
      </c>
      <c r="AI1009" s="2" t="s">
        <v>74</v>
      </c>
      <c r="AJ1009" s="2" t="s">
        <v>74</v>
      </c>
      <c r="AK1009" s="2" t="s">
        <v>74</v>
      </c>
      <c r="AL1009" s="2" t="s">
        <v>74</v>
      </c>
      <c r="AM1009" s="2" t="s">
        <v>74</v>
      </c>
      <c r="AN1009" s="2" t="s">
        <v>74</v>
      </c>
      <c r="AO1009" s="2" t="s">
        <v>3336</v>
      </c>
      <c r="AP1009" s="2" t="s">
        <v>3337</v>
      </c>
      <c r="AQ1009" s="2" t="s">
        <v>74</v>
      </c>
      <c r="AR1009" s="2" t="s">
        <v>74</v>
      </c>
      <c r="AS1009" s="2" t="s">
        <v>74</v>
      </c>
      <c r="AT1009" s="2" t="s">
        <v>3338</v>
      </c>
      <c r="AU1009" s="2">
        <v>2010</v>
      </c>
      <c r="AV1009" s="2">
        <v>45</v>
      </c>
      <c r="AW1009" s="2">
        <v>1</v>
      </c>
      <c r="AX1009" s="2" t="s">
        <v>74</v>
      </c>
      <c r="AY1009" s="2" t="s">
        <v>74</v>
      </c>
      <c r="AZ1009" s="2" t="s">
        <v>74</v>
      </c>
      <c r="BA1009" s="2" t="s">
        <v>74</v>
      </c>
      <c r="BB1009" s="2">
        <v>98</v>
      </c>
      <c r="BC1009" s="2">
        <v>104</v>
      </c>
      <c r="BD1009" s="2" t="s">
        <v>74</v>
      </c>
      <c r="BE1009" s="2" t="s">
        <v>3339</v>
      </c>
      <c r="BF1009" s="2" t="str">
        <f>HYPERLINK("http://dx.doi.org/10.3161/000164510X516137","http://dx.doi.org/10.3161/000164510X516137")</f>
        <v>http://dx.doi.org/10.3161/000164510X516137</v>
      </c>
      <c r="BG1009" s="2" t="s">
        <v>74</v>
      </c>
      <c r="BH1009" s="2" t="s">
        <v>74</v>
      </c>
      <c r="BI1009" s="2" t="s">
        <v>74</v>
      </c>
      <c r="BJ1009" s="2" t="s">
        <v>74</v>
      </c>
      <c r="BK1009" s="2" t="s">
        <v>74</v>
      </c>
      <c r="BL1009" s="2" t="s">
        <v>74</v>
      </c>
      <c r="BM1009" s="2" t="s">
        <v>74</v>
      </c>
      <c r="BN1009" s="2" t="s">
        <v>74</v>
      </c>
      <c r="BO1009" s="2" t="s">
        <v>74</v>
      </c>
      <c r="BP1009" s="2" t="s">
        <v>74</v>
      </c>
      <c r="BQ1009" s="2" t="s">
        <v>74</v>
      </c>
      <c r="BR1009" s="2" t="s">
        <v>74</v>
      </c>
      <c r="BS1009" s="2" t="s">
        <v>3340</v>
      </c>
      <c r="BT1009" s="2" t="str">
        <f>HYPERLINK("https%3A%2F%2Fwww.webofscience.com%2Fwos%2Fwoscc%2Ffull-record%2FWOS:000280387600011","View Full Record in Web of Science")</f>
        <v>View Full Record in Web of Science</v>
      </c>
    </row>
    <row r="1010" spans="1:72" s="2" customFormat="1" x14ac:dyDescent="0.4">
      <c r="A1010" s="2" t="s">
        <v>72</v>
      </c>
      <c r="B1010" s="2" t="s">
        <v>1593</v>
      </c>
      <c r="C1010" s="2" t="s">
        <v>74</v>
      </c>
      <c r="D1010" s="2" t="s">
        <v>74</v>
      </c>
      <c r="E1010" s="2" t="s">
        <v>74</v>
      </c>
      <c r="F1010" s="2" t="s">
        <v>1593</v>
      </c>
      <c r="G1010" s="2" t="s">
        <v>74</v>
      </c>
      <c r="H1010" s="2" t="s">
        <v>74</v>
      </c>
      <c r="I1010" s="2" t="s">
        <v>1594</v>
      </c>
      <c r="J1010" s="2" t="s">
        <v>77</v>
      </c>
      <c r="K1010" s="2" t="s">
        <v>74</v>
      </c>
      <c r="L1010" s="2" t="s">
        <v>74</v>
      </c>
      <c r="M1010" s="2" t="s">
        <v>74</v>
      </c>
      <c r="N1010" s="2" t="s">
        <v>74</v>
      </c>
      <c r="O1010" s="2" t="s">
        <v>74</v>
      </c>
      <c r="P1010" s="2" t="s">
        <v>74</v>
      </c>
      <c r="Q1010" s="2" t="s">
        <v>74</v>
      </c>
      <c r="R1010" s="2" t="s">
        <v>74</v>
      </c>
      <c r="S1010" s="2" t="s">
        <v>74</v>
      </c>
      <c r="T1010" s="2" t="s">
        <v>74</v>
      </c>
      <c r="U1010" s="2" t="s">
        <v>74</v>
      </c>
      <c r="V1010" s="5" t="s">
        <v>1595</v>
      </c>
      <c r="W1010" s="2" t="s">
        <v>74</v>
      </c>
      <c r="X1010" s="2" t="s">
        <v>74</v>
      </c>
      <c r="Y1010" s="2" t="s">
        <v>74</v>
      </c>
      <c r="Z1010" s="2" t="s">
        <v>74</v>
      </c>
      <c r="AA1010" s="2" t="s">
        <v>1596</v>
      </c>
      <c r="AB1010" s="2" t="s">
        <v>262</v>
      </c>
      <c r="AC1010" s="2" t="s">
        <v>74</v>
      </c>
      <c r="AD1010" s="2" t="s">
        <v>74</v>
      </c>
      <c r="AE1010" s="2" t="s">
        <v>74</v>
      </c>
      <c r="AF1010" s="2" t="s">
        <v>74</v>
      </c>
      <c r="AG1010" s="2" t="s">
        <v>74</v>
      </c>
      <c r="AH1010" s="2" t="s">
        <v>74</v>
      </c>
      <c r="AI1010" s="2" t="s">
        <v>74</v>
      </c>
      <c r="AJ1010" s="2" t="s">
        <v>74</v>
      </c>
      <c r="AK1010" s="2" t="s">
        <v>74</v>
      </c>
      <c r="AL1010" s="2" t="s">
        <v>74</v>
      </c>
      <c r="AM1010" s="2" t="s">
        <v>74</v>
      </c>
      <c r="AN1010" s="2" t="s">
        <v>74</v>
      </c>
      <c r="AO1010" s="2" t="s">
        <v>81</v>
      </c>
      <c r="AP1010" s="2" t="s">
        <v>82</v>
      </c>
      <c r="AQ1010" s="2" t="s">
        <v>74</v>
      </c>
      <c r="AR1010" s="2" t="s">
        <v>74</v>
      </c>
      <c r="AS1010" s="2" t="s">
        <v>74</v>
      </c>
      <c r="AT1010" s="2" t="s">
        <v>123</v>
      </c>
      <c r="AU1010" s="2">
        <v>2005</v>
      </c>
      <c r="AV1010" s="2">
        <v>142</v>
      </c>
      <c r="AW1010" s="2" t="s">
        <v>74</v>
      </c>
      <c r="AX1010" s="2">
        <v>3</v>
      </c>
      <c r="AY1010" s="2" t="s">
        <v>74</v>
      </c>
      <c r="AZ1010" s="2" t="s">
        <v>74</v>
      </c>
      <c r="BA1010" s="2" t="s">
        <v>74</v>
      </c>
      <c r="BB1010" s="2">
        <v>329</v>
      </c>
      <c r="BC1010" s="2">
        <v>350</v>
      </c>
      <c r="BD1010" s="2" t="s">
        <v>74</v>
      </c>
      <c r="BE1010" s="2" t="s">
        <v>1597</v>
      </c>
      <c r="BF1010" s="2" t="str">
        <f>HYPERLINK("http://dx.doi.org/10.1163/1568539053778265","http://dx.doi.org/10.1163/1568539053778265")</f>
        <v>http://dx.doi.org/10.1163/1568539053778265</v>
      </c>
      <c r="BG1010" s="2" t="s">
        <v>74</v>
      </c>
      <c r="BH1010" s="2" t="s">
        <v>74</v>
      </c>
      <c r="BI1010" s="2" t="s">
        <v>74</v>
      </c>
      <c r="BJ1010" s="2" t="s">
        <v>74</v>
      </c>
      <c r="BK1010" s="2" t="s">
        <v>74</v>
      </c>
      <c r="BL1010" s="2" t="s">
        <v>74</v>
      </c>
      <c r="BM1010" s="2" t="s">
        <v>74</v>
      </c>
      <c r="BN1010" s="2" t="s">
        <v>74</v>
      </c>
      <c r="BO1010" s="2" t="s">
        <v>74</v>
      </c>
      <c r="BP1010" s="2" t="s">
        <v>74</v>
      </c>
      <c r="BQ1010" s="2" t="s">
        <v>74</v>
      </c>
      <c r="BR1010" s="2" t="s">
        <v>74</v>
      </c>
      <c r="BS1010" s="2" t="s">
        <v>1598</v>
      </c>
      <c r="BT1010" s="2" t="str">
        <f>HYPERLINK("https%3A%2F%2Fwww.webofscience.com%2Fwos%2Fwoscc%2Ffull-record%2FWOS:000230357500004","View Full Record in Web of Science")</f>
        <v>View Full Record in Web of Science</v>
      </c>
    </row>
    <row r="1011" spans="1:72" s="2" customFormat="1" x14ac:dyDescent="0.4">
      <c r="A1011" s="2" t="s">
        <v>72</v>
      </c>
      <c r="B1011" s="2" t="s">
        <v>3125</v>
      </c>
      <c r="C1011" s="2" t="s">
        <v>74</v>
      </c>
      <c r="D1011" s="2" t="s">
        <v>74</v>
      </c>
      <c r="E1011" s="2" t="s">
        <v>74</v>
      </c>
      <c r="F1011" s="2" t="s">
        <v>3126</v>
      </c>
      <c r="G1011" s="2" t="s">
        <v>74</v>
      </c>
      <c r="H1011" s="2" t="s">
        <v>74</v>
      </c>
      <c r="I1011" s="2" t="s">
        <v>3127</v>
      </c>
      <c r="J1011" s="2" t="s">
        <v>3128</v>
      </c>
      <c r="K1011" s="2" t="s">
        <v>74</v>
      </c>
      <c r="L1011" s="2" t="s">
        <v>74</v>
      </c>
      <c r="M1011" s="2" t="s">
        <v>74</v>
      </c>
      <c r="N1011" s="2" t="s">
        <v>74</v>
      </c>
      <c r="O1011" s="2" t="s">
        <v>74</v>
      </c>
      <c r="P1011" s="2" t="s">
        <v>74</v>
      </c>
      <c r="Q1011" s="2" t="s">
        <v>74</v>
      </c>
      <c r="R1011" s="2" t="s">
        <v>74</v>
      </c>
      <c r="S1011" s="2" t="s">
        <v>74</v>
      </c>
      <c r="T1011" s="2" t="s">
        <v>74</v>
      </c>
      <c r="U1011" s="2" t="s">
        <v>74</v>
      </c>
      <c r="V1011" s="5" t="s">
        <v>3129</v>
      </c>
      <c r="W1011" s="2" t="s">
        <v>74</v>
      </c>
      <c r="X1011" s="2" t="s">
        <v>74</v>
      </c>
      <c r="Y1011" s="2" t="s">
        <v>74</v>
      </c>
      <c r="Z1011" s="2" t="s">
        <v>74</v>
      </c>
      <c r="AA1011" s="2" t="s">
        <v>74</v>
      </c>
      <c r="AB1011" s="2" t="s">
        <v>74</v>
      </c>
      <c r="AC1011" s="2" t="s">
        <v>74</v>
      </c>
      <c r="AD1011" s="2" t="s">
        <v>74</v>
      </c>
      <c r="AE1011" s="2" t="s">
        <v>74</v>
      </c>
      <c r="AF1011" s="2" t="s">
        <v>74</v>
      </c>
      <c r="AG1011" s="2" t="s">
        <v>74</v>
      </c>
      <c r="AH1011" s="2" t="s">
        <v>74</v>
      </c>
      <c r="AI1011" s="2" t="s">
        <v>74</v>
      </c>
      <c r="AJ1011" s="2" t="s">
        <v>74</v>
      </c>
      <c r="AK1011" s="2" t="s">
        <v>74</v>
      </c>
      <c r="AL1011" s="2" t="s">
        <v>74</v>
      </c>
      <c r="AM1011" s="2" t="s">
        <v>74</v>
      </c>
      <c r="AN1011" s="2" t="s">
        <v>74</v>
      </c>
      <c r="AO1011" s="2" t="s">
        <v>3130</v>
      </c>
      <c r="AP1011" s="2" t="s">
        <v>3131</v>
      </c>
      <c r="AQ1011" s="2" t="s">
        <v>74</v>
      </c>
      <c r="AR1011" s="2" t="s">
        <v>74</v>
      </c>
      <c r="AS1011" s="2" t="s">
        <v>74</v>
      </c>
      <c r="AT1011" s="2" t="s">
        <v>74</v>
      </c>
      <c r="AU1011" s="2">
        <v>2016</v>
      </c>
      <c r="AV1011" s="2">
        <v>37</v>
      </c>
      <c r="AW1011" s="2">
        <v>3</v>
      </c>
      <c r="AX1011" s="2" t="s">
        <v>74</v>
      </c>
      <c r="AY1011" s="2" t="s">
        <v>74</v>
      </c>
      <c r="AZ1011" s="2" t="s">
        <v>74</v>
      </c>
      <c r="BA1011" s="2" t="s">
        <v>74</v>
      </c>
      <c r="BB1011" s="2">
        <v>283</v>
      </c>
      <c r="BC1011" s="2">
        <v>290</v>
      </c>
      <c r="BD1011" s="2" t="s">
        <v>74</v>
      </c>
      <c r="BE1011" s="2" t="s">
        <v>3132</v>
      </c>
      <c r="BF1011" s="2" t="str">
        <f>HYPERLINK("http://dx.doi.org/10.1163/15685381-00003055","http://dx.doi.org/10.1163/15685381-00003055")</f>
        <v>http://dx.doi.org/10.1163/15685381-00003055</v>
      </c>
      <c r="BG1011" s="2" t="s">
        <v>74</v>
      </c>
      <c r="BH1011" s="2" t="s">
        <v>74</v>
      </c>
      <c r="BI1011" s="2" t="s">
        <v>74</v>
      </c>
      <c r="BJ1011" s="2" t="s">
        <v>74</v>
      </c>
      <c r="BK1011" s="2" t="s">
        <v>74</v>
      </c>
      <c r="BL1011" s="2" t="s">
        <v>74</v>
      </c>
      <c r="BM1011" s="2" t="s">
        <v>74</v>
      </c>
      <c r="BN1011" s="2" t="s">
        <v>74</v>
      </c>
      <c r="BO1011" s="2" t="s">
        <v>74</v>
      </c>
      <c r="BP1011" s="2" t="s">
        <v>74</v>
      </c>
      <c r="BQ1011" s="2" t="s">
        <v>74</v>
      </c>
      <c r="BR1011" s="2" t="s">
        <v>74</v>
      </c>
      <c r="BS1011" s="2" t="s">
        <v>3133</v>
      </c>
      <c r="BT1011" s="2" t="str">
        <f>HYPERLINK("https%3A%2F%2Fwww.webofscience.com%2Fwos%2Fwoscc%2Ffull-record%2FWOS:000384414500004","View Full Record in Web of Science")</f>
        <v>View Full Record in Web of Science</v>
      </c>
    </row>
    <row r="1012" spans="1:72" s="2" customFormat="1" x14ac:dyDescent="0.4">
      <c r="A1012" s="2" t="s">
        <v>72</v>
      </c>
      <c r="B1012" s="2" t="s">
        <v>6537</v>
      </c>
      <c r="C1012" s="2" t="s">
        <v>74</v>
      </c>
      <c r="D1012" s="2" t="s">
        <v>74</v>
      </c>
      <c r="E1012" s="2" t="s">
        <v>74</v>
      </c>
      <c r="F1012" s="2" t="s">
        <v>6537</v>
      </c>
      <c r="G1012" s="2" t="s">
        <v>74</v>
      </c>
      <c r="H1012" s="2" t="s">
        <v>74</v>
      </c>
      <c r="I1012" s="2" t="s">
        <v>6538</v>
      </c>
      <c r="J1012" s="2" t="s">
        <v>129</v>
      </c>
      <c r="K1012" s="2" t="s">
        <v>74</v>
      </c>
      <c r="L1012" s="2" t="s">
        <v>74</v>
      </c>
      <c r="M1012" s="2" t="s">
        <v>74</v>
      </c>
      <c r="N1012" s="2" t="s">
        <v>74</v>
      </c>
      <c r="O1012" s="2" t="s">
        <v>74</v>
      </c>
      <c r="P1012" s="2" t="s">
        <v>74</v>
      </c>
      <c r="Q1012" s="2" t="s">
        <v>74</v>
      </c>
      <c r="R1012" s="2" t="s">
        <v>74</v>
      </c>
      <c r="S1012" s="2" t="s">
        <v>74</v>
      </c>
      <c r="T1012" s="2" t="s">
        <v>74</v>
      </c>
      <c r="U1012" s="2" t="s">
        <v>74</v>
      </c>
      <c r="V1012" s="5" t="s">
        <v>6539</v>
      </c>
      <c r="W1012" s="2" t="s">
        <v>74</v>
      </c>
      <c r="X1012" s="2" t="s">
        <v>74</v>
      </c>
      <c r="Y1012" s="2" t="s">
        <v>74</v>
      </c>
      <c r="Z1012" s="2" t="s">
        <v>74</v>
      </c>
      <c r="AA1012" s="2" t="s">
        <v>74</v>
      </c>
      <c r="AB1012" s="2" t="s">
        <v>74</v>
      </c>
      <c r="AC1012" s="2" t="s">
        <v>74</v>
      </c>
      <c r="AD1012" s="2" t="s">
        <v>74</v>
      </c>
      <c r="AE1012" s="2" t="s">
        <v>74</v>
      </c>
      <c r="AF1012" s="2" t="s">
        <v>74</v>
      </c>
      <c r="AG1012" s="2" t="s">
        <v>74</v>
      </c>
      <c r="AH1012" s="2" t="s">
        <v>74</v>
      </c>
      <c r="AI1012" s="2" t="s">
        <v>74</v>
      </c>
      <c r="AJ1012" s="2" t="s">
        <v>74</v>
      </c>
      <c r="AK1012" s="2" t="s">
        <v>74</v>
      </c>
      <c r="AL1012" s="2" t="s">
        <v>74</v>
      </c>
      <c r="AM1012" s="2" t="s">
        <v>74</v>
      </c>
      <c r="AN1012" s="2" t="s">
        <v>74</v>
      </c>
      <c r="AO1012" s="2" t="s">
        <v>132</v>
      </c>
      <c r="AP1012" s="2" t="s">
        <v>74</v>
      </c>
      <c r="AQ1012" s="2" t="s">
        <v>74</v>
      </c>
      <c r="AR1012" s="2" t="s">
        <v>74</v>
      </c>
      <c r="AS1012" s="2" t="s">
        <v>74</v>
      </c>
      <c r="AT1012" s="2" t="s">
        <v>204</v>
      </c>
      <c r="AU1012" s="2">
        <v>1992</v>
      </c>
      <c r="AV1012" s="2">
        <v>31</v>
      </c>
      <c r="AW1012" s="2">
        <v>1</v>
      </c>
      <c r="AX1012" s="2" t="s">
        <v>74</v>
      </c>
      <c r="AY1012" s="2" t="s">
        <v>74</v>
      </c>
      <c r="AZ1012" s="2" t="s">
        <v>74</v>
      </c>
      <c r="BA1012" s="2" t="s">
        <v>74</v>
      </c>
      <c r="BB1012" s="2">
        <v>27</v>
      </c>
      <c r="BC1012" s="2">
        <v>33</v>
      </c>
      <c r="BD1012" s="2" t="s">
        <v>74</v>
      </c>
      <c r="BE1012" s="2" t="s">
        <v>6540</v>
      </c>
      <c r="BF1012" s="2" t="str">
        <f>HYPERLINK("http://dx.doi.org/10.1007/BF00167813","http://dx.doi.org/10.1007/BF00167813")</f>
        <v>http://dx.doi.org/10.1007/BF00167813</v>
      </c>
      <c r="BG1012" s="2" t="s">
        <v>74</v>
      </c>
      <c r="BH1012" s="2" t="s">
        <v>74</v>
      </c>
      <c r="BI1012" s="2" t="s">
        <v>74</v>
      </c>
      <c r="BJ1012" s="2" t="s">
        <v>74</v>
      </c>
      <c r="BK1012" s="2" t="s">
        <v>74</v>
      </c>
      <c r="BL1012" s="2" t="s">
        <v>74</v>
      </c>
      <c r="BM1012" s="2" t="s">
        <v>74</v>
      </c>
      <c r="BN1012" s="2" t="s">
        <v>74</v>
      </c>
      <c r="BO1012" s="2" t="s">
        <v>74</v>
      </c>
      <c r="BP1012" s="2" t="s">
        <v>74</v>
      </c>
      <c r="BQ1012" s="2" t="s">
        <v>74</v>
      </c>
      <c r="BR1012" s="2" t="s">
        <v>74</v>
      </c>
      <c r="BS1012" s="2" t="s">
        <v>6541</v>
      </c>
      <c r="BT1012" s="2" t="str">
        <f>HYPERLINK("https%3A%2F%2Fwww.webofscience.com%2Fwos%2Fwoscc%2Ffull-record%2FWOS:A1992JE29600004","View Full Record in Web of Science")</f>
        <v>View Full Record in Web of Science</v>
      </c>
    </row>
    <row r="1013" spans="1:72" s="2" customFormat="1" x14ac:dyDescent="0.4">
      <c r="A1013" s="2" t="s">
        <v>72</v>
      </c>
      <c r="B1013" s="2" t="s">
        <v>7212</v>
      </c>
      <c r="C1013" s="2" t="s">
        <v>74</v>
      </c>
      <c r="D1013" s="2" t="s">
        <v>74</v>
      </c>
      <c r="E1013" s="2" t="s">
        <v>74</v>
      </c>
      <c r="F1013" s="2" t="s">
        <v>7213</v>
      </c>
      <c r="G1013" s="2" t="s">
        <v>74</v>
      </c>
      <c r="H1013" s="2" t="s">
        <v>74</v>
      </c>
      <c r="I1013" s="2" t="s">
        <v>7214</v>
      </c>
      <c r="J1013" s="2" t="s">
        <v>333</v>
      </c>
      <c r="K1013" s="2" t="s">
        <v>74</v>
      </c>
      <c r="L1013" s="2" t="s">
        <v>74</v>
      </c>
      <c r="M1013" s="2" t="s">
        <v>74</v>
      </c>
      <c r="N1013" s="2" t="s">
        <v>74</v>
      </c>
      <c r="O1013" s="2" t="s">
        <v>74</v>
      </c>
      <c r="P1013" s="2" t="s">
        <v>74</v>
      </c>
      <c r="Q1013" s="2" t="s">
        <v>74</v>
      </c>
      <c r="R1013" s="2" t="s">
        <v>74</v>
      </c>
      <c r="S1013" s="2" t="s">
        <v>74</v>
      </c>
      <c r="T1013" s="2" t="s">
        <v>74</v>
      </c>
      <c r="U1013" s="2" t="s">
        <v>74</v>
      </c>
      <c r="V1013" s="5" t="s">
        <v>7215</v>
      </c>
      <c r="W1013" s="2" t="s">
        <v>74</v>
      </c>
      <c r="X1013" s="2" t="s">
        <v>74</v>
      </c>
      <c r="Y1013" s="2" t="s">
        <v>74</v>
      </c>
      <c r="Z1013" s="2" t="s">
        <v>74</v>
      </c>
      <c r="AA1013" s="2" t="s">
        <v>7216</v>
      </c>
      <c r="AB1013" s="2" t="s">
        <v>7217</v>
      </c>
      <c r="AC1013" s="2" t="s">
        <v>74</v>
      </c>
      <c r="AD1013" s="2" t="s">
        <v>74</v>
      </c>
      <c r="AE1013" s="2" t="s">
        <v>74</v>
      </c>
      <c r="AF1013" s="2" t="s">
        <v>74</v>
      </c>
      <c r="AG1013" s="2" t="s">
        <v>74</v>
      </c>
      <c r="AH1013" s="2" t="s">
        <v>74</v>
      </c>
      <c r="AI1013" s="2" t="s">
        <v>74</v>
      </c>
      <c r="AJ1013" s="2" t="s">
        <v>74</v>
      </c>
      <c r="AK1013" s="2" t="s">
        <v>74</v>
      </c>
      <c r="AL1013" s="2" t="s">
        <v>74</v>
      </c>
      <c r="AM1013" s="2" t="s">
        <v>74</v>
      </c>
      <c r="AN1013" s="2" t="s">
        <v>74</v>
      </c>
      <c r="AO1013" s="2" t="s">
        <v>337</v>
      </c>
      <c r="AP1013" s="2" t="s">
        <v>338</v>
      </c>
      <c r="AQ1013" s="2" t="s">
        <v>74</v>
      </c>
      <c r="AR1013" s="2" t="s">
        <v>74</v>
      </c>
      <c r="AS1013" s="2" t="s">
        <v>74</v>
      </c>
      <c r="AT1013" s="2" t="s">
        <v>1038</v>
      </c>
      <c r="AU1013" s="2">
        <v>2016</v>
      </c>
      <c r="AV1013" s="2">
        <v>27</v>
      </c>
      <c r="AW1013" s="2">
        <v>2</v>
      </c>
      <c r="AX1013" s="2" t="s">
        <v>74</v>
      </c>
      <c r="AY1013" s="2" t="s">
        <v>74</v>
      </c>
      <c r="AZ1013" s="2" t="s">
        <v>74</v>
      </c>
      <c r="BA1013" s="2" t="s">
        <v>74</v>
      </c>
      <c r="BB1013" s="2">
        <v>677</v>
      </c>
      <c r="BC1013" s="2">
        <v>684</v>
      </c>
      <c r="BD1013" s="2" t="s">
        <v>74</v>
      </c>
      <c r="BE1013" s="2" t="s">
        <v>7218</v>
      </c>
      <c r="BF1013" s="2" t="str">
        <f>HYPERLINK("http://dx.doi.org/10.1093/beheco/arv206","http://dx.doi.org/10.1093/beheco/arv206")</f>
        <v>http://dx.doi.org/10.1093/beheco/arv206</v>
      </c>
      <c r="BG1013" s="2" t="s">
        <v>74</v>
      </c>
      <c r="BH1013" s="2" t="s">
        <v>74</v>
      </c>
      <c r="BI1013" s="2" t="s">
        <v>74</v>
      </c>
      <c r="BJ1013" s="2" t="s">
        <v>74</v>
      </c>
      <c r="BK1013" s="2" t="s">
        <v>74</v>
      </c>
      <c r="BL1013" s="2" t="s">
        <v>74</v>
      </c>
      <c r="BM1013" s="2" t="s">
        <v>74</v>
      </c>
      <c r="BN1013" s="2" t="s">
        <v>74</v>
      </c>
      <c r="BO1013" s="2" t="s">
        <v>74</v>
      </c>
      <c r="BP1013" s="2" t="s">
        <v>74</v>
      </c>
      <c r="BQ1013" s="2" t="s">
        <v>74</v>
      </c>
      <c r="BR1013" s="2" t="s">
        <v>74</v>
      </c>
      <c r="BS1013" s="2" t="s">
        <v>7219</v>
      </c>
      <c r="BT1013" s="2" t="str">
        <f>HYPERLINK("https%3A%2F%2Fwww.webofscience.com%2Fwos%2Fwoscc%2Ffull-record%2FWOS:000375398800043","View Full Record in Web of Science")</f>
        <v>View Full Record in Web of Science</v>
      </c>
    </row>
    <row r="1014" spans="1:72" s="2" customFormat="1" x14ac:dyDescent="0.4">
      <c r="A1014" s="2" t="s">
        <v>72</v>
      </c>
      <c r="B1014" s="2" t="s">
        <v>1771</v>
      </c>
      <c r="C1014" s="2" t="s">
        <v>74</v>
      </c>
      <c r="D1014" s="2" t="s">
        <v>74</v>
      </c>
      <c r="E1014" s="2" t="s">
        <v>74</v>
      </c>
      <c r="F1014" s="2" t="s">
        <v>1771</v>
      </c>
      <c r="G1014" s="2" t="s">
        <v>74</v>
      </c>
      <c r="H1014" s="2" t="s">
        <v>74</v>
      </c>
      <c r="I1014" s="2" t="s">
        <v>1772</v>
      </c>
      <c r="J1014" s="2" t="s">
        <v>509</v>
      </c>
      <c r="K1014" s="2" t="s">
        <v>74</v>
      </c>
      <c r="L1014" s="2" t="s">
        <v>74</v>
      </c>
      <c r="M1014" s="2" t="s">
        <v>74</v>
      </c>
      <c r="N1014" s="2" t="s">
        <v>74</v>
      </c>
      <c r="O1014" s="2" t="s">
        <v>74</v>
      </c>
      <c r="P1014" s="2" t="s">
        <v>74</v>
      </c>
      <c r="Q1014" s="2" t="s">
        <v>74</v>
      </c>
      <c r="R1014" s="2" t="s">
        <v>74</v>
      </c>
      <c r="S1014" s="2" t="s">
        <v>74</v>
      </c>
      <c r="T1014" s="2" t="s">
        <v>74</v>
      </c>
      <c r="U1014" s="2" t="s">
        <v>74</v>
      </c>
      <c r="V1014" s="5" t="s">
        <v>1773</v>
      </c>
      <c r="W1014" s="2" t="s">
        <v>74</v>
      </c>
      <c r="X1014" s="2" t="s">
        <v>74</v>
      </c>
      <c r="Y1014" s="2" t="s">
        <v>74</v>
      </c>
      <c r="Z1014" s="2" t="s">
        <v>74</v>
      </c>
      <c r="AA1014" s="2" t="s">
        <v>74</v>
      </c>
      <c r="AB1014" s="2" t="s">
        <v>1774</v>
      </c>
      <c r="AC1014" s="2" t="s">
        <v>74</v>
      </c>
      <c r="AD1014" s="2" t="s">
        <v>74</v>
      </c>
      <c r="AE1014" s="2" t="s">
        <v>74</v>
      </c>
      <c r="AF1014" s="2" t="s">
        <v>74</v>
      </c>
      <c r="AG1014" s="2" t="s">
        <v>74</v>
      </c>
      <c r="AH1014" s="2" t="s">
        <v>74</v>
      </c>
      <c r="AI1014" s="2" t="s">
        <v>74</v>
      </c>
      <c r="AJ1014" s="2" t="s">
        <v>74</v>
      </c>
      <c r="AK1014" s="2" t="s">
        <v>74</v>
      </c>
      <c r="AL1014" s="2" t="s">
        <v>74</v>
      </c>
      <c r="AM1014" s="2" t="s">
        <v>74</v>
      </c>
      <c r="AN1014" s="2" t="s">
        <v>74</v>
      </c>
      <c r="AO1014" s="2" t="s">
        <v>511</v>
      </c>
      <c r="AP1014" s="2" t="s">
        <v>74</v>
      </c>
      <c r="AQ1014" s="2" t="s">
        <v>74</v>
      </c>
      <c r="AR1014" s="2" t="s">
        <v>74</v>
      </c>
      <c r="AS1014" s="2" t="s">
        <v>74</v>
      </c>
      <c r="AT1014" s="2" t="s">
        <v>123</v>
      </c>
      <c r="AU1014" s="2">
        <v>1994</v>
      </c>
      <c r="AV1014" s="2">
        <v>28</v>
      </c>
      <c r="AW1014" s="2">
        <v>1</v>
      </c>
      <c r="AX1014" s="2" t="s">
        <v>74</v>
      </c>
      <c r="AY1014" s="2" t="s">
        <v>74</v>
      </c>
      <c r="AZ1014" s="2" t="s">
        <v>74</v>
      </c>
      <c r="BA1014" s="2" t="s">
        <v>74</v>
      </c>
      <c r="BB1014" s="2">
        <v>29</v>
      </c>
      <c r="BC1014" s="2">
        <v>40</v>
      </c>
      <c r="BD1014" s="2" t="s">
        <v>74</v>
      </c>
      <c r="BE1014" s="2" t="s">
        <v>1775</v>
      </c>
      <c r="BF1014" s="2" t="str">
        <f>HYPERLINK("http://dx.doi.org/10.1006/hbeh.1994.1003","http://dx.doi.org/10.1006/hbeh.1994.1003")</f>
        <v>http://dx.doi.org/10.1006/hbeh.1994.1003</v>
      </c>
      <c r="BG1014" s="2" t="s">
        <v>74</v>
      </c>
      <c r="BH1014" s="2" t="s">
        <v>74</v>
      </c>
      <c r="BI1014" s="2" t="s">
        <v>74</v>
      </c>
      <c r="BJ1014" s="2" t="s">
        <v>74</v>
      </c>
      <c r="BK1014" s="2" t="s">
        <v>74</v>
      </c>
      <c r="BL1014" s="2" t="s">
        <v>74</v>
      </c>
      <c r="BM1014" s="2" t="s">
        <v>74</v>
      </c>
      <c r="BN1014" s="2">
        <v>8034280</v>
      </c>
      <c r="BO1014" s="2" t="s">
        <v>74</v>
      </c>
      <c r="BP1014" s="2" t="s">
        <v>74</v>
      </c>
      <c r="BQ1014" s="2" t="s">
        <v>74</v>
      </c>
      <c r="BR1014" s="2" t="s">
        <v>74</v>
      </c>
      <c r="BS1014" s="2" t="s">
        <v>1776</v>
      </c>
      <c r="BT1014" s="2" t="str">
        <f>HYPERLINK("https%3A%2F%2Fwww.webofscience.com%2Fwos%2Fwoscc%2Ffull-record%2FWOS:A1994NG07100003","View Full Record in Web of Science")</f>
        <v>View Full Record in Web of Science</v>
      </c>
    </row>
    <row r="1015" spans="1:72" s="2" customFormat="1" x14ac:dyDescent="0.4">
      <c r="A1015" s="2" t="s">
        <v>72</v>
      </c>
      <c r="B1015" s="2" t="s">
        <v>1771</v>
      </c>
      <c r="C1015" s="2" t="s">
        <v>74</v>
      </c>
      <c r="D1015" s="2" t="s">
        <v>74</v>
      </c>
      <c r="E1015" s="2" t="s">
        <v>74</v>
      </c>
      <c r="F1015" s="2" t="s">
        <v>1771</v>
      </c>
      <c r="G1015" s="2" t="s">
        <v>74</v>
      </c>
      <c r="H1015" s="2" t="s">
        <v>74</v>
      </c>
      <c r="I1015" s="2" t="s">
        <v>6183</v>
      </c>
      <c r="J1015" s="2" t="s">
        <v>1574</v>
      </c>
      <c r="K1015" s="2" t="s">
        <v>74</v>
      </c>
      <c r="L1015" s="2" t="s">
        <v>74</v>
      </c>
      <c r="M1015" s="2" t="s">
        <v>74</v>
      </c>
      <c r="N1015" s="2" t="s">
        <v>74</v>
      </c>
      <c r="O1015" s="2" t="s">
        <v>74</v>
      </c>
      <c r="P1015" s="2" t="s">
        <v>74</v>
      </c>
      <c r="Q1015" s="2" t="s">
        <v>74</v>
      </c>
      <c r="R1015" s="2" t="s">
        <v>74</v>
      </c>
      <c r="S1015" s="2" t="s">
        <v>74</v>
      </c>
      <c r="T1015" s="2" t="s">
        <v>74</v>
      </c>
      <c r="U1015" s="2" t="s">
        <v>74</v>
      </c>
      <c r="V1015" s="5" t="s">
        <v>6184</v>
      </c>
      <c r="W1015" s="2" t="s">
        <v>74</v>
      </c>
      <c r="X1015" s="2" t="s">
        <v>74</v>
      </c>
      <c r="Y1015" s="2" t="s">
        <v>74</v>
      </c>
      <c r="Z1015" s="2" t="s">
        <v>74</v>
      </c>
      <c r="AA1015" s="2" t="s">
        <v>74</v>
      </c>
      <c r="AB1015" s="2" t="s">
        <v>1774</v>
      </c>
      <c r="AC1015" s="2" t="s">
        <v>74</v>
      </c>
      <c r="AD1015" s="2" t="s">
        <v>74</v>
      </c>
      <c r="AE1015" s="2" t="s">
        <v>74</v>
      </c>
      <c r="AF1015" s="2" t="s">
        <v>74</v>
      </c>
      <c r="AG1015" s="2" t="s">
        <v>74</v>
      </c>
      <c r="AH1015" s="2" t="s">
        <v>74</v>
      </c>
      <c r="AI1015" s="2" t="s">
        <v>74</v>
      </c>
      <c r="AJ1015" s="2" t="s">
        <v>74</v>
      </c>
      <c r="AK1015" s="2" t="s">
        <v>74</v>
      </c>
      <c r="AL1015" s="2" t="s">
        <v>74</v>
      </c>
      <c r="AM1015" s="2" t="s">
        <v>74</v>
      </c>
      <c r="AN1015" s="2" t="s">
        <v>74</v>
      </c>
      <c r="AO1015" s="2" t="s">
        <v>1576</v>
      </c>
      <c r="AP1015" s="2" t="s">
        <v>74</v>
      </c>
      <c r="AQ1015" s="2" t="s">
        <v>74</v>
      </c>
      <c r="AR1015" s="2" t="s">
        <v>74</v>
      </c>
      <c r="AS1015" s="2" t="s">
        <v>74</v>
      </c>
      <c r="AT1015" s="2" t="s">
        <v>102</v>
      </c>
      <c r="AU1015" s="2">
        <v>1995</v>
      </c>
      <c r="AV1015" s="2">
        <v>45</v>
      </c>
      <c r="AW1015" s="2">
        <v>6</v>
      </c>
      <c r="AX1015" s="2" t="s">
        <v>74</v>
      </c>
      <c r="AY1015" s="2" t="s">
        <v>74</v>
      </c>
      <c r="AZ1015" s="2" t="s">
        <v>74</v>
      </c>
      <c r="BA1015" s="2" t="s">
        <v>74</v>
      </c>
      <c r="BB1015" s="2">
        <v>339</v>
      </c>
      <c r="BC1015" s="2">
        <v>349</v>
      </c>
      <c r="BD1015" s="2" t="s">
        <v>74</v>
      </c>
      <c r="BE1015" s="2" t="s">
        <v>6185</v>
      </c>
      <c r="BF1015" s="2" t="str">
        <f>HYPERLINK("http://dx.doi.org/10.1159/000113561","http://dx.doi.org/10.1159/000113561")</f>
        <v>http://dx.doi.org/10.1159/000113561</v>
      </c>
      <c r="BG1015" s="2" t="s">
        <v>74</v>
      </c>
      <c r="BH1015" s="2" t="s">
        <v>74</v>
      </c>
      <c r="BI1015" s="2" t="s">
        <v>74</v>
      </c>
      <c r="BJ1015" s="2" t="s">
        <v>74</v>
      </c>
      <c r="BK1015" s="2" t="s">
        <v>74</v>
      </c>
      <c r="BL1015" s="2" t="s">
        <v>74</v>
      </c>
      <c r="BM1015" s="2" t="s">
        <v>74</v>
      </c>
      <c r="BN1015" s="2">
        <v>7663963</v>
      </c>
      <c r="BO1015" s="2" t="s">
        <v>74</v>
      </c>
      <c r="BP1015" s="2" t="s">
        <v>74</v>
      </c>
      <c r="BQ1015" s="2" t="s">
        <v>74</v>
      </c>
      <c r="BR1015" s="2" t="s">
        <v>74</v>
      </c>
      <c r="BS1015" s="2" t="s">
        <v>6186</v>
      </c>
      <c r="BT1015" s="2" t="str">
        <f>HYPERLINK("https%3A%2F%2Fwww.webofscience.com%2Fwos%2Fwoscc%2Ffull-record%2FWOS:A1995RE13000004","View Full Record in Web of Science")</f>
        <v>View Full Record in Web of Science</v>
      </c>
    </row>
    <row r="1016" spans="1:72" s="2" customFormat="1" x14ac:dyDescent="0.4">
      <c r="A1016" s="2" t="s">
        <v>72</v>
      </c>
      <c r="B1016" s="2" t="s">
        <v>5303</v>
      </c>
      <c r="C1016" s="2" t="s">
        <v>74</v>
      </c>
      <c r="D1016" s="2" t="s">
        <v>74</v>
      </c>
      <c r="E1016" s="2" t="s">
        <v>74</v>
      </c>
      <c r="F1016" s="2" t="s">
        <v>5303</v>
      </c>
      <c r="G1016" s="2" t="s">
        <v>74</v>
      </c>
      <c r="H1016" s="2" t="s">
        <v>74</v>
      </c>
      <c r="I1016" s="2" t="s">
        <v>5304</v>
      </c>
      <c r="J1016" s="2" t="s">
        <v>129</v>
      </c>
      <c r="K1016" s="2" t="s">
        <v>74</v>
      </c>
      <c r="L1016" s="2" t="s">
        <v>74</v>
      </c>
      <c r="M1016" s="2" t="s">
        <v>74</v>
      </c>
      <c r="N1016" s="2" t="s">
        <v>74</v>
      </c>
      <c r="O1016" s="2" t="s">
        <v>74</v>
      </c>
      <c r="P1016" s="2" t="s">
        <v>74</v>
      </c>
      <c r="Q1016" s="2" t="s">
        <v>74</v>
      </c>
      <c r="R1016" s="2" t="s">
        <v>74</v>
      </c>
      <c r="S1016" s="2" t="s">
        <v>74</v>
      </c>
      <c r="T1016" s="2" t="s">
        <v>74</v>
      </c>
      <c r="U1016" s="2" t="s">
        <v>74</v>
      </c>
      <c r="V1016" s="5" t="s">
        <v>5305</v>
      </c>
      <c r="W1016" s="2" t="s">
        <v>74</v>
      </c>
      <c r="X1016" s="2" t="s">
        <v>74</v>
      </c>
      <c r="Y1016" s="2" t="s">
        <v>74</v>
      </c>
      <c r="Z1016" s="2" t="s">
        <v>74</v>
      </c>
      <c r="AA1016" s="2" t="s">
        <v>74</v>
      </c>
      <c r="AB1016" s="2" t="s">
        <v>74</v>
      </c>
      <c r="AC1016" s="2" t="s">
        <v>74</v>
      </c>
      <c r="AD1016" s="2" t="s">
        <v>74</v>
      </c>
      <c r="AE1016" s="2" t="s">
        <v>74</v>
      </c>
      <c r="AF1016" s="2" t="s">
        <v>74</v>
      </c>
      <c r="AG1016" s="2" t="s">
        <v>74</v>
      </c>
      <c r="AH1016" s="2" t="s">
        <v>74</v>
      </c>
      <c r="AI1016" s="2" t="s">
        <v>74</v>
      </c>
      <c r="AJ1016" s="2" t="s">
        <v>74</v>
      </c>
      <c r="AK1016" s="2" t="s">
        <v>74</v>
      </c>
      <c r="AL1016" s="2" t="s">
        <v>74</v>
      </c>
      <c r="AM1016" s="2" t="s">
        <v>74</v>
      </c>
      <c r="AN1016" s="2" t="s">
        <v>74</v>
      </c>
      <c r="AO1016" s="2" t="s">
        <v>132</v>
      </c>
      <c r="AP1016" s="2" t="s">
        <v>133</v>
      </c>
      <c r="AQ1016" s="2" t="s">
        <v>74</v>
      </c>
      <c r="AR1016" s="2" t="s">
        <v>74</v>
      </c>
      <c r="AS1016" s="2" t="s">
        <v>74</v>
      </c>
      <c r="AT1016" s="2" t="s">
        <v>175</v>
      </c>
      <c r="AU1016" s="2">
        <v>1995</v>
      </c>
      <c r="AV1016" s="2">
        <v>37</v>
      </c>
      <c r="AW1016" s="2">
        <v>4</v>
      </c>
      <c r="AX1016" s="2" t="s">
        <v>74</v>
      </c>
      <c r="AY1016" s="2" t="s">
        <v>74</v>
      </c>
      <c r="AZ1016" s="2" t="s">
        <v>74</v>
      </c>
      <c r="BA1016" s="2" t="s">
        <v>74</v>
      </c>
      <c r="BB1016" s="2">
        <v>275</v>
      </c>
      <c r="BC1016" s="2">
        <v>282</v>
      </c>
      <c r="BD1016" s="2" t="s">
        <v>74</v>
      </c>
      <c r="BE1016" s="2" t="s">
        <v>5306</v>
      </c>
      <c r="BF1016" s="2" t="str">
        <f>HYPERLINK("http://dx.doi.org/10.1007/BF00177407","http://dx.doi.org/10.1007/BF00177407")</f>
        <v>http://dx.doi.org/10.1007/BF00177407</v>
      </c>
      <c r="BG1016" s="2" t="s">
        <v>74</v>
      </c>
      <c r="BH1016" s="2" t="s">
        <v>74</v>
      </c>
      <c r="BI1016" s="2" t="s">
        <v>74</v>
      </c>
      <c r="BJ1016" s="2" t="s">
        <v>74</v>
      </c>
      <c r="BK1016" s="2" t="s">
        <v>74</v>
      </c>
      <c r="BL1016" s="2" t="s">
        <v>74</v>
      </c>
      <c r="BM1016" s="2" t="s">
        <v>74</v>
      </c>
      <c r="BN1016" s="2" t="s">
        <v>74</v>
      </c>
      <c r="BO1016" s="2" t="s">
        <v>74</v>
      </c>
      <c r="BP1016" s="2" t="s">
        <v>74</v>
      </c>
      <c r="BQ1016" s="2" t="s">
        <v>74</v>
      </c>
      <c r="BR1016" s="2" t="s">
        <v>74</v>
      </c>
      <c r="BS1016" s="2" t="s">
        <v>5307</v>
      </c>
      <c r="BT1016" s="2" t="str">
        <f>HYPERLINK("https%3A%2F%2Fwww.webofscience.com%2Fwos%2Fwoscc%2Ffull-record%2FWOS:A1995TC81600008","View Full Record in Web of Science")</f>
        <v>View Full Record in Web of Science</v>
      </c>
    </row>
    <row r="1017" spans="1:72" s="1" customFormat="1" x14ac:dyDescent="0.4">
      <c r="A1017" s="2" t="s">
        <v>72</v>
      </c>
      <c r="B1017" s="2" t="s">
        <v>4061</v>
      </c>
      <c r="C1017" s="2" t="s">
        <v>74</v>
      </c>
      <c r="D1017" s="2" t="s">
        <v>74</v>
      </c>
      <c r="E1017" s="2" t="s">
        <v>74</v>
      </c>
      <c r="F1017" s="2" t="s">
        <v>4062</v>
      </c>
      <c r="G1017" s="2" t="s">
        <v>74</v>
      </c>
      <c r="H1017" s="2" t="s">
        <v>74</v>
      </c>
      <c r="I1017" s="2" t="s">
        <v>4063</v>
      </c>
      <c r="J1017" s="2" t="s">
        <v>4064</v>
      </c>
      <c r="K1017" s="2" t="s">
        <v>74</v>
      </c>
      <c r="L1017" s="2" t="s">
        <v>74</v>
      </c>
      <c r="M1017" s="2" t="s">
        <v>74</v>
      </c>
      <c r="N1017" s="2" t="s">
        <v>74</v>
      </c>
      <c r="O1017" s="2" t="s">
        <v>74</v>
      </c>
      <c r="P1017" s="2" t="s">
        <v>74</v>
      </c>
      <c r="Q1017" s="2" t="s">
        <v>74</v>
      </c>
      <c r="R1017" s="2" t="s">
        <v>74</v>
      </c>
      <c r="S1017" s="2" t="s">
        <v>74</v>
      </c>
      <c r="T1017" s="2" t="s">
        <v>74</v>
      </c>
      <c r="U1017" s="2" t="s">
        <v>74</v>
      </c>
      <c r="V1017" s="5" t="s">
        <v>4065</v>
      </c>
      <c r="W1017" s="2" t="s">
        <v>74</v>
      </c>
      <c r="X1017" s="2" t="s">
        <v>74</v>
      </c>
      <c r="Y1017" s="2" t="s">
        <v>74</v>
      </c>
      <c r="Z1017" s="2" t="s">
        <v>74</v>
      </c>
      <c r="AA1017" s="2" t="s">
        <v>4066</v>
      </c>
      <c r="AB1017" s="2" t="s">
        <v>4067</v>
      </c>
      <c r="AC1017" s="2" t="s">
        <v>74</v>
      </c>
      <c r="AD1017" s="2" t="s">
        <v>74</v>
      </c>
      <c r="AE1017" s="2" t="s">
        <v>74</v>
      </c>
      <c r="AF1017" s="2" t="s">
        <v>74</v>
      </c>
      <c r="AG1017" s="2" t="s">
        <v>74</v>
      </c>
      <c r="AH1017" s="2" t="s">
        <v>74</v>
      </c>
      <c r="AI1017" s="2" t="s">
        <v>74</v>
      </c>
      <c r="AJ1017" s="2" t="s">
        <v>74</v>
      </c>
      <c r="AK1017" s="2" t="s">
        <v>74</v>
      </c>
      <c r="AL1017" s="2" t="s">
        <v>74</v>
      </c>
      <c r="AM1017" s="2" t="s">
        <v>74</v>
      </c>
      <c r="AN1017" s="2" t="s">
        <v>74</v>
      </c>
      <c r="AO1017" s="2" t="s">
        <v>4068</v>
      </c>
      <c r="AP1017" s="2" t="s">
        <v>4069</v>
      </c>
      <c r="AQ1017" s="2" t="s">
        <v>74</v>
      </c>
      <c r="AR1017" s="2" t="s">
        <v>74</v>
      </c>
      <c r="AS1017" s="2" t="s">
        <v>74</v>
      </c>
      <c r="AT1017" s="2" t="s">
        <v>4070</v>
      </c>
      <c r="AU1017" s="2">
        <v>2007</v>
      </c>
      <c r="AV1017" s="2">
        <v>17</v>
      </c>
      <c r="AW1017" s="2">
        <v>22</v>
      </c>
      <c r="AX1017" s="2" t="s">
        <v>74</v>
      </c>
      <c r="AY1017" s="2" t="s">
        <v>74</v>
      </c>
      <c r="AZ1017" s="2" t="s">
        <v>74</v>
      </c>
      <c r="BA1017" s="2" t="s">
        <v>74</v>
      </c>
      <c r="BB1017" s="2">
        <v>1943</v>
      </c>
      <c r="BC1017" s="2">
        <v>1947</v>
      </c>
      <c r="BD1017" s="2" t="s">
        <v>74</v>
      </c>
      <c r="BE1017" s="2" t="s">
        <v>4071</v>
      </c>
      <c r="BF1017" s="2" t="str">
        <f>HYPERLINK("http://dx.doi.org/10.1016/j.cub.2007.09.038","http://dx.doi.org/10.1016/j.cub.2007.09.038")</f>
        <v>http://dx.doi.org/10.1016/j.cub.2007.09.038</v>
      </c>
      <c r="BG1017" s="2" t="s">
        <v>74</v>
      </c>
      <c r="BH1017" s="2" t="s">
        <v>74</v>
      </c>
      <c r="BI1017" s="2" t="s">
        <v>74</v>
      </c>
      <c r="BJ1017" s="2" t="s">
        <v>74</v>
      </c>
      <c r="BK1017" s="2" t="s">
        <v>74</v>
      </c>
      <c r="BL1017" s="2" t="s">
        <v>74</v>
      </c>
      <c r="BM1017" s="2" t="s">
        <v>74</v>
      </c>
      <c r="BN1017" s="2">
        <v>17935996</v>
      </c>
      <c r="BO1017" s="2" t="s">
        <v>74</v>
      </c>
      <c r="BP1017" s="2" t="s">
        <v>74</v>
      </c>
      <c r="BQ1017" s="2" t="s">
        <v>74</v>
      </c>
      <c r="BR1017" s="2" t="s">
        <v>74</v>
      </c>
      <c r="BS1017" s="2" t="s">
        <v>4072</v>
      </c>
      <c r="BT1017" s="2" t="str">
        <f>HYPERLINK("https%3A%2F%2Fwww.webofscience.com%2Fwos%2Fwoscc%2Ffull-record%2FWOS:000251274300027","View Full Record in Web of Science")</f>
        <v>View Full Record in Web of Science</v>
      </c>
    </row>
    <row r="1018" spans="1:72" s="2" customFormat="1" x14ac:dyDescent="0.4">
      <c r="A1018" s="2" t="s">
        <v>72</v>
      </c>
      <c r="B1018" s="2" t="s">
        <v>3997</v>
      </c>
      <c r="C1018" s="2" t="s">
        <v>74</v>
      </c>
      <c r="D1018" s="2" t="s">
        <v>74</v>
      </c>
      <c r="E1018" s="2" t="s">
        <v>74</v>
      </c>
      <c r="F1018" s="2" t="s">
        <v>3998</v>
      </c>
      <c r="G1018" s="2" t="s">
        <v>74</v>
      </c>
      <c r="H1018" s="2" t="s">
        <v>74</v>
      </c>
      <c r="I1018" s="2" t="s">
        <v>3999</v>
      </c>
      <c r="J1018" s="2" t="s">
        <v>1112</v>
      </c>
      <c r="K1018" s="2" t="s">
        <v>74</v>
      </c>
      <c r="L1018" s="2" t="s">
        <v>74</v>
      </c>
      <c r="M1018" s="2" t="s">
        <v>74</v>
      </c>
      <c r="N1018" s="2" t="s">
        <v>74</v>
      </c>
      <c r="O1018" s="2" t="s">
        <v>74</v>
      </c>
      <c r="P1018" s="2" t="s">
        <v>74</v>
      </c>
      <c r="Q1018" s="2" t="s">
        <v>74</v>
      </c>
      <c r="R1018" s="2" t="s">
        <v>74</v>
      </c>
      <c r="S1018" s="2" t="s">
        <v>74</v>
      </c>
      <c r="T1018" s="2" t="s">
        <v>74</v>
      </c>
      <c r="U1018" s="2" t="s">
        <v>74</v>
      </c>
      <c r="V1018" s="5" t="s">
        <v>4000</v>
      </c>
      <c r="W1018" s="2" t="s">
        <v>74</v>
      </c>
      <c r="X1018" s="2" t="s">
        <v>74</v>
      </c>
      <c r="Y1018" s="2" t="s">
        <v>74</v>
      </c>
      <c r="Z1018" s="2" t="s">
        <v>74</v>
      </c>
      <c r="AA1018" s="2" t="s">
        <v>4001</v>
      </c>
      <c r="AB1018" s="2" t="s">
        <v>4002</v>
      </c>
      <c r="AC1018" s="2" t="s">
        <v>74</v>
      </c>
      <c r="AD1018" s="2" t="s">
        <v>74</v>
      </c>
      <c r="AE1018" s="2" t="s">
        <v>74</v>
      </c>
      <c r="AF1018" s="2" t="s">
        <v>74</v>
      </c>
      <c r="AG1018" s="2" t="s">
        <v>74</v>
      </c>
      <c r="AH1018" s="2" t="s">
        <v>74</v>
      </c>
      <c r="AI1018" s="2" t="s">
        <v>74</v>
      </c>
      <c r="AJ1018" s="2" t="s">
        <v>74</v>
      </c>
      <c r="AK1018" s="2" t="s">
        <v>74</v>
      </c>
      <c r="AL1018" s="2" t="s">
        <v>74</v>
      </c>
      <c r="AM1018" s="2" t="s">
        <v>74</v>
      </c>
      <c r="AN1018" s="2" t="s">
        <v>74</v>
      </c>
      <c r="AO1018" s="2" t="s">
        <v>1114</v>
      </c>
      <c r="AP1018" s="2" t="s">
        <v>1115</v>
      </c>
      <c r="AQ1018" s="2" t="s">
        <v>74</v>
      </c>
      <c r="AR1018" s="2" t="s">
        <v>74</v>
      </c>
      <c r="AS1018" s="2" t="s">
        <v>74</v>
      </c>
      <c r="AT1018" s="2" t="s">
        <v>134</v>
      </c>
      <c r="AU1018" s="2">
        <v>2023</v>
      </c>
      <c r="AV1018" s="2">
        <v>262</v>
      </c>
      <c r="AW1018" s="2" t="s">
        <v>74</v>
      </c>
      <c r="AX1018" s="2" t="s">
        <v>74</v>
      </c>
      <c r="AY1018" s="2" t="s">
        <v>74</v>
      </c>
      <c r="AZ1018" s="2" t="s">
        <v>74</v>
      </c>
      <c r="BA1018" s="2" t="s">
        <v>74</v>
      </c>
      <c r="BB1018" s="2" t="s">
        <v>74</v>
      </c>
      <c r="BC1018" s="2" t="s">
        <v>74</v>
      </c>
      <c r="BD1018" s="2">
        <v>105903</v>
      </c>
      <c r="BE1018" s="2" t="s">
        <v>4003</v>
      </c>
      <c r="BF1018" s="2" t="str">
        <f>HYPERLINK("http://dx.doi.org/10.1016/j.applanim.2023.105903","http://dx.doi.org/10.1016/j.applanim.2023.105903")</f>
        <v>http://dx.doi.org/10.1016/j.applanim.2023.105903</v>
      </c>
      <c r="BG1018" s="2" t="s">
        <v>74</v>
      </c>
      <c r="BH1018" s="2" t="s">
        <v>4004</v>
      </c>
      <c r="BI1018" s="2" t="s">
        <v>74</v>
      </c>
      <c r="BJ1018" s="2" t="s">
        <v>74</v>
      </c>
      <c r="BK1018" s="2" t="s">
        <v>74</v>
      </c>
      <c r="BL1018" s="2" t="s">
        <v>74</v>
      </c>
      <c r="BM1018" s="2" t="s">
        <v>74</v>
      </c>
      <c r="BN1018" s="2" t="s">
        <v>74</v>
      </c>
      <c r="BO1018" s="2" t="s">
        <v>74</v>
      </c>
      <c r="BP1018" s="2" t="s">
        <v>74</v>
      </c>
      <c r="BQ1018" s="2" t="s">
        <v>74</v>
      </c>
      <c r="BR1018" s="2" t="s">
        <v>74</v>
      </c>
      <c r="BS1018" s="2" t="s">
        <v>4005</v>
      </c>
      <c r="BT1018" s="2" t="str">
        <f>HYPERLINK("https%3A%2F%2Fwww.webofscience.com%2Fwos%2Fwoscc%2Ffull-record%2FWOS:000964957600001","View Full Record in Web of Science")</f>
        <v>View Full Record in Web of Science</v>
      </c>
    </row>
    <row r="1019" spans="1:72" s="2" customFormat="1" x14ac:dyDescent="0.4">
      <c r="A1019" s="2" t="s">
        <v>72</v>
      </c>
      <c r="B1019" s="2" t="s">
        <v>8092</v>
      </c>
      <c r="C1019" s="2" t="s">
        <v>74</v>
      </c>
      <c r="D1019" s="2" t="s">
        <v>74</v>
      </c>
      <c r="E1019" s="2" t="s">
        <v>74</v>
      </c>
      <c r="F1019" s="2" t="s">
        <v>8093</v>
      </c>
      <c r="G1019" s="2" t="s">
        <v>74</v>
      </c>
      <c r="H1019" s="2" t="s">
        <v>74</v>
      </c>
      <c r="I1019" s="2" t="s">
        <v>8094</v>
      </c>
      <c r="J1019" s="2" t="s">
        <v>3353</v>
      </c>
      <c r="K1019" s="2" t="s">
        <v>74</v>
      </c>
      <c r="L1019" s="2" t="s">
        <v>74</v>
      </c>
      <c r="M1019" s="2" t="s">
        <v>74</v>
      </c>
      <c r="N1019" s="2" t="s">
        <v>74</v>
      </c>
      <c r="O1019" s="2" t="s">
        <v>74</v>
      </c>
      <c r="P1019" s="2" t="s">
        <v>74</v>
      </c>
      <c r="Q1019" s="2" t="s">
        <v>74</v>
      </c>
      <c r="R1019" s="2" t="s">
        <v>74</v>
      </c>
      <c r="S1019" s="2" t="s">
        <v>74</v>
      </c>
      <c r="T1019" s="2" t="s">
        <v>74</v>
      </c>
      <c r="U1019" s="2" t="s">
        <v>74</v>
      </c>
      <c r="V1019" s="5" t="s">
        <v>8095</v>
      </c>
      <c r="W1019" s="2" t="s">
        <v>74</v>
      </c>
      <c r="X1019" s="2" t="s">
        <v>74</v>
      </c>
      <c r="Y1019" s="2" t="s">
        <v>74</v>
      </c>
      <c r="Z1019" s="2" t="s">
        <v>74</v>
      </c>
      <c r="AA1019" s="2" t="s">
        <v>8096</v>
      </c>
      <c r="AB1019" s="2" t="s">
        <v>8097</v>
      </c>
      <c r="AC1019" s="2" t="s">
        <v>74</v>
      </c>
      <c r="AD1019" s="2" t="s">
        <v>74</v>
      </c>
      <c r="AE1019" s="2" t="s">
        <v>74</v>
      </c>
      <c r="AF1019" s="2" t="s">
        <v>74</v>
      </c>
      <c r="AG1019" s="2" t="s">
        <v>74</v>
      </c>
      <c r="AH1019" s="2" t="s">
        <v>74</v>
      </c>
      <c r="AI1019" s="2" t="s">
        <v>74</v>
      </c>
      <c r="AJ1019" s="2" t="s">
        <v>74</v>
      </c>
      <c r="AK1019" s="2" t="s">
        <v>74</v>
      </c>
      <c r="AL1019" s="2" t="s">
        <v>74</v>
      </c>
      <c r="AM1019" s="2" t="s">
        <v>74</v>
      </c>
      <c r="AN1019" s="2" t="s">
        <v>74</v>
      </c>
      <c r="AO1019" s="2" t="s">
        <v>3357</v>
      </c>
      <c r="AP1019" s="2" t="s">
        <v>3358</v>
      </c>
      <c r="AQ1019" s="2" t="s">
        <v>74</v>
      </c>
      <c r="AR1019" s="2" t="s">
        <v>74</v>
      </c>
      <c r="AS1019" s="2" t="s">
        <v>74</v>
      </c>
      <c r="AT1019" s="2" t="s">
        <v>134</v>
      </c>
      <c r="AU1019" s="2">
        <v>2024</v>
      </c>
      <c r="AV1019" s="2">
        <v>49</v>
      </c>
      <c r="AW1019" s="2">
        <v>5</v>
      </c>
      <c r="AX1019" s="2" t="s">
        <v>74</v>
      </c>
      <c r="AY1019" s="2" t="s">
        <v>74</v>
      </c>
      <c r="AZ1019" s="2" t="s">
        <v>74</v>
      </c>
      <c r="BA1019" s="2" t="s">
        <v>74</v>
      </c>
      <c r="BB1019" s="2" t="s">
        <v>74</v>
      </c>
      <c r="BC1019" s="2" t="s">
        <v>74</v>
      </c>
      <c r="BD1019" s="2" t="s">
        <v>8098</v>
      </c>
      <c r="BE1019" s="2" t="s">
        <v>8099</v>
      </c>
      <c r="BF1019" s="2" t="str">
        <f>HYPERLINK("http://dx.doi.org/10.1111/aec.13523","http://dx.doi.org/10.1111/aec.13523")</f>
        <v>http://dx.doi.org/10.1111/aec.13523</v>
      </c>
      <c r="BG1019" s="2" t="s">
        <v>74</v>
      </c>
      <c r="BH1019" s="2" t="s">
        <v>74</v>
      </c>
      <c r="BI1019" s="2" t="s">
        <v>74</v>
      </c>
      <c r="BJ1019" s="2" t="s">
        <v>74</v>
      </c>
      <c r="BK1019" s="2" t="s">
        <v>74</v>
      </c>
      <c r="BL1019" s="2" t="s">
        <v>74</v>
      </c>
      <c r="BM1019" s="2" t="s">
        <v>74</v>
      </c>
      <c r="BN1019" s="2" t="s">
        <v>74</v>
      </c>
      <c r="BO1019" s="2" t="s">
        <v>74</v>
      </c>
      <c r="BP1019" s="2" t="s">
        <v>74</v>
      </c>
      <c r="BQ1019" s="2" t="s">
        <v>74</v>
      </c>
      <c r="BR1019" s="2" t="s">
        <v>74</v>
      </c>
      <c r="BS1019" s="2" t="s">
        <v>8100</v>
      </c>
      <c r="BT1019" s="2" t="str">
        <f>HYPERLINK("https%3A%2F%2Fwww.webofscience.com%2Fwos%2Fwoscc%2Ffull-record%2FWOS:001223578900001","View Full Record in Web of Science")</f>
        <v>View Full Record in Web of Science</v>
      </c>
    </row>
    <row r="1020" spans="1:72" s="2" customFormat="1" x14ac:dyDescent="0.4">
      <c r="A1020" s="2" t="s">
        <v>72</v>
      </c>
      <c r="B1020" s="2" t="s">
        <v>3341</v>
      </c>
      <c r="C1020" s="2" t="s">
        <v>74</v>
      </c>
      <c r="D1020" s="2" t="s">
        <v>74</v>
      </c>
      <c r="E1020" s="2" t="s">
        <v>74</v>
      </c>
      <c r="F1020" s="2" t="s">
        <v>3342</v>
      </c>
      <c r="G1020" s="2" t="s">
        <v>74</v>
      </c>
      <c r="H1020" s="2" t="s">
        <v>74</v>
      </c>
      <c r="I1020" s="2" t="s">
        <v>3343</v>
      </c>
      <c r="J1020" s="2" t="s">
        <v>1437</v>
      </c>
      <c r="K1020" s="2" t="s">
        <v>74</v>
      </c>
      <c r="L1020" s="2" t="s">
        <v>74</v>
      </c>
      <c r="M1020" s="2" t="s">
        <v>74</v>
      </c>
      <c r="N1020" s="2" t="s">
        <v>74</v>
      </c>
      <c r="O1020" s="2" t="s">
        <v>74</v>
      </c>
      <c r="P1020" s="2" t="s">
        <v>74</v>
      </c>
      <c r="Q1020" s="2" t="s">
        <v>74</v>
      </c>
      <c r="R1020" s="2" t="s">
        <v>74</v>
      </c>
      <c r="S1020" s="2" t="s">
        <v>74</v>
      </c>
      <c r="T1020" s="2" t="s">
        <v>74</v>
      </c>
      <c r="U1020" s="2" t="s">
        <v>74</v>
      </c>
      <c r="V1020" s="5" t="s">
        <v>3344</v>
      </c>
      <c r="W1020" s="2" t="s">
        <v>74</v>
      </c>
      <c r="X1020" s="2" t="s">
        <v>74</v>
      </c>
      <c r="Y1020" s="2" t="s">
        <v>74</v>
      </c>
      <c r="Z1020" s="2" t="s">
        <v>74</v>
      </c>
      <c r="AA1020" s="2" t="s">
        <v>3345</v>
      </c>
      <c r="AB1020" s="2" t="s">
        <v>3346</v>
      </c>
      <c r="AC1020" s="2" t="s">
        <v>74</v>
      </c>
      <c r="AD1020" s="2" t="s">
        <v>74</v>
      </c>
      <c r="AE1020" s="2" t="s">
        <v>74</v>
      </c>
      <c r="AF1020" s="2" t="s">
        <v>74</v>
      </c>
      <c r="AG1020" s="2" t="s">
        <v>74</v>
      </c>
      <c r="AH1020" s="2" t="s">
        <v>74</v>
      </c>
      <c r="AI1020" s="2" t="s">
        <v>74</v>
      </c>
      <c r="AJ1020" s="2" t="s">
        <v>74</v>
      </c>
      <c r="AK1020" s="2" t="s">
        <v>74</v>
      </c>
      <c r="AL1020" s="2" t="s">
        <v>74</v>
      </c>
      <c r="AM1020" s="2" t="s">
        <v>74</v>
      </c>
      <c r="AN1020" s="2" t="s">
        <v>74</v>
      </c>
      <c r="AO1020" s="2" t="s">
        <v>1440</v>
      </c>
      <c r="AP1020" s="2" t="s">
        <v>3347</v>
      </c>
      <c r="AQ1020" s="2" t="s">
        <v>74</v>
      </c>
      <c r="AR1020" s="2" t="s">
        <v>74</v>
      </c>
      <c r="AS1020" s="2" t="s">
        <v>74</v>
      </c>
      <c r="AT1020" s="2" t="s">
        <v>255</v>
      </c>
      <c r="AU1020" s="2">
        <v>2019</v>
      </c>
      <c r="AV1020" s="2">
        <v>122</v>
      </c>
      <c r="AW1020" s="2">
        <v>1</v>
      </c>
      <c r="AX1020" s="2" t="s">
        <v>74</v>
      </c>
      <c r="AY1020" s="2" t="s">
        <v>74</v>
      </c>
      <c r="AZ1020" s="2" t="s">
        <v>74</v>
      </c>
      <c r="BA1020" s="2" t="s">
        <v>74</v>
      </c>
      <c r="BB1020" s="2">
        <v>81</v>
      </c>
      <c r="BC1020" s="2">
        <v>92</v>
      </c>
      <c r="BD1020" s="2" t="s">
        <v>74</v>
      </c>
      <c r="BE1020" s="2" t="s">
        <v>3348</v>
      </c>
      <c r="BF1020" s="2" t="str">
        <f>HYPERLINK("http://dx.doi.org/10.1038/s41437-018-0076-z","http://dx.doi.org/10.1038/s41437-018-0076-z")</f>
        <v>http://dx.doi.org/10.1038/s41437-018-0076-z</v>
      </c>
      <c r="BG1020" s="2" t="s">
        <v>74</v>
      </c>
      <c r="BH1020" s="2" t="s">
        <v>74</v>
      </c>
      <c r="BI1020" s="2" t="s">
        <v>74</v>
      </c>
      <c r="BJ1020" s="2" t="s">
        <v>74</v>
      </c>
      <c r="BK1020" s="2" t="s">
        <v>74</v>
      </c>
      <c r="BL1020" s="2" t="s">
        <v>74</v>
      </c>
      <c r="BM1020" s="2" t="s">
        <v>74</v>
      </c>
      <c r="BN1020" s="2">
        <v>29713090</v>
      </c>
      <c r="BO1020" s="2" t="s">
        <v>74</v>
      </c>
      <c r="BP1020" s="2" t="s">
        <v>74</v>
      </c>
      <c r="BQ1020" s="2" t="s">
        <v>74</v>
      </c>
      <c r="BR1020" s="2" t="s">
        <v>74</v>
      </c>
      <c r="BS1020" s="2" t="s">
        <v>3349</v>
      </c>
      <c r="BT1020" s="2" t="str">
        <f>HYPERLINK("https%3A%2F%2Fwww.webofscience.com%2Fwos%2Fwoscc%2Ffull-record%2FWOS:000452620900007","View Full Record in Web of Science")</f>
        <v>View Full Record in Web of Science</v>
      </c>
    </row>
    <row r="1021" spans="1:72" s="2" customFormat="1" x14ac:dyDescent="0.4">
      <c r="A1021" s="2" t="s">
        <v>72</v>
      </c>
      <c r="B1021" s="2" t="s">
        <v>3538</v>
      </c>
      <c r="C1021" s="2" t="s">
        <v>74</v>
      </c>
      <c r="D1021" s="2" t="s">
        <v>74</v>
      </c>
      <c r="E1021" s="2" t="s">
        <v>74</v>
      </c>
      <c r="F1021" s="2" t="s">
        <v>3539</v>
      </c>
      <c r="G1021" s="2" t="s">
        <v>74</v>
      </c>
      <c r="H1021" s="2" t="s">
        <v>74</v>
      </c>
      <c r="I1021" s="2" t="s">
        <v>3540</v>
      </c>
      <c r="J1021" s="2" t="s">
        <v>2042</v>
      </c>
      <c r="K1021" s="2" t="s">
        <v>74</v>
      </c>
      <c r="L1021" s="2" t="s">
        <v>74</v>
      </c>
      <c r="M1021" s="2" t="s">
        <v>74</v>
      </c>
      <c r="N1021" s="2" t="s">
        <v>74</v>
      </c>
      <c r="O1021" s="2" t="s">
        <v>74</v>
      </c>
      <c r="P1021" s="2" t="s">
        <v>74</v>
      </c>
      <c r="Q1021" s="2" t="s">
        <v>74</v>
      </c>
      <c r="R1021" s="2" t="s">
        <v>74</v>
      </c>
      <c r="S1021" s="2" t="s">
        <v>74</v>
      </c>
      <c r="T1021" s="2" t="s">
        <v>74</v>
      </c>
      <c r="U1021" s="2" t="s">
        <v>74</v>
      </c>
      <c r="V1021" s="5" t="s">
        <v>3541</v>
      </c>
      <c r="W1021" s="2" t="s">
        <v>74</v>
      </c>
      <c r="X1021" s="2" t="s">
        <v>74</v>
      </c>
      <c r="Y1021" s="2" t="s">
        <v>74</v>
      </c>
      <c r="Z1021" s="2" t="s">
        <v>74</v>
      </c>
      <c r="AA1021" s="2" t="s">
        <v>74</v>
      </c>
      <c r="AB1021" s="2" t="s">
        <v>74</v>
      </c>
      <c r="AC1021" s="2" t="s">
        <v>74</v>
      </c>
      <c r="AD1021" s="2" t="s">
        <v>74</v>
      </c>
      <c r="AE1021" s="2" t="s">
        <v>74</v>
      </c>
      <c r="AF1021" s="2" t="s">
        <v>74</v>
      </c>
      <c r="AG1021" s="2" t="s">
        <v>74</v>
      </c>
      <c r="AH1021" s="2" t="s">
        <v>74</v>
      </c>
      <c r="AI1021" s="2" t="s">
        <v>74</v>
      </c>
      <c r="AJ1021" s="2" t="s">
        <v>74</v>
      </c>
      <c r="AK1021" s="2" t="s">
        <v>74</v>
      </c>
      <c r="AL1021" s="2" t="s">
        <v>74</v>
      </c>
      <c r="AM1021" s="2" t="s">
        <v>74</v>
      </c>
      <c r="AN1021" s="2" t="s">
        <v>74</v>
      </c>
      <c r="AO1021" s="2" t="s">
        <v>2045</v>
      </c>
      <c r="AP1021" s="2" t="s">
        <v>2046</v>
      </c>
      <c r="AQ1021" s="2" t="s">
        <v>74</v>
      </c>
      <c r="AR1021" s="2" t="s">
        <v>74</v>
      </c>
      <c r="AS1021" s="2" t="s">
        <v>74</v>
      </c>
      <c r="AT1021" s="2" t="s">
        <v>964</v>
      </c>
      <c r="AU1021" s="2">
        <v>2007</v>
      </c>
      <c r="AV1021" s="2">
        <v>54</v>
      </c>
      <c r="AW1021" s="2">
        <v>1</v>
      </c>
      <c r="AX1021" s="2" t="s">
        <v>74</v>
      </c>
      <c r="AY1021" s="2" t="s">
        <v>74</v>
      </c>
      <c r="AZ1021" s="2" t="s">
        <v>74</v>
      </c>
      <c r="BA1021" s="2" t="s">
        <v>74</v>
      </c>
      <c r="BB1021" s="2">
        <v>55</v>
      </c>
      <c r="BC1021" s="2">
        <v>60</v>
      </c>
      <c r="BD1021" s="2" t="s">
        <v>74</v>
      </c>
      <c r="BE1021" s="2" t="s">
        <v>3542</v>
      </c>
      <c r="BF1021" s="2" t="str">
        <f>HYPERLINK("http://dx.doi.org/10.1007/s10228-006-0374-y","http://dx.doi.org/10.1007/s10228-006-0374-y")</f>
        <v>http://dx.doi.org/10.1007/s10228-006-0374-y</v>
      </c>
      <c r="BG1021" s="2" t="s">
        <v>74</v>
      </c>
      <c r="BH1021" s="2" t="s">
        <v>74</v>
      </c>
      <c r="BI1021" s="2" t="s">
        <v>74</v>
      </c>
      <c r="BJ1021" s="2" t="s">
        <v>74</v>
      </c>
      <c r="BK1021" s="2" t="s">
        <v>74</v>
      </c>
      <c r="BL1021" s="2" t="s">
        <v>74</v>
      </c>
      <c r="BM1021" s="2" t="s">
        <v>74</v>
      </c>
      <c r="BN1021" s="2" t="s">
        <v>74</v>
      </c>
      <c r="BO1021" s="2" t="s">
        <v>74</v>
      </c>
      <c r="BP1021" s="2" t="s">
        <v>74</v>
      </c>
      <c r="BQ1021" s="2" t="s">
        <v>74</v>
      </c>
      <c r="BR1021" s="2" t="s">
        <v>74</v>
      </c>
      <c r="BS1021" s="2" t="s">
        <v>3543</v>
      </c>
      <c r="BT1021" s="2" t="str">
        <f>HYPERLINK("https%3A%2F%2Fwww.webofscience.com%2Fwos%2Fwoscc%2Ffull-record%2FWOS:000244724300008","View Full Record in Web of Science")</f>
        <v>View Full Record in Web of Science</v>
      </c>
    </row>
    <row r="1022" spans="1:72" s="2" customFormat="1" x14ac:dyDescent="0.4">
      <c r="A1022" s="2" t="s">
        <v>72</v>
      </c>
      <c r="B1022" s="2" t="s">
        <v>6210</v>
      </c>
      <c r="C1022" s="2" t="s">
        <v>74</v>
      </c>
      <c r="D1022" s="2" t="s">
        <v>74</v>
      </c>
      <c r="E1022" s="2" t="s">
        <v>74</v>
      </c>
      <c r="F1022" s="2" t="s">
        <v>6211</v>
      </c>
      <c r="G1022" s="2" t="s">
        <v>74</v>
      </c>
      <c r="H1022" s="2" t="s">
        <v>74</v>
      </c>
      <c r="I1022" s="2" t="s">
        <v>6212</v>
      </c>
      <c r="J1022" s="2" t="s">
        <v>5357</v>
      </c>
      <c r="K1022" s="2" t="s">
        <v>74</v>
      </c>
      <c r="L1022" s="2" t="s">
        <v>74</v>
      </c>
      <c r="M1022" s="2" t="s">
        <v>74</v>
      </c>
      <c r="N1022" s="2" t="s">
        <v>74</v>
      </c>
      <c r="O1022" s="2" t="s">
        <v>74</v>
      </c>
      <c r="P1022" s="2" t="s">
        <v>74</v>
      </c>
      <c r="Q1022" s="2" t="s">
        <v>74</v>
      </c>
      <c r="R1022" s="2" t="s">
        <v>74</v>
      </c>
      <c r="S1022" s="2" t="s">
        <v>74</v>
      </c>
      <c r="T1022" s="2" t="s">
        <v>74</v>
      </c>
      <c r="U1022" s="2" t="s">
        <v>74</v>
      </c>
      <c r="V1022" s="5" t="s">
        <v>6213</v>
      </c>
      <c r="W1022" s="2" t="s">
        <v>74</v>
      </c>
      <c r="X1022" s="2" t="s">
        <v>74</v>
      </c>
      <c r="Y1022" s="2" t="s">
        <v>74</v>
      </c>
      <c r="Z1022" s="2" t="s">
        <v>74</v>
      </c>
      <c r="AA1022" s="2" t="s">
        <v>74</v>
      </c>
      <c r="AB1022" s="2" t="s">
        <v>6214</v>
      </c>
      <c r="AC1022" s="2" t="s">
        <v>74</v>
      </c>
      <c r="AD1022" s="2" t="s">
        <v>74</v>
      </c>
      <c r="AE1022" s="2" t="s">
        <v>74</v>
      </c>
      <c r="AF1022" s="2" t="s">
        <v>74</v>
      </c>
      <c r="AG1022" s="2" t="s">
        <v>74</v>
      </c>
      <c r="AH1022" s="2" t="s">
        <v>74</v>
      </c>
      <c r="AI1022" s="2" t="s">
        <v>74</v>
      </c>
      <c r="AJ1022" s="2" t="s">
        <v>74</v>
      </c>
      <c r="AK1022" s="2" t="s">
        <v>74</v>
      </c>
      <c r="AL1022" s="2" t="s">
        <v>74</v>
      </c>
      <c r="AM1022" s="2" t="s">
        <v>74</v>
      </c>
      <c r="AN1022" s="2" t="s">
        <v>74</v>
      </c>
      <c r="AO1022" s="2" t="s">
        <v>5359</v>
      </c>
      <c r="AP1022" s="2" t="s">
        <v>5360</v>
      </c>
      <c r="AQ1022" s="2" t="s">
        <v>74</v>
      </c>
      <c r="AR1022" s="2" t="s">
        <v>74</v>
      </c>
      <c r="AS1022" s="2" t="s">
        <v>74</v>
      </c>
      <c r="AT1022" s="2" t="s">
        <v>964</v>
      </c>
      <c r="AU1022" s="2">
        <v>2013</v>
      </c>
      <c r="AV1022" s="2">
        <v>31</v>
      </c>
      <c r="AW1022" s="2">
        <v>1</v>
      </c>
      <c r="AX1022" s="2" t="s">
        <v>74</v>
      </c>
      <c r="AY1022" s="2" t="s">
        <v>74</v>
      </c>
      <c r="AZ1022" s="2" t="s">
        <v>74</v>
      </c>
      <c r="BA1022" s="2" t="s">
        <v>74</v>
      </c>
      <c r="BB1022" s="2">
        <v>25</v>
      </c>
      <c r="BC1022" s="2">
        <v>37</v>
      </c>
      <c r="BD1022" s="2" t="s">
        <v>74</v>
      </c>
      <c r="BE1022" s="2" t="s">
        <v>6215</v>
      </c>
      <c r="BF1022" s="2" t="str">
        <f>HYPERLINK("http://dx.doi.org/10.4003/006.031.0114","http://dx.doi.org/10.4003/006.031.0114")</f>
        <v>http://dx.doi.org/10.4003/006.031.0114</v>
      </c>
      <c r="BG1022" s="2" t="s">
        <v>74</v>
      </c>
      <c r="BH1022" s="2" t="s">
        <v>74</v>
      </c>
      <c r="BI1022" s="2" t="s">
        <v>74</v>
      </c>
      <c r="BJ1022" s="2" t="s">
        <v>74</v>
      </c>
      <c r="BK1022" s="2" t="s">
        <v>74</v>
      </c>
      <c r="BL1022" s="2" t="s">
        <v>74</v>
      </c>
      <c r="BM1022" s="2" t="s">
        <v>74</v>
      </c>
      <c r="BN1022" s="2" t="s">
        <v>74</v>
      </c>
      <c r="BO1022" s="2" t="s">
        <v>74</v>
      </c>
      <c r="BP1022" s="2" t="s">
        <v>74</v>
      </c>
      <c r="BQ1022" s="2" t="s">
        <v>74</v>
      </c>
      <c r="BR1022" s="2" t="s">
        <v>74</v>
      </c>
      <c r="BS1022" s="2" t="s">
        <v>6216</v>
      </c>
      <c r="BT1022" s="2" t="str">
        <f>HYPERLINK("https%3A%2F%2Fwww.webofscience.com%2Fwos%2Fwoscc%2Ffull-record%2FWOS:000338769900003","View Full Record in Web of Science")</f>
        <v>View Full Record in Web of Science</v>
      </c>
    </row>
    <row r="1023" spans="1:72" s="2" customFormat="1" x14ac:dyDescent="0.4">
      <c r="A1023" s="2" t="s">
        <v>72</v>
      </c>
      <c r="B1023" s="2" t="s">
        <v>4414</v>
      </c>
      <c r="C1023" s="2" t="s">
        <v>74</v>
      </c>
      <c r="D1023" s="2" t="s">
        <v>74</v>
      </c>
      <c r="E1023" s="2" t="s">
        <v>74</v>
      </c>
      <c r="F1023" s="2" t="s">
        <v>4415</v>
      </c>
      <c r="G1023" s="2" t="s">
        <v>74</v>
      </c>
      <c r="H1023" s="2" t="s">
        <v>74</v>
      </c>
      <c r="I1023" s="2" t="s">
        <v>4416</v>
      </c>
      <c r="J1023" s="2" t="s">
        <v>4417</v>
      </c>
      <c r="K1023" s="2" t="s">
        <v>74</v>
      </c>
      <c r="L1023" s="2" t="s">
        <v>74</v>
      </c>
      <c r="M1023" s="2" t="s">
        <v>74</v>
      </c>
      <c r="N1023" s="2" t="s">
        <v>74</v>
      </c>
      <c r="O1023" s="2" t="s">
        <v>74</v>
      </c>
      <c r="P1023" s="2" t="s">
        <v>74</v>
      </c>
      <c r="Q1023" s="2" t="s">
        <v>74</v>
      </c>
      <c r="R1023" s="2" t="s">
        <v>74</v>
      </c>
      <c r="S1023" s="2" t="s">
        <v>74</v>
      </c>
      <c r="T1023" s="2" t="s">
        <v>74</v>
      </c>
      <c r="U1023" s="2" t="s">
        <v>74</v>
      </c>
      <c r="V1023" s="5" t="s">
        <v>4418</v>
      </c>
      <c r="W1023" s="2" t="s">
        <v>74</v>
      </c>
      <c r="X1023" s="2" t="s">
        <v>74</v>
      </c>
      <c r="Y1023" s="2" t="s">
        <v>74</v>
      </c>
      <c r="Z1023" s="2" t="s">
        <v>74</v>
      </c>
      <c r="AA1023" s="2" t="s">
        <v>4419</v>
      </c>
      <c r="AB1023" s="2" t="s">
        <v>4420</v>
      </c>
      <c r="AC1023" s="2" t="s">
        <v>74</v>
      </c>
      <c r="AD1023" s="2" t="s">
        <v>74</v>
      </c>
      <c r="AE1023" s="2" t="s">
        <v>74</v>
      </c>
      <c r="AF1023" s="2" t="s">
        <v>74</v>
      </c>
      <c r="AG1023" s="2" t="s">
        <v>74</v>
      </c>
      <c r="AH1023" s="2" t="s">
        <v>74</v>
      </c>
      <c r="AI1023" s="2" t="s">
        <v>74</v>
      </c>
      <c r="AJ1023" s="2" t="s">
        <v>74</v>
      </c>
      <c r="AK1023" s="2" t="s">
        <v>74</v>
      </c>
      <c r="AL1023" s="2" t="s">
        <v>74</v>
      </c>
      <c r="AM1023" s="2" t="s">
        <v>74</v>
      </c>
      <c r="AN1023" s="2" t="s">
        <v>74</v>
      </c>
      <c r="AO1023" s="2" t="s">
        <v>4421</v>
      </c>
      <c r="AP1023" s="2" t="s">
        <v>4422</v>
      </c>
      <c r="AQ1023" s="2" t="s">
        <v>74</v>
      </c>
      <c r="AR1023" s="2" t="s">
        <v>74</v>
      </c>
      <c r="AS1023" s="2" t="s">
        <v>74</v>
      </c>
      <c r="AT1023" s="2" t="s">
        <v>305</v>
      </c>
      <c r="AU1023" s="2">
        <v>2022</v>
      </c>
      <c r="AV1023" s="2">
        <v>25</v>
      </c>
      <c r="AW1023" s="2">
        <v>4</v>
      </c>
      <c r="AX1023" s="2" t="s">
        <v>74</v>
      </c>
      <c r="AY1023" s="2" t="s">
        <v>74</v>
      </c>
      <c r="AZ1023" s="2" t="s">
        <v>74</v>
      </c>
      <c r="BA1023" s="2" t="s">
        <v>74</v>
      </c>
      <c r="BB1023" s="2" t="s">
        <v>74</v>
      </c>
      <c r="BC1023" s="2" t="s">
        <v>74</v>
      </c>
      <c r="BD1023" s="2" t="s">
        <v>4423</v>
      </c>
      <c r="BE1023" s="2" t="s">
        <v>4424</v>
      </c>
      <c r="BF1023" s="2" t="str">
        <f>HYPERLINK("http://dx.doi.org/10.1111/ens.12529","http://dx.doi.org/10.1111/ens.12529")</f>
        <v>http://dx.doi.org/10.1111/ens.12529</v>
      </c>
      <c r="BG1023" s="2" t="s">
        <v>74</v>
      </c>
      <c r="BH1023" s="2" t="s">
        <v>74</v>
      </c>
      <c r="BI1023" s="2" t="s">
        <v>74</v>
      </c>
      <c r="BJ1023" s="2" t="s">
        <v>74</v>
      </c>
      <c r="BK1023" s="2" t="s">
        <v>74</v>
      </c>
      <c r="BL1023" s="2" t="s">
        <v>74</v>
      </c>
      <c r="BM1023" s="2" t="s">
        <v>74</v>
      </c>
      <c r="BN1023" s="2" t="s">
        <v>74</v>
      </c>
      <c r="BO1023" s="2" t="s">
        <v>74</v>
      </c>
      <c r="BP1023" s="2" t="s">
        <v>74</v>
      </c>
      <c r="BQ1023" s="2" t="s">
        <v>74</v>
      </c>
      <c r="BR1023" s="2" t="s">
        <v>74</v>
      </c>
      <c r="BS1023" s="2" t="s">
        <v>4425</v>
      </c>
      <c r="BT1023" s="2" t="str">
        <f>HYPERLINK("https%3A%2F%2Fwww.webofscience.com%2Fwos%2Fwoscc%2Ffull-record%2FWOS:000888062100001","View Full Record in Web of Science")</f>
        <v>View Full Record in Web of Science</v>
      </c>
    </row>
    <row r="1024" spans="1:72" s="2" customFormat="1" x14ac:dyDescent="0.4">
      <c r="A1024" s="2" t="s">
        <v>72</v>
      </c>
      <c r="B1024" s="2" t="s">
        <v>550</v>
      </c>
      <c r="C1024" s="2" t="s">
        <v>74</v>
      </c>
      <c r="D1024" s="2" t="s">
        <v>74</v>
      </c>
      <c r="E1024" s="2" t="s">
        <v>74</v>
      </c>
      <c r="F1024" s="2" t="s">
        <v>551</v>
      </c>
      <c r="G1024" s="2" t="s">
        <v>74</v>
      </c>
      <c r="H1024" s="2" t="s">
        <v>74</v>
      </c>
      <c r="I1024" s="2" t="s">
        <v>552</v>
      </c>
      <c r="J1024" s="2" t="s">
        <v>553</v>
      </c>
      <c r="K1024" s="2" t="s">
        <v>74</v>
      </c>
      <c r="L1024" s="2" t="s">
        <v>74</v>
      </c>
      <c r="M1024" s="2" t="s">
        <v>74</v>
      </c>
      <c r="N1024" s="2" t="s">
        <v>74</v>
      </c>
      <c r="O1024" s="2" t="s">
        <v>74</v>
      </c>
      <c r="P1024" s="2" t="s">
        <v>74</v>
      </c>
      <c r="Q1024" s="2" t="s">
        <v>74</v>
      </c>
      <c r="R1024" s="2" t="s">
        <v>74</v>
      </c>
      <c r="S1024" s="2" t="s">
        <v>74</v>
      </c>
      <c r="T1024" s="2" t="s">
        <v>74</v>
      </c>
      <c r="U1024" s="2" t="s">
        <v>74</v>
      </c>
      <c r="V1024" s="5" t="s">
        <v>554</v>
      </c>
      <c r="W1024" s="2" t="s">
        <v>74</v>
      </c>
      <c r="X1024" s="2" t="s">
        <v>74</v>
      </c>
      <c r="Y1024" s="2" t="s">
        <v>74</v>
      </c>
      <c r="Z1024" s="2" t="s">
        <v>74</v>
      </c>
      <c r="AA1024" s="2" t="s">
        <v>74</v>
      </c>
      <c r="AB1024" s="2" t="s">
        <v>74</v>
      </c>
      <c r="AC1024" s="2" t="s">
        <v>74</v>
      </c>
      <c r="AD1024" s="2" t="s">
        <v>74</v>
      </c>
      <c r="AE1024" s="2" t="s">
        <v>74</v>
      </c>
      <c r="AF1024" s="2" t="s">
        <v>74</v>
      </c>
      <c r="AG1024" s="2" t="s">
        <v>74</v>
      </c>
      <c r="AH1024" s="2" t="s">
        <v>74</v>
      </c>
      <c r="AI1024" s="2" t="s">
        <v>74</v>
      </c>
      <c r="AJ1024" s="2" t="s">
        <v>74</v>
      </c>
      <c r="AK1024" s="2" t="s">
        <v>74</v>
      </c>
      <c r="AL1024" s="2" t="s">
        <v>74</v>
      </c>
      <c r="AM1024" s="2" t="s">
        <v>74</v>
      </c>
      <c r="AN1024" s="2" t="s">
        <v>74</v>
      </c>
      <c r="AO1024" s="2" t="s">
        <v>555</v>
      </c>
      <c r="AP1024" s="2" t="s">
        <v>556</v>
      </c>
      <c r="AQ1024" s="2" t="s">
        <v>74</v>
      </c>
      <c r="AR1024" s="2" t="s">
        <v>74</v>
      </c>
      <c r="AS1024" s="2" t="s">
        <v>74</v>
      </c>
      <c r="AT1024" s="2" t="s">
        <v>74</v>
      </c>
      <c r="AU1024" s="2">
        <v>2017</v>
      </c>
      <c r="AV1024" s="2">
        <v>30</v>
      </c>
      <c r="AW1024" s="2">
        <v>3</v>
      </c>
      <c r="AX1024" s="2" t="s">
        <v>74</v>
      </c>
      <c r="AY1024" s="2" t="s">
        <v>74</v>
      </c>
      <c r="AZ1024" s="2" t="s">
        <v>74</v>
      </c>
      <c r="BA1024" s="2" t="s">
        <v>74</v>
      </c>
      <c r="BB1024" s="2">
        <v>110</v>
      </c>
      <c r="BC1024" s="2">
        <v>124</v>
      </c>
      <c r="BD1024" s="2" t="s">
        <v>74</v>
      </c>
      <c r="BE1024" s="2" t="s">
        <v>557</v>
      </c>
      <c r="BF1024" s="2" t="str">
        <f>HYPERLINK("http://dx.doi.org/10.1080/03946975.2017.1345471","http://dx.doi.org/10.1080/03946975.2017.1345471")</f>
        <v>http://dx.doi.org/10.1080/03946975.2017.1345471</v>
      </c>
      <c r="BG1024" s="2" t="s">
        <v>74</v>
      </c>
      <c r="BH1024" s="2" t="s">
        <v>74</v>
      </c>
      <c r="BI1024" s="2" t="s">
        <v>74</v>
      </c>
      <c r="BJ1024" s="2" t="s">
        <v>74</v>
      </c>
      <c r="BK1024" s="2" t="s">
        <v>74</v>
      </c>
      <c r="BL1024" s="2" t="s">
        <v>74</v>
      </c>
      <c r="BM1024" s="2" t="s">
        <v>74</v>
      </c>
      <c r="BN1024" s="2" t="s">
        <v>74</v>
      </c>
      <c r="BO1024" s="2" t="s">
        <v>74</v>
      </c>
      <c r="BP1024" s="2" t="s">
        <v>74</v>
      </c>
      <c r="BQ1024" s="2" t="s">
        <v>74</v>
      </c>
      <c r="BR1024" s="2" t="s">
        <v>74</v>
      </c>
      <c r="BS1024" s="2" t="s">
        <v>558</v>
      </c>
      <c r="BT1024" s="2" t="str">
        <f>HYPERLINK("https%3A%2F%2Fwww.webofscience.com%2Fwos%2Fwoscc%2Ffull-record%2FWOS:000407553100002","View Full Record in Web of Science")</f>
        <v>View Full Record in Web of Science</v>
      </c>
    </row>
    <row r="1025" spans="1:72" s="2" customFormat="1" x14ac:dyDescent="0.4">
      <c r="A1025" s="2" t="s">
        <v>72</v>
      </c>
      <c r="B1025" s="2" t="s">
        <v>1339</v>
      </c>
      <c r="C1025" s="2" t="s">
        <v>74</v>
      </c>
      <c r="D1025" s="2" t="s">
        <v>74</v>
      </c>
      <c r="E1025" s="2" t="s">
        <v>74</v>
      </c>
      <c r="F1025" s="2" t="s">
        <v>1339</v>
      </c>
      <c r="G1025" s="2" t="s">
        <v>74</v>
      </c>
      <c r="H1025" s="2" t="s">
        <v>74</v>
      </c>
      <c r="I1025" s="2" t="s">
        <v>1340</v>
      </c>
      <c r="J1025" s="2" t="s">
        <v>1341</v>
      </c>
      <c r="K1025" s="2" t="s">
        <v>74</v>
      </c>
      <c r="L1025" s="2" t="s">
        <v>74</v>
      </c>
      <c r="M1025" s="2" t="s">
        <v>74</v>
      </c>
      <c r="N1025" s="2" t="s">
        <v>74</v>
      </c>
      <c r="O1025" s="2" t="s">
        <v>74</v>
      </c>
      <c r="P1025" s="2" t="s">
        <v>74</v>
      </c>
      <c r="Q1025" s="2" t="s">
        <v>74</v>
      </c>
      <c r="R1025" s="2" t="s">
        <v>74</v>
      </c>
      <c r="S1025" s="2" t="s">
        <v>74</v>
      </c>
      <c r="T1025" s="2" t="s">
        <v>74</v>
      </c>
      <c r="U1025" s="2" t="s">
        <v>74</v>
      </c>
      <c r="V1025" s="5" t="s">
        <v>1342</v>
      </c>
      <c r="W1025" s="2" t="s">
        <v>74</v>
      </c>
      <c r="X1025" s="2" t="s">
        <v>74</v>
      </c>
      <c r="Y1025" s="2" t="s">
        <v>74</v>
      </c>
      <c r="Z1025" s="2" t="s">
        <v>74</v>
      </c>
      <c r="AA1025" s="2" t="s">
        <v>74</v>
      </c>
      <c r="AB1025" s="2" t="s">
        <v>74</v>
      </c>
      <c r="AC1025" s="2" t="s">
        <v>74</v>
      </c>
      <c r="AD1025" s="2" t="s">
        <v>74</v>
      </c>
      <c r="AE1025" s="2" t="s">
        <v>74</v>
      </c>
      <c r="AF1025" s="2" t="s">
        <v>74</v>
      </c>
      <c r="AG1025" s="2" t="s">
        <v>74</v>
      </c>
      <c r="AH1025" s="2" t="s">
        <v>74</v>
      </c>
      <c r="AI1025" s="2" t="s">
        <v>74</v>
      </c>
      <c r="AJ1025" s="2" t="s">
        <v>74</v>
      </c>
      <c r="AK1025" s="2" t="s">
        <v>74</v>
      </c>
      <c r="AL1025" s="2" t="s">
        <v>74</v>
      </c>
      <c r="AM1025" s="2" t="s">
        <v>74</v>
      </c>
      <c r="AN1025" s="2" t="s">
        <v>74</v>
      </c>
      <c r="AO1025" s="2" t="s">
        <v>1343</v>
      </c>
      <c r="AP1025" s="2" t="s">
        <v>74</v>
      </c>
      <c r="AQ1025" s="2" t="s">
        <v>74</v>
      </c>
      <c r="AR1025" s="2" t="s">
        <v>74</v>
      </c>
      <c r="AS1025" s="2" t="s">
        <v>74</v>
      </c>
      <c r="AT1025" s="2" t="s">
        <v>123</v>
      </c>
      <c r="AU1025" s="2">
        <v>1996</v>
      </c>
      <c r="AV1025" s="2">
        <v>42</v>
      </c>
      <c r="AW1025" s="2">
        <v>3</v>
      </c>
      <c r="AX1025" s="2" t="s">
        <v>74</v>
      </c>
      <c r="AY1025" s="2" t="s">
        <v>74</v>
      </c>
      <c r="AZ1025" s="2" t="s">
        <v>74</v>
      </c>
      <c r="BA1025" s="2" t="s">
        <v>74</v>
      </c>
      <c r="BB1025" s="2">
        <v>287</v>
      </c>
      <c r="BC1025" s="2">
        <v>294</v>
      </c>
      <c r="BD1025" s="2" t="s">
        <v>74</v>
      </c>
      <c r="BE1025" s="2" t="s">
        <v>1344</v>
      </c>
      <c r="BF1025" s="2" t="str">
        <f>HYPERLINK("http://dx.doi.org/10.1016/0022-1910(95)00115-8","http://dx.doi.org/10.1016/0022-1910(95)00115-8")</f>
        <v>http://dx.doi.org/10.1016/0022-1910(95)00115-8</v>
      </c>
      <c r="BG1025" s="2" t="s">
        <v>74</v>
      </c>
      <c r="BH1025" s="2" t="s">
        <v>74</v>
      </c>
      <c r="BI1025" s="2" t="s">
        <v>74</v>
      </c>
      <c r="BJ1025" s="2" t="s">
        <v>74</v>
      </c>
      <c r="BK1025" s="2" t="s">
        <v>74</v>
      </c>
      <c r="BL1025" s="2" t="s">
        <v>74</v>
      </c>
      <c r="BM1025" s="2" t="s">
        <v>74</v>
      </c>
      <c r="BN1025" s="2" t="s">
        <v>74</v>
      </c>
      <c r="BO1025" s="2" t="s">
        <v>74</v>
      </c>
      <c r="BP1025" s="2" t="s">
        <v>74</v>
      </c>
      <c r="BQ1025" s="2" t="s">
        <v>74</v>
      </c>
      <c r="BR1025" s="2" t="s">
        <v>74</v>
      </c>
      <c r="BS1025" s="2" t="s">
        <v>1345</v>
      </c>
      <c r="BT1025" s="2" t="str">
        <f>HYPERLINK("https%3A%2F%2Fwww.webofscience.com%2Fwos%2Fwoscc%2Ffull-record%2FWOS:A1996TZ11300012","View Full Record in Web of Science")</f>
        <v>View Full Record in Web of Science</v>
      </c>
    </row>
    <row r="1026" spans="1:72" s="2" customFormat="1" x14ac:dyDescent="0.4">
      <c r="A1026" s="2" t="s">
        <v>72</v>
      </c>
      <c r="B1026" s="2" t="s">
        <v>7184</v>
      </c>
      <c r="C1026" s="2" t="s">
        <v>74</v>
      </c>
      <c r="D1026" s="2" t="s">
        <v>74</v>
      </c>
      <c r="E1026" s="2" t="s">
        <v>74</v>
      </c>
      <c r="F1026" s="2" t="s">
        <v>7185</v>
      </c>
      <c r="G1026" s="2" t="s">
        <v>74</v>
      </c>
      <c r="H1026" s="2" t="s">
        <v>74</v>
      </c>
      <c r="I1026" s="2" t="s">
        <v>7186</v>
      </c>
      <c r="J1026" s="2" t="s">
        <v>1341</v>
      </c>
      <c r="K1026" s="2" t="s">
        <v>74</v>
      </c>
      <c r="L1026" s="2" t="s">
        <v>74</v>
      </c>
      <c r="M1026" s="2" t="s">
        <v>74</v>
      </c>
      <c r="N1026" s="2" t="s">
        <v>74</v>
      </c>
      <c r="O1026" s="2" t="s">
        <v>74</v>
      </c>
      <c r="P1026" s="2" t="s">
        <v>74</v>
      </c>
      <c r="Q1026" s="2" t="s">
        <v>74</v>
      </c>
      <c r="R1026" s="2" t="s">
        <v>74</v>
      </c>
      <c r="S1026" s="2" t="s">
        <v>74</v>
      </c>
      <c r="T1026" s="2" t="s">
        <v>74</v>
      </c>
      <c r="U1026" s="2" t="s">
        <v>74</v>
      </c>
      <c r="V1026" s="5" t="s">
        <v>7187</v>
      </c>
      <c r="W1026" s="2" t="s">
        <v>74</v>
      </c>
      <c r="X1026" s="2" t="s">
        <v>74</v>
      </c>
      <c r="Y1026" s="2" t="s">
        <v>74</v>
      </c>
      <c r="Z1026" s="2" t="s">
        <v>74</v>
      </c>
      <c r="AA1026" s="2" t="s">
        <v>74</v>
      </c>
      <c r="AB1026" s="2" t="s">
        <v>74</v>
      </c>
      <c r="AC1026" s="2" t="s">
        <v>74</v>
      </c>
      <c r="AD1026" s="2" t="s">
        <v>74</v>
      </c>
      <c r="AE1026" s="2" t="s">
        <v>74</v>
      </c>
      <c r="AF1026" s="2" t="s">
        <v>74</v>
      </c>
      <c r="AG1026" s="2" t="s">
        <v>74</v>
      </c>
      <c r="AH1026" s="2" t="s">
        <v>74</v>
      </c>
      <c r="AI1026" s="2" t="s">
        <v>74</v>
      </c>
      <c r="AJ1026" s="2" t="s">
        <v>74</v>
      </c>
      <c r="AK1026" s="2" t="s">
        <v>74</v>
      </c>
      <c r="AL1026" s="2" t="s">
        <v>74</v>
      </c>
      <c r="AM1026" s="2" t="s">
        <v>74</v>
      </c>
      <c r="AN1026" s="2" t="s">
        <v>74</v>
      </c>
      <c r="AO1026" s="2" t="s">
        <v>1343</v>
      </c>
      <c r="AP1026" s="2" t="s">
        <v>3686</v>
      </c>
      <c r="AQ1026" s="2" t="s">
        <v>74</v>
      </c>
      <c r="AR1026" s="2" t="s">
        <v>74</v>
      </c>
      <c r="AS1026" s="2" t="s">
        <v>74</v>
      </c>
      <c r="AT1026" s="2" t="s">
        <v>145</v>
      </c>
      <c r="AU1026" s="2">
        <v>2012</v>
      </c>
      <c r="AV1026" s="2">
        <v>58</v>
      </c>
      <c r="AW1026" s="2">
        <v>8</v>
      </c>
      <c r="AX1026" s="2" t="s">
        <v>74</v>
      </c>
      <c r="AY1026" s="2" t="s">
        <v>74</v>
      </c>
      <c r="AZ1026" s="2" t="s">
        <v>74</v>
      </c>
      <c r="BA1026" s="2" t="s">
        <v>74</v>
      </c>
      <c r="BB1026" s="2">
        <v>1060</v>
      </c>
      <c r="BC1026" s="2">
        <v>1071</v>
      </c>
      <c r="BD1026" s="2" t="s">
        <v>74</v>
      </c>
      <c r="BE1026" s="2" t="s">
        <v>7188</v>
      </c>
      <c r="BF1026" s="2" t="str">
        <f>HYPERLINK("http://dx.doi.org/10.1016/j.jinsphys.2012.04.005","http://dx.doi.org/10.1016/j.jinsphys.2012.04.005")</f>
        <v>http://dx.doi.org/10.1016/j.jinsphys.2012.04.005</v>
      </c>
      <c r="BG1026" s="2" t="s">
        <v>74</v>
      </c>
      <c r="BH1026" s="2" t="s">
        <v>74</v>
      </c>
      <c r="BI1026" s="2" t="s">
        <v>74</v>
      </c>
      <c r="BJ1026" s="2" t="s">
        <v>74</v>
      </c>
      <c r="BK1026" s="2" t="s">
        <v>74</v>
      </c>
      <c r="BL1026" s="2" t="s">
        <v>74</v>
      </c>
      <c r="BM1026" s="2" t="s">
        <v>74</v>
      </c>
      <c r="BN1026" s="2">
        <v>22546561</v>
      </c>
      <c r="BO1026" s="2" t="s">
        <v>74</v>
      </c>
      <c r="BP1026" s="2" t="s">
        <v>74</v>
      </c>
      <c r="BQ1026" s="2" t="s">
        <v>74</v>
      </c>
      <c r="BR1026" s="2" t="s">
        <v>74</v>
      </c>
      <c r="BS1026" s="2" t="s">
        <v>7189</v>
      </c>
      <c r="BT1026" s="2" t="str">
        <f>HYPERLINK("https%3A%2F%2Fwww.webofscience.com%2Fwos%2Fwoscc%2Ffull-record%2FWOS:000307154600004","View Full Record in Web of Science")</f>
        <v>View Full Record in Web of Science</v>
      </c>
    </row>
    <row r="1027" spans="1:72" s="2" customFormat="1" x14ac:dyDescent="0.4">
      <c r="A1027" s="2" t="s">
        <v>72</v>
      </c>
      <c r="B1027" s="2" t="s">
        <v>677</v>
      </c>
      <c r="C1027" s="2" t="s">
        <v>74</v>
      </c>
      <c r="D1027" s="2" t="s">
        <v>74</v>
      </c>
      <c r="E1027" s="2" t="s">
        <v>74</v>
      </c>
      <c r="F1027" s="2" t="s">
        <v>677</v>
      </c>
      <c r="G1027" s="2" t="s">
        <v>74</v>
      </c>
      <c r="H1027" s="2" t="s">
        <v>74</v>
      </c>
      <c r="I1027" s="2" t="s">
        <v>678</v>
      </c>
      <c r="J1027" s="2" t="s">
        <v>509</v>
      </c>
      <c r="K1027" s="2" t="s">
        <v>74</v>
      </c>
      <c r="L1027" s="2" t="s">
        <v>74</v>
      </c>
      <c r="M1027" s="2" t="s">
        <v>74</v>
      </c>
      <c r="N1027" s="2" t="s">
        <v>74</v>
      </c>
      <c r="O1027" s="2" t="s">
        <v>74</v>
      </c>
      <c r="P1027" s="2" t="s">
        <v>74</v>
      </c>
      <c r="Q1027" s="2" t="s">
        <v>74</v>
      </c>
      <c r="R1027" s="2" t="s">
        <v>74</v>
      </c>
      <c r="S1027" s="2" t="s">
        <v>74</v>
      </c>
      <c r="T1027" s="2" t="s">
        <v>74</v>
      </c>
      <c r="U1027" s="2" t="s">
        <v>74</v>
      </c>
      <c r="V1027" s="5" t="s">
        <v>679</v>
      </c>
      <c r="W1027" s="2" t="s">
        <v>74</v>
      </c>
      <c r="X1027" s="2" t="s">
        <v>74</v>
      </c>
      <c r="Y1027" s="2" t="s">
        <v>74</v>
      </c>
      <c r="Z1027" s="2" t="s">
        <v>74</v>
      </c>
      <c r="AA1027" s="2" t="s">
        <v>74</v>
      </c>
      <c r="AB1027" s="2" t="s">
        <v>74</v>
      </c>
      <c r="AC1027" s="2" t="s">
        <v>74</v>
      </c>
      <c r="AD1027" s="2" t="s">
        <v>74</v>
      </c>
      <c r="AE1027" s="2" t="s">
        <v>74</v>
      </c>
      <c r="AF1027" s="2" t="s">
        <v>74</v>
      </c>
      <c r="AG1027" s="2" t="s">
        <v>74</v>
      </c>
      <c r="AH1027" s="2" t="s">
        <v>74</v>
      </c>
      <c r="AI1027" s="2" t="s">
        <v>74</v>
      </c>
      <c r="AJ1027" s="2" t="s">
        <v>74</v>
      </c>
      <c r="AK1027" s="2" t="s">
        <v>74</v>
      </c>
      <c r="AL1027" s="2" t="s">
        <v>74</v>
      </c>
      <c r="AM1027" s="2" t="s">
        <v>74</v>
      </c>
      <c r="AN1027" s="2" t="s">
        <v>74</v>
      </c>
      <c r="AO1027" s="2" t="s">
        <v>511</v>
      </c>
      <c r="AP1027" s="2" t="s">
        <v>512</v>
      </c>
      <c r="AQ1027" s="2" t="s">
        <v>74</v>
      </c>
      <c r="AR1027" s="2" t="s">
        <v>74</v>
      </c>
      <c r="AS1027" s="2" t="s">
        <v>74</v>
      </c>
      <c r="AT1027" s="2" t="s">
        <v>102</v>
      </c>
      <c r="AU1027" s="2">
        <v>1987</v>
      </c>
      <c r="AV1027" s="2">
        <v>21</v>
      </c>
      <c r="AW1027" s="2">
        <v>2</v>
      </c>
      <c r="AX1027" s="2" t="s">
        <v>74</v>
      </c>
      <c r="AY1027" s="2" t="s">
        <v>74</v>
      </c>
      <c r="AZ1027" s="2" t="s">
        <v>74</v>
      </c>
      <c r="BA1027" s="2" t="s">
        <v>74</v>
      </c>
      <c r="BB1027" s="2">
        <v>234</v>
      </c>
      <c r="BC1027" s="2">
        <v>244</v>
      </c>
      <c r="BD1027" s="2" t="s">
        <v>74</v>
      </c>
      <c r="BE1027" s="2" t="s">
        <v>680</v>
      </c>
      <c r="BF1027" s="2" t="str">
        <f>HYPERLINK("http://dx.doi.org/10.1016/0018-506X(87)90048-1","http://dx.doi.org/10.1016/0018-506X(87)90048-1")</f>
        <v>http://dx.doi.org/10.1016/0018-506X(87)90048-1</v>
      </c>
      <c r="BG1027" s="2" t="s">
        <v>74</v>
      </c>
      <c r="BH1027" s="2" t="s">
        <v>74</v>
      </c>
      <c r="BI1027" s="2" t="s">
        <v>74</v>
      </c>
      <c r="BJ1027" s="2" t="s">
        <v>74</v>
      </c>
      <c r="BK1027" s="2" t="s">
        <v>74</v>
      </c>
      <c r="BL1027" s="2" t="s">
        <v>74</v>
      </c>
      <c r="BM1027" s="2" t="s">
        <v>74</v>
      </c>
      <c r="BN1027" s="2">
        <v>3610060</v>
      </c>
      <c r="BO1027" s="2" t="s">
        <v>74</v>
      </c>
      <c r="BP1027" s="2" t="s">
        <v>74</v>
      </c>
      <c r="BQ1027" s="2" t="s">
        <v>74</v>
      </c>
      <c r="BR1027" s="2" t="s">
        <v>74</v>
      </c>
      <c r="BS1027" s="2" t="s">
        <v>681</v>
      </c>
      <c r="BT1027" s="2" t="str">
        <f>HYPERLINK("https%3A%2F%2Fwww.webofscience.com%2Fwos%2Fwoscc%2Ffull-record%2FWOS:A1987H984200009","View Full Record in Web of Science")</f>
        <v>View Full Record in Web of Science</v>
      </c>
    </row>
    <row r="1028" spans="1:72" s="1" customFormat="1" x14ac:dyDescent="0.4">
      <c r="A1028" s="2" t="s">
        <v>72</v>
      </c>
      <c r="B1028" s="2" t="s">
        <v>978</v>
      </c>
      <c r="C1028" s="2" t="s">
        <v>74</v>
      </c>
      <c r="D1028" s="2" t="s">
        <v>74</v>
      </c>
      <c r="E1028" s="2" t="s">
        <v>74</v>
      </c>
      <c r="F1028" s="2" t="s">
        <v>978</v>
      </c>
      <c r="G1028" s="2" t="s">
        <v>74</v>
      </c>
      <c r="H1028" s="2" t="s">
        <v>74</v>
      </c>
      <c r="I1028" s="2" t="s">
        <v>979</v>
      </c>
      <c r="J1028" s="2" t="s">
        <v>691</v>
      </c>
      <c r="K1028" s="2" t="s">
        <v>74</v>
      </c>
      <c r="L1028" s="2" t="s">
        <v>74</v>
      </c>
      <c r="M1028" s="2" t="s">
        <v>74</v>
      </c>
      <c r="N1028" s="2" t="s">
        <v>74</v>
      </c>
      <c r="O1028" s="2" t="s">
        <v>74</v>
      </c>
      <c r="P1028" s="2" t="s">
        <v>74</v>
      </c>
      <c r="Q1028" s="2" t="s">
        <v>74</v>
      </c>
      <c r="R1028" s="2" t="s">
        <v>74</v>
      </c>
      <c r="S1028" s="2" t="s">
        <v>74</v>
      </c>
      <c r="T1028" s="2" t="s">
        <v>74</v>
      </c>
      <c r="U1028" s="2" t="s">
        <v>74</v>
      </c>
      <c r="V1028" s="5" t="s">
        <v>980</v>
      </c>
      <c r="W1028" s="2" t="s">
        <v>74</v>
      </c>
      <c r="X1028" s="2" t="s">
        <v>74</v>
      </c>
      <c r="Y1028" s="2" t="s">
        <v>74</v>
      </c>
      <c r="Z1028" s="2" t="s">
        <v>74</v>
      </c>
      <c r="AA1028" s="2" t="s">
        <v>74</v>
      </c>
      <c r="AB1028" s="2" t="s">
        <v>74</v>
      </c>
      <c r="AC1028" s="2" t="s">
        <v>74</v>
      </c>
      <c r="AD1028" s="2" t="s">
        <v>74</v>
      </c>
      <c r="AE1028" s="2" t="s">
        <v>74</v>
      </c>
      <c r="AF1028" s="2" t="s">
        <v>74</v>
      </c>
      <c r="AG1028" s="2" t="s">
        <v>74</v>
      </c>
      <c r="AH1028" s="2" t="s">
        <v>74</v>
      </c>
      <c r="AI1028" s="2" t="s">
        <v>74</v>
      </c>
      <c r="AJ1028" s="2" t="s">
        <v>74</v>
      </c>
      <c r="AK1028" s="2" t="s">
        <v>74</v>
      </c>
      <c r="AL1028" s="2" t="s">
        <v>74</v>
      </c>
      <c r="AM1028" s="2" t="s">
        <v>74</v>
      </c>
      <c r="AN1028" s="2" t="s">
        <v>74</v>
      </c>
      <c r="AO1028" s="2" t="s">
        <v>695</v>
      </c>
      <c r="AP1028" s="2" t="s">
        <v>981</v>
      </c>
      <c r="AQ1028" s="2" t="s">
        <v>74</v>
      </c>
      <c r="AR1028" s="2" t="s">
        <v>74</v>
      </c>
      <c r="AS1028" s="2" t="s">
        <v>74</v>
      </c>
      <c r="AT1028" s="2" t="s">
        <v>74</v>
      </c>
      <c r="AU1028" s="2">
        <v>1984</v>
      </c>
      <c r="AV1028" s="2">
        <v>32</v>
      </c>
      <c r="AW1028" s="2">
        <v>4</v>
      </c>
      <c r="AX1028" s="2" t="s">
        <v>74</v>
      </c>
      <c r="AY1028" s="2" t="s">
        <v>74</v>
      </c>
      <c r="AZ1028" s="2" t="s">
        <v>74</v>
      </c>
      <c r="BA1028" s="2" t="s">
        <v>74</v>
      </c>
      <c r="BB1028" s="2">
        <v>541</v>
      </c>
      <c r="BC1028" s="2">
        <v>546</v>
      </c>
      <c r="BD1028" s="2" t="s">
        <v>74</v>
      </c>
      <c r="BE1028" s="2" t="s">
        <v>982</v>
      </c>
      <c r="BF1028" s="2" t="str">
        <f>HYPERLINK("http://dx.doi.org/10.1016/0031-9384(84)90307-X","http://dx.doi.org/10.1016/0031-9384(84)90307-X")</f>
        <v>http://dx.doi.org/10.1016/0031-9384(84)90307-X</v>
      </c>
      <c r="BG1028" s="2" t="s">
        <v>74</v>
      </c>
      <c r="BH1028" s="2" t="s">
        <v>74</v>
      </c>
      <c r="BI1028" s="2" t="s">
        <v>74</v>
      </c>
      <c r="BJ1028" s="2" t="s">
        <v>74</v>
      </c>
      <c r="BK1028" s="2" t="s">
        <v>74</v>
      </c>
      <c r="BL1028" s="2" t="s">
        <v>74</v>
      </c>
      <c r="BM1028" s="2" t="s">
        <v>74</v>
      </c>
      <c r="BN1028" s="2">
        <v>6541348</v>
      </c>
      <c r="BO1028" s="2" t="s">
        <v>74</v>
      </c>
      <c r="BP1028" s="2" t="s">
        <v>74</v>
      </c>
      <c r="BQ1028" s="2" t="s">
        <v>74</v>
      </c>
      <c r="BR1028" s="2" t="s">
        <v>74</v>
      </c>
      <c r="BS1028" s="2" t="s">
        <v>983</v>
      </c>
      <c r="BT1028" s="2" t="str">
        <f>HYPERLINK("https%3A%2F%2Fwww.webofscience.com%2Fwos%2Fwoscc%2Ffull-record%2FWOS:A1984SV55800004","View Full Record in Web of Science")</f>
        <v>View Full Record in Web of Science</v>
      </c>
    </row>
    <row r="1029" spans="1:72" s="1" customFormat="1" x14ac:dyDescent="0.4">
      <c r="A1029" s="2" t="s">
        <v>72</v>
      </c>
      <c r="B1029" s="2" t="s">
        <v>3232</v>
      </c>
      <c r="C1029" s="2" t="s">
        <v>74</v>
      </c>
      <c r="D1029" s="2" t="s">
        <v>74</v>
      </c>
      <c r="E1029" s="2" t="s">
        <v>74</v>
      </c>
      <c r="F1029" s="2" t="s">
        <v>3232</v>
      </c>
      <c r="G1029" s="2" t="s">
        <v>74</v>
      </c>
      <c r="H1029" s="2" t="s">
        <v>74</v>
      </c>
      <c r="I1029" s="2" t="s">
        <v>3233</v>
      </c>
      <c r="J1029" s="2" t="s">
        <v>1126</v>
      </c>
      <c r="K1029" s="2" t="s">
        <v>74</v>
      </c>
      <c r="L1029" s="2" t="s">
        <v>74</v>
      </c>
      <c r="M1029" s="2" t="s">
        <v>74</v>
      </c>
      <c r="N1029" s="2" t="s">
        <v>74</v>
      </c>
      <c r="O1029" s="2" t="s">
        <v>74</v>
      </c>
      <c r="P1029" s="2" t="s">
        <v>74</v>
      </c>
      <c r="Q1029" s="2" t="s">
        <v>74</v>
      </c>
      <c r="R1029" s="2" t="s">
        <v>74</v>
      </c>
      <c r="S1029" s="2" t="s">
        <v>74</v>
      </c>
      <c r="T1029" s="2" t="s">
        <v>74</v>
      </c>
      <c r="U1029" s="2" t="s">
        <v>74</v>
      </c>
      <c r="V1029" s="5" t="s">
        <v>3234</v>
      </c>
      <c r="W1029" s="2" t="s">
        <v>74</v>
      </c>
      <c r="X1029" s="2" t="s">
        <v>74</v>
      </c>
      <c r="Y1029" s="2" t="s">
        <v>74</v>
      </c>
      <c r="Z1029" s="2" t="s">
        <v>74</v>
      </c>
      <c r="AA1029" s="2" t="s">
        <v>74</v>
      </c>
      <c r="AB1029" s="2" t="s">
        <v>74</v>
      </c>
      <c r="AC1029" s="2" t="s">
        <v>74</v>
      </c>
      <c r="AD1029" s="2" t="s">
        <v>74</v>
      </c>
      <c r="AE1029" s="2" t="s">
        <v>74</v>
      </c>
      <c r="AF1029" s="2" t="s">
        <v>74</v>
      </c>
      <c r="AG1029" s="2" t="s">
        <v>74</v>
      </c>
      <c r="AH1029" s="2" t="s">
        <v>74</v>
      </c>
      <c r="AI1029" s="2" t="s">
        <v>74</v>
      </c>
      <c r="AJ1029" s="2" t="s">
        <v>74</v>
      </c>
      <c r="AK1029" s="2" t="s">
        <v>74</v>
      </c>
      <c r="AL1029" s="2" t="s">
        <v>74</v>
      </c>
      <c r="AM1029" s="2" t="s">
        <v>74</v>
      </c>
      <c r="AN1029" s="2" t="s">
        <v>74</v>
      </c>
      <c r="AO1029" s="2" t="s">
        <v>1128</v>
      </c>
      <c r="AP1029" s="2" t="s">
        <v>1129</v>
      </c>
      <c r="AQ1029" s="2" t="s">
        <v>74</v>
      </c>
      <c r="AR1029" s="2" t="s">
        <v>74</v>
      </c>
      <c r="AS1029" s="2" t="s">
        <v>74</v>
      </c>
      <c r="AT1029" s="2" t="s">
        <v>1146</v>
      </c>
      <c r="AU1029" s="2">
        <v>1991</v>
      </c>
      <c r="AV1029" s="2" t="s">
        <v>74</v>
      </c>
      <c r="AW1029" s="2">
        <v>3</v>
      </c>
      <c r="AX1029" s="2" t="s">
        <v>74</v>
      </c>
      <c r="AY1029" s="2" t="s">
        <v>74</v>
      </c>
      <c r="AZ1029" s="2" t="s">
        <v>74</v>
      </c>
      <c r="BA1029" s="2" t="s">
        <v>74</v>
      </c>
      <c r="BB1029" s="2">
        <v>800</v>
      </c>
      <c r="BC1029" s="2">
        <v>809</v>
      </c>
      <c r="BD1029" s="2" t="s">
        <v>74</v>
      </c>
      <c r="BE1029" s="2" t="s">
        <v>74</v>
      </c>
      <c r="BF1029" s="2" t="s">
        <v>74</v>
      </c>
      <c r="BG1029" s="2" t="s">
        <v>74</v>
      </c>
      <c r="BH1029" s="2" t="s">
        <v>74</v>
      </c>
      <c r="BI1029" s="2" t="s">
        <v>74</v>
      </c>
      <c r="BJ1029" s="2" t="s">
        <v>74</v>
      </c>
      <c r="BK1029" s="2" t="s">
        <v>74</v>
      </c>
      <c r="BL1029" s="2" t="s">
        <v>74</v>
      </c>
      <c r="BM1029" s="2" t="s">
        <v>74</v>
      </c>
      <c r="BN1029" s="2" t="s">
        <v>74</v>
      </c>
      <c r="BO1029" s="2" t="s">
        <v>74</v>
      </c>
      <c r="BP1029" s="2" t="s">
        <v>74</v>
      </c>
      <c r="BQ1029" s="2" t="s">
        <v>74</v>
      </c>
      <c r="BR1029" s="2" t="s">
        <v>74</v>
      </c>
      <c r="BS1029" s="2" t="s">
        <v>3235</v>
      </c>
      <c r="BT1029" s="2" t="str">
        <f>HYPERLINK("https%3A%2F%2Fwww.webofscience.com%2Fwos%2Fwoscc%2Ffull-record%2FWOS:A1991FZ81200023","View Full Record in Web of Science")</f>
        <v>View Full Record in Web of Science</v>
      </c>
    </row>
    <row r="1030" spans="1:72" s="2" customFormat="1" x14ac:dyDescent="0.4">
      <c r="A1030" s="2" t="s">
        <v>72</v>
      </c>
      <c r="B1030" s="2" t="s">
        <v>3697</v>
      </c>
      <c r="C1030" s="2" t="s">
        <v>74</v>
      </c>
      <c r="D1030" s="2" t="s">
        <v>74</v>
      </c>
      <c r="E1030" s="2" t="s">
        <v>74</v>
      </c>
      <c r="F1030" s="2" t="s">
        <v>3698</v>
      </c>
      <c r="G1030" s="2" t="s">
        <v>74</v>
      </c>
      <c r="H1030" s="2" t="s">
        <v>74</v>
      </c>
      <c r="I1030" s="2" t="s">
        <v>3699</v>
      </c>
      <c r="J1030" s="2" t="s">
        <v>140</v>
      </c>
      <c r="K1030" s="2" t="s">
        <v>74</v>
      </c>
      <c r="L1030" s="2" t="s">
        <v>74</v>
      </c>
      <c r="M1030" s="2" t="s">
        <v>74</v>
      </c>
      <c r="N1030" s="2" t="s">
        <v>74</v>
      </c>
      <c r="O1030" s="2" t="s">
        <v>74</v>
      </c>
      <c r="P1030" s="2" t="s">
        <v>74</v>
      </c>
      <c r="Q1030" s="2" t="s">
        <v>74</v>
      </c>
      <c r="R1030" s="2" t="s">
        <v>74</v>
      </c>
      <c r="S1030" s="2" t="s">
        <v>74</v>
      </c>
      <c r="T1030" s="2" t="s">
        <v>74</v>
      </c>
      <c r="U1030" s="2" t="s">
        <v>74</v>
      </c>
      <c r="V1030" s="5" t="s">
        <v>3700</v>
      </c>
      <c r="W1030" s="2" t="s">
        <v>74</v>
      </c>
      <c r="X1030" s="2" t="s">
        <v>74</v>
      </c>
      <c r="Y1030" s="2" t="s">
        <v>74</v>
      </c>
      <c r="Z1030" s="2" t="s">
        <v>74</v>
      </c>
      <c r="AA1030" s="2" t="s">
        <v>74</v>
      </c>
      <c r="AB1030" s="2" t="s">
        <v>74</v>
      </c>
      <c r="AC1030" s="2" t="s">
        <v>74</v>
      </c>
      <c r="AD1030" s="2" t="s">
        <v>74</v>
      </c>
      <c r="AE1030" s="2" t="s">
        <v>74</v>
      </c>
      <c r="AF1030" s="2" t="s">
        <v>74</v>
      </c>
      <c r="AG1030" s="2" t="s">
        <v>74</v>
      </c>
      <c r="AH1030" s="2" t="s">
        <v>74</v>
      </c>
      <c r="AI1030" s="2" t="s">
        <v>74</v>
      </c>
      <c r="AJ1030" s="2" t="s">
        <v>74</v>
      </c>
      <c r="AK1030" s="2" t="s">
        <v>74</v>
      </c>
      <c r="AL1030" s="2" t="s">
        <v>74</v>
      </c>
      <c r="AM1030" s="2" t="s">
        <v>74</v>
      </c>
      <c r="AN1030" s="2" t="s">
        <v>74</v>
      </c>
      <c r="AO1030" s="2" t="s">
        <v>143</v>
      </c>
      <c r="AP1030" s="2" t="s">
        <v>144</v>
      </c>
      <c r="AQ1030" s="2" t="s">
        <v>74</v>
      </c>
      <c r="AR1030" s="2" t="s">
        <v>74</v>
      </c>
      <c r="AS1030" s="2" t="s">
        <v>74</v>
      </c>
      <c r="AT1030" s="2" t="s">
        <v>204</v>
      </c>
      <c r="AU1030" s="2">
        <v>2014</v>
      </c>
      <c r="AV1030" s="2">
        <v>93</v>
      </c>
      <c r="AW1030" s="2" t="s">
        <v>74</v>
      </c>
      <c r="AX1030" s="2" t="s">
        <v>74</v>
      </c>
      <c r="AY1030" s="2" t="s">
        <v>74</v>
      </c>
      <c r="AZ1030" s="2" t="s">
        <v>74</v>
      </c>
      <c r="BA1030" s="2" t="s">
        <v>74</v>
      </c>
      <c r="BB1030" s="2">
        <v>267</v>
      </c>
      <c r="BC1030" s="2">
        <v>278</v>
      </c>
      <c r="BD1030" s="2" t="s">
        <v>74</v>
      </c>
      <c r="BE1030" s="2" t="s">
        <v>3701</v>
      </c>
      <c r="BF1030" s="2" t="str">
        <f>HYPERLINK("http://dx.doi.org/10.1016/j.anbehav.2014.05.005","http://dx.doi.org/10.1016/j.anbehav.2014.05.005")</f>
        <v>http://dx.doi.org/10.1016/j.anbehav.2014.05.005</v>
      </c>
      <c r="BG1030" s="2" t="s">
        <v>74</v>
      </c>
      <c r="BH1030" s="2" t="s">
        <v>74</v>
      </c>
      <c r="BI1030" s="2" t="s">
        <v>74</v>
      </c>
      <c r="BJ1030" s="2" t="s">
        <v>74</v>
      </c>
      <c r="BK1030" s="2" t="s">
        <v>74</v>
      </c>
      <c r="BL1030" s="2" t="s">
        <v>74</v>
      </c>
      <c r="BM1030" s="2" t="s">
        <v>74</v>
      </c>
      <c r="BN1030" s="2" t="s">
        <v>74</v>
      </c>
      <c r="BO1030" s="2" t="s">
        <v>74</v>
      </c>
      <c r="BP1030" s="2" t="s">
        <v>74</v>
      </c>
      <c r="BQ1030" s="2" t="s">
        <v>74</v>
      </c>
      <c r="BR1030" s="2" t="s">
        <v>74</v>
      </c>
      <c r="BS1030" s="2" t="s">
        <v>3702</v>
      </c>
      <c r="BT1030" s="2" t="str">
        <f>HYPERLINK("https%3A%2F%2Fwww.webofscience.com%2Fwos%2Fwoscc%2Ffull-record%2FWOS:000338712900033","View Full Record in Web of Science")</f>
        <v>View Full Record in Web of Science</v>
      </c>
    </row>
    <row r="1031" spans="1:72" s="2" customFormat="1" x14ac:dyDescent="0.4">
      <c r="A1031" s="2" t="s">
        <v>72</v>
      </c>
      <c r="B1031" s="2" t="s">
        <v>7489</v>
      </c>
      <c r="C1031" s="2" t="s">
        <v>74</v>
      </c>
      <c r="D1031" s="2" t="s">
        <v>74</v>
      </c>
      <c r="E1031" s="2" t="s">
        <v>74</v>
      </c>
      <c r="F1031" s="2" t="s">
        <v>7490</v>
      </c>
      <c r="G1031" s="2" t="s">
        <v>74</v>
      </c>
      <c r="H1031" s="2" t="s">
        <v>74</v>
      </c>
      <c r="I1031" s="2" t="s">
        <v>7491</v>
      </c>
      <c r="J1031" s="2" t="s">
        <v>333</v>
      </c>
      <c r="K1031" s="2" t="s">
        <v>74</v>
      </c>
      <c r="L1031" s="2" t="s">
        <v>74</v>
      </c>
      <c r="M1031" s="2" t="s">
        <v>74</v>
      </c>
      <c r="N1031" s="2" t="s">
        <v>74</v>
      </c>
      <c r="O1031" s="2" t="s">
        <v>74</v>
      </c>
      <c r="P1031" s="2" t="s">
        <v>74</v>
      </c>
      <c r="Q1031" s="2" t="s">
        <v>74</v>
      </c>
      <c r="R1031" s="2" t="s">
        <v>74</v>
      </c>
      <c r="S1031" s="2" t="s">
        <v>74</v>
      </c>
      <c r="T1031" s="2" t="s">
        <v>74</v>
      </c>
      <c r="U1031" s="2" t="s">
        <v>74</v>
      </c>
      <c r="V1031" s="5" t="s">
        <v>7492</v>
      </c>
      <c r="W1031" s="2" t="s">
        <v>74</v>
      </c>
      <c r="X1031" s="2" t="s">
        <v>74</v>
      </c>
      <c r="Y1031" s="2" t="s">
        <v>74</v>
      </c>
      <c r="Z1031" s="2" t="s">
        <v>74</v>
      </c>
      <c r="AA1031" s="2" t="s">
        <v>74</v>
      </c>
      <c r="AB1031" s="2" t="s">
        <v>74</v>
      </c>
      <c r="AC1031" s="2" t="s">
        <v>74</v>
      </c>
      <c r="AD1031" s="2" t="s">
        <v>74</v>
      </c>
      <c r="AE1031" s="2" t="s">
        <v>74</v>
      </c>
      <c r="AF1031" s="2" t="s">
        <v>74</v>
      </c>
      <c r="AG1031" s="2" t="s">
        <v>74</v>
      </c>
      <c r="AH1031" s="2" t="s">
        <v>74</v>
      </c>
      <c r="AI1031" s="2" t="s">
        <v>74</v>
      </c>
      <c r="AJ1031" s="2" t="s">
        <v>74</v>
      </c>
      <c r="AK1031" s="2" t="s">
        <v>74</v>
      </c>
      <c r="AL1031" s="2" t="s">
        <v>74</v>
      </c>
      <c r="AM1031" s="2" t="s">
        <v>74</v>
      </c>
      <c r="AN1031" s="2" t="s">
        <v>74</v>
      </c>
      <c r="AO1031" s="2" t="s">
        <v>337</v>
      </c>
      <c r="AP1031" s="2" t="s">
        <v>338</v>
      </c>
      <c r="AQ1031" s="2" t="s">
        <v>74</v>
      </c>
      <c r="AR1031" s="2" t="s">
        <v>74</v>
      </c>
      <c r="AS1031" s="2" t="s">
        <v>74</v>
      </c>
      <c r="AT1031" s="2" t="s">
        <v>339</v>
      </c>
      <c r="AU1031" s="2">
        <v>2013</v>
      </c>
      <c r="AV1031" s="2">
        <v>24</v>
      </c>
      <c r="AW1031" s="2">
        <v>4</v>
      </c>
      <c r="AX1031" s="2" t="s">
        <v>74</v>
      </c>
      <c r="AY1031" s="2" t="s">
        <v>74</v>
      </c>
      <c r="AZ1031" s="2" t="s">
        <v>74</v>
      </c>
      <c r="BA1031" s="2" t="s">
        <v>74</v>
      </c>
      <c r="BB1031" s="2">
        <v>955</v>
      </c>
      <c r="BC1031" s="2">
        <v>967</v>
      </c>
      <c r="BD1031" s="2" t="s">
        <v>74</v>
      </c>
      <c r="BE1031" s="2" t="s">
        <v>7493</v>
      </c>
      <c r="BF1031" s="2" t="str">
        <f>HYPERLINK("http://dx.doi.org/10.1093/beheco/art011","http://dx.doi.org/10.1093/beheco/art011")</f>
        <v>http://dx.doi.org/10.1093/beheco/art011</v>
      </c>
      <c r="BG1031" s="2" t="s">
        <v>74</v>
      </c>
      <c r="BH1031" s="2" t="s">
        <v>74</v>
      </c>
      <c r="BI1031" s="2" t="s">
        <v>74</v>
      </c>
      <c r="BJ1031" s="2" t="s">
        <v>74</v>
      </c>
      <c r="BK1031" s="2" t="s">
        <v>74</v>
      </c>
      <c r="BL1031" s="2" t="s">
        <v>74</v>
      </c>
      <c r="BM1031" s="2" t="s">
        <v>74</v>
      </c>
      <c r="BN1031" s="2" t="s">
        <v>74</v>
      </c>
      <c r="BO1031" s="2" t="s">
        <v>74</v>
      </c>
      <c r="BP1031" s="2" t="s">
        <v>74</v>
      </c>
      <c r="BQ1031" s="2" t="s">
        <v>74</v>
      </c>
      <c r="BR1031" s="2" t="s">
        <v>74</v>
      </c>
      <c r="BS1031" s="2" t="s">
        <v>7494</v>
      </c>
      <c r="BT1031" s="2" t="str">
        <f>HYPERLINK("https%3A%2F%2Fwww.webofscience.com%2Fwos%2Fwoscc%2Ffull-record%2FWOS:000320409900027","View Full Record in Web of Science")</f>
        <v>View Full Record in Web of Science</v>
      </c>
    </row>
    <row r="1032" spans="1:72" s="1" customFormat="1" x14ac:dyDescent="0.4">
      <c r="A1032" s="2" t="s">
        <v>72</v>
      </c>
      <c r="B1032" s="2" t="s">
        <v>4870</v>
      </c>
      <c r="C1032" s="2" t="s">
        <v>74</v>
      </c>
      <c r="D1032" s="2" t="s">
        <v>74</v>
      </c>
      <c r="E1032" s="2" t="s">
        <v>74</v>
      </c>
      <c r="F1032" s="2" t="s">
        <v>4871</v>
      </c>
      <c r="G1032" s="2" t="s">
        <v>74</v>
      </c>
      <c r="H1032" s="2" t="s">
        <v>74</v>
      </c>
      <c r="I1032" s="2" t="s">
        <v>4872</v>
      </c>
      <c r="J1032" s="2" t="s">
        <v>763</v>
      </c>
      <c r="K1032" s="2" t="s">
        <v>74</v>
      </c>
      <c r="L1032" s="2" t="s">
        <v>74</v>
      </c>
      <c r="M1032" s="2" t="s">
        <v>74</v>
      </c>
      <c r="N1032" s="2" t="s">
        <v>74</v>
      </c>
      <c r="O1032" s="2" t="s">
        <v>74</v>
      </c>
      <c r="P1032" s="2" t="s">
        <v>74</v>
      </c>
      <c r="Q1032" s="2" t="s">
        <v>74</v>
      </c>
      <c r="R1032" s="2" t="s">
        <v>74</v>
      </c>
      <c r="S1032" s="2" t="s">
        <v>74</v>
      </c>
      <c r="T1032" s="2" t="s">
        <v>74</v>
      </c>
      <c r="U1032" s="2" t="s">
        <v>74</v>
      </c>
      <c r="V1032" s="5" t="s">
        <v>4873</v>
      </c>
      <c r="W1032" s="2" t="s">
        <v>74</v>
      </c>
      <c r="X1032" s="2" t="s">
        <v>74</v>
      </c>
      <c r="Y1032" s="2" t="s">
        <v>74</v>
      </c>
      <c r="Z1032" s="2" t="s">
        <v>74</v>
      </c>
      <c r="AA1032" s="2" t="s">
        <v>4874</v>
      </c>
      <c r="AB1032" s="2" t="s">
        <v>4875</v>
      </c>
      <c r="AC1032" s="2" t="s">
        <v>74</v>
      </c>
      <c r="AD1032" s="2" t="s">
        <v>74</v>
      </c>
      <c r="AE1032" s="2" t="s">
        <v>74</v>
      </c>
      <c r="AF1032" s="2" t="s">
        <v>74</v>
      </c>
      <c r="AG1032" s="2" t="s">
        <v>74</v>
      </c>
      <c r="AH1032" s="2" t="s">
        <v>74</v>
      </c>
      <c r="AI1032" s="2" t="s">
        <v>74</v>
      </c>
      <c r="AJ1032" s="2" t="s">
        <v>74</v>
      </c>
      <c r="AK1032" s="2" t="s">
        <v>74</v>
      </c>
      <c r="AL1032" s="2" t="s">
        <v>74</v>
      </c>
      <c r="AM1032" s="2" t="s">
        <v>74</v>
      </c>
      <c r="AN1032" s="2" t="s">
        <v>74</v>
      </c>
      <c r="AO1032" s="2" t="s">
        <v>767</v>
      </c>
      <c r="AP1032" s="2" t="s">
        <v>74</v>
      </c>
      <c r="AQ1032" s="2" t="s">
        <v>74</v>
      </c>
      <c r="AR1032" s="2" t="s">
        <v>74</v>
      </c>
      <c r="AS1032" s="2" t="s">
        <v>74</v>
      </c>
      <c r="AT1032" s="2" t="s">
        <v>134</v>
      </c>
      <c r="AU1032" s="2">
        <v>2013</v>
      </c>
      <c r="AV1032" s="2">
        <v>216</v>
      </c>
      <c r="AW1032" s="2">
        <v>9</v>
      </c>
      <c r="AX1032" s="2" t="s">
        <v>74</v>
      </c>
      <c r="AY1032" s="2" t="s">
        <v>74</v>
      </c>
      <c r="AZ1032" s="2" t="s">
        <v>74</v>
      </c>
      <c r="BA1032" s="2" t="s">
        <v>74</v>
      </c>
      <c r="BB1032" s="2">
        <v>1744</v>
      </c>
      <c r="BC1032" s="2">
        <v>1756</v>
      </c>
      <c r="BD1032" s="2" t="s">
        <v>74</v>
      </c>
      <c r="BE1032" s="2" t="s">
        <v>4876</v>
      </c>
      <c r="BF1032" s="2" t="str">
        <f>HYPERLINK("http://dx.doi.org/10.1242/jeb.071118","http://dx.doi.org/10.1242/jeb.071118")</f>
        <v>http://dx.doi.org/10.1242/jeb.071118</v>
      </c>
      <c r="BG1032" s="2" t="s">
        <v>74</v>
      </c>
      <c r="BH1032" s="2" t="s">
        <v>74</v>
      </c>
      <c r="BI1032" s="2" t="s">
        <v>74</v>
      </c>
      <c r="BJ1032" s="2" t="s">
        <v>74</v>
      </c>
      <c r="BK1032" s="2" t="s">
        <v>74</v>
      </c>
      <c r="BL1032" s="2" t="s">
        <v>74</v>
      </c>
      <c r="BM1032" s="2" t="s">
        <v>74</v>
      </c>
      <c r="BN1032" s="2">
        <v>23348952</v>
      </c>
      <c r="BO1032" s="2" t="s">
        <v>74</v>
      </c>
      <c r="BP1032" s="2" t="s">
        <v>74</v>
      </c>
      <c r="BQ1032" s="2" t="s">
        <v>74</v>
      </c>
      <c r="BR1032" s="2" t="s">
        <v>74</v>
      </c>
      <c r="BS1032" s="2" t="s">
        <v>4877</v>
      </c>
      <c r="BT1032" s="2" t="str">
        <f>HYPERLINK("https%3A%2F%2Fwww.webofscience.com%2Fwos%2Fwoscc%2Ffull-record%2FWOS:000317722700033","View Full Record in Web of Science")</f>
        <v>View Full Record in Web of Science</v>
      </c>
    </row>
    <row r="1033" spans="1:72" s="2" customFormat="1" x14ac:dyDescent="0.4">
      <c r="A1033" s="2" t="s">
        <v>72</v>
      </c>
      <c r="B1033" s="2" t="s">
        <v>821</v>
      </c>
      <c r="C1033" s="2" t="s">
        <v>74</v>
      </c>
      <c r="D1033" s="2" t="s">
        <v>74</v>
      </c>
      <c r="E1033" s="2" t="s">
        <v>74</v>
      </c>
      <c r="F1033" s="2" t="s">
        <v>822</v>
      </c>
      <c r="G1033" s="2" t="s">
        <v>74</v>
      </c>
      <c r="H1033" s="2" t="s">
        <v>74</v>
      </c>
      <c r="I1033" s="2" t="s">
        <v>823</v>
      </c>
      <c r="J1033" s="2" t="s">
        <v>824</v>
      </c>
      <c r="K1033" s="2" t="s">
        <v>74</v>
      </c>
      <c r="L1033" s="2" t="s">
        <v>74</v>
      </c>
      <c r="M1033" s="2" t="s">
        <v>74</v>
      </c>
      <c r="N1033" s="2" t="s">
        <v>74</v>
      </c>
      <c r="O1033" s="2" t="s">
        <v>74</v>
      </c>
      <c r="P1033" s="2" t="s">
        <v>74</v>
      </c>
      <c r="Q1033" s="2" t="s">
        <v>74</v>
      </c>
      <c r="R1033" s="2" t="s">
        <v>74</v>
      </c>
      <c r="S1033" s="2" t="s">
        <v>74</v>
      </c>
      <c r="T1033" s="2" t="s">
        <v>74</v>
      </c>
      <c r="U1033" s="2" t="s">
        <v>74</v>
      </c>
      <c r="V1033" s="5" t="s">
        <v>825</v>
      </c>
      <c r="W1033" s="2" t="s">
        <v>74</v>
      </c>
      <c r="X1033" s="2" t="s">
        <v>74</v>
      </c>
      <c r="Y1033" s="2" t="s">
        <v>74</v>
      </c>
      <c r="Z1033" s="2" t="s">
        <v>74</v>
      </c>
      <c r="AA1033" s="2" t="s">
        <v>826</v>
      </c>
      <c r="AB1033" s="2" t="s">
        <v>827</v>
      </c>
      <c r="AC1033" s="2" t="s">
        <v>74</v>
      </c>
      <c r="AD1033" s="2" t="s">
        <v>74</v>
      </c>
      <c r="AE1033" s="2" t="s">
        <v>74</v>
      </c>
      <c r="AF1033" s="2" t="s">
        <v>74</v>
      </c>
      <c r="AG1033" s="2" t="s">
        <v>74</v>
      </c>
      <c r="AH1033" s="2" t="s">
        <v>74</v>
      </c>
      <c r="AI1033" s="2" t="s">
        <v>74</v>
      </c>
      <c r="AJ1033" s="2" t="s">
        <v>74</v>
      </c>
      <c r="AK1033" s="2" t="s">
        <v>74</v>
      </c>
      <c r="AL1033" s="2" t="s">
        <v>74</v>
      </c>
      <c r="AM1033" s="2" t="s">
        <v>74</v>
      </c>
      <c r="AN1033" s="2" t="s">
        <v>74</v>
      </c>
      <c r="AO1033" s="2" t="s">
        <v>828</v>
      </c>
      <c r="AP1033" s="2" t="s">
        <v>829</v>
      </c>
      <c r="AQ1033" s="2" t="s">
        <v>74</v>
      </c>
      <c r="AR1033" s="2" t="s">
        <v>74</v>
      </c>
      <c r="AS1033" s="2" t="s">
        <v>74</v>
      </c>
      <c r="AT1033" s="2" t="s">
        <v>352</v>
      </c>
      <c r="AU1033" s="2">
        <v>2017</v>
      </c>
      <c r="AV1033" s="2">
        <v>86</v>
      </c>
      <c r="AW1033" s="2">
        <v>5</v>
      </c>
      <c r="AX1033" s="2" t="s">
        <v>74</v>
      </c>
      <c r="AY1033" s="2" t="s">
        <v>74</v>
      </c>
      <c r="AZ1033" s="2" t="s">
        <v>74</v>
      </c>
      <c r="BA1033" s="2" t="s">
        <v>74</v>
      </c>
      <c r="BB1033" s="2">
        <v>1074</v>
      </c>
      <c r="BC1033" s="2">
        <v>1081</v>
      </c>
      <c r="BD1033" s="2" t="s">
        <v>74</v>
      </c>
      <c r="BE1033" s="2" t="s">
        <v>830</v>
      </c>
      <c r="BF1033" s="2" t="str">
        <f>HYPERLINK("http://dx.doi.org/10.1111/1365-2656.12690","http://dx.doi.org/10.1111/1365-2656.12690")</f>
        <v>http://dx.doi.org/10.1111/1365-2656.12690</v>
      </c>
      <c r="BG1033" s="2" t="s">
        <v>74</v>
      </c>
      <c r="BH1033" s="2" t="s">
        <v>74</v>
      </c>
      <c r="BI1033" s="2" t="s">
        <v>74</v>
      </c>
      <c r="BJ1033" s="2" t="s">
        <v>74</v>
      </c>
      <c r="BK1033" s="2" t="s">
        <v>74</v>
      </c>
      <c r="BL1033" s="2" t="s">
        <v>74</v>
      </c>
      <c r="BM1033" s="2" t="s">
        <v>74</v>
      </c>
      <c r="BN1033" s="2">
        <v>28502084</v>
      </c>
      <c r="BO1033" s="2" t="s">
        <v>74</v>
      </c>
      <c r="BP1033" s="2" t="s">
        <v>74</v>
      </c>
      <c r="BQ1033" s="2" t="s">
        <v>74</v>
      </c>
      <c r="BR1033" s="2" t="s">
        <v>74</v>
      </c>
      <c r="BS1033" s="2" t="s">
        <v>831</v>
      </c>
      <c r="BT1033" s="2" t="str">
        <f>HYPERLINK("https%3A%2F%2Fwww.webofscience.com%2Fwos%2Fwoscc%2Ffull-record%2FWOS:000407320500010","View Full Record in Web of Science")</f>
        <v>View Full Record in Web of Science</v>
      </c>
    </row>
    <row r="1034" spans="1:72" s="2" customFormat="1" x14ac:dyDescent="0.4">
      <c r="A1034" s="2" t="s">
        <v>72</v>
      </c>
      <c r="B1034" s="2" t="s">
        <v>5895</v>
      </c>
      <c r="C1034" s="2" t="s">
        <v>74</v>
      </c>
      <c r="D1034" s="2" t="s">
        <v>74</v>
      </c>
      <c r="E1034" s="2" t="s">
        <v>74</v>
      </c>
      <c r="F1034" s="2" t="s">
        <v>5895</v>
      </c>
      <c r="G1034" s="2" t="s">
        <v>74</v>
      </c>
      <c r="H1034" s="2" t="s">
        <v>74</v>
      </c>
      <c r="I1034" s="2" t="s">
        <v>5896</v>
      </c>
      <c r="J1034" s="2" t="s">
        <v>5897</v>
      </c>
      <c r="K1034" s="2" t="s">
        <v>74</v>
      </c>
      <c r="L1034" s="2" t="s">
        <v>74</v>
      </c>
      <c r="M1034" s="2" t="s">
        <v>74</v>
      </c>
      <c r="N1034" s="2" t="s">
        <v>74</v>
      </c>
      <c r="O1034" s="2" t="s">
        <v>74</v>
      </c>
      <c r="P1034" s="2" t="s">
        <v>74</v>
      </c>
      <c r="Q1034" s="2" t="s">
        <v>74</v>
      </c>
      <c r="R1034" s="2" t="s">
        <v>74</v>
      </c>
      <c r="S1034" s="2" t="s">
        <v>74</v>
      </c>
      <c r="T1034" s="2" t="s">
        <v>74</v>
      </c>
      <c r="U1034" s="2" t="s">
        <v>74</v>
      </c>
      <c r="V1034" s="5" t="s">
        <v>5898</v>
      </c>
      <c r="W1034" s="2" t="s">
        <v>74</v>
      </c>
      <c r="X1034" s="2" t="s">
        <v>74</v>
      </c>
      <c r="Y1034" s="2" t="s">
        <v>74</v>
      </c>
      <c r="Z1034" s="2" t="s">
        <v>74</v>
      </c>
      <c r="AA1034" s="2" t="s">
        <v>74</v>
      </c>
      <c r="AB1034" s="2" t="s">
        <v>74</v>
      </c>
      <c r="AC1034" s="2" t="s">
        <v>74</v>
      </c>
      <c r="AD1034" s="2" t="s">
        <v>74</v>
      </c>
      <c r="AE1034" s="2" t="s">
        <v>74</v>
      </c>
      <c r="AF1034" s="2" t="s">
        <v>74</v>
      </c>
      <c r="AG1034" s="2" t="s">
        <v>74</v>
      </c>
      <c r="AH1034" s="2" t="s">
        <v>74</v>
      </c>
      <c r="AI1034" s="2" t="s">
        <v>74</v>
      </c>
      <c r="AJ1034" s="2" t="s">
        <v>74</v>
      </c>
      <c r="AK1034" s="2" t="s">
        <v>74</v>
      </c>
      <c r="AL1034" s="2" t="s">
        <v>74</v>
      </c>
      <c r="AM1034" s="2" t="s">
        <v>74</v>
      </c>
      <c r="AN1034" s="2" t="s">
        <v>74</v>
      </c>
      <c r="AO1034" s="2" t="s">
        <v>5899</v>
      </c>
      <c r="AP1034" s="2" t="s">
        <v>5900</v>
      </c>
      <c r="AQ1034" s="2" t="s">
        <v>74</v>
      </c>
      <c r="AR1034" s="2" t="s">
        <v>74</v>
      </c>
      <c r="AS1034" s="2" t="s">
        <v>74</v>
      </c>
      <c r="AT1034" s="2" t="s">
        <v>175</v>
      </c>
      <c r="AU1034" s="2">
        <v>1988</v>
      </c>
      <c r="AV1034" s="2">
        <v>61</v>
      </c>
      <c r="AW1034" s="2">
        <v>4</v>
      </c>
      <c r="AX1034" s="2" t="s">
        <v>74</v>
      </c>
      <c r="AY1034" s="2" t="s">
        <v>74</v>
      </c>
      <c r="AZ1034" s="2" t="s">
        <v>74</v>
      </c>
      <c r="BA1034" s="2" t="s">
        <v>74</v>
      </c>
      <c r="BB1034" s="2">
        <v>388</v>
      </c>
      <c r="BC1034" s="2">
        <v>395</v>
      </c>
      <c r="BD1034" s="2" t="s">
        <v>74</v>
      </c>
      <c r="BE1034" s="2" t="s">
        <v>74</v>
      </c>
      <c r="BF1034" s="2" t="s">
        <v>74</v>
      </c>
      <c r="BG1034" s="2" t="s">
        <v>74</v>
      </c>
      <c r="BH1034" s="2" t="s">
        <v>74</v>
      </c>
      <c r="BI1034" s="2" t="s">
        <v>74</v>
      </c>
      <c r="BJ1034" s="2" t="s">
        <v>74</v>
      </c>
      <c r="BK1034" s="2" t="s">
        <v>74</v>
      </c>
      <c r="BL1034" s="2" t="s">
        <v>74</v>
      </c>
      <c r="BM1034" s="2" t="s">
        <v>74</v>
      </c>
      <c r="BN1034" s="2" t="s">
        <v>74</v>
      </c>
      <c r="BO1034" s="2" t="s">
        <v>74</v>
      </c>
      <c r="BP1034" s="2" t="s">
        <v>74</v>
      </c>
      <c r="BQ1034" s="2" t="s">
        <v>74</v>
      </c>
      <c r="BR1034" s="2" t="s">
        <v>74</v>
      </c>
      <c r="BS1034" s="2" t="s">
        <v>5901</v>
      </c>
      <c r="BT1034" s="2" t="str">
        <f>HYPERLINK("https%3A%2F%2Fwww.webofscience.com%2Fwos%2Fwoscc%2Ffull-record%2FWOS:A1988T891300004","View Full Record in Web of Science")</f>
        <v>View Full Record in Web of Science</v>
      </c>
    </row>
    <row r="1035" spans="1:72" s="2" customFormat="1" x14ac:dyDescent="0.4">
      <c r="A1035" s="2" t="s">
        <v>72</v>
      </c>
      <c r="B1035" s="2" t="s">
        <v>8266</v>
      </c>
      <c r="C1035" s="2" t="s">
        <v>74</v>
      </c>
      <c r="D1035" s="2" t="s">
        <v>74</v>
      </c>
      <c r="E1035" s="2" t="s">
        <v>74</v>
      </c>
      <c r="F1035" s="2" t="s">
        <v>8267</v>
      </c>
      <c r="G1035" s="2" t="s">
        <v>74</v>
      </c>
      <c r="H1035" s="2" t="s">
        <v>74</v>
      </c>
      <c r="I1035" s="2" t="s">
        <v>8268</v>
      </c>
      <c r="J1035" s="2" t="s">
        <v>8269</v>
      </c>
      <c r="K1035" s="2" t="s">
        <v>74</v>
      </c>
      <c r="L1035" s="2" t="s">
        <v>74</v>
      </c>
      <c r="M1035" s="2" t="s">
        <v>74</v>
      </c>
      <c r="N1035" s="2" t="s">
        <v>74</v>
      </c>
      <c r="O1035" s="2" t="s">
        <v>74</v>
      </c>
      <c r="P1035" s="2" t="s">
        <v>74</v>
      </c>
      <c r="Q1035" s="2" t="s">
        <v>74</v>
      </c>
      <c r="R1035" s="2" t="s">
        <v>74</v>
      </c>
      <c r="S1035" s="2" t="s">
        <v>74</v>
      </c>
      <c r="T1035" s="2" t="s">
        <v>74</v>
      </c>
      <c r="U1035" s="2" t="s">
        <v>74</v>
      </c>
      <c r="V1035" s="5" t="s">
        <v>8270</v>
      </c>
      <c r="W1035" s="2" t="s">
        <v>74</v>
      </c>
      <c r="X1035" s="2" t="s">
        <v>74</v>
      </c>
      <c r="Y1035" s="2" t="s">
        <v>74</v>
      </c>
      <c r="Z1035" s="2" t="s">
        <v>74</v>
      </c>
      <c r="AA1035" s="2" t="s">
        <v>8271</v>
      </c>
      <c r="AB1035" s="2" t="s">
        <v>8272</v>
      </c>
      <c r="AC1035" s="2" t="s">
        <v>74</v>
      </c>
      <c r="AD1035" s="2" t="s">
        <v>74</v>
      </c>
      <c r="AE1035" s="2" t="s">
        <v>74</v>
      </c>
      <c r="AF1035" s="2" t="s">
        <v>74</v>
      </c>
      <c r="AG1035" s="2" t="s">
        <v>74</v>
      </c>
      <c r="AH1035" s="2" t="s">
        <v>74</v>
      </c>
      <c r="AI1035" s="2" t="s">
        <v>74</v>
      </c>
      <c r="AJ1035" s="2" t="s">
        <v>74</v>
      </c>
      <c r="AK1035" s="2" t="s">
        <v>74</v>
      </c>
      <c r="AL1035" s="2" t="s">
        <v>74</v>
      </c>
      <c r="AM1035" s="2" t="s">
        <v>74</v>
      </c>
      <c r="AN1035" s="2" t="s">
        <v>74</v>
      </c>
      <c r="AO1035" s="2" t="s">
        <v>8273</v>
      </c>
      <c r="AP1035" s="2" t="s">
        <v>74</v>
      </c>
      <c r="AQ1035" s="2" t="s">
        <v>74</v>
      </c>
      <c r="AR1035" s="2" t="s">
        <v>74</v>
      </c>
      <c r="AS1035" s="2" t="s">
        <v>74</v>
      </c>
      <c r="AT1035" s="2" t="s">
        <v>1090</v>
      </c>
      <c r="AU1035" s="2">
        <v>2014</v>
      </c>
      <c r="AV1035" s="2">
        <v>78</v>
      </c>
      <c r="AW1035" s="2" t="s">
        <v>74</v>
      </c>
      <c r="AX1035" s="2" t="s">
        <v>74</v>
      </c>
      <c r="AY1035" s="2" t="s">
        <v>74</v>
      </c>
      <c r="AZ1035" s="2" t="s">
        <v>74</v>
      </c>
      <c r="BA1035" s="2" t="s">
        <v>74</v>
      </c>
      <c r="BB1035" s="2" t="s">
        <v>74</v>
      </c>
      <c r="BC1035" s="2" t="s">
        <v>74</v>
      </c>
      <c r="BD1035" s="2" t="s">
        <v>74</v>
      </c>
      <c r="BE1035" s="2" t="s">
        <v>8274</v>
      </c>
      <c r="BF1035" s="2" t="str">
        <f>HYPERLINK("http://dx.doi.org/10.1399/eps.2013.1","http://dx.doi.org/10.1399/eps.2013.1")</f>
        <v>http://dx.doi.org/10.1399/eps.2013.1</v>
      </c>
      <c r="BG1035" s="2" t="s">
        <v>74</v>
      </c>
      <c r="BH1035" s="2" t="s">
        <v>74</v>
      </c>
      <c r="BI1035" s="2" t="s">
        <v>74</v>
      </c>
      <c r="BJ1035" s="2" t="s">
        <v>74</v>
      </c>
      <c r="BK1035" s="2" t="s">
        <v>74</v>
      </c>
      <c r="BL1035" s="2" t="s">
        <v>74</v>
      </c>
      <c r="BM1035" s="2" t="s">
        <v>74</v>
      </c>
      <c r="BN1035" s="2" t="s">
        <v>74</v>
      </c>
      <c r="BO1035" s="2" t="s">
        <v>74</v>
      </c>
      <c r="BP1035" s="2" t="s">
        <v>74</v>
      </c>
      <c r="BQ1035" s="2" t="s">
        <v>74</v>
      </c>
      <c r="BR1035" s="2" t="s">
        <v>74</v>
      </c>
      <c r="BS1035" s="2" t="s">
        <v>8275</v>
      </c>
      <c r="BT1035" s="2" t="str">
        <f>HYPERLINK("https%3A%2F%2Fwww.webofscience.com%2Fwos%2Fwoscc%2Ffull-record%2FWOS:000343648600001","View Full Record in Web of Science")</f>
        <v>View Full Record in Web of Science</v>
      </c>
    </row>
    <row r="1036" spans="1:72" s="2" customFormat="1" x14ac:dyDescent="0.4">
      <c r="A1036" s="2" t="s">
        <v>72</v>
      </c>
      <c r="B1036" s="2" t="s">
        <v>2464</v>
      </c>
      <c r="C1036" s="2" t="s">
        <v>74</v>
      </c>
      <c r="D1036" s="2" t="s">
        <v>74</v>
      </c>
      <c r="E1036" s="2" t="s">
        <v>74</v>
      </c>
      <c r="F1036" s="2" t="s">
        <v>2464</v>
      </c>
      <c r="G1036" s="2" t="s">
        <v>74</v>
      </c>
      <c r="H1036" s="2" t="s">
        <v>74</v>
      </c>
      <c r="I1036" s="2" t="s">
        <v>2465</v>
      </c>
      <c r="J1036" s="2" t="s">
        <v>2466</v>
      </c>
      <c r="K1036" s="2" t="s">
        <v>74</v>
      </c>
      <c r="L1036" s="2" t="s">
        <v>74</v>
      </c>
      <c r="M1036" s="2" t="s">
        <v>74</v>
      </c>
      <c r="N1036" s="2" t="s">
        <v>74</v>
      </c>
      <c r="O1036" s="2" t="s">
        <v>74</v>
      </c>
      <c r="P1036" s="2" t="s">
        <v>74</v>
      </c>
      <c r="Q1036" s="2" t="s">
        <v>74</v>
      </c>
      <c r="R1036" s="2" t="s">
        <v>74</v>
      </c>
      <c r="S1036" s="2" t="s">
        <v>74</v>
      </c>
      <c r="T1036" s="2" t="s">
        <v>74</v>
      </c>
      <c r="U1036" s="2" t="s">
        <v>74</v>
      </c>
      <c r="V1036" s="5" t="s">
        <v>2467</v>
      </c>
      <c r="W1036" s="2" t="s">
        <v>74</v>
      </c>
      <c r="X1036" s="2" t="s">
        <v>74</v>
      </c>
      <c r="Y1036" s="2" t="s">
        <v>74</v>
      </c>
      <c r="Z1036" s="2" t="s">
        <v>74</v>
      </c>
      <c r="AA1036" s="2" t="s">
        <v>2468</v>
      </c>
      <c r="AB1036" s="2" t="s">
        <v>2469</v>
      </c>
      <c r="AC1036" s="2" t="s">
        <v>74</v>
      </c>
      <c r="AD1036" s="2" t="s">
        <v>74</v>
      </c>
      <c r="AE1036" s="2" t="s">
        <v>74</v>
      </c>
      <c r="AF1036" s="2" t="s">
        <v>74</v>
      </c>
      <c r="AG1036" s="2" t="s">
        <v>74</v>
      </c>
      <c r="AH1036" s="2" t="s">
        <v>74</v>
      </c>
      <c r="AI1036" s="2" t="s">
        <v>74</v>
      </c>
      <c r="AJ1036" s="2" t="s">
        <v>74</v>
      </c>
      <c r="AK1036" s="2" t="s">
        <v>74</v>
      </c>
      <c r="AL1036" s="2" t="s">
        <v>74</v>
      </c>
      <c r="AM1036" s="2" t="s">
        <v>74</v>
      </c>
      <c r="AN1036" s="2" t="s">
        <v>74</v>
      </c>
      <c r="AO1036" s="2" t="s">
        <v>2470</v>
      </c>
      <c r="AP1036" s="2" t="s">
        <v>2471</v>
      </c>
      <c r="AQ1036" s="2" t="s">
        <v>74</v>
      </c>
      <c r="AR1036" s="2" t="s">
        <v>74</v>
      </c>
      <c r="AS1036" s="2" t="s">
        <v>74</v>
      </c>
      <c r="AT1036" s="2" t="s">
        <v>204</v>
      </c>
      <c r="AU1036" s="2">
        <v>2005</v>
      </c>
      <c r="AV1036" s="2">
        <v>83</v>
      </c>
      <c r="AW1036" s="2">
        <v>7</v>
      </c>
      <c r="AX1036" s="2" t="s">
        <v>74</v>
      </c>
      <c r="AY1036" s="2" t="s">
        <v>74</v>
      </c>
      <c r="AZ1036" s="2" t="s">
        <v>74</v>
      </c>
      <c r="BA1036" s="2" t="s">
        <v>74</v>
      </c>
      <c r="BB1036" s="2">
        <v>1664</v>
      </c>
      <c r="BC1036" s="2">
        <v>1672</v>
      </c>
      <c r="BD1036" s="2" t="s">
        <v>74</v>
      </c>
      <c r="BE1036" s="2" t="s">
        <v>74</v>
      </c>
      <c r="BF1036" s="2" t="s">
        <v>74</v>
      </c>
      <c r="BG1036" s="2" t="s">
        <v>74</v>
      </c>
      <c r="BH1036" s="2" t="s">
        <v>74</v>
      </c>
      <c r="BI1036" s="2" t="s">
        <v>74</v>
      </c>
      <c r="BJ1036" s="2" t="s">
        <v>74</v>
      </c>
      <c r="BK1036" s="2" t="s">
        <v>74</v>
      </c>
      <c r="BL1036" s="2" t="s">
        <v>74</v>
      </c>
      <c r="BM1036" s="2" t="s">
        <v>74</v>
      </c>
      <c r="BN1036" s="2">
        <v>15956475</v>
      </c>
      <c r="BO1036" s="2" t="s">
        <v>74</v>
      </c>
      <c r="BP1036" s="2" t="s">
        <v>74</v>
      </c>
      <c r="BQ1036" s="2" t="s">
        <v>74</v>
      </c>
      <c r="BR1036" s="2" t="s">
        <v>74</v>
      </c>
      <c r="BS1036" s="2" t="s">
        <v>2472</v>
      </c>
      <c r="BT1036" s="2" t="str">
        <f>HYPERLINK("https%3A%2F%2Fwww.webofscience.com%2Fwos%2Fwoscc%2Ffull-record%2FWOS:000235847500021","View Full Record in Web of Science")</f>
        <v>View Full Record in Web of Science</v>
      </c>
    </row>
    <row r="1037" spans="1:72" s="2" customFormat="1" x14ac:dyDescent="0.4">
      <c r="A1037" s="2" t="s">
        <v>72</v>
      </c>
      <c r="B1037" s="2" t="s">
        <v>5063</v>
      </c>
      <c r="C1037" s="2" t="s">
        <v>74</v>
      </c>
      <c r="D1037" s="2" t="s">
        <v>74</v>
      </c>
      <c r="E1037" s="2" t="s">
        <v>74</v>
      </c>
      <c r="F1037" s="2" t="s">
        <v>5063</v>
      </c>
      <c r="G1037" s="2" t="s">
        <v>74</v>
      </c>
      <c r="H1037" s="2" t="s">
        <v>74</v>
      </c>
      <c r="I1037" s="2" t="s">
        <v>5064</v>
      </c>
      <c r="J1037" s="2" t="s">
        <v>5065</v>
      </c>
      <c r="K1037" s="2" t="s">
        <v>74</v>
      </c>
      <c r="L1037" s="2" t="s">
        <v>74</v>
      </c>
      <c r="M1037" s="2" t="s">
        <v>74</v>
      </c>
      <c r="N1037" s="2" t="s">
        <v>74</v>
      </c>
      <c r="O1037" s="2" t="s">
        <v>74</v>
      </c>
      <c r="P1037" s="2" t="s">
        <v>74</v>
      </c>
      <c r="Q1037" s="2" t="s">
        <v>74</v>
      </c>
      <c r="R1037" s="2" t="s">
        <v>74</v>
      </c>
      <c r="S1037" s="2" t="s">
        <v>74</v>
      </c>
      <c r="T1037" s="2" t="s">
        <v>74</v>
      </c>
      <c r="U1037" s="2" t="s">
        <v>74</v>
      </c>
      <c r="V1037" s="5" t="s">
        <v>5066</v>
      </c>
      <c r="W1037" s="2" t="s">
        <v>74</v>
      </c>
      <c r="X1037" s="2" t="s">
        <v>74</v>
      </c>
      <c r="Y1037" s="2" t="s">
        <v>74</v>
      </c>
      <c r="Z1037" s="2" t="s">
        <v>74</v>
      </c>
      <c r="AA1037" s="2" t="s">
        <v>5067</v>
      </c>
      <c r="AB1037" s="2" t="s">
        <v>74</v>
      </c>
      <c r="AC1037" s="2" t="s">
        <v>74</v>
      </c>
      <c r="AD1037" s="2" t="s">
        <v>74</v>
      </c>
      <c r="AE1037" s="2" t="s">
        <v>74</v>
      </c>
      <c r="AF1037" s="2" t="s">
        <v>74</v>
      </c>
      <c r="AG1037" s="2" t="s">
        <v>74</v>
      </c>
      <c r="AH1037" s="2" t="s">
        <v>74</v>
      </c>
      <c r="AI1037" s="2" t="s">
        <v>74</v>
      </c>
      <c r="AJ1037" s="2" t="s">
        <v>74</v>
      </c>
      <c r="AK1037" s="2" t="s">
        <v>74</v>
      </c>
      <c r="AL1037" s="2" t="s">
        <v>74</v>
      </c>
      <c r="AM1037" s="2" t="s">
        <v>74</v>
      </c>
      <c r="AN1037" s="2" t="s">
        <v>74</v>
      </c>
      <c r="AO1037" s="2" t="s">
        <v>5068</v>
      </c>
      <c r="AP1037" s="2" t="s">
        <v>74</v>
      </c>
      <c r="AQ1037" s="2" t="s">
        <v>74</v>
      </c>
      <c r="AR1037" s="2" t="s">
        <v>74</v>
      </c>
      <c r="AS1037" s="2" t="s">
        <v>74</v>
      </c>
      <c r="AT1037" s="2" t="s">
        <v>74</v>
      </c>
      <c r="AU1037" s="2">
        <v>1979</v>
      </c>
      <c r="AV1037" s="2">
        <v>6</v>
      </c>
      <c r="AW1037" s="2">
        <v>2</v>
      </c>
      <c r="AX1037" s="2" t="s">
        <v>74</v>
      </c>
      <c r="AY1037" s="2" t="s">
        <v>74</v>
      </c>
      <c r="AZ1037" s="2" t="s">
        <v>74</v>
      </c>
      <c r="BA1037" s="2" t="s">
        <v>74</v>
      </c>
      <c r="BB1037" s="2">
        <v>83</v>
      </c>
      <c r="BC1037" s="2">
        <v>93</v>
      </c>
      <c r="BD1037" s="2" t="s">
        <v>74</v>
      </c>
      <c r="BE1037" s="2" t="s">
        <v>5069</v>
      </c>
      <c r="BF1037" s="2" t="str">
        <f>HYPERLINK("http://dx.doi.org/10.1080/10236247909378556","http://dx.doi.org/10.1080/10236247909378556")</f>
        <v>http://dx.doi.org/10.1080/10236247909378556</v>
      </c>
      <c r="BG1037" s="2" t="s">
        <v>74</v>
      </c>
      <c r="BH1037" s="2" t="s">
        <v>74</v>
      </c>
      <c r="BI1037" s="2" t="s">
        <v>74</v>
      </c>
      <c r="BJ1037" s="2" t="s">
        <v>74</v>
      </c>
      <c r="BK1037" s="2" t="s">
        <v>74</v>
      </c>
      <c r="BL1037" s="2" t="s">
        <v>74</v>
      </c>
      <c r="BM1037" s="2" t="s">
        <v>74</v>
      </c>
      <c r="BN1037" s="2" t="s">
        <v>74</v>
      </c>
      <c r="BO1037" s="2" t="s">
        <v>74</v>
      </c>
      <c r="BP1037" s="2" t="s">
        <v>74</v>
      </c>
      <c r="BQ1037" s="2" t="s">
        <v>74</v>
      </c>
      <c r="BR1037" s="2" t="s">
        <v>74</v>
      </c>
      <c r="BS1037" s="2" t="s">
        <v>5070</v>
      </c>
      <c r="BT1037" s="2" t="str">
        <f>HYPERLINK("https%3A%2F%2Fwww.webofscience.com%2Fwos%2Fwoscc%2Ffull-record%2FWOS:A1979HB35100001","View Full Record in Web of Science")</f>
        <v>View Full Record in Web of Science</v>
      </c>
    </row>
    <row r="1038" spans="1:72" s="2" customFormat="1" x14ac:dyDescent="0.4">
      <c r="A1038" s="2" t="s">
        <v>72</v>
      </c>
      <c r="B1038" s="2" t="s">
        <v>599</v>
      </c>
      <c r="C1038" s="2" t="s">
        <v>74</v>
      </c>
      <c r="D1038" s="2" t="s">
        <v>74</v>
      </c>
      <c r="E1038" s="2" t="s">
        <v>74</v>
      </c>
      <c r="F1038" s="2" t="s">
        <v>600</v>
      </c>
      <c r="G1038" s="2" t="s">
        <v>74</v>
      </c>
      <c r="H1038" s="2" t="s">
        <v>74</v>
      </c>
      <c r="I1038" s="2" t="s">
        <v>601</v>
      </c>
      <c r="J1038" s="2" t="s">
        <v>602</v>
      </c>
      <c r="K1038" s="2" t="s">
        <v>74</v>
      </c>
      <c r="L1038" s="2" t="s">
        <v>74</v>
      </c>
      <c r="M1038" s="2" t="s">
        <v>74</v>
      </c>
      <c r="N1038" s="2" t="s">
        <v>74</v>
      </c>
      <c r="O1038" s="2" t="s">
        <v>74</v>
      </c>
      <c r="P1038" s="2" t="s">
        <v>74</v>
      </c>
      <c r="Q1038" s="2" t="s">
        <v>74</v>
      </c>
      <c r="R1038" s="2" t="s">
        <v>74</v>
      </c>
      <c r="S1038" s="2" t="s">
        <v>74</v>
      </c>
      <c r="T1038" s="2" t="s">
        <v>74</v>
      </c>
      <c r="U1038" s="2" t="s">
        <v>74</v>
      </c>
      <c r="V1038" s="5" t="s">
        <v>603</v>
      </c>
      <c r="W1038" s="2" t="s">
        <v>74</v>
      </c>
      <c r="X1038" s="2" t="s">
        <v>74</v>
      </c>
      <c r="Y1038" s="2" t="s">
        <v>74</v>
      </c>
      <c r="Z1038" s="2" t="s">
        <v>74</v>
      </c>
      <c r="AA1038" s="2" t="s">
        <v>604</v>
      </c>
      <c r="AB1038" s="2" t="s">
        <v>74</v>
      </c>
      <c r="AC1038" s="2" t="s">
        <v>74</v>
      </c>
      <c r="AD1038" s="2" t="s">
        <v>74</v>
      </c>
      <c r="AE1038" s="2" t="s">
        <v>74</v>
      </c>
      <c r="AF1038" s="2" t="s">
        <v>74</v>
      </c>
      <c r="AG1038" s="2" t="s">
        <v>74</v>
      </c>
      <c r="AH1038" s="2" t="s">
        <v>74</v>
      </c>
      <c r="AI1038" s="2" t="s">
        <v>74</v>
      </c>
      <c r="AJ1038" s="2" t="s">
        <v>74</v>
      </c>
      <c r="AK1038" s="2" t="s">
        <v>74</v>
      </c>
      <c r="AL1038" s="2" t="s">
        <v>74</v>
      </c>
      <c r="AM1038" s="2" t="s">
        <v>74</v>
      </c>
      <c r="AN1038" s="2" t="s">
        <v>74</v>
      </c>
      <c r="AO1038" s="2" t="s">
        <v>605</v>
      </c>
      <c r="AP1038" s="2" t="s">
        <v>74</v>
      </c>
      <c r="AQ1038" s="2" t="s">
        <v>74</v>
      </c>
      <c r="AR1038" s="2" t="s">
        <v>74</v>
      </c>
      <c r="AS1038" s="2" t="s">
        <v>74</v>
      </c>
      <c r="AT1038" s="2" t="s">
        <v>74</v>
      </c>
      <c r="AU1038" s="2">
        <v>2011</v>
      </c>
      <c r="AV1038" s="2">
        <v>63</v>
      </c>
      <c r="AW1038" s="2" t="s">
        <v>74</v>
      </c>
      <c r="AX1038" s="2" t="s">
        <v>74</v>
      </c>
      <c r="AY1038" s="2" t="s">
        <v>74</v>
      </c>
      <c r="AZ1038" s="2" t="s">
        <v>74</v>
      </c>
      <c r="BA1038" s="2" t="s">
        <v>74</v>
      </c>
      <c r="BB1038" s="2" t="s">
        <v>74</v>
      </c>
      <c r="BC1038" s="2" t="s">
        <v>74</v>
      </c>
      <c r="BD1038" s="2">
        <v>532</v>
      </c>
      <c r="BE1038" s="2" t="s">
        <v>74</v>
      </c>
      <c r="BF1038" s="2" t="s">
        <v>74</v>
      </c>
      <c r="BG1038" s="2" t="s">
        <v>74</v>
      </c>
      <c r="BH1038" s="2" t="s">
        <v>74</v>
      </c>
      <c r="BI1038" s="2" t="s">
        <v>74</v>
      </c>
      <c r="BJ1038" s="2" t="s">
        <v>74</v>
      </c>
      <c r="BK1038" s="2" t="s">
        <v>74</v>
      </c>
      <c r="BL1038" s="2" t="s">
        <v>74</v>
      </c>
      <c r="BM1038" s="2" t="s">
        <v>74</v>
      </c>
      <c r="BN1038" s="2" t="s">
        <v>74</v>
      </c>
      <c r="BO1038" s="2" t="s">
        <v>74</v>
      </c>
      <c r="BP1038" s="2" t="s">
        <v>74</v>
      </c>
      <c r="BQ1038" s="2" t="s">
        <v>74</v>
      </c>
      <c r="BR1038" s="2" t="s">
        <v>74</v>
      </c>
      <c r="BS1038" s="2" t="s">
        <v>606</v>
      </c>
      <c r="BT1038" s="2" t="str">
        <f>HYPERLINK("https%3A%2F%2Fwww.webofscience.com%2Fwos%2Fwoscc%2Ffull-record%2FWOS:000296494000001","View Full Record in Web of Science")</f>
        <v>View Full Record in Web of Science</v>
      </c>
    </row>
    <row r="1039" spans="1:72" s="2" customFormat="1" x14ac:dyDescent="0.4">
      <c r="A1039" s="2" t="s">
        <v>72</v>
      </c>
      <c r="B1039" s="2" t="s">
        <v>4943</v>
      </c>
      <c r="C1039" s="2" t="s">
        <v>74</v>
      </c>
      <c r="D1039" s="2" t="s">
        <v>74</v>
      </c>
      <c r="E1039" s="2" t="s">
        <v>74</v>
      </c>
      <c r="F1039" s="2" t="s">
        <v>4944</v>
      </c>
      <c r="G1039" s="2" t="s">
        <v>74</v>
      </c>
      <c r="H1039" s="2" t="s">
        <v>74</v>
      </c>
      <c r="I1039" s="2" t="s">
        <v>4945</v>
      </c>
      <c r="J1039" s="2" t="s">
        <v>129</v>
      </c>
      <c r="K1039" s="2" t="s">
        <v>74</v>
      </c>
      <c r="L1039" s="2" t="s">
        <v>74</v>
      </c>
      <c r="M1039" s="2" t="s">
        <v>74</v>
      </c>
      <c r="N1039" s="2" t="s">
        <v>74</v>
      </c>
      <c r="O1039" s="2" t="s">
        <v>74</v>
      </c>
      <c r="P1039" s="2" t="s">
        <v>74</v>
      </c>
      <c r="Q1039" s="2" t="s">
        <v>74</v>
      </c>
      <c r="R1039" s="2" t="s">
        <v>74</v>
      </c>
      <c r="S1039" s="2" t="s">
        <v>74</v>
      </c>
      <c r="T1039" s="2" t="s">
        <v>74</v>
      </c>
      <c r="U1039" s="2" t="s">
        <v>74</v>
      </c>
      <c r="V1039" s="5" t="s">
        <v>4946</v>
      </c>
      <c r="W1039" s="2" t="s">
        <v>74</v>
      </c>
      <c r="X1039" s="2" t="s">
        <v>74</v>
      </c>
      <c r="Y1039" s="2" t="s">
        <v>74</v>
      </c>
      <c r="Z1039" s="2" t="s">
        <v>74</v>
      </c>
      <c r="AA1039" s="2" t="s">
        <v>74</v>
      </c>
      <c r="AB1039" s="2" t="s">
        <v>74</v>
      </c>
      <c r="AC1039" s="2" t="s">
        <v>74</v>
      </c>
      <c r="AD1039" s="2" t="s">
        <v>74</v>
      </c>
      <c r="AE1039" s="2" t="s">
        <v>74</v>
      </c>
      <c r="AF1039" s="2" t="s">
        <v>74</v>
      </c>
      <c r="AG1039" s="2" t="s">
        <v>74</v>
      </c>
      <c r="AH1039" s="2" t="s">
        <v>74</v>
      </c>
      <c r="AI1039" s="2" t="s">
        <v>74</v>
      </c>
      <c r="AJ1039" s="2" t="s">
        <v>74</v>
      </c>
      <c r="AK1039" s="2" t="s">
        <v>74</v>
      </c>
      <c r="AL1039" s="2" t="s">
        <v>74</v>
      </c>
      <c r="AM1039" s="2" t="s">
        <v>74</v>
      </c>
      <c r="AN1039" s="2" t="s">
        <v>74</v>
      </c>
      <c r="AO1039" s="2" t="s">
        <v>132</v>
      </c>
      <c r="AP1039" s="2" t="s">
        <v>133</v>
      </c>
      <c r="AQ1039" s="2" t="s">
        <v>74</v>
      </c>
      <c r="AR1039" s="2" t="s">
        <v>74</v>
      </c>
      <c r="AS1039" s="2" t="s">
        <v>74</v>
      </c>
      <c r="AT1039" s="2" t="s">
        <v>305</v>
      </c>
      <c r="AU1039" s="2">
        <v>2009</v>
      </c>
      <c r="AV1039" s="2">
        <v>64</v>
      </c>
      <c r="AW1039" s="2">
        <v>2</v>
      </c>
      <c r="AX1039" s="2" t="s">
        <v>74</v>
      </c>
      <c r="AY1039" s="2" t="s">
        <v>74</v>
      </c>
      <c r="AZ1039" s="2" t="s">
        <v>74</v>
      </c>
      <c r="BA1039" s="2" t="s">
        <v>74</v>
      </c>
      <c r="BB1039" s="2">
        <v>225</v>
      </c>
      <c r="BC1039" s="2">
        <v>236</v>
      </c>
      <c r="BD1039" s="2" t="s">
        <v>74</v>
      </c>
      <c r="BE1039" s="2" t="s">
        <v>4947</v>
      </c>
      <c r="BF1039" s="2" t="str">
        <f>HYPERLINK("http://dx.doi.org/10.1007/s00265-009-0839-x","http://dx.doi.org/10.1007/s00265-009-0839-x")</f>
        <v>http://dx.doi.org/10.1007/s00265-009-0839-x</v>
      </c>
      <c r="BG1039" s="2" t="s">
        <v>74</v>
      </c>
      <c r="BH1039" s="2" t="s">
        <v>74</v>
      </c>
      <c r="BI1039" s="2" t="s">
        <v>74</v>
      </c>
      <c r="BJ1039" s="2" t="s">
        <v>74</v>
      </c>
      <c r="BK1039" s="2" t="s">
        <v>74</v>
      </c>
      <c r="BL1039" s="2" t="s">
        <v>74</v>
      </c>
      <c r="BM1039" s="2" t="s">
        <v>74</v>
      </c>
      <c r="BN1039" s="2" t="s">
        <v>74</v>
      </c>
      <c r="BO1039" s="2" t="s">
        <v>74</v>
      </c>
      <c r="BP1039" s="2" t="s">
        <v>74</v>
      </c>
      <c r="BQ1039" s="2" t="s">
        <v>74</v>
      </c>
      <c r="BR1039" s="2" t="s">
        <v>74</v>
      </c>
      <c r="BS1039" s="2" t="s">
        <v>4948</v>
      </c>
      <c r="BT1039" s="2" t="str">
        <f>HYPERLINK("https%3A%2F%2Fwww.webofscience.com%2Fwos%2Fwoscc%2Ffull-record%2FWOS:000271978300008","View Full Record in Web of Science")</f>
        <v>View Full Record in Web of Science</v>
      </c>
    </row>
    <row r="1040" spans="1:72" s="2" customFormat="1" x14ac:dyDescent="0.4">
      <c r="A1040" s="2" t="s">
        <v>72</v>
      </c>
      <c r="B1040" s="2" t="s">
        <v>8576</v>
      </c>
      <c r="C1040" s="2" t="s">
        <v>74</v>
      </c>
      <c r="D1040" s="2" t="s">
        <v>74</v>
      </c>
      <c r="E1040" s="2" t="s">
        <v>74</v>
      </c>
      <c r="F1040" s="2" t="s">
        <v>8577</v>
      </c>
      <c r="G1040" s="2" t="s">
        <v>74</v>
      </c>
      <c r="H1040" s="2" t="s">
        <v>74</v>
      </c>
      <c r="I1040" s="2" t="s">
        <v>8578</v>
      </c>
      <c r="J1040" s="2" t="s">
        <v>420</v>
      </c>
      <c r="K1040" s="2" t="s">
        <v>74</v>
      </c>
      <c r="L1040" s="2" t="s">
        <v>74</v>
      </c>
      <c r="M1040" s="2" t="s">
        <v>74</v>
      </c>
      <c r="N1040" s="2" t="s">
        <v>74</v>
      </c>
      <c r="O1040" s="2" t="s">
        <v>74</v>
      </c>
      <c r="P1040" s="2" t="s">
        <v>74</v>
      </c>
      <c r="Q1040" s="2" t="s">
        <v>74</v>
      </c>
      <c r="R1040" s="2" t="s">
        <v>74</v>
      </c>
      <c r="S1040" s="2" t="s">
        <v>74</v>
      </c>
      <c r="T1040" s="2" t="s">
        <v>74</v>
      </c>
      <c r="U1040" s="2" t="s">
        <v>74</v>
      </c>
      <c r="V1040" s="5" t="s">
        <v>8579</v>
      </c>
      <c r="W1040" s="2" t="s">
        <v>74</v>
      </c>
      <c r="X1040" s="2" t="s">
        <v>74</v>
      </c>
      <c r="Y1040" s="2" t="s">
        <v>74</v>
      </c>
      <c r="Z1040" s="2" t="s">
        <v>74</v>
      </c>
      <c r="AA1040" s="2" t="s">
        <v>74</v>
      </c>
      <c r="AB1040" s="2" t="s">
        <v>8580</v>
      </c>
      <c r="AC1040" s="2" t="s">
        <v>74</v>
      </c>
      <c r="AD1040" s="2" t="s">
        <v>74</v>
      </c>
      <c r="AE1040" s="2" t="s">
        <v>74</v>
      </c>
      <c r="AF1040" s="2" t="s">
        <v>74</v>
      </c>
      <c r="AG1040" s="2" t="s">
        <v>74</v>
      </c>
      <c r="AH1040" s="2" t="s">
        <v>74</v>
      </c>
      <c r="AI1040" s="2" t="s">
        <v>74</v>
      </c>
      <c r="AJ1040" s="2" t="s">
        <v>74</v>
      </c>
      <c r="AK1040" s="2" t="s">
        <v>74</v>
      </c>
      <c r="AL1040" s="2" t="s">
        <v>74</v>
      </c>
      <c r="AM1040" s="2" t="s">
        <v>74</v>
      </c>
      <c r="AN1040" s="2" t="s">
        <v>74</v>
      </c>
      <c r="AO1040" s="2" t="s">
        <v>424</v>
      </c>
      <c r="AP1040" s="2" t="s">
        <v>74</v>
      </c>
      <c r="AQ1040" s="2" t="s">
        <v>74</v>
      </c>
      <c r="AR1040" s="2" t="s">
        <v>74</v>
      </c>
      <c r="AS1040" s="2" t="s">
        <v>74</v>
      </c>
      <c r="AT1040" s="2" t="s">
        <v>8581</v>
      </c>
      <c r="AU1040" s="2">
        <v>2015</v>
      </c>
      <c r="AV1040" s="2">
        <v>15</v>
      </c>
      <c r="AW1040" s="2" t="s">
        <v>74</v>
      </c>
      <c r="AX1040" s="2" t="s">
        <v>74</v>
      </c>
      <c r="AY1040" s="2" t="s">
        <v>74</v>
      </c>
      <c r="AZ1040" s="2" t="s">
        <v>74</v>
      </c>
      <c r="BA1040" s="2" t="s">
        <v>74</v>
      </c>
      <c r="BB1040" s="2" t="s">
        <v>74</v>
      </c>
      <c r="BC1040" s="2" t="s">
        <v>74</v>
      </c>
      <c r="BD1040" s="2">
        <v>200</v>
      </c>
      <c r="BE1040" s="2" t="s">
        <v>8582</v>
      </c>
      <c r="BF1040" s="2" t="str">
        <f>HYPERLINK("http://dx.doi.org/10.1186/s12862-015-0481-3","http://dx.doi.org/10.1186/s12862-015-0481-3")</f>
        <v>http://dx.doi.org/10.1186/s12862-015-0481-3</v>
      </c>
      <c r="BG1040" s="2" t="s">
        <v>74</v>
      </c>
      <c r="BH1040" s="2" t="s">
        <v>74</v>
      </c>
      <c r="BI1040" s="2" t="s">
        <v>74</v>
      </c>
      <c r="BJ1040" s="2" t="s">
        <v>74</v>
      </c>
      <c r="BK1040" s="2" t="s">
        <v>74</v>
      </c>
      <c r="BL1040" s="2" t="s">
        <v>74</v>
      </c>
      <c r="BM1040" s="2" t="s">
        <v>74</v>
      </c>
      <c r="BN1040" s="2">
        <v>26385337</v>
      </c>
      <c r="BO1040" s="2" t="s">
        <v>74</v>
      </c>
      <c r="BP1040" s="2" t="s">
        <v>74</v>
      </c>
      <c r="BQ1040" s="2" t="s">
        <v>74</v>
      </c>
      <c r="BR1040" s="2" t="s">
        <v>74</v>
      </c>
      <c r="BS1040" s="2" t="s">
        <v>8583</v>
      </c>
      <c r="BT1040" s="2" t="str">
        <f>HYPERLINK("https%3A%2F%2Fwww.webofscience.com%2Fwos%2Fwoscc%2Ffull-record%2FWOS:000361510800001","View Full Record in Web of Science")</f>
        <v>View Full Record in Web of Science</v>
      </c>
    </row>
    <row r="1041" spans="1:72" s="2" customFormat="1" x14ac:dyDescent="0.4">
      <c r="A1041" s="2" t="s">
        <v>72</v>
      </c>
      <c r="B1041" s="2" t="s">
        <v>5718</v>
      </c>
      <c r="C1041" s="2" t="s">
        <v>74</v>
      </c>
      <c r="D1041" s="2" t="s">
        <v>74</v>
      </c>
      <c r="E1041" s="2" t="s">
        <v>74</v>
      </c>
      <c r="F1041" s="2" t="s">
        <v>5719</v>
      </c>
      <c r="G1041" s="2" t="s">
        <v>74</v>
      </c>
      <c r="H1041" s="2" t="s">
        <v>74</v>
      </c>
      <c r="I1041" s="2" t="s">
        <v>5720</v>
      </c>
      <c r="J1041" s="2" t="s">
        <v>99</v>
      </c>
      <c r="K1041" s="2" t="s">
        <v>74</v>
      </c>
      <c r="L1041" s="2" t="s">
        <v>74</v>
      </c>
      <c r="M1041" s="2" t="s">
        <v>74</v>
      </c>
      <c r="N1041" s="2" t="s">
        <v>74</v>
      </c>
      <c r="O1041" s="2" t="s">
        <v>74</v>
      </c>
      <c r="P1041" s="2" t="s">
        <v>74</v>
      </c>
      <c r="Q1041" s="2" t="s">
        <v>74</v>
      </c>
      <c r="R1041" s="2" t="s">
        <v>74</v>
      </c>
      <c r="S1041" s="2" t="s">
        <v>74</v>
      </c>
      <c r="T1041" s="2" t="s">
        <v>74</v>
      </c>
      <c r="U1041" s="2" t="s">
        <v>74</v>
      </c>
      <c r="V1041" s="5" t="s">
        <v>5721</v>
      </c>
      <c r="W1041" s="2" t="s">
        <v>74</v>
      </c>
      <c r="X1041" s="2" t="s">
        <v>74</v>
      </c>
      <c r="Y1041" s="2" t="s">
        <v>74</v>
      </c>
      <c r="Z1041" s="2" t="s">
        <v>74</v>
      </c>
      <c r="AA1041" s="2" t="s">
        <v>74</v>
      </c>
      <c r="AB1041" s="2" t="s">
        <v>5722</v>
      </c>
      <c r="AC1041" s="2" t="s">
        <v>74</v>
      </c>
      <c r="AD1041" s="2" t="s">
        <v>74</v>
      </c>
      <c r="AE1041" s="2" t="s">
        <v>74</v>
      </c>
      <c r="AF1041" s="2" t="s">
        <v>74</v>
      </c>
      <c r="AG1041" s="2" t="s">
        <v>74</v>
      </c>
      <c r="AH1041" s="2" t="s">
        <v>74</v>
      </c>
      <c r="AI1041" s="2" t="s">
        <v>74</v>
      </c>
      <c r="AJ1041" s="2" t="s">
        <v>74</v>
      </c>
      <c r="AK1041" s="2" t="s">
        <v>74</v>
      </c>
      <c r="AL1041" s="2" t="s">
        <v>74</v>
      </c>
      <c r="AM1041" s="2" t="s">
        <v>74</v>
      </c>
      <c r="AN1041" s="2" t="s">
        <v>74</v>
      </c>
      <c r="AO1041" s="2" t="s">
        <v>101</v>
      </c>
      <c r="AP1041" s="2" t="s">
        <v>1218</v>
      </c>
      <c r="AQ1041" s="2" t="s">
        <v>74</v>
      </c>
      <c r="AR1041" s="2" t="s">
        <v>74</v>
      </c>
      <c r="AS1041" s="2" t="s">
        <v>74</v>
      </c>
      <c r="AT1041" s="2" t="s">
        <v>123</v>
      </c>
      <c r="AU1041" s="2">
        <v>2018</v>
      </c>
      <c r="AV1041" s="2">
        <v>130</v>
      </c>
      <c r="AW1041" s="2">
        <v>1</v>
      </c>
      <c r="AX1041" s="2" t="s">
        <v>74</v>
      </c>
      <c r="AY1041" s="2" t="s">
        <v>74</v>
      </c>
      <c r="AZ1041" s="2" t="s">
        <v>74</v>
      </c>
      <c r="BA1041" s="2" t="s">
        <v>74</v>
      </c>
      <c r="BB1041" s="2">
        <v>286</v>
      </c>
      <c r="BC1041" s="2">
        <v>296</v>
      </c>
      <c r="BD1041" s="2" t="s">
        <v>74</v>
      </c>
      <c r="BE1041" s="2" t="s">
        <v>74</v>
      </c>
      <c r="BF1041" s="2" t="s">
        <v>74</v>
      </c>
      <c r="BG1041" s="2" t="s">
        <v>74</v>
      </c>
      <c r="BH1041" s="2" t="s">
        <v>74</v>
      </c>
      <c r="BI1041" s="2" t="s">
        <v>74</v>
      </c>
      <c r="BJ1041" s="2" t="s">
        <v>74</v>
      </c>
      <c r="BK1041" s="2" t="s">
        <v>74</v>
      </c>
      <c r="BL1041" s="2" t="s">
        <v>74</v>
      </c>
      <c r="BM1041" s="2" t="s">
        <v>74</v>
      </c>
      <c r="BN1041" s="2" t="s">
        <v>74</v>
      </c>
      <c r="BO1041" s="2" t="s">
        <v>74</v>
      </c>
      <c r="BP1041" s="2" t="s">
        <v>74</v>
      </c>
      <c r="BQ1041" s="2" t="s">
        <v>74</v>
      </c>
      <c r="BR1041" s="2" t="s">
        <v>74</v>
      </c>
      <c r="BS1041" s="2" t="s">
        <v>5723</v>
      </c>
      <c r="BT1041" s="2" t="str">
        <f>HYPERLINK("https%3A%2F%2Fwww.webofscience.com%2Fwos%2Fwoscc%2Ffull-record%2FWOS:000430954100023","View Full Record in Web of Science")</f>
        <v>View Full Record in Web of Science</v>
      </c>
    </row>
    <row r="1042" spans="1:72" s="2" customFormat="1" x14ac:dyDescent="0.4">
      <c r="A1042" s="2" t="s">
        <v>72</v>
      </c>
      <c r="B1042" s="2" t="s">
        <v>4325</v>
      </c>
      <c r="C1042" s="2" t="s">
        <v>74</v>
      </c>
      <c r="D1042" s="2" t="s">
        <v>74</v>
      </c>
      <c r="E1042" s="2" t="s">
        <v>74</v>
      </c>
      <c r="F1042" s="2" t="s">
        <v>4326</v>
      </c>
      <c r="G1042" s="2" t="s">
        <v>74</v>
      </c>
      <c r="H1042" s="2" t="s">
        <v>74</v>
      </c>
      <c r="I1042" s="2" t="s">
        <v>4327</v>
      </c>
      <c r="J1042" s="2" t="s">
        <v>1673</v>
      </c>
      <c r="K1042" s="2" t="s">
        <v>74</v>
      </c>
      <c r="L1042" s="2" t="s">
        <v>74</v>
      </c>
      <c r="M1042" s="2" t="s">
        <v>74</v>
      </c>
      <c r="N1042" s="2" t="s">
        <v>74</v>
      </c>
      <c r="O1042" s="2" t="s">
        <v>74</v>
      </c>
      <c r="P1042" s="2" t="s">
        <v>74</v>
      </c>
      <c r="Q1042" s="2" t="s">
        <v>74</v>
      </c>
      <c r="R1042" s="2" t="s">
        <v>74</v>
      </c>
      <c r="S1042" s="2" t="s">
        <v>74</v>
      </c>
      <c r="T1042" s="2" t="s">
        <v>74</v>
      </c>
      <c r="U1042" s="2" t="s">
        <v>74</v>
      </c>
      <c r="V1042" s="5" t="s">
        <v>4328</v>
      </c>
      <c r="W1042" s="2" t="s">
        <v>74</v>
      </c>
      <c r="X1042" s="2" t="s">
        <v>74</v>
      </c>
      <c r="Y1042" s="2" t="s">
        <v>74</v>
      </c>
      <c r="Z1042" s="2" t="s">
        <v>74</v>
      </c>
      <c r="AA1042" s="2" t="s">
        <v>74</v>
      </c>
      <c r="AB1042" s="2" t="s">
        <v>74</v>
      </c>
      <c r="AC1042" s="2" t="s">
        <v>74</v>
      </c>
      <c r="AD1042" s="2" t="s">
        <v>74</v>
      </c>
      <c r="AE1042" s="2" t="s">
        <v>74</v>
      </c>
      <c r="AF1042" s="2" t="s">
        <v>74</v>
      </c>
      <c r="AG1042" s="2" t="s">
        <v>74</v>
      </c>
      <c r="AH1042" s="2" t="s">
        <v>74</v>
      </c>
      <c r="AI1042" s="2" t="s">
        <v>74</v>
      </c>
      <c r="AJ1042" s="2" t="s">
        <v>74</v>
      </c>
      <c r="AK1042" s="2" t="s">
        <v>74</v>
      </c>
      <c r="AL1042" s="2" t="s">
        <v>74</v>
      </c>
      <c r="AM1042" s="2" t="s">
        <v>74</v>
      </c>
      <c r="AN1042" s="2" t="s">
        <v>74</v>
      </c>
      <c r="AO1042" s="2" t="s">
        <v>1239</v>
      </c>
      <c r="AP1042" s="2" t="s">
        <v>1675</v>
      </c>
      <c r="AQ1042" s="2" t="s">
        <v>74</v>
      </c>
      <c r="AR1042" s="2" t="s">
        <v>74</v>
      </c>
      <c r="AS1042" s="2" t="s">
        <v>74</v>
      </c>
      <c r="AT1042" s="2" t="s">
        <v>213</v>
      </c>
      <c r="AU1042" s="2">
        <v>2022</v>
      </c>
      <c r="AV1042" s="2">
        <v>100</v>
      </c>
      <c r="AW1042" s="2">
        <v>11</v>
      </c>
      <c r="AX1042" s="2" t="s">
        <v>74</v>
      </c>
      <c r="AY1042" s="2" t="s">
        <v>74</v>
      </c>
      <c r="AZ1042" s="2" t="s">
        <v>74</v>
      </c>
      <c r="BA1042" s="2" t="s">
        <v>74</v>
      </c>
      <c r="BB1042" s="2">
        <v>747</v>
      </c>
      <c r="BC1042" s="2">
        <v>756</v>
      </c>
      <c r="BD1042" s="2" t="s">
        <v>74</v>
      </c>
      <c r="BE1042" s="2" t="s">
        <v>4329</v>
      </c>
      <c r="BF1042" s="2" t="str">
        <f>HYPERLINK("http://dx.doi.org/10.1139/cjz-2022-0064747","http://dx.doi.org/10.1139/cjz-2022-0064747")</f>
        <v>http://dx.doi.org/10.1139/cjz-2022-0064747</v>
      </c>
      <c r="BG1042" s="2" t="s">
        <v>74</v>
      </c>
      <c r="BH1042" s="2" t="s">
        <v>74</v>
      </c>
      <c r="BI1042" s="2" t="s">
        <v>74</v>
      </c>
      <c r="BJ1042" s="2" t="s">
        <v>74</v>
      </c>
      <c r="BK1042" s="2" t="s">
        <v>74</v>
      </c>
      <c r="BL1042" s="2" t="s">
        <v>74</v>
      </c>
      <c r="BM1042" s="2" t="s">
        <v>74</v>
      </c>
      <c r="BN1042" s="2" t="s">
        <v>74</v>
      </c>
      <c r="BO1042" s="2" t="s">
        <v>74</v>
      </c>
      <c r="BP1042" s="2" t="s">
        <v>74</v>
      </c>
      <c r="BQ1042" s="2" t="s">
        <v>74</v>
      </c>
      <c r="BR1042" s="2" t="s">
        <v>74</v>
      </c>
      <c r="BS1042" s="2" t="s">
        <v>4330</v>
      </c>
      <c r="BT1042" s="2" t="str">
        <f>HYPERLINK("https%3A%2F%2Fwww.webofscience.com%2Fwos%2Fwoscc%2Ffull-record%2FWOS:000879975200002","View Full Record in Web of Science")</f>
        <v>View Full Record in Web of Science</v>
      </c>
    </row>
    <row r="1043" spans="1:72" s="2" customFormat="1" x14ac:dyDescent="0.4">
      <c r="A1043" s="2" t="s">
        <v>72</v>
      </c>
      <c r="B1043" s="2" t="s">
        <v>4325</v>
      </c>
      <c r="C1043" s="2" t="s">
        <v>74</v>
      </c>
      <c r="D1043" s="2" t="s">
        <v>74</v>
      </c>
      <c r="E1043" s="2" t="s">
        <v>74</v>
      </c>
      <c r="F1043" s="2" t="s">
        <v>4326</v>
      </c>
      <c r="G1043" s="2" t="s">
        <v>74</v>
      </c>
      <c r="H1043" s="2" t="s">
        <v>74</v>
      </c>
      <c r="I1043" s="2" t="s">
        <v>4337</v>
      </c>
      <c r="J1043" s="2" t="s">
        <v>1673</v>
      </c>
      <c r="K1043" s="2" t="s">
        <v>74</v>
      </c>
      <c r="L1043" s="2" t="s">
        <v>74</v>
      </c>
      <c r="M1043" s="2" t="s">
        <v>74</v>
      </c>
      <c r="N1043" s="2" t="s">
        <v>74</v>
      </c>
      <c r="O1043" s="2" t="s">
        <v>74</v>
      </c>
      <c r="P1043" s="2" t="s">
        <v>74</v>
      </c>
      <c r="Q1043" s="2" t="s">
        <v>74</v>
      </c>
      <c r="R1043" s="2" t="s">
        <v>74</v>
      </c>
      <c r="S1043" s="2" t="s">
        <v>74</v>
      </c>
      <c r="T1043" s="2" t="s">
        <v>74</v>
      </c>
      <c r="U1043" s="2" t="s">
        <v>74</v>
      </c>
      <c r="V1043" s="5" t="s">
        <v>4328</v>
      </c>
      <c r="W1043" s="2" t="s">
        <v>74</v>
      </c>
      <c r="X1043" s="2" t="s">
        <v>74</v>
      </c>
      <c r="Y1043" s="2" t="s">
        <v>74</v>
      </c>
      <c r="Z1043" s="2" t="s">
        <v>74</v>
      </c>
      <c r="AA1043" s="2" t="s">
        <v>74</v>
      </c>
      <c r="AB1043" s="2" t="s">
        <v>74</v>
      </c>
      <c r="AC1043" s="2" t="s">
        <v>74</v>
      </c>
      <c r="AD1043" s="2" t="s">
        <v>74</v>
      </c>
      <c r="AE1043" s="2" t="s">
        <v>74</v>
      </c>
      <c r="AF1043" s="2" t="s">
        <v>74</v>
      </c>
      <c r="AG1043" s="2" t="s">
        <v>74</v>
      </c>
      <c r="AH1043" s="2" t="s">
        <v>74</v>
      </c>
      <c r="AI1043" s="2" t="s">
        <v>74</v>
      </c>
      <c r="AJ1043" s="2" t="s">
        <v>74</v>
      </c>
      <c r="AK1043" s="2" t="s">
        <v>74</v>
      </c>
      <c r="AL1043" s="2" t="s">
        <v>74</v>
      </c>
      <c r="AM1043" s="2" t="s">
        <v>74</v>
      </c>
      <c r="AN1043" s="2" t="s">
        <v>74</v>
      </c>
      <c r="AO1043" s="2" t="s">
        <v>1239</v>
      </c>
      <c r="AP1043" s="2" t="s">
        <v>1675</v>
      </c>
      <c r="AQ1043" s="2" t="s">
        <v>74</v>
      </c>
      <c r="AR1043" s="2" t="s">
        <v>74</v>
      </c>
      <c r="AS1043" s="2" t="s">
        <v>74</v>
      </c>
      <c r="AT1043" s="2" t="s">
        <v>4338</v>
      </c>
      <c r="AU1043" s="2">
        <v>2022</v>
      </c>
      <c r="AV1043" s="2" t="s">
        <v>74</v>
      </c>
      <c r="AW1043" s="2" t="s">
        <v>74</v>
      </c>
      <c r="AX1043" s="2" t="s">
        <v>74</v>
      </c>
      <c r="AY1043" s="2" t="s">
        <v>74</v>
      </c>
      <c r="AZ1043" s="2" t="s">
        <v>74</v>
      </c>
      <c r="BA1043" s="2" t="s">
        <v>74</v>
      </c>
      <c r="BB1043" s="2" t="s">
        <v>74</v>
      </c>
      <c r="BC1043" s="2" t="s">
        <v>74</v>
      </c>
      <c r="BD1043" s="2" t="s">
        <v>74</v>
      </c>
      <c r="BE1043" s="2" t="s">
        <v>4339</v>
      </c>
      <c r="BF1043" s="2" t="str">
        <f>HYPERLINK("http://dx.doi.org/10.1139/cjz-2022-0064","http://dx.doi.org/10.1139/cjz-2022-0064")</f>
        <v>http://dx.doi.org/10.1139/cjz-2022-0064</v>
      </c>
      <c r="BG1043" s="2" t="s">
        <v>74</v>
      </c>
      <c r="BH1043" s="2" t="s">
        <v>3406</v>
      </c>
      <c r="BI1043" s="2" t="s">
        <v>74</v>
      </c>
      <c r="BJ1043" s="2" t="s">
        <v>74</v>
      </c>
      <c r="BK1043" s="2" t="s">
        <v>74</v>
      </c>
      <c r="BL1043" s="2" t="s">
        <v>74</v>
      </c>
      <c r="BM1043" s="2" t="s">
        <v>74</v>
      </c>
      <c r="BN1043" s="2" t="s">
        <v>74</v>
      </c>
      <c r="BO1043" s="2" t="s">
        <v>74</v>
      </c>
      <c r="BP1043" s="2" t="s">
        <v>74</v>
      </c>
      <c r="BQ1043" s="2" t="s">
        <v>74</v>
      </c>
      <c r="BR1043" s="2" t="s">
        <v>74</v>
      </c>
      <c r="BS1043" s="2" t="s">
        <v>4340</v>
      </c>
      <c r="BT1043" s="2" t="str">
        <f>HYPERLINK("https%3A%2F%2Fwww.webofscience.com%2Fwos%2Fwoscc%2Ffull-record%2FWOS:000857570800001","View Full Record in Web of Science")</f>
        <v>View Full Record in Web of Science</v>
      </c>
    </row>
    <row r="1044" spans="1:72" s="2" customFormat="1" x14ac:dyDescent="0.4">
      <c r="A1044" s="2" t="s">
        <v>72</v>
      </c>
      <c r="B1044" s="2" t="s">
        <v>2014</v>
      </c>
      <c r="C1044" s="2" t="s">
        <v>74</v>
      </c>
      <c r="D1044" s="2" t="s">
        <v>74</v>
      </c>
      <c r="E1044" s="2" t="s">
        <v>74</v>
      </c>
      <c r="F1044" s="2" t="s">
        <v>2015</v>
      </c>
      <c r="G1044" s="2" t="s">
        <v>74</v>
      </c>
      <c r="H1044" s="2" t="s">
        <v>74</v>
      </c>
      <c r="I1044" s="2" t="s">
        <v>2016</v>
      </c>
      <c r="J1044" s="2" t="s">
        <v>2017</v>
      </c>
      <c r="K1044" s="2" t="s">
        <v>74</v>
      </c>
      <c r="L1044" s="2" t="s">
        <v>74</v>
      </c>
      <c r="M1044" s="2" t="s">
        <v>74</v>
      </c>
      <c r="N1044" s="2" t="s">
        <v>74</v>
      </c>
      <c r="O1044" s="2" t="s">
        <v>74</v>
      </c>
      <c r="P1044" s="2" t="s">
        <v>74</v>
      </c>
      <c r="Q1044" s="2" t="s">
        <v>74</v>
      </c>
      <c r="R1044" s="2" t="s">
        <v>74</v>
      </c>
      <c r="S1044" s="2" t="s">
        <v>74</v>
      </c>
      <c r="T1044" s="2" t="s">
        <v>74</v>
      </c>
      <c r="U1044" s="2" t="s">
        <v>74</v>
      </c>
      <c r="V1044" s="5" t="s">
        <v>2018</v>
      </c>
      <c r="W1044" s="2" t="s">
        <v>74</v>
      </c>
      <c r="X1044" s="2" t="s">
        <v>74</v>
      </c>
      <c r="Y1044" s="2" t="s">
        <v>74</v>
      </c>
      <c r="Z1044" s="2" t="s">
        <v>74</v>
      </c>
      <c r="AA1044" s="2" t="s">
        <v>2019</v>
      </c>
      <c r="AB1044" s="2" t="s">
        <v>2020</v>
      </c>
      <c r="AC1044" s="2" t="s">
        <v>74</v>
      </c>
      <c r="AD1044" s="2" t="s">
        <v>74</v>
      </c>
      <c r="AE1044" s="2" t="s">
        <v>74</v>
      </c>
      <c r="AF1044" s="2" t="s">
        <v>74</v>
      </c>
      <c r="AG1044" s="2" t="s">
        <v>74</v>
      </c>
      <c r="AH1044" s="2" t="s">
        <v>74</v>
      </c>
      <c r="AI1044" s="2" t="s">
        <v>74</v>
      </c>
      <c r="AJ1044" s="2" t="s">
        <v>74</v>
      </c>
      <c r="AK1044" s="2" t="s">
        <v>74</v>
      </c>
      <c r="AL1044" s="2" t="s">
        <v>74</v>
      </c>
      <c r="AM1044" s="2" t="s">
        <v>74</v>
      </c>
      <c r="AN1044" s="2" t="s">
        <v>74</v>
      </c>
      <c r="AO1044" s="2" t="s">
        <v>2021</v>
      </c>
      <c r="AP1044" s="2" t="s">
        <v>74</v>
      </c>
      <c r="AQ1044" s="2" t="s">
        <v>74</v>
      </c>
      <c r="AR1044" s="2" t="s">
        <v>74</v>
      </c>
      <c r="AS1044" s="2" t="s">
        <v>74</v>
      </c>
      <c r="AT1044" s="2" t="s">
        <v>2022</v>
      </c>
      <c r="AU1044" s="2">
        <v>2021</v>
      </c>
      <c r="AV1044" s="2">
        <v>9</v>
      </c>
      <c r="AW1044" s="2" t="s">
        <v>74</v>
      </c>
      <c r="AX1044" s="2" t="s">
        <v>74</v>
      </c>
      <c r="AY1044" s="2" t="s">
        <v>74</v>
      </c>
      <c r="AZ1044" s="2" t="s">
        <v>74</v>
      </c>
      <c r="BA1044" s="2" t="s">
        <v>74</v>
      </c>
      <c r="BB1044" s="2" t="s">
        <v>74</v>
      </c>
      <c r="BC1044" s="2" t="s">
        <v>74</v>
      </c>
      <c r="BD1044" s="2">
        <v>589781</v>
      </c>
      <c r="BE1044" s="2" t="s">
        <v>2023</v>
      </c>
      <c r="BF1044" s="2" t="str">
        <f>HYPERLINK("http://dx.doi.org/10.3389/fevo.2021.589781","http://dx.doi.org/10.3389/fevo.2021.589781")</f>
        <v>http://dx.doi.org/10.3389/fevo.2021.589781</v>
      </c>
      <c r="BG1044" s="2" t="s">
        <v>74</v>
      </c>
      <c r="BH1044" s="2" t="s">
        <v>74</v>
      </c>
      <c r="BI1044" s="2" t="s">
        <v>74</v>
      </c>
      <c r="BJ1044" s="2" t="s">
        <v>74</v>
      </c>
      <c r="BK1044" s="2" t="s">
        <v>74</v>
      </c>
      <c r="BL1044" s="2" t="s">
        <v>74</v>
      </c>
      <c r="BM1044" s="2" t="s">
        <v>74</v>
      </c>
      <c r="BN1044" s="2" t="s">
        <v>74</v>
      </c>
      <c r="BO1044" s="2" t="s">
        <v>74</v>
      </c>
      <c r="BP1044" s="2" t="s">
        <v>74</v>
      </c>
      <c r="BQ1044" s="2" t="s">
        <v>74</v>
      </c>
      <c r="BR1044" s="2" t="s">
        <v>74</v>
      </c>
      <c r="BS1044" s="2" t="s">
        <v>2024</v>
      </c>
      <c r="BT1044" s="2" t="str">
        <f>HYPERLINK("https%3A%2F%2Fwww.webofscience.com%2Fwos%2Fwoscc%2Ffull-record%2FWOS:000645123900001","View Full Record in Web of Science")</f>
        <v>View Full Record in Web of Science</v>
      </c>
    </row>
    <row r="1045" spans="1:72" s="2" customFormat="1" x14ac:dyDescent="0.4">
      <c r="A1045" s="2" t="s">
        <v>72</v>
      </c>
      <c r="B1045" s="2" t="s">
        <v>3835</v>
      </c>
      <c r="C1045" s="2" t="s">
        <v>74</v>
      </c>
      <c r="D1045" s="2" t="s">
        <v>74</v>
      </c>
      <c r="E1045" s="2" t="s">
        <v>74</v>
      </c>
      <c r="F1045" s="2" t="s">
        <v>3836</v>
      </c>
      <c r="G1045" s="2" t="s">
        <v>74</v>
      </c>
      <c r="H1045" s="2" t="s">
        <v>74</v>
      </c>
      <c r="I1045" s="2" t="s">
        <v>3837</v>
      </c>
      <c r="J1045" s="2" t="s">
        <v>824</v>
      </c>
      <c r="K1045" s="2" t="s">
        <v>74</v>
      </c>
      <c r="L1045" s="2" t="s">
        <v>74</v>
      </c>
      <c r="M1045" s="2" t="s">
        <v>74</v>
      </c>
      <c r="N1045" s="2" t="s">
        <v>74</v>
      </c>
      <c r="O1045" s="2" t="s">
        <v>74</v>
      </c>
      <c r="P1045" s="2" t="s">
        <v>74</v>
      </c>
      <c r="Q1045" s="2" t="s">
        <v>74</v>
      </c>
      <c r="R1045" s="2" t="s">
        <v>74</v>
      </c>
      <c r="S1045" s="2" t="s">
        <v>74</v>
      </c>
      <c r="T1045" s="2" t="s">
        <v>74</v>
      </c>
      <c r="U1045" s="2" t="s">
        <v>74</v>
      </c>
      <c r="V1045" s="5" t="s">
        <v>3838</v>
      </c>
      <c r="W1045" s="2" t="s">
        <v>74</v>
      </c>
      <c r="X1045" s="2" t="s">
        <v>74</v>
      </c>
      <c r="Y1045" s="2" t="s">
        <v>74</v>
      </c>
      <c r="Z1045" s="2" t="s">
        <v>74</v>
      </c>
      <c r="AA1045" s="2" t="s">
        <v>3839</v>
      </c>
      <c r="AB1045" s="2" t="s">
        <v>3840</v>
      </c>
      <c r="AC1045" s="2" t="s">
        <v>74</v>
      </c>
      <c r="AD1045" s="2" t="s">
        <v>74</v>
      </c>
      <c r="AE1045" s="2" t="s">
        <v>74</v>
      </c>
      <c r="AF1045" s="2" t="s">
        <v>74</v>
      </c>
      <c r="AG1045" s="2" t="s">
        <v>74</v>
      </c>
      <c r="AH1045" s="2" t="s">
        <v>74</v>
      </c>
      <c r="AI1045" s="2" t="s">
        <v>74</v>
      </c>
      <c r="AJ1045" s="2" t="s">
        <v>74</v>
      </c>
      <c r="AK1045" s="2" t="s">
        <v>74</v>
      </c>
      <c r="AL1045" s="2" t="s">
        <v>74</v>
      </c>
      <c r="AM1045" s="2" t="s">
        <v>74</v>
      </c>
      <c r="AN1045" s="2" t="s">
        <v>74</v>
      </c>
      <c r="AO1045" s="2" t="s">
        <v>828</v>
      </c>
      <c r="AP1045" s="2" t="s">
        <v>829</v>
      </c>
      <c r="AQ1045" s="2" t="s">
        <v>74</v>
      </c>
      <c r="AR1045" s="2" t="s">
        <v>74</v>
      </c>
      <c r="AS1045" s="2" t="s">
        <v>74</v>
      </c>
      <c r="AT1045" s="2" t="s">
        <v>352</v>
      </c>
      <c r="AU1045" s="2">
        <v>2017</v>
      </c>
      <c r="AV1045" s="2">
        <v>86</v>
      </c>
      <c r="AW1045" s="2">
        <v>5</v>
      </c>
      <c r="AX1045" s="2" t="s">
        <v>74</v>
      </c>
      <c r="AY1045" s="2" t="s">
        <v>74</v>
      </c>
      <c r="AZ1045" s="2" t="s">
        <v>74</v>
      </c>
      <c r="BA1045" s="2" t="s">
        <v>74</v>
      </c>
      <c r="BB1045" s="2">
        <v>1044</v>
      </c>
      <c r="BC1045" s="2">
        <v>1053</v>
      </c>
      <c r="BD1045" s="2" t="s">
        <v>74</v>
      </c>
      <c r="BE1045" s="2" t="s">
        <v>3841</v>
      </c>
      <c r="BF1045" s="2" t="str">
        <f>HYPERLINK("http://dx.doi.org/10.1111/1365-2656.12693","http://dx.doi.org/10.1111/1365-2656.12693")</f>
        <v>http://dx.doi.org/10.1111/1365-2656.12693</v>
      </c>
      <c r="BG1045" s="2" t="s">
        <v>74</v>
      </c>
      <c r="BH1045" s="2" t="s">
        <v>74</v>
      </c>
      <c r="BI1045" s="2" t="s">
        <v>74</v>
      </c>
      <c r="BJ1045" s="2" t="s">
        <v>74</v>
      </c>
      <c r="BK1045" s="2" t="s">
        <v>74</v>
      </c>
      <c r="BL1045" s="2" t="s">
        <v>74</v>
      </c>
      <c r="BM1045" s="2" t="s">
        <v>74</v>
      </c>
      <c r="BN1045" s="2">
        <v>28502118</v>
      </c>
      <c r="BO1045" s="2" t="s">
        <v>74</v>
      </c>
      <c r="BP1045" s="2" t="s">
        <v>74</v>
      </c>
      <c r="BQ1045" s="2" t="s">
        <v>74</v>
      </c>
      <c r="BR1045" s="2" t="s">
        <v>74</v>
      </c>
      <c r="BS1045" s="2" t="s">
        <v>3842</v>
      </c>
      <c r="BT1045" s="2" t="str">
        <f>HYPERLINK("https%3A%2F%2Fwww.webofscience.com%2Fwos%2Fwoscc%2Ffull-record%2FWOS:000407320500007","View Full Record in Web of Science")</f>
        <v>View Full Record in Web of Science</v>
      </c>
    </row>
    <row r="1046" spans="1:72" s="2" customFormat="1" x14ac:dyDescent="0.4">
      <c r="A1046" s="2" t="s">
        <v>72</v>
      </c>
      <c r="B1046" s="2" t="s">
        <v>1554</v>
      </c>
      <c r="C1046" s="2" t="s">
        <v>74</v>
      </c>
      <c r="D1046" s="2" t="s">
        <v>74</v>
      </c>
      <c r="E1046" s="2" t="s">
        <v>74</v>
      </c>
      <c r="F1046" s="2" t="s">
        <v>1555</v>
      </c>
      <c r="G1046" s="2" t="s">
        <v>74</v>
      </c>
      <c r="H1046" s="2" t="s">
        <v>74</v>
      </c>
      <c r="I1046" s="2" t="s">
        <v>1556</v>
      </c>
      <c r="J1046" s="2" t="s">
        <v>1557</v>
      </c>
      <c r="K1046" s="2" t="s">
        <v>74</v>
      </c>
      <c r="L1046" s="2" t="s">
        <v>74</v>
      </c>
      <c r="M1046" s="2" t="s">
        <v>74</v>
      </c>
      <c r="N1046" s="2" t="s">
        <v>74</v>
      </c>
      <c r="O1046" s="2" t="s">
        <v>74</v>
      </c>
      <c r="P1046" s="2" t="s">
        <v>74</v>
      </c>
      <c r="Q1046" s="2" t="s">
        <v>74</v>
      </c>
      <c r="R1046" s="2" t="s">
        <v>74</v>
      </c>
      <c r="S1046" s="2" t="s">
        <v>74</v>
      </c>
      <c r="T1046" s="2" t="s">
        <v>74</v>
      </c>
      <c r="U1046" s="2" t="s">
        <v>74</v>
      </c>
      <c r="V1046" s="5" t="s">
        <v>1558</v>
      </c>
      <c r="W1046" s="2" t="s">
        <v>74</v>
      </c>
      <c r="X1046" s="2" t="s">
        <v>74</v>
      </c>
      <c r="Y1046" s="2" t="s">
        <v>74</v>
      </c>
      <c r="Z1046" s="2" t="s">
        <v>74</v>
      </c>
      <c r="AA1046" s="2" t="s">
        <v>1559</v>
      </c>
      <c r="AB1046" s="2" t="s">
        <v>1560</v>
      </c>
      <c r="AC1046" s="2" t="s">
        <v>74</v>
      </c>
      <c r="AD1046" s="2" t="s">
        <v>74</v>
      </c>
      <c r="AE1046" s="2" t="s">
        <v>74</v>
      </c>
      <c r="AF1046" s="2" t="s">
        <v>74</v>
      </c>
      <c r="AG1046" s="2" t="s">
        <v>74</v>
      </c>
      <c r="AH1046" s="2" t="s">
        <v>74</v>
      </c>
      <c r="AI1046" s="2" t="s">
        <v>74</v>
      </c>
      <c r="AJ1046" s="2" t="s">
        <v>74</v>
      </c>
      <c r="AK1046" s="2" t="s">
        <v>74</v>
      </c>
      <c r="AL1046" s="2" t="s">
        <v>74</v>
      </c>
      <c r="AM1046" s="2" t="s">
        <v>74</v>
      </c>
      <c r="AN1046" s="2" t="s">
        <v>74</v>
      </c>
      <c r="AO1046" s="2" t="s">
        <v>1561</v>
      </c>
      <c r="AP1046" s="2" t="s">
        <v>1562</v>
      </c>
      <c r="AQ1046" s="2" t="s">
        <v>74</v>
      </c>
      <c r="AR1046" s="2" t="s">
        <v>74</v>
      </c>
      <c r="AS1046" s="2" t="s">
        <v>74</v>
      </c>
      <c r="AT1046" s="2" t="s">
        <v>361</v>
      </c>
      <c r="AU1046" s="2">
        <v>2013</v>
      </c>
      <c r="AV1046" s="2">
        <v>46</v>
      </c>
      <c r="AW1046" s="2">
        <v>3</v>
      </c>
      <c r="AX1046" s="2" t="s">
        <v>74</v>
      </c>
      <c r="AY1046" s="2" t="s">
        <v>74</v>
      </c>
      <c r="AZ1046" s="2" t="s">
        <v>74</v>
      </c>
      <c r="BA1046" s="2" t="s">
        <v>74</v>
      </c>
      <c r="BB1046" s="2">
        <v>183</v>
      </c>
      <c r="BC1046" s="2">
        <v>190</v>
      </c>
      <c r="BD1046" s="2" t="s">
        <v>74</v>
      </c>
      <c r="BE1046" s="2" t="s">
        <v>1563</v>
      </c>
      <c r="BF1046" s="2" t="str">
        <f>HYPERLINK("http://dx.doi.org/10.1080/10236244.2013.805053","http://dx.doi.org/10.1080/10236244.2013.805053")</f>
        <v>http://dx.doi.org/10.1080/10236244.2013.805053</v>
      </c>
      <c r="BG1046" s="2" t="s">
        <v>74</v>
      </c>
      <c r="BH1046" s="2" t="s">
        <v>74</v>
      </c>
      <c r="BI1046" s="2" t="s">
        <v>74</v>
      </c>
      <c r="BJ1046" s="2" t="s">
        <v>74</v>
      </c>
      <c r="BK1046" s="2" t="s">
        <v>74</v>
      </c>
      <c r="BL1046" s="2" t="s">
        <v>74</v>
      </c>
      <c r="BM1046" s="2" t="s">
        <v>74</v>
      </c>
      <c r="BN1046" s="2" t="s">
        <v>74</v>
      </c>
      <c r="BO1046" s="2" t="s">
        <v>74</v>
      </c>
      <c r="BP1046" s="2" t="s">
        <v>74</v>
      </c>
      <c r="BQ1046" s="2" t="s">
        <v>74</v>
      </c>
      <c r="BR1046" s="2" t="s">
        <v>74</v>
      </c>
      <c r="BS1046" s="2" t="s">
        <v>1564</v>
      </c>
      <c r="BT1046" s="2" t="str">
        <f>HYPERLINK("https%3A%2F%2Fwww.webofscience.com%2Fwos%2Fwoscc%2Ffull-record%2FWOS:000320570200004","View Full Record in Web of Science")</f>
        <v>View Full Record in Web of Science</v>
      </c>
    </row>
    <row r="1047" spans="1:72" s="2" customFormat="1" x14ac:dyDescent="0.4">
      <c r="A1047" s="2" t="s">
        <v>72</v>
      </c>
      <c r="B1047" s="2" t="s">
        <v>1283</v>
      </c>
      <c r="C1047" s="2" t="s">
        <v>74</v>
      </c>
      <c r="D1047" s="2" t="s">
        <v>74</v>
      </c>
      <c r="E1047" s="2" t="s">
        <v>74</v>
      </c>
      <c r="F1047" s="2" t="s">
        <v>1284</v>
      </c>
      <c r="G1047" s="2" t="s">
        <v>74</v>
      </c>
      <c r="H1047" s="2" t="s">
        <v>74</v>
      </c>
      <c r="I1047" s="2" t="s">
        <v>1285</v>
      </c>
      <c r="J1047" s="2" t="s">
        <v>654</v>
      </c>
      <c r="K1047" s="2" t="s">
        <v>74</v>
      </c>
      <c r="L1047" s="2" t="s">
        <v>74</v>
      </c>
      <c r="M1047" s="2" t="s">
        <v>74</v>
      </c>
      <c r="N1047" s="2" t="s">
        <v>74</v>
      </c>
      <c r="O1047" s="2" t="s">
        <v>74</v>
      </c>
      <c r="P1047" s="2" t="s">
        <v>74</v>
      </c>
      <c r="Q1047" s="2" t="s">
        <v>74</v>
      </c>
      <c r="R1047" s="2" t="s">
        <v>74</v>
      </c>
      <c r="S1047" s="2" t="s">
        <v>74</v>
      </c>
      <c r="T1047" s="2" t="s">
        <v>74</v>
      </c>
      <c r="U1047" s="2" t="s">
        <v>74</v>
      </c>
      <c r="V1047" s="5" t="s">
        <v>1286</v>
      </c>
      <c r="W1047" s="2" t="s">
        <v>74</v>
      </c>
      <c r="X1047" s="2" t="s">
        <v>74</v>
      </c>
      <c r="Y1047" s="2" t="s">
        <v>74</v>
      </c>
      <c r="Z1047" s="2" t="s">
        <v>74</v>
      </c>
      <c r="AA1047" s="2" t="s">
        <v>1287</v>
      </c>
      <c r="AB1047" s="2" t="s">
        <v>1288</v>
      </c>
      <c r="AC1047" s="2" t="s">
        <v>74</v>
      </c>
      <c r="AD1047" s="2" t="s">
        <v>74</v>
      </c>
      <c r="AE1047" s="2" t="s">
        <v>74</v>
      </c>
      <c r="AF1047" s="2" t="s">
        <v>74</v>
      </c>
      <c r="AG1047" s="2" t="s">
        <v>74</v>
      </c>
      <c r="AH1047" s="2" t="s">
        <v>74</v>
      </c>
      <c r="AI1047" s="2" t="s">
        <v>74</v>
      </c>
      <c r="AJ1047" s="2" t="s">
        <v>74</v>
      </c>
      <c r="AK1047" s="2" t="s">
        <v>74</v>
      </c>
      <c r="AL1047" s="2" t="s">
        <v>74</v>
      </c>
      <c r="AM1047" s="2" t="s">
        <v>74</v>
      </c>
      <c r="AN1047" s="2" t="s">
        <v>74</v>
      </c>
      <c r="AO1047" s="2" t="s">
        <v>658</v>
      </c>
      <c r="AP1047" s="2" t="s">
        <v>74</v>
      </c>
      <c r="AQ1047" s="2" t="s">
        <v>74</v>
      </c>
      <c r="AR1047" s="2" t="s">
        <v>74</v>
      </c>
      <c r="AS1047" s="2" t="s">
        <v>74</v>
      </c>
      <c r="AT1047" s="2" t="s">
        <v>145</v>
      </c>
      <c r="AU1047" s="2">
        <v>2023</v>
      </c>
      <c r="AV1047" s="2">
        <v>13</v>
      </c>
      <c r="AW1047" s="2">
        <v>8</v>
      </c>
      <c r="AX1047" s="2" t="s">
        <v>74</v>
      </c>
      <c r="AY1047" s="2" t="s">
        <v>74</v>
      </c>
      <c r="AZ1047" s="2" t="s">
        <v>74</v>
      </c>
      <c r="BA1047" s="2" t="s">
        <v>74</v>
      </c>
      <c r="BB1047" s="2" t="s">
        <v>74</v>
      </c>
      <c r="BC1047" s="2" t="s">
        <v>74</v>
      </c>
      <c r="BD1047" s="2" t="s">
        <v>74</v>
      </c>
      <c r="BE1047" s="2" t="s">
        <v>1289</v>
      </c>
      <c r="BF1047" s="2" t="str">
        <f>HYPERLINK("http://dx.doi.org/10.1002/ece3.10328","http://dx.doi.org/10.1002/ece3.10328")</f>
        <v>http://dx.doi.org/10.1002/ece3.10328</v>
      </c>
      <c r="BG1047" s="2" t="s">
        <v>74</v>
      </c>
      <c r="BH1047" s="2" t="s">
        <v>74</v>
      </c>
      <c r="BI1047" s="2" t="s">
        <v>74</v>
      </c>
      <c r="BJ1047" s="2" t="s">
        <v>74</v>
      </c>
      <c r="BK1047" s="2" t="s">
        <v>74</v>
      </c>
      <c r="BL1047" s="2" t="s">
        <v>74</v>
      </c>
      <c r="BM1047" s="2" t="s">
        <v>74</v>
      </c>
      <c r="BN1047" s="2">
        <v>37636865</v>
      </c>
      <c r="BO1047" s="2" t="s">
        <v>74</v>
      </c>
      <c r="BP1047" s="2" t="s">
        <v>74</v>
      </c>
      <c r="BQ1047" s="2" t="s">
        <v>74</v>
      </c>
      <c r="BR1047" s="2" t="s">
        <v>74</v>
      </c>
      <c r="BS1047" s="2" t="s">
        <v>1290</v>
      </c>
      <c r="BT1047" s="2" t="str">
        <f>HYPERLINK("https%3A%2F%2Fwww.webofscience.com%2Fwos%2Fwoscc%2Ffull-record%2FWOS:001054792900001","View Full Record in Web of Science")</f>
        <v>View Full Record in Web of Science</v>
      </c>
    </row>
    <row r="1048" spans="1:72" s="2" customFormat="1" x14ac:dyDescent="0.4">
      <c r="A1048" s="2" t="s">
        <v>72</v>
      </c>
      <c r="B1048" s="2" t="s">
        <v>5811</v>
      </c>
      <c r="C1048" s="2" t="s">
        <v>74</v>
      </c>
      <c r="D1048" s="2" t="s">
        <v>74</v>
      </c>
      <c r="E1048" s="2" t="s">
        <v>74</v>
      </c>
      <c r="F1048" s="2" t="s">
        <v>5812</v>
      </c>
      <c r="G1048" s="2" t="s">
        <v>74</v>
      </c>
      <c r="H1048" s="2" t="s">
        <v>74</v>
      </c>
      <c r="I1048" s="2" t="s">
        <v>5813</v>
      </c>
      <c r="J1048" s="2" t="s">
        <v>5814</v>
      </c>
      <c r="K1048" s="2" t="s">
        <v>74</v>
      </c>
      <c r="L1048" s="2" t="s">
        <v>74</v>
      </c>
      <c r="M1048" s="2" t="s">
        <v>74</v>
      </c>
      <c r="N1048" s="2" t="s">
        <v>74</v>
      </c>
      <c r="O1048" s="2" t="s">
        <v>74</v>
      </c>
      <c r="P1048" s="2" t="s">
        <v>74</v>
      </c>
      <c r="Q1048" s="2" t="s">
        <v>74</v>
      </c>
      <c r="R1048" s="2" t="s">
        <v>74</v>
      </c>
      <c r="S1048" s="2" t="s">
        <v>74</v>
      </c>
      <c r="T1048" s="2" t="s">
        <v>74</v>
      </c>
      <c r="U1048" s="2" t="s">
        <v>74</v>
      </c>
      <c r="V1048" s="5" t="s">
        <v>5815</v>
      </c>
      <c r="W1048" s="2" t="s">
        <v>74</v>
      </c>
      <c r="X1048" s="2" t="s">
        <v>74</v>
      </c>
      <c r="Y1048" s="2" t="s">
        <v>74</v>
      </c>
      <c r="Z1048" s="2" t="s">
        <v>74</v>
      </c>
      <c r="AA1048" s="2" t="s">
        <v>5816</v>
      </c>
      <c r="AB1048" s="2" t="s">
        <v>5817</v>
      </c>
      <c r="AC1048" s="2" t="s">
        <v>74</v>
      </c>
      <c r="AD1048" s="2" t="s">
        <v>74</v>
      </c>
      <c r="AE1048" s="2" t="s">
        <v>74</v>
      </c>
      <c r="AF1048" s="2" t="s">
        <v>74</v>
      </c>
      <c r="AG1048" s="2" t="s">
        <v>74</v>
      </c>
      <c r="AH1048" s="2" t="s">
        <v>74</v>
      </c>
      <c r="AI1048" s="2" t="s">
        <v>74</v>
      </c>
      <c r="AJ1048" s="2" t="s">
        <v>74</v>
      </c>
      <c r="AK1048" s="2" t="s">
        <v>74</v>
      </c>
      <c r="AL1048" s="2" t="s">
        <v>74</v>
      </c>
      <c r="AM1048" s="2" t="s">
        <v>74</v>
      </c>
      <c r="AN1048" s="2" t="s">
        <v>74</v>
      </c>
      <c r="AO1048" s="2" t="s">
        <v>74</v>
      </c>
      <c r="AP1048" s="2" t="s">
        <v>5818</v>
      </c>
      <c r="AQ1048" s="2" t="s">
        <v>74</v>
      </c>
      <c r="AR1048" s="2" t="s">
        <v>74</v>
      </c>
      <c r="AS1048" s="2" t="s">
        <v>74</v>
      </c>
      <c r="AT1048" s="2" t="s">
        <v>5819</v>
      </c>
      <c r="AU1048" s="2">
        <v>2007</v>
      </c>
      <c r="AV1048" s="2">
        <v>104</v>
      </c>
      <c r="AW1048" s="2">
        <v>1</v>
      </c>
      <c r="AX1048" s="2" t="s">
        <v>74</v>
      </c>
      <c r="AY1048" s="2" t="s">
        <v>74</v>
      </c>
      <c r="AZ1048" s="2" t="s">
        <v>74</v>
      </c>
      <c r="BA1048" s="2" t="s">
        <v>74</v>
      </c>
      <c r="BB1048" s="2">
        <v>57</v>
      </c>
      <c r="BC1048" s="2">
        <v>65</v>
      </c>
      <c r="BD1048" s="2" t="s">
        <v>74</v>
      </c>
      <c r="BE1048" s="2" t="s">
        <v>5820</v>
      </c>
      <c r="BF1048" s="2" t="str">
        <f>HYPERLINK("http://dx.doi.org/10.14411/eje.2007.009","http://dx.doi.org/10.14411/eje.2007.009")</f>
        <v>http://dx.doi.org/10.14411/eje.2007.009</v>
      </c>
      <c r="BG1048" s="2" t="s">
        <v>74</v>
      </c>
      <c r="BH1048" s="2" t="s">
        <v>74</v>
      </c>
      <c r="BI1048" s="2" t="s">
        <v>74</v>
      </c>
      <c r="BJ1048" s="2" t="s">
        <v>74</v>
      </c>
      <c r="BK1048" s="2" t="s">
        <v>74</v>
      </c>
      <c r="BL1048" s="2" t="s">
        <v>74</v>
      </c>
      <c r="BM1048" s="2" t="s">
        <v>74</v>
      </c>
      <c r="BN1048" s="2" t="s">
        <v>74</v>
      </c>
      <c r="BO1048" s="2" t="s">
        <v>74</v>
      </c>
      <c r="BP1048" s="2" t="s">
        <v>74</v>
      </c>
      <c r="BQ1048" s="2" t="s">
        <v>74</v>
      </c>
      <c r="BR1048" s="2" t="s">
        <v>74</v>
      </c>
      <c r="BS1048" s="2" t="s">
        <v>5821</v>
      </c>
      <c r="BT1048" s="2" t="str">
        <f>HYPERLINK("https%3A%2F%2Fwww.webofscience.com%2Fwos%2Fwoscc%2Ffull-record%2FWOS:000243077100009","View Full Record in Web of Science")</f>
        <v>View Full Record in Web of Science</v>
      </c>
    </row>
    <row r="1049" spans="1:72" s="2" customFormat="1" x14ac:dyDescent="0.4">
      <c r="A1049" s="2" t="s">
        <v>72</v>
      </c>
      <c r="B1049" s="2" t="s">
        <v>2779</v>
      </c>
      <c r="C1049" s="2" t="s">
        <v>74</v>
      </c>
      <c r="D1049" s="2" t="s">
        <v>74</v>
      </c>
      <c r="E1049" s="2" t="s">
        <v>74</v>
      </c>
      <c r="F1049" s="2" t="s">
        <v>2780</v>
      </c>
      <c r="G1049" s="2" t="s">
        <v>74</v>
      </c>
      <c r="H1049" s="2" t="s">
        <v>74</v>
      </c>
      <c r="I1049" s="2" t="s">
        <v>2781</v>
      </c>
      <c r="J1049" s="2" t="s">
        <v>824</v>
      </c>
      <c r="K1049" s="2" t="s">
        <v>74</v>
      </c>
      <c r="L1049" s="2" t="s">
        <v>74</v>
      </c>
      <c r="M1049" s="2" t="s">
        <v>74</v>
      </c>
      <c r="N1049" s="2" t="s">
        <v>74</v>
      </c>
      <c r="O1049" s="2" t="s">
        <v>74</v>
      </c>
      <c r="P1049" s="2" t="s">
        <v>74</v>
      </c>
      <c r="Q1049" s="2" t="s">
        <v>74</v>
      </c>
      <c r="R1049" s="2" t="s">
        <v>74</v>
      </c>
      <c r="S1049" s="2" t="s">
        <v>74</v>
      </c>
      <c r="T1049" s="2" t="s">
        <v>74</v>
      </c>
      <c r="U1049" s="2" t="s">
        <v>74</v>
      </c>
      <c r="V1049" s="5" t="s">
        <v>2782</v>
      </c>
      <c r="W1049" s="2" t="s">
        <v>74</v>
      </c>
      <c r="X1049" s="2" t="s">
        <v>74</v>
      </c>
      <c r="Y1049" s="2" t="s">
        <v>74</v>
      </c>
      <c r="Z1049" s="2" t="s">
        <v>74</v>
      </c>
      <c r="AA1049" s="2" t="s">
        <v>74</v>
      </c>
      <c r="AB1049" s="2" t="s">
        <v>2783</v>
      </c>
      <c r="AC1049" s="2" t="s">
        <v>74</v>
      </c>
      <c r="AD1049" s="2" t="s">
        <v>74</v>
      </c>
      <c r="AE1049" s="2" t="s">
        <v>74</v>
      </c>
      <c r="AF1049" s="2" t="s">
        <v>74</v>
      </c>
      <c r="AG1049" s="2" t="s">
        <v>74</v>
      </c>
      <c r="AH1049" s="2" t="s">
        <v>74</v>
      </c>
      <c r="AI1049" s="2" t="s">
        <v>74</v>
      </c>
      <c r="AJ1049" s="2" t="s">
        <v>74</v>
      </c>
      <c r="AK1049" s="2" t="s">
        <v>74</v>
      </c>
      <c r="AL1049" s="2" t="s">
        <v>74</v>
      </c>
      <c r="AM1049" s="2" t="s">
        <v>74</v>
      </c>
      <c r="AN1049" s="2" t="s">
        <v>74</v>
      </c>
      <c r="AO1049" s="2" t="s">
        <v>828</v>
      </c>
      <c r="AP1049" s="2" t="s">
        <v>74</v>
      </c>
      <c r="AQ1049" s="2" t="s">
        <v>74</v>
      </c>
      <c r="AR1049" s="2" t="s">
        <v>74</v>
      </c>
      <c r="AS1049" s="2" t="s">
        <v>74</v>
      </c>
      <c r="AT1049" s="2" t="s">
        <v>255</v>
      </c>
      <c r="AU1049" s="2">
        <v>2011</v>
      </c>
      <c r="AV1049" s="2">
        <v>80</v>
      </c>
      <c r="AW1049" s="2">
        <v>1</v>
      </c>
      <c r="AX1049" s="2" t="s">
        <v>74</v>
      </c>
      <c r="AY1049" s="2" t="s">
        <v>74</v>
      </c>
      <c r="AZ1049" s="2" t="s">
        <v>74</v>
      </c>
      <c r="BA1049" s="2" t="s">
        <v>74</v>
      </c>
      <c r="BB1049" s="2">
        <v>79</v>
      </c>
      <c r="BC1049" s="2">
        <v>88</v>
      </c>
      <c r="BD1049" s="2" t="s">
        <v>74</v>
      </c>
      <c r="BE1049" s="2" t="s">
        <v>2784</v>
      </c>
      <c r="BF1049" s="2" t="str">
        <f>HYPERLINK("http://dx.doi.org/10.1111/j.1365-2656.2010.01765.x","http://dx.doi.org/10.1111/j.1365-2656.2010.01765.x")</f>
        <v>http://dx.doi.org/10.1111/j.1365-2656.2010.01765.x</v>
      </c>
      <c r="BG1049" s="2" t="s">
        <v>74</v>
      </c>
      <c r="BH1049" s="2" t="s">
        <v>74</v>
      </c>
      <c r="BI1049" s="2" t="s">
        <v>74</v>
      </c>
      <c r="BJ1049" s="2" t="s">
        <v>74</v>
      </c>
      <c r="BK1049" s="2" t="s">
        <v>74</v>
      </c>
      <c r="BL1049" s="2" t="s">
        <v>74</v>
      </c>
      <c r="BM1049" s="2" t="s">
        <v>74</v>
      </c>
      <c r="BN1049" s="2">
        <v>20964684</v>
      </c>
      <c r="BO1049" s="2" t="s">
        <v>74</v>
      </c>
      <c r="BP1049" s="2" t="s">
        <v>74</v>
      </c>
      <c r="BQ1049" s="2" t="s">
        <v>74</v>
      </c>
      <c r="BR1049" s="2" t="s">
        <v>74</v>
      </c>
      <c r="BS1049" s="2" t="s">
        <v>2785</v>
      </c>
      <c r="BT1049" s="2" t="str">
        <f>HYPERLINK("https%3A%2F%2Fwww.webofscience.com%2Fwos%2Fwoscc%2Ffull-record%2FWOS:000285110600008","View Full Record in Web of Science")</f>
        <v>View Full Record in Web of Science</v>
      </c>
    </row>
    <row r="1050" spans="1:72" s="2" customFormat="1" x14ac:dyDescent="0.4">
      <c r="A1050" s="2" t="s">
        <v>72</v>
      </c>
      <c r="B1050" s="2" t="s">
        <v>5624</v>
      </c>
      <c r="C1050" s="2" t="s">
        <v>74</v>
      </c>
      <c r="D1050" s="2" t="s">
        <v>74</v>
      </c>
      <c r="E1050" s="2" t="s">
        <v>74</v>
      </c>
      <c r="F1050" s="2" t="s">
        <v>5625</v>
      </c>
      <c r="G1050" s="2" t="s">
        <v>74</v>
      </c>
      <c r="H1050" s="2" t="s">
        <v>74</v>
      </c>
      <c r="I1050" s="2" t="s">
        <v>5626</v>
      </c>
      <c r="J1050" s="2" t="s">
        <v>281</v>
      </c>
      <c r="K1050" s="2" t="s">
        <v>74</v>
      </c>
      <c r="L1050" s="2" t="s">
        <v>74</v>
      </c>
      <c r="M1050" s="2" t="s">
        <v>74</v>
      </c>
      <c r="N1050" s="2" t="s">
        <v>74</v>
      </c>
      <c r="O1050" s="2" t="s">
        <v>74</v>
      </c>
      <c r="P1050" s="2" t="s">
        <v>74</v>
      </c>
      <c r="Q1050" s="2" t="s">
        <v>74</v>
      </c>
      <c r="R1050" s="2" t="s">
        <v>74</v>
      </c>
      <c r="S1050" s="2" t="s">
        <v>74</v>
      </c>
      <c r="T1050" s="2" t="s">
        <v>74</v>
      </c>
      <c r="U1050" s="2" t="s">
        <v>74</v>
      </c>
      <c r="V1050" s="5" t="s">
        <v>5627</v>
      </c>
      <c r="W1050" s="2" t="s">
        <v>74</v>
      </c>
      <c r="X1050" s="2" t="s">
        <v>74</v>
      </c>
      <c r="Y1050" s="2" t="s">
        <v>74</v>
      </c>
      <c r="Z1050" s="2" t="s">
        <v>74</v>
      </c>
      <c r="AA1050" s="2" t="s">
        <v>74</v>
      </c>
      <c r="AB1050" s="2" t="s">
        <v>5628</v>
      </c>
      <c r="AC1050" s="2" t="s">
        <v>74</v>
      </c>
      <c r="AD1050" s="2" t="s">
        <v>74</v>
      </c>
      <c r="AE1050" s="2" t="s">
        <v>74</v>
      </c>
      <c r="AF1050" s="2" t="s">
        <v>74</v>
      </c>
      <c r="AG1050" s="2" t="s">
        <v>74</v>
      </c>
      <c r="AH1050" s="2" t="s">
        <v>74</v>
      </c>
      <c r="AI1050" s="2" t="s">
        <v>74</v>
      </c>
      <c r="AJ1050" s="2" t="s">
        <v>74</v>
      </c>
      <c r="AK1050" s="2" t="s">
        <v>74</v>
      </c>
      <c r="AL1050" s="2" t="s">
        <v>74</v>
      </c>
      <c r="AM1050" s="2" t="s">
        <v>74</v>
      </c>
      <c r="AN1050" s="2" t="s">
        <v>74</v>
      </c>
      <c r="AO1050" s="2" t="s">
        <v>285</v>
      </c>
      <c r="AP1050" s="2" t="s">
        <v>286</v>
      </c>
      <c r="AQ1050" s="2" t="s">
        <v>74</v>
      </c>
      <c r="AR1050" s="2" t="s">
        <v>74</v>
      </c>
      <c r="AS1050" s="2" t="s">
        <v>74</v>
      </c>
      <c r="AT1050" s="2" t="s">
        <v>964</v>
      </c>
      <c r="AU1050" s="2">
        <v>2022</v>
      </c>
      <c r="AV1050" s="2">
        <v>25</v>
      </c>
      <c r="AW1050" s="2">
        <v>1</v>
      </c>
      <c r="AX1050" s="2" t="s">
        <v>74</v>
      </c>
      <c r="AY1050" s="2" t="s">
        <v>74</v>
      </c>
      <c r="AZ1050" s="2" t="s">
        <v>74</v>
      </c>
      <c r="BA1050" s="2" t="s">
        <v>74</v>
      </c>
      <c r="BB1050" s="2">
        <v>205</v>
      </c>
      <c r="BC1050" s="2">
        <v>216</v>
      </c>
      <c r="BD1050" s="2" t="s">
        <v>74</v>
      </c>
      <c r="BE1050" s="2" t="s">
        <v>5629</v>
      </c>
      <c r="BF1050" s="2" t="str">
        <f>HYPERLINK("http://dx.doi.org/10.1007/s10071-021-01548-7","http://dx.doi.org/10.1007/s10071-021-01548-7")</f>
        <v>http://dx.doi.org/10.1007/s10071-021-01548-7</v>
      </c>
      <c r="BG1050" s="2" t="s">
        <v>74</v>
      </c>
      <c r="BH1050" s="2" t="s">
        <v>4990</v>
      </c>
      <c r="BI1050" s="2" t="s">
        <v>74</v>
      </c>
      <c r="BJ1050" s="2" t="s">
        <v>74</v>
      </c>
      <c r="BK1050" s="2" t="s">
        <v>74</v>
      </c>
      <c r="BL1050" s="2" t="s">
        <v>74</v>
      </c>
      <c r="BM1050" s="2" t="s">
        <v>74</v>
      </c>
      <c r="BN1050" s="2">
        <v>34383151</v>
      </c>
      <c r="BO1050" s="2" t="s">
        <v>74</v>
      </c>
      <c r="BP1050" s="2" t="s">
        <v>74</v>
      </c>
      <c r="BQ1050" s="2" t="s">
        <v>74</v>
      </c>
      <c r="BR1050" s="2" t="s">
        <v>74</v>
      </c>
      <c r="BS1050" s="2" t="s">
        <v>5630</v>
      </c>
      <c r="BT1050" s="2" t="str">
        <f>HYPERLINK("https%3A%2F%2Fwww.webofscience.com%2Fwos%2Fwoscc%2Ffull-record%2FWOS:000684460500001","View Full Record in Web of Science")</f>
        <v>View Full Record in Web of Science</v>
      </c>
    </row>
    <row r="1051" spans="1:72" s="2" customFormat="1" x14ac:dyDescent="0.4">
      <c r="A1051" s="2" t="s">
        <v>72</v>
      </c>
      <c r="B1051" s="2" t="s">
        <v>2100</v>
      </c>
      <c r="C1051" s="2" t="s">
        <v>74</v>
      </c>
      <c r="D1051" s="2" t="s">
        <v>74</v>
      </c>
      <c r="E1051" s="2" t="s">
        <v>74</v>
      </c>
      <c r="F1051" s="2" t="s">
        <v>2101</v>
      </c>
      <c r="G1051" s="2" t="s">
        <v>74</v>
      </c>
      <c r="H1051" s="2" t="s">
        <v>74</v>
      </c>
      <c r="I1051" s="2" t="s">
        <v>2102</v>
      </c>
      <c r="J1051" s="2" t="s">
        <v>2017</v>
      </c>
      <c r="K1051" s="2" t="s">
        <v>74</v>
      </c>
      <c r="L1051" s="2" t="s">
        <v>74</v>
      </c>
      <c r="M1051" s="2" t="s">
        <v>74</v>
      </c>
      <c r="N1051" s="2" t="s">
        <v>74</v>
      </c>
      <c r="O1051" s="2" t="s">
        <v>74</v>
      </c>
      <c r="P1051" s="2" t="s">
        <v>74</v>
      </c>
      <c r="Q1051" s="2" t="s">
        <v>74</v>
      </c>
      <c r="R1051" s="2" t="s">
        <v>74</v>
      </c>
      <c r="S1051" s="2" t="s">
        <v>74</v>
      </c>
      <c r="T1051" s="2" t="s">
        <v>74</v>
      </c>
      <c r="U1051" s="2" t="s">
        <v>74</v>
      </c>
      <c r="V1051" s="5" t="s">
        <v>2103</v>
      </c>
      <c r="W1051" s="2" t="s">
        <v>74</v>
      </c>
      <c r="X1051" s="2" t="s">
        <v>74</v>
      </c>
      <c r="Y1051" s="2" t="s">
        <v>74</v>
      </c>
      <c r="Z1051" s="2" t="s">
        <v>74</v>
      </c>
      <c r="AA1051" s="2" t="s">
        <v>2104</v>
      </c>
      <c r="AB1051" s="2" t="s">
        <v>2105</v>
      </c>
      <c r="AC1051" s="2" t="s">
        <v>74</v>
      </c>
      <c r="AD1051" s="2" t="s">
        <v>74</v>
      </c>
      <c r="AE1051" s="2" t="s">
        <v>74</v>
      </c>
      <c r="AF1051" s="2" t="s">
        <v>74</v>
      </c>
      <c r="AG1051" s="2" t="s">
        <v>74</v>
      </c>
      <c r="AH1051" s="2" t="s">
        <v>74</v>
      </c>
      <c r="AI1051" s="2" t="s">
        <v>74</v>
      </c>
      <c r="AJ1051" s="2" t="s">
        <v>74</v>
      </c>
      <c r="AK1051" s="2" t="s">
        <v>74</v>
      </c>
      <c r="AL1051" s="2" t="s">
        <v>74</v>
      </c>
      <c r="AM1051" s="2" t="s">
        <v>74</v>
      </c>
      <c r="AN1051" s="2" t="s">
        <v>74</v>
      </c>
      <c r="AO1051" s="2" t="s">
        <v>2021</v>
      </c>
      <c r="AP1051" s="2" t="s">
        <v>74</v>
      </c>
      <c r="AQ1051" s="2" t="s">
        <v>74</v>
      </c>
      <c r="AR1051" s="2" t="s">
        <v>74</v>
      </c>
      <c r="AS1051" s="2" t="s">
        <v>74</v>
      </c>
      <c r="AT1051" s="2" t="s">
        <v>1253</v>
      </c>
      <c r="AU1051" s="2">
        <v>2019</v>
      </c>
      <c r="AV1051" s="2">
        <v>7</v>
      </c>
      <c r="AW1051" s="2" t="s">
        <v>74</v>
      </c>
      <c r="AX1051" s="2" t="s">
        <v>74</v>
      </c>
      <c r="AY1051" s="2" t="s">
        <v>74</v>
      </c>
      <c r="AZ1051" s="2" t="s">
        <v>74</v>
      </c>
      <c r="BA1051" s="2" t="s">
        <v>74</v>
      </c>
      <c r="BB1051" s="2" t="s">
        <v>74</v>
      </c>
      <c r="BC1051" s="2" t="s">
        <v>74</v>
      </c>
      <c r="BD1051" s="2">
        <v>292</v>
      </c>
      <c r="BE1051" s="2" t="s">
        <v>2106</v>
      </c>
      <c r="BF1051" s="2" t="str">
        <f>HYPERLINK("http://dx.doi.org/10.3389/fevo.2019.00292","http://dx.doi.org/10.3389/fevo.2019.00292")</f>
        <v>http://dx.doi.org/10.3389/fevo.2019.00292</v>
      </c>
      <c r="BG1051" s="2" t="s">
        <v>74</v>
      </c>
      <c r="BH1051" s="2" t="s">
        <v>74</v>
      </c>
      <c r="BI1051" s="2" t="s">
        <v>74</v>
      </c>
      <c r="BJ1051" s="2" t="s">
        <v>74</v>
      </c>
      <c r="BK1051" s="2" t="s">
        <v>74</v>
      </c>
      <c r="BL1051" s="2" t="s">
        <v>74</v>
      </c>
      <c r="BM1051" s="2" t="s">
        <v>74</v>
      </c>
      <c r="BN1051" s="2" t="s">
        <v>74</v>
      </c>
      <c r="BO1051" s="2" t="s">
        <v>74</v>
      </c>
      <c r="BP1051" s="2" t="s">
        <v>74</v>
      </c>
      <c r="BQ1051" s="2" t="s">
        <v>74</v>
      </c>
      <c r="BR1051" s="2" t="s">
        <v>74</v>
      </c>
      <c r="BS1051" s="2" t="s">
        <v>2107</v>
      </c>
      <c r="BT1051" s="2" t="str">
        <f>HYPERLINK("https%3A%2F%2Fwww.webofscience.com%2Fwos%2Fwoscc%2Ffull-record%2FWOS:000479067400001","View Full Record in Web of Science")</f>
        <v>View Full Record in Web of Science</v>
      </c>
    </row>
    <row r="1052" spans="1:72" s="2" customFormat="1" x14ac:dyDescent="0.4">
      <c r="A1052" s="2" t="s">
        <v>72</v>
      </c>
      <c r="B1052" s="2" t="s">
        <v>3288</v>
      </c>
      <c r="C1052" s="2" t="s">
        <v>74</v>
      </c>
      <c r="D1052" s="2" t="s">
        <v>74</v>
      </c>
      <c r="E1052" s="2" t="s">
        <v>74</v>
      </c>
      <c r="F1052" s="2" t="s">
        <v>3289</v>
      </c>
      <c r="G1052" s="2" t="s">
        <v>74</v>
      </c>
      <c r="H1052" s="2" t="s">
        <v>74</v>
      </c>
      <c r="I1052" s="2" t="s">
        <v>3290</v>
      </c>
      <c r="J1052" s="2" t="s">
        <v>3291</v>
      </c>
      <c r="K1052" s="2" t="s">
        <v>74</v>
      </c>
      <c r="L1052" s="2" t="s">
        <v>74</v>
      </c>
      <c r="M1052" s="2" t="s">
        <v>74</v>
      </c>
      <c r="N1052" s="2" t="s">
        <v>74</v>
      </c>
      <c r="O1052" s="2" t="s">
        <v>74</v>
      </c>
      <c r="P1052" s="2" t="s">
        <v>74</v>
      </c>
      <c r="Q1052" s="2" t="s">
        <v>74</v>
      </c>
      <c r="R1052" s="2" t="s">
        <v>74</v>
      </c>
      <c r="S1052" s="2" t="s">
        <v>74</v>
      </c>
      <c r="T1052" s="2" t="s">
        <v>74</v>
      </c>
      <c r="U1052" s="2" t="s">
        <v>74</v>
      </c>
      <c r="V1052" s="5" t="s">
        <v>3292</v>
      </c>
      <c r="W1052" s="2" t="s">
        <v>74</v>
      </c>
      <c r="X1052" s="2" t="s">
        <v>74</v>
      </c>
      <c r="Y1052" s="2" t="s">
        <v>74</v>
      </c>
      <c r="Z1052" s="2" t="s">
        <v>74</v>
      </c>
      <c r="AA1052" s="2" t="s">
        <v>3293</v>
      </c>
      <c r="AB1052" s="2" t="s">
        <v>3294</v>
      </c>
      <c r="AC1052" s="2" t="s">
        <v>74</v>
      </c>
      <c r="AD1052" s="2" t="s">
        <v>74</v>
      </c>
      <c r="AE1052" s="2" t="s">
        <v>74</v>
      </c>
      <c r="AF1052" s="2" t="s">
        <v>74</v>
      </c>
      <c r="AG1052" s="2" t="s">
        <v>74</v>
      </c>
      <c r="AH1052" s="2" t="s">
        <v>74</v>
      </c>
      <c r="AI1052" s="2" t="s">
        <v>74</v>
      </c>
      <c r="AJ1052" s="2" t="s">
        <v>74</v>
      </c>
      <c r="AK1052" s="2" t="s">
        <v>74</v>
      </c>
      <c r="AL1052" s="2" t="s">
        <v>74</v>
      </c>
      <c r="AM1052" s="2" t="s">
        <v>74</v>
      </c>
      <c r="AN1052" s="2" t="s">
        <v>74</v>
      </c>
      <c r="AO1052" s="2" t="s">
        <v>3295</v>
      </c>
      <c r="AP1052" s="2" t="s">
        <v>74</v>
      </c>
      <c r="AQ1052" s="2" t="s">
        <v>74</v>
      </c>
      <c r="AR1052" s="2" t="s">
        <v>74</v>
      </c>
      <c r="AS1052" s="2" t="s">
        <v>74</v>
      </c>
      <c r="AT1052" s="2" t="s">
        <v>1641</v>
      </c>
      <c r="AU1052" s="2">
        <v>2013</v>
      </c>
      <c r="AV1052" s="2">
        <v>10</v>
      </c>
      <c r="AW1052" s="2" t="s">
        <v>74</v>
      </c>
      <c r="AX1052" s="2" t="s">
        <v>74</v>
      </c>
      <c r="AY1052" s="2" t="s">
        <v>74</v>
      </c>
      <c r="AZ1052" s="2" t="s">
        <v>74</v>
      </c>
      <c r="BA1052" s="2" t="s">
        <v>74</v>
      </c>
      <c r="BB1052" s="2" t="s">
        <v>74</v>
      </c>
      <c r="BC1052" s="2" t="s">
        <v>74</v>
      </c>
      <c r="BD1052" s="2">
        <v>25</v>
      </c>
      <c r="BE1052" s="2" t="s">
        <v>3296</v>
      </c>
      <c r="BF1052" s="2" t="str">
        <f>HYPERLINK("http://dx.doi.org/10.1186/1742-9994-10-25","http://dx.doi.org/10.1186/1742-9994-10-25")</f>
        <v>http://dx.doi.org/10.1186/1742-9994-10-25</v>
      </c>
      <c r="BG1052" s="2" t="s">
        <v>74</v>
      </c>
      <c r="BH1052" s="2" t="s">
        <v>74</v>
      </c>
      <c r="BI1052" s="2" t="s">
        <v>74</v>
      </c>
      <c r="BJ1052" s="2" t="s">
        <v>74</v>
      </c>
      <c r="BK1052" s="2" t="s">
        <v>74</v>
      </c>
      <c r="BL1052" s="2" t="s">
        <v>74</v>
      </c>
      <c r="BM1052" s="2" t="s">
        <v>74</v>
      </c>
      <c r="BN1052" s="2">
        <v>23663311</v>
      </c>
      <c r="BO1052" s="2" t="s">
        <v>74</v>
      </c>
      <c r="BP1052" s="2" t="s">
        <v>74</v>
      </c>
      <c r="BQ1052" s="2" t="s">
        <v>74</v>
      </c>
      <c r="BR1052" s="2" t="s">
        <v>74</v>
      </c>
      <c r="BS1052" s="2" t="s">
        <v>3297</v>
      </c>
      <c r="BT1052" s="2" t="str">
        <f>HYPERLINK("https%3A%2F%2Fwww.webofscience.com%2Fwos%2Fwoscc%2Ffull-record%2FWOS:000319151500001","View Full Record in Web of Science")</f>
        <v>View Full Record in Web of Science</v>
      </c>
    </row>
    <row r="1053" spans="1:72" s="2" customFormat="1" x14ac:dyDescent="0.4">
      <c r="A1053" s="2" t="s">
        <v>72</v>
      </c>
      <c r="B1053" s="2" t="s">
        <v>5442</v>
      </c>
      <c r="C1053" s="2" t="s">
        <v>74</v>
      </c>
      <c r="D1053" s="2" t="s">
        <v>74</v>
      </c>
      <c r="E1053" s="2" t="s">
        <v>74</v>
      </c>
      <c r="F1053" s="2" t="s">
        <v>5443</v>
      </c>
      <c r="G1053" s="2" t="s">
        <v>74</v>
      </c>
      <c r="H1053" s="2" t="s">
        <v>74</v>
      </c>
      <c r="I1053" s="2" t="s">
        <v>5444</v>
      </c>
      <c r="J1053" s="2" t="s">
        <v>333</v>
      </c>
      <c r="K1053" s="2" t="s">
        <v>74</v>
      </c>
      <c r="L1053" s="2" t="s">
        <v>74</v>
      </c>
      <c r="M1053" s="2" t="s">
        <v>74</v>
      </c>
      <c r="N1053" s="2" t="s">
        <v>74</v>
      </c>
      <c r="O1053" s="2" t="s">
        <v>74</v>
      </c>
      <c r="P1053" s="2" t="s">
        <v>74</v>
      </c>
      <c r="Q1053" s="2" t="s">
        <v>74</v>
      </c>
      <c r="R1053" s="2" t="s">
        <v>74</v>
      </c>
      <c r="S1053" s="2" t="s">
        <v>74</v>
      </c>
      <c r="T1053" s="2" t="s">
        <v>74</v>
      </c>
      <c r="U1053" s="2" t="s">
        <v>74</v>
      </c>
      <c r="V1053" s="5" t="s">
        <v>5445</v>
      </c>
      <c r="W1053" s="2" t="s">
        <v>74</v>
      </c>
      <c r="X1053" s="2" t="s">
        <v>74</v>
      </c>
      <c r="Y1053" s="2" t="s">
        <v>74</v>
      </c>
      <c r="Z1053" s="2" t="s">
        <v>74</v>
      </c>
      <c r="AA1053" s="2" t="s">
        <v>74</v>
      </c>
      <c r="AB1053" s="2" t="s">
        <v>74</v>
      </c>
      <c r="AC1053" s="2" t="s">
        <v>74</v>
      </c>
      <c r="AD1053" s="2" t="s">
        <v>74</v>
      </c>
      <c r="AE1053" s="2" t="s">
        <v>74</v>
      </c>
      <c r="AF1053" s="2" t="s">
        <v>74</v>
      </c>
      <c r="AG1053" s="2" t="s">
        <v>74</v>
      </c>
      <c r="AH1053" s="2" t="s">
        <v>74</v>
      </c>
      <c r="AI1053" s="2" t="s">
        <v>74</v>
      </c>
      <c r="AJ1053" s="2" t="s">
        <v>74</v>
      </c>
      <c r="AK1053" s="2" t="s">
        <v>74</v>
      </c>
      <c r="AL1053" s="2" t="s">
        <v>74</v>
      </c>
      <c r="AM1053" s="2" t="s">
        <v>74</v>
      </c>
      <c r="AN1053" s="2" t="s">
        <v>74</v>
      </c>
      <c r="AO1053" s="2" t="s">
        <v>337</v>
      </c>
      <c r="AP1053" s="2" t="s">
        <v>338</v>
      </c>
      <c r="AQ1053" s="2" t="s">
        <v>74</v>
      </c>
      <c r="AR1053" s="2" t="s">
        <v>74</v>
      </c>
      <c r="AS1053" s="2" t="s">
        <v>74</v>
      </c>
      <c r="AT1053" s="2" t="s">
        <v>1013</v>
      </c>
      <c r="AU1053" s="2">
        <v>2018</v>
      </c>
      <c r="AV1053" s="2">
        <v>29</v>
      </c>
      <c r="AW1053" s="2">
        <v>5</v>
      </c>
      <c r="AX1053" s="2" t="s">
        <v>74</v>
      </c>
      <c r="AY1053" s="2" t="s">
        <v>74</v>
      </c>
      <c r="AZ1053" s="2" t="s">
        <v>74</v>
      </c>
      <c r="BA1053" s="2" t="s">
        <v>74</v>
      </c>
      <c r="BB1053" s="2">
        <v>1046</v>
      </c>
      <c r="BC1053" s="2">
        <v>1055</v>
      </c>
      <c r="BD1053" s="2" t="s">
        <v>74</v>
      </c>
      <c r="BE1053" s="2" t="s">
        <v>5446</v>
      </c>
      <c r="BF1053" s="2" t="str">
        <f>HYPERLINK("http://dx.doi.org/10.1093/beheco/ary078","http://dx.doi.org/10.1093/beheco/ary078")</f>
        <v>http://dx.doi.org/10.1093/beheco/ary078</v>
      </c>
      <c r="BG1053" s="2" t="s">
        <v>74</v>
      </c>
      <c r="BH1053" s="2" t="s">
        <v>74</v>
      </c>
      <c r="BI1053" s="2" t="s">
        <v>74</v>
      </c>
      <c r="BJ1053" s="2" t="s">
        <v>74</v>
      </c>
      <c r="BK1053" s="2" t="s">
        <v>74</v>
      </c>
      <c r="BL1053" s="2" t="s">
        <v>74</v>
      </c>
      <c r="BM1053" s="2" t="s">
        <v>74</v>
      </c>
      <c r="BN1053" s="2" t="s">
        <v>74</v>
      </c>
      <c r="BO1053" s="2" t="s">
        <v>74</v>
      </c>
      <c r="BP1053" s="2" t="s">
        <v>74</v>
      </c>
      <c r="BQ1053" s="2" t="s">
        <v>74</v>
      </c>
      <c r="BR1053" s="2" t="s">
        <v>74</v>
      </c>
      <c r="BS1053" s="2" t="s">
        <v>5447</v>
      </c>
      <c r="BT1053" s="2" t="str">
        <f>HYPERLINK("https%3A%2F%2Fwww.webofscience.com%2Fwos%2Fwoscc%2Ffull-record%2FWOS:000444301900012","View Full Record in Web of Science")</f>
        <v>View Full Record in Web of Science</v>
      </c>
    </row>
    <row r="1054" spans="1:72" s="2" customFormat="1" x14ac:dyDescent="0.4">
      <c r="A1054" s="2" t="s">
        <v>72</v>
      </c>
      <c r="B1054" s="2" t="s">
        <v>7257</v>
      </c>
      <c r="C1054" s="2" t="s">
        <v>74</v>
      </c>
      <c r="D1054" s="2" t="s">
        <v>74</v>
      </c>
      <c r="E1054" s="2" t="s">
        <v>74</v>
      </c>
      <c r="F1054" s="2" t="s">
        <v>7257</v>
      </c>
      <c r="G1054" s="2" t="s">
        <v>74</v>
      </c>
      <c r="H1054" s="2" t="s">
        <v>74</v>
      </c>
      <c r="I1054" s="2" t="s">
        <v>7258</v>
      </c>
      <c r="J1054" s="2" t="s">
        <v>5577</v>
      </c>
      <c r="K1054" s="2" t="s">
        <v>74</v>
      </c>
      <c r="L1054" s="2" t="s">
        <v>74</v>
      </c>
      <c r="M1054" s="2" t="s">
        <v>74</v>
      </c>
      <c r="N1054" s="2" t="s">
        <v>74</v>
      </c>
      <c r="O1054" s="2" t="s">
        <v>74</v>
      </c>
      <c r="P1054" s="2" t="s">
        <v>74</v>
      </c>
      <c r="Q1054" s="2" t="s">
        <v>74</v>
      </c>
      <c r="R1054" s="2" t="s">
        <v>74</v>
      </c>
      <c r="S1054" s="2" t="s">
        <v>74</v>
      </c>
      <c r="T1054" s="2" t="s">
        <v>74</v>
      </c>
      <c r="U1054" s="2" t="s">
        <v>74</v>
      </c>
      <c r="V1054" s="5" t="s">
        <v>7259</v>
      </c>
      <c r="W1054" s="2" t="s">
        <v>74</v>
      </c>
      <c r="X1054" s="2" t="s">
        <v>74</v>
      </c>
      <c r="Y1054" s="2" t="s">
        <v>74</v>
      </c>
      <c r="Z1054" s="2" t="s">
        <v>74</v>
      </c>
      <c r="AA1054" s="2" t="s">
        <v>7260</v>
      </c>
      <c r="AB1054" s="2" t="s">
        <v>74</v>
      </c>
      <c r="AC1054" s="2" t="s">
        <v>74</v>
      </c>
      <c r="AD1054" s="2" t="s">
        <v>74</v>
      </c>
      <c r="AE1054" s="2" t="s">
        <v>74</v>
      </c>
      <c r="AF1054" s="2" t="s">
        <v>74</v>
      </c>
      <c r="AG1054" s="2" t="s">
        <v>74</v>
      </c>
      <c r="AH1054" s="2" t="s">
        <v>74</v>
      </c>
      <c r="AI1054" s="2" t="s">
        <v>74</v>
      </c>
      <c r="AJ1054" s="2" t="s">
        <v>74</v>
      </c>
      <c r="AK1054" s="2" t="s">
        <v>74</v>
      </c>
      <c r="AL1054" s="2" t="s">
        <v>74</v>
      </c>
      <c r="AM1054" s="2" t="s">
        <v>74</v>
      </c>
      <c r="AN1054" s="2" t="s">
        <v>74</v>
      </c>
      <c r="AO1054" s="2" t="s">
        <v>5579</v>
      </c>
      <c r="AP1054" s="2" t="s">
        <v>74</v>
      </c>
      <c r="AQ1054" s="2" t="s">
        <v>74</v>
      </c>
      <c r="AR1054" s="2" t="s">
        <v>74</v>
      </c>
      <c r="AS1054" s="2" t="s">
        <v>74</v>
      </c>
      <c r="AT1054" s="2" t="s">
        <v>145</v>
      </c>
      <c r="AU1054" s="2">
        <v>2002</v>
      </c>
      <c r="AV1054" s="2">
        <v>81</v>
      </c>
      <c r="AW1054" s="2">
        <v>8</v>
      </c>
      <c r="AX1054" s="2" t="s">
        <v>74</v>
      </c>
      <c r="AY1054" s="2" t="s">
        <v>74</v>
      </c>
      <c r="AZ1054" s="2" t="s">
        <v>74</v>
      </c>
      <c r="BA1054" s="2" t="s">
        <v>74</v>
      </c>
      <c r="BB1054" s="2">
        <v>970</v>
      </c>
      <c r="BC1054" s="2">
        <v>977</v>
      </c>
      <c r="BD1054" s="2" t="s">
        <v>74</v>
      </c>
      <c r="BE1054" s="2" t="s">
        <v>74</v>
      </c>
      <c r="BF1054" s="2" t="s">
        <v>74</v>
      </c>
      <c r="BG1054" s="2" t="s">
        <v>74</v>
      </c>
      <c r="BH1054" s="2" t="s">
        <v>74</v>
      </c>
      <c r="BI1054" s="2" t="s">
        <v>74</v>
      </c>
      <c r="BJ1054" s="2" t="s">
        <v>74</v>
      </c>
      <c r="BK1054" s="2" t="s">
        <v>74</v>
      </c>
      <c r="BL1054" s="2" t="s">
        <v>74</v>
      </c>
      <c r="BM1054" s="2" t="s">
        <v>74</v>
      </c>
      <c r="BN1054" s="2" t="s">
        <v>74</v>
      </c>
      <c r="BO1054" s="2" t="s">
        <v>74</v>
      </c>
      <c r="BP1054" s="2" t="s">
        <v>74</v>
      </c>
      <c r="BQ1054" s="2" t="s">
        <v>74</v>
      </c>
      <c r="BR1054" s="2" t="s">
        <v>74</v>
      </c>
      <c r="BS1054" s="2" t="s">
        <v>7261</v>
      </c>
      <c r="BT1054" s="2" t="str">
        <f>HYPERLINK("https%3A%2F%2Fwww.webofscience.com%2Fwos%2Fwoscc%2Ffull-record%2FWOS:000178048000009","View Full Record in Web of Science")</f>
        <v>View Full Record in Web of Science</v>
      </c>
    </row>
    <row r="1055" spans="1:72" s="2" customFormat="1" x14ac:dyDescent="0.4">
      <c r="A1055" s="2" t="s">
        <v>72</v>
      </c>
      <c r="B1055" s="2" t="s">
        <v>389</v>
      </c>
      <c r="C1055" s="2" t="s">
        <v>74</v>
      </c>
      <c r="D1055" s="2" t="s">
        <v>74</v>
      </c>
      <c r="E1055" s="2" t="s">
        <v>74</v>
      </c>
      <c r="F1055" s="2" t="s">
        <v>389</v>
      </c>
      <c r="G1055" s="2" t="s">
        <v>74</v>
      </c>
      <c r="H1055" s="2" t="s">
        <v>74</v>
      </c>
      <c r="I1055" s="2" t="s">
        <v>390</v>
      </c>
      <c r="J1055" s="2" t="s">
        <v>151</v>
      </c>
      <c r="K1055" s="2" t="s">
        <v>74</v>
      </c>
      <c r="L1055" s="2" t="s">
        <v>74</v>
      </c>
      <c r="M1055" s="2" t="s">
        <v>74</v>
      </c>
      <c r="N1055" s="2" t="s">
        <v>74</v>
      </c>
      <c r="O1055" s="2" t="s">
        <v>74</v>
      </c>
      <c r="P1055" s="2" t="s">
        <v>74</v>
      </c>
      <c r="Q1055" s="2" t="s">
        <v>74</v>
      </c>
      <c r="R1055" s="2" t="s">
        <v>74</v>
      </c>
      <c r="S1055" s="2" t="s">
        <v>74</v>
      </c>
      <c r="T1055" s="2" t="s">
        <v>74</v>
      </c>
      <c r="U1055" s="2" t="s">
        <v>74</v>
      </c>
      <c r="V1055" s="5" t="s">
        <v>391</v>
      </c>
      <c r="W1055" s="2" t="s">
        <v>74</v>
      </c>
      <c r="X1055" s="2" t="s">
        <v>74</v>
      </c>
      <c r="Y1055" s="2" t="s">
        <v>74</v>
      </c>
      <c r="Z1055" s="2" t="s">
        <v>74</v>
      </c>
      <c r="AA1055" s="2" t="s">
        <v>74</v>
      </c>
      <c r="AB1055" s="2" t="s">
        <v>74</v>
      </c>
      <c r="AC1055" s="2" t="s">
        <v>74</v>
      </c>
      <c r="AD1055" s="2" t="s">
        <v>74</v>
      </c>
      <c r="AE1055" s="2" t="s">
        <v>74</v>
      </c>
      <c r="AF1055" s="2" t="s">
        <v>74</v>
      </c>
      <c r="AG1055" s="2" t="s">
        <v>74</v>
      </c>
      <c r="AH1055" s="2" t="s">
        <v>74</v>
      </c>
      <c r="AI1055" s="2" t="s">
        <v>74</v>
      </c>
      <c r="AJ1055" s="2" t="s">
        <v>74</v>
      </c>
      <c r="AK1055" s="2" t="s">
        <v>74</v>
      </c>
      <c r="AL1055" s="2" t="s">
        <v>74</v>
      </c>
      <c r="AM1055" s="2" t="s">
        <v>74</v>
      </c>
      <c r="AN1055" s="2" t="s">
        <v>74</v>
      </c>
      <c r="AO1055" s="2" t="s">
        <v>155</v>
      </c>
      <c r="AP1055" s="2" t="s">
        <v>74</v>
      </c>
      <c r="AQ1055" s="2" t="s">
        <v>74</v>
      </c>
      <c r="AR1055" s="2" t="s">
        <v>74</v>
      </c>
      <c r="AS1055" s="2" t="s">
        <v>74</v>
      </c>
      <c r="AT1055" s="2" t="s">
        <v>74</v>
      </c>
      <c r="AU1055" s="2">
        <v>2003</v>
      </c>
      <c r="AV1055" s="2">
        <v>247</v>
      </c>
      <c r="AW1055" s="2" t="s">
        <v>74</v>
      </c>
      <c r="AX1055" s="2" t="s">
        <v>74</v>
      </c>
      <c r="AY1055" s="2" t="s">
        <v>74</v>
      </c>
      <c r="AZ1055" s="2" t="s">
        <v>74</v>
      </c>
      <c r="BA1055" s="2" t="s">
        <v>74</v>
      </c>
      <c r="BB1055" s="2">
        <v>85</v>
      </c>
      <c r="BC1055" s="2">
        <v>92</v>
      </c>
      <c r="BD1055" s="2" t="s">
        <v>74</v>
      </c>
      <c r="BE1055" s="2" t="s">
        <v>392</v>
      </c>
      <c r="BF1055" s="2" t="str">
        <f>HYPERLINK("http://dx.doi.org/10.3354/meps247085","http://dx.doi.org/10.3354/meps247085")</f>
        <v>http://dx.doi.org/10.3354/meps247085</v>
      </c>
      <c r="BG1055" s="2" t="s">
        <v>74</v>
      </c>
      <c r="BH1055" s="2" t="s">
        <v>74</v>
      </c>
      <c r="BI1055" s="2" t="s">
        <v>74</v>
      </c>
      <c r="BJ1055" s="2" t="s">
        <v>74</v>
      </c>
      <c r="BK1055" s="2" t="s">
        <v>74</v>
      </c>
      <c r="BL1055" s="2" t="s">
        <v>74</v>
      </c>
      <c r="BM1055" s="2" t="s">
        <v>74</v>
      </c>
      <c r="BN1055" s="2" t="s">
        <v>74</v>
      </c>
      <c r="BO1055" s="2" t="s">
        <v>74</v>
      </c>
      <c r="BP1055" s="2" t="s">
        <v>74</v>
      </c>
      <c r="BQ1055" s="2" t="s">
        <v>74</v>
      </c>
      <c r="BR1055" s="2" t="s">
        <v>74</v>
      </c>
      <c r="BS1055" s="2" t="s">
        <v>393</v>
      </c>
      <c r="BT1055" s="2" t="str">
        <f>HYPERLINK("https%3A%2F%2Fwww.webofscience.com%2Fwos%2Fwoscc%2Ffull-record%2FWOS:000181318700008","View Full Record in Web of Science")</f>
        <v>View Full Record in Web of Science</v>
      </c>
    </row>
    <row r="1056" spans="1:72" s="2" customFormat="1" x14ac:dyDescent="0.4">
      <c r="A1056" s="2" t="s">
        <v>72</v>
      </c>
      <c r="B1056" s="2" t="s">
        <v>669</v>
      </c>
      <c r="C1056" s="2" t="s">
        <v>74</v>
      </c>
      <c r="D1056" s="2" t="s">
        <v>74</v>
      </c>
      <c r="E1056" s="2" t="s">
        <v>74</v>
      </c>
      <c r="F1056" s="2" t="s">
        <v>670</v>
      </c>
      <c r="G1056" s="2" t="s">
        <v>74</v>
      </c>
      <c r="H1056" s="2" t="s">
        <v>74</v>
      </c>
      <c r="I1056" s="2" t="s">
        <v>671</v>
      </c>
      <c r="J1056" s="2" t="s">
        <v>218</v>
      </c>
      <c r="K1056" s="2" t="s">
        <v>74</v>
      </c>
      <c r="L1056" s="2" t="s">
        <v>74</v>
      </c>
      <c r="M1056" s="2" t="s">
        <v>74</v>
      </c>
      <c r="N1056" s="2" t="s">
        <v>74</v>
      </c>
      <c r="O1056" s="2" t="s">
        <v>74</v>
      </c>
      <c r="P1056" s="2" t="s">
        <v>74</v>
      </c>
      <c r="Q1056" s="2" t="s">
        <v>74</v>
      </c>
      <c r="R1056" s="2" t="s">
        <v>74</v>
      </c>
      <c r="S1056" s="2" t="s">
        <v>74</v>
      </c>
      <c r="T1056" s="2" t="s">
        <v>74</v>
      </c>
      <c r="U1056" s="2" t="s">
        <v>74</v>
      </c>
      <c r="V1056" s="5" t="s">
        <v>672</v>
      </c>
      <c r="W1056" s="2" t="s">
        <v>74</v>
      </c>
      <c r="X1056" s="2" t="s">
        <v>74</v>
      </c>
      <c r="Y1056" s="2" t="s">
        <v>74</v>
      </c>
      <c r="Z1056" s="2" t="s">
        <v>74</v>
      </c>
      <c r="AA1056" s="2" t="s">
        <v>74</v>
      </c>
      <c r="AB1056" s="2" t="s">
        <v>673</v>
      </c>
      <c r="AC1056" s="2" t="s">
        <v>74</v>
      </c>
      <c r="AD1056" s="2" t="s">
        <v>74</v>
      </c>
      <c r="AE1056" s="2" t="s">
        <v>74</v>
      </c>
      <c r="AF1056" s="2" t="s">
        <v>74</v>
      </c>
      <c r="AG1056" s="2" t="s">
        <v>74</v>
      </c>
      <c r="AH1056" s="2" t="s">
        <v>74</v>
      </c>
      <c r="AI1056" s="2" t="s">
        <v>74</v>
      </c>
      <c r="AJ1056" s="2" t="s">
        <v>74</v>
      </c>
      <c r="AK1056" s="2" t="s">
        <v>74</v>
      </c>
      <c r="AL1056" s="2" t="s">
        <v>74</v>
      </c>
      <c r="AM1056" s="2" t="s">
        <v>74</v>
      </c>
      <c r="AN1056" s="2" t="s">
        <v>74</v>
      </c>
      <c r="AO1056" s="2" t="s">
        <v>221</v>
      </c>
      <c r="AP1056" s="2" t="s">
        <v>222</v>
      </c>
      <c r="AQ1056" s="2" t="s">
        <v>74</v>
      </c>
      <c r="AR1056" s="2" t="s">
        <v>74</v>
      </c>
      <c r="AS1056" s="2" t="s">
        <v>74</v>
      </c>
      <c r="AT1056" s="2" t="s">
        <v>213</v>
      </c>
      <c r="AU1056" s="2">
        <v>2021</v>
      </c>
      <c r="AV1056" s="2">
        <v>34</v>
      </c>
      <c r="AW1056" s="2">
        <v>11</v>
      </c>
      <c r="AX1056" s="2" t="s">
        <v>74</v>
      </c>
      <c r="AY1056" s="2" t="s">
        <v>74</v>
      </c>
      <c r="AZ1056" s="2" t="s">
        <v>74</v>
      </c>
      <c r="BA1056" s="2" t="s">
        <v>74</v>
      </c>
      <c r="BB1056" s="2">
        <v>1678</v>
      </c>
      <c r="BC1056" s="2">
        <v>1690</v>
      </c>
      <c r="BD1056" s="2" t="s">
        <v>74</v>
      </c>
      <c r="BE1056" s="2" t="s">
        <v>674</v>
      </c>
      <c r="BF1056" s="2" t="str">
        <f>HYPERLINK("http://dx.doi.org/10.1111/jeb.13929","http://dx.doi.org/10.1111/jeb.13929")</f>
        <v>http://dx.doi.org/10.1111/jeb.13929</v>
      </c>
      <c r="BG1056" s="2" t="s">
        <v>74</v>
      </c>
      <c r="BH1056" s="2" t="s">
        <v>675</v>
      </c>
      <c r="BI1056" s="2" t="s">
        <v>74</v>
      </c>
      <c r="BJ1056" s="2" t="s">
        <v>74</v>
      </c>
      <c r="BK1056" s="2" t="s">
        <v>74</v>
      </c>
      <c r="BL1056" s="2" t="s">
        <v>74</v>
      </c>
      <c r="BM1056" s="2" t="s">
        <v>74</v>
      </c>
      <c r="BN1056" s="2">
        <v>34528321</v>
      </c>
      <c r="BO1056" s="2" t="s">
        <v>74</v>
      </c>
      <c r="BP1056" s="2" t="s">
        <v>74</v>
      </c>
      <c r="BQ1056" s="2" t="s">
        <v>74</v>
      </c>
      <c r="BR1056" s="2" t="s">
        <v>74</v>
      </c>
      <c r="BS1056" s="2" t="s">
        <v>676</v>
      </c>
      <c r="BT1056" s="2" t="str">
        <f>HYPERLINK("https%3A%2F%2Fwww.webofscience.com%2Fwos%2Fwoscc%2Ffull-record%2FWOS:000698957000001","View Full Record in Web of Science")</f>
        <v>View Full Record in Web of Science</v>
      </c>
    </row>
    <row r="1057" spans="1:72" s="2" customFormat="1" x14ac:dyDescent="0.4">
      <c r="A1057" s="2" t="s">
        <v>72</v>
      </c>
      <c r="B1057" s="2" t="s">
        <v>2364</v>
      </c>
      <c r="C1057" s="2" t="s">
        <v>74</v>
      </c>
      <c r="D1057" s="2" t="s">
        <v>74</v>
      </c>
      <c r="E1057" s="2" t="s">
        <v>74</v>
      </c>
      <c r="F1057" s="2" t="s">
        <v>2365</v>
      </c>
      <c r="G1057" s="2" t="s">
        <v>74</v>
      </c>
      <c r="H1057" s="2" t="s">
        <v>74</v>
      </c>
      <c r="I1057" s="2" t="s">
        <v>2366</v>
      </c>
      <c r="J1057" s="2" t="s">
        <v>408</v>
      </c>
      <c r="K1057" s="2" t="s">
        <v>74</v>
      </c>
      <c r="L1057" s="2" t="s">
        <v>74</v>
      </c>
      <c r="M1057" s="2" t="s">
        <v>74</v>
      </c>
      <c r="N1057" s="2" t="s">
        <v>74</v>
      </c>
      <c r="O1057" s="2" t="s">
        <v>74</v>
      </c>
      <c r="P1057" s="2" t="s">
        <v>74</v>
      </c>
      <c r="Q1057" s="2" t="s">
        <v>74</v>
      </c>
      <c r="R1057" s="2" t="s">
        <v>74</v>
      </c>
      <c r="S1057" s="2" t="s">
        <v>74</v>
      </c>
      <c r="T1057" s="2" t="s">
        <v>74</v>
      </c>
      <c r="U1057" s="2" t="s">
        <v>74</v>
      </c>
      <c r="V1057" s="5" t="s">
        <v>2367</v>
      </c>
      <c r="W1057" s="2" t="s">
        <v>74</v>
      </c>
      <c r="X1057" s="2" t="s">
        <v>74</v>
      </c>
      <c r="Y1057" s="2" t="s">
        <v>74</v>
      </c>
      <c r="Z1057" s="2" t="s">
        <v>74</v>
      </c>
      <c r="AA1057" s="2" t="s">
        <v>74</v>
      </c>
      <c r="AB1057" s="2" t="s">
        <v>2368</v>
      </c>
      <c r="AC1057" s="2" t="s">
        <v>74</v>
      </c>
      <c r="AD1057" s="2" t="s">
        <v>74</v>
      </c>
      <c r="AE1057" s="2" t="s">
        <v>74</v>
      </c>
      <c r="AF1057" s="2" t="s">
        <v>74</v>
      </c>
      <c r="AG1057" s="2" t="s">
        <v>74</v>
      </c>
      <c r="AH1057" s="2" t="s">
        <v>74</v>
      </c>
      <c r="AI1057" s="2" t="s">
        <v>74</v>
      </c>
      <c r="AJ1057" s="2" t="s">
        <v>74</v>
      </c>
      <c r="AK1057" s="2" t="s">
        <v>74</v>
      </c>
      <c r="AL1057" s="2" t="s">
        <v>74</v>
      </c>
      <c r="AM1057" s="2" t="s">
        <v>74</v>
      </c>
      <c r="AN1057" s="2" t="s">
        <v>74</v>
      </c>
      <c r="AO1057" s="2" t="s">
        <v>412</v>
      </c>
      <c r="AP1057" s="2" t="s">
        <v>413</v>
      </c>
      <c r="AQ1057" s="2" t="s">
        <v>74</v>
      </c>
      <c r="AR1057" s="2" t="s">
        <v>74</v>
      </c>
      <c r="AS1057" s="2" t="s">
        <v>74</v>
      </c>
      <c r="AT1057" s="2" t="s">
        <v>352</v>
      </c>
      <c r="AU1057" s="2">
        <v>2013</v>
      </c>
      <c r="AV1057" s="2">
        <v>110</v>
      </c>
      <c r="AW1057" s="2">
        <v>1</v>
      </c>
      <c r="AX1057" s="2" t="s">
        <v>74</v>
      </c>
      <c r="AY1057" s="2" t="s">
        <v>74</v>
      </c>
      <c r="AZ1057" s="2" t="s">
        <v>74</v>
      </c>
      <c r="BA1057" s="2" t="s">
        <v>74</v>
      </c>
      <c r="BB1057" s="2">
        <v>180</v>
      </c>
      <c r="BC1057" s="2">
        <v>188</v>
      </c>
      <c r="BD1057" s="2" t="s">
        <v>74</v>
      </c>
      <c r="BE1057" s="2" t="s">
        <v>2369</v>
      </c>
      <c r="BF1057" s="2" t="str">
        <f>HYPERLINK("http://dx.doi.org/10.1111/bij.12105","http://dx.doi.org/10.1111/bij.12105")</f>
        <v>http://dx.doi.org/10.1111/bij.12105</v>
      </c>
      <c r="BG1057" s="2" t="s">
        <v>74</v>
      </c>
      <c r="BH1057" s="2" t="s">
        <v>74</v>
      </c>
      <c r="BI1057" s="2" t="s">
        <v>74</v>
      </c>
      <c r="BJ1057" s="2" t="s">
        <v>74</v>
      </c>
      <c r="BK1057" s="2" t="s">
        <v>74</v>
      </c>
      <c r="BL1057" s="2" t="s">
        <v>74</v>
      </c>
      <c r="BM1057" s="2" t="s">
        <v>74</v>
      </c>
      <c r="BN1057" s="2" t="s">
        <v>74</v>
      </c>
      <c r="BO1057" s="2" t="s">
        <v>74</v>
      </c>
      <c r="BP1057" s="2" t="s">
        <v>74</v>
      </c>
      <c r="BQ1057" s="2" t="s">
        <v>74</v>
      </c>
      <c r="BR1057" s="2" t="s">
        <v>74</v>
      </c>
      <c r="BS1057" s="2" t="s">
        <v>2370</v>
      </c>
      <c r="BT1057" s="2" t="str">
        <f>HYPERLINK("https%3A%2F%2Fwww.webofscience.com%2Fwos%2Fwoscc%2Ffull-record%2FWOS:000323040200013","View Full Record in Web of Science")</f>
        <v>View Full Record in Web of Science</v>
      </c>
    </row>
    <row r="1058" spans="1:72" s="2" customFormat="1" x14ac:dyDescent="0.4">
      <c r="A1058" s="2" t="s">
        <v>72</v>
      </c>
      <c r="B1058" s="2" t="s">
        <v>4041</v>
      </c>
      <c r="C1058" s="2" t="s">
        <v>74</v>
      </c>
      <c r="D1058" s="2" t="s">
        <v>74</v>
      </c>
      <c r="E1058" s="2" t="s">
        <v>74</v>
      </c>
      <c r="F1058" s="2" t="s">
        <v>4042</v>
      </c>
      <c r="G1058" s="2" t="s">
        <v>74</v>
      </c>
      <c r="H1058" s="2" t="s">
        <v>74</v>
      </c>
      <c r="I1058" s="2" t="s">
        <v>4043</v>
      </c>
      <c r="J1058" s="2" t="s">
        <v>129</v>
      </c>
      <c r="K1058" s="2" t="s">
        <v>74</v>
      </c>
      <c r="L1058" s="2" t="s">
        <v>74</v>
      </c>
      <c r="M1058" s="2" t="s">
        <v>74</v>
      </c>
      <c r="N1058" s="2" t="s">
        <v>74</v>
      </c>
      <c r="O1058" s="2" t="s">
        <v>74</v>
      </c>
      <c r="P1058" s="2" t="s">
        <v>74</v>
      </c>
      <c r="Q1058" s="2" t="s">
        <v>74</v>
      </c>
      <c r="R1058" s="2" t="s">
        <v>74</v>
      </c>
      <c r="S1058" s="2" t="s">
        <v>74</v>
      </c>
      <c r="T1058" s="2" t="s">
        <v>74</v>
      </c>
      <c r="U1058" s="2" t="s">
        <v>74</v>
      </c>
      <c r="V1058" s="5" t="s">
        <v>4044</v>
      </c>
      <c r="W1058" s="2" t="s">
        <v>74</v>
      </c>
      <c r="X1058" s="2" t="s">
        <v>74</v>
      </c>
      <c r="Y1058" s="2" t="s">
        <v>74</v>
      </c>
      <c r="Z1058" s="2" t="s">
        <v>74</v>
      </c>
      <c r="AA1058" s="2" t="s">
        <v>74</v>
      </c>
      <c r="AB1058" s="2" t="s">
        <v>74</v>
      </c>
      <c r="AC1058" s="2" t="s">
        <v>74</v>
      </c>
      <c r="AD1058" s="2" t="s">
        <v>74</v>
      </c>
      <c r="AE1058" s="2" t="s">
        <v>74</v>
      </c>
      <c r="AF1058" s="2" t="s">
        <v>74</v>
      </c>
      <c r="AG1058" s="2" t="s">
        <v>74</v>
      </c>
      <c r="AH1058" s="2" t="s">
        <v>74</v>
      </c>
      <c r="AI1058" s="2" t="s">
        <v>74</v>
      </c>
      <c r="AJ1058" s="2" t="s">
        <v>74</v>
      </c>
      <c r="AK1058" s="2" t="s">
        <v>74</v>
      </c>
      <c r="AL1058" s="2" t="s">
        <v>74</v>
      </c>
      <c r="AM1058" s="2" t="s">
        <v>74</v>
      </c>
      <c r="AN1058" s="2" t="s">
        <v>74</v>
      </c>
      <c r="AO1058" s="2" t="s">
        <v>132</v>
      </c>
      <c r="AP1058" s="2" t="s">
        <v>133</v>
      </c>
      <c r="AQ1058" s="2" t="s">
        <v>74</v>
      </c>
      <c r="AR1058" s="2" t="s">
        <v>74</v>
      </c>
      <c r="AS1058" s="2" t="s">
        <v>74</v>
      </c>
      <c r="AT1058" s="2" t="s">
        <v>123</v>
      </c>
      <c r="AU1058" s="2">
        <v>2024</v>
      </c>
      <c r="AV1058" s="2">
        <v>78</v>
      </c>
      <c r="AW1058" s="2">
        <v>3</v>
      </c>
      <c r="AX1058" s="2" t="s">
        <v>74</v>
      </c>
      <c r="AY1058" s="2" t="s">
        <v>74</v>
      </c>
      <c r="AZ1058" s="2" t="s">
        <v>74</v>
      </c>
      <c r="BA1058" s="2" t="s">
        <v>74</v>
      </c>
      <c r="BB1058" s="2" t="s">
        <v>74</v>
      </c>
      <c r="BC1058" s="2" t="s">
        <v>74</v>
      </c>
      <c r="BD1058" s="2">
        <v>43</v>
      </c>
      <c r="BE1058" s="2" t="s">
        <v>4045</v>
      </c>
      <c r="BF1058" s="2" t="str">
        <f>HYPERLINK("http://dx.doi.org/10.1007/s00265-024-03453-8","http://dx.doi.org/10.1007/s00265-024-03453-8")</f>
        <v>http://dx.doi.org/10.1007/s00265-024-03453-8</v>
      </c>
      <c r="BG1058" s="2" t="s">
        <v>74</v>
      </c>
      <c r="BH1058" s="2" t="s">
        <v>74</v>
      </c>
      <c r="BI1058" s="2" t="s">
        <v>74</v>
      </c>
      <c r="BJ1058" s="2" t="s">
        <v>74</v>
      </c>
      <c r="BK1058" s="2" t="s">
        <v>74</v>
      </c>
      <c r="BL1058" s="2" t="s">
        <v>74</v>
      </c>
      <c r="BM1058" s="2" t="s">
        <v>74</v>
      </c>
      <c r="BN1058" s="2" t="s">
        <v>74</v>
      </c>
      <c r="BO1058" s="2" t="s">
        <v>74</v>
      </c>
      <c r="BP1058" s="2" t="s">
        <v>74</v>
      </c>
      <c r="BQ1058" s="2" t="s">
        <v>74</v>
      </c>
      <c r="BR1058" s="2" t="s">
        <v>74</v>
      </c>
      <c r="BS1058" s="2" t="s">
        <v>4046</v>
      </c>
      <c r="BT1058" s="2" t="str">
        <f>HYPERLINK("https%3A%2F%2Fwww.webofscience.com%2Fwos%2Fwoscc%2Ffull-record%2FWOS:001190569600001","View Full Record in Web of Science")</f>
        <v>View Full Record in Web of Science</v>
      </c>
    </row>
    <row r="1059" spans="1:72" s="2" customFormat="1" x14ac:dyDescent="0.4">
      <c r="A1059" s="2" t="s">
        <v>72</v>
      </c>
      <c r="B1059" s="2" t="s">
        <v>5262</v>
      </c>
      <c r="C1059" s="2" t="s">
        <v>74</v>
      </c>
      <c r="D1059" s="2" t="s">
        <v>74</v>
      </c>
      <c r="E1059" s="2" t="s">
        <v>74</v>
      </c>
      <c r="F1059" s="2" t="s">
        <v>5263</v>
      </c>
      <c r="G1059" s="2" t="s">
        <v>74</v>
      </c>
      <c r="H1059" s="2" t="s">
        <v>74</v>
      </c>
      <c r="I1059" s="2" t="s">
        <v>5264</v>
      </c>
      <c r="J1059" s="2" t="s">
        <v>5265</v>
      </c>
      <c r="K1059" s="2" t="s">
        <v>74</v>
      </c>
      <c r="L1059" s="2" t="s">
        <v>74</v>
      </c>
      <c r="M1059" s="2" t="s">
        <v>74</v>
      </c>
      <c r="N1059" s="2" t="s">
        <v>74</v>
      </c>
      <c r="O1059" s="2" t="s">
        <v>74</v>
      </c>
      <c r="P1059" s="2" t="s">
        <v>74</v>
      </c>
      <c r="Q1059" s="2" t="s">
        <v>74</v>
      </c>
      <c r="R1059" s="2" t="s">
        <v>74</v>
      </c>
      <c r="S1059" s="2" t="s">
        <v>74</v>
      </c>
      <c r="T1059" s="2" t="s">
        <v>74</v>
      </c>
      <c r="U1059" s="2" t="s">
        <v>74</v>
      </c>
      <c r="V1059" s="5" t="s">
        <v>5266</v>
      </c>
      <c r="W1059" s="2" t="s">
        <v>74</v>
      </c>
      <c r="X1059" s="2" t="s">
        <v>74</v>
      </c>
      <c r="Y1059" s="2" t="s">
        <v>74</v>
      </c>
      <c r="Z1059" s="2" t="s">
        <v>74</v>
      </c>
      <c r="AA1059" s="2" t="s">
        <v>5267</v>
      </c>
      <c r="AB1059" s="2" t="s">
        <v>5268</v>
      </c>
      <c r="AC1059" s="2" t="s">
        <v>74</v>
      </c>
      <c r="AD1059" s="2" t="s">
        <v>74</v>
      </c>
      <c r="AE1059" s="2" t="s">
        <v>74</v>
      </c>
      <c r="AF1059" s="2" t="s">
        <v>74</v>
      </c>
      <c r="AG1059" s="2" t="s">
        <v>74</v>
      </c>
      <c r="AH1059" s="2" t="s">
        <v>74</v>
      </c>
      <c r="AI1059" s="2" t="s">
        <v>74</v>
      </c>
      <c r="AJ1059" s="2" t="s">
        <v>74</v>
      </c>
      <c r="AK1059" s="2" t="s">
        <v>74</v>
      </c>
      <c r="AL1059" s="2" t="s">
        <v>74</v>
      </c>
      <c r="AM1059" s="2" t="s">
        <v>74</v>
      </c>
      <c r="AN1059" s="2" t="s">
        <v>74</v>
      </c>
      <c r="AO1059" s="2" t="s">
        <v>5269</v>
      </c>
      <c r="AP1059" s="2" t="s">
        <v>74</v>
      </c>
      <c r="AQ1059" s="2" t="s">
        <v>74</v>
      </c>
      <c r="AR1059" s="2" t="s">
        <v>74</v>
      </c>
      <c r="AS1059" s="2" t="s">
        <v>74</v>
      </c>
      <c r="AT1059" s="2" t="s">
        <v>5270</v>
      </c>
      <c r="AU1059" s="2">
        <v>2018</v>
      </c>
      <c r="AV1059" s="2">
        <v>42</v>
      </c>
      <c r="AW1059" s="2">
        <v>3</v>
      </c>
      <c r="AX1059" s="2" t="s">
        <v>74</v>
      </c>
      <c r="AY1059" s="2" t="s">
        <v>74</v>
      </c>
      <c r="AZ1059" s="2" t="s">
        <v>74</v>
      </c>
      <c r="BA1059" s="2" t="s">
        <v>74</v>
      </c>
      <c r="BB1059" s="2">
        <v>229</v>
      </c>
      <c r="BC1059" s="2">
        <v>256</v>
      </c>
      <c r="BD1059" s="2" t="s">
        <v>74</v>
      </c>
      <c r="BE1059" s="2" t="s">
        <v>74</v>
      </c>
      <c r="BF1059" s="2" t="s">
        <v>74</v>
      </c>
      <c r="BG1059" s="2" t="s">
        <v>74</v>
      </c>
      <c r="BH1059" s="2" t="s">
        <v>74</v>
      </c>
      <c r="BI1059" s="2" t="s">
        <v>74</v>
      </c>
      <c r="BJ1059" s="2" t="s">
        <v>74</v>
      </c>
      <c r="BK1059" s="2" t="s">
        <v>74</v>
      </c>
      <c r="BL1059" s="2" t="s">
        <v>74</v>
      </c>
      <c r="BM1059" s="2" t="s">
        <v>74</v>
      </c>
      <c r="BN1059" s="2" t="s">
        <v>74</v>
      </c>
      <c r="BO1059" s="2" t="s">
        <v>74</v>
      </c>
      <c r="BP1059" s="2" t="s">
        <v>74</v>
      </c>
      <c r="BQ1059" s="2" t="s">
        <v>74</v>
      </c>
      <c r="BR1059" s="2" t="s">
        <v>74</v>
      </c>
      <c r="BS1059" s="2" t="s">
        <v>5271</v>
      </c>
      <c r="BT1059" s="2" t="str">
        <f>HYPERLINK("https%3A%2F%2Fwww.webofscience.com%2Fwos%2Fwoscc%2Ffull-record%2FWOS:000449238000002","View Full Record in Web of Science")</f>
        <v>View Full Record in Web of Science</v>
      </c>
    </row>
    <row r="1060" spans="1:72" s="2" customFormat="1" x14ac:dyDescent="0.4">
      <c r="A1060" s="2" t="s">
        <v>72</v>
      </c>
      <c r="B1060" s="2" t="s">
        <v>7857</v>
      </c>
      <c r="C1060" s="2" t="s">
        <v>74</v>
      </c>
      <c r="D1060" s="2" t="s">
        <v>74</v>
      </c>
      <c r="E1060" s="2" t="s">
        <v>74</v>
      </c>
      <c r="F1060" s="2" t="s">
        <v>7858</v>
      </c>
      <c r="G1060" s="2" t="s">
        <v>74</v>
      </c>
      <c r="H1060" s="2" t="s">
        <v>74</v>
      </c>
      <c r="I1060" s="2" t="s">
        <v>7859</v>
      </c>
      <c r="J1060" s="2" t="s">
        <v>108</v>
      </c>
      <c r="K1060" s="2" t="s">
        <v>74</v>
      </c>
      <c r="L1060" s="2" t="s">
        <v>74</v>
      </c>
      <c r="M1060" s="2" t="s">
        <v>74</v>
      </c>
      <c r="N1060" s="2" t="s">
        <v>74</v>
      </c>
      <c r="O1060" s="2" t="s">
        <v>74</v>
      </c>
      <c r="P1060" s="2" t="s">
        <v>74</v>
      </c>
      <c r="Q1060" s="2" t="s">
        <v>74</v>
      </c>
      <c r="R1060" s="2" t="s">
        <v>74</v>
      </c>
      <c r="S1060" s="2" t="s">
        <v>74</v>
      </c>
      <c r="T1060" s="2" t="s">
        <v>74</v>
      </c>
      <c r="U1060" s="2" t="s">
        <v>74</v>
      </c>
      <c r="V1060" s="5" t="s">
        <v>7860</v>
      </c>
      <c r="W1060" s="2" t="s">
        <v>74</v>
      </c>
      <c r="X1060" s="2" t="s">
        <v>74</v>
      </c>
      <c r="Y1060" s="2" t="s">
        <v>74</v>
      </c>
      <c r="Z1060" s="2" t="s">
        <v>74</v>
      </c>
      <c r="AA1060" s="2" t="s">
        <v>7861</v>
      </c>
      <c r="AB1060" s="2" t="s">
        <v>7862</v>
      </c>
      <c r="AC1060" s="2" t="s">
        <v>74</v>
      </c>
      <c r="AD1060" s="2" t="s">
        <v>74</v>
      </c>
      <c r="AE1060" s="2" t="s">
        <v>74</v>
      </c>
      <c r="AF1060" s="2" t="s">
        <v>74</v>
      </c>
      <c r="AG1060" s="2" t="s">
        <v>74</v>
      </c>
      <c r="AH1060" s="2" t="s">
        <v>74</v>
      </c>
      <c r="AI1060" s="2" t="s">
        <v>74</v>
      </c>
      <c r="AJ1060" s="2" t="s">
        <v>74</v>
      </c>
      <c r="AK1060" s="2" t="s">
        <v>74</v>
      </c>
      <c r="AL1060" s="2" t="s">
        <v>74</v>
      </c>
      <c r="AM1060" s="2" t="s">
        <v>74</v>
      </c>
      <c r="AN1060" s="2" t="s">
        <v>74</v>
      </c>
      <c r="AO1060" s="2" t="s">
        <v>111</v>
      </c>
      <c r="AP1060" s="2" t="s">
        <v>112</v>
      </c>
      <c r="AQ1060" s="2" t="s">
        <v>74</v>
      </c>
      <c r="AR1060" s="2" t="s">
        <v>74</v>
      </c>
      <c r="AS1060" s="2" t="s">
        <v>74</v>
      </c>
      <c r="AT1060" s="2" t="s">
        <v>3105</v>
      </c>
      <c r="AU1060" s="2">
        <v>2019</v>
      </c>
      <c r="AV1060" s="2">
        <v>286</v>
      </c>
      <c r="AW1060" s="2">
        <v>1914</v>
      </c>
      <c r="AX1060" s="2" t="s">
        <v>74</v>
      </c>
      <c r="AY1060" s="2" t="s">
        <v>74</v>
      </c>
      <c r="AZ1060" s="2" t="s">
        <v>74</v>
      </c>
      <c r="BA1060" s="2" t="s">
        <v>74</v>
      </c>
      <c r="BB1060" s="2" t="s">
        <v>74</v>
      </c>
      <c r="BC1060" s="2" t="s">
        <v>74</v>
      </c>
      <c r="BD1060" s="2">
        <v>20192075</v>
      </c>
      <c r="BE1060" s="2" t="s">
        <v>7863</v>
      </c>
      <c r="BF1060" s="2" t="str">
        <f>HYPERLINK("http://dx.doi.org/10.1098/rspb.2019.2075","http://dx.doi.org/10.1098/rspb.2019.2075")</f>
        <v>http://dx.doi.org/10.1098/rspb.2019.2075</v>
      </c>
      <c r="BG1060" s="2" t="s">
        <v>74</v>
      </c>
      <c r="BH1060" s="2" t="s">
        <v>74</v>
      </c>
      <c r="BI1060" s="2" t="s">
        <v>74</v>
      </c>
      <c r="BJ1060" s="2" t="s">
        <v>74</v>
      </c>
      <c r="BK1060" s="2" t="s">
        <v>74</v>
      </c>
      <c r="BL1060" s="2" t="s">
        <v>74</v>
      </c>
      <c r="BM1060" s="2" t="s">
        <v>74</v>
      </c>
      <c r="BN1060" s="2">
        <v>31690236</v>
      </c>
      <c r="BO1060" s="2" t="s">
        <v>74</v>
      </c>
      <c r="BP1060" s="2" t="s">
        <v>74</v>
      </c>
      <c r="BQ1060" s="2" t="s">
        <v>74</v>
      </c>
      <c r="BR1060" s="2" t="s">
        <v>74</v>
      </c>
      <c r="BS1060" s="2" t="s">
        <v>7864</v>
      </c>
      <c r="BT1060" s="2" t="str">
        <f>HYPERLINK("https%3A%2F%2Fwww.webofscience.com%2Fwos%2Fwoscc%2Ffull-record%2FWOS:000504858100018","View Full Record in Web of Science")</f>
        <v>View Full Record in Web of Science</v>
      </c>
    </row>
    <row r="1061" spans="1:72" s="2" customFormat="1" x14ac:dyDescent="0.4">
      <c r="A1061" s="2" t="s">
        <v>72</v>
      </c>
      <c r="B1061" s="2" t="s">
        <v>2926</v>
      </c>
      <c r="C1061" s="2" t="s">
        <v>74</v>
      </c>
      <c r="D1061" s="2" t="s">
        <v>74</v>
      </c>
      <c r="E1061" s="2" t="s">
        <v>74</v>
      </c>
      <c r="F1061" s="2" t="s">
        <v>2927</v>
      </c>
      <c r="G1061" s="2" t="s">
        <v>74</v>
      </c>
      <c r="H1061" s="2" t="s">
        <v>74</v>
      </c>
      <c r="I1061" s="2" t="s">
        <v>2928</v>
      </c>
      <c r="J1061" s="2" t="s">
        <v>2929</v>
      </c>
      <c r="K1061" s="2" t="s">
        <v>74</v>
      </c>
      <c r="L1061" s="2" t="s">
        <v>74</v>
      </c>
      <c r="M1061" s="2" t="s">
        <v>74</v>
      </c>
      <c r="N1061" s="2" t="s">
        <v>74</v>
      </c>
      <c r="O1061" s="2" t="s">
        <v>74</v>
      </c>
      <c r="P1061" s="2" t="s">
        <v>74</v>
      </c>
      <c r="Q1061" s="2" t="s">
        <v>74</v>
      </c>
      <c r="R1061" s="2" t="s">
        <v>74</v>
      </c>
      <c r="S1061" s="2" t="s">
        <v>74</v>
      </c>
      <c r="T1061" s="2" t="s">
        <v>74</v>
      </c>
      <c r="U1061" s="2" t="s">
        <v>74</v>
      </c>
      <c r="V1061" s="5" t="s">
        <v>2930</v>
      </c>
      <c r="W1061" s="2" t="s">
        <v>74</v>
      </c>
      <c r="X1061" s="2" t="s">
        <v>74</v>
      </c>
      <c r="Y1061" s="2" t="s">
        <v>74</v>
      </c>
      <c r="Z1061" s="2" t="s">
        <v>74</v>
      </c>
      <c r="AA1061" s="2" t="s">
        <v>74</v>
      </c>
      <c r="AB1061" s="2" t="s">
        <v>2931</v>
      </c>
      <c r="AC1061" s="2" t="s">
        <v>74</v>
      </c>
      <c r="AD1061" s="2" t="s">
        <v>74</v>
      </c>
      <c r="AE1061" s="2" t="s">
        <v>74</v>
      </c>
      <c r="AF1061" s="2" t="s">
        <v>74</v>
      </c>
      <c r="AG1061" s="2" t="s">
        <v>74</v>
      </c>
      <c r="AH1061" s="2" t="s">
        <v>74</v>
      </c>
      <c r="AI1061" s="2" t="s">
        <v>74</v>
      </c>
      <c r="AJ1061" s="2" t="s">
        <v>74</v>
      </c>
      <c r="AK1061" s="2" t="s">
        <v>74</v>
      </c>
      <c r="AL1061" s="2" t="s">
        <v>74</v>
      </c>
      <c r="AM1061" s="2" t="s">
        <v>74</v>
      </c>
      <c r="AN1061" s="2" t="s">
        <v>74</v>
      </c>
      <c r="AO1061" s="2" t="s">
        <v>2932</v>
      </c>
      <c r="AP1061" s="2" t="s">
        <v>74</v>
      </c>
      <c r="AQ1061" s="2" t="s">
        <v>74</v>
      </c>
      <c r="AR1061" s="2" t="s">
        <v>74</v>
      </c>
      <c r="AS1061" s="2" t="s">
        <v>74</v>
      </c>
      <c r="AT1061" s="2" t="s">
        <v>305</v>
      </c>
      <c r="AU1061" s="2">
        <v>2021</v>
      </c>
      <c r="AV1061" s="2">
        <v>21</v>
      </c>
      <c r="AW1061" s="2">
        <v>1</v>
      </c>
      <c r="AX1061" s="2" t="s">
        <v>74</v>
      </c>
      <c r="AY1061" s="2" t="s">
        <v>74</v>
      </c>
      <c r="AZ1061" s="2" t="s">
        <v>74</v>
      </c>
      <c r="BA1061" s="2" t="s">
        <v>74</v>
      </c>
      <c r="BB1061" s="2">
        <v>80</v>
      </c>
      <c r="BC1061" s="2">
        <v>84</v>
      </c>
      <c r="BD1061" s="2" t="s">
        <v>74</v>
      </c>
      <c r="BE1061" s="2" t="s">
        <v>2933</v>
      </c>
      <c r="BF1061" s="2" t="str">
        <f>HYPERLINK("http://dx.doi.org/10.2994/SAJH-D-20-00015.1","http://dx.doi.org/10.2994/SAJH-D-20-00015.1")</f>
        <v>http://dx.doi.org/10.2994/SAJH-D-20-00015.1</v>
      </c>
      <c r="BG1061" s="2" t="s">
        <v>74</v>
      </c>
      <c r="BH1061" s="2" t="s">
        <v>74</v>
      </c>
      <c r="BI1061" s="2" t="s">
        <v>74</v>
      </c>
      <c r="BJ1061" s="2" t="s">
        <v>74</v>
      </c>
      <c r="BK1061" s="2" t="s">
        <v>74</v>
      </c>
      <c r="BL1061" s="2" t="s">
        <v>74</v>
      </c>
      <c r="BM1061" s="2" t="s">
        <v>74</v>
      </c>
      <c r="BN1061" s="2" t="s">
        <v>74</v>
      </c>
      <c r="BO1061" s="2" t="s">
        <v>74</v>
      </c>
      <c r="BP1061" s="2" t="s">
        <v>74</v>
      </c>
      <c r="BQ1061" s="2" t="s">
        <v>74</v>
      </c>
      <c r="BR1061" s="2" t="s">
        <v>74</v>
      </c>
      <c r="BS1061" s="2" t="s">
        <v>2934</v>
      </c>
      <c r="BT1061" s="2" t="str">
        <f>HYPERLINK("https%3A%2F%2Fwww.webofscience.com%2Fwos%2Fwoscc%2Ffull-record%2FWOS:000739788300008","View Full Record in Web of Science")</f>
        <v>View Full Record in Web of Science</v>
      </c>
    </row>
    <row r="1062" spans="1:72" s="2" customFormat="1" x14ac:dyDescent="0.4">
      <c r="A1062" s="2" t="s">
        <v>72</v>
      </c>
      <c r="B1062" s="2" t="s">
        <v>5251</v>
      </c>
      <c r="C1062" s="2" t="s">
        <v>74</v>
      </c>
      <c r="D1062" s="2" t="s">
        <v>74</v>
      </c>
      <c r="E1062" s="2" t="s">
        <v>74</v>
      </c>
      <c r="F1062" s="2" t="s">
        <v>5252</v>
      </c>
      <c r="G1062" s="2" t="s">
        <v>74</v>
      </c>
      <c r="H1062" s="2" t="s">
        <v>74</v>
      </c>
      <c r="I1062" s="2" t="s">
        <v>5253</v>
      </c>
      <c r="J1062" s="2" t="s">
        <v>129</v>
      </c>
      <c r="K1062" s="2" t="s">
        <v>74</v>
      </c>
      <c r="L1062" s="2" t="s">
        <v>74</v>
      </c>
      <c r="M1062" s="2" t="s">
        <v>74</v>
      </c>
      <c r="N1062" s="2" t="s">
        <v>74</v>
      </c>
      <c r="O1062" s="2" t="s">
        <v>74</v>
      </c>
      <c r="P1062" s="2" t="s">
        <v>74</v>
      </c>
      <c r="Q1062" s="2" t="s">
        <v>74</v>
      </c>
      <c r="R1062" s="2" t="s">
        <v>74</v>
      </c>
      <c r="S1062" s="2" t="s">
        <v>74</v>
      </c>
      <c r="T1062" s="2" t="s">
        <v>74</v>
      </c>
      <c r="U1062" s="2" t="s">
        <v>74</v>
      </c>
      <c r="V1062" s="5" t="s">
        <v>5254</v>
      </c>
      <c r="W1062" s="2" t="s">
        <v>74</v>
      </c>
      <c r="X1062" s="2" t="s">
        <v>74</v>
      </c>
      <c r="Y1062" s="2" t="s">
        <v>74</v>
      </c>
      <c r="Z1062" s="2" t="s">
        <v>74</v>
      </c>
      <c r="AA1062" s="2" t="s">
        <v>74</v>
      </c>
      <c r="AB1062" s="2" t="s">
        <v>322</v>
      </c>
      <c r="AC1062" s="2" t="s">
        <v>74</v>
      </c>
      <c r="AD1062" s="2" t="s">
        <v>74</v>
      </c>
      <c r="AE1062" s="2" t="s">
        <v>74</v>
      </c>
      <c r="AF1062" s="2" t="s">
        <v>74</v>
      </c>
      <c r="AG1062" s="2" t="s">
        <v>74</v>
      </c>
      <c r="AH1062" s="2" t="s">
        <v>74</v>
      </c>
      <c r="AI1062" s="2" t="s">
        <v>74</v>
      </c>
      <c r="AJ1062" s="2" t="s">
        <v>74</v>
      </c>
      <c r="AK1062" s="2" t="s">
        <v>74</v>
      </c>
      <c r="AL1062" s="2" t="s">
        <v>74</v>
      </c>
      <c r="AM1062" s="2" t="s">
        <v>74</v>
      </c>
      <c r="AN1062" s="2" t="s">
        <v>74</v>
      </c>
      <c r="AO1062" s="2" t="s">
        <v>132</v>
      </c>
      <c r="AP1062" s="2" t="s">
        <v>133</v>
      </c>
      <c r="AQ1062" s="2" t="s">
        <v>74</v>
      </c>
      <c r="AR1062" s="2" t="s">
        <v>74</v>
      </c>
      <c r="AS1062" s="2" t="s">
        <v>74</v>
      </c>
      <c r="AT1062" s="2" t="s">
        <v>352</v>
      </c>
      <c r="AU1062" s="2">
        <v>2013</v>
      </c>
      <c r="AV1062" s="2">
        <v>67</v>
      </c>
      <c r="AW1062" s="2">
        <v>9</v>
      </c>
      <c r="AX1062" s="2" t="s">
        <v>74</v>
      </c>
      <c r="AY1062" s="2" t="s">
        <v>74</v>
      </c>
      <c r="AZ1062" s="2" t="s">
        <v>848</v>
      </c>
      <c r="BA1062" s="2" t="s">
        <v>74</v>
      </c>
      <c r="BB1062" s="2">
        <v>1499</v>
      </c>
      <c r="BC1062" s="2">
        <v>1511</v>
      </c>
      <c r="BD1062" s="2" t="s">
        <v>74</v>
      </c>
      <c r="BE1062" s="2" t="s">
        <v>5255</v>
      </c>
      <c r="BF1062" s="2" t="str">
        <f>HYPERLINK("http://dx.doi.org/10.1007/s00265-013-1492-y","http://dx.doi.org/10.1007/s00265-013-1492-y")</f>
        <v>http://dx.doi.org/10.1007/s00265-013-1492-y</v>
      </c>
      <c r="BG1062" s="2" t="s">
        <v>74</v>
      </c>
      <c r="BH1062" s="2" t="s">
        <v>74</v>
      </c>
      <c r="BI1062" s="2" t="s">
        <v>74</v>
      </c>
      <c r="BJ1062" s="2" t="s">
        <v>74</v>
      </c>
      <c r="BK1062" s="2" t="s">
        <v>74</v>
      </c>
      <c r="BL1062" s="2" t="s">
        <v>74</v>
      </c>
      <c r="BM1062" s="2" t="s">
        <v>74</v>
      </c>
      <c r="BN1062" s="2" t="s">
        <v>74</v>
      </c>
      <c r="BO1062" s="2" t="s">
        <v>74</v>
      </c>
      <c r="BP1062" s="2" t="s">
        <v>74</v>
      </c>
      <c r="BQ1062" s="2" t="s">
        <v>74</v>
      </c>
      <c r="BR1062" s="2" t="s">
        <v>74</v>
      </c>
      <c r="BS1062" s="2" t="s">
        <v>5256</v>
      </c>
      <c r="BT1062" s="2" t="str">
        <f>HYPERLINK("https%3A%2F%2Fwww.webofscience.com%2Fwos%2Fwoscc%2Ffull-record%2FWOS:000323103400012","View Full Record in Web of Science")</f>
        <v>View Full Record in Web of Science</v>
      </c>
    </row>
    <row r="1063" spans="1:72" s="2" customFormat="1" x14ac:dyDescent="0.4">
      <c r="A1063" s="2" t="s">
        <v>72</v>
      </c>
      <c r="B1063" s="2" t="s">
        <v>7746</v>
      </c>
      <c r="C1063" s="2" t="s">
        <v>74</v>
      </c>
      <c r="D1063" s="2" t="s">
        <v>74</v>
      </c>
      <c r="E1063" s="2" t="s">
        <v>74</v>
      </c>
      <c r="F1063" s="2" t="s">
        <v>7747</v>
      </c>
      <c r="G1063" s="2" t="s">
        <v>74</v>
      </c>
      <c r="H1063" s="2" t="s">
        <v>74</v>
      </c>
      <c r="I1063" s="2" t="s">
        <v>7748</v>
      </c>
      <c r="J1063" s="2" t="s">
        <v>2017</v>
      </c>
      <c r="K1063" s="2" t="s">
        <v>74</v>
      </c>
      <c r="L1063" s="2" t="s">
        <v>74</v>
      </c>
      <c r="M1063" s="2" t="s">
        <v>74</v>
      </c>
      <c r="N1063" s="2" t="s">
        <v>74</v>
      </c>
      <c r="O1063" s="2" t="s">
        <v>74</v>
      </c>
      <c r="P1063" s="2" t="s">
        <v>74</v>
      </c>
      <c r="Q1063" s="2" t="s">
        <v>74</v>
      </c>
      <c r="R1063" s="2" t="s">
        <v>74</v>
      </c>
      <c r="S1063" s="2" t="s">
        <v>74</v>
      </c>
      <c r="T1063" s="2" t="s">
        <v>74</v>
      </c>
      <c r="U1063" s="2" t="s">
        <v>74</v>
      </c>
      <c r="V1063" s="5" t="s">
        <v>7749</v>
      </c>
      <c r="W1063" s="2" t="s">
        <v>74</v>
      </c>
      <c r="X1063" s="2" t="s">
        <v>74</v>
      </c>
      <c r="Y1063" s="2" t="s">
        <v>74</v>
      </c>
      <c r="Z1063" s="2" t="s">
        <v>74</v>
      </c>
      <c r="AA1063" s="2" t="s">
        <v>7750</v>
      </c>
      <c r="AB1063" s="2" t="s">
        <v>7751</v>
      </c>
      <c r="AC1063" s="2" t="s">
        <v>74</v>
      </c>
      <c r="AD1063" s="2" t="s">
        <v>74</v>
      </c>
      <c r="AE1063" s="2" t="s">
        <v>74</v>
      </c>
      <c r="AF1063" s="2" t="s">
        <v>74</v>
      </c>
      <c r="AG1063" s="2" t="s">
        <v>74</v>
      </c>
      <c r="AH1063" s="2" t="s">
        <v>74</v>
      </c>
      <c r="AI1063" s="2" t="s">
        <v>74</v>
      </c>
      <c r="AJ1063" s="2" t="s">
        <v>74</v>
      </c>
      <c r="AK1063" s="2" t="s">
        <v>74</v>
      </c>
      <c r="AL1063" s="2" t="s">
        <v>74</v>
      </c>
      <c r="AM1063" s="2" t="s">
        <v>74</v>
      </c>
      <c r="AN1063" s="2" t="s">
        <v>74</v>
      </c>
      <c r="AO1063" s="2" t="s">
        <v>2021</v>
      </c>
      <c r="AP1063" s="2" t="s">
        <v>74</v>
      </c>
      <c r="AQ1063" s="2" t="s">
        <v>74</v>
      </c>
      <c r="AR1063" s="2" t="s">
        <v>74</v>
      </c>
      <c r="AS1063" s="2" t="s">
        <v>74</v>
      </c>
      <c r="AT1063" s="2" t="s">
        <v>493</v>
      </c>
      <c r="AU1063" s="2">
        <v>2022</v>
      </c>
      <c r="AV1063" s="2">
        <v>10</v>
      </c>
      <c r="AW1063" s="2" t="s">
        <v>74</v>
      </c>
      <c r="AX1063" s="2" t="s">
        <v>74</v>
      </c>
      <c r="AY1063" s="2" t="s">
        <v>74</v>
      </c>
      <c r="AZ1063" s="2" t="s">
        <v>74</v>
      </c>
      <c r="BA1063" s="2" t="s">
        <v>74</v>
      </c>
      <c r="BB1063" s="2" t="s">
        <v>74</v>
      </c>
      <c r="BC1063" s="2" t="s">
        <v>74</v>
      </c>
      <c r="BD1063" s="2">
        <v>890874</v>
      </c>
      <c r="BE1063" s="2" t="s">
        <v>7752</v>
      </c>
      <c r="BF1063" s="2" t="str">
        <f>HYPERLINK("http://dx.doi.org/10.3389/fevo.2022.890874","http://dx.doi.org/10.3389/fevo.2022.890874")</f>
        <v>http://dx.doi.org/10.3389/fevo.2022.890874</v>
      </c>
      <c r="BG1063" s="2" t="s">
        <v>74</v>
      </c>
      <c r="BH1063" s="2" t="s">
        <v>74</v>
      </c>
      <c r="BI1063" s="2" t="s">
        <v>74</v>
      </c>
      <c r="BJ1063" s="2" t="s">
        <v>74</v>
      </c>
      <c r="BK1063" s="2" t="s">
        <v>74</v>
      </c>
      <c r="BL1063" s="2" t="s">
        <v>74</v>
      </c>
      <c r="BM1063" s="2" t="s">
        <v>74</v>
      </c>
      <c r="BN1063" s="2" t="s">
        <v>74</v>
      </c>
      <c r="BO1063" s="2" t="s">
        <v>74</v>
      </c>
      <c r="BP1063" s="2" t="s">
        <v>74</v>
      </c>
      <c r="BQ1063" s="2" t="s">
        <v>74</v>
      </c>
      <c r="BR1063" s="2" t="s">
        <v>74</v>
      </c>
      <c r="BS1063" s="2" t="s">
        <v>7753</v>
      </c>
      <c r="BT1063" s="2" t="str">
        <f>HYPERLINK("https%3A%2F%2Fwww.webofscience.com%2Fwos%2Fwoscc%2Ffull-record%2FWOS:000837071500001","View Full Record in Web of Science")</f>
        <v>View Full Record in Web of Science</v>
      </c>
    </row>
    <row r="1064" spans="1:72" s="2" customFormat="1" x14ac:dyDescent="0.4">
      <c r="A1064" s="2" t="s">
        <v>72</v>
      </c>
      <c r="B1064" s="2" t="s">
        <v>8731</v>
      </c>
      <c r="C1064" s="2" t="s">
        <v>74</v>
      </c>
      <c r="D1064" s="2" t="s">
        <v>74</v>
      </c>
      <c r="E1064" s="2" t="s">
        <v>74</v>
      </c>
      <c r="F1064" s="2" t="s">
        <v>8732</v>
      </c>
      <c r="G1064" s="2" t="s">
        <v>74</v>
      </c>
      <c r="H1064" s="2" t="s">
        <v>74</v>
      </c>
      <c r="I1064" s="2" t="s">
        <v>8733</v>
      </c>
      <c r="J1064" s="2" t="s">
        <v>171</v>
      </c>
      <c r="K1064" s="2" t="s">
        <v>74</v>
      </c>
      <c r="L1064" s="2" t="s">
        <v>74</v>
      </c>
      <c r="M1064" s="2" t="s">
        <v>74</v>
      </c>
      <c r="N1064" s="2" t="s">
        <v>74</v>
      </c>
      <c r="O1064" s="2" t="s">
        <v>74</v>
      </c>
      <c r="P1064" s="2" t="s">
        <v>74</v>
      </c>
      <c r="Q1064" s="2" t="s">
        <v>74</v>
      </c>
      <c r="R1064" s="2" t="s">
        <v>74</v>
      </c>
      <c r="S1064" s="2" t="s">
        <v>74</v>
      </c>
      <c r="T1064" s="2" t="s">
        <v>74</v>
      </c>
      <c r="U1064" s="2" t="s">
        <v>74</v>
      </c>
      <c r="V1064" s="5" t="s">
        <v>8734</v>
      </c>
      <c r="W1064" s="2" t="s">
        <v>74</v>
      </c>
      <c r="X1064" s="2" t="s">
        <v>74</v>
      </c>
      <c r="Y1064" s="2" t="s">
        <v>74</v>
      </c>
      <c r="Z1064" s="2" t="s">
        <v>74</v>
      </c>
      <c r="AA1064" s="2" t="s">
        <v>8735</v>
      </c>
      <c r="AB1064" s="2" t="s">
        <v>8736</v>
      </c>
      <c r="AC1064" s="2" t="s">
        <v>74</v>
      </c>
      <c r="AD1064" s="2" t="s">
        <v>74</v>
      </c>
      <c r="AE1064" s="2" t="s">
        <v>74</v>
      </c>
      <c r="AF1064" s="2" t="s">
        <v>74</v>
      </c>
      <c r="AG1064" s="2" t="s">
        <v>74</v>
      </c>
      <c r="AH1064" s="2" t="s">
        <v>74</v>
      </c>
      <c r="AI1064" s="2" t="s">
        <v>74</v>
      </c>
      <c r="AJ1064" s="2" t="s">
        <v>74</v>
      </c>
      <c r="AK1064" s="2" t="s">
        <v>74</v>
      </c>
      <c r="AL1064" s="2" t="s">
        <v>74</v>
      </c>
      <c r="AM1064" s="2" t="s">
        <v>74</v>
      </c>
      <c r="AN1064" s="2" t="s">
        <v>74</v>
      </c>
      <c r="AO1064" s="2" t="s">
        <v>173</v>
      </c>
      <c r="AP1064" s="2" t="s">
        <v>174</v>
      </c>
      <c r="AQ1064" s="2" t="s">
        <v>74</v>
      </c>
      <c r="AR1064" s="2" t="s">
        <v>74</v>
      </c>
      <c r="AS1064" s="2" t="s">
        <v>74</v>
      </c>
      <c r="AT1064" s="2" t="s">
        <v>633</v>
      </c>
      <c r="AU1064" s="2">
        <v>2012</v>
      </c>
      <c r="AV1064" s="2">
        <v>66</v>
      </c>
      <c r="AW1064" s="2">
        <v>4</v>
      </c>
      <c r="AX1064" s="2" t="s">
        <v>74</v>
      </c>
      <c r="AY1064" s="2" t="s">
        <v>74</v>
      </c>
      <c r="AZ1064" s="2" t="s">
        <v>74</v>
      </c>
      <c r="BA1064" s="2" t="s">
        <v>74</v>
      </c>
      <c r="BB1064" s="2">
        <v>1167</v>
      </c>
      <c r="BC1064" s="2">
        <v>1179</v>
      </c>
      <c r="BD1064" s="2" t="s">
        <v>74</v>
      </c>
      <c r="BE1064" s="2" t="s">
        <v>8737</v>
      </c>
      <c r="BF1064" s="2" t="str">
        <f>HYPERLINK("http://dx.doi.org/10.1111/j.1558-5646.2011.01518.x","http://dx.doi.org/10.1111/j.1558-5646.2011.01518.x")</f>
        <v>http://dx.doi.org/10.1111/j.1558-5646.2011.01518.x</v>
      </c>
      <c r="BG1064" s="2" t="s">
        <v>74</v>
      </c>
      <c r="BH1064" s="2" t="s">
        <v>74</v>
      </c>
      <c r="BI1064" s="2" t="s">
        <v>74</v>
      </c>
      <c r="BJ1064" s="2" t="s">
        <v>74</v>
      </c>
      <c r="BK1064" s="2" t="s">
        <v>74</v>
      </c>
      <c r="BL1064" s="2" t="s">
        <v>74</v>
      </c>
      <c r="BM1064" s="2" t="s">
        <v>74</v>
      </c>
      <c r="BN1064" s="2">
        <v>22486696</v>
      </c>
      <c r="BO1064" s="2" t="s">
        <v>74</v>
      </c>
      <c r="BP1064" s="2" t="s">
        <v>74</v>
      </c>
      <c r="BQ1064" s="2" t="s">
        <v>74</v>
      </c>
      <c r="BR1064" s="2" t="s">
        <v>74</v>
      </c>
      <c r="BS1064" s="2" t="s">
        <v>8738</v>
      </c>
      <c r="BT1064" s="2" t="str">
        <f>HYPERLINK("https%3A%2F%2Fwww.webofscience.com%2Fwos%2Fwoscc%2Ffull-record%2FWOS:000302546700016","View Full Record in Web of Science")</f>
        <v>View Full Record in Web of Science</v>
      </c>
    </row>
    <row r="1065" spans="1:72" s="2" customFormat="1" x14ac:dyDescent="0.4">
      <c r="A1065" s="2" t="s">
        <v>72</v>
      </c>
      <c r="B1065" s="2" t="s">
        <v>2540</v>
      </c>
      <c r="C1065" s="2" t="s">
        <v>74</v>
      </c>
      <c r="D1065" s="2" t="s">
        <v>74</v>
      </c>
      <c r="E1065" s="2" t="s">
        <v>74</v>
      </c>
      <c r="F1065" s="2" t="s">
        <v>2541</v>
      </c>
      <c r="G1065" s="2" t="s">
        <v>74</v>
      </c>
      <c r="H1065" s="2" t="s">
        <v>74</v>
      </c>
      <c r="I1065" s="2" t="s">
        <v>2542</v>
      </c>
      <c r="J1065" s="2" t="s">
        <v>775</v>
      </c>
      <c r="K1065" s="2" t="s">
        <v>74</v>
      </c>
      <c r="L1065" s="2" t="s">
        <v>74</v>
      </c>
      <c r="M1065" s="2" t="s">
        <v>74</v>
      </c>
      <c r="N1065" s="2" t="s">
        <v>74</v>
      </c>
      <c r="O1065" s="2" t="s">
        <v>74</v>
      </c>
      <c r="P1065" s="2" t="s">
        <v>74</v>
      </c>
      <c r="Q1065" s="2" t="s">
        <v>74</v>
      </c>
      <c r="R1065" s="2" t="s">
        <v>74</v>
      </c>
      <c r="S1065" s="2" t="s">
        <v>74</v>
      </c>
      <c r="T1065" s="2" t="s">
        <v>74</v>
      </c>
      <c r="U1065" s="2" t="s">
        <v>74</v>
      </c>
      <c r="V1065" s="5" t="s">
        <v>2543</v>
      </c>
      <c r="W1065" s="2" t="s">
        <v>74</v>
      </c>
      <c r="X1065" s="2" t="s">
        <v>74</v>
      </c>
      <c r="Y1065" s="2" t="s">
        <v>74</v>
      </c>
      <c r="Z1065" s="2" t="s">
        <v>74</v>
      </c>
      <c r="AA1065" s="2" t="s">
        <v>2544</v>
      </c>
      <c r="AB1065" s="2" t="s">
        <v>1704</v>
      </c>
      <c r="AC1065" s="2" t="s">
        <v>74</v>
      </c>
      <c r="AD1065" s="2" t="s">
        <v>74</v>
      </c>
      <c r="AE1065" s="2" t="s">
        <v>74</v>
      </c>
      <c r="AF1065" s="2" t="s">
        <v>74</v>
      </c>
      <c r="AG1065" s="2" t="s">
        <v>74</v>
      </c>
      <c r="AH1065" s="2" t="s">
        <v>74</v>
      </c>
      <c r="AI1065" s="2" t="s">
        <v>74</v>
      </c>
      <c r="AJ1065" s="2" t="s">
        <v>74</v>
      </c>
      <c r="AK1065" s="2" t="s">
        <v>74</v>
      </c>
      <c r="AL1065" s="2" t="s">
        <v>74</v>
      </c>
      <c r="AM1065" s="2" t="s">
        <v>74</v>
      </c>
      <c r="AN1065" s="2" t="s">
        <v>74</v>
      </c>
      <c r="AO1065" s="2" t="s">
        <v>778</v>
      </c>
      <c r="AP1065" s="2" t="s">
        <v>74</v>
      </c>
      <c r="AQ1065" s="2" t="s">
        <v>74</v>
      </c>
      <c r="AR1065" s="2" t="s">
        <v>74</v>
      </c>
      <c r="AS1065" s="2" t="s">
        <v>74</v>
      </c>
      <c r="AT1065" s="2" t="s">
        <v>74</v>
      </c>
      <c r="AU1065" s="2">
        <v>2013</v>
      </c>
      <c r="AV1065" s="2">
        <v>59</v>
      </c>
      <c r="AW1065" s="2">
        <v>2</v>
      </c>
      <c r="AX1065" s="2" t="s">
        <v>74</v>
      </c>
      <c r="AY1065" s="2" t="s">
        <v>74</v>
      </c>
      <c r="AZ1065" s="2" t="s">
        <v>74</v>
      </c>
      <c r="BA1065" s="2" t="s">
        <v>74</v>
      </c>
      <c r="BB1065" s="2">
        <v>221</v>
      </c>
      <c r="BC1065" s="2">
        <v>229</v>
      </c>
      <c r="BD1065" s="2" t="s">
        <v>74</v>
      </c>
      <c r="BE1065" s="2" t="s">
        <v>2545</v>
      </c>
      <c r="BF1065" s="2" t="str">
        <f>HYPERLINK("http://dx.doi.org/10.1093/czoolo/59.2.221","http://dx.doi.org/10.1093/czoolo/59.2.221")</f>
        <v>http://dx.doi.org/10.1093/czoolo/59.2.221</v>
      </c>
      <c r="BG1065" s="2" t="s">
        <v>74</v>
      </c>
      <c r="BH1065" s="2" t="s">
        <v>74</v>
      </c>
      <c r="BI1065" s="2" t="s">
        <v>74</v>
      </c>
      <c r="BJ1065" s="2" t="s">
        <v>74</v>
      </c>
      <c r="BK1065" s="2" t="s">
        <v>74</v>
      </c>
      <c r="BL1065" s="2" t="s">
        <v>74</v>
      </c>
      <c r="BM1065" s="2" t="s">
        <v>74</v>
      </c>
      <c r="BN1065" s="2" t="s">
        <v>74</v>
      </c>
      <c r="BO1065" s="2" t="s">
        <v>74</v>
      </c>
      <c r="BP1065" s="2" t="s">
        <v>74</v>
      </c>
      <c r="BQ1065" s="2" t="s">
        <v>74</v>
      </c>
      <c r="BR1065" s="2" t="s">
        <v>74</v>
      </c>
      <c r="BS1065" s="2" t="s">
        <v>2546</v>
      </c>
      <c r="BT1065" s="2" t="str">
        <f>HYPERLINK("https%3A%2F%2Fwww.webofscience.com%2Fwos%2Fwoscc%2Ffull-record%2FWOS:000315813200009","View Full Record in Web of Science")</f>
        <v>View Full Record in Web of Science</v>
      </c>
    </row>
    <row r="1066" spans="1:72" s="2" customFormat="1" x14ac:dyDescent="0.4">
      <c r="A1066" s="2" t="s">
        <v>72</v>
      </c>
      <c r="B1066" s="2" t="s">
        <v>7820</v>
      </c>
      <c r="C1066" s="2" t="s">
        <v>74</v>
      </c>
      <c r="D1066" s="2" t="s">
        <v>74</v>
      </c>
      <c r="E1066" s="2" t="s">
        <v>74</v>
      </c>
      <c r="F1066" s="2" t="s">
        <v>7821</v>
      </c>
      <c r="G1066" s="2" t="s">
        <v>74</v>
      </c>
      <c r="H1066" s="2" t="s">
        <v>74</v>
      </c>
      <c r="I1066" s="2" t="s">
        <v>7822</v>
      </c>
      <c r="J1066" s="2" t="s">
        <v>1237</v>
      </c>
      <c r="K1066" s="2" t="s">
        <v>74</v>
      </c>
      <c r="L1066" s="2" t="s">
        <v>74</v>
      </c>
      <c r="M1066" s="2" t="s">
        <v>74</v>
      </c>
      <c r="N1066" s="2" t="s">
        <v>74</v>
      </c>
      <c r="O1066" s="2" t="s">
        <v>74</v>
      </c>
      <c r="P1066" s="2" t="s">
        <v>74</v>
      </c>
      <c r="Q1066" s="2" t="s">
        <v>74</v>
      </c>
      <c r="R1066" s="2" t="s">
        <v>74</v>
      </c>
      <c r="S1066" s="2" t="s">
        <v>74</v>
      </c>
      <c r="T1066" s="2" t="s">
        <v>74</v>
      </c>
      <c r="U1066" s="2" t="s">
        <v>74</v>
      </c>
      <c r="V1066" s="5" t="s">
        <v>7823</v>
      </c>
      <c r="W1066" s="2" t="s">
        <v>74</v>
      </c>
      <c r="X1066" s="2" t="s">
        <v>74</v>
      </c>
      <c r="Y1066" s="2" t="s">
        <v>74</v>
      </c>
      <c r="Z1066" s="2" t="s">
        <v>74</v>
      </c>
      <c r="AA1066" s="2" t="s">
        <v>6718</v>
      </c>
      <c r="AB1066" s="2" t="s">
        <v>6719</v>
      </c>
      <c r="AC1066" s="2" t="s">
        <v>74</v>
      </c>
      <c r="AD1066" s="2" t="s">
        <v>74</v>
      </c>
      <c r="AE1066" s="2" t="s">
        <v>74</v>
      </c>
      <c r="AF1066" s="2" t="s">
        <v>74</v>
      </c>
      <c r="AG1066" s="2" t="s">
        <v>74</v>
      </c>
      <c r="AH1066" s="2" t="s">
        <v>74</v>
      </c>
      <c r="AI1066" s="2" t="s">
        <v>74</v>
      </c>
      <c r="AJ1066" s="2" t="s">
        <v>74</v>
      </c>
      <c r="AK1066" s="2" t="s">
        <v>74</v>
      </c>
      <c r="AL1066" s="2" t="s">
        <v>74</v>
      </c>
      <c r="AM1066" s="2" t="s">
        <v>74</v>
      </c>
      <c r="AN1066" s="2" t="s">
        <v>74</v>
      </c>
      <c r="AO1066" s="2" t="s">
        <v>1239</v>
      </c>
      <c r="AP1066" s="2" t="s">
        <v>74</v>
      </c>
      <c r="AQ1066" s="2" t="s">
        <v>74</v>
      </c>
      <c r="AR1066" s="2" t="s">
        <v>74</v>
      </c>
      <c r="AS1066" s="2" t="s">
        <v>74</v>
      </c>
      <c r="AT1066" s="2" t="s">
        <v>175</v>
      </c>
      <c r="AU1066" s="2">
        <v>2008</v>
      </c>
      <c r="AV1066" s="2">
        <v>86</v>
      </c>
      <c r="AW1066" s="2">
        <v>10</v>
      </c>
      <c r="AX1066" s="2" t="s">
        <v>74</v>
      </c>
      <c r="AY1066" s="2" t="s">
        <v>74</v>
      </c>
      <c r="AZ1066" s="2" t="s">
        <v>74</v>
      </c>
      <c r="BA1066" s="2" t="s">
        <v>74</v>
      </c>
      <c r="BB1066" s="2">
        <v>1131</v>
      </c>
      <c r="BC1066" s="2">
        <v>1138</v>
      </c>
      <c r="BD1066" s="2" t="s">
        <v>74</v>
      </c>
      <c r="BE1066" s="2" t="s">
        <v>7824</v>
      </c>
      <c r="BF1066" s="2" t="str">
        <f>HYPERLINK("http://dx.doi.org/10.1139/Z08-091","http://dx.doi.org/10.1139/Z08-091")</f>
        <v>http://dx.doi.org/10.1139/Z08-091</v>
      </c>
      <c r="BG1066" s="2" t="s">
        <v>74</v>
      </c>
      <c r="BH1066" s="2" t="s">
        <v>74</v>
      </c>
      <c r="BI1066" s="2" t="s">
        <v>74</v>
      </c>
      <c r="BJ1066" s="2" t="s">
        <v>74</v>
      </c>
      <c r="BK1066" s="2" t="s">
        <v>74</v>
      </c>
      <c r="BL1066" s="2" t="s">
        <v>74</v>
      </c>
      <c r="BM1066" s="2" t="s">
        <v>74</v>
      </c>
      <c r="BN1066" s="2" t="s">
        <v>74</v>
      </c>
      <c r="BO1066" s="2" t="s">
        <v>74</v>
      </c>
      <c r="BP1066" s="2" t="s">
        <v>74</v>
      </c>
      <c r="BQ1066" s="2" t="s">
        <v>74</v>
      </c>
      <c r="BR1066" s="2" t="s">
        <v>74</v>
      </c>
      <c r="BS1066" s="2" t="s">
        <v>7825</v>
      </c>
      <c r="BT1066" s="2" t="str">
        <f>HYPERLINK("https%3A%2F%2Fwww.webofscience.com%2Fwos%2Fwoscc%2Ffull-record%2FWOS:000260166800006","View Full Record in Web of Science")</f>
        <v>View Full Record in Web of Science</v>
      </c>
    </row>
    <row r="1067" spans="1:72" s="2" customFormat="1" x14ac:dyDescent="0.4">
      <c r="A1067" s="2" t="s">
        <v>72</v>
      </c>
      <c r="B1067" s="2" t="s">
        <v>593</v>
      </c>
      <c r="C1067" s="2" t="s">
        <v>74</v>
      </c>
      <c r="D1067" s="2" t="s">
        <v>74</v>
      </c>
      <c r="E1067" s="2" t="s">
        <v>74</v>
      </c>
      <c r="F1067" s="2" t="s">
        <v>593</v>
      </c>
      <c r="G1067" s="2" t="s">
        <v>74</v>
      </c>
      <c r="H1067" s="2" t="s">
        <v>74</v>
      </c>
      <c r="I1067" s="2" t="s">
        <v>594</v>
      </c>
      <c r="J1067" s="2" t="s">
        <v>129</v>
      </c>
      <c r="K1067" s="2" t="s">
        <v>74</v>
      </c>
      <c r="L1067" s="2" t="s">
        <v>74</v>
      </c>
      <c r="M1067" s="2" t="s">
        <v>74</v>
      </c>
      <c r="N1067" s="2" t="s">
        <v>74</v>
      </c>
      <c r="O1067" s="2" t="s">
        <v>74</v>
      </c>
      <c r="P1067" s="2" t="s">
        <v>74</v>
      </c>
      <c r="Q1067" s="2" t="s">
        <v>74</v>
      </c>
      <c r="R1067" s="2" t="s">
        <v>74</v>
      </c>
      <c r="S1067" s="2" t="s">
        <v>74</v>
      </c>
      <c r="T1067" s="2" t="s">
        <v>74</v>
      </c>
      <c r="U1067" s="2" t="s">
        <v>74</v>
      </c>
      <c r="V1067" s="5" t="s">
        <v>595</v>
      </c>
      <c r="W1067" s="2" t="s">
        <v>74</v>
      </c>
      <c r="X1067" s="2" t="s">
        <v>74</v>
      </c>
      <c r="Y1067" s="2" t="s">
        <v>74</v>
      </c>
      <c r="Z1067" s="2" t="s">
        <v>74</v>
      </c>
      <c r="AA1067" s="2" t="s">
        <v>596</v>
      </c>
      <c r="AB1067" s="2" t="s">
        <v>597</v>
      </c>
      <c r="AC1067" s="2" t="s">
        <v>74</v>
      </c>
      <c r="AD1067" s="2" t="s">
        <v>74</v>
      </c>
      <c r="AE1067" s="2" t="s">
        <v>74</v>
      </c>
      <c r="AF1067" s="2" t="s">
        <v>74</v>
      </c>
      <c r="AG1067" s="2" t="s">
        <v>74</v>
      </c>
      <c r="AH1067" s="2" t="s">
        <v>74</v>
      </c>
      <c r="AI1067" s="2" t="s">
        <v>74</v>
      </c>
      <c r="AJ1067" s="2" t="s">
        <v>74</v>
      </c>
      <c r="AK1067" s="2" t="s">
        <v>74</v>
      </c>
      <c r="AL1067" s="2" t="s">
        <v>74</v>
      </c>
      <c r="AM1067" s="2" t="s">
        <v>74</v>
      </c>
      <c r="AN1067" s="2" t="s">
        <v>74</v>
      </c>
      <c r="AO1067" s="2" t="s">
        <v>132</v>
      </c>
      <c r="AP1067" s="2" t="s">
        <v>133</v>
      </c>
      <c r="AQ1067" s="2" t="s">
        <v>74</v>
      </c>
      <c r="AR1067" s="2" t="s">
        <v>74</v>
      </c>
      <c r="AS1067" s="2" t="s">
        <v>74</v>
      </c>
      <c r="AT1067" s="2" t="s">
        <v>305</v>
      </c>
      <c r="AU1067" s="2">
        <v>2001</v>
      </c>
      <c r="AV1067" s="2">
        <v>51</v>
      </c>
      <c r="AW1067" s="2">
        <v>1</v>
      </c>
      <c r="AX1067" s="2" t="s">
        <v>74</v>
      </c>
      <c r="AY1067" s="2" t="s">
        <v>74</v>
      </c>
      <c r="AZ1067" s="2" t="s">
        <v>74</v>
      </c>
      <c r="BA1067" s="2" t="s">
        <v>74</v>
      </c>
      <c r="BB1067" s="2">
        <v>69</v>
      </c>
      <c r="BC1067" s="2">
        <v>75</v>
      </c>
      <c r="BD1067" s="2" t="s">
        <v>74</v>
      </c>
      <c r="BE1067" s="2" t="s">
        <v>74</v>
      </c>
      <c r="BF1067" s="2" t="s">
        <v>74</v>
      </c>
      <c r="BG1067" s="2" t="s">
        <v>74</v>
      </c>
      <c r="BH1067" s="2" t="s">
        <v>74</v>
      </c>
      <c r="BI1067" s="2" t="s">
        <v>74</v>
      </c>
      <c r="BJ1067" s="2" t="s">
        <v>74</v>
      </c>
      <c r="BK1067" s="2" t="s">
        <v>74</v>
      </c>
      <c r="BL1067" s="2" t="s">
        <v>74</v>
      </c>
      <c r="BM1067" s="2" t="s">
        <v>74</v>
      </c>
      <c r="BN1067" s="2" t="s">
        <v>74</v>
      </c>
      <c r="BO1067" s="2" t="s">
        <v>74</v>
      </c>
      <c r="BP1067" s="2" t="s">
        <v>74</v>
      </c>
      <c r="BQ1067" s="2" t="s">
        <v>74</v>
      </c>
      <c r="BR1067" s="2" t="s">
        <v>74</v>
      </c>
      <c r="BS1067" s="2" t="s">
        <v>598</v>
      </c>
      <c r="BT1067" s="2" t="str">
        <f>HYPERLINK("https%3A%2F%2Fwww.webofscience.com%2Fwos%2Fwoscc%2Ffull-record%2FWOS:000173034800009","View Full Record in Web of Science")</f>
        <v>View Full Record in Web of Science</v>
      </c>
    </row>
    <row r="1068" spans="1:72" s="2" customFormat="1" x14ac:dyDescent="0.4">
      <c r="A1068" s="2" t="s">
        <v>72</v>
      </c>
      <c r="B1068" s="2" t="s">
        <v>593</v>
      </c>
      <c r="C1068" s="2" t="s">
        <v>74</v>
      </c>
      <c r="D1068" s="2" t="s">
        <v>74</v>
      </c>
      <c r="E1068" s="2" t="s">
        <v>74</v>
      </c>
      <c r="F1068" s="2" t="s">
        <v>593</v>
      </c>
      <c r="G1068" s="2" t="s">
        <v>74</v>
      </c>
      <c r="H1068" s="2" t="s">
        <v>74</v>
      </c>
      <c r="I1068" s="2" t="s">
        <v>3183</v>
      </c>
      <c r="J1068" s="2" t="s">
        <v>408</v>
      </c>
      <c r="K1068" s="2" t="s">
        <v>74</v>
      </c>
      <c r="L1068" s="2" t="s">
        <v>74</v>
      </c>
      <c r="M1068" s="2" t="s">
        <v>74</v>
      </c>
      <c r="N1068" s="2" t="s">
        <v>74</v>
      </c>
      <c r="O1068" s="2" t="s">
        <v>74</v>
      </c>
      <c r="P1068" s="2" t="s">
        <v>74</v>
      </c>
      <c r="Q1068" s="2" t="s">
        <v>74</v>
      </c>
      <c r="R1068" s="2" t="s">
        <v>74</v>
      </c>
      <c r="S1068" s="2" t="s">
        <v>74</v>
      </c>
      <c r="T1068" s="2" t="s">
        <v>74</v>
      </c>
      <c r="U1068" s="2" t="s">
        <v>74</v>
      </c>
      <c r="V1068" s="5" t="s">
        <v>3184</v>
      </c>
      <c r="W1068" s="2" t="s">
        <v>74</v>
      </c>
      <c r="X1068" s="2" t="s">
        <v>74</v>
      </c>
      <c r="Y1068" s="2" t="s">
        <v>74</v>
      </c>
      <c r="Z1068" s="2" t="s">
        <v>74</v>
      </c>
      <c r="AA1068" s="2" t="s">
        <v>2525</v>
      </c>
      <c r="AB1068" s="2" t="s">
        <v>597</v>
      </c>
      <c r="AC1068" s="2" t="s">
        <v>74</v>
      </c>
      <c r="AD1068" s="2" t="s">
        <v>74</v>
      </c>
      <c r="AE1068" s="2" t="s">
        <v>74</v>
      </c>
      <c r="AF1068" s="2" t="s">
        <v>74</v>
      </c>
      <c r="AG1068" s="2" t="s">
        <v>74</v>
      </c>
      <c r="AH1068" s="2" t="s">
        <v>74</v>
      </c>
      <c r="AI1068" s="2" t="s">
        <v>74</v>
      </c>
      <c r="AJ1068" s="2" t="s">
        <v>74</v>
      </c>
      <c r="AK1068" s="2" t="s">
        <v>74</v>
      </c>
      <c r="AL1068" s="2" t="s">
        <v>74</v>
      </c>
      <c r="AM1068" s="2" t="s">
        <v>74</v>
      </c>
      <c r="AN1068" s="2" t="s">
        <v>74</v>
      </c>
      <c r="AO1068" s="2" t="s">
        <v>412</v>
      </c>
      <c r="AP1068" s="2" t="s">
        <v>74</v>
      </c>
      <c r="AQ1068" s="2" t="s">
        <v>74</v>
      </c>
      <c r="AR1068" s="2" t="s">
        <v>74</v>
      </c>
      <c r="AS1068" s="2" t="s">
        <v>74</v>
      </c>
      <c r="AT1068" s="2" t="s">
        <v>305</v>
      </c>
      <c r="AU1068" s="2">
        <v>2005</v>
      </c>
      <c r="AV1068" s="2">
        <v>86</v>
      </c>
      <c r="AW1068" s="2">
        <v>4</v>
      </c>
      <c r="AX1068" s="2" t="s">
        <v>74</v>
      </c>
      <c r="AY1068" s="2" t="s">
        <v>74</v>
      </c>
      <c r="AZ1068" s="2" t="s">
        <v>74</v>
      </c>
      <c r="BA1068" s="2" t="s">
        <v>74</v>
      </c>
      <c r="BB1068" s="2">
        <v>515</v>
      </c>
      <c r="BC1068" s="2">
        <v>523</v>
      </c>
      <c r="BD1068" s="2" t="s">
        <v>74</v>
      </c>
      <c r="BE1068" s="2" t="s">
        <v>3185</v>
      </c>
      <c r="BF1068" s="2" t="str">
        <f>HYPERLINK("http://dx.doi.org/10.1111/j.1095-8312.2005.00551.x","http://dx.doi.org/10.1111/j.1095-8312.2005.00551.x")</f>
        <v>http://dx.doi.org/10.1111/j.1095-8312.2005.00551.x</v>
      </c>
      <c r="BG1068" s="2" t="s">
        <v>74</v>
      </c>
      <c r="BH1068" s="2" t="s">
        <v>74</v>
      </c>
      <c r="BI1068" s="2" t="s">
        <v>74</v>
      </c>
      <c r="BJ1068" s="2" t="s">
        <v>74</v>
      </c>
      <c r="BK1068" s="2" t="s">
        <v>74</v>
      </c>
      <c r="BL1068" s="2" t="s">
        <v>74</v>
      </c>
      <c r="BM1068" s="2" t="s">
        <v>74</v>
      </c>
      <c r="BN1068" s="2" t="s">
        <v>74</v>
      </c>
      <c r="BO1068" s="2" t="s">
        <v>74</v>
      </c>
      <c r="BP1068" s="2" t="s">
        <v>74</v>
      </c>
      <c r="BQ1068" s="2" t="s">
        <v>74</v>
      </c>
      <c r="BR1068" s="2" t="s">
        <v>74</v>
      </c>
      <c r="BS1068" s="2" t="s">
        <v>3186</v>
      </c>
      <c r="BT1068" s="2" t="str">
        <f>HYPERLINK("https%3A%2F%2Fwww.webofscience.com%2Fwos%2Fwoscc%2Ffull-record%2FWOS:000233621200008","View Full Record in Web of Science")</f>
        <v>View Full Record in Web of Science</v>
      </c>
    </row>
    <row r="1069" spans="1:72" s="2" customFormat="1" x14ac:dyDescent="0.4">
      <c r="A1069" s="2" t="s">
        <v>72</v>
      </c>
      <c r="B1069" s="2" t="s">
        <v>2522</v>
      </c>
      <c r="C1069" s="2" t="s">
        <v>74</v>
      </c>
      <c r="D1069" s="2" t="s">
        <v>74</v>
      </c>
      <c r="E1069" s="2" t="s">
        <v>74</v>
      </c>
      <c r="F1069" s="2" t="s">
        <v>2522</v>
      </c>
      <c r="G1069" s="2" t="s">
        <v>74</v>
      </c>
      <c r="H1069" s="2" t="s">
        <v>74</v>
      </c>
      <c r="I1069" s="2" t="s">
        <v>2523</v>
      </c>
      <c r="J1069" s="2" t="s">
        <v>140</v>
      </c>
      <c r="K1069" s="2" t="s">
        <v>74</v>
      </c>
      <c r="L1069" s="2" t="s">
        <v>74</v>
      </c>
      <c r="M1069" s="2" t="s">
        <v>74</v>
      </c>
      <c r="N1069" s="2" t="s">
        <v>74</v>
      </c>
      <c r="O1069" s="2" t="s">
        <v>74</v>
      </c>
      <c r="P1069" s="2" t="s">
        <v>74</v>
      </c>
      <c r="Q1069" s="2" t="s">
        <v>74</v>
      </c>
      <c r="R1069" s="2" t="s">
        <v>74</v>
      </c>
      <c r="S1069" s="2" t="s">
        <v>74</v>
      </c>
      <c r="T1069" s="2" t="s">
        <v>74</v>
      </c>
      <c r="U1069" s="2" t="s">
        <v>74</v>
      </c>
      <c r="V1069" s="5" t="s">
        <v>2524</v>
      </c>
      <c r="W1069" s="2" t="s">
        <v>74</v>
      </c>
      <c r="X1069" s="2" t="s">
        <v>74</v>
      </c>
      <c r="Y1069" s="2" t="s">
        <v>74</v>
      </c>
      <c r="Z1069" s="2" t="s">
        <v>74</v>
      </c>
      <c r="AA1069" s="2" t="s">
        <v>2525</v>
      </c>
      <c r="AB1069" s="2" t="s">
        <v>2526</v>
      </c>
      <c r="AC1069" s="2" t="s">
        <v>74</v>
      </c>
      <c r="AD1069" s="2" t="s">
        <v>74</v>
      </c>
      <c r="AE1069" s="2" t="s">
        <v>74</v>
      </c>
      <c r="AF1069" s="2" t="s">
        <v>74</v>
      </c>
      <c r="AG1069" s="2" t="s">
        <v>74</v>
      </c>
      <c r="AH1069" s="2" t="s">
        <v>74</v>
      </c>
      <c r="AI1069" s="2" t="s">
        <v>74</v>
      </c>
      <c r="AJ1069" s="2" t="s">
        <v>74</v>
      </c>
      <c r="AK1069" s="2" t="s">
        <v>74</v>
      </c>
      <c r="AL1069" s="2" t="s">
        <v>74</v>
      </c>
      <c r="AM1069" s="2" t="s">
        <v>74</v>
      </c>
      <c r="AN1069" s="2" t="s">
        <v>74</v>
      </c>
      <c r="AO1069" s="2" t="s">
        <v>143</v>
      </c>
      <c r="AP1069" s="2" t="s">
        <v>74</v>
      </c>
      <c r="AQ1069" s="2" t="s">
        <v>74</v>
      </c>
      <c r="AR1069" s="2" t="s">
        <v>74</v>
      </c>
      <c r="AS1069" s="2" t="s">
        <v>74</v>
      </c>
      <c r="AT1069" s="2" t="s">
        <v>102</v>
      </c>
      <c r="AU1069" s="2">
        <v>1999</v>
      </c>
      <c r="AV1069" s="2">
        <v>57</v>
      </c>
      <c r="AW1069" s="2" t="s">
        <v>74</v>
      </c>
      <c r="AX1069" s="2">
        <v>6</v>
      </c>
      <c r="AY1069" s="2" t="s">
        <v>74</v>
      </c>
      <c r="AZ1069" s="2" t="s">
        <v>74</v>
      </c>
      <c r="BA1069" s="2" t="s">
        <v>74</v>
      </c>
      <c r="BB1069" s="2">
        <v>1229</v>
      </c>
      <c r="BC1069" s="2">
        <v>1232</v>
      </c>
      <c r="BD1069" s="2" t="s">
        <v>74</v>
      </c>
      <c r="BE1069" s="2" t="s">
        <v>2527</v>
      </c>
      <c r="BF1069" s="2" t="str">
        <f>HYPERLINK("http://dx.doi.org/10.1006/anbe.1999.1100","http://dx.doi.org/10.1006/anbe.1999.1100")</f>
        <v>http://dx.doi.org/10.1006/anbe.1999.1100</v>
      </c>
      <c r="BG1069" s="2" t="s">
        <v>74</v>
      </c>
      <c r="BH1069" s="2" t="s">
        <v>74</v>
      </c>
      <c r="BI1069" s="2" t="s">
        <v>74</v>
      </c>
      <c r="BJ1069" s="2" t="s">
        <v>74</v>
      </c>
      <c r="BK1069" s="2" t="s">
        <v>74</v>
      </c>
      <c r="BL1069" s="2" t="s">
        <v>74</v>
      </c>
      <c r="BM1069" s="2" t="s">
        <v>74</v>
      </c>
      <c r="BN1069" s="2">
        <v>10373255</v>
      </c>
      <c r="BO1069" s="2" t="s">
        <v>74</v>
      </c>
      <c r="BP1069" s="2" t="s">
        <v>74</v>
      </c>
      <c r="BQ1069" s="2" t="s">
        <v>74</v>
      </c>
      <c r="BR1069" s="2" t="s">
        <v>74</v>
      </c>
      <c r="BS1069" s="2" t="s">
        <v>2528</v>
      </c>
      <c r="BT1069" s="2" t="str">
        <f>HYPERLINK("https%3A%2F%2Fwww.webofscience.com%2Fwos%2Fwoscc%2Ffull-record%2FWOS:000080973100007","View Full Record in Web of Science")</f>
        <v>View Full Record in Web of Science</v>
      </c>
    </row>
    <row r="1070" spans="1:72" s="1" customFormat="1" x14ac:dyDescent="0.4">
      <c r="A1070" s="2" t="s">
        <v>72</v>
      </c>
      <c r="B1070" s="2" t="s">
        <v>6794</v>
      </c>
      <c r="C1070" s="2" t="s">
        <v>74</v>
      </c>
      <c r="D1070" s="2" t="s">
        <v>74</v>
      </c>
      <c r="E1070" s="2" t="s">
        <v>74</v>
      </c>
      <c r="F1070" s="2" t="s">
        <v>6795</v>
      </c>
      <c r="G1070" s="2" t="s">
        <v>74</v>
      </c>
      <c r="H1070" s="2" t="s">
        <v>74</v>
      </c>
      <c r="I1070" s="2" t="s">
        <v>6796</v>
      </c>
      <c r="J1070" s="2" t="s">
        <v>2087</v>
      </c>
      <c r="K1070" s="2" t="s">
        <v>74</v>
      </c>
      <c r="L1070" s="2" t="s">
        <v>74</v>
      </c>
      <c r="M1070" s="2" t="s">
        <v>74</v>
      </c>
      <c r="N1070" s="2" t="s">
        <v>74</v>
      </c>
      <c r="O1070" s="2" t="s">
        <v>74</v>
      </c>
      <c r="P1070" s="2" t="s">
        <v>74</v>
      </c>
      <c r="Q1070" s="2" t="s">
        <v>74</v>
      </c>
      <c r="R1070" s="2" t="s">
        <v>74</v>
      </c>
      <c r="S1070" s="2" t="s">
        <v>74</v>
      </c>
      <c r="T1070" s="2" t="s">
        <v>74</v>
      </c>
      <c r="U1070" s="2" t="s">
        <v>74</v>
      </c>
      <c r="V1070" s="5" t="s">
        <v>6797</v>
      </c>
      <c r="W1070" s="2" t="s">
        <v>74</v>
      </c>
      <c r="X1070" s="2" t="s">
        <v>74</v>
      </c>
      <c r="Y1070" s="2" t="s">
        <v>74</v>
      </c>
      <c r="Z1070" s="2" t="s">
        <v>74</v>
      </c>
      <c r="AA1070" s="2" t="s">
        <v>6718</v>
      </c>
      <c r="AB1070" s="2" t="s">
        <v>6719</v>
      </c>
      <c r="AC1070" s="2" t="s">
        <v>74</v>
      </c>
      <c r="AD1070" s="2" t="s">
        <v>74</v>
      </c>
      <c r="AE1070" s="2" t="s">
        <v>74</v>
      </c>
      <c r="AF1070" s="2" t="s">
        <v>74</v>
      </c>
      <c r="AG1070" s="2" t="s">
        <v>74</v>
      </c>
      <c r="AH1070" s="2" t="s">
        <v>74</v>
      </c>
      <c r="AI1070" s="2" t="s">
        <v>74</v>
      </c>
      <c r="AJ1070" s="2" t="s">
        <v>74</v>
      </c>
      <c r="AK1070" s="2" t="s">
        <v>74</v>
      </c>
      <c r="AL1070" s="2" t="s">
        <v>74</v>
      </c>
      <c r="AM1070" s="2" t="s">
        <v>74</v>
      </c>
      <c r="AN1070" s="2" t="s">
        <v>74</v>
      </c>
      <c r="AO1070" s="2" t="s">
        <v>2089</v>
      </c>
      <c r="AP1070" s="2" t="s">
        <v>74</v>
      </c>
      <c r="AQ1070" s="2" t="s">
        <v>74</v>
      </c>
      <c r="AR1070" s="2" t="s">
        <v>74</v>
      </c>
      <c r="AS1070" s="2" t="s">
        <v>74</v>
      </c>
      <c r="AT1070" s="2" t="s">
        <v>74</v>
      </c>
      <c r="AU1070" s="2">
        <v>2007</v>
      </c>
      <c r="AV1070" s="2">
        <v>14</v>
      </c>
      <c r="AW1070" s="2">
        <v>1</v>
      </c>
      <c r="AX1070" s="2" t="s">
        <v>74</v>
      </c>
      <c r="AY1070" s="2" t="s">
        <v>74</v>
      </c>
      <c r="AZ1070" s="2" t="s">
        <v>74</v>
      </c>
      <c r="BA1070" s="2" t="s">
        <v>74</v>
      </c>
      <c r="BB1070" s="2">
        <v>1</v>
      </c>
      <c r="BC1070" s="2">
        <v>7</v>
      </c>
      <c r="BD1070" s="2" t="s">
        <v>74</v>
      </c>
      <c r="BE1070" s="2" t="s">
        <v>6798</v>
      </c>
      <c r="BF1070" s="2" t="str">
        <f>HYPERLINK("http://dx.doi.org/10.2980/1195-6860(2007)14[1:RIBNDS]2.0.CO;2","http://dx.doi.org/10.2980/1195-6860(2007)14[1:RIBNDS]2.0.CO;2")</f>
        <v>http://dx.doi.org/10.2980/1195-6860(2007)14[1:RIBNDS]2.0.CO;2</v>
      </c>
      <c r="BG1070" s="2" t="s">
        <v>74</v>
      </c>
      <c r="BH1070" s="2" t="s">
        <v>74</v>
      </c>
      <c r="BI1070" s="2" t="s">
        <v>74</v>
      </c>
      <c r="BJ1070" s="2" t="s">
        <v>74</v>
      </c>
      <c r="BK1070" s="2" t="s">
        <v>74</v>
      </c>
      <c r="BL1070" s="2" t="s">
        <v>74</v>
      </c>
      <c r="BM1070" s="2" t="s">
        <v>74</v>
      </c>
      <c r="BN1070" s="2" t="s">
        <v>74</v>
      </c>
      <c r="BO1070" s="2" t="s">
        <v>74</v>
      </c>
      <c r="BP1070" s="2" t="s">
        <v>74</v>
      </c>
      <c r="BQ1070" s="2" t="s">
        <v>74</v>
      </c>
      <c r="BR1070" s="2" t="s">
        <v>74</v>
      </c>
      <c r="BS1070" s="2" t="s">
        <v>6799</v>
      </c>
      <c r="BT1070" s="2" t="str">
        <f>HYPERLINK("https%3A%2F%2Fwww.webofscience.com%2Fwos%2Fwoscc%2Ffull-record%2FWOS:000245364700001","View Full Record in Web of Science")</f>
        <v>View Full Record in Web of Science</v>
      </c>
    </row>
    <row r="1071" spans="1:72" s="2" customFormat="1" x14ac:dyDescent="0.4">
      <c r="A1071" s="2" t="s">
        <v>72</v>
      </c>
      <c r="B1071" s="2" t="s">
        <v>1159</v>
      </c>
      <c r="C1071" s="2" t="s">
        <v>74</v>
      </c>
      <c r="D1071" s="2" t="s">
        <v>74</v>
      </c>
      <c r="E1071" s="2" t="s">
        <v>74</v>
      </c>
      <c r="F1071" s="2" t="s">
        <v>1160</v>
      </c>
      <c r="G1071" s="2" t="s">
        <v>74</v>
      </c>
      <c r="H1071" s="2" t="s">
        <v>74</v>
      </c>
      <c r="I1071" s="2" t="s">
        <v>1161</v>
      </c>
      <c r="J1071" s="2" t="s">
        <v>576</v>
      </c>
      <c r="K1071" s="2" t="s">
        <v>74</v>
      </c>
      <c r="L1071" s="2" t="s">
        <v>74</v>
      </c>
      <c r="M1071" s="2" t="s">
        <v>74</v>
      </c>
      <c r="N1071" s="2" t="s">
        <v>74</v>
      </c>
      <c r="O1071" s="2" t="s">
        <v>74</v>
      </c>
      <c r="P1071" s="2" t="s">
        <v>74</v>
      </c>
      <c r="Q1071" s="2" t="s">
        <v>74</v>
      </c>
      <c r="R1071" s="2" t="s">
        <v>74</v>
      </c>
      <c r="S1071" s="2" t="s">
        <v>74</v>
      </c>
      <c r="T1071" s="2" t="s">
        <v>74</v>
      </c>
      <c r="U1071" s="2" t="s">
        <v>74</v>
      </c>
      <c r="V1071" s="5" t="s">
        <v>1162</v>
      </c>
      <c r="W1071" s="2" t="s">
        <v>74</v>
      </c>
      <c r="X1071" s="2" t="s">
        <v>74</v>
      </c>
      <c r="Y1071" s="2" t="s">
        <v>74</v>
      </c>
      <c r="Z1071" s="2" t="s">
        <v>74</v>
      </c>
      <c r="AA1071" s="2" t="s">
        <v>74</v>
      </c>
      <c r="AB1071" s="2" t="s">
        <v>1163</v>
      </c>
      <c r="AC1071" s="2" t="s">
        <v>74</v>
      </c>
      <c r="AD1071" s="2" t="s">
        <v>74</v>
      </c>
      <c r="AE1071" s="2" t="s">
        <v>74</v>
      </c>
      <c r="AF1071" s="2" t="s">
        <v>74</v>
      </c>
      <c r="AG1071" s="2" t="s">
        <v>74</v>
      </c>
      <c r="AH1071" s="2" t="s">
        <v>74</v>
      </c>
      <c r="AI1071" s="2" t="s">
        <v>74</v>
      </c>
      <c r="AJ1071" s="2" t="s">
        <v>74</v>
      </c>
      <c r="AK1071" s="2" t="s">
        <v>74</v>
      </c>
      <c r="AL1071" s="2" t="s">
        <v>74</v>
      </c>
      <c r="AM1071" s="2" t="s">
        <v>74</v>
      </c>
      <c r="AN1071" s="2" t="s">
        <v>74</v>
      </c>
      <c r="AO1071" s="2" t="s">
        <v>579</v>
      </c>
      <c r="AP1071" s="2" t="s">
        <v>74</v>
      </c>
      <c r="AQ1071" s="2" t="s">
        <v>74</v>
      </c>
      <c r="AR1071" s="2" t="s">
        <v>74</v>
      </c>
      <c r="AS1071" s="2" t="s">
        <v>74</v>
      </c>
      <c r="AT1071" s="2" t="s">
        <v>255</v>
      </c>
      <c r="AU1071" s="2">
        <v>2011</v>
      </c>
      <c r="AV1071" s="2">
        <v>25</v>
      </c>
      <c r="AW1071" s="2">
        <v>1</v>
      </c>
      <c r="AX1071" s="2" t="s">
        <v>74</v>
      </c>
      <c r="AY1071" s="2" t="s">
        <v>74</v>
      </c>
      <c r="AZ1071" s="2" t="s">
        <v>74</v>
      </c>
      <c r="BA1071" s="2" t="s">
        <v>74</v>
      </c>
      <c r="BB1071" s="2">
        <v>139</v>
      </c>
      <c r="BC1071" s="2">
        <v>154</v>
      </c>
      <c r="BD1071" s="2" t="s">
        <v>74</v>
      </c>
      <c r="BE1071" s="2" t="s">
        <v>1164</v>
      </c>
      <c r="BF1071" s="2" t="str">
        <f>HYPERLINK("http://dx.doi.org/10.1007/s10682-010-9388-z","http://dx.doi.org/10.1007/s10682-010-9388-z")</f>
        <v>http://dx.doi.org/10.1007/s10682-010-9388-z</v>
      </c>
      <c r="BG1071" s="2" t="s">
        <v>74</v>
      </c>
      <c r="BH1071" s="2" t="s">
        <v>74</v>
      </c>
      <c r="BI1071" s="2" t="s">
        <v>74</v>
      </c>
      <c r="BJ1071" s="2" t="s">
        <v>74</v>
      </c>
      <c r="BK1071" s="2" t="s">
        <v>74</v>
      </c>
      <c r="BL1071" s="2" t="s">
        <v>74</v>
      </c>
      <c r="BM1071" s="2" t="s">
        <v>74</v>
      </c>
      <c r="BN1071" s="2" t="s">
        <v>74</v>
      </c>
      <c r="BO1071" s="2" t="s">
        <v>74</v>
      </c>
      <c r="BP1071" s="2" t="s">
        <v>74</v>
      </c>
      <c r="BQ1071" s="2" t="s">
        <v>74</v>
      </c>
      <c r="BR1071" s="2" t="s">
        <v>74</v>
      </c>
      <c r="BS1071" s="2" t="s">
        <v>1165</v>
      </c>
      <c r="BT1071" s="2" t="str">
        <f>HYPERLINK("https%3A%2F%2Fwww.webofscience.com%2Fwos%2Fwoscc%2Ffull-record%2FWOS:000287600500010","View Full Record in Web of Science")</f>
        <v>View Full Record in Web of Science</v>
      </c>
    </row>
    <row r="1072" spans="1:72" s="2" customFormat="1" x14ac:dyDescent="0.4">
      <c r="A1072" s="2" t="s">
        <v>72</v>
      </c>
      <c r="B1072" s="2" t="s">
        <v>1993</v>
      </c>
      <c r="C1072" s="2" t="s">
        <v>74</v>
      </c>
      <c r="D1072" s="2" t="s">
        <v>74</v>
      </c>
      <c r="E1072" s="2" t="s">
        <v>74</v>
      </c>
      <c r="F1072" s="2" t="s">
        <v>1993</v>
      </c>
      <c r="G1072" s="2" t="s">
        <v>74</v>
      </c>
      <c r="H1072" s="2" t="s">
        <v>74</v>
      </c>
      <c r="I1072" s="2" t="s">
        <v>1994</v>
      </c>
      <c r="J1072" s="2" t="s">
        <v>1995</v>
      </c>
      <c r="K1072" s="2" t="s">
        <v>74</v>
      </c>
      <c r="L1072" s="2" t="s">
        <v>74</v>
      </c>
      <c r="M1072" s="2" t="s">
        <v>74</v>
      </c>
      <c r="N1072" s="2" t="s">
        <v>74</v>
      </c>
      <c r="O1072" s="2" t="s">
        <v>74</v>
      </c>
      <c r="P1072" s="2" t="s">
        <v>74</v>
      </c>
      <c r="Q1072" s="2" t="s">
        <v>74</v>
      </c>
      <c r="R1072" s="2" t="s">
        <v>74</v>
      </c>
      <c r="S1072" s="2" t="s">
        <v>74</v>
      </c>
      <c r="T1072" s="2" t="s">
        <v>74</v>
      </c>
      <c r="U1072" s="2" t="s">
        <v>74</v>
      </c>
      <c r="V1072" s="5" t="s">
        <v>1996</v>
      </c>
      <c r="W1072" s="2" t="s">
        <v>74</v>
      </c>
      <c r="X1072" s="2" t="s">
        <v>74</v>
      </c>
      <c r="Y1072" s="2" t="s">
        <v>74</v>
      </c>
      <c r="Z1072" s="2" t="s">
        <v>74</v>
      </c>
      <c r="AA1072" s="2" t="s">
        <v>74</v>
      </c>
      <c r="AB1072" s="2" t="s">
        <v>74</v>
      </c>
      <c r="AC1072" s="2" t="s">
        <v>74</v>
      </c>
      <c r="AD1072" s="2" t="s">
        <v>74</v>
      </c>
      <c r="AE1072" s="2" t="s">
        <v>74</v>
      </c>
      <c r="AF1072" s="2" t="s">
        <v>74</v>
      </c>
      <c r="AG1072" s="2" t="s">
        <v>74</v>
      </c>
      <c r="AH1072" s="2" t="s">
        <v>74</v>
      </c>
      <c r="AI1072" s="2" t="s">
        <v>74</v>
      </c>
      <c r="AJ1072" s="2" t="s">
        <v>74</v>
      </c>
      <c r="AK1072" s="2" t="s">
        <v>74</v>
      </c>
      <c r="AL1072" s="2" t="s">
        <v>74</v>
      </c>
      <c r="AM1072" s="2" t="s">
        <v>74</v>
      </c>
      <c r="AN1072" s="2" t="s">
        <v>74</v>
      </c>
      <c r="AO1072" s="2" t="s">
        <v>1997</v>
      </c>
      <c r="AP1072" s="2" t="s">
        <v>74</v>
      </c>
      <c r="AQ1072" s="2" t="s">
        <v>74</v>
      </c>
      <c r="AR1072" s="2" t="s">
        <v>74</v>
      </c>
      <c r="AS1072" s="2" t="s">
        <v>74</v>
      </c>
      <c r="AT1072" s="2" t="s">
        <v>1998</v>
      </c>
      <c r="AU1072" s="2">
        <v>2003</v>
      </c>
      <c r="AV1072" s="2">
        <v>74</v>
      </c>
      <c r="AW1072" s="2">
        <v>4</v>
      </c>
      <c r="AX1072" s="2" t="s">
        <v>74</v>
      </c>
      <c r="AY1072" s="2" t="s">
        <v>74</v>
      </c>
      <c r="AZ1072" s="2" t="s">
        <v>74</v>
      </c>
      <c r="BA1072" s="2" t="s">
        <v>74</v>
      </c>
      <c r="BB1072" s="2">
        <v>406</v>
      </c>
      <c r="BC1072" s="2">
        <v>415</v>
      </c>
      <c r="BD1072" s="2" t="s">
        <v>74</v>
      </c>
      <c r="BE1072" s="2" t="s">
        <v>1999</v>
      </c>
      <c r="BF1072" s="2" t="str">
        <f>HYPERLINK("http://dx.doi.org/10.1648/0273-8570-74.4.406","http://dx.doi.org/10.1648/0273-8570-74.4.406")</f>
        <v>http://dx.doi.org/10.1648/0273-8570-74.4.406</v>
      </c>
      <c r="BG1072" s="2" t="s">
        <v>74</v>
      </c>
      <c r="BH1072" s="2" t="s">
        <v>74</v>
      </c>
      <c r="BI1072" s="2" t="s">
        <v>74</v>
      </c>
      <c r="BJ1072" s="2" t="s">
        <v>74</v>
      </c>
      <c r="BK1072" s="2" t="s">
        <v>74</v>
      </c>
      <c r="BL1072" s="2" t="s">
        <v>74</v>
      </c>
      <c r="BM1072" s="2" t="s">
        <v>74</v>
      </c>
      <c r="BN1072" s="2" t="s">
        <v>74</v>
      </c>
      <c r="BO1072" s="2" t="s">
        <v>74</v>
      </c>
      <c r="BP1072" s="2" t="s">
        <v>74</v>
      </c>
      <c r="BQ1072" s="2" t="s">
        <v>74</v>
      </c>
      <c r="BR1072" s="2" t="s">
        <v>74</v>
      </c>
      <c r="BS1072" s="2" t="s">
        <v>2000</v>
      </c>
      <c r="BT1072" s="2" t="str">
        <f>HYPERLINK("https%3A%2F%2Fwww.webofscience.com%2Fwos%2Fwoscc%2Ffull-record%2FWOS:000186208600011","View Full Record in Web of Science")</f>
        <v>View Full Record in Web of Science</v>
      </c>
    </row>
    <row r="1073" spans="1:72" s="2" customFormat="1" x14ac:dyDescent="0.4">
      <c r="A1073" s="2" t="s">
        <v>72</v>
      </c>
      <c r="B1073" s="2" t="s">
        <v>7384</v>
      </c>
      <c r="C1073" s="2" t="s">
        <v>74</v>
      </c>
      <c r="D1073" s="2" t="s">
        <v>74</v>
      </c>
      <c r="E1073" s="2" t="s">
        <v>74</v>
      </c>
      <c r="F1073" s="2" t="s">
        <v>7385</v>
      </c>
      <c r="G1073" s="2" t="s">
        <v>74</v>
      </c>
      <c r="H1073" s="2" t="s">
        <v>74</v>
      </c>
      <c r="I1073" s="2" t="s">
        <v>7386</v>
      </c>
      <c r="J1073" s="2" t="s">
        <v>1526</v>
      </c>
      <c r="K1073" s="2" t="s">
        <v>74</v>
      </c>
      <c r="L1073" s="2" t="s">
        <v>74</v>
      </c>
      <c r="M1073" s="2" t="s">
        <v>74</v>
      </c>
      <c r="N1073" s="2" t="s">
        <v>74</v>
      </c>
      <c r="O1073" s="2" t="s">
        <v>74</v>
      </c>
      <c r="P1073" s="2" t="s">
        <v>74</v>
      </c>
      <c r="Q1073" s="2" t="s">
        <v>74</v>
      </c>
      <c r="R1073" s="2" t="s">
        <v>74</v>
      </c>
      <c r="S1073" s="2" t="s">
        <v>74</v>
      </c>
      <c r="T1073" s="2" t="s">
        <v>74</v>
      </c>
      <c r="U1073" s="2" t="s">
        <v>74</v>
      </c>
      <c r="V1073" s="5" t="s">
        <v>7387</v>
      </c>
      <c r="W1073" s="2" t="s">
        <v>74</v>
      </c>
      <c r="X1073" s="2" t="s">
        <v>74</v>
      </c>
      <c r="Y1073" s="2" t="s">
        <v>74</v>
      </c>
      <c r="Z1073" s="2" t="s">
        <v>74</v>
      </c>
      <c r="AA1073" s="2" t="s">
        <v>74</v>
      </c>
      <c r="AB1073" s="2" t="s">
        <v>74</v>
      </c>
      <c r="AC1073" s="2" t="s">
        <v>74</v>
      </c>
      <c r="AD1073" s="2" t="s">
        <v>74</v>
      </c>
      <c r="AE1073" s="2" t="s">
        <v>74</v>
      </c>
      <c r="AF1073" s="2" t="s">
        <v>74</v>
      </c>
      <c r="AG1073" s="2" t="s">
        <v>74</v>
      </c>
      <c r="AH1073" s="2" t="s">
        <v>74</v>
      </c>
      <c r="AI1073" s="2" t="s">
        <v>74</v>
      </c>
      <c r="AJ1073" s="2" t="s">
        <v>74</v>
      </c>
      <c r="AK1073" s="2" t="s">
        <v>74</v>
      </c>
      <c r="AL1073" s="2" t="s">
        <v>74</v>
      </c>
      <c r="AM1073" s="2" t="s">
        <v>74</v>
      </c>
      <c r="AN1073" s="2" t="s">
        <v>74</v>
      </c>
      <c r="AO1073" s="2" t="s">
        <v>1528</v>
      </c>
      <c r="AP1073" s="2" t="s">
        <v>2131</v>
      </c>
      <c r="AQ1073" s="2" t="s">
        <v>74</v>
      </c>
      <c r="AR1073" s="2" t="s">
        <v>74</v>
      </c>
      <c r="AS1073" s="2" t="s">
        <v>74</v>
      </c>
      <c r="AT1073" s="2" t="s">
        <v>134</v>
      </c>
      <c r="AU1073" s="2">
        <v>2008</v>
      </c>
      <c r="AV1073" s="2">
        <v>110</v>
      </c>
      <c r="AW1073" s="2">
        <v>2</v>
      </c>
      <c r="AX1073" s="2" t="s">
        <v>74</v>
      </c>
      <c r="AY1073" s="2" t="s">
        <v>74</v>
      </c>
      <c r="AZ1073" s="2" t="s">
        <v>74</v>
      </c>
      <c r="BA1073" s="2" t="s">
        <v>74</v>
      </c>
      <c r="BB1073" s="2">
        <v>241</v>
      </c>
      <c r="BC1073" s="2">
        <v>250</v>
      </c>
      <c r="BD1073" s="2" t="s">
        <v>74</v>
      </c>
      <c r="BE1073" s="2" t="s">
        <v>7388</v>
      </c>
      <c r="BF1073" s="2" t="str">
        <f>HYPERLINK("http://dx.doi.org/10.1525/cond.2008.8476","http://dx.doi.org/10.1525/cond.2008.8476")</f>
        <v>http://dx.doi.org/10.1525/cond.2008.8476</v>
      </c>
      <c r="BG1073" s="2" t="s">
        <v>74</v>
      </c>
      <c r="BH1073" s="2" t="s">
        <v>74</v>
      </c>
      <c r="BI1073" s="2" t="s">
        <v>74</v>
      </c>
      <c r="BJ1073" s="2" t="s">
        <v>74</v>
      </c>
      <c r="BK1073" s="2" t="s">
        <v>74</v>
      </c>
      <c r="BL1073" s="2" t="s">
        <v>74</v>
      </c>
      <c r="BM1073" s="2" t="s">
        <v>74</v>
      </c>
      <c r="BN1073" s="2" t="s">
        <v>74</v>
      </c>
      <c r="BO1073" s="2" t="s">
        <v>74</v>
      </c>
      <c r="BP1073" s="2" t="s">
        <v>74</v>
      </c>
      <c r="BQ1073" s="2" t="s">
        <v>74</v>
      </c>
      <c r="BR1073" s="2" t="s">
        <v>74</v>
      </c>
      <c r="BS1073" s="2" t="s">
        <v>7389</v>
      </c>
      <c r="BT1073" s="2" t="str">
        <f>HYPERLINK("https%3A%2F%2Fwww.webofscience.com%2Fwos%2Fwoscc%2Ffull-record%2FWOS:000258851900004","View Full Record in Web of Science")</f>
        <v>View Full Record in Web of Science</v>
      </c>
    </row>
    <row r="1074" spans="1:72" s="7" customFormat="1" x14ac:dyDescent="0.4">
      <c r="A1074" s="2" t="s">
        <v>72</v>
      </c>
      <c r="B1074" s="2" t="s">
        <v>8428</v>
      </c>
      <c r="C1074" s="2" t="s">
        <v>74</v>
      </c>
      <c r="D1074" s="2" t="s">
        <v>74</v>
      </c>
      <c r="E1074" s="2" t="s">
        <v>74</v>
      </c>
      <c r="F1074" s="2" t="s">
        <v>8429</v>
      </c>
      <c r="G1074" s="2" t="s">
        <v>74</v>
      </c>
      <c r="H1074" s="2" t="s">
        <v>74</v>
      </c>
      <c r="I1074" s="2" t="s">
        <v>8430</v>
      </c>
      <c r="J1074" s="2" t="s">
        <v>1480</v>
      </c>
      <c r="K1074" s="2" t="s">
        <v>74</v>
      </c>
      <c r="L1074" s="2" t="s">
        <v>74</v>
      </c>
      <c r="M1074" s="2" t="s">
        <v>74</v>
      </c>
      <c r="N1074" s="2" t="s">
        <v>74</v>
      </c>
      <c r="O1074" s="2" t="s">
        <v>74</v>
      </c>
      <c r="P1074" s="2" t="s">
        <v>74</v>
      </c>
      <c r="Q1074" s="2" t="s">
        <v>74</v>
      </c>
      <c r="R1074" s="2" t="s">
        <v>74</v>
      </c>
      <c r="S1074" s="2" t="s">
        <v>74</v>
      </c>
      <c r="T1074" s="2" t="s">
        <v>74</v>
      </c>
      <c r="U1074" s="2" t="s">
        <v>74</v>
      </c>
      <c r="V1074" s="5" t="s">
        <v>8431</v>
      </c>
      <c r="W1074" s="2" t="s">
        <v>74</v>
      </c>
      <c r="X1074" s="2" t="s">
        <v>74</v>
      </c>
      <c r="Y1074" s="2" t="s">
        <v>74</v>
      </c>
      <c r="Z1074" s="2" t="s">
        <v>74</v>
      </c>
      <c r="AA1074" s="2" t="s">
        <v>74</v>
      </c>
      <c r="AB1074" s="2" t="s">
        <v>74</v>
      </c>
      <c r="AC1074" s="2" t="s">
        <v>74</v>
      </c>
      <c r="AD1074" s="2" t="s">
        <v>74</v>
      </c>
      <c r="AE1074" s="2" t="s">
        <v>74</v>
      </c>
      <c r="AF1074" s="2" t="s">
        <v>74</v>
      </c>
      <c r="AG1074" s="2" t="s">
        <v>74</v>
      </c>
      <c r="AH1074" s="2" t="s">
        <v>74</v>
      </c>
      <c r="AI1074" s="2" t="s">
        <v>74</v>
      </c>
      <c r="AJ1074" s="2" t="s">
        <v>74</v>
      </c>
      <c r="AK1074" s="2" t="s">
        <v>74</v>
      </c>
      <c r="AL1074" s="2" t="s">
        <v>74</v>
      </c>
      <c r="AM1074" s="2" t="s">
        <v>74</v>
      </c>
      <c r="AN1074" s="2" t="s">
        <v>74</v>
      </c>
      <c r="AO1074" s="2" t="s">
        <v>1482</v>
      </c>
      <c r="AP1074" s="2" t="s">
        <v>6949</v>
      </c>
      <c r="AQ1074" s="2" t="s">
        <v>74</v>
      </c>
      <c r="AR1074" s="2" t="s">
        <v>74</v>
      </c>
      <c r="AS1074" s="2" t="s">
        <v>74</v>
      </c>
      <c r="AT1074" s="2" t="s">
        <v>175</v>
      </c>
      <c r="AU1074" s="2">
        <v>2023</v>
      </c>
      <c r="AV1074" s="2">
        <v>102</v>
      </c>
      <c r="AW1074" s="2">
        <v>10</v>
      </c>
      <c r="AX1074" s="2" t="s">
        <v>74</v>
      </c>
      <c r="AY1074" s="2" t="s">
        <v>74</v>
      </c>
      <c r="AZ1074" s="2" t="s">
        <v>74</v>
      </c>
      <c r="BA1074" s="2" t="s">
        <v>74</v>
      </c>
      <c r="BB1074" s="2" t="s">
        <v>74</v>
      </c>
      <c r="BC1074" s="2" t="s">
        <v>74</v>
      </c>
      <c r="BD1074" s="2">
        <v>102927</v>
      </c>
      <c r="BE1074" s="2" t="s">
        <v>8432</v>
      </c>
      <c r="BF1074" s="2" t="str">
        <f>HYPERLINK("http://dx.doi.org/10.1016/j.psj.2023.102927","http://dx.doi.org/10.1016/j.psj.2023.102927")</f>
        <v>http://dx.doi.org/10.1016/j.psj.2023.102927</v>
      </c>
      <c r="BG1074" s="2" t="s">
        <v>74</v>
      </c>
      <c r="BH1074" s="2" t="s">
        <v>2726</v>
      </c>
      <c r="BI1074" s="2" t="s">
        <v>74</v>
      </c>
      <c r="BJ1074" s="2" t="s">
        <v>74</v>
      </c>
      <c r="BK1074" s="2" t="s">
        <v>74</v>
      </c>
      <c r="BL1074" s="2" t="s">
        <v>74</v>
      </c>
      <c r="BM1074" s="2" t="s">
        <v>74</v>
      </c>
      <c r="BN1074" s="2">
        <v>37494809</v>
      </c>
      <c r="BO1074" s="2" t="s">
        <v>74</v>
      </c>
      <c r="BP1074" s="2" t="s">
        <v>74</v>
      </c>
      <c r="BQ1074" s="2" t="s">
        <v>74</v>
      </c>
      <c r="BR1074" s="2" t="s">
        <v>74</v>
      </c>
      <c r="BS1074" s="2" t="s">
        <v>8433</v>
      </c>
      <c r="BT1074" s="2" t="str">
        <f>HYPERLINK("https%3A%2F%2Fwww.webofscience.com%2Fwos%2Fwoscc%2Ffull-record%2FWOS:001046665000001","View Full Record in Web of Science")</f>
        <v>View Full Record in Web of Science</v>
      </c>
    </row>
    <row r="1075" spans="1:72" s="2" customFormat="1" x14ac:dyDescent="0.4">
      <c r="A1075" s="2" t="s">
        <v>72</v>
      </c>
      <c r="B1075" s="2" t="s">
        <v>8534</v>
      </c>
      <c r="C1075" s="2" t="s">
        <v>74</v>
      </c>
      <c r="D1075" s="2" t="s">
        <v>74</v>
      </c>
      <c r="E1075" s="2" t="s">
        <v>74</v>
      </c>
      <c r="F1075" s="2" t="s">
        <v>8534</v>
      </c>
      <c r="G1075" s="2" t="s">
        <v>74</v>
      </c>
      <c r="H1075" s="2" t="s">
        <v>74</v>
      </c>
      <c r="I1075" s="2" t="s">
        <v>8535</v>
      </c>
      <c r="J1075" s="2" t="s">
        <v>77</v>
      </c>
      <c r="K1075" s="2" t="s">
        <v>74</v>
      </c>
      <c r="L1075" s="2" t="s">
        <v>74</v>
      </c>
      <c r="M1075" s="2" t="s">
        <v>74</v>
      </c>
      <c r="N1075" s="2" t="s">
        <v>74</v>
      </c>
      <c r="O1075" s="2" t="s">
        <v>74</v>
      </c>
      <c r="P1075" s="2" t="s">
        <v>74</v>
      </c>
      <c r="Q1075" s="2" t="s">
        <v>74</v>
      </c>
      <c r="R1075" s="2" t="s">
        <v>74</v>
      </c>
      <c r="S1075" s="2" t="s">
        <v>74</v>
      </c>
      <c r="T1075" s="2" t="s">
        <v>74</v>
      </c>
      <c r="U1075" s="2" t="s">
        <v>74</v>
      </c>
      <c r="V1075" s="5" t="s">
        <v>8536</v>
      </c>
      <c r="W1075" s="2" t="s">
        <v>74</v>
      </c>
      <c r="X1075" s="2" t="s">
        <v>74</v>
      </c>
      <c r="Y1075" s="2" t="s">
        <v>74</v>
      </c>
      <c r="Z1075" s="2" t="s">
        <v>74</v>
      </c>
      <c r="AA1075" s="2" t="s">
        <v>74</v>
      </c>
      <c r="AB1075" s="2" t="s">
        <v>74</v>
      </c>
      <c r="AC1075" s="2" t="s">
        <v>74</v>
      </c>
      <c r="AD1075" s="2" t="s">
        <v>74</v>
      </c>
      <c r="AE1075" s="2" t="s">
        <v>74</v>
      </c>
      <c r="AF1075" s="2" t="s">
        <v>74</v>
      </c>
      <c r="AG1075" s="2" t="s">
        <v>74</v>
      </c>
      <c r="AH1075" s="2" t="s">
        <v>74</v>
      </c>
      <c r="AI1075" s="2" t="s">
        <v>74</v>
      </c>
      <c r="AJ1075" s="2" t="s">
        <v>74</v>
      </c>
      <c r="AK1075" s="2" t="s">
        <v>74</v>
      </c>
      <c r="AL1075" s="2" t="s">
        <v>74</v>
      </c>
      <c r="AM1075" s="2" t="s">
        <v>74</v>
      </c>
      <c r="AN1075" s="2" t="s">
        <v>74</v>
      </c>
      <c r="AO1075" s="2" t="s">
        <v>81</v>
      </c>
      <c r="AP1075" s="2" t="s">
        <v>82</v>
      </c>
      <c r="AQ1075" s="2" t="s">
        <v>74</v>
      </c>
      <c r="AR1075" s="2" t="s">
        <v>74</v>
      </c>
      <c r="AS1075" s="2" t="s">
        <v>74</v>
      </c>
      <c r="AT1075" s="2" t="s">
        <v>305</v>
      </c>
      <c r="AU1075" s="2">
        <v>1993</v>
      </c>
      <c r="AV1075" s="2">
        <v>127</v>
      </c>
      <c r="AW1075" s="2" t="s">
        <v>74</v>
      </c>
      <c r="AX1075" s="2" t="s">
        <v>1276</v>
      </c>
      <c r="AY1075" s="2" t="s">
        <v>74</v>
      </c>
      <c r="AZ1075" s="2" t="s">
        <v>74</v>
      </c>
      <c r="BA1075" s="2" t="s">
        <v>74</v>
      </c>
      <c r="BB1075" s="2">
        <v>247</v>
      </c>
      <c r="BC1075" s="2">
        <v>263</v>
      </c>
      <c r="BD1075" s="2" t="s">
        <v>74</v>
      </c>
      <c r="BE1075" s="2" t="s">
        <v>8537</v>
      </c>
      <c r="BF1075" s="2" t="str">
        <f>HYPERLINK("http://dx.doi.org/10.1163/156853993X00047","http://dx.doi.org/10.1163/156853993X00047")</f>
        <v>http://dx.doi.org/10.1163/156853993X00047</v>
      </c>
      <c r="BG1075" s="2" t="s">
        <v>74</v>
      </c>
      <c r="BH1075" s="2" t="s">
        <v>74</v>
      </c>
      <c r="BI1075" s="2" t="s">
        <v>74</v>
      </c>
      <c r="BJ1075" s="2" t="s">
        <v>74</v>
      </c>
      <c r="BK1075" s="2" t="s">
        <v>74</v>
      </c>
      <c r="BL1075" s="2" t="s">
        <v>74</v>
      </c>
      <c r="BM1075" s="2" t="s">
        <v>74</v>
      </c>
      <c r="BN1075" s="2" t="s">
        <v>74</v>
      </c>
      <c r="BO1075" s="2" t="s">
        <v>74</v>
      </c>
      <c r="BP1075" s="2" t="s">
        <v>74</v>
      </c>
      <c r="BQ1075" s="2" t="s">
        <v>74</v>
      </c>
      <c r="BR1075" s="2" t="s">
        <v>74</v>
      </c>
      <c r="BS1075" s="2" t="s">
        <v>8538</v>
      </c>
      <c r="BT1075" s="2" t="str">
        <f>HYPERLINK("https%3A%2F%2Fwww.webofscience.com%2Fwos%2Fwoscc%2Ffull-record%2FWOS:A1993NH18400004","View Full Record in Web of Science")</f>
        <v>View Full Record in Web of Science</v>
      </c>
    </row>
    <row r="1076" spans="1:72" s="2" customFormat="1" x14ac:dyDescent="0.4">
      <c r="A1076" s="2" t="s">
        <v>72</v>
      </c>
      <c r="B1076" s="2" t="s">
        <v>5169</v>
      </c>
      <c r="C1076" s="2" t="s">
        <v>74</v>
      </c>
      <c r="D1076" s="2" t="s">
        <v>74</v>
      </c>
      <c r="E1076" s="2" t="s">
        <v>74</v>
      </c>
      <c r="F1076" s="2" t="s">
        <v>5170</v>
      </c>
      <c r="G1076" s="2" t="s">
        <v>74</v>
      </c>
      <c r="H1076" s="2" t="s">
        <v>74</v>
      </c>
      <c r="I1076" s="2" t="s">
        <v>5171</v>
      </c>
      <c r="J1076" s="2" t="s">
        <v>1803</v>
      </c>
      <c r="K1076" s="2" t="s">
        <v>74</v>
      </c>
      <c r="L1076" s="2" t="s">
        <v>74</v>
      </c>
      <c r="M1076" s="2" t="s">
        <v>74</v>
      </c>
      <c r="N1076" s="2" t="s">
        <v>74</v>
      </c>
      <c r="O1076" s="2" t="s">
        <v>74</v>
      </c>
      <c r="P1076" s="2" t="s">
        <v>74</v>
      </c>
      <c r="Q1076" s="2" t="s">
        <v>74</v>
      </c>
      <c r="R1076" s="2" t="s">
        <v>74</v>
      </c>
      <c r="S1076" s="2" t="s">
        <v>74</v>
      </c>
      <c r="T1076" s="2" t="s">
        <v>74</v>
      </c>
      <c r="U1076" s="2" t="s">
        <v>74</v>
      </c>
      <c r="V1076" s="5" t="s">
        <v>5172</v>
      </c>
      <c r="W1076" s="2" t="s">
        <v>74</v>
      </c>
      <c r="X1076" s="2" t="s">
        <v>74</v>
      </c>
      <c r="Y1076" s="2" t="s">
        <v>74</v>
      </c>
      <c r="Z1076" s="2" t="s">
        <v>74</v>
      </c>
      <c r="AA1076" s="2" t="s">
        <v>5173</v>
      </c>
      <c r="AB1076" s="2" t="s">
        <v>5174</v>
      </c>
      <c r="AC1076" s="2" t="s">
        <v>74</v>
      </c>
      <c r="AD1076" s="2" t="s">
        <v>74</v>
      </c>
      <c r="AE1076" s="2" t="s">
        <v>74</v>
      </c>
      <c r="AF1076" s="2" t="s">
        <v>74</v>
      </c>
      <c r="AG1076" s="2" t="s">
        <v>74</v>
      </c>
      <c r="AH1076" s="2" t="s">
        <v>74</v>
      </c>
      <c r="AI1076" s="2" t="s">
        <v>74</v>
      </c>
      <c r="AJ1076" s="2" t="s">
        <v>74</v>
      </c>
      <c r="AK1076" s="2" t="s">
        <v>74</v>
      </c>
      <c r="AL1076" s="2" t="s">
        <v>74</v>
      </c>
      <c r="AM1076" s="2" t="s">
        <v>74</v>
      </c>
      <c r="AN1076" s="2" t="s">
        <v>74</v>
      </c>
      <c r="AO1076" s="2" t="s">
        <v>1807</v>
      </c>
      <c r="AP1076" s="2" t="s">
        <v>1808</v>
      </c>
      <c r="AQ1076" s="2" t="s">
        <v>74</v>
      </c>
      <c r="AR1076" s="2" t="s">
        <v>74</v>
      </c>
      <c r="AS1076" s="2" t="s">
        <v>74</v>
      </c>
      <c r="AT1076" s="2" t="s">
        <v>633</v>
      </c>
      <c r="AU1076" s="2">
        <v>2010</v>
      </c>
      <c r="AV1076" s="2">
        <v>24</v>
      </c>
      <c r="AW1076" s="2">
        <v>2</v>
      </c>
      <c r="AX1076" s="2" t="s">
        <v>74</v>
      </c>
      <c r="AY1076" s="2" t="s">
        <v>74</v>
      </c>
      <c r="AZ1076" s="2" t="s">
        <v>74</v>
      </c>
      <c r="BA1076" s="2" t="s">
        <v>74</v>
      </c>
      <c r="BB1076" s="2">
        <v>417</v>
      </c>
      <c r="BC1076" s="2">
        <v>425</v>
      </c>
      <c r="BD1076" s="2" t="s">
        <v>74</v>
      </c>
      <c r="BE1076" s="2" t="s">
        <v>5175</v>
      </c>
      <c r="BF1076" s="2" t="str">
        <f>HYPERLINK("http://dx.doi.org/10.1111/j.1365-2435.2009.01660.x","http://dx.doi.org/10.1111/j.1365-2435.2009.01660.x")</f>
        <v>http://dx.doi.org/10.1111/j.1365-2435.2009.01660.x</v>
      </c>
      <c r="BG1076" s="2" t="s">
        <v>74</v>
      </c>
      <c r="BH1076" s="2" t="s">
        <v>74</v>
      </c>
      <c r="BI1076" s="2" t="s">
        <v>74</v>
      </c>
      <c r="BJ1076" s="2" t="s">
        <v>74</v>
      </c>
      <c r="BK1076" s="2" t="s">
        <v>74</v>
      </c>
      <c r="BL1076" s="2" t="s">
        <v>74</v>
      </c>
      <c r="BM1076" s="2" t="s">
        <v>74</v>
      </c>
      <c r="BN1076" s="2" t="s">
        <v>74</v>
      </c>
      <c r="BO1076" s="2" t="s">
        <v>74</v>
      </c>
      <c r="BP1076" s="2" t="s">
        <v>74</v>
      </c>
      <c r="BQ1076" s="2" t="s">
        <v>74</v>
      </c>
      <c r="BR1076" s="2" t="s">
        <v>74</v>
      </c>
      <c r="BS1076" s="2" t="s">
        <v>5176</v>
      </c>
      <c r="BT1076" s="2" t="str">
        <f>HYPERLINK("https%3A%2F%2Fwww.webofscience.com%2Fwos%2Fwoscc%2Ffull-record%2FWOS:000274952600020","View Full Record in Web of Science")</f>
        <v>View Full Record in Web of Science</v>
      </c>
    </row>
    <row r="1077" spans="1:72" s="2" customFormat="1" x14ac:dyDescent="0.4">
      <c r="A1077" s="2" t="s">
        <v>72</v>
      </c>
      <c r="B1077" s="2" t="s">
        <v>7937</v>
      </c>
      <c r="C1077" s="2" t="s">
        <v>74</v>
      </c>
      <c r="D1077" s="2" t="s">
        <v>74</v>
      </c>
      <c r="E1077" s="2" t="s">
        <v>74</v>
      </c>
      <c r="F1077" s="2" t="s">
        <v>7937</v>
      </c>
      <c r="G1077" s="2" t="s">
        <v>74</v>
      </c>
      <c r="H1077" s="2" t="s">
        <v>74</v>
      </c>
      <c r="I1077" s="2" t="s">
        <v>7938</v>
      </c>
      <c r="J1077" s="2" t="s">
        <v>129</v>
      </c>
      <c r="K1077" s="2" t="s">
        <v>74</v>
      </c>
      <c r="L1077" s="2" t="s">
        <v>74</v>
      </c>
      <c r="M1077" s="2" t="s">
        <v>74</v>
      </c>
      <c r="N1077" s="2" t="s">
        <v>74</v>
      </c>
      <c r="O1077" s="2" t="s">
        <v>74</v>
      </c>
      <c r="P1077" s="2" t="s">
        <v>74</v>
      </c>
      <c r="Q1077" s="2" t="s">
        <v>74</v>
      </c>
      <c r="R1077" s="2" t="s">
        <v>74</v>
      </c>
      <c r="S1077" s="2" t="s">
        <v>74</v>
      </c>
      <c r="T1077" s="2" t="s">
        <v>74</v>
      </c>
      <c r="U1077" s="2" t="s">
        <v>74</v>
      </c>
      <c r="V1077" s="5" t="s">
        <v>7939</v>
      </c>
      <c r="W1077" s="2" t="s">
        <v>74</v>
      </c>
      <c r="X1077" s="2" t="s">
        <v>74</v>
      </c>
      <c r="Y1077" s="2" t="s">
        <v>74</v>
      </c>
      <c r="Z1077" s="2" t="s">
        <v>74</v>
      </c>
      <c r="AA1077" s="2" t="s">
        <v>7940</v>
      </c>
      <c r="AB1077" s="2" t="s">
        <v>74</v>
      </c>
      <c r="AC1077" s="2" t="s">
        <v>74</v>
      </c>
      <c r="AD1077" s="2" t="s">
        <v>74</v>
      </c>
      <c r="AE1077" s="2" t="s">
        <v>74</v>
      </c>
      <c r="AF1077" s="2" t="s">
        <v>74</v>
      </c>
      <c r="AG1077" s="2" t="s">
        <v>74</v>
      </c>
      <c r="AH1077" s="2" t="s">
        <v>74</v>
      </c>
      <c r="AI1077" s="2" t="s">
        <v>74</v>
      </c>
      <c r="AJ1077" s="2" t="s">
        <v>74</v>
      </c>
      <c r="AK1077" s="2" t="s">
        <v>74</v>
      </c>
      <c r="AL1077" s="2" t="s">
        <v>74</v>
      </c>
      <c r="AM1077" s="2" t="s">
        <v>74</v>
      </c>
      <c r="AN1077" s="2" t="s">
        <v>74</v>
      </c>
      <c r="AO1077" s="2" t="s">
        <v>132</v>
      </c>
      <c r="AP1077" s="2" t="s">
        <v>133</v>
      </c>
      <c r="AQ1077" s="2" t="s">
        <v>74</v>
      </c>
      <c r="AR1077" s="2" t="s">
        <v>74</v>
      </c>
      <c r="AS1077" s="2" t="s">
        <v>74</v>
      </c>
      <c r="AT1077" s="2" t="s">
        <v>213</v>
      </c>
      <c r="AU1077" s="2">
        <v>1996</v>
      </c>
      <c r="AV1077" s="2">
        <v>39</v>
      </c>
      <c r="AW1077" s="2">
        <v>5</v>
      </c>
      <c r="AX1077" s="2" t="s">
        <v>74</v>
      </c>
      <c r="AY1077" s="2" t="s">
        <v>74</v>
      </c>
      <c r="AZ1077" s="2" t="s">
        <v>74</v>
      </c>
      <c r="BA1077" s="2" t="s">
        <v>74</v>
      </c>
      <c r="BB1077" s="2">
        <v>345</v>
      </c>
      <c r="BC1077" s="2">
        <v>352</v>
      </c>
      <c r="BD1077" s="2" t="s">
        <v>74</v>
      </c>
      <c r="BE1077" s="2" t="s">
        <v>7941</v>
      </c>
      <c r="BF1077" s="2" t="str">
        <f>HYPERLINK("http://dx.doi.org/10.1007/s002650050299","http://dx.doi.org/10.1007/s002650050299")</f>
        <v>http://dx.doi.org/10.1007/s002650050299</v>
      </c>
      <c r="BG1077" s="2" t="s">
        <v>74</v>
      </c>
      <c r="BH1077" s="2" t="s">
        <v>74</v>
      </c>
      <c r="BI1077" s="2" t="s">
        <v>74</v>
      </c>
      <c r="BJ1077" s="2" t="s">
        <v>74</v>
      </c>
      <c r="BK1077" s="2" t="s">
        <v>74</v>
      </c>
      <c r="BL1077" s="2" t="s">
        <v>74</v>
      </c>
      <c r="BM1077" s="2" t="s">
        <v>74</v>
      </c>
      <c r="BN1077" s="2" t="s">
        <v>74</v>
      </c>
      <c r="BO1077" s="2" t="s">
        <v>74</v>
      </c>
      <c r="BP1077" s="2" t="s">
        <v>74</v>
      </c>
      <c r="BQ1077" s="2" t="s">
        <v>74</v>
      </c>
      <c r="BR1077" s="2" t="s">
        <v>74</v>
      </c>
      <c r="BS1077" s="2" t="s">
        <v>7942</v>
      </c>
      <c r="BT1077" s="2" t="str">
        <f>HYPERLINK("https%3A%2F%2Fwww.webofscience.com%2Fwos%2Fwoscc%2Ffull-record%2FWOS:A1996VW21300009","View Full Record in Web of Science")</f>
        <v>View Full Record in Web of Science</v>
      </c>
    </row>
    <row r="1078" spans="1:72" s="2" customFormat="1" x14ac:dyDescent="0.4">
      <c r="A1078" s="2" t="s">
        <v>72</v>
      </c>
      <c r="B1078" s="2" t="s">
        <v>8557</v>
      </c>
      <c r="C1078" s="2" t="s">
        <v>74</v>
      </c>
      <c r="D1078" s="2" t="s">
        <v>74</v>
      </c>
      <c r="E1078" s="2" t="s">
        <v>74</v>
      </c>
      <c r="F1078" s="2" t="s">
        <v>8557</v>
      </c>
      <c r="G1078" s="2" t="s">
        <v>74</v>
      </c>
      <c r="H1078" s="2" t="s">
        <v>74</v>
      </c>
      <c r="I1078" s="2" t="s">
        <v>8558</v>
      </c>
      <c r="J1078" s="2" t="s">
        <v>129</v>
      </c>
      <c r="K1078" s="2" t="s">
        <v>74</v>
      </c>
      <c r="L1078" s="2" t="s">
        <v>74</v>
      </c>
      <c r="M1078" s="2" t="s">
        <v>74</v>
      </c>
      <c r="N1078" s="2" t="s">
        <v>74</v>
      </c>
      <c r="O1078" s="2" t="s">
        <v>74</v>
      </c>
      <c r="P1078" s="2" t="s">
        <v>74</v>
      </c>
      <c r="Q1078" s="2" t="s">
        <v>74</v>
      </c>
      <c r="R1078" s="2" t="s">
        <v>74</v>
      </c>
      <c r="S1078" s="2" t="s">
        <v>74</v>
      </c>
      <c r="T1078" s="2" t="s">
        <v>74</v>
      </c>
      <c r="U1078" s="2" t="s">
        <v>74</v>
      </c>
      <c r="V1078" s="5" t="s">
        <v>8559</v>
      </c>
      <c r="W1078" s="2" t="s">
        <v>74</v>
      </c>
      <c r="X1078" s="2" t="s">
        <v>74</v>
      </c>
      <c r="Y1078" s="2" t="s">
        <v>74</v>
      </c>
      <c r="Z1078" s="2" t="s">
        <v>74</v>
      </c>
      <c r="AA1078" s="2" t="s">
        <v>8560</v>
      </c>
      <c r="AB1078" s="2" t="s">
        <v>1934</v>
      </c>
      <c r="AC1078" s="2" t="s">
        <v>74</v>
      </c>
      <c r="AD1078" s="2" t="s">
        <v>74</v>
      </c>
      <c r="AE1078" s="2" t="s">
        <v>74</v>
      </c>
      <c r="AF1078" s="2" t="s">
        <v>74</v>
      </c>
      <c r="AG1078" s="2" t="s">
        <v>74</v>
      </c>
      <c r="AH1078" s="2" t="s">
        <v>74</v>
      </c>
      <c r="AI1078" s="2" t="s">
        <v>74</v>
      </c>
      <c r="AJ1078" s="2" t="s">
        <v>74</v>
      </c>
      <c r="AK1078" s="2" t="s">
        <v>74</v>
      </c>
      <c r="AL1078" s="2" t="s">
        <v>74</v>
      </c>
      <c r="AM1078" s="2" t="s">
        <v>74</v>
      </c>
      <c r="AN1078" s="2" t="s">
        <v>74</v>
      </c>
      <c r="AO1078" s="2" t="s">
        <v>132</v>
      </c>
      <c r="AP1078" s="2" t="s">
        <v>133</v>
      </c>
      <c r="AQ1078" s="2" t="s">
        <v>74</v>
      </c>
      <c r="AR1078" s="2" t="s">
        <v>74</v>
      </c>
      <c r="AS1078" s="2" t="s">
        <v>74</v>
      </c>
      <c r="AT1078" s="2" t="s">
        <v>352</v>
      </c>
      <c r="AU1078" s="2">
        <v>1997</v>
      </c>
      <c r="AV1078" s="2">
        <v>41</v>
      </c>
      <c r="AW1078" s="2">
        <v>3</v>
      </c>
      <c r="AX1078" s="2" t="s">
        <v>74</v>
      </c>
      <c r="AY1078" s="2" t="s">
        <v>74</v>
      </c>
      <c r="AZ1078" s="2" t="s">
        <v>74</v>
      </c>
      <c r="BA1078" s="2" t="s">
        <v>74</v>
      </c>
      <c r="BB1078" s="2">
        <v>171</v>
      </c>
      <c r="BC1078" s="2">
        <v>176</v>
      </c>
      <c r="BD1078" s="2" t="s">
        <v>74</v>
      </c>
      <c r="BE1078" s="2" t="s">
        <v>8561</v>
      </c>
      <c r="BF1078" s="2" t="str">
        <f>HYPERLINK("http://dx.doi.org/10.1007/s002650050376","http://dx.doi.org/10.1007/s002650050376")</f>
        <v>http://dx.doi.org/10.1007/s002650050376</v>
      </c>
      <c r="BG1078" s="2" t="s">
        <v>74</v>
      </c>
      <c r="BH1078" s="2" t="s">
        <v>74</v>
      </c>
      <c r="BI1078" s="2" t="s">
        <v>74</v>
      </c>
      <c r="BJ1078" s="2" t="s">
        <v>74</v>
      </c>
      <c r="BK1078" s="2" t="s">
        <v>74</v>
      </c>
      <c r="BL1078" s="2" t="s">
        <v>74</v>
      </c>
      <c r="BM1078" s="2" t="s">
        <v>74</v>
      </c>
      <c r="BN1078" s="2" t="s">
        <v>74</v>
      </c>
      <c r="BO1078" s="2" t="s">
        <v>74</v>
      </c>
      <c r="BP1078" s="2" t="s">
        <v>74</v>
      </c>
      <c r="BQ1078" s="2" t="s">
        <v>74</v>
      </c>
      <c r="BR1078" s="2" t="s">
        <v>74</v>
      </c>
      <c r="BS1078" s="2" t="s">
        <v>8562</v>
      </c>
      <c r="BT1078" s="2" t="str">
        <f>HYPERLINK("https%3A%2F%2Fwww.webofscience.com%2Fwos%2Fwoscc%2Ffull-record%2FWOS:A1997XY71100004","View Full Record in Web of Science")</f>
        <v>View Full Record in Web of Science</v>
      </c>
    </row>
    <row r="1079" spans="1:72" s="2" customFormat="1" x14ac:dyDescent="0.4">
      <c r="A1079" s="2" t="s">
        <v>72</v>
      </c>
      <c r="B1079" s="2" t="s">
        <v>8201</v>
      </c>
      <c r="C1079" s="2" t="s">
        <v>74</v>
      </c>
      <c r="D1079" s="2" t="s">
        <v>74</v>
      </c>
      <c r="E1079" s="2" t="s">
        <v>74</v>
      </c>
      <c r="F1079" s="2" t="s">
        <v>8202</v>
      </c>
      <c r="G1079" s="2" t="s">
        <v>74</v>
      </c>
      <c r="H1079" s="2" t="s">
        <v>74</v>
      </c>
      <c r="I1079" s="2" t="s">
        <v>8203</v>
      </c>
      <c r="J1079" s="2" t="s">
        <v>775</v>
      </c>
      <c r="K1079" s="2" t="s">
        <v>74</v>
      </c>
      <c r="L1079" s="2" t="s">
        <v>74</v>
      </c>
      <c r="M1079" s="2" t="s">
        <v>74</v>
      </c>
      <c r="N1079" s="2" t="s">
        <v>74</v>
      </c>
      <c r="O1079" s="2" t="s">
        <v>74</v>
      </c>
      <c r="P1079" s="2" t="s">
        <v>74</v>
      </c>
      <c r="Q1079" s="2" t="s">
        <v>74</v>
      </c>
      <c r="R1079" s="2" t="s">
        <v>74</v>
      </c>
      <c r="S1079" s="2" t="s">
        <v>74</v>
      </c>
      <c r="T1079" s="2" t="s">
        <v>74</v>
      </c>
      <c r="U1079" s="2" t="s">
        <v>74</v>
      </c>
      <c r="V1079" s="5" t="s">
        <v>8204</v>
      </c>
      <c r="W1079" s="2" t="s">
        <v>74</v>
      </c>
      <c r="X1079" s="2" t="s">
        <v>74</v>
      </c>
      <c r="Y1079" s="2" t="s">
        <v>74</v>
      </c>
      <c r="Z1079" s="2" t="s">
        <v>74</v>
      </c>
      <c r="AA1079" s="2" t="s">
        <v>8205</v>
      </c>
      <c r="AB1079" s="2" t="s">
        <v>8206</v>
      </c>
      <c r="AC1079" s="2" t="s">
        <v>74</v>
      </c>
      <c r="AD1079" s="2" t="s">
        <v>74</v>
      </c>
      <c r="AE1079" s="2" t="s">
        <v>74</v>
      </c>
      <c r="AF1079" s="2" t="s">
        <v>74</v>
      </c>
      <c r="AG1079" s="2" t="s">
        <v>74</v>
      </c>
      <c r="AH1079" s="2" t="s">
        <v>74</v>
      </c>
      <c r="AI1079" s="2" t="s">
        <v>74</v>
      </c>
      <c r="AJ1079" s="2" t="s">
        <v>74</v>
      </c>
      <c r="AK1079" s="2" t="s">
        <v>74</v>
      </c>
      <c r="AL1079" s="2" t="s">
        <v>74</v>
      </c>
      <c r="AM1079" s="2" t="s">
        <v>74</v>
      </c>
      <c r="AN1079" s="2" t="s">
        <v>74</v>
      </c>
      <c r="AO1079" s="2" t="s">
        <v>778</v>
      </c>
      <c r="AP1079" s="2" t="s">
        <v>74</v>
      </c>
      <c r="AQ1079" s="2" t="s">
        <v>74</v>
      </c>
      <c r="AR1079" s="2" t="s">
        <v>74</v>
      </c>
      <c r="AS1079" s="2" t="s">
        <v>74</v>
      </c>
      <c r="AT1079" s="2" t="s">
        <v>74</v>
      </c>
      <c r="AU1079" s="2">
        <v>2011</v>
      </c>
      <c r="AV1079" s="2">
        <v>57</v>
      </c>
      <c r="AW1079" s="2">
        <v>2</v>
      </c>
      <c r="AX1079" s="2" t="s">
        <v>74</v>
      </c>
      <c r="AY1079" s="2" t="s">
        <v>74</v>
      </c>
      <c r="AZ1079" s="2" t="s">
        <v>74</v>
      </c>
      <c r="BA1079" s="2" t="s">
        <v>74</v>
      </c>
      <c r="BB1079" s="2">
        <v>162</v>
      </c>
      <c r="BC1079" s="2">
        <v>174</v>
      </c>
      <c r="BD1079" s="2" t="s">
        <v>74</v>
      </c>
      <c r="BE1079" s="2" t="s">
        <v>8207</v>
      </c>
      <c r="BF1079" s="2" t="str">
        <f>HYPERLINK("http://dx.doi.org/10.1093/czoolo/57.2.162","http://dx.doi.org/10.1093/czoolo/57.2.162")</f>
        <v>http://dx.doi.org/10.1093/czoolo/57.2.162</v>
      </c>
      <c r="BG1079" s="2" t="s">
        <v>74</v>
      </c>
      <c r="BH1079" s="2" t="s">
        <v>74</v>
      </c>
      <c r="BI1079" s="2" t="s">
        <v>74</v>
      </c>
      <c r="BJ1079" s="2" t="s">
        <v>74</v>
      </c>
      <c r="BK1079" s="2" t="s">
        <v>74</v>
      </c>
      <c r="BL1079" s="2" t="s">
        <v>74</v>
      </c>
      <c r="BM1079" s="2" t="s">
        <v>74</v>
      </c>
      <c r="BN1079" s="2" t="s">
        <v>74</v>
      </c>
      <c r="BO1079" s="2" t="s">
        <v>74</v>
      </c>
      <c r="BP1079" s="2" t="s">
        <v>74</v>
      </c>
      <c r="BQ1079" s="2" t="s">
        <v>74</v>
      </c>
      <c r="BR1079" s="2" t="s">
        <v>74</v>
      </c>
      <c r="BS1079" s="2" t="s">
        <v>8208</v>
      </c>
      <c r="BT1079" s="2" t="str">
        <f>HYPERLINK("https%3A%2F%2Fwww.webofscience.com%2Fwos%2Fwoscc%2Ffull-record%2FWOS:000288848200005","View Full Record in Web of Science")</f>
        <v>View Full Record in Web of Science</v>
      </c>
    </row>
    <row r="1080" spans="1:72" s="2" customFormat="1" x14ac:dyDescent="0.4">
      <c r="A1080" s="2" t="s">
        <v>72</v>
      </c>
      <c r="B1080" s="2" t="s">
        <v>5512</v>
      </c>
      <c r="C1080" s="2" t="s">
        <v>74</v>
      </c>
      <c r="D1080" s="2" t="s">
        <v>74</v>
      </c>
      <c r="E1080" s="2" t="s">
        <v>74</v>
      </c>
      <c r="F1080" s="2" t="s">
        <v>5513</v>
      </c>
      <c r="G1080" s="2" t="s">
        <v>74</v>
      </c>
      <c r="H1080" s="2" t="s">
        <v>74</v>
      </c>
      <c r="I1080" s="2" t="s">
        <v>5514</v>
      </c>
      <c r="J1080" s="2" t="s">
        <v>140</v>
      </c>
      <c r="K1080" s="2" t="s">
        <v>74</v>
      </c>
      <c r="L1080" s="2" t="s">
        <v>74</v>
      </c>
      <c r="M1080" s="2" t="s">
        <v>74</v>
      </c>
      <c r="N1080" s="2" t="s">
        <v>74</v>
      </c>
      <c r="O1080" s="2" t="s">
        <v>74</v>
      </c>
      <c r="P1080" s="2" t="s">
        <v>74</v>
      </c>
      <c r="Q1080" s="2" t="s">
        <v>74</v>
      </c>
      <c r="R1080" s="2" t="s">
        <v>74</v>
      </c>
      <c r="S1080" s="2" t="s">
        <v>74</v>
      </c>
      <c r="T1080" s="2" t="s">
        <v>74</v>
      </c>
      <c r="U1080" s="2" t="s">
        <v>74</v>
      </c>
      <c r="V1080" s="5" t="s">
        <v>5515</v>
      </c>
      <c r="W1080" s="2" t="s">
        <v>74</v>
      </c>
      <c r="X1080" s="2" t="s">
        <v>74</v>
      </c>
      <c r="Y1080" s="2" t="s">
        <v>74</v>
      </c>
      <c r="Z1080" s="2" t="s">
        <v>74</v>
      </c>
      <c r="AA1080" s="2" t="s">
        <v>5516</v>
      </c>
      <c r="AB1080" s="2" t="s">
        <v>5517</v>
      </c>
      <c r="AC1080" s="2" t="s">
        <v>74</v>
      </c>
      <c r="AD1080" s="2" t="s">
        <v>74</v>
      </c>
      <c r="AE1080" s="2" t="s">
        <v>74</v>
      </c>
      <c r="AF1080" s="2" t="s">
        <v>74</v>
      </c>
      <c r="AG1080" s="2" t="s">
        <v>74</v>
      </c>
      <c r="AH1080" s="2" t="s">
        <v>74</v>
      </c>
      <c r="AI1080" s="2" t="s">
        <v>74</v>
      </c>
      <c r="AJ1080" s="2" t="s">
        <v>74</v>
      </c>
      <c r="AK1080" s="2" t="s">
        <v>74</v>
      </c>
      <c r="AL1080" s="2" t="s">
        <v>74</v>
      </c>
      <c r="AM1080" s="2" t="s">
        <v>74</v>
      </c>
      <c r="AN1080" s="2" t="s">
        <v>74</v>
      </c>
      <c r="AO1080" s="2" t="s">
        <v>143</v>
      </c>
      <c r="AP1080" s="2" t="s">
        <v>144</v>
      </c>
      <c r="AQ1080" s="2" t="s">
        <v>74</v>
      </c>
      <c r="AR1080" s="2" t="s">
        <v>74</v>
      </c>
      <c r="AS1080" s="2" t="s">
        <v>74</v>
      </c>
      <c r="AT1080" s="2" t="s">
        <v>305</v>
      </c>
      <c r="AU1080" s="2">
        <v>2023</v>
      </c>
      <c r="AV1080" s="2">
        <v>206</v>
      </c>
      <c r="AW1080" s="2" t="s">
        <v>74</v>
      </c>
      <c r="AX1080" s="2" t="s">
        <v>74</v>
      </c>
      <c r="AY1080" s="2" t="s">
        <v>74</v>
      </c>
      <c r="AZ1080" s="2" t="s">
        <v>74</v>
      </c>
      <c r="BA1080" s="2" t="s">
        <v>74</v>
      </c>
      <c r="BB1080" s="2">
        <v>99</v>
      </c>
      <c r="BC1080" s="2">
        <v>123</v>
      </c>
      <c r="BD1080" s="2" t="s">
        <v>74</v>
      </c>
      <c r="BE1080" s="2" t="s">
        <v>5518</v>
      </c>
      <c r="BF1080" s="2" t="str">
        <f>HYPERLINK("http://dx.doi.org/10.1016/j.anbehav.2023.09.013","http://dx.doi.org/10.1016/j.anbehav.2023.09.013")</f>
        <v>http://dx.doi.org/10.1016/j.anbehav.2023.09.013</v>
      </c>
      <c r="BG1080" s="2" t="s">
        <v>74</v>
      </c>
      <c r="BH1080" s="2" t="s">
        <v>5519</v>
      </c>
      <c r="BI1080" s="2" t="s">
        <v>74</v>
      </c>
      <c r="BJ1080" s="2" t="s">
        <v>74</v>
      </c>
      <c r="BK1080" s="2" t="s">
        <v>74</v>
      </c>
      <c r="BL1080" s="2" t="s">
        <v>74</v>
      </c>
      <c r="BM1080" s="2" t="s">
        <v>74</v>
      </c>
      <c r="BN1080" s="2" t="s">
        <v>74</v>
      </c>
      <c r="BO1080" s="2" t="s">
        <v>74</v>
      </c>
      <c r="BP1080" s="2" t="s">
        <v>74</v>
      </c>
      <c r="BQ1080" s="2" t="s">
        <v>74</v>
      </c>
      <c r="BR1080" s="2" t="s">
        <v>74</v>
      </c>
      <c r="BS1080" s="2" t="s">
        <v>5520</v>
      </c>
      <c r="BT1080" s="2" t="str">
        <f>HYPERLINK("https%3A%2F%2Fwww.webofscience.com%2Fwos%2Fwoscc%2Ffull-record%2FWOS:001113029100001","View Full Record in Web of Science")</f>
        <v>View Full Record in Web of Science</v>
      </c>
    </row>
    <row r="1081" spans="1:72" s="2" customFormat="1" x14ac:dyDescent="0.4">
      <c r="A1081" s="2" t="s">
        <v>72</v>
      </c>
      <c r="B1081" s="2" t="s">
        <v>2316</v>
      </c>
      <c r="C1081" s="2" t="s">
        <v>74</v>
      </c>
      <c r="D1081" s="2" t="s">
        <v>74</v>
      </c>
      <c r="E1081" s="2" t="s">
        <v>74</v>
      </c>
      <c r="F1081" s="2" t="s">
        <v>2316</v>
      </c>
      <c r="G1081" s="2" t="s">
        <v>74</v>
      </c>
      <c r="H1081" s="2" t="s">
        <v>74</v>
      </c>
      <c r="I1081" s="2" t="s">
        <v>2317</v>
      </c>
      <c r="J1081" s="2" t="s">
        <v>2207</v>
      </c>
      <c r="K1081" s="2" t="s">
        <v>74</v>
      </c>
      <c r="L1081" s="2" t="s">
        <v>74</v>
      </c>
      <c r="M1081" s="2" t="s">
        <v>74</v>
      </c>
      <c r="N1081" s="2" t="s">
        <v>74</v>
      </c>
      <c r="O1081" s="2" t="s">
        <v>74</v>
      </c>
      <c r="P1081" s="2" t="s">
        <v>74</v>
      </c>
      <c r="Q1081" s="2" t="s">
        <v>74</v>
      </c>
      <c r="R1081" s="2" t="s">
        <v>74</v>
      </c>
      <c r="S1081" s="2" t="s">
        <v>74</v>
      </c>
      <c r="T1081" s="2" t="s">
        <v>74</v>
      </c>
      <c r="U1081" s="2" t="s">
        <v>74</v>
      </c>
      <c r="V1081" s="5" t="s">
        <v>2318</v>
      </c>
      <c r="W1081" s="2" t="s">
        <v>74</v>
      </c>
      <c r="X1081" s="2" t="s">
        <v>74</v>
      </c>
      <c r="Y1081" s="2" t="s">
        <v>74</v>
      </c>
      <c r="Z1081" s="2" t="s">
        <v>74</v>
      </c>
      <c r="AA1081" s="2" t="s">
        <v>74</v>
      </c>
      <c r="AB1081" s="2" t="s">
        <v>74</v>
      </c>
      <c r="AC1081" s="2" t="s">
        <v>74</v>
      </c>
      <c r="AD1081" s="2" t="s">
        <v>74</v>
      </c>
      <c r="AE1081" s="2" t="s">
        <v>74</v>
      </c>
      <c r="AF1081" s="2" t="s">
        <v>74</v>
      </c>
      <c r="AG1081" s="2" t="s">
        <v>74</v>
      </c>
      <c r="AH1081" s="2" t="s">
        <v>74</v>
      </c>
      <c r="AI1081" s="2" t="s">
        <v>74</v>
      </c>
      <c r="AJ1081" s="2" t="s">
        <v>74</v>
      </c>
      <c r="AK1081" s="2" t="s">
        <v>74</v>
      </c>
      <c r="AL1081" s="2" t="s">
        <v>74</v>
      </c>
      <c r="AM1081" s="2" t="s">
        <v>74</v>
      </c>
      <c r="AN1081" s="2" t="s">
        <v>74</v>
      </c>
      <c r="AO1081" s="2" t="s">
        <v>2211</v>
      </c>
      <c r="AP1081" s="2" t="s">
        <v>74</v>
      </c>
      <c r="AQ1081" s="2" t="s">
        <v>74</v>
      </c>
      <c r="AR1081" s="2" t="s">
        <v>74</v>
      </c>
      <c r="AS1081" s="2" t="s">
        <v>74</v>
      </c>
      <c r="AT1081" s="2" t="s">
        <v>352</v>
      </c>
      <c r="AU1081" s="2">
        <v>1996</v>
      </c>
      <c r="AV1081" s="2">
        <v>27</v>
      </c>
      <c r="AW1081" s="2">
        <v>3</v>
      </c>
      <c r="AX1081" s="2" t="s">
        <v>74</v>
      </c>
      <c r="AY1081" s="2" t="s">
        <v>74</v>
      </c>
      <c r="AZ1081" s="2" t="s">
        <v>74</v>
      </c>
      <c r="BA1081" s="2" t="s">
        <v>74</v>
      </c>
      <c r="BB1081" s="2">
        <v>257</v>
      </c>
      <c r="BC1081" s="2">
        <v>259</v>
      </c>
      <c r="BD1081" s="2" t="s">
        <v>74</v>
      </c>
      <c r="BE1081" s="2" t="s">
        <v>2319</v>
      </c>
      <c r="BF1081" s="2" t="str">
        <f>HYPERLINK("http://dx.doi.org/10.2307/3677231","http://dx.doi.org/10.2307/3677231")</f>
        <v>http://dx.doi.org/10.2307/3677231</v>
      </c>
      <c r="BG1081" s="2" t="s">
        <v>74</v>
      </c>
      <c r="BH1081" s="2" t="s">
        <v>74</v>
      </c>
      <c r="BI1081" s="2" t="s">
        <v>74</v>
      </c>
      <c r="BJ1081" s="2" t="s">
        <v>74</v>
      </c>
      <c r="BK1081" s="2" t="s">
        <v>74</v>
      </c>
      <c r="BL1081" s="2" t="s">
        <v>74</v>
      </c>
      <c r="BM1081" s="2" t="s">
        <v>74</v>
      </c>
      <c r="BN1081" s="2" t="s">
        <v>74</v>
      </c>
      <c r="BO1081" s="2" t="s">
        <v>74</v>
      </c>
      <c r="BP1081" s="2" t="s">
        <v>74</v>
      </c>
      <c r="BQ1081" s="2" t="s">
        <v>74</v>
      </c>
      <c r="BR1081" s="2" t="s">
        <v>74</v>
      </c>
      <c r="BS1081" s="2" t="s">
        <v>2320</v>
      </c>
      <c r="BT1081" s="2" t="str">
        <f>HYPERLINK("https%3A%2F%2Fwww.webofscience.com%2Fwos%2Fwoscc%2Ffull-record%2FWOS:A1996VQ62800012","View Full Record in Web of Science")</f>
        <v>View Full Record in Web of Science</v>
      </c>
    </row>
    <row r="1082" spans="1:72" s="2" customFormat="1" x14ac:dyDescent="0.4">
      <c r="A1082" s="2" t="s">
        <v>72</v>
      </c>
      <c r="B1082" s="2" t="s">
        <v>7456</v>
      </c>
      <c r="C1082" s="2" t="s">
        <v>74</v>
      </c>
      <c r="D1082" s="2" t="s">
        <v>74</v>
      </c>
      <c r="E1082" s="2" t="s">
        <v>74</v>
      </c>
      <c r="F1082" s="2" t="s">
        <v>7456</v>
      </c>
      <c r="G1082" s="2" t="s">
        <v>74</v>
      </c>
      <c r="H1082" s="2" t="s">
        <v>74</v>
      </c>
      <c r="I1082" s="2" t="s">
        <v>7457</v>
      </c>
      <c r="J1082" s="2" t="s">
        <v>610</v>
      </c>
      <c r="K1082" s="2" t="s">
        <v>74</v>
      </c>
      <c r="L1082" s="2" t="s">
        <v>74</v>
      </c>
      <c r="M1082" s="2" t="s">
        <v>74</v>
      </c>
      <c r="N1082" s="2" t="s">
        <v>74</v>
      </c>
      <c r="O1082" s="2" t="s">
        <v>74</v>
      </c>
      <c r="P1082" s="2" t="s">
        <v>74</v>
      </c>
      <c r="Q1082" s="2" t="s">
        <v>74</v>
      </c>
      <c r="R1082" s="2" t="s">
        <v>74</v>
      </c>
      <c r="S1082" s="2" t="s">
        <v>74</v>
      </c>
      <c r="T1082" s="2" t="s">
        <v>74</v>
      </c>
      <c r="U1082" s="2" t="s">
        <v>74</v>
      </c>
      <c r="V1082" s="5" t="s">
        <v>7458</v>
      </c>
      <c r="W1082" s="2" t="s">
        <v>74</v>
      </c>
      <c r="X1082" s="2" t="s">
        <v>74</v>
      </c>
      <c r="Y1082" s="2" t="s">
        <v>74</v>
      </c>
      <c r="Z1082" s="2" t="s">
        <v>74</v>
      </c>
      <c r="AA1082" s="2" t="s">
        <v>74</v>
      </c>
      <c r="AB1082" s="2" t="s">
        <v>74</v>
      </c>
      <c r="AC1082" s="2" t="s">
        <v>74</v>
      </c>
      <c r="AD1082" s="2" t="s">
        <v>74</v>
      </c>
      <c r="AE1082" s="2" t="s">
        <v>74</v>
      </c>
      <c r="AF1082" s="2" t="s">
        <v>74</v>
      </c>
      <c r="AG1082" s="2" t="s">
        <v>74</v>
      </c>
      <c r="AH1082" s="2" t="s">
        <v>74</v>
      </c>
      <c r="AI1082" s="2" t="s">
        <v>74</v>
      </c>
      <c r="AJ1082" s="2" t="s">
        <v>74</v>
      </c>
      <c r="AK1082" s="2" t="s">
        <v>74</v>
      </c>
      <c r="AL1082" s="2" t="s">
        <v>74</v>
      </c>
      <c r="AM1082" s="2" t="s">
        <v>74</v>
      </c>
      <c r="AN1082" s="2" t="s">
        <v>74</v>
      </c>
      <c r="AO1082" s="2" t="s">
        <v>614</v>
      </c>
      <c r="AP1082" s="2" t="s">
        <v>74</v>
      </c>
      <c r="AQ1082" s="2" t="s">
        <v>74</v>
      </c>
      <c r="AR1082" s="2" t="s">
        <v>74</v>
      </c>
      <c r="AS1082" s="2" t="s">
        <v>74</v>
      </c>
      <c r="AT1082" s="2" t="s">
        <v>255</v>
      </c>
      <c r="AU1082" s="2">
        <v>1993</v>
      </c>
      <c r="AV1082" s="2">
        <v>93</v>
      </c>
      <c r="AW1082" s="2">
        <v>1</v>
      </c>
      <c r="AX1082" s="2" t="s">
        <v>74</v>
      </c>
      <c r="AY1082" s="2" t="s">
        <v>74</v>
      </c>
      <c r="AZ1082" s="2" t="s">
        <v>74</v>
      </c>
      <c r="BA1082" s="2" t="s">
        <v>74</v>
      </c>
      <c r="BB1082" s="2">
        <v>3</v>
      </c>
      <c r="BC1082" s="2">
        <v>20</v>
      </c>
      <c r="BD1082" s="2" t="s">
        <v>74</v>
      </c>
      <c r="BE1082" s="2" t="s">
        <v>74</v>
      </c>
      <c r="BF1082" s="2" t="s">
        <v>74</v>
      </c>
      <c r="BG1082" s="2" t="s">
        <v>74</v>
      </c>
      <c r="BH1082" s="2" t="s">
        <v>74</v>
      </c>
      <c r="BI1082" s="2" t="s">
        <v>74</v>
      </c>
      <c r="BJ1082" s="2" t="s">
        <v>74</v>
      </c>
      <c r="BK1082" s="2" t="s">
        <v>74</v>
      </c>
      <c r="BL1082" s="2" t="s">
        <v>74</v>
      </c>
      <c r="BM1082" s="2" t="s">
        <v>74</v>
      </c>
      <c r="BN1082" s="2" t="s">
        <v>74</v>
      </c>
      <c r="BO1082" s="2" t="s">
        <v>74</v>
      </c>
      <c r="BP1082" s="2" t="s">
        <v>74</v>
      </c>
      <c r="BQ1082" s="2" t="s">
        <v>74</v>
      </c>
      <c r="BR1082" s="2" t="s">
        <v>74</v>
      </c>
      <c r="BS1082" s="2" t="s">
        <v>7459</v>
      </c>
      <c r="BT1082" s="2" t="str">
        <f>HYPERLINK("https%3A%2F%2Fwww.webofscience.com%2Fwos%2Fwoscc%2Ffull-record%2FWOS:A1993KM66900002","View Full Record in Web of Science")</f>
        <v>View Full Record in Web of Science</v>
      </c>
    </row>
    <row r="1083" spans="1:72" s="2" customFormat="1" x14ac:dyDescent="0.4">
      <c r="A1083" s="2" t="s">
        <v>72</v>
      </c>
      <c r="B1083" s="2" t="s">
        <v>4440</v>
      </c>
      <c r="C1083" s="2" t="s">
        <v>74</v>
      </c>
      <c r="D1083" s="2" t="s">
        <v>74</v>
      </c>
      <c r="E1083" s="2" t="s">
        <v>74</v>
      </c>
      <c r="F1083" s="2" t="s">
        <v>4440</v>
      </c>
      <c r="G1083" s="2" t="s">
        <v>74</v>
      </c>
      <c r="H1083" s="2" t="s">
        <v>74</v>
      </c>
      <c r="I1083" s="2" t="s">
        <v>4441</v>
      </c>
      <c r="J1083" s="2" t="s">
        <v>140</v>
      </c>
      <c r="K1083" s="2" t="s">
        <v>74</v>
      </c>
      <c r="L1083" s="2" t="s">
        <v>74</v>
      </c>
      <c r="M1083" s="2" t="s">
        <v>74</v>
      </c>
      <c r="N1083" s="2" t="s">
        <v>74</v>
      </c>
      <c r="O1083" s="2" t="s">
        <v>74</v>
      </c>
      <c r="P1083" s="2" t="s">
        <v>74</v>
      </c>
      <c r="Q1083" s="2" t="s">
        <v>74</v>
      </c>
      <c r="R1083" s="2" t="s">
        <v>74</v>
      </c>
      <c r="S1083" s="2" t="s">
        <v>74</v>
      </c>
      <c r="T1083" s="2" t="s">
        <v>74</v>
      </c>
      <c r="U1083" s="2" t="s">
        <v>74</v>
      </c>
      <c r="V1083" s="5" t="s">
        <v>4442</v>
      </c>
      <c r="W1083" s="2" t="s">
        <v>74</v>
      </c>
      <c r="X1083" s="2" t="s">
        <v>74</v>
      </c>
      <c r="Y1083" s="2" t="s">
        <v>74</v>
      </c>
      <c r="Z1083" s="2" t="s">
        <v>74</v>
      </c>
      <c r="AA1083" s="2" t="s">
        <v>74</v>
      </c>
      <c r="AB1083" s="2" t="s">
        <v>74</v>
      </c>
      <c r="AC1083" s="2" t="s">
        <v>74</v>
      </c>
      <c r="AD1083" s="2" t="s">
        <v>74</v>
      </c>
      <c r="AE1083" s="2" t="s">
        <v>74</v>
      </c>
      <c r="AF1083" s="2" t="s">
        <v>74</v>
      </c>
      <c r="AG1083" s="2" t="s">
        <v>74</v>
      </c>
      <c r="AH1083" s="2" t="s">
        <v>74</v>
      </c>
      <c r="AI1083" s="2" t="s">
        <v>74</v>
      </c>
      <c r="AJ1083" s="2" t="s">
        <v>74</v>
      </c>
      <c r="AK1083" s="2" t="s">
        <v>74</v>
      </c>
      <c r="AL1083" s="2" t="s">
        <v>74</v>
      </c>
      <c r="AM1083" s="2" t="s">
        <v>74</v>
      </c>
      <c r="AN1083" s="2" t="s">
        <v>74</v>
      </c>
      <c r="AO1083" s="2" t="s">
        <v>143</v>
      </c>
      <c r="AP1083" s="2" t="s">
        <v>144</v>
      </c>
      <c r="AQ1083" s="2" t="s">
        <v>74</v>
      </c>
      <c r="AR1083" s="2" t="s">
        <v>74</v>
      </c>
      <c r="AS1083" s="2" t="s">
        <v>74</v>
      </c>
      <c r="AT1083" s="2" t="s">
        <v>352</v>
      </c>
      <c r="AU1083" s="2">
        <v>1995</v>
      </c>
      <c r="AV1083" s="2">
        <v>50</v>
      </c>
      <c r="AW1083" s="2" t="s">
        <v>74</v>
      </c>
      <c r="AX1083" s="2">
        <v>3</v>
      </c>
      <c r="AY1083" s="2" t="s">
        <v>74</v>
      </c>
      <c r="AZ1083" s="2" t="s">
        <v>74</v>
      </c>
      <c r="BA1083" s="2" t="s">
        <v>74</v>
      </c>
      <c r="BB1083" s="2">
        <v>645</v>
      </c>
      <c r="BC1083" s="2">
        <v>653</v>
      </c>
      <c r="BD1083" s="2" t="s">
        <v>74</v>
      </c>
      <c r="BE1083" s="2" t="s">
        <v>4443</v>
      </c>
      <c r="BF1083" s="2" t="str">
        <f>HYPERLINK("http://dx.doi.org/10.1016/0003-3472(95)80126-X","http://dx.doi.org/10.1016/0003-3472(95)80126-X")</f>
        <v>http://dx.doi.org/10.1016/0003-3472(95)80126-X</v>
      </c>
      <c r="BG1083" s="2" t="s">
        <v>74</v>
      </c>
      <c r="BH1083" s="2" t="s">
        <v>74</v>
      </c>
      <c r="BI1083" s="2" t="s">
        <v>74</v>
      </c>
      <c r="BJ1083" s="2" t="s">
        <v>74</v>
      </c>
      <c r="BK1083" s="2" t="s">
        <v>74</v>
      </c>
      <c r="BL1083" s="2" t="s">
        <v>74</v>
      </c>
      <c r="BM1083" s="2" t="s">
        <v>74</v>
      </c>
      <c r="BN1083" s="2" t="s">
        <v>74</v>
      </c>
      <c r="BO1083" s="2" t="s">
        <v>74</v>
      </c>
      <c r="BP1083" s="2" t="s">
        <v>74</v>
      </c>
      <c r="BQ1083" s="2" t="s">
        <v>74</v>
      </c>
      <c r="BR1083" s="2" t="s">
        <v>74</v>
      </c>
      <c r="BS1083" s="2" t="s">
        <v>4444</v>
      </c>
      <c r="BT1083" s="2" t="str">
        <f>HYPERLINK("https%3A%2F%2Fwww.webofscience.com%2Fwos%2Fwoscc%2Ffull-record%2FWOS:A1995RV28100007","View Full Record in Web of Science")</f>
        <v>View Full Record in Web of Science</v>
      </c>
    </row>
    <row r="1084" spans="1:72" s="2" customFormat="1" x14ac:dyDescent="0.4">
      <c r="A1084" s="2" t="s">
        <v>72</v>
      </c>
      <c r="B1084" s="2" t="s">
        <v>4440</v>
      </c>
      <c r="C1084" s="2" t="s">
        <v>74</v>
      </c>
      <c r="D1084" s="2" t="s">
        <v>74</v>
      </c>
      <c r="E1084" s="2" t="s">
        <v>74</v>
      </c>
      <c r="F1084" s="2" t="s">
        <v>4440</v>
      </c>
      <c r="G1084" s="2" t="s">
        <v>74</v>
      </c>
      <c r="H1084" s="2" t="s">
        <v>74</v>
      </c>
      <c r="I1084" s="2" t="s">
        <v>6340</v>
      </c>
      <c r="J1084" s="2" t="s">
        <v>77</v>
      </c>
      <c r="K1084" s="2" t="s">
        <v>74</v>
      </c>
      <c r="L1084" s="2" t="s">
        <v>74</v>
      </c>
      <c r="M1084" s="2" t="s">
        <v>74</v>
      </c>
      <c r="N1084" s="2" t="s">
        <v>74</v>
      </c>
      <c r="O1084" s="2" t="s">
        <v>74</v>
      </c>
      <c r="P1084" s="2" t="s">
        <v>74</v>
      </c>
      <c r="Q1084" s="2" t="s">
        <v>74</v>
      </c>
      <c r="R1084" s="2" t="s">
        <v>74</v>
      </c>
      <c r="S1084" s="2" t="s">
        <v>74</v>
      </c>
      <c r="T1084" s="2" t="s">
        <v>74</v>
      </c>
      <c r="U1084" s="2" t="s">
        <v>74</v>
      </c>
      <c r="V1084" s="5" t="s">
        <v>6341</v>
      </c>
      <c r="W1084" s="2" t="s">
        <v>74</v>
      </c>
      <c r="X1084" s="2" t="s">
        <v>74</v>
      </c>
      <c r="Y1084" s="2" t="s">
        <v>74</v>
      </c>
      <c r="Z1084" s="2" t="s">
        <v>74</v>
      </c>
      <c r="AA1084" s="2" t="s">
        <v>74</v>
      </c>
      <c r="AB1084" s="2" t="s">
        <v>74</v>
      </c>
      <c r="AC1084" s="2" t="s">
        <v>74</v>
      </c>
      <c r="AD1084" s="2" t="s">
        <v>74</v>
      </c>
      <c r="AE1084" s="2" t="s">
        <v>74</v>
      </c>
      <c r="AF1084" s="2" t="s">
        <v>74</v>
      </c>
      <c r="AG1084" s="2" t="s">
        <v>74</v>
      </c>
      <c r="AH1084" s="2" t="s">
        <v>74</v>
      </c>
      <c r="AI1084" s="2" t="s">
        <v>74</v>
      </c>
      <c r="AJ1084" s="2" t="s">
        <v>74</v>
      </c>
      <c r="AK1084" s="2" t="s">
        <v>74</v>
      </c>
      <c r="AL1084" s="2" t="s">
        <v>74</v>
      </c>
      <c r="AM1084" s="2" t="s">
        <v>74</v>
      </c>
      <c r="AN1084" s="2" t="s">
        <v>74</v>
      </c>
      <c r="AO1084" s="2" t="s">
        <v>81</v>
      </c>
      <c r="AP1084" s="2" t="s">
        <v>74</v>
      </c>
      <c r="AQ1084" s="2" t="s">
        <v>74</v>
      </c>
      <c r="AR1084" s="2" t="s">
        <v>74</v>
      </c>
      <c r="AS1084" s="2" t="s">
        <v>74</v>
      </c>
      <c r="AT1084" s="2" t="s">
        <v>964</v>
      </c>
      <c r="AU1084" s="2">
        <v>1994</v>
      </c>
      <c r="AV1084" s="2">
        <v>128</v>
      </c>
      <c r="AW1084" s="2" t="s">
        <v>74</v>
      </c>
      <c r="AX1084" s="2" t="s">
        <v>548</v>
      </c>
      <c r="AY1084" s="2" t="s">
        <v>74</v>
      </c>
      <c r="AZ1084" s="2" t="s">
        <v>74</v>
      </c>
      <c r="BA1084" s="2" t="s">
        <v>74</v>
      </c>
      <c r="BB1084" s="2">
        <v>1</v>
      </c>
      <c r="BC1084" s="2">
        <v>14</v>
      </c>
      <c r="BD1084" s="2" t="s">
        <v>74</v>
      </c>
      <c r="BE1084" s="2" t="s">
        <v>6342</v>
      </c>
      <c r="BF1084" s="2" t="str">
        <f>HYPERLINK("http://dx.doi.org/10.1163/156853994X00019","http://dx.doi.org/10.1163/156853994X00019")</f>
        <v>http://dx.doi.org/10.1163/156853994X00019</v>
      </c>
      <c r="BG1084" s="2" t="s">
        <v>74</v>
      </c>
      <c r="BH1084" s="2" t="s">
        <v>74</v>
      </c>
      <c r="BI1084" s="2" t="s">
        <v>74</v>
      </c>
      <c r="BJ1084" s="2" t="s">
        <v>74</v>
      </c>
      <c r="BK1084" s="2" t="s">
        <v>74</v>
      </c>
      <c r="BL1084" s="2" t="s">
        <v>74</v>
      </c>
      <c r="BM1084" s="2" t="s">
        <v>74</v>
      </c>
      <c r="BN1084" s="2" t="s">
        <v>74</v>
      </c>
      <c r="BO1084" s="2" t="s">
        <v>74</v>
      </c>
      <c r="BP1084" s="2" t="s">
        <v>74</v>
      </c>
      <c r="BQ1084" s="2" t="s">
        <v>74</v>
      </c>
      <c r="BR1084" s="2" t="s">
        <v>74</v>
      </c>
      <c r="BS1084" s="2" t="s">
        <v>6343</v>
      </c>
      <c r="BT1084" s="2" t="str">
        <f>HYPERLINK("https%3A%2F%2Fwww.webofscience.com%2Fwos%2Fwoscc%2Ffull-record%2FWOS:A1994NV35400001","View Full Record in Web of Science")</f>
        <v>View Full Record in Web of Science</v>
      </c>
    </row>
    <row r="1085" spans="1:72" s="2" customFormat="1" x14ac:dyDescent="0.4">
      <c r="A1085" s="2" t="s">
        <v>72</v>
      </c>
      <c r="B1085" s="2" t="s">
        <v>3458</v>
      </c>
      <c r="C1085" s="2" t="s">
        <v>74</v>
      </c>
      <c r="D1085" s="2" t="s">
        <v>74</v>
      </c>
      <c r="E1085" s="2" t="s">
        <v>74</v>
      </c>
      <c r="F1085" s="2" t="s">
        <v>3458</v>
      </c>
      <c r="G1085" s="2" t="s">
        <v>74</v>
      </c>
      <c r="H1085" s="2" t="s">
        <v>74</v>
      </c>
      <c r="I1085" s="2" t="s">
        <v>3459</v>
      </c>
      <c r="J1085" s="2" t="s">
        <v>108</v>
      </c>
      <c r="K1085" s="2" t="s">
        <v>74</v>
      </c>
      <c r="L1085" s="2" t="s">
        <v>74</v>
      </c>
      <c r="M1085" s="2" t="s">
        <v>74</v>
      </c>
      <c r="N1085" s="2" t="s">
        <v>74</v>
      </c>
      <c r="O1085" s="2" t="s">
        <v>74</v>
      </c>
      <c r="P1085" s="2" t="s">
        <v>74</v>
      </c>
      <c r="Q1085" s="2" t="s">
        <v>74</v>
      </c>
      <c r="R1085" s="2" t="s">
        <v>74</v>
      </c>
      <c r="S1085" s="2" t="s">
        <v>74</v>
      </c>
      <c r="T1085" s="2" t="s">
        <v>74</v>
      </c>
      <c r="U1085" s="2" t="s">
        <v>74</v>
      </c>
      <c r="V1085" s="5" t="s">
        <v>3460</v>
      </c>
      <c r="W1085" s="2" t="s">
        <v>74</v>
      </c>
      <c r="X1085" s="2" t="s">
        <v>74</v>
      </c>
      <c r="Y1085" s="2" t="s">
        <v>74</v>
      </c>
      <c r="Z1085" s="2" t="s">
        <v>74</v>
      </c>
      <c r="AA1085" s="2" t="s">
        <v>3461</v>
      </c>
      <c r="AB1085" s="2" t="s">
        <v>3462</v>
      </c>
      <c r="AC1085" s="2" t="s">
        <v>74</v>
      </c>
      <c r="AD1085" s="2" t="s">
        <v>74</v>
      </c>
      <c r="AE1085" s="2" t="s">
        <v>74</v>
      </c>
      <c r="AF1085" s="2" t="s">
        <v>74</v>
      </c>
      <c r="AG1085" s="2" t="s">
        <v>74</v>
      </c>
      <c r="AH1085" s="2" t="s">
        <v>74</v>
      </c>
      <c r="AI1085" s="2" t="s">
        <v>74</v>
      </c>
      <c r="AJ1085" s="2" t="s">
        <v>74</v>
      </c>
      <c r="AK1085" s="2" t="s">
        <v>74</v>
      </c>
      <c r="AL1085" s="2" t="s">
        <v>74</v>
      </c>
      <c r="AM1085" s="2" t="s">
        <v>74</v>
      </c>
      <c r="AN1085" s="2" t="s">
        <v>74</v>
      </c>
      <c r="AO1085" s="2" t="s">
        <v>111</v>
      </c>
      <c r="AP1085" s="2" t="s">
        <v>3463</v>
      </c>
      <c r="AQ1085" s="2" t="s">
        <v>74</v>
      </c>
      <c r="AR1085" s="2" t="s">
        <v>74</v>
      </c>
      <c r="AS1085" s="2" t="s">
        <v>74</v>
      </c>
      <c r="AT1085" s="2" t="s">
        <v>493</v>
      </c>
      <c r="AU1085" s="2">
        <v>1999</v>
      </c>
      <c r="AV1085" s="2">
        <v>266</v>
      </c>
      <c r="AW1085" s="2">
        <v>1427</v>
      </c>
      <c r="AX1085" s="2" t="s">
        <v>74</v>
      </c>
      <c r="AY1085" s="2" t="s">
        <v>74</v>
      </c>
      <c r="AZ1085" s="2" t="s">
        <v>74</v>
      </c>
      <c r="BA1085" s="2" t="s">
        <v>74</v>
      </c>
      <c r="BB1085" s="2">
        <v>1403</v>
      </c>
      <c r="BC1085" s="2">
        <v>1411</v>
      </c>
      <c r="BD1085" s="2" t="s">
        <v>74</v>
      </c>
      <c r="BE1085" s="2" t="s">
        <v>3464</v>
      </c>
      <c r="BF1085" s="2" t="str">
        <f>HYPERLINK("http://dx.doi.org/10.1098/rspb.1999.0794","http://dx.doi.org/10.1098/rspb.1999.0794")</f>
        <v>http://dx.doi.org/10.1098/rspb.1999.0794</v>
      </c>
      <c r="BG1085" s="2" t="s">
        <v>74</v>
      </c>
      <c r="BH1085" s="2" t="s">
        <v>74</v>
      </c>
      <c r="BI1085" s="2" t="s">
        <v>74</v>
      </c>
      <c r="BJ1085" s="2" t="s">
        <v>74</v>
      </c>
      <c r="BK1085" s="2" t="s">
        <v>74</v>
      </c>
      <c r="BL1085" s="2" t="s">
        <v>74</v>
      </c>
      <c r="BM1085" s="2" t="s">
        <v>74</v>
      </c>
      <c r="BN1085" s="2" t="s">
        <v>74</v>
      </c>
      <c r="BO1085" s="2" t="s">
        <v>74</v>
      </c>
      <c r="BP1085" s="2" t="s">
        <v>74</v>
      </c>
      <c r="BQ1085" s="2" t="s">
        <v>74</v>
      </c>
      <c r="BR1085" s="2" t="s">
        <v>74</v>
      </c>
      <c r="BS1085" s="2" t="s">
        <v>3465</v>
      </c>
      <c r="BT1085" s="2" t="str">
        <f>HYPERLINK("https%3A%2F%2Fwww.webofscience.com%2Fwos%2Fwoscc%2Ffull-record%2FWOS:000081833200001","View Full Record in Web of Science")</f>
        <v>View Full Record in Web of Science</v>
      </c>
    </row>
    <row r="1086" spans="1:72" s="2" customFormat="1" x14ac:dyDescent="0.4">
      <c r="A1086" s="2" t="s">
        <v>72</v>
      </c>
      <c r="B1086" s="2" t="s">
        <v>5080</v>
      </c>
      <c r="C1086" s="2" t="s">
        <v>74</v>
      </c>
      <c r="D1086" s="2" t="s">
        <v>74</v>
      </c>
      <c r="E1086" s="2" t="s">
        <v>74</v>
      </c>
      <c r="F1086" s="2" t="s">
        <v>5081</v>
      </c>
      <c r="G1086" s="2" t="s">
        <v>74</v>
      </c>
      <c r="H1086" s="2" t="s">
        <v>74</v>
      </c>
      <c r="I1086" s="2" t="s">
        <v>5082</v>
      </c>
      <c r="J1086" s="2" t="s">
        <v>333</v>
      </c>
      <c r="K1086" s="2" t="s">
        <v>74</v>
      </c>
      <c r="L1086" s="2" t="s">
        <v>74</v>
      </c>
      <c r="M1086" s="2" t="s">
        <v>74</v>
      </c>
      <c r="N1086" s="2" t="s">
        <v>74</v>
      </c>
      <c r="O1086" s="2" t="s">
        <v>74</v>
      </c>
      <c r="P1086" s="2" t="s">
        <v>74</v>
      </c>
      <c r="Q1086" s="2" t="s">
        <v>74</v>
      </c>
      <c r="R1086" s="2" t="s">
        <v>74</v>
      </c>
      <c r="S1086" s="2" t="s">
        <v>74</v>
      </c>
      <c r="T1086" s="2" t="s">
        <v>74</v>
      </c>
      <c r="U1086" s="2" t="s">
        <v>74</v>
      </c>
      <c r="V1086" s="5" t="s">
        <v>5083</v>
      </c>
      <c r="W1086" s="2" t="s">
        <v>74</v>
      </c>
      <c r="X1086" s="2" t="s">
        <v>74</v>
      </c>
      <c r="Y1086" s="2" t="s">
        <v>74</v>
      </c>
      <c r="Z1086" s="2" t="s">
        <v>74</v>
      </c>
      <c r="AA1086" s="2" t="s">
        <v>5084</v>
      </c>
      <c r="AB1086" s="2" t="s">
        <v>5085</v>
      </c>
      <c r="AC1086" s="2" t="s">
        <v>74</v>
      </c>
      <c r="AD1086" s="2" t="s">
        <v>74</v>
      </c>
      <c r="AE1086" s="2" t="s">
        <v>74</v>
      </c>
      <c r="AF1086" s="2" t="s">
        <v>74</v>
      </c>
      <c r="AG1086" s="2" t="s">
        <v>74</v>
      </c>
      <c r="AH1086" s="2" t="s">
        <v>74</v>
      </c>
      <c r="AI1086" s="2" t="s">
        <v>74</v>
      </c>
      <c r="AJ1086" s="2" t="s">
        <v>74</v>
      </c>
      <c r="AK1086" s="2" t="s">
        <v>74</v>
      </c>
      <c r="AL1086" s="2" t="s">
        <v>74</v>
      </c>
      <c r="AM1086" s="2" t="s">
        <v>74</v>
      </c>
      <c r="AN1086" s="2" t="s">
        <v>74</v>
      </c>
      <c r="AO1086" s="2" t="s">
        <v>337</v>
      </c>
      <c r="AP1086" s="2" t="s">
        <v>338</v>
      </c>
      <c r="AQ1086" s="2" t="s">
        <v>74</v>
      </c>
      <c r="AR1086" s="2" t="s">
        <v>74</v>
      </c>
      <c r="AS1086" s="2" t="s">
        <v>74</v>
      </c>
      <c r="AT1086" s="2" t="s">
        <v>1013</v>
      </c>
      <c r="AU1086" s="2">
        <v>2016</v>
      </c>
      <c r="AV1086" s="2">
        <v>27</v>
      </c>
      <c r="AW1086" s="2">
        <v>5</v>
      </c>
      <c r="AX1086" s="2" t="s">
        <v>74</v>
      </c>
      <c r="AY1086" s="2" t="s">
        <v>74</v>
      </c>
      <c r="AZ1086" s="2" t="s">
        <v>74</v>
      </c>
      <c r="BA1086" s="2" t="s">
        <v>74</v>
      </c>
      <c r="BB1086" s="2">
        <v>1331</v>
      </c>
      <c r="BC1086" s="2">
        <v>1342</v>
      </c>
      <c r="BD1086" s="2" t="s">
        <v>74</v>
      </c>
      <c r="BE1086" s="2" t="s">
        <v>5086</v>
      </c>
      <c r="BF1086" s="2" t="str">
        <f>HYPERLINK("http://dx.doi.org/10.1093/beheco/arw050","http://dx.doi.org/10.1093/beheco/arw050")</f>
        <v>http://dx.doi.org/10.1093/beheco/arw050</v>
      </c>
      <c r="BG1086" s="2" t="s">
        <v>74</v>
      </c>
      <c r="BH1086" s="2" t="s">
        <v>74</v>
      </c>
      <c r="BI1086" s="2" t="s">
        <v>74</v>
      </c>
      <c r="BJ1086" s="2" t="s">
        <v>74</v>
      </c>
      <c r="BK1086" s="2" t="s">
        <v>74</v>
      </c>
      <c r="BL1086" s="2" t="s">
        <v>74</v>
      </c>
      <c r="BM1086" s="2" t="s">
        <v>74</v>
      </c>
      <c r="BN1086" s="2" t="s">
        <v>74</v>
      </c>
      <c r="BO1086" s="2" t="s">
        <v>74</v>
      </c>
      <c r="BP1086" s="2" t="s">
        <v>74</v>
      </c>
      <c r="BQ1086" s="2" t="s">
        <v>74</v>
      </c>
      <c r="BR1086" s="2" t="s">
        <v>74</v>
      </c>
      <c r="BS1086" s="2" t="s">
        <v>5087</v>
      </c>
      <c r="BT1086" s="2" t="str">
        <f>HYPERLINK("https%3A%2F%2Fwww.webofscience.com%2Fwos%2Fwoscc%2Ffull-record%2FWOS:000384650600013","View Full Record in Web of Science")</f>
        <v>View Full Record in Web of Science</v>
      </c>
    </row>
    <row r="1087" spans="1:72" s="2" customFormat="1" x14ac:dyDescent="0.4">
      <c r="A1087" s="2" t="s">
        <v>72</v>
      </c>
      <c r="B1087" s="2" t="s">
        <v>4196</v>
      </c>
      <c r="C1087" s="2" t="s">
        <v>74</v>
      </c>
      <c r="D1087" s="2" t="s">
        <v>74</v>
      </c>
      <c r="E1087" s="2" t="s">
        <v>74</v>
      </c>
      <c r="F1087" s="2" t="s">
        <v>4197</v>
      </c>
      <c r="G1087" s="2" t="s">
        <v>74</v>
      </c>
      <c r="H1087" s="2" t="s">
        <v>74</v>
      </c>
      <c r="I1087" s="2" t="s">
        <v>4198</v>
      </c>
      <c r="J1087" s="2" t="s">
        <v>763</v>
      </c>
      <c r="K1087" s="2" t="s">
        <v>74</v>
      </c>
      <c r="L1087" s="2" t="s">
        <v>74</v>
      </c>
      <c r="M1087" s="2" t="s">
        <v>74</v>
      </c>
      <c r="N1087" s="2" t="s">
        <v>74</v>
      </c>
      <c r="O1087" s="2" t="s">
        <v>74</v>
      </c>
      <c r="P1087" s="2" t="s">
        <v>74</v>
      </c>
      <c r="Q1087" s="2" t="s">
        <v>74</v>
      </c>
      <c r="R1087" s="2" t="s">
        <v>74</v>
      </c>
      <c r="S1087" s="2" t="s">
        <v>74</v>
      </c>
      <c r="T1087" s="2" t="s">
        <v>74</v>
      </c>
      <c r="U1087" s="2" t="s">
        <v>74</v>
      </c>
      <c r="V1087" s="5" t="s">
        <v>4199</v>
      </c>
      <c r="W1087" s="2" t="s">
        <v>74</v>
      </c>
      <c r="X1087" s="2" t="s">
        <v>74</v>
      </c>
      <c r="Y1087" s="2" t="s">
        <v>74</v>
      </c>
      <c r="Z1087" s="2" t="s">
        <v>74</v>
      </c>
      <c r="AA1087" s="2" t="s">
        <v>74</v>
      </c>
      <c r="AB1087" s="2" t="s">
        <v>4200</v>
      </c>
      <c r="AC1087" s="2" t="s">
        <v>74</v>
      </c>
      <c r="AD1087" s="2" t="s">
        <v>74</v>
      </c>
      <c r="AE1087" s="2" t="s">
        <v>74</v>
      </c>
      <c r="AF1087" s="2" t="s">
        <v>74</v>
      </c>
      <c r="AG1087" s="2" t="s">
        <v>74</v>
      </c>
      <c r="AH1087" s="2" t="s">
        <v>74</v>
      </c>
      <c r="AI1087" s="2" t="s">
        <v>74</v>
      </c>
      <c r="AJ1087" s="2" t="s">
        <v>74</v>
      </c>
      <c r="AK1087" s="2" t="s">
        <v>74</v>
      </c>
      <c r="AL1087" s="2" t="s">
        <v>74</v>
      </c>
      <c r="AM1087" s="2" t="s">
        <v>74</v>
      </c>
      <c r="AN1087" s="2" t="s">
        <v>74</v>
      </c>
      <c r="AO1087" s="2" t="s">
        <v>767</v>
      </c>
      <c r="AP1087" s="2" t="s">
        <v>768</v>
      </c>
      <c r="AQ1087" s="2" t="s">
        <v>74</v>
      </c>
      <c r="AR1087" s="2" t="s">
        <v>74</v>
      </c>
      <c r="AS1087" s="2" t="s">
        <v>74</v>
      </c>
      <c r="AT1087" s="2" t="s">
        <v>145</v>
      </c>
      <c r="AU1087" s="2">
        <v>2020</v>
      </c>
      <c r="AV1087" s="2">
        <v>223</v>
      </c>
      <c r="AW1087" s="2">
        <v>16</v>
      </c>
      <c r="AX1087" s="2" t="s">
        <v>74</v>
      </c>
      <c r="AY1087" s="2" t="s">
        <v>74</v>
      </c>
      <c r="AZ1087" s="2" t="s">
        <v>74</v>
      </c>
      <c r="BA1087" s="2" t="s">
        <v>74</v>
      </c>
      <c r="BB1087" s="2" t="s">
        <v>74</v>
      </c>
      <c r="BC1087" s="2" t="s">
        <v>74</v>
      </c>
      <c r="BD1087" s="2" t="s">
        <v>4201</v>
      </c>
      <c r="BE1087" s="2" t="s">
        <v>4202</v>
      </c>
      <c r="BF1087" s="2" t="str">
        <f>HYPERLINK("http://dx.doi.org/10.1242/jeb.226340","http://dx.doi.org/10.1242/jeb.226340")</f>
        <v>http://dx.doi.org/10.1242/jeb.226340</v>
      </c>
      <c r="BG1087" s="2" t="s">
        <v>74</v>
      </c>
      <c r="BH1087" s="2" t="s">
        <v>74</v>
      </c>
      <c r="BI1087" s="2" t="s">
        <v>74</v>
      </c>
      <c r="BJ1087" s="2" t="s">
        <v>74</v>
      </c>
      <c r="BK1087" s="2" t="s">
        <v>74</v>
      </c>
      <c r="BL1087" s="2" t="s">
        <v>74</v>
      </c>
      <c r="BM1087" s="2" t="s">
        <v>74</v>
      </c>
      <c r="BN1087" s="2">
        <v>32748795</v>
      </c>
      <c r="BO1087" s="2" t="s">
        <v>74</v>
      </c>
      <c r="BP1087" s="2" t="s">
        <v>74</v>
      </c>
      <c r="BQ1087" s="2" t="s">
        <v>74</v>
      </c>
      <c r="BR1087" s="2" t="s">
        <v>74</v>
      </c>
      <c r="BS1087" s="2" t="s">
        <v>4203</v>
      </c>
      <c r="BT1087" s="2" t="str">
        <f>HYPERLINK("https%3A%2F%2Fwww.webofscience.com%2Fwos%2Fwoscc%2Ffull-record%2FWOS:000576694400015","View Full Record in Web of Science")</f>
        <v>View Full Record in Web of Science</v>
      </c>
    </row>
    <row r="1088" spans="1:72" s="2" customFormat="1" x14ac:dyDescent="0.4">
      <c r="A1088" s="2" t="s">
        <v>72</v>
      </c>
      <c r="B1088" s="2" t="s">
        <v>2114</v>
      </c>
      <c r="C1088" s="2" t="s">
        <v>74</v>
      </c>
      <c r="D1088" s="2" t="s">
        <v>74</v>
      </c>
      <c r="E1088" s="2" t="s">
        <v>74</v>
      </c>
      <c r="F1088" s="2" t="s">
        <v>2114</v>
      </c>
      <c r="G1088" s="2" t="s">
        <v>74</v>
      </c>
      <c r="H1088" s="2" t="s">
        <v>74</v>
      </c>
      <c r="I1088" s="2" t="s">
        <v>2115</v>
      </c>
      <c r="J1088" s="2" t="s">
        <v>2116</v>
      </c>
      <c r="K1088" s="2" t="s">
        <v>74</v>
      </c>
      <c r="L1088" s="2" t="s">
        <v>74</v>
      </c>
      <c r="M1088" s="2" t="s">
        <v>74</v>
      </c>
      <c r="N1088" s="2" t="s">
        <v>74</v>
      </c>
      <c r="O1088" s="2" t="s">
        <v>74</v>
      </c>
      <c r="P1088" s="2" t="s">
        <v>74</v>
      </c>
      <c r="Q1088" s="2" t="s">
        <v>74</v>
      </c>
      <c r="R1088" s="2" t="s">
        <v>74</v>
      </c>
      <c r="S1088" s="2" t="s">
        <v>74</v>
      </c>
      <c r="T1088" s="2" t="s">
        <v>74</v>
      </c>
      <c r="U1088" s="2" t="s">
        <v>74</v>
      </c>
      <c r="V1088" s="5" t="s">
        <v>2117</v>
      </c>
      <c r="W1088" s="2" t="s">
        <v>74</v>
      </c>
      <c r="X1088" s="2" t="s">
        <v>74</v>
      </c>
      <c r="Y1088" s="2" t="s">
        <v>74</v>
      </c>
      <c r="Z1088" s="2" t="s">
        <v>74</v>
      </c>
      <c r="AA1088" s="2" t="s">
        <v>74</v>
      </c>
      <c r="AB1088" s="2" t="s">
        <v>74</v>
      </c>
      <c r="AC1088" s="2" t="s">
        <v>74</v>
      </c>
      <c r="AD1088" s="2" t="s">
        <v>74</v>
      </c>
      <c r="AE1088" s="2" t="s">
        <v>74</v>
      </c>
      <c r="AF1088" s="2" t="s">
        <v>74</v>
      </c>
      <c r="AG1088" s="2" t="s">
        <v>74</v>
      </c>
      <c r="AH1088" s="2" t="s">
        <v>74</v>
      </c>
      <c r="AI1088" s="2" t="s">
        <v>74</v>
      </c>
      <c r="AJ1088" s="2" t="s">
        <v>74</v>
      </c>
      <c r="AK1088" s="2" t="s">
        <v>74</v>
      </c>
      <c r="AL1088" s="2" t="s">
        <v>74</v>
      </c>
      <c r="AM1088" s="2" t="s">
        <v>74</v>
      </c>
      <c r="AN1088" s="2" t="s">
        <v>74</v>
      </c>
      <c r="AO1088" s="2" t="s">
        <v>2118</v>
      </c>
      <c r="AP1088" s="2" t="s">
        <v>2119</v>
      </c>
      <c r="AQ1088" s="2" t="s">
        <v>74</v>
      </c>
      <c r="AR1088" s="2" t="s">
        <v>74</v>
      </c>
      <c r="AS1088" s="2" t="s">
        <v>74</v>
      </c>
      <c r="AT1088" s="2" t="s">
        <v>74</v>
      </c>
      <c r="AU1088" s="2">
        <v>1976</v>
      </c>
      <c r="AV1088" s="2">
        <v>11</v>
      </c>
      <c r="AW1088" s="2">
        <v>4</v>
      </c>
      <c r="AX1088" s="2" t="s">
        <v>74</v>
      </c>
      <c r="AY1088" s="2" t="s">
        <v>74</v>
      </c>
      <c r="AZ1088" s="2" t="s">
        <v>74</v>
      </c>
      <c r="BA1088" s="2" t="s">
        <v>74</v>
      </c>
      <c r="BB1088" s="2">
        <v>302</v>
      </c>
      <c r="BC1088" s="2">
        <v>311</v>
      </c>
      <c r="BD1088" s="2" t="s">
        <v>74</v>
      </c>
      <c r="BE1088" s="2" t="s">
        <v>74</v>
      </c>
      <c r="BF1088" s="2" t="s">
        <v>74</v>
      </c>
      <c r="BG1088" s="2" t="s">
        <v>74</v>
      </c>
      <c r="BH1088" s="2" t="s">
        <v>74</v>
      </c>
      <c r="BI1088" s="2" t="s">
        <v>74</v>
      </c>
      <c r="BJ1088" s="2" t="s">
        <v>74</v>
      </c>
      <c r="BK1088" s="2" t="s">
        <v>74</v>
      </c>
      <c r="BL1088" s="2" t="s">
        <v>74</v>
      </c>
      <c r="BM1088" s="2" t="s">
        <v>74</v>
      </c>
      <c r="BN1088" s="2" t="s">
        <v>74</v>
      </c>
      <c r="BO1088" s="2" t="s">
        <v>74</v>
      </c>
      <c r="BP1088" s="2" t="s">
        <v>74</v>
      </c>
      <c r="BQ1088" s="2" t="s">
        <v>74</v>
      </c>
      <c r="BR1088" s="2" t="s">
        <v>74</v>
      </c>
      <c r="BS1088" s="2" t="s">
        <v>2120</v>
      </c>
      <c r="BT1088" s="2" t="str">
        <f>HYPERLINK("https%3A%2F%2Fwww.webofscience.com%2Fwos%2Fwoscc%2Ffull-record%2FWOS:A1976CY45000005","View Full Record in Web of Science")</f>
        <v>View Full Record in Web of Science</v>
      </c>
    </row>
    <row r="1089" spans="1:72" s="2" customFormat="1" x14ac:dyDescent="0.4">
      <c r="A1089" s="2" t="s">
        <v>72</v>
      </c>
      <c r="B1089" s="2" t="s">
        <v>1188</v>
      </c>
      <c r="C1089" s="2" t="s">
        <v>74</v>
      </c>
      <c r="D1089" s="2" t="s">
        <v>74</v>
      </c>
      <c r="E1089" s="2" t="s">
        <v>74</v>
      </c>
      <c r="F1089" s="2" t="s">
        <v>1189</v>
      </c>
      <c r="G1089" s="2" t="s">
        <v>74</v>
      </c>
      <c r="H1089" s="2" t="s">
        <v>74</v>
      </c>
      <c r="I1089" s="2" t="s">
        <v>1190</v>
      </c>
      <c r="J1089" s="2" t="s">
        <v>201</v>
      </c>
      <c r="K1089" s="2" t="s">
        <v>74</v>
      </c>
      <c r="L1089" s="2" t="s">
        <v>74</v>
      </c>
      <c r="M1089" s="2" t="s">
        <v>74</v>
      </c>
      <c r="N1089" s="2" t="s">
        <v>74</v>
      </c>
      <c r="O1089" s="2" t="s">
        <v>74</v>
      </c>
      <c r="P1089" s="2" t="s">
        <v>74</v>
      </c>
      <c r="Q1089" s="2" t="s">
        <v>74</v>
      </c>
      <c r="R1089" s="2" t="s">
        <v>74</v>
      </c>
      <c r="S1089" s="2" t="s">
        <v>74</v>
      </c>
      <c r="T1089" s="2" t="s">
        <v>74</v>
      </c>
      <c r="U1089" s="2" t="s">
        <v>74</v>
      </c>
      <c r="V1089" s="5" t="s">
        <v>1191</v>
      </c>
      <c r="W1089" s="2" t="s">
        <v>74</v>
      </c>
      <c r="X1089" s="2" t="s">
        <v>74</v>
      </c>
      <c r="Y1089" s="2" t="s">
        <v>74</v>
      </c>
      <c r="Z1089" s="2" t="s">
        <v>74</v>
      </c>
      <c r="AA1089" s="2" t="s">
        <v>74</v>
      </c>
      <c r="AB1089" s="2" t="s">
        <v>74</v>
      </c>
      <c r="AC1089" s="2" t="s">
        <v>74</v>
      </c>
      <c r="AD1089" s="2" t="s">
        <v>74</v>
      </c>
      <c r="AE1089" s="2" t="s">
        <v>74</v>
      </c>
      <c r="AF1089" s="2" t="s">
        <v>74</v>
      </c>
      <c r="AG1089" s="2" t="s">
        <v>74</v>
      </c>
      <c r="AH1089" s="2" t="s">
        <v>74</v>
      </c>
      <c r="AI1089" s="2" t="s">
        <v>74</v>
      </c>
      <c r="AJ1089" s="2" t="s">
        <v>74</v>
      </c>
      <c r="AK1089" s="2" t="s">
        <v>74</v>
      </c>
      <c r="AL1089" s="2" t="s">
        <v>74</v>
      </c>
      <c r="AM1089" s="2" t="s">
        <v>74</v>
      </c>
      <c r="AN1089" s="2" t="s">
        <v>74</v>
      </c>
      <c r="AO1089" s="2" t="s">
        <v>203</v>
      </c>
      <c r="AP1089" s="2" t="s">
        <v>1192</v>
      </c>
      <c r="AQ1089" s="2" t="s">
        <v>74</v>
      </c>
      <c r="AR1089" s="2" t="s">
        <v>74</v>
      </c>
      <c r="AS1089" s="2" t="s">
        <v>74</v>
      </c>
      <c r="AT1089" s="2" t="s">
        <v>134</v>
      </c>
      <c r="AU1089" s="2">
        <v>2009</v>
      </c>
      <c r="AV1089" s="2">
        <v>74</v>
      </c>
      <c r="AW1089" s="2">
        <v>8</v>
      </c>
      <c r="AX1089" s="2" t="s">
        <v>74</v>
      </c>
      <c r="AY1089" s="2" t="s">
        <v>74</v>
      </c>
      <c r="AZ1089" s="2" t="s">
        <v>74</v>
      </c>
      <c r="BA1089" s="2" t="s">
        <v>74</v>
      </c>
      <c r="BB1089" s="2">
        <v>1804</v>
      </c>
      <c r="BC1089" s="2">
        <v>1815</v>
      </c>
      <c r="BD1089" s="2" t="s">
        <v>74</v>
      </c>
      <c r="BE1089" s="2" t="s">
        <v>1193</v>
      </c>
      <c r="BF1089" s="2" t="str">
        <f>HYPERLINK("http://dx.doi.org/10.1111/j.1095-8649.2009.02256.x","http://dx.doi.org/10.1111/j.1095-8649.2009.02256.x")</f>
        <v>http://dx.doi.org/10.1111/j.1095-8649.2009.02256.x</v>
      </c>
      <c r="BG1089" s="2" t="s">
        <v>74</v>
      </c>
      <c r="BH1089" s="2" t="s">
        <v>74</v>
      </c>
      <c r="BI1089" s="2" t="s">
        <v>74</v>
      </c>
      <c r="BJ1089" s="2" t="s">
        <v>74</v>
      </c>
      <c r="BK1089" s="2" t="s">
        <v>74</v>
      </c>
      <c r="BL1089" s="2" t="s">
        <v>74</v>
      </c>
      <c r="BM1089" s="2" t="s">
        <v>74</v>
      </c>
      <c r="BN1089" s="2">
        <v>20735672</v>
      </c>
      <c r="BO1089" s="2" t="s">
        <v>74</v>
      </c>
      <c r="BP1089" s="2" t="s">
        <v>74</v>
      </c>
      <c r="BQ1089" s="2" t="s">
        <v>74</v>
      </c>
      <c r="BR1089" s="2" t="s">
        <v>74</v>
      </c>
      <c r="BS1089" s="2" t="s">
        <v>1194</v>
      </c>
      <c r="BT1089" s="2" t="str">
        <f>HYPERLINK("https%3A%2F%2Fwww.webofscience.com%2Fwos%2Fwoscc%2Ffull-record%2FWOS:000266243100006","View Full Record in Web of Science")</f>
        <v>View Full Record in Web of Science</v>
      </c>
    </row>
    <row r="1090" spans="1:72" s="2" customFormat="1" x14ac:dyDescent="0.4">
      <c r="A1090" s="2" t="s">
        <v>72</v>
      </c>
      <c r="B1090" s="2" t="s">
        <v>3167</v>
      </c>
      <c r="C1090" s="2" t="s">
        <v>74</v>
      </c>
      <c r="D1090" s="2" t="s">
        <v>74</v>
      </c>
      <c r="E1090" s="2" t="s">
        <v>74</v>
      </c>
      <c r="F1090" s="2" t="s">
        <v>3168</v>
      </c>
      <c r="G1090" s="2" t="s">
        <v>74</v>
      </c>
      <c r="H1090" s="2" t="s">
        <v>74</v>
      </c>
      <c r="I1090" s="2" t="s">
        <v>3169</v>
      </c>
      <c r="J1090" s="2" t="s">
        <v>3170</v>
      </c>
      <c r="K1090" s="2" t="s">
        <v>74</v>
      </c>
      <c r="L1090" s="2" t="s">
        <v>74</v>
      </c>
      <c r="M1090" s="2" t="s">
        <v>74</v>
      </c>
      <c r="N1090" s="2" t="s">
        <v>74</v>
      </c>
      <c r="O1090" s="2" t="s">
        <v>74</v>
      </c>
      <c r="P1090" s="2" t="s">
        <v>74</v>
      </c>
      <c r="Q1090" s="2" t="s">
        <v>74</v>
      </c>
      <c r="R1090" s="2" t="s">
        <v>74</v>
      </c>
      <c r="S1090" s="2" t="s">
        <v>74</v>
      </c>
      <c r="T1090" s="2" t="s">
        <v>74</v>
      </c>
      <c r="U1090" s="2" t="s">
        <v>74</v>
      </c>
      <c r="V1090" s="5" t="s">
        <v>3171</v>
      </c>
      <c r="W1090" s="2" t="s">
        <v>74</v>
      </c>
      <c r="X1090" s="2" t="s">
        <v>74</v>
      </c>
      <c r="Y1090" s="2" t="s">
        <v>74</v>
      </c>
      <c r="Z1090" s="2" t="s">
        <v>74</v>
      </c>
      <c r="AA1090" s="2" t="s">
        <v>3172</v>
      </c>
      <c r="AB1090" s="2" t="s">
        <v>3173</v>
      </c>
      <c r="AC1090" s="2" t="s">
        <v>74</v>
      </c>
      <c r="AD1090" s="2" t="s">
        <v>74</v>
      </c>
      <c r="AE1090" s="2" t="s">
        <v>74</v>
      </c>
      <c r="AF1090" s="2" t="s">
        <v>74</v>
      </c>
      <c r="AG1090" s="2" t="s">
        <v>74</v>
      </c>
      <c r="AH1090" s="2" t="s">
        <v>74</v>
      </c>
      <c r="AI1090" s="2" t="s">
        <v>74</v>
      </c>
      <c r="AJ1090" s="2" t="s">
        <v>74</v>
      </c>
      <c r="AK1090" s="2" t="s">
        <v>74</v>
      </c>
      <c r="AL1090" s="2" t="s">
        <v>74</v>
      </c>
      <c r="AM1090" s="2" t="s">
        <v>74</v>
      </c>
      <c r="AN1090" s="2" t="s">
        <v>74</v>
      </c>
      <c r="AO1090" s="2" t="s">
        <v>3174</v>
      </c>
      <c r="AP1090" s="2" t="s">
        <v>3175</v>
      </c>
      <c r="AQ1090" s="2" t="s">
        <v>74</v>
      </c>
      <c r="AR1090" s="2" t="s">
        <v>74</v>
      </c>
      <c r="AS1090" s="2" t="s">
        <v>74</v>
      </c>
      <c r="AT1090" s="2" t="s">
        <v>145</v>
      </c>
      <c r="AU1090" s="2">
        <v>2021</v>
      </c>
      <c r="AV1090" s="2">
        <v>38</v>
      </c>
      <c r="AW1090" s="2">
        <v>8</v>
      </c>
      <c r="AX1090" s="2" t="s">
        <v>74</v>
      </c>
      <c r="AY1090" s="2" t="s">
        <v>74</v>
      </c>
      <c r="AZ1090" s="2" t="s">
        <v>74</v>
      </c>
      <c r="BA1090" s="2" t="s">
        <v>74</v>
      </c>
      <c r="BB1090" s="2">
        <v>3383</v>
      </c>
      <c r="BC1090" s="2">
        <v>3396</v>
      </c>
      <c r="BD1090" s="2" t="s">
        <v>74</v>
      </c>
      <c r="BE1090" s="2" t="s">
        <v>3176</v>
      </c>
      <c r="BF1090" s="2" t="str">
        <f>HYPERLINK("http://dx.doi.org/10.1093/molbev/msab110","http://dx.doi.org/10.1093/molbev/msab110")</f>
        <v>http://dx.doi.org/10.1093/molbev/msab110</v>
      </c>
      <c r="BG1090" s="2" t="s">
        <v>74</v>
      </c>
      <c r="BH1090" s="2" t="s">
        <v>1051</v>
      </c>
      <c r="BI1090" s="2" t="s">
        <v>74</v>
      </c>
      <c r="BJ1090" s="2" t="s">
        <v>74</v>
      </c>
      <c r="BK1090" s="2" t="s">
        <v>74</v>
      </c>
      <c r="BL1090" s="2" t="s">
        <v>74</v>
      </c>
      <c r="BM1090" s="2" t="s">
        <v>74</v>
      </c>
      <c r="BN1090" s="2">
        <v>33871625</v>
      </c>
      <c r="BO1090" s="2" t="s">
        <v>74</v>
      </c>
      <c r="BP1090" s="2" t="s">
        <v>74</v>
      </c>
      <c r="BQ1090" s="2" t="s">
        <v>74</v>
      </c>
      <c r="BR1090" s="2" t="s">
        <v>74</v>
      </c>
      <c r="BS1090" s="2" t="s">
        <v>3177</v>
      </c>
      <c r="BT1090" s="2" t="str">
        <f>HYPERLINK("https%3A%2F%2Fwww.webofscience.com%2Fwos%2Fwoscc%2Ffull-record%2FWOS:000693740300024","View Full Record in Web of Science")</f>
        <v>View Full Record in Web of Science</v>
      </c>
    </row>
    <row r="1091" spans="1:72" s="2" customFormat="1" x14ac:dyDescent="0.4">
      <c r="A1091" s="2" t="s">
        <v>72</v>
      </c>
      <c r="B1091" s="2" t="s">
        <v>2054</v>
      </c>
      <c r="C1091" s="2" t="s">
        <v>74</v>
      </c>
      <c r="D1091" s="2" t="s">
        <v>74</v>
      </c>
      <c r="E1091" s="2" t="s">
        <v>74</v>
      </c>
      <c r="F1091" s="2" t="s">
        <v>2055</v>
      </c>
      <c r="G1091" s="2" t="s">
        <v>74</v>
      </c>
      <c r="H1091" s="2" t="s">
        <v>74</v>
      </c>
      <c r="I1091" s="2" t="s">
        <v>2056</v>
      </c>
      <c r="J1091" s="2" t="s">
        <v>77</v>
      </c>
      <c r="K1091" s="2" t="s">
        <v>74</v>
      </c>
      <c r="L1091" s="2" t="s">
        <v>74</v>
      </c>
      <c r="M1091" s="2" t="s">
        <v>74</v>
      </c>
      <c r="N1091" s="2" t="s">
        <v>74</v>
      </c>
      <c r="O1091" s="2" t="s">
        <v>74</v>
      </c>
      <c r="P1091" s="2" t="s">
        <v>74</v>
      </c>
      <c r="Q1091" s="2" t="s">
        <v>74</v>
      </c>
      <c r="R1091" s="2" t="s">
        <v>74</v>
      </c>
      <c r="S1091" s="2" t="s">
        <v>74</v>
      </c>
      <c r="T1091" s="2" t="s">
        <v>74</v>
      </c>
      <c r="U1091" s="2" t="s">
        <v>74</v>
      </c>
      <c r="V1091" s="5" t="s">
        <v>2057</v>
      </c>
      <c r="W1091" s="2" t="s">
        <v>74</v>
      </c>
      <c r="X1091" s="2" t="s">
        <v>74</v>
      </c>
      <c r="Y1091" s="2" t="s">
        <v>74</v>
      </c>
      <c r="Z1091" s="2" t="s">
        <v>74</v>
      </c>
      <c r="AA1091" s="2" t="s">
        <v>2058</v>
      </c>
      <c r="AB1091" s="2" t="s">
        <v>1610</v>
      </c>
      <c r="AC1091" s="2" t="s">
        <v>74</v>
      </c>
      <c r="AD1091" s="2" t="s">
        <v>74</v>
      </c>
      <c r="AE1091" s="2" t="s">
        <v>74</v>
      </c>
      <c r="AF1091" s="2" t="s">
        <v>74</v>
      </c>
      <c r="AG1091" s="2" t="s">
        <v>74</v>
      </c>
      <c r="AH1091" s="2" t="s">
        <v>74</v>
      </c>
      <c r="AI1091" s="2" t="s">
        <v>74</v>
      </c>
      <c r="AJ1091" s="2" t="s">
        <v>74</v>
      </c>
      <c r="AK1091" s="2" t="s">
        <v>74</v>
      </c>
      <c r="AL1091" s="2" t="s">
        <v>74</v>
      </c>
      <c r="AM1091" s="2" t="s">
        <v>74</v>
      </c>
      <c r="AN1091" s="2" t="s">
        <v>74</v>
      </c>
      <c r="AO1091" s="2" t="s">
        <v>81</v>
      </c>
      <c r="AP1091" s="2" t="s">
        <v>74</v>
      </c>
      <c r="AQ1091" s="2" t="s">
        <v>74</v>
      </c>
      <c r="AR1091" s="2" t="s">
        <v>74</v>
      </c>
      <c r="AS1091" s="2" t="s">
        <v>74</v>
      </c>
      <c r="AT1091" s="2" t="s">
        <v>74</v>
      </c>
      <c r="AU1091" s="2">
        <v>2013</v>
      </c>
      <c r="AV1091" s="2">
        <v>150</v>
      </c>
      <c r="AW1091" s="2">
        <v>2</v>
      </c>
      <c r="AX1091" s="2" t="s">
        <v>74</v>
      </c>
      <c r="AY1091" s="2" t="s">
        <v>74</v>
      </c>
      <c r="AZ1091" s="2" t="s">
        <v>74</v>
      </c>
      <c r="BA1091" s="2" t="s">
        <v>74</v>
      </c>
      <c r="BB1091" s="2">
        <v>215</v>
      </c>
      <c r="BC1091" s="2">
        <v>223</v>
      </c>
      <c r="BD1091" s="2" t="s">
        <v>74</v>
      </c>
      <c r="BE1091" s="2" t="s">
        <v>2059</v>
      </c>
      <c r="BF1091" s="2" t="str">
        <f>HYPERLINK("http://dx.doi.org/10.1163/1568539X-00003046","http://dx.doi.org/10.1163/1568539X-00003046")</f>
        <v>http://dx.doi.org/10.1163/1568539X-00003046</v>
      </c>
      <c r="BG1091" s="2" t="s">
        <v>74</v>
      </c>
      <c r="BH1091" s="2" t="s">
        <v>74</v>
      </c>
      <c r="BI1091" s="2" t="s">
        <v>74</v>
      </c>
      <c r="BJ1091" s="2" t="s">
        <v>74</v>
      </c>
      <c r="BK1091" s="2" t="s">
        <v>74</v>
      </c>
      <c r="BL1091" s="2" t="s">
        <v>74</v>
      </c>
      <c r="BM1091" s="2" t="s">
        <v>74</v>
      </c>
      <c r="BN1091" s="2" t="s">
        <v>74</v>
      </c>
      <c r="BO1091" s="2" t="s">
        <v>74</v>
      </c>
      <c r="BP1091" s="2" t="s">
        <v>74</v>
      </c>
      <c r="BQ1091" s="2" t="s">
        <v>74</v>
      </c>
      <c r="BR1091" s="2" t="s">
        <v>74</v>
      </c>
      <c r="BS1091" s="2" t="s">
        <v>2060</v>
      </c>
      <c r="BT1091" s="2" t="str">
        <f>HYPERLINK("https%3A%2F%2Fwww.webofscience.com%2Fwos%2Fwoscc%2Ffull-record%2FWOS:000318051100006","View Full Record in Web of Science")</f>
        <v>View Full Record in Web of Science</v>
      </c>
    </row>
    <row r="1092" spans="1:72" s="2" customFormat="1" x14ac:dyDescent="0.4">
      <c r="A1092" s="2" t="s">
        <v>72</v>
      </c>
      <c r="B1092" s="2" t="s">
        <v>1753</v>
      </c>
      <c r="C1092" s="2" t="s">
        <v>74</v>
      </c>
      <c r="D1092" s="2" t="s">
        <v>74</v>
      </c>
      <c r="E1092" s="2" t="s">
        <v>74</v>
      </c>
      <c r="F1092" s="2" t="s">
        <v>1753</v>
      </c>
      <c r="G1092" s="2" t="s">
        <v>74</v>
      </c>
      <c r="H1092" s="2" t="s">
        <v>74</v>
      </c>
      <c r="I1092" s="2" t="s">
        <v>1754</v>
      </c>
      <c r="J1092" s="2" t="s">
        <v>1755</v>
      </c>
      <c r="K1092" s="2" t="s">
        <v>74</v>
      </c>
      <c r="L1092" s="2" t="s">
        <v>74</v>
      </c>
      <c r="M1092" s="2" t="s">
        <v>74</v>
      </c>
      <c r="N1092" s="2" t="s">
        <v>74</v>
      </c>
      <c r="O1092" s="2" t="s">
        <v>74</v>
      </c>
      <c r="P1092" s="2" t="s">
        <v>74</v>
      </c>
      <c r="Q1092" s="2" t="s">
        <v>74</v>
      </c>
      <c r="R1092" s="2" t="s">
        <v>74</v>
      </c>
      <c r="S1092" s="2" t="s">
        <v>74</v>
      </c>
      <c r="T1092" s="2" t="s">
        <v>74</v>
      </c>
      <c r="U1092" s="2" t="s">
        <v>74</v>
      </c>
      <c r="V1092" s="5" t="s">
        <v>1756</v>
      </c>
      <c r="W1092" s="2" t="s">
        <v>74</v>
      </c>
      <c r="X1092" s="2" t="s">
        <v>74</v>
      </c>
      <c r="Y1092" s="2" t="s">
        <v>74</v>
      </c>
      <c r="Z1092" s="2" t="s">
        <v>74</v>
      </c>
      <c r="AA1092" s="2" t="s">
        <v>1757</v>
      </c>
      <c r="AB1092" s="2" t="s">
        <v>1758</v>
      </c>
      <c r="AC1092" s="2" t="s">
        <v>74</v>
      </c>
      <c r="AD1092" s="2" t="s">
        <v>74</v>
      </c>
      <c r="AE1092" s="2" t="s">
        <v>74</v>
      </c>
      <c r="AF1092" s="2" t="s">
        <v>74</v>
      </c>
      <c r="AG1092" s="2" t="s">
        <v>74</v>
      </c>
      <c r="AH1092" s="2" t="s">
        <v>74</v>
      </c>
      <c r="AI1092" s="2" t="s">
        <v>74</v>
      </c>
      <c r="AJ1092" s="2" t="s">
        <v>74</v>
      </c>
      <c r="AK1092" s="2" t="s">
        <v>74</v>
      </c>
      <c r="AL1092" s="2" t="s">
        <v>74</v>
      </c>
      <c r="AM1092" s="2" t="s">
        <v>74</v>
      </c>
      <c r="AN1092" s="2" t="s">
        <v>74</v>
      </c>
      <c r="AO1092" s="2" t="s">
        <v>1759</v>
      </c>
      <c r="AP1092" s="2" t="s">
        <v>1760</v>
      </c>
      <c r="AQ1092" s="2" t="s">
        <v>74</v>
      </c>
      <c r="AR1092" s="2" t="s">
        <v>74</v>
      </c>
      <c r="AS1092" s="2" t="s">
        <v>74</v>
      </c>
      <c r="AT1092" s="2" t="s">
        <v>352</v>
      </c>
      <c r="AU1092" s="2">
        <v>2002</v>
      </c>
      <c r="AV1092" s="2">
        <v>15</v>
      </c>
      <c r="AW1092" s="2">
        <v>5</v>
      </c>
      <c r="AX1092" s="2" t="s">
        <v>74</v>
      </c>
      <c r="AY1092" s="2" t="s">
        <v>74</v>
      </c>
      <c r="AZ1092" s="2" t="s">
        <v>74</v>
      </c>
      <c r="BA1092" s="2" t="s">
        <v>74</v>
      </c>
      <c r="BB1092" s="2">
        <v>675</v>
      </c>
      <c r="BC1092" s="2">
        <v>687</v>
      </c>
      <c r="BD1092" s="2" t="s">
        <v>74</v>
      </c>
      <c r="BE1092" s="2" t="s">
        <v>1761</v>
      </c>
      <c r="BF1092" s="2" t="str">
        <f>HYPERLINK("http://dx.doi.org/10.1023/A:1020747907490","http://dx.doi.org/10.1023/A:1020747907490")</f>
        <v>http://dx.doi.org/10.1023/A:1020747907490</v>
      </c>
      <c r="BG1092" s="2" t="s">
        <v>74</v>
      </c>
      <c r="BH1092" s="2" t="s">
        <v>74</v>
      </c>
      <c r="BI1092" s="2" t="s">
        <v>74</v>
      </c>
      <c r="BJ1092" s="2" t="s">
        <v>74</v>
      </c>
      <c r="BK1092" s="2" t="s">
        <v>74</v>
      </c>
      <c r="BL1092" s="2" t="s">
        <v>74</v>
      </c>
      <c r="BM1092" s="2" t="s">
        <v>74</v>
      </c>
      <c r="BN1092" s="2" t="s">
        <v>74</v>
      </c>
      <c r="BO1092" s="2" t="s">
        <v>74</v>
      </c>
      <c r="BP1092" s="2" t="s">
        <v>74</v>
      </c>
      <c r="BQ1092" s="2" t="s">
        <v>74</v>
      </c>
      <c r="BR1092" s="2" t="s">
        <v>74</v>
      </c>
      <c r="BS1092" s="2" t="s">
        <v>1762</v>
      </c>
      <c r="BT1092" s="2" t="str">
        <f>HYPERLINK("https%3A%2F%2Fwww.webofscience.com%2Fwos%2Fwoscc%2Ffull-record%2FWOS:000178788900005","View Full Record in Web of Science")</f>
        <v>View Full Record in Web of Science</v>
      </c>
    </row>
    <row r="1093" spans="1:72" s="2" customFormat="1" x14ac:dyDescent="0.4">
      <c r="A1093" s="2" t="s">
        <v>72</v>
      </c>
      <c r="B1093" s="2" t="s">
        <v>8222</v>
      </c>
      <c r="C1093" s="2" t="s">
        <v>74</v>
      </c>
      <c r="D1093" s="2" t="s">
        <v>74</v>
      </c>
      <c r="E1093" s="2" t="s">
        <v>74</v>
      </c>
      <c r="F1093" s="2" t="s">
        <v>8222</v>
      </c>
      <c r="G1093" s="2" t="s">
        <v>74</v>
      </c>
      <c r="H1093" s="2" t="s">
        <v>74</v>
      </c>
      <c r="I1093" s="2" t="s">
        <v>8223</v>
      </c>
      <c r="J1093" s="2" t="s">
        <v>140</v>
      </c>
      <c r="K1093" s="2" t="s">
        <v>74</v>
      </c>
      <c r="L1093" s="2" t="s">
        <v>74</v>
      </c>
      <c r="M1093" s="2" t="s">
        <v>74</v>
      </c>
      <c r="N1093" s="2" t="s">
        <v>74</v>
      </c>
      <c r="O1093" s="2" t="s">
        <v>74</v>
      </c>
      <c r="P1093" s="2" t="s">
        <v>74</v>
      </c>
      <c r="Q1093" s="2" t="s">
        <v>74</v>
      </c>
      <c r="R1093" s="2" t="s">
        <v>74</v>
      </c>
      <c r="S1093" s="2" t="s">
        <v>74</v>
      </c>
      <c r="T1093" s="2" t="s">
        <v>74</v>
      </c>
      <c r="U1093" s="2" t="s">
        <v>74</v>
      </c>
      <c r="V1093" s="5" t="s">
        <v>8224</v>
      </c>
      <c r="W1093" s="2" t="s">
        <v>74</v>
      </c>
      <c r="X1093" s="2" t="s">
        <v>74</v>
      </c>
      <c r="Y1093" s="2" t="s">
        <v>74</v>
      </c>
      <c r="Z1093" s="2" t="s">
        <v>74</v>
      </c>
      <c r="AA1093" s="2" t="s">
        <v>74</v>
      </c>
      <c r="AB1093" s="2" t="s">
        <v>74</v>
      </c>
      <c r="AC1093" s="2" t="s">
        <v>74</v>
      </c>
      <c r="AD1093" s="2" t="s">
        <v>74</v>
      </c>
      <c r="AE1093" s="2" t="s">
        <v>74</v>
      </c>
      <c r="AF1093" s="2" t="s">
        <v>74</v>
      </c>
      <c r="AG1093" s="2" t="s">
        <v>74</v>
      </c>
      <c r="AH1093" s="2" t="s">
        <v>74</v>
      </c>
      <c r="AI1093" s="2" t="s">
        <v>74</v>
      </c>
      <c r="AJ1093" s="2" t="s">
        <v>74</v>
      </c>
      <c r="AK1093" s="2" t="s">
        <v>74</v>
      </c>
      <c r="AL1093" s="2" t="s">
        <v>74</v>
      </c>
      <c r="AM1093" s="2" t="s">
        <v>74</v>
      </c>
      <c r="AN1093" s="2" t="s">
        <v>74</v>
      </c>
      <c r="AO1093" s="2" t="s">
        <v>143</v>
      </c>
      <c r="AP1093" s="2" t="s">
        <v>74</v>
      </c>
      <c r="AQ1093" s="2" t="s">
        <v>74</v>
      </c>
      <c r="AR1093" s="2" t="s">
        <v>74</v>
      </c>
      <c r="AS1093" s="2" t="s">
        <v>74</v>
      </c>
      <c r="AT1093" s="2" t="s">
        <v>145</v>
      </c>
      <c r="AU1093" s="2">
        <v>1996</v>
      </c>
      <c r="AV1093" s="2">
        <v>52</v>
      </c>
      <c r="AW1093" s="2" t="s">
        <v>74</v>
      </c>
      <c r="AX1093" s="2">
        <v>2</v>
      </c>
      <c r="AY1093" s="2" t="s">
        <v>74</v>
      </c>
      <c r="AZ1093" s="2" t="s">
        <v>74</v>
      </c>
      <c r="BA1093" s="2" t="s">
        <v>74</v>
      </c>
      <c r="BB1093" s="2">
        <v>371</v>
      </c>
      <c r="BC1093" s="2">
        <v>378</v>
      </c>
      <c r="BD1093" s="2" t="s">
        <v>74</v>
      </c>
      <c r="BE1093" s="2" t="s">
        <v>8225</v>
      </c>
      <c r="BF1093" s="2" t="str">
        <f>HYPERLINK("http://dx.doi.org/10.1006/anbe.1996.0181","http://dx.doi.org/10.1006/anbe.1996.0181")</f>
        <v>http://dx.doi.org/10.1006/anbe.1996.0181</v>
      </c>
      <c r="BG1093" s="2" t="s">
        <v>74</v>
      </c>
      <c r="BH1093" s="2" t="s">
        <v>74</v>
      </c>
      <c r="BI1093" s="2" t="s">
        <v>74</v>
      </c>
      <c r="BJ1093" s="2" t="s">
        <v>74</v>
      </c>
      <c r="BK1093" s="2" t="s">
        <v>74</v>
      </c>
      <c r="BL1093" s="2" t="s">
        <v>74</v>
      </c>
      <c r="BM1093" s="2" t="s">
        <v>74</v>
      </c>
      <c r="BN1093" s="2" t="s">
        <v>74</v>
      </c>
      <c r="BO1093" s="2" t="s">
        <v>74</v>
      </c>
      <c r="BP1093" s="2" t="s">
        <v>74</v>
      </c>
      <c r="BQ1093" s="2" t="s">
        <v>74</v>
      </c>
      <c r="BR1093" s="2" t="s">
        <v>74</v>
      </c>
      <c r="BS1093" s="2" t="s">
        <v>8226</v>
      </c>
      <c r="BT1093" s="2" t="str">
        <f>HYPERLINK("https%3A%2F%2Fwww.webofscience.com%2Fwos%2Fwoscc%2Ffull-record%2FWOS:A1996VH71700013","View Full Record in Web of Science")</f>
        <v>View Full Record in Web of Science</v>
      </c>
    </row>
    <row r="1094" spans="1:72" s="2" customFormat="1" x14ac:dyDescent="0.4">
      <c r="A1094" s="2" t="s">
        <v>72</v>
      </c>
      <c r="B1094" s="2" t="s">
        <v>3466</v>
      </c>
      <c r="C1094" s="2" t="s">
        <v>74</v>
      </c>
      <c r="D1094" s="2" t="s">
        <v>74</v>
      </c>
      <c r="E1094" s="2" t="s">
        <v>74</v>
      </c>
      <c r="F1094" s="2" t="s">
        <v>3466</v>
      </c>
      <c r="G1094" s="2" t="s">
        <v>74</v>
      </c>
      <c r="H1094" s="2" t="s">
        <v>74</v>
      </c>
      <c r="I1094" s="2" t="s">
        <v>3467</v>
      </c>
      <c r="J1094" s="2" t="s">
        <v>77</v>
      </c>
      <c r="K1094" s="2" t="s">
        <v>74</v>
      </c>
      <c r="L1094" s="2" t="s">
        <v>74</v>
      </c>
      <c r="M1094" s="2" t="s">
        <v>74</v>
      </c>
      <c r="N1094" s="2" t="s">
        <v>74</v>
      </c>
      <c r="O1094" s="2" t="s">
        <v>74</v>
      </c>
      <c r="P1094" s="2" t="s">
        <v>74</v>
      </c>
      <c r="Q1094" s="2" t="s">
        <v>74</v>
      </c>
      <c r="R1094" s="2" t="s">
        <v>74</v>
      </c>
      <c r="S1094" s="2" t="s">
        <v>74</v>
      </c>
      <c r="T1094" s="2" t="s">
        <v>74</v>
      </c>
      <c r="U1094" s="2" t="s">
        <v>74</v>
      </c>
      <c r="V1094" s="5" t="s">
        <v>3468</v>
      </c>
      <c r="W1094" s="2" t="s">
        <v>74</v>
      </c>
      <c r="X1094" s="2" t="s">
        <v>74</v>
      </c>
      <c r="Y1094" s="2" t="s">
        <v>74</v>
      </c>
      <c r="Z1094" s="2" t="s">
        <v>74</v>
      </c>
      <c r="AA1094" s="2" t="s">
        <v>74</v>
      </c>
      <c r="AB1094" s="2" t="s">
        <v>74</v>
      </c>
      <c r="AC1094" s="2" t="s">
        <v>74</v>
      </c>
      <c r="AD1094" s="2" t="s">
        <v>74</v>
      </c>
      <c r="AE1094" s="2" t="s">
        <v>74</v>
      </c>
      <c r="AF1094" s="2" t="s">
        <v>74</v>
      </c>
      <c r="AG1094" s="2" t="s">
        <v>74</v>
      </c>
      <c r="AH1094" s="2" t="s">
        <v>74</v>
      </c>
      <c r="AI1094" s="2" t="s">
        <v>74</v>
      </c>
      <c r="AJ1094" s="2" t="s">
        <v>74</v>
      </c>
      <c r="AK1094" s="2" t="s">
        <v>74</v>
      </c>
      <c r="AL1094" s="2" t="s">
        <v>74</v>
      </c>
      <c r="AM1094" s="2" t="s">
        <v>74</v>
      </c>
      <c r="AN1094" s="2" t="s">
        <v>74</v>
      </c>
      <c r="AO1094" s="2" t="s">
        <v>81</v>
      </c>
      <c r="AP1094" s="2" t="s">
        <v>82</v>
      </c>
      <c r="AQ1094" s="2" t="s">
        <v>74</v>
      </c>
      <c r="AR1094" s="2" t="s">
        <v>74</v>
      </c>
      <c r="AS1094" s="2" t="s">
        <v>74</v>
      </c>
      <c r="AT1094" s="2" t="s">
        <v>255</v>
      </c>
      <c r="AU1094" s="2">
        <v>2006</v>
      </c>
      <c r="AV1094" s="2">
        <v>143</v>
      </c>
      <c r="AW1094" s="2" t="s">
        <v>74</v>
      </c>
      <c r="AX1094" s="2">
        <v>1</v>
      </c>
      <c r="AY1094" s="2" t="s">
        <v>74</v>
      </c>
      <c r="AZ1094" s="2" t="s">
        <v>74</v>
      </c>
      <c r="BA1094" s="2" t="s">
        <v>74</v>
      </c>
      <c r="BB1094" s="2">
        <v>33</v>
      </c>
      <c r="BC1094" s="2">
        <v>56</v>
      </c>
      <c r="BD1094" s="2" t="s">
        <v>74</v>
      </c>
      <c r="BE1094" s="2" t="s">
        <v>3469</v>
      </c>
      <c r="BF1094" s="2" t="str">
        <f>HYPERLINK("http://dx.doi.org/10.1163/156853906775133623","http://dx.doi.org/10.1163/156853906775133623")</f>
        <v>http://dx.doi.org/10.1163/156853906775133623</v>
      </c>
      <c r="BG1094" s="2" t="s">
        <v>74</v>
      </c>
      <c r="BH1094" s="2" t="s">
        <v>74</v>
      </c>
      <c r="BI1094" s="2" t="s">
        <v>74</v>
      </c>
      <c r="BJ1094" s="2" t="s">
        <v>74</v>
      </c>
      <c r="BK1094" s="2" t="s">
        <v>74</v>
      </c>
      <c r="BL1094" s="2" t="s">
        <v>74</v>
      </c>
      <c r="BM1094" s="2" t="s">
        <v>74</v>
      </c>
      <c r="BN1094" s="2" t="s">
        <v>74</v>
      </c>
      <c r="BO1094" s="2" t="s">
        <v>74</v>
      </c>
      <c r="BP1094" s="2" t="s">
        <v>74</v>
      </c>
      <c r="BQ1094" s="2" t="s">
        <v>74</v>
      </c>
      <c r="BR1094" s="2" t="s">
        <v>74</v>
      </c>
      <c r="BS1094" s="2" t="s">
        <v>3470</v>
      </c>
      <c r="BT1094" s="2" t="str">
        <f>HYPERLINK("https%3A%2F%2Fwww.webofscience.com%2Fwos%2Fwoscc%2Ffull-record%2FWOS:000235545400003","View Full Record in Web of Science")</f>
        <v>View Full Record in Web of Science</v>
      </c>
    </row>
    <row r="1095" spans="1:72" s="2" customFormat="1" x14ac:dyDescent="0.4">
      <c r="A1095" s="2" t="s">
        <v>72</v>
      </c>
      <c r="B1095" s="2" t="s">
        <v>7876</v>
      </c>
      <c r="C1095" s="2" t="s">
        <v>74</v>
      </c>
      <c r="D1095" s="2" t="s">
        <v>74</v>
      </c>
      <c r="E1095" s="2" t="s">
        <v>74</v>
      </c>
      <c r="F1095" s="2" t="s">
        <v>7876</v>
      </c>
      <c r="G1095" s="2" t="s">
        <v>74</v>
      </c>
      <c r="H1095" s="2" t="s">
        <v>74</v>
      </c>
      <c r="I1095" s="2" t="s">
        <v>7877</v>
      </c>
      <c r="J1095" s="2" t="s">
        <v>171</v>
      </c>
      <c r="K1095" s="2" t="s">
        <v>74</v>
      </c>
      <c r="L1095" s="2" t="s">
        <v>74</v>
      </c>
      <c r="M1095" s="2" t="s">
        <v>74</v>
      </c>
      <c r="N1095" s="2" t="s">
        <v>74</v>
      </c>
      <c r="O1095" s="2" t="s">
        <v>74</v>
      </c>
      <c r="P1095" s="2" t="s">
        <v>74</v>
      </c>
      <c r="Q1095" s="2" t="s">
        <v>74</v>
      </c>
      <c r="R1095" s="2" t="s">
        <v>74</v>
      </c>
      <c r="S1095" s="2" t="s">
        <v>74</v>
      </c>
      <c r="T1095" s="2" t="s">
        <v>74</v>
      </c>
      <c r="U1095" s="2" t="s">
        <v>74</v>
      </c>
      <c r="V1095" s="5" t="s">
        <v>7878</v>
      </c>
      <c r="W1095" s="2" t="s">
        <v>74</v>
      </c>
      <c r="X1095" s="2" t="s">
        <v>74</v>
      </c>
      <c r="Y1095" s="2" t="s">
        <v>74</v>
      </c>
      <c r="Z1095" s="2" t="s">
        <v>74</v>
      </c>
      <c r="AA1095" s="2" t="s">
        <v>7879</v>
      </c>
      <c r="AB1095" s="2" t="s">
        <v>7880</v>
      </c>
      <c r="AC1095" s="2" t="s">
        <v>74</v>
      </c>
      <c r="AD1095" s="2" t="s">
        <v>74</v>
      </c>
      <c r="AE1095" s="2" t="s">
        <v>74</v>
      </c>
      <c r="AF1095" s="2" t="s">
        <v>74</v>
      </c>
      <c r="AG1095" s="2" t="s">
        <v>74</v>
      </c>
      <c r="AH1095" s="2" t="s">
        <v>74</v>
      </c>
      <c r="AI1095" s="2" t="s">
        <v>74</v>
      </c>
      <c r="AJ1095" s="2" t="s">
        <v>74</v>
      </c>
      <c r="AK1095" s="2" t="s">
        <v>74</v>
      </c>
      <c r="AL1095" s="2" t="s">
        <v>74</v>
      </c>
      <c r="AM1095" s="2" t="s">
        <v>74</v>
      </c>
      <c r="AN1095" s="2" t="s">
        <v>74</v>
      </c>
      <c r="AO1095" s="2" t="s">
        <v>173</v>
      </c>
      <c r="AP1095" s="2" t="s">
        <v>174</v>
      </c>
      <c r="AQ1095" s="2" t="s">
        <v>74</v>
      </c>
      <c r="AR1095" s="2" t="s">
        <v>74</v>
      </c>
      <c r="AS1095" s="2" t="s">
        <v>74</v>
      </c>
      <c r="AT1095" s="2" t="s">
        <v>175</v>
      </c>
      <c r="AU1095" s="2">
        <v>1992</v>
      </c>
      <c r="AV1095" s="2">
        <v>46</v>
      </c>
      <c r="AW1095" s="2">
        <v>5</v>
      </c>
      <c r="AX1095" s="2" t="s">
        <v>74</v>
      </c>
      <c r="AY1095" s="2" t="s">
        <v>74</v>
      </c>
      <c r="AZ1095" s="2" t="s">
        <v>74</v>
      </c>
      <c r="BA1095" s="2" t="s">
        <v>74</v>
      </c>
      <c r="BB1095" s="2">
        <v>1421</v>
      </c>
      <c r="BC1095" s="2">
        <v>1442</v>
      </c>
      <c r="BD1095" s="2" t="s">
        <v>74</v>
      </c>
      <c r="BE1095" s="2" t="s">
        <v>7881</v>
      </c>
      <c r="BF1095" s="2" t="str">
        <f>HYPERLINK("http://dx.doi.org/10.2307/2409947","http://dx.doi.org/10.2307/2409947")</f>
        <v>http://dx.doi.org/10.2307/2409947</v>
      </c>
      <c r="BG1095" s="2" t="s">
        <v>74</v>
      </c>
      <c r="BH1095" s="2" t="s">
        <v>74</v>
      </c>
      <c r="BI1095" s="2" t="s">
        <v>74</v>
      </c>
      <c r="BJ1095" s="2" t="s">
        <v>74</v>
      </c>
      <c r="BK1095" s="2" t="s">
        <v>74</v>
      </c>
      <c r="BL1095" s="2" t="s">
        <v>74</v>
      </c>
      <c r="BM1095" s="2" t="s">
        <v>74</v>
      </c>
      <c r="BN1095" s="2">
        <v>28569004</v>
      </c>
      <c r="BO1095" s="2" t="s">
        <v>74</v>
      </c>
      <c r="BP1095" s="2" t="s">
        <v>74</v>
      </c>
      <c r="BQ1095" s="2" t="s">
        <v>74</v>
      </c>
      <c r="BR1095" s="2" t="s">
        <v>74</v>
      </c>
      <c r="BS1095" s="2" t="s">
        <v>7882</v>
      </c>
      <c r="BT1095" s="2" t="str">
        <f>HYPERLINK("https%3A%2F%2Fwww.webofscience.com%2Fwos%2Fwoscc%2Ffull-record%2FWOS:A1992JV37100013","View Full Record in Web of Science")</f>
        <v>View Full Record in Web of Science</v>
      </c>
    </row>
    <row r="1096" spans="1:72" s="2" customFormat="1" x14ac:dyDescent="0.4">
      <c r="A1096" s="2" t="s">
        <v>72</v>
      </c>
      <c r="B1096" s="2" t="s">
        <v>3853</v>
      </c>
      <c r="C1096" s="2" t="s">
        <v>74</v>
      </c>
      <c r="D1096" s="2" t="s">
        <v>74</v>
      </c>
      <c r="E1096" s="2" t="s">
        <v>74</v>
      </c>
      <c r="F1096" s="2" t="s">
        <v>3853</v>
      </c>
      <c r="G1096" s="2" t="s">
        <v>74</v>
      </c>
      <c r="H1096" s="2" t="s">
        <v>74</v>
      </c>
      <c r="I1096" s="2" t="s">
        <v>3854</v>
      </c>
      <c r="J1096" s="2" t="s">
        <v>3855</v>
      </c>
      <c r="K1096" s="2" t="s">
        <v>74</v>
      </c>
      <c r="L1096" s="2" t="s">
        <v>74</v>
      </c>
      <c r="M1096" s="2" t="s">
        <v>74</v>
      </c>
      <c r="N1096" s="2" t="s">
        <v>74</v>
      </c>
      <c r="O1096" s="2" t="s">
        <v>74</v>
      </c>
      <c r="P1096" s="2" t="s">
        <v>74</v>
      </c>
      <c r="Q1096" s="2" t="s">
        <v>74</v>
      </c>
      <c r="R1096" s="2" t="s">
        <v>74</v>
      </c>
      <c r="S1096" s="2" t="s">
        <v>74</v>
      </c>
      <c r="T1096" s="2" t="s">
        <v>74</v>
      </c>
      <c r="U1096" s="2" t="s">
        <v>74</v>
      </c>
      <c r="V1096" s="5" t="s">
        <v>3856</v>
      </c>
      <c r="W1096" s="2" t="s">
        <v>74</v>
      </c>
      <c r="X1096" s="2" t="s">
        <v>74</v>
      </c>
      <c r="Y1096" s="2" t="s">
        <v>74</v>
      </c>
      <c r="Z1096" s="2" t="s">
        <v>74</v>
      </c>
      <c r="AA1096" s="2" t="s">
        <v>74</v>
      </c>
      <c r="AB1096" s="2" t="s">
        <v>74</v>
      </c>
      <c r="AC1096" s="2" t="s">
        <v>74</v>
      </c>
      <c r="AD1096" s="2" t="s">
        <v>74</v>
      </c>
      <c r="AE1096" s="2" t="s">
        <v>74</v>
      </c>
      <c r="AF1096" s="2" t="s">
        <v>74</v>
      </c>
      <c r="AG1096" s="2" t="s">
        <v>74</v>
      </c>
      <c r="AH1096" s="2" t="s">
        <v>74</v>
      </c>
      <c r="AI1096" s="2" t="s">
        <v>74</v>
      </c>
      <c r="AJ1096" s="2" t="s">
        <v>74</v>
      </c>
      <c r="AK1096" s="2" t="s">
        <v>74</v>
      </c>
      <c r="AL1096" s="2" t="s">
        <v>74</v>
      </c>
      <c r="AM1096" s="2" t="s">
        <v>74</v>
      </c>
      <c r="AN1096" s="2" t="s">
        <v>74</v>
      </c>
      <c r="AO1096" s="2" t="s">
        <v>3857</v>
      </c>
      <c r="AP1096" s="2" t="s">
        <v>74</v>
      </c>
      <c r="AQ1096" s="2" t="s">
        <v>74</v>
      </c>
      <c r="AR1096" s="2" t="s">
        <v>74</v>
      </c>
      <c r="AS1096" s="2" t="s">
        <v>74</v>
      </c>
      <c r="AT1096" s="2" t="s">
        <v>213</v>
      </c>
      <c r="AU1096" s="2">
        <v>1991</v>
      </c>
      <c r="AV1096" s="2">
        <v>9</v>
      </c>
      <c r="AW1096" s="2" t="s">
        <v>548</v>
      </c>
      <c r="AX1096" s="2" t="s">
        <v>74</v>
      </c>
      <c r="AY1096" s="2" t="s">
        <v>74</v>
      </c>
      <c r="AZ1096" s="2" t="s">
        <v>74</v>
      </c>
      <c r="BA1096" s="2" t="s">
        <v>74</v>
      </c>
      <c r="BB1096" s="2">
        <v>20</v>
      </c>
      <c r="BC1096" s="2">
        <v>29</v>
      </c>
      <c r="BD1096" s="2" t="s">
        <v>74</v>
      </c>
      <c r="BE1096" s="2" t="s">
        <v>3858</v>
      </c>
      <c r="BF1096" s="2" t="str">
        <f>HYPERLINK("http://dx.doi.org/10.3727/015613890791749136","http://dx.doi.org/10.3727/015613890791749136")</f>
        <v>http://dx.doi.org/10.3727/015613890791749136</v>
      </c>
      <c r="BG1096" s="2" t="s">
        <v>74</v>
      </c>
      <c r="BH1096" s="2" t="s">
        <v>74</v>
      </c>
      <c r="BI1096" s="2" t="s">
        <v>74</v>
      </c>
      <c r="BJ1096" s="2" t="s">
        <v>74</v>
      </c>
      <c r="BK1096" s="2" t="s">
        <v>74</v>
      </c>
      <c r="BL1096" s="2" t="s">
        <v>74</v>
      </c>
      <c r="BM1096" s="2" t="s">
        <v>74</v>
      </c>
      <c r="BN1096" s="2" t="s">
        <v>74</v>
      </c>
      <c r="BO1096" s="2" t="s">
        <v>74</v>
      </c>
      <c r="BP1096" s="2" t="s">
        <v>74</v>
      </c>
      <c r="BQ1096" s="2" t="s">
        <v>74</v>
      </c>
      <c r="BR1096" s="2" t="s">
        <v>74</v>
      </c>
      <c r="BS1096" s="2" t="s">
        <v>3859</v>
      </c>
      <c r="BT1096" s="2" t="str">
        <f>HYPERLINK("https%3A%2F%2Fwww.webofscience.com%2Fwos%2Fwoscc%2Ffull-record%2FWOS:A1991HW66600004","View Full Record in Web of Science")</f>
        <v>View Full Record in Web of Science</v>
      </c>
    </row>
    <row r="1097" spans="1:72" s="2" customFormat="1" x14ac:dyDescent="0.4">
      <c r="A1097" s="2" t="s">
        <v>72</v>
      </c>
      <c r="B1097" s="2" t="s">
        <v>5926</v>
      </c>
      <c r="C1097" s="2" t="s">
        <v>74</v>
      </c>
      <c r="D1097" s="2" t="s">
        <v>74</v>
      </c>
      <c r="E1097" s="2" t="s">
        <v>74</v>
      </c>
      <c r="F1097" s="2" t="s">
        <v>5927</v>
      </c>
      <c r="G1097" s="2" t="s">
        <v>74</v>
      </c>
      <c r="H1097" s="2" t="s">
        <v>74</v>
      </c>
      <c r="I1097" s="2" t="s">
        <v>5928</v>
      </c>
      <c r="J1097" s="2" t="s">
        <v>333</v>
      </c>
      <c r="K1097" s="2" t="s">
        <v>74</v>
      </c>
      <c r="L1097" s="2" t="s">
        <v>74</v>
      </c>
      <c r="M1097" s="2" t="s">
        <v>74</v>
      </c>
      <c r="N1097" s="2" t="s">
        <v>74</v>
      </c>
      <c r="O1097" s="2" t="s">
        <v>74</v>
      </c>
      <c r="P1097" s="2" t="s">
        <v>74</v>
      </c>
      <c r="Q1097" s="2" t="s">
        <v>74</v>
      </c>
      <c r="R1097" s="2" t="s">
        <v>74</v>
      </c>
      <c r="S1097" s="2" t="s">
        <v>74</v>
      </c>
      <c r="T1097" s="2" t="s">
        <v>74</v>
      </c>
      <c r="U1097" s="2" t="s">
        <v>74</v>
      </c>
      <c r="V1097" s="5" t="s">
        <v>5929</v>
      </c>
      <c r="W1097" s="2" t="s">
        <v>74</v>
      </c>
      <c r="X1097" s="2" t="s">
        <v>74</v>
      </c>
      <c r="Y1097" s="2" t="s">
        <v>74</v>
      </c>
      <c r="Z1097" s="2" t="s">
        <v>74</v>
      </c>
      <c r="AA1097" s="2" t="s">
        <v>5930</v>
      </c>
      <c r="AB1097" s="2" t="s">
        <v>5931</v>
      </c>
      <c r="AC1097" s="2" t="s">
        <v>74</v>
      </c>
      <c r="AD1097" s="2" t="s">
        <v>74</v>
      </c>
      <c r="AE1097" s="2" t="s">
        <v>74</v>
      </c>
      <c r="AF1097" s="2" t="s">
        <v>74</v>
      </c>
      <c r="AG1097" s="2" t="s">
        <v>74</v>
      </c>
      <c r="AH1097" s="2" t="s">
        <v>74</v>
      </c>
      <c r="AI1097" s="2" t="s">
        <v>74</v>
      </c>
      <c r="AJ1097" s="2" t="s">
        <v>74</v>
      </c>
      <c r="AK1097" s="2" t="s">
        <v>74</v>
      </c>
      <c r="AL1097" s="2" t="s">
        <v>74</v>
      </c>
      <c r="AM1097" s="2" t="s">
        <v>74</v>
      </c>
      <c r="AN1097" s="2" t="s">
        <v>74</v>
      </c>
      <c r="AO1097" s="2" t="s">
        <v>337</v>
      </c>
      <c r="AP1097" s="2" t="s">
        <v>338</v>
      </c>
      <c r="AQ1097" s="2" t="s">
        <v>74</v>
      </c>
      <c r="AR1097" s="2" t="s">
        <v>74</v>
      </c>
      <c r="AS1097" s="2" t="s">
        <v>74</v>
      </c>
      <c r="AT1097" s="2" t="s">
        <v>808</v>
      </c>
      <c r="AU1097" s="2">
        <v>2015</v>
      </c>
      <c r="AV1097" s="2">
        <v>26</v>
      </c>
      <c r="AW1097" s="2">
        <v>3</v>
      </c>
      <c r="AX1097" s="2" t="s">
        <v>74</v>
      </c>
      <c r="AY1097" s="2" t="s">
        <v>74</v>
      </c>
      <c r="AZ1097" s="2" t="s">
        <v>74</v>
      </c>
      <c r="BA1097" s="2" t="s">
        <v>74</v>
      </c>
      <c r="BB1097" s="2">
        <v>820</v>
      </c>
      <c r="BC1097" s="2">
        <v>827</v>
      </c>
      <c r="BD1097" s="2" t="s">
        <v>74</v>
      </c>
      <c r="BE1097" s="2" t="s">
        <v>5932</v>
      </c>
      <c r="BF1097" s="2" t="str">
        <f>HYPERLINK("http://dx.doi.org/10.1093/beheco/arv019","http://dx.doi.org/10.1093/beheco/arv019")</f>
        <v>http://dx.doi.org/10.1093/beheco/arv019</v>
      </c>
      <c r="BG1097" s="2" t="s">
        <v>74</v>
      </c>
      <c r="BH1097" s="2" t="s">
        <v>74</v>
      </c>
      <c r="BI1097" s="2" t="s">
        <v>74</v>
      </c>
      <c r="BJ1097" s="2" t="s">
        <v>74</v>
      </c>
      <c r="BK1097" s="2" t="s">
        <v>74</v>
      </c>
      <c r="BL1097" s="2" t="s">
        <v>74</v>
      </c>
      <c r="BM1097" s="2" t="s">
        <v>74</v>
      </c>
      <c r="BN1097" s="2" t="s">
        <v>74</v>
      </c>
      <c r="BO1097" s="2" t="s">
        <v>74</v>
      </c>
      <c r="BP1097" s="2" t="s">
        <v>74</v>
      </c>
      <c r="BQ1097" s="2" t="s">
        <v>74</v>
      </c>
      <c r="BR1097" s="2" t="s">
        <v>74</v>
      </c>
      <c r="BS1097" s="2" t="s">
        <v>5933</v>
      </c>
      <c r="BT1097" s="2" t="str">
        <f>HYPERLINK("https%3A%2F%2Fwww.webofscience.com%2Fwos%2Fwoscc%2Ffull-record%2FWOS:000356585100024","View Full Record in Web of Science")</f>
        <v>View Full Record in Web of Science</v>
      </c>
    </row>
    <row r="1098" spans="1:72" s="2" customFormat="1" x14ac:dyDescent="0.4">
      <c r="A1098" s="2" t="s">
        <v>72</v>
      </c>
      <c r="B1098" s="2" t="s">
        <v>5105</v>
      </c>
      <c r="C1098" s="2" t="s">
        <v>74</v>
      </c>
      <c r="D1098" s="2" t="s">
        <v>74</v>
      </c>
      <c r="E1098" s="2" t="s">
        <v>74</v>
      </c>
      <c r="F1098" s="2" t="s">
        <v>5105</v>
      </c>
      <c r="G1098" s="2" t="s">
        <v>74</v>
      </c>
      <c r="H1098" s="2" t="s">
        <v>74</v>
      </c>
      <c r="I1098" s="2" t="s">
        <v>5106</v>
      </c>
      <c r="J1098" s="2" t="s">
        <v>5107</v>
      </c>
      <c r="K1098" s="2" t="s">
        <v>74</v>
      </c>
      <c r="L1098" s="2" t="s">
        <v>74</v>
      </c>
      <c r="M1098" s="2" t="s">
        <v>74</v>
      </c>
      <c r="N1098" s="2" t="s">
        <v>74</v>
      </c>
      <c r="O1098" s="2" t="s">
        <v>74</v>
      </c>
      <c r="P1098" s="2" t="s">
        <v>74</v>
      </c>
      <c r="Q1098" s="2" t="s">
        <v>74</v>
      </c>
      <c r="R1098" s="2" t="s">
        <v>74</v>
      </c>
      <c r="S1098" s="2" t="s">
        <v>74</v>
      </c>
      <c r="T1098" s="2" t="s">
        <v>74</v>
      </c>
      <c r="U1098" s="2" t="s">
        <v>74</v>
      </c>
      <c r="V1098" s="5" t="s">
        <v>5108</v>
      </c>
      <c r="W1098" s="2" t="s">
        <v>74</v>
      </c>
      <c r="X1098" s="2" t="s">
        <v>74</v>
      </c>
      <c r="Y1098" s="2" t="s">
        <v>74</v>
      </c>
      <c r="Z1098" s="2" t="s">
        <v>74</v>
      </c>
      <c r="AA1098" s="2" t="s">
        <v>74</v>
      </c>
      <c r="AB1098" s="2" t="s">
        <v>74</v>
      </c>
      <c r="AC1098" s="2" t="s">
        <v>74</v>
      </c>
      <c r="AD1098" s="2" t="s">
        <v>74</v>
      </c>
      <c r="AE1098" s="2" t="s">
        <v>74</v>
      </c>
      <c r="AF1098" s="2" t="s">
        <v>74</v>
      </c>
      <c r="AG1098" s="2" t="s">
        <v>74</v>
      </c>
      <c r="AH1098" s="2" t="s">
        <v>74</v>
      </c>
      <c r="AI1098" s="2" t="s">
        <v>74</v>
      </c>
      <c r="AJ1098" s="2" t="s">
        <v>74</v>
      </c>
      <c r="AK1098" s="2" t="s">
        <v>74</v>
      </c>
      <c r="AL1098" s="2" t="s">
        <v>74</v>
      </c>
      <c r="AM1098" s="2" t="s">
        <v>74</v>
      </c>
      <c r="AN1098" s="2" t="s">
        <v>74</v>
      </c>
      <c r="AO1098" s="2" t="s">
        <v>5109</v>
      </c>
      <c r="AP1098" s="2" t="s">
        <v>5110</v>
      </c>
      <c r="AQ1098" s="2" t="s">
        <v>74</v>
      </c>
      <c r="AR1098" s="2" t="s">
        <v>74</v>
      </c>
      <c r="AS1098" s="2" t="s">
        <v>74</v>
      </c>
      <c r="AT1098" s="2" t="s">
        <v>633</v>
      </c>
      <c r="AU1098" s="2">
        <v>1996</v>
      </c>
      <c r="AV1098" s="2">
        <v>6</v>
      </c>
      <c r="AW1098" s="2">
        <v>2</v>
      </c>
      <c r="AX1098" s="2" t="s">
        <v>74</v>
      </c>
      <c r="AY1098" s="2" t="s">
        <v>74</v>
      </c>
      <c r="AZ1098" s="2" t="s">
        <v>74</v>
      </c>
      <c r="BA1098" s="2" t="s">
        <v>74</v>
      </c>
      <c r="BB1098" s="2">
        <v>245</v>
      </c>
      <c r="BC1098" s="2">
        <v>252</v>
      </c>
      <c r="BD1098" s="2" t="s">
        <v>74</v>
      </c>
      <c r="BE1098" s="2" t="s">
        <v>5111</v>
      </c>
      <c r="BF1098" s="2" t="str">
        <f>HYPERLINK("http://dx.doi.org/10.1006/bcon.1996.0031","http://dx.doi.org/10.1006/bcon.1996.0031")</f>
        <v>http://dx.doi.org/10.1006/bcon.1996.0031</v>
      </c>
      <c r="BG1098" s="2" t="s">
        <v>74</v>
      </c>
      <c r="BH1098" s="2" t="s">
        <v>74</v>
      </c>
      <c r="BI1098" s="2" t="s">
        <v>74</v>
      </c>
      <c r="BJ1098" s="2" t="s">
        <v>74</v>
      </c>
      <c r="BK1098" s="2" t="s">
        <v>74</v>
      </c>
      <c r="BL1098" s="2" t="s">
        <v>74</v>
      </c>
      <c r="BM1098" s="2" t="s">
        <v>74</v>
      </c>
      <c r="BN1098" s="2" t="s">
        <v>74</v>
      </c>
      <c r="BO1098" s="2" t="s">
        <v>74</v>
      </c>
      <c r="BP1098" s="2" t="s">
        <v>74</v>
      </c>
      <c r="BQ1098" s="2" t="s">
        <v>74</v>
      </c>
      <c r="BR1098" s="2" t="s">
        <v>74</v>
      </c>
      <c r="BS1098" s="2" t="s">
        <v>5112</v>
      </c>
      <c r="BT1098" s="2" t="str">
        <f>HYPERLINK("https%3A%2F%2Fwww.webofscience.com%2Fwos%2Fwoscc%2Ffull-record%2FWOS:A1996UC68700014","View Full Record in Web of Science")</f>
        <v>View Full Record in Web of Science</v>
      </c>
    </row>
    <row r="1099" spans="1:72" s="2" customFormat="1" x14ac:dyDescent="0.4">
      <c r="A1099" s="2" t="s">
        <v>72</v>
      </c>
      <c r="B1099" s="2" t="s">
        <v>4903</v>
      </c>
      <c r="C1099" s="2" t="s">
        <v>74</v>
      </c>
      <c r="D1099" s="2" t="s">
        <v>74</v>
      </c>
      <c r="E1099" s="2" t="s">
        <v>74</v>
      </c>
      <c r="F1099" s="2" t="s">
        <v>4904</v>
      </c>
      <c r="G1099" s="2" t="s">
        <v>74</v>
      </c>
      <c r="H1099" s="2" t="s">
        <v>74</v>
      </c>
      <c r="I1099" s="2" t="s">
        <v>4905</v>
      </c>
      <c r="J1099" s="2" t="s">
        <v>140</v>
      </c>
      <c r="K1099" s="2" t="s">
        <v>74</v>
      </c>
      <c r="L1099" s="2" t="s">
        <v>74</v>
      </c>
      <c r="M1099" s="2" t="s">
        <v>74</v>
      </c>
      <c r="N1099" s="2" t="s">
        <v>74</v>
      </c>
      <c r="O1099" s="2" t="s">
        <v>74</v>
      </c>
      <c r="P1099" s="2" t="s">
        <v>74</v>
      </c>
      <c r="Q1099" s="2" t="s">
        <v>74</v>
      </c>
      <c r="R1099" s="2" t="s">
        <v>74</v>
      </c>
      <c r="S1099" s="2" t="s">
        <v>74</v>
      </c>
      <c r="T1099" s="2" t="s">
        <v>74</v>
      </c>
      <c r="U1099" s="2" t="s">
        <v>74</v>
      </c>
      <c r="V1099" s="5" t="s">
        <v>4906</v>
      </c>
      <c r="W1099" s="2" t="s">
        <v>74</v>
      </c>
      <c r="X1099" s="2" t="s">
        <v>74</v>
      </c>
      <c r="Y1099" s="2" t="s">
        <v>74</v>
      </c>
      <c r="Z1099" s="2" t="s">
        <v>74</v>
      </c>
      <c r="AA1099" s="2" t="s">
        <v>4216</v>
      </c>
      <c r="AB1099" s="2" t="s">
        <v>4217</v>
      </c>
      <c r="AC1099" s="2" t="s">
        <v>74</v>
      </c>
      <c r="AD1099" s="2" t="s">
        <v>74</v>
      </c>
      <c r="AE1099" s="2" t="s">
        <v>74</v>
      </c>
      <c r="AF1099" s="2" t="s">
        <v>74</v>
      </c>
      <c r="AG1099" s="2" t="s">
        <v>74</v>
      </c>
      <c r="AH1099" s="2" t="s">
        <v>74</v>
      </c>
      <c r="AI1099" s="2" t="s">
        <v>74</v>
      </c>
      <c r="AJ1099" s="2" t="s">
        <v>74</v>
      </c>
      <c r="AK1099" s="2" t="s">
        <v>74</v>
      </c>
      <c r="AL1099" s="2" t="s">
        <v>74</v>
      </c>
      <c r="AM1099" s="2" t="s">
        <v>74</v>
      </c>
      <c r="AN1099" s="2" t="s">
        <v>74</v>
      </c>
      <c r="AO1099" s="2" t="s">
        <v>143</v>
      </c>
      <c r="AP1099" s="2" t="s">
        <v>144</v>
      </c>
      <c r="AQ1099" s="2" t="s">
        <v>74</v>
      </c>
      <c r="AR1099" s="2" t="s">
        <v>74</v>
      </c>
      <c r="AS1099" s="2" t="s">
        <v>74</v>
      </c>
      <c r="AT1099" s="2" t="s">
        <v>352</v>
      </c>
      <c r="AU1099" s="2">
        <v>2018</v>
      </c>
      <c r="AV1099" s="2">
        <v>143</v>
      </c>
      <c r="AW1099" s="2" t="s">
        <v>74</v>
      </c>
      <c r="AX1099" s="2" t="s">
        <v>74</v>
      </c>
      <c r="AY1099" s="2" t="s">
        <v>74</v>
      </c>
      <c r="AZ1099" s="2" t="s">
        <v>74</v>
      </c>
      <c r="BA1099" s="2" t="s">
        <v>74</v>
      </c>
      <c r="BB1099" s="2">
        <v>167</v>
      </c>
      <c r="BC1099" s="2">
        <v>176</v>
      </c>
      <c r="BD1099" s="2" t="s">
        <v>74</v>
      </c>
      <c r="BE1099" s="2" t="s">
        <v>4907</v>
      </c>
      <c r="BF1099" s="2" t="str">
        <f>HYPERLINK("http://dx.doi.org/10.1016/j.anbehav.2017.12.006","http://dx.doi.org/10.1016/j.anbehav.2017.12.006")</f>
        <v>http://dx.doi.org/10.1016/j.anbehav.2017.12.006</v>
      </c>
      <c r="BG1099" s="2" t="s">
        <v>74</v>
      </c>
      <c r="BH1099" s="2" t="s">
        <v>74</v>
      </c>
      <c r="BI1099" s="2" t="s">
        <v>74</v>
      </c>
      <c r="BJ1099" s="2" t="s">
        <v>74</v>
      </c>
      <c r="BK1099" s="2" t="s">
        <v>74</v>
      </c>
      <c r="BL1099" s="2" t="s">
        <v>74</v>
      </c>
      <c r="BM1099" s="2" t="s">
        <v>74</v>
      </c>
      <c r="BN1099" s="2" t="s">
        <v>74</v>
      </c>
      <c r="BO1099" s="2" t="s">
        <v>74</v>
      </c>
      <c r="BP1099" s="2" t="s">
        <v>74</v>
      </c>
      <c r="BQ1099" s="2" t="s">
        <v>74</v>
      </c>
      <c r="BR1099" s="2" t="s">
        <v>74</v>
      </c>
      <c r="BS1099" s="2" t="s">
        <v>4908</v>
      </c>
      <c r="BT1099" s="2" t="str">
        <f>HYPERLINK("https%3A%2F%2Fwww.webofscience.com%2Fwos%2Fwoscc%2Ffull-record%2FWOS:000443386600017","View Full Record in Web of Science")</f>
        <v>View Full Record in Web of Science</v>
      </c>
    </row>
    <row r="1100" spans="1:72" s="2" customFormat="1" x14ac:dyDescent="0.4">
      <c r="A1100" s="2" t="s">
        <v>72</v>
      </c>
      <c r="B1100" s="2" t="s">
        <v>2562</v>
      </c>
      <c r="C1100" s="2" t="s">
        <v>74</v>
      </c>
      <c r="D1100" s="2" t="s">
        <v>74</v>
      </c>
      <c r="E1100" s="2" t="s">
        <v>74</v>
      </c>
      <c r="F1100" s="2" t="s">
        <v>2562</v>
      </c>
      <c r="G1100" s="2" t="s">
        <v>74</v>
      </c>
      <c r="H1100" s="2" t="s">
        <v>74</v>
      </c>
      <c r="I1100" s="2" t="s">
        <v>4923</v>
      </c>
      <c r="J1100" s="2" t="s">
        <v>610</v>
      </c>
      <c r="K1100" s="2" t="s">
        <v>74</v>
      </c>
      <c r="L1100" s="2" t="s">
        <v>74</v>
      </c>
      <c r="M1100" s="2" t="s">
        <v>74</v>
      </c>
      <c r="N1100" s="2" t="s">
        <v>74</v>
      </c>
      <c r="O1100" s="2" t="s">
        <v>74</v>
      </c>
      <c r="P1100" s="2" t="s">
        <v>74</v>
      </c>
      <c r="Q1100" s="2" t="s">
        <v>74</v>
      </c>
      <c r="R1100" s="2" t="s">
        <v>74</v>
      </c>
      <c r="S1100" s="2" t="s">
        <v>74</v>
      </c>
      <c r="T1100" s="2" t="s">
        <v>74</v>
      </c>
      <c r="U1100" s="2" t="s">
        <v>74</v>
      </c>
      <c r="V1100" s="5" t="s">
        <v>4924</v>
      </c>
      <c r="W1100" s="2" t="s">
        <v>74</v>
      </c>
      <c r="X1100" s="2" t="s">
        <v>74</v>
      </c>
      <c r="Y1100" s="2" t="s">
        <v>74</v>
      </c>
      <c r="Z1100" s="2" t="s">
        <v>74</v>
      </c>
      <c r="AA1100" s="2" t="s">
        <v>2566</v>
      </c>
      <c r="AB1100" s="2" t="s">
        <v>2567</v>
      </c>
      <c r="AC1100" s="2" t="s">
        <v>74</v>
      </c>
      <c r="AD1100" s="2" t="s">
        <v>74</v>
      </c>
      <c r="AE1100" s="2" t="s">
        <v>74</v>
      </c>
      <c r="AF1100" s="2" t="s">
        <v>74</v>
      </c>
      <c r="AG1100" s="2" t="s">
        <v>74</v>
      </c>
      <c r="AH1100" s="2" t="s">
        <v>74</v>
      </c>
      <c r="AI1100" s="2" t="s">
        <v>74</v>
      </c>
      <c r="AJ1100" s="2" t="s">
        <v>74</v>
      </c>
      <c r="AK1100" s="2" t="s">
        <v>74</v>
      </c>
      <c r="AL1100" s="2" t="s">
        <v>74</v>
      </c>
      <c r="AM1100" s="2" t="s">
        <v>74</v>
      </c>
      <c r="AN1100" s="2" t="s">
        <v>74</v>
      </c>
      <c r="AO1100" s="2" t="s">
        <v>614</v>
      </c>
      <c r="AP1100" s="2" t="s">
        <v>74</v>
      </c>
      <c r="AQ1100" s="2" t="s">
        <v>74</v>
      </c>
      <c r="AR1100" s="2" t="s">
        <v>74</v>
      </c>
      <c r="AS1100" s="2" t="s">
        <v>74</v>
      </c>
      <c r="AT1100" s="2" t="s">
        <v>352</v>
      </c>
      <c r="AU1100" s="2">
        <v>2002</v>
      </c>
      <c r="AV1100" s="2">
        <v>108</v>
      </c>
      <c r="AW1100" s="2">
        <v>9</v>
      </c>
      <c r="AX1100" s="2" t="s">
        <v>74</v>
      </c>
      <c r="AY1100" s="2" t="s">
        <v>74</v>
      </c>
      <c r="AZ1100" s="2" t="s">
        <v>74</v>
      </c>
      <c r="BA1100" s="2" t="s">
        <v>74</v>
      </c>
      <c r="BB1100" s="2">
        <v>793</v>
      </c>
      <c r="BC1100" s="2">
        <v>813</v>
      </c>
      <c r="BD1100" s="2" t="s">
        <v>74</v>
      </c>
      <c r="BE1100" s="2" t="s">
        <v>4925</v>
      </c>
      <c r="BF1100" s="2" t="str">
        <f>HYPERLINK("http://dx.doi.org/10.1046/j.1439-0310.2002.00819.x","http://dx.doi.org/10.1046/j.1439-0310.2002.00819.x")</f>
        <v>http://dx.doi.org/10.1046/j.1439-0310.2002.00819.x</v>
      </c>
      <c r="BG1100" s="2" t="s">
        <v>74</v>
      </c>
      <c r="BH1100" s="2" t="s">
        <v>74</v>
      </c>
      <c r="BI1100" s="2" t="s">
        <v>74</v>
      </c>
      <c r="BJ1100" s="2" t="s">
        <v>74</v>
      </c>
      <c r="BK1100" s="2" t="s">
        <v>74</v>
      </c>
      <c r="BL1100" s="2" t="s">
        <v>74</v>
      </c>
      <c r="BM1100" s="2" t="s">
        <v>74</v>
      </c>
      <c r="BN1100" s="2" t="s">
        <v>74</v>
      </c>
      <c r="BO1100" s="2" t="s">
        <v>74</v>
      </c>
      <c r="BP1100" s="2" t="s">
        <v>74</v>
      </c>
      <c r="BQ1100" s="2" t="s">
        <v>74</v>
      </c>
      <c r="BR1100" s="2" t="s">
        <v>74</v>
      </c>
      <c r="BS1100" s="2" t="s">
        <v>4926</v>
      </c>
      <c r="BT1100" s="2" t="str">
        <f>HYPERLINK("https%3A%2F%2Fwww.webofscience.com%2Fwos%2Fwoscc%2Ffull-record%2FWOS:000177775300004","View Full Record in Web of Science")</f>
        <v>View Full Record in Web of Science</v>
      </c>
    </row>
    <row r="1101" spans="1:72" s="2" customFormat="1" x14ac:dyDescent="0.4">
      <c r="A1101" s="2" t="s">
        <v>72</v>
      </c>
      <c r="B1101" s="2" t="s">
        <v>2562</v>
      </c>
      <c r="C1101" s="2" t="s">
        <v>74</v>
      </c>
      <c r="D1101" s="2" t="s">
        <v>74</v>
      </c>
      <c r="E1101" s="2" t="s">
        <v>74</v>
      </c>
      <c r="F1101" s="2" t="s">
        <v>2563</v>
      </c>
      <c r="G1101" s="2" t="s">
        <v>74</v>
      </c>
      <c r="H1101" s="2" t="s">
        <v>74</v>
      </c>
      <c r="I1101" s="2" t="s">
        <v>2564</v>
      </c>
      <c r="J1101" s="2" t="s">
        <v>333</v>
      </c>
      <c r="K1101" s="2" t="s">
        <v>74</v>
      </c>
      <c r="L1101" s="2" t="s">
        <v>74</v>
      </c>
      <c r="M1101" s="2" t="s">
        <v>74</v>
      </c>
      <c r="N1101" s="2" t="s">
        <v>74</v>
      </c>
      <c r="O1101" s="2" t="s">
        <v>74</v>
      </c>
      <c r="P1101" s="2" t="s">
        <v>74</v>
      </c>
      <c r="Q1101" s="2" t="s">
        <v>74</v>
      </c>
      <c r="R1101" s="2" t="s">
        <v>74</v>
      </c>
      <c r="S1101" s="2" t="s">
        <v>74</v>
      </c>
      <c r="T1101" s="2" t="s">
        <v>74</v>
      </c>
      <c r="U1101" s="2" t="s">
        <v>74</v>
      </c>
      <c r="V1101" s="5" t="s">
        <v>2565</v>
      </c>
      <c r="W1101" s="2" t="s">
        <v>74</v>
      </c>
      <c r="X1101" s="2" t="s">
        <v>74</v>
      </c>
      <c r="Y1101" s="2" t="s">
        <v>74</v>
      </c>
      <c r="Z1101" s="2" t="s">
        <v>74</v>
      </c>
      <c r="AA1101" s="2" t="s">
        <v>2566</v>
      </c>
      <c r="AB1101" s="2" t="s">
        <v>2567</v>
      </c>
      <c r="AC1101" s="2" t="s">
        <v>74</v>
      </c>
      <c r="AD1101" s="2" t="s">
        <v>74</v>
      </c>
      <c r="AE1101" s="2" t="s">
        <v>74</v>
      </c>
      <c r="AF1101" s="2" t="s">
        <v>74</v>
      </c>
      <c r="AG1101" s="2" t="s">
        <v>74</v>
      </c>
      <c r="AH1101" s="2" t="s">
        <v>74</v>
      </c>
      <c r="AI1101" s="2" t="s">
        <v>74</v>
      </c>
      <c r="AJ1101" s="2" t="s">
        <v>74</v>
      </c>
      <c r="AK1101" s="2" t="s">
        <v>74</v>
      </c>
      <c r="AL1101" s="2" t="s">
        <v>74</v>
      </c>
      <c r="AM1101" s="2" t="s">
        <v>74</v>
      </c>
      <c r="AN1101" s="2" t="s">
        <v>74</v>
      </c>
      <c r="AO1101" s="2" t="s">
        <v>337</v>
      </c>
      <c r="AP1101" s="2" t="s">
        <v>338</v>
      </c>
      <c r="AQ1101" s="2" t="s">
        <v>74</v>
      </c>
      <c r="AR1101" s="2" t="s">
        <v>74</v>
      </c>
      <c r="AS1101" s="2" t="s">
        <v>74</v>
      </c>
      <c r="AT1101" s="2" t="s">
        <v>1013</v>
      </c>
      <c r="AU1101" s="2">
        <v>2006</v>
      </c>
      <c r="AV1101" s="2">
        <v>17</v>
      </c>
      <c r="AW1101" s="2">
        <v>5</v>
      </c>
      <c r="AX1101" s="2" t="s">
        <v>74</v>
      </c>
      <c r="AY1101" s="2" t="s">
        <v>74</v>
      </c>
      <c r="AZ1101" s="2" t="s">
        <v>74</v>
      </c>
      <c r="BA1101" s="2" t="s">
        <v>74</v>
      </c>
      <c r="BB1101" s="2">
        <v>726</v>
      </c>
      <c r="BC1101" s="2">
        <v>732</v>
      </c>
      <c r="BD1101" s="2" t="s">
        <v>74</v>
      </c>
      <c r="BE1101" s="2" t="s">
        <v>2568</v>
      </c>
      <c r="BF1101" s="2" t="str">
        <f>HYPERLINK("http://dx.doi.org/10.1093/beheco/arl001","http://dx.doi.org/10.1093/beheco/arl001")</f>
        <v>http://dx.doi.org/10.1093/beheco/arl001</v>
      </c>
      <c r="BG1101" s="2" t="s">
        <v>74</v>
      </c>
      <c r="BH1101" s="2" t="s">
        <v>74</v>
      </c>
      <c r="BI1101" s="2" t="s">
        <v>74</v>
      </c>
      <c r="BJ1101" s="2" t="s">
        <v>74</v>
      </c>
      <c r="BK1101" s="2" t="s">
        <v>74</v>
      </c>
      <c r="BL1101" s="2" t="s">
        <v>74</v>
      </c>
      <c r="BM1101" s="2" t="s">
        <v>74</v>
      </c>
      <c r="BN1101" s="2" t="s">
        <v>74</v>
      </c>
      <c r="BO1101" s="2" t="s">
        <v>74</v>
      </c>
      <c r="BP1101" s="2" t="s">
        <v>74</v>
      </c>
      <c r="BQ1101" s="2" t="s">
        <v>74</v>
      </c>
      <c r="BR1101" s="2" t="s">
        <v>74</v>
      </c>
      <c r="BS1101" s="2" t="s">
        <v>2569</v>
      </c>
      <c r="BT1101" s="2" t="str">
        <f>HYPERLINK("https%3A%2F%2Fwww.webofscience.com%2Fwos%2Fwoscc%2Ffull-record%2FWOS:000239899500005","View Full Record in Web of Science")</f>
        <v>View Full Record in Web of Science</v>
      </c>
    </row>
    <row r="1102" spans="1:72" s="2" customFormat="1" x14ac:dyDescent="0.4">
      <c r="A1102" s="2" t="s">
        <v>72</v>
      </c>
      <c r="B1102" s="2" t="s">
        <v>4078</v>
      </c>
      <c r="C1102" s="2" t="s">
        <v>74</v>
      </c>
      <c r="D1102" s="2" t="s">
        <v>74</v>
      </c>
      <c r="E1102" s="2" t="s">
        <v>74</v>
      </c>
      <c r="F1102" s="2" t="s">
        <v>4079</v>
      </c>
      <c r="G1102" s="2" t="s">
        <v>74</v>
      </c>
      <c r="H1102" s="2" t="s">
        <v>74</v>
      </c>
      <c r="I1102" s="2" t="s">
        <v>4080</v>
      </c>
      <c r="J1102" s="2" t="s">
        <v>775</v>
      </c>
      <c r="K1102" s="2" t="s">
        <v>74</v>
      </c>
      <c r="L1102" s="2" t="s">
        <v>74</v>
      </c>
      <c r="M1102" s="2" t="s">
        <v>74</v>
      </c>
      <c r="N1102" s="2" t="s">
        <v>74</v>
      </c>
      <c r="O1102" s="2" t="s">
        <v>74</v>
      </c>
      <c r="P1102" s="2" t="s">
        <v>74</v>
      </c>
      <c r="Q1102" s="2" t="s">
        <v>74</v>
      </c>
      <c r="R1102" s="2" t="s">
        <v>74</v>
      </c>
      <c r="S1102" s="2" t="s">
        <v>74</v>
      </c>
      <c r="T1102" s="2" t="s">
        <v>74</v>
      </c>
      <c r="U1102" s="2" t="s">
        <v>74</v>
      </c>
      <c r="V1102" s="5" t="s">
        <v>4081</v>
      </c>
      <c r="W1102" s="2" t="s">
        <v>74</v>
      </c>
      <c r="X1102" s="2" t="s">
        <v>74</v>
      </c>
      <c r="Y1102" s="2" t="s">
        <v>74</v>
      </c>
      <c r="Z1102" s="2" t="s">
        <v>74</v>
      </c>
      <c r="AA1102" s="2" t="s">
        <v>2566</v>
      </c>
      <c r="AB1102" s="2" t="s">
        <v>2567</v>
      </c>
      <c r="AC1102" s="2" t="s">
        <v>74</v>
      </c>
      <c r="AD1102" s="2" t="s">
        <v>74</v>
      </c>
      <c r="AE1102" s="2" t="s">
        <v>74</v>
      </c>
      <c r="AF1102" s="2" t="s">
        <v>74</v>
      </c>
      <c r="AG1102" s="2" t="s">
        <v>74</v>
      </c>
      <c r="AH1102" s="2" t="s">
        <v>74</v>
      </c>
      <c r="AI1102" s="2" t="s">
        <v>74</v>
      </c>
      <c r="AJ1102" s="2" t="s">
        <v>74</v>
      </c>
      <c r="AK1102" s="2" t="s">
        <v>74</v>
      </c>
      <c r="AL1102" s="2" t="s">
        <v>74</v>
      </c>
      <c r="AM1102" s="2" t="s">
        <v>74</v>
      </c>
      <c r="AN1102" s="2" t="s">
        <v>74</v>
      </c>
      <c r="AO1102" s="2" t="s">
        <v>778</v>
      </c>
      <c r="AP1102" s="2" t="s">
        <v>779</v>
      </c>
      <c r="AQ1102" s="2" t="s">
        <v>74</v>
      </c>
      <c r="AR1102" s="2" t="s">
        <v>74</v>
      </c>
      <c r="AS1102" s="2" t="s">
        <v>74</v>
      </c>
      <c r="AT1102" s="2" t="s">
        <v>102</v>
      </c>
      <c r="AU1102" s="2">
        <v>2018</v>
      </c>
      <c r="AV1102" s="2">
        <v>64</v>
      </c>
      <c r="AW1102" s="2">
        <v>3</v>
      </c>
      <c r="AX1102" s="2" t="s">
        <v>74</v>
      </c>
      <c r="AY1102" s="2" t="s">
        <v>74</v>
      </c>
      <c r="AZ1102" s="2" t="s">
        <v>74</v>
      </c>
      <c r="BA1102" s="2" t="s">
        <v>74</v>
      </c>
      <c r="BB1102" s="2">
        <v>335</v>
      </c>
      <c r="BC1102" s="2">
        <v>344</v>
      </c>
      <c r="BD1102" s="2" t="s">
        <v>74</v>
      </c>
      <c r="BE1102" s="2" t="s">
        <v>4082</v>
      </c>
      <c r="BF1102" s="2" t="str">
        <f>HYPERLINK("http://dx.doi.org/10.1093/cz/zoy023","http://dx.doi.org/10.1093/cz/zoy023")</f>
        <v>http://dx.doi.org/10.1093/cz/zoy023</v>
      </c>
      <c r="BG1102" s="2" t="s">
        <v>74</v>
      </c>
      <c r="BH1102" s="2" t="s">
        <v>74</v>
      </c>
      <c r="BI1102" s="2" t="s">
        <v>74</v>
      </c>
      <c r="BJ1102" s="2" t="s">
        <v>74</v>
      </c>
      <c r="BK1102" s="2" t="s">
        <v>74</v>
      </c>
      <c r="BL1102" s="2" t="s">
        <v>74</v>
      </c>
      <c r="BM1102" s="2" t="s">
        <v>74</v>
      </c>
      <c r="BN1102" s="2">
        <v>30402076</v>
      </c>
      <c r="BO1102" s="2" t="s">
        <v>74</v>
      </c>
      <c r="BP1102" s="2" t="s">
        <v>74</v>
      </c>
      <c r="BQ1102" s="2" t="s">
        <v>74</v>
      </c>
      <c r="BR1102" s="2" t="s">
        <v>74</v>
      </c>
      <c r="BS1102" s="2" t="s">
        <v>4083</v>
      </c>
      <c r="BT1102" s="2" t="str">
        <f>HYPERLINK("https%3A%2F%2Fwww.webofscience.com%2Fwos%2Fwoscc%2Ffull-record%2FWOS:000436421000010","View Full Record in Web of Science")</f>
        <v>View Full Record in Web of Science</v>
      </c>
    </row>
    <row r="1103" spans="1:72" s="2" customFormat="1" x14ac:dyDescent="0.4">
      <c r="A1103" s="2" t="s">
        <v>72</v>
      </c>
      <c r="B1103" s="2" t="s">
        <v>2955</v>
      </c>
      <c r="C1103" s="2" t="s">
        <v>74</v>
      </c>
      <c r="D1103" s="2" t="s">
        <v>74</v>
      </c>
      <c r="E1103" s="2" t="s">
        <v>74</v>
      </c>
      <c r="F1103" s="2" t="s">
        <v>2956</v>
      </c>
      <c r="G1103" s="2" t="s">
        <v>74</v>
      </c>
      <c r="H1103" s="2" t="s">
        <v>74</v>
      </c>
      <c r="I1103" s="2" t="s">
        <v>2957</v>
      </c>
      <c r="J1103" s="2" t="s">
        <v>192</v>
      </c>
      <c r="K1103" s="2" t="s">
        <v>74</v>
      </c>
      <c r="L1103" s="2" t="s">
        <v>74</v>
      </c>
      <c r="M1103" s="2" t="s">
        <v>74</v>
      </c>
      <c r="N1103" s="2" t="s">
        <v>74</v>
      </c>
      <c r="O1103" s="2" t="s">
        <v>74</v>
      </c>
      <c r="P1103" s="2" t="s">
        <v>74</v>
      </c>
      <c r="Q1103" s="2" t="s">
        <v>74</v>
      </c>
      <c r="R1103" s="2" t="s">
        <v>74</v>
      </c>
      <c r="S1103" s="2" t="s">
        <v>74</v>
      </c>
      <c r="T1103" s="2" t="s">
        <v>74</v>
      </c>
      <c r="U1103" s="2" t="s">
        <v>74</v>
      </c>
      <c r="V1103" s="5" t="s">
        <v>2958</v>
      </c>
      <c r="W1103" s="2" t="s">
        <v>74</v>
      </c>
      <c r="X1103" s="2" t="s">
        <v>74</v>
      </c>
      <c r="Y1103" s="2" t="s">
        <v>74</v>
      </c>
      <c r="Z1103" s="2" t="s">
        <v>74</v>
      </c>
      <c r="AA1103" s="2" t="s">
        <v>2959</v>
      </c>
      <c r="AB1103" s="2" t="s">
        <v>2960</v>
      </c>
      <c r="AC1103" s="2" t="s">
        <v>74</v>
      </c>
      <c r="AD1103" s="2" t="s">
        <v>74</v>
      </c>
      <c r="AE1103" s="2" t="s">
        <v>74</v>
      </c>
      <c r="AF1103" s="2" t="s">
        <v>74</v>
      </c>
      <c r="AG1103" s="2" t="s">
        <v>74</v>
      </c>
      <c r="AH1103" s="2" t="s">
        <v>74</v>
      </c>
      <c r="AI1103" s="2" t="s">
        <v>74</v>
      </c>
      <c r="AJ1103" s="2" t="s">
        <v>74</v>
      </c>
      <c r="AK1103" s="2" t="s">
        <v>74</v>
      </c>
      <c r="AL1103" s="2" t="s">
        <v>74</v>
      </c>
      <c r="AM1103" s="2" t="s">
        <v>74</v>
      </c>
      <c r="AN1103" s="2" t="s">
        <v>74</v>
      </c>
      <c r="AO1103" s="2" t="s">
        <v>195</v>
      </c>
      <c r="AP1103" s="2" t="s">
        <v>196</v>
      </c>
      <c r="AQ1103" s="2" t="s">
        <v>74</v>
      </c>
      <c r="AR1103" s="2" t="s">
        <v>74</v>
      </c>
      <c r="AS1103" s="2" t="s">
        <v>74</v>
      </c>
      <c r="AT1103" s="2" t="s">
        <v>352</v>
      </c>
      <c r="AU1103" s="2">
        <v>2021</v>
      </c>
      <c r="AV1103" s="2">
        <v>848</v>
      </c>
      <c r="AW1103" s="2">
        <v>16</v>
      </c>
      <c r="AX1103" s="2" t="s">
        <v>74</v>
      </c>
      <c r="AY1103" s="2" t="s">
        <v>74</v>
      </c>
      <c r="AZ1103" s="2" t="s">
        <v>848</v>
      </c>
      <c r="BA1103" s="2" t="s">
        <v>74</v>
      </c>
      <c r="BB1103" s="2">
        <v>3667</v>
      </c>
      <c r="BC1103" s="2">
        <v>3681</v>
      </c>
      <c r="BD1103" s="2" t="s">
        <v>74</v>
      </c>
      <c r="BE1103" s="2" t="s">
        <v>2961</v>
      </c>
      <c r="BF1103" s="2" t="str">
        <f>HYPERLINK("http://dx.doi.org/10.1007/s10750-020-04475-9","http://dx.doi.org/10.1007/s10750-020-04475-9")</f>
        <v>http://dx.doi.org/10.1007/s10750-020-04475-9</v>
      </c>
      <c r="BG1103" s="2" t="s">
        <v>74</v>
      </c>
      <c r="BH1103" s="2" t="s">
        <v>2962</v>
      </c>
      <c r="BI1103" s="2" t="s">
        <v>74</v>
      </c>
      <c r="BJ1103" s="2" t="s">
        <v>74</v>
      </c>
      <c r="BK1103" s="2" t="s">
        <v>74</v>
      </c>
      <c r="BL1103" s="2" t="s">
        <v>74</v>
      </c>
      <c r="BM1103" s="2" t="s">
        <v>74</v>
      </c>
      <c r="BN1103" s="2" t="s">
        <v>74</v>
      </c>
      <c r="BO1103" s="2" t="s">
        <v>74</v>
      </c>
      <c r="BP1103" s="2" t="s">
        <v>74</v>
      </c>
      <c r="BQ1103" s="2" t="s">
        <v>74</v>
      </c>
      <c r="BR1103" s="2" t="s">
        <v>74</v>
      </c>
      <c r="BS1103" s="2" t="s">
        <v>2963</v>
      </c>
      <c r="BT1103" s="2" t="str">
        <f>HYPERLINK("https%3A%2F%2Fwww.webofscience.com%2Fwos%2Fwoscc%2Ffull-record%2FWOS:000604160900002","View Full Record in Web of Science")</f>
        <v>View Full Record in Web of Science</v>
      </c>
    </row>
    <row r="1104" spans="1:72" s="2" customFormat="1" x14ac:dyDescent="0.4">
      <c r="A1104" s="2" t="s">
        <v>72</v>
      </c>
      <c r="B1104" s="2" t="s">
        <v>5764</v>
      </c>
      <c r="C1104" s="2" t="s">
        <v>74</v>
      </c>
      <c r="D1104" s="2" t="s">
        <v>74</v>
      </c>
      <c r="E1104" s="2" t="s">
        <v>74</v>
      </c>
      <c r="F1104" s="2" t="s">
        <v>5765</v>
      </c>
      <c r="G1104" s="2" t="s">
        <v>74</v>
      </c>
      <c r="H1104" s="2" t="s">
        <v>74</v>
      </c>
      <c r="I1104" s="2" t="s">
        <v>5766</v>
      </c>
      <c r="J1104" s="2" t="s">
        <v>775</v>
      </c>
      <c r="K1104" s="2" t="s">
        <v>74</v>
      </c>
      <c r="L1104" s="2" t="s">
        <v>74</v>
      </c>
      <c r="M1104" s="2" t="s">
        <v>74</v>
      </c>
      <c r="N1104" s="2" t="s">
        <v>74</v>
      </c>
      <c r="O1104" s="2" t="s">
        <v>74</v>
      </c>
      <c r="P1104" s="2" t="s">
        <v>74</v>
      </c>
      <c r="Q1104" s="2" t="s">
        <v>74</v>
      </c>
      <c r="R1104" s="2" t="s">
        <v>74</v>
      </c>
      <c r="S1104" s="2" t="s">
        <v>74</v>
      </c>
      <c r="T1104" s="2" t="s">
        <v>74</v>
      </c>
      <c r="U1104" s="2" t="s">
        <v>74</v>
      </c>
      <c r="V1104" s="5" t="s">
        <v>5767</v>
      </c>
      <c r="W1104" s="2" t="s">
        <v>74</v>
      </c>
      <c r="X1104" s="2" t="s">
        <v>74</v>
      </c>
      <c r="Y1104" s="2" t="s">
        <v>74</v>
      </c>
      <c r="Z1104" s="2" t="s">
        <v>74</v>
      </c>
      <c r="AA1104" s="2" t="s">
        <v>74</v>
      </c>
      <c r="AB1104" s="2" t="s">
        <v>74</v>
      </c>
      <c r="AC1104" s="2" t="s">
        <v>74</v>
      </c>
      <c r="AD1104" s="2" t="s">
        <v>74</v>
      </c>
      <c r="AE1104" s="2" t="s">
        <v>74</v>
      </c>
      <c r="AF1104" s="2" t="s">
        <v>74</v>
      </c>
      <c r="AG1104" s="2" t="s">
        <v>74</v>
      </c>
      <c r="AH1104" s="2" t="s">
        <v>74</v>
      </c>
      <c r="AI1104" s="2" t="s">
        <v>74</v>
      </c>
      <c r="AJ1104" s="2" t="s">
        <v>74</v>
      </c>
      <c r="AK1104" s="2" t="s">
        <v>74</v>
      </c>
      <c r="AL1104" s="2" t="s">
        <v>74</v>
      </c>
      <c r="AM1104" s="2" t="s">
        <v>74</v>
      </c>
      <c r="AN1104" s="2" t="s">
        <v>74</v>
      </c>
      <c r="AO1104" s="2" t="s">
        <v>778</v>
      </c>
      <c r="AP1104" s="2" t="s">
        <v>779</v>
      </c>
      <c r="AQ1104" s="2" t="s">
        <v>74</v>
      </c>
      <c r="AR1104" s="2" t="s">
        <v>74</v>
      </c>
      <c r="AS1104" s="2" t="s">
        <v>74</v>
      </c>
      <c r="AT1104" s="2" t="s">
        <v>5768</v>
      </c>
      <c r="AU1104" s="2">
        <v>2022</v>
      </c>
      <c r="AV1104" s="2">
        <v>68</v>
      </c>
      <c r="AW1104" s="2">
        <v>5</v>
      </c>
      <c r="AX1104" s="2" t="s">
        <v>74</v>
      </c>
      <c r="AY1104" s="2" t="s">
        <v>74</v>
      </c>
      <c r="AZ1104" s="2" t="s">
        <v>74</v>
      </c>
      <c r="BA1104" s="2" t="s">
        <v>74</v>
      </c>
      <c r="BB1104" s="2">
        <v>600</v>
      </c>
      <c r="BC1104" s="2">
        <v>607</v>
      </c>
      <c r="BD1104" s="2" t="s">
        <v>74</v>
      </c>
      <c r="BE1104" s="2" t="s">
        <v>5769</v>
      </c>
      <c r="BF1104" s="2" t="str">
        <f>HYPERLINK("http://dx.doi.org/10.1093/cz/zoab087","http://dx.doi.org/10.1093/cz/zoab087")</f>
        <v>http://dx.doi.org/10.1093/cz/zoab087</v>
      </c>
      <c r="BG1104" s="2" t="s">
        <v>74</v>
      </c>
      <c r="BH1104" s="2" t="s">
        <v>5103</v>
      </c>
      <c r="BI1104" s="2" t="s">
        <v>74</v>
      </c>
      <c r="BJ1104" s="2" t="s">
        <v>74</v>
      </c>
      <c r="BK1104" s="2" t="s">
        <v>74</v>
      </c>
      <c r="BL1104" s="2" t="s">
        <v>74</v>
      </c>
      <c r="BM1104" s="2" t="s">
        <v>74</v>
      </c>
      <c r="BN1104" s="2">
        <v>36324536</v>
      </c>
      <c r="BO1104" s="2" t="s">
        <v>74</v>
      </c>
      <c r="BP1104" s="2" t="s">
        <v>74</v>
      </c>
      <c r="BQ1104" s="2" t="s">
        <v>74</v>
      </c>
      <c r="BR1104" s="2" t="s">
        <v>74</v>
      </c>
      <c r="BS1104" s="2" t="s">
        <v>5770</v>
      </c>
      <c r="BT1104" s="2" t="str">
        <f>HYPERLINK("https%3A%2F%2Fwww.webofscience.com%2Fwos%2Fwoscc%2Ffull-record%2FWOS:000789358100001","View Full Record in Web of Science")</f>
        <v>View Full Record in Web of Science</v>
      </c>
    </row>
    <row r="1105" spans="1:72" s="2" customFormat="1" x14ac:dyDescent="0.4">
      <c r="A1105" s="2" t="s">
        <v>72</v>
      </c>
      <c r="B1105" s="2" t="s">
        <v>5744</v>
      </c>
      <c r="C1105" s="2" t="s">
        <v>74</v>
      </c>
      <c r="D1105" s="2" t="s">
        <v>74</v>
      </c>
      <c r="E1105" s="2" t="s">
        <v>74</v>
      </c>
      <c r="F1105" s="2" t="s">
        <v>5745</v>
      </c>
      <c r="G1105" s="2" t="s">
        <v>74</v>
      </c>
      <c r="H1105" s="2" t="s">
        <v>74</v>
      </c>
      <c r="I1105" s="2" t="s">
        <v>5746</v>
      </c>
      <c r="J1105" s="2" t="s">
        <v>2042</v>
      </c>
      <c r="K1105" s="2" t="s">
        <v>74</v>
      </c>
      <c r="L1105" s="2" t="s">
        <v>74</v>
      </c>
      <c r="M1105" s="2" t="s">
        <v>74</v>
      </c>
      <c r="N1105" s="2" t="s">
        <v>74</v>
      </c>
      <c r="O1105" s="2" t="s">
        <v>74</v>
      </c>
      <c r="P1105" s="2" t="s">
        <v>74</v>
      </c>
      <c r="Q1105" s="2" t="s">
        <v>74</v>
      </c>
      <c r="R1105" s="2" t="s">
        <v>74</v>
      </c>
      <c r="S1105" s="2" t="s">
        <v>74</v>
      </c>
      <c r="T1105" s="2" t="s">
        <v>74</v>
      </c>
      <c r="U1105" s="2" t="s">
        <v>74</v>
      </c>
      <c r="V1105" s="5" t="s">
        <v>5747</v>
      </c>
      <c r="W1105" s="2" t="s">
        <v>74</v>
      </c>
      <c r="X1105" s="2" t="s">
        <v>74</v>
      </c>
      <c r="Y1105" s="2" t="s">
        <v>74</v>
      </c>
      <c r="Z1105" s="2" t="s">
        <v>74</v>
      </c>
      <c r="AA1105" s="2" t="s">
        <v>5748</v>
      </c>
      <c r="AB1105" s="2" t="s">
        <v>5749</v>
      </c>
      <c r="AC1105" s="2" t="s">
        <v>74</v>
      </c>
      <c r="AD1105" s="2" t="s">
        <v>74</v>
      </c>
      <c r="AE1105" s="2" t="s">
        <v>74</v>
      </c>
      <c r="AF1105" s="2" t="s">
        <v>74</v>
      </c>
      <c r="AG1105" s="2" t="s">
        <v>74</v>
      </c>
      <c r="AH1105" s="2" t="s">
        <v>74</v>
      </c>
      <c r="AI1105" s="2" t="s">
        <v>74</v>
      </c>
      <c r="AJ1105" s="2" t="s">
        <v>74</v>
      </c>
      <c r="AK1105" s="2" t="s">
        <v>74</v>
      </c>
      <c r="AL1105" s="2" t="s">
        <v>74</v>
      </c>
      <c r="AM1105" s="2" t="s">
        <v>74</v>
      </c>
      <c r="AN1105" s="2" t="s">
        <v>74</v>
      </c>
      <c r="AO1105" s="2" t="s">
        <v>2045</v>
      </c>
      <c r="AP1105" s="2" t="s">
        <v>2046</v>
      </c>
      <c r="AQ1105" s="2" t="s">
        <v>74</v>
      </c>
      <c r="AR1105" s="2" t="s">
        <v>74</v>
      </c>
      <c r="AS1105" s="2" t="s">
        <v>74</v>
      </c>
      <c r="AT1105" s="2" t="s">
        <v>255</v>
      </c>
      <c r="AU1105" s="2">
        <v>2016</v>
      </c>
      <c r="AV1105" s="2">
        <v>63</v>
      </c>
      <c r="AW1105" s="2">
        <v>1</v>
      </c>
      <c r="AX1105" s="2" t="s">
        <v>74</v>
      </c>
      <c r="AY1105" s="2" t="s">
        <v>74</v>
      </c>
      <c r="AZ1105" s="2" t="s">
        <v>74</v>
      </c>
      <c r="BA1105" s="2" t="s">
        <v>74</v>
      </c>
      <c r="BB1105" s="2">
        <v>94</v>
      </c>
      <c r="BC1105" s="2">
        <v>109</v>
      </c>
      <c r="BD1105" s="2" t="s">
        <v>74</v>
      </c>
      <c r="BE1105" s="2" t="s">
        <v>5750</v>
      </c>
      <c r="BF1105" s="2" t="str">
        <f>HYPERLINK("http://dx.doi.org/10.1007/s10228-015-0480-9","http://dx.doi.org/10.1007/s10228-015-0480-9")</f>
        <v>http://dx.doi.org/10.1007/s10228-015-0480-9</v>
      </c>
      <c r="BG1105" s="2" t="s">
        <v>74</v>
      </c>
      <c r="BH1105" s="2" t="s">
        <v>74</v>
      </c>
      <c r="BI1105" s="2" t="s">
        <v>74</v>
      </c>
      <c r="BJ1105" s="2" t="s">
        <v>74</v>
      </c>
      <c r="BK1105" s="2" t="s">
        <v>74</v>
      </c>
      <c r="BL1105" s="2" t="s">
        <v>74</v>
      </c>
      <c r="BM1105" s="2" t="s">
        <v>74</v>
      </c>
      <c r="BN1105" s="2" t="s">
        <v>74</v>
      </c>
      <c r="BO1105" s="2" t="s">
        <v>74</v>
      </c>
      <c r="BP1105" s="2" t="s">
        <v>74</v>
      </c>
      <c r="BQ1105" s="2" t="s">
        <v>74</v>
      </c>
      <c r="BR1105" s="2" t="s">
        <v>74</v>
      </c>
      <c r="BS1105" s="2" t="s">
        <v>5751</v>
      </c>
      <c r="BT1105" s="2" t="str">
        <f>HYPERLINK("https%3A%2F%2Fwww.webofscience.com%2Fwos%2Fwoscc%2Ffull-record%2FWOS:000367602100010","View Full Record in Web of Science")</f>
        <v>View Full Record in Web of Science</v>
      </c>
    </row>
    <row r="1106" spans="1:72" s="2" customFormat="1" x14ac:dyDescent="0.4">
      <c r="A1106" s="2" t="s">
        <v>72</v>
      </c>
      <c r="B1106" s="2" t="s">
        <v>2394</v>
      </c>
      <c r="C1106" s="2" t="s">
        <v>74</v>
      </c>
      <c r="D1106" s="2" t="s">
        <v>74</v>
      </c>
      <c r="E1106" s="2" t="s">
        <v>74</v>
      </c>
      <c r="F1106" s="2" t="s">
        <v>2395</v>
      </c>
      <c r="G1106" s="2" t="s">
        <v>74</v>
      </c>
      <c r="H1106" s="2" t="s">
        <v>74</v>
      </c>
      <c r="I1106" s="2" t="s">
        <v>2396</v>
      </c>
      <c r="J1106" s="2" t="s">
        <v>140</v>
      </c>
      <c r="K1106" s="2" t="s">
        <v>74</v>
      </c>
      <c r="L1106" s="2" t="s">
        <v>74</v>
      </c>
      <c r="M1106" s="2" t="s">
        <v>74</v>
      </c>
      <c r="N1106" s="2" t="s">
        <v>74</v>
      </c>
      <c r="O1106" s="2" t="s">
        <v>74</v>
      </c>
      <c r="P1106" s="2" t="s">
        <v>74</v>
      </c>
      <c r="Q1106" s="2" t="s">
        <v>74</v>
      </c>
      <c r="R1106" s="2" t="s">
        <v>74</v>
      </c>
      <c r="S1106" s="2" t="s">
        <v>74</v>
      </c>
      <c r="T1106" s="2" t="s">
        <v>74</v>
      </c>
      <c r="U1106" s="2" t="s">
        <v>74</v>
      </c>
      <c r="V1106" s="5" t="s">
        <v>2397</v>
      </c>
      <c r="W1106" s="2" t="s">
        <v>74</v>
      </c>
      <c r="X1106" s="2" t="s">
        <v>74</v>
      </c>
      <c r="Y1106" s="2" t="s">
        <v>74</v>
      </c>
      <c r="Z1106" s="2" t="s">
        <v>74</v>
      </c>
      <c r="AA1106" s="2" t="s">
        <v>2398</v>
      </c>
      <c r="AB1106" s="2" t="s">
        <v>2399</v>
      </c>
      <c r="AC1106" s="2" t="s">
        <v>74</v>
      </c>
      <c r="AD1106" s="2" t="s">
        <v>74</v>
      </c>
      <c r="AE1106" s="2" t="s">
        <v>74</v>
      </c>
      <c r="AF1106" s="2" t="s">
        <v>74</v>
      </c>
      <c r="AG1106" s="2" t="s">
        <v>74</v>
      </c>
      <c r="AH1106" s="2" t="s">
        <v>74</v>
      </c>
      <c r="AI1106" s="2" t="s">
        <v>74</v>
      </c>
      <c r="AJ1106" s="2" t="s">
        <v>74</v>
      </c>
      <c r="AK1106" s="2" t="s">
        <v>74</v>
      </c>
      <c r="AL1106" s="2" t="s">
        <v>74</v>
      </c>
      <c r="AM1106" s="2" t="s">
        <v>74</v>
      </c>
      <c r="AN1106" s="2" t="s">
        <v>74</v>
      </c>
      <c r="AO1106" s="2" t="s">
        <v>143</v>
      </c>
      <c r="AP1106" s="2" t="s">
        <v>144</v>
      </c>
      <c r="AQ1106" s="2" t="s">
        <v>74</v>
      </c>
      <c r="AR1106" s="2" t="s">
        <v>74</v>
      </c>
      <c r="AS1106" s="2" t="s">
        <v>74</v>
      </c>
      <c r="AT1106" s="2" t="s">
        <v>145</v>
      </c>
      <c r="AU1106" s="2">
        <v>2006</v>
      </c>
      <c r="AV1106" s="2">
        <v>72</v>
      </c>
      <c r="AW1106" s="2" t="s">
        <v>74</v>
      </c>
      <c r="AX1106" s="2">
        <v>2</v>
      </c>
      <c r="AY1106" s="2" t="s">
        <v>74</v>
      </c>
      <c r="AZ1106" s="2" t="s">
        <v>74</v>
      </c>
      <c r="BA1106" s="2" t="s">
        <v>74</v>
      </c>
      <c r="BB1106" s="2">
        <v>353</v>
      </c>
      <c r="BC1106" s="2">
        <v>363</v>
      </c>
      <c r="BD1106" s="2" t="s">
        <v>74</v>
      </c>
      <c r="BE1106" s="2" t="s">
        <v>2400</v>
      </c>
      <c r="BF1106" s="2" t="str">
        <f>HYPERLINK("http://dx.doi.org/10.1016/j.anbehav.2005.10.018","http://dx.doi.org/10.1016/j.anbehav.2005.10.018")</f>
        <v>http://dx.doi.org/10.1016/j.anbehav.2005.10.018</v>
      </c>
      <c r="BG1106" s="2" t="s">
        <v>74</v>
      </c>
      <c r="BH1106" s="2" t="s">
        <v>74</v>
      </c>
      <c r="BI1106" s="2" t="s">
        <v>74</v>
      </c>
      <c r="BJ1106" s="2" t="s">
        <v>74</v>
      </c>
      <c r="BK1106" s="2" t="s">
        <v>74</v>
      </c>
      <c r="BL1106" s="2" t="s">
        <v>74</v>
      </c>
      <c r="BM1106" s="2" t="s">
        <v>74</v>
      </c>
      <c r="BN1106" s="2" t="s">
        <v>74</v>
      </c>
      <c r="BO1106" s="2" t="s">
        <v>74</v>
      </c>
      <c r="BP1106" s="2" t="s">
        <v>74</v>
      </c>
      <c r="BQ1106" s="2" t="s">
        <v>74</v>
      </c>
      <c r="BR1106" s="2" t="s">
        <v>74</v>
      </c>
      <c r="BS1106" s="2" t="s">
        <v>2401</v>
      </c>
      <c r="BT1106" s="2" t="str">
        <f>HYPERLINK("https%3A%2F%2Fwww.webofscience.com%2Fwos%2Fwoscc%2Ffull-record%2FWOS:000240217300011","View Full Record in Web of Science")</f>
        <v>View Full Record in Web of Science</v>
      </c>
    </row>
    <row r="1107" spans="1:72" s="2" customFormat="1" x14ac:dyDescent="0.4">
      <c r="A1107" s="2" t="s">
        <v>72</v>
      </c>
      <c r="B1107" s="2" t="s">
        <v>6659</v>
      </c>
      <c r="C1107" s="2" t="s">
        <v>74</v>
      </c>
      <c r="D1107" s="2" t="s">
        <v>74</v>
      </c>
      <c r="E1107" s="2" t="s">
        <v>74</v>
      </c>
      <c r="F1107" s="2" t="s">
        <v>6660</v>
      </c>
      <c r="G1107" s="2" t="s">
        <v>74</v>
      </c>
      <c r="H1107" s="2" t="s">
        <v>74</v>
      </c>
      <c r="I1107" s="2" t="s">
        <v>6661</v>
      </c>
      <c r="J1107" s="2" t="s">
        <v>2017</v>
      </c>
      <c r="K1107" s="2" t="s">
        <v>74</v>
      </c>
      <c r="L1107" s="2" t="s">
        <v>74</v>
      </c>
      <c r="M1107" s="2" t="s">
        <v>74</v>
      </c>
      <c r="N1107" s="2" t="s">
        <v>74</v>
      </c>
      <c r="O1107" s="2" t="s">
        <v>74</v>
      </c>
      <c r="P1107" s="2" t="s">
        <v>74</v>
      </c>
      <c r="Q1107" s="2" t="s">
        <v>74</v>
      </c>
      <c r="R1107" s="2" t="s">
        <v>74</v>
      </c>
      <c r="S1107" s="2" t="s">
        <v>74</v>
      </c>
      <c r="T1107" s="2" t="s">
        <v>74</v>
      </c>
      <c r="U1107" s="2" t="s">
        <v>74</v>
      </c>
      <c r="V1107" s="5" t="s">
        <v>6662</v>
      </c>
      <c r="W1107" s="2" t="s">
        <v>74</v>
      </c>
      <c r="X1107" s="2" t="s">
        <v>74</v>
      </c>
      <c r="Y1107" s="2" t="s">
        <v>74</v>
      </c>
      <c r="Z1107" s="2" t="s">
        <v>74</v>
      </c>
      <c r="AA1107" s="2" t="s">
        <v>6663</v>
      </c>
      <c r="AB1107" s="2" t="s">
        <v>6664</v>
      </c>
      <c r="AC1107" s="2" t="s">
        <v>74</v>
      </c>
      <c r="AD1107" s="2" t="s">
        <v>74</v>
      </c>
      <c r="AE1107" s="2" t="s">
        <v>74</v>
      </c>
      <c r="AF1107" s="2" t="s">
        <v>74</v>
      </c>
      <c r="AG1107" s="2" t="s">
        <v>74</v>
      </c>
      <c r="AH1107" s="2" t="s">
        <v>74</v>
      </c>
      <c r="AI1107" s="2" t="s">
        <v>74</v>
      </c>
      <c r="AJ1107" s="2" t="s">
        <v>74</v>
      </c>
      <c r="AK1107" s="2" t="s">
        <v>74</v>
      </c>
      <c r="AL1107" s="2" t="s">
        <v>74</v>
      </c>
      <c r="AM1107" s="2" t="s">
        <v>74</v>
      </c>
      <c r="AN1107" s="2" t="s">
        <v>74</v>
      </c>
      <c r="AO1107" s="2" t="s">
        <v>2021</v>
      </c>
      <c r="AP1107" s="2" t="s">
        <v>74</v>
      </c>
      <c r="AQ1107" s="2" t="s">
        <v>74</v>
      </c>
      <c r="AR1107" s="2" t="s">
        <v>74</v>
      </c>
      <c r="AS1107" s="2" t="s">
        <v>74</v>
      </c>
      <c r="AT1107" s="2" t="s">
        <v>6665</v>
      </c>
      <c r="AU1107" s="2">
        <v>2018</v>
      </c>
      <c r="AV1107" s="2">
        <v>6</v>
      </c>
      <c r="AW1107" s="2" t="s">
        <v>74</v>
      </c>
      <c r="AX1107" s="2" t="s">
        <v>74</v>
      </c>
      <c r="AY1107" s="2" t="s">
        <v>74</v>
      </c>
      <c r="AZ1107" s="2" t="s">
        <v>74</v>
      </c>
      <c r="BA1107" s="2" t="s">
        <v>74</v>
      </c>
      <c r="BB1107" s="2" t="s">
        <v>74</v>
      </c>
      <c r="BC1107" s="2" t="s">
        <v>74</v>
      </c>
      <c r="BD1107" s="2">
        <v>70</v>
      </c>
      <c r="BE1107" s="2" t="s">
        <v>6666</v>
      </c>
      <c r="BF1107" s="2" t="str">
        <f>HYPERLINK("http://dx.doi.org/10.3389/fevo.2018.00070","http://dx.doi.org/10.3389/fevo.2018.00070")</f>
        <v>http://dx.doi.org/10.3389/fevo.2018.00070</v>
      </c>
      <c r="BG1107" s="2" t="s">
        <v>74</v>
      </c>
      <c r="BH1107" s="2" t="s">
        <v>74</v>
      </c>
      <c r="BI1107" s="2" t="s">
        <v>74</v>
      </c>
      <c r="BJ1107" s="2" t="s">
        <v>74</v>
      </c>
      <c r="BK1107" s="2" t="s">
        <v>74</v>
      </c>
      <c r="BL1107" s="2" t="s">
        <v>74</v>
      </c>
      <c r="BM1107" s="2" t="s">
        <v>74</v>
      </c>
      <c r="BN1107" s="2" t="s">
        <v>74</v>
      </c>
      <c r="BO1107" s="2" t="s">
        <v>74</v>
      </c>
      <c r="BP1107" s="2" t="s">
        <v>74</v>
      </c>
      <c r="BQ1107" s="2" t="s">
        <v>74</v>
      </c>
      <c r="BR1107" s="2" t="s">
        <v>74</v>
      </c>
      <c r="BS1107" s="2" t="s">
        <v>6667</v>
      </c>
      <c r="BT1107" s="2" t="str">
        <f>HYPERLINK("https%3A%2F%2Fwww.webofscience.com%2Fwos%2Fwoscc%2Ffull-record%2FWOS:000451666100001","View Full Record in Web of Science")</f>
        <v>View Full Record in Web of Science</v>
      </c>
    </row>
    <row r="1108" spans="1:72" s="2" customFormat="1" x14ac:dyDescent="0.4">
      <c r="A1108" s="2" t="s">
        <v>72</v>
      </c>
      <c r="B1108" s="2" t="s">
        <v>7262</v>
      </c>
      <c r="C1108" s="2" t="s">
        <v>74</v>
      </c>
      <c r="D1108" s="2" t="s">
        <v>74</v>
      </c>
      <c r="E1108" s="2" t="s">
        <v>74</v>
      </c>
      <c r="F1108" s="2" t="s">
        <v>7262</v>
      </c>
      <c r="G1108" s="2" t="s">
        <v>74</v>
      </c>
      <c r="H1108" s="2" t="s">
        <v>74</v>
      </c>
      <c r="I1108" s="2" t="s">
        <v>7263</v>
      </c>
      <c r="J1108" s="2" t="s">
        <v>129</v>
      </c>
      <c r="K1108" s="2" t="s">
        <v>74</v>
      </c>
      <c r="L1108" s="2" t="s">
        <v>74</v>
      </c>
      <c r="M1108" s="2" t="s">
        <v>74</v>
      </c>
      <c r="N1108" s="2" t="s">
        <v>74</v>
      </c>
      <c r="O1108" s="2" t="s">
        <v>74</v>
      </c>
      <c r="P1108" s="2" t="s">
        <v>74</v>
      </c>
      <c r="Q1108" s="2" t="s">
        <v>74</v>
      </c>
      <c r="R1108" s="2" t="s">
        <v>74</v>
      </c>
      <c r="S1108" s="2" t="s">
        <v>74</v>
      </c>
      <c r="T1108" s="2" t="s">
        <v>74</v>
      </c>
      <c r="U1108" s="2" t="s">
        <v>74</v>
      </c>
      <c r="V1108" s="5" t="s">
        <v>7264</v>
      </c>
      <c r="W1108" s="2" t="s">
        <v>74</v>
      </c>
      <c r="X1108" s="2" t="s">
        <v>74</v>
      </c>
      <c r="Y1108" s="2" t="s">
        <v>74</v>
      </c>
      <c r="Z1108" s="2" t="s">
        <v>74</v>
      </c>
      <c r="AA1108" s="2" t="s">
        <v>3138</v>
      </c>
      <c r="AB1108" s="2" t="s">
        <v>7265</v>
      </c>
      <c r="AC1108" s="2" t="s">
        <v>74</v>
      </c>
      <c r="AD1108" s="2" t="s">
        <v>74</v>
      </c>
      <c r="AE1108" s="2" t="s">
        <v>74</v>
      </c>
      <c r="AF1108" s="2" t="s">
        <v>74</v>
      </c>
      <c r="AG1108" s="2" t="s">
        <v>74</v>
      </c>
      <c r="AH1108" s="2" t="s">
        <v>74</v>
      </c>
      <c r="AI1108" s="2" t="s">
        <v>74</v>
      </c>
      <c r="AJ1108" s="2" t="s">
        <v>74</v>
      </c>
      <c r="AK1108" s="2" t="s">
        <v>74</v>
      </c>
      <c r="AL1108" s="2" t="s">
        <v>74</v>
      </c>
      <c r="AM1108" s="2" t="s">
        <v>74</v>
      </c>
      <c r="AN1108" s="2" t="s">
        <v>74</v>
      </c>
      <c r="AO1108" s="2" t="s">
        <v>132</v>
      </c>
      <c r="AP1108" s="2" t="s">
        <v>74</v>
      </c>
      <c r="AQ1108" s="2" t="s">
        <v>74</v>
      </c>
      <c r="AR1108" s="2" t="s">
        <v>74</v>
      </c>
      <c r="AS1108" s="2" t="s">
        <v>74</v>
      </c>
      <c r="AT1108" s="2" t="s">
        <v>145</v>
      </c>
      <c r="AU1108" s="2">
        <v>1999</v>
      </c>
      <c r="AV1108" s="2">
        <v>46</v>
      </c>
      <c r="AW1108" s="2">
        <v>3</v>
      </c>
      <c r="AX1108" s="2" t="s">
        <v>74</v>
      </c>
      <c r="AY1108" s="2" t="s">
        <v>74</v>
      </c>
      <c r="AZ1108" s="2" t="s">
        <v>74</v>
      </c>
      <c r="BA1108" s="2" t="s">
        <v>74</v>
      </c>
      <c r="BB1108" s="2">
        <v>210</v>
      </c>
      <c r="BC1108" s="2">
        <v>214</v>
      </c>
      <c r="BD1108" s="2" t="s">
        <v>74</v>
      </c>
      <c r="BE1108" s="2" t="s">
        <v>7266</v>
      </c>
      <c r="BF1108" s="2" t="str">
        <f>HYPERLINK("http://dx.doi.org/10.1007/s002650050611","http://dx.doi.org/10.1007/s002650050611")</f>
        <v>http://dx.doi.org/10.1007/s002650050611</v>
      </c>
      <c r="BG1108" s="2" t="s">
        <v>74</v>
      </c>
      <c r="BH1108" s="2" t="s">
        <v>74</v>
      </c>
      <c r="BI1108" s="2" t="s">
        <v>74</v>
      </c>
      <c r="BJ1108" s="2" t="s">
        <v>74</v>
      </c>
      <c r="BK1108" s="2" t="s">
        <v>74</v>
      </c>
      <c r="BL1108" s="2" t="s">
        <v>74</v>
      </c>
      <c r="BM1108" s="2" t="s">
        <v>74</v>
      </c>
      <c r="BN1108" s="2" t="s">
        <v>74</v>
      </c>
      <c r="BO1108" s="2" t="s">
        <v>74</v>
      </c>
      <c r="BP1108" s="2" t="s">
        <v>74</v>
      </c>
      <c r="BQ1108" s="2" t="s">
        <v>74</v>
      </c>
      <c r="BR1108" s="2" t="s">
        <v>74</v>
      </c>
      <c r="BS1108" s="2" t="s">
        <v>7267</v>
      </c>
      <c r="BT1108" s="2" t="str">
        <f>HYPERLINK("https%3A%2F%2Fwww.webofscience.com%2Fwos%2Fwoscc%2Ffull-record%2FWOS:000082141200009","View Full Record in Web of Science")</f>
        <v>View Full Record in Web of Science</v>
      </c>
    </row>
    <row r="1109" spans="1:72" s="2" customFormat="1" x14ac:dyDescent="0.4">
      <c r="A1109" s="2" t="s">
        <v>72</v>
      </c>
      <c r="B1109" s="2" t="s">
        <v>2834</v>
      </c>
      <c r="C1109" s="2" t="s">
        <v>74</v>
      </c>
      <c r="D1109" s="2" t="s">
        <v>74</v>
      </c>
      <c r="E1109" s="2" t="s">
        <v>74</v>
      </c>
      <c r="F1109" s="2" t="s">
        <v>2835</v>
      </c>
      <c r="G1109" s="2" t="s">
        <v>74</v>
      </c>
      <c r="H1109" s="2" t="s">
        <v>74</v>
      </c>
      <c r="I1109" s="2" t="s">
        <v>2836</v>
      </c>
      <c r="J1109" s="2" t="s">
        <v>367</v>
      </c>
      <c r="K1109" s="2" t="s">
        <v>74</v>
      </c>
      <c r="L1109" s="2" t="s">
        <v>74</v>
      </c>
      <c r="M1109" s="2" t="s">
        <v>74</v>
      </c>
      <c r="N1109" s="2" t="s">
        <v>74</v>
      </c>
      <c r="O1109" s="2" t="s">
        <v>74</v>
      </c>
      <c r="P1109" s="2" t="s">
        <v>74</v>
      </c>
      <c r="Q1109" s="2" t="s">
        <v>74</v>
      </c>
      <c r="R1109" s="2" t="s">
        <v>74</v>
      </c>
      <c r="S1109" s="2" t="s">
        <v>74</v>
      </c>
      <c r="T1109" s="2" t="s">
        <v>74</v>
      </c>
      <c r="U1109" s="2" t="s">
        <v>74</v>
      </c>
      <c r="V1109" s="5" t="s">
        <v>2837</v>
      </c>
      <c r="W1109" s="2" t="s">
        <v>74</v>
      </c>
      <c r="X1109" s="2" t="s">
        <v>74</v>
      </c>
      <c r="Y1109" s="2" t="s">
        <v>74</v>
      </c>
      <c r="Z1109" s="2" t="s">
        <v>74</v>
      </c>
      <c r="AA1109" s="2" t="s">
        <v>2838</v>
      </c>
      <c r="AB1109" s="2" t="s">
        <v>2839</v>
      </c>
      <c r="AC1109" s="2" t="s">
        <v>74</v>
      </c>
      <c r="AD1109" s="2" t="s">
        <v>74</v>
      </c>
      <c r="AE1109" s="2" t="s">
        <v>74</v>
      </c>
      <c r="AF1109" s="2" t="s">
        <v>74</v>
      </c>
      <c r="AG1109" s="2" t="s">
        <v>74</v>
      </c>
      <c r="AH1109" s="2" t="s">
        <v>74</v>
      </c>
      <c r="AI1109" s="2" t="s">
        <v>74</v>
      </c>
      <c r="AJ1109" s="2" t="s">
        <v>74</v>
      </c>
      <c r="AK1109" s="2" t="s">
        <v>74</v>
      </c>
      <c r="AL1109" s="2" t="s">
        <v>74</v>
      </c>
      <c r="AM1109" s="2" t="s">
        <v>74</v>
      </c>
      <c r="AN1109" s="2" t="s">
        <v>74</v>
      </c>
      <c r="AO1109" s="2" t="s">
        <v>371</v>
      </c>
      <c r="AP1109" s="2" t="s">
        <v>372</v>
      </c>
      <c r="AQ1109" s="2" t="s">
        <v>74</v>
      </c>
      <c r="AR1109" s="2" t="s">
        <v>74</v>
      </c>
      <c r="AS1109" s="2" t="s">
        <v>74</v>
      </c>
      <c r="AT1109" s="2" t="s">
        <v>2840</v>
      </c>
      <c r="AU1109" s="2">
        <v>2024</v>
      </c>
      <c r="AV1109" s="2" t="s">
        <v>74</v>
      </c>
      <c r="AW1109" s="2" t="s">
        <v>74</v>
      </c>
      <c r="AX1109" s="2" t="s">
        <v>74</v>
      </c>
      <c r="AY1109" s="2" t="s">
        <v>74</v>
      </c>
      <c r="AZ1109" s="2" t="s">
        <v>74</v>
      </c>
      <c r="BA1109" s="2" t="s">
        <v>74</v>
      </c>
      <c r="BB1109" s="2" t="s">
        <v>74</v>
      </c>
      <c r="BC1109" s="2" t="s">
        <v>74</v>
      </c>
      <c r="BD1109" s="2" t="s">
        <v>74</v>
      </c>
      <c r="BE1109" s="2" t="s">
        <v>2841</v>
      </c>
      <c r="BF1109" s="2" t="str">
        <f>HYPERLINK("http://dx.doi.org/10.1037/com0000374","http://dx.doi.org/10.1037/com0000374")</f>
        <v>http://dx.doi.org/10.1037/com0000374</v>
      </c>
      <c r="BG1109" s="2" t="s">
        <v>74</v>
      </c>
      <c r="BH1109" s="2" t="s">
        <v>2842</v>
      </c>
      <c r="BI1109" s="2" t="s">
        <v>74</v>
      </c>
      <c r="BJ1109" s="2" t="s">
        <v>74</v>
      </c>
      <c r="BK1109" s="2" t="s">
        <v>74</v>
      </c>
      <c r="BL1109" s="2" t="s">
        <v>74</v>
      </c>
      <c r="BM1109" s="2" t="s">
        <v>74</v>
      </c>
      <c r="BN1109" s="2">
        <v>38330314</v>
      </c>
      <c r="BO1109" s="2" t="s">
        <v>74</v>
      </c>
      <c r="BP1109" s="2" t="s">
        <v>74</v>
      </c>
      <c r="BQ1109" s="2" t="s">
        <v>74</v>
      </c>
      <c r="BR1109" s="2" t="s">
        <v>74</v>
      </c>
      <c r="BS1109" s="2" t="s">
        <v>2843</v>
      </c>
      <c r="BT1109" s="2" t="str">
        <f>HYPERLINK("https%3A%2F%2Fwww.webofscience.com%2Fwos%2Fwoscc%2Ffull-record%2FWOS:001158763200001","View Full Record in Web of Science")</f>
        <v>View Full Record in Web of Science</v>
      </c>
    </row>
    <row r="1110" spans="1:72" s="2" customFormat="1" x14ac:dyDescent="0.4">
      <c r="A1110" s="2" t="s">
        <v>72</v>
      </c>
      <c r="B1110" s="2" t="s">
        <v>3740</v>
      </c>
      <c r="C1110" s="2" t="s">
        <v>74</v>
      </c>
      <c r="D1110" s="2" t="s">
        <v>74</v>
      </c>
      <c r="E1110" s="2" t="s">
        <v>74</v>
      </c>
      <c r="F1110" s="2" t="s">
        <v>3740</v>
      </c>
      <c r="G1110" s="2" t="s">
        <v>74</v>
      </c>
      <c r="H1110" s="2" t="s">
        <v>74</v>
      </c>
      <c r="I1110" s="2" t="s">
        <v>3741</v>
      </c>
      <c r="J1110" s="2" t="s">
        <v>77</v>
      </c>
      <c r="K1110" s="2" t="s">
        <v>74</v>
      </c>
      <c r="L1110" s="2" t="s">
        <v>74</v>
      </c>
      <c r="M1110" s="2" t="s">
        <v>74</v>
      </c>
      <c r="N1110" s="2" t="s">
        <v>74</v>
      </c>
      <c r="O1110" s="2" t="s">
        <v>74</v>
      </c>
      <c r="P1110" s="2" t="s">
        <v>74</v>
      </c>
      <c r="Q1110" s="2" t="s">
        <v>74</v>
      </c>
      <c r="R1110" s="2" t="s">
        <v>74</v>
      </c>
      <c r="S1110" s="2" t="s">
        <v>74</v>
      </c>
      <c r="T1110" s="2" t="s">
        <v>74</v>
      </c>
      <c r="U1110" s="2" t="s">
        <v>74</v>
      </c>
      <c r="V1110" s="5" t="s">
        <v>3742</v>
      </c>
      <c r="W1110" s="2" t="s">
        <v>74</v>
      </c>
      <c r="X1110" s="2" t="s">
        <v>74</v>
      </c>
      <c r="Y1110" s="2" t="s">
        <v>74</v>
      </c>
      <c r="Z1110" s="2" t="s">
        <v>74</v>
      </c>
      <c r="AA1110" s="2" t="s">
        <v>74</v>
      </c>
      <c r="AB1110" s="2" t="s">
        <v>74</v>
      </c>
      <c r="AC1110" s="2" t="s">
        <v>74</v>
      </c>
      <c r="AD1110" s="2" t="s">
        <v>74</v>
      </c>
      <c r="AE1110" s="2" t="s">
        <v>74</v>
      </c>
      <c r="AF1110" s="2" t="s">
        <v>74</v>
      </c>
      <c r="AG1110" s="2" t="s">
        <v>74</v>
      </c>
      <c r="AH1110" s="2" t="s">
        <v>74</v>
      </c>
      <c r="AI1110" s="2" t="s">
        <v>74</v>
      </c>
      <c r="AJ1110" s="2" t="s">
        <v>74</v>
      </c>
      <c r="AK1110" s="2" t="s">
        <v>74</v>
      </c>
      <c r="AL1110" s="2" t="s">
        <v>74</v>
      </c>
      <c r="AM1110" s="2" t="s">
        <v>74</v>
      </c>
      <c r="AN1110" s="2" t="s">
        <v>74</v>
      </c>
      <c r="AO1110" s="2" t="s">
        <v>81</v>
      </c>
      <c r="AP1110" s="2" t="s">
        <v>82</v>
      </c>
      <c r="AQ1110" s="2" t="s">
        <v>74</v>
      </c>
      <c r="AR1110" s="2" t="s">
        <v>74</v>
      </c>
      <c r="AS1110" s="2" t="s">
        <v>74</v>
      </c>
      <c r="AT1110" s="2" t="s">
        <v>305</v>
      </c>
      <c r="AU1110" s="2">
        <v>1989</v>
      </c>
      <c r="AV1110" s="2">
        <v>111</v>
      </c>
      <c r="AW1110" s="2" t="s">
        <v>74</v>
      </c>
      <c r="AX1110" s="2" t="s">
        <v>3743</v>
      </c>
      <c r="AY1110" s="2" t="s">
        <v>74</v>
      </c>
      <c r="AZ1110" s="2" t="s">
        <v>74</v>
      </c>
      <c r="BA1110" s="2" t="s">
        <v>74</v>
      </c>
      <c r="BB1110" s="2">
        <v>220</v>
      </c>
      <c r="BC1110" s="2">
        <v>233</v>
      </c>
      <c r="BD1110" s="2" t="s">
        <v>74</v>
      </c>
      <c r="BE1110" s="2" t="s">
        <v>3744</v>
      </c>
      <c r="BF1110" s="2" t="str">
        <f>HYPERLINK("http://dx.doi.org/10.1163/156853989X00673","http://dx.doi.org/10.1163/156853989X00673")</f>
        <v>http://dx.doi.org/10.1163/156853989X00673</v>
      </c>
      <c r="BG1110" s="2" t="s">
        <v>74</v>
      </c>
      <c r="BH1110" s="2" t="s">
        <v>74</v>
      </c>
      <c r="BI1110" s="2" t="s">
        <v>74</v>
      </c>
      <c r="BJ1110" s="2" t="s">
        <v>74</v>
      </c>
      <c r="BK1110" s="2" t="s">
        <v>74</v>
      </c>
      <c r="BL1110" s="2" t="s">
        <v>74</v>
      </c>
      <c r="BM1110" s="2" t="s">
        <v>74</v>
      </c>
      <c r="BN1110" s="2" t="s">
        <v>74</v>
      </c>
      <c r="BO1110" s="2" t="s">
        <v>74</v>
      </c>
      <c r="BP1110" s="2" t="s">
        <v>74</v>
      </c>
      <c r="BQ1110" s="2" t="s">
        <v>74</v>
      </c>
      <c r="BR1110" s="2" t="s">
        <v>74</v>
      </c>
      <c r="BS1110" s="2" t="s">
        <v>3745</v>
      </c>
      <c r="BT1110" s="2" t="str">
        <f>HYPERLINK("https%3A%2F%2Fwww.webofscience.com%2Fwos%2Fwoscc%2Ffull-record%2FWOS:A1989CT62800014","View Full Record in Web of Science")</f>
        <v>View Full Record in Web of Science</v>
      </c>
    </row>
    <row r="1111" spans="1:72" s="1" customFormat="1" x14ac:dyDescent="0.4">
      <c r="A1111" s="2" t="s">
        <v>72</v>
      </c>
      <c r="B1111" s="2" t="s">
        <v>651</v>
      </c>
      <c r="C1111" s="2" t="s">
        <v>74</v>
      </c>
      <c r="D1111" s="2" t="s">
        <v>74</v>
      </c>
      <c r="E1111" s="2" t="s">
        <v>74</v>
      </c>
      <c r="F1111" s="2" t="s">
        <v>652</v>
      </c>
      <c r="G1111" s="2" t="s">
        <v>74</v>
      </c>
      <c r="H1111" s="2" t="s">
        <v>74</v>
      </c>
      <c r="I1111" s="2" t="s">
        <v>653</v>
      </c>
      <c r="J1111" s="2" t="s">
        <v>654</v>
      </c>
      <c r="K1111" s="2" t="s">
        <v>74</v>
      </c>
      <c r="L1111" s="2" t="s">
        <v>74</v>
      </c>
      <c r="M1111" s="2" t="s">
        <v>74</v>
      </c>
      <c r="N1111" s="2" t="s">
        <v>74</v>
      </c>
      <c r="O1111" s="2" t="s">
        <v>74</v>
      </c>
      <c r="P1111" s="2" t="s">
        <v>74</v>
      </c>
      <c r="Q1111" s="2" t="s">
        <v>74</v>
      </c>
      <c r="R1111" s="2" t="s">
        <v>74</v>
      </c>
      <c r="S1111" s="2" t="s">
        <v>74</v>
      </c>
      <c r="T1111" s="2" t="s">
        <v>74</v>
      </c>
      <c r="U1111" s="2" t="s">
        <v>74</v>
      </c>
      <c r="V1111" s="5" t="s">
        <v>655</v>
      </c>
      <c r="W1111" s="2" t="s">
        <v>74</v>
      </c>
      <c r="X1111" s="2" t="s">
        <v>74</v>
      </c>
      <c r="Y1111" s="2" t="s">
        <v>74</v>
      </c>
      <c r="Z1111" s="2" t="s">
        <v>74</v>
      </c>
      <c r="AA1111" s="2" t="s">
        <v>656</v>
      </c>
      <c r="AB1111" s="2" t="s">
        <v>657</v>
      </c>
      <c r="AC1111" s="2" t="s">
        <v>74</v>
      </c>
      <c r="AD1111" s="2" t="s">
        <v>74</v>
      </c>
      <c r="AE1111" s="2" t="s">
        <v>74</v>
      </c>
      <c r="AF1111" s="2" t="s">
        <v>74</v>
      </c>
      <c r="AG1111" s="2" t="s">
        <v>74</v>
      </c>
      <c r="AH1111" s="2" t="s">
        <v>74</v>
      </c>
      <c r="AI1111" s="2" t="s">
        <v>74</v>
      </c>
      <c r="AJ1111" s="2" t="s">
        <v>74</v>
      </c>
      <c r="AK1111" s="2" t="s">
        <v>74</v>
      </c>
      <c r="AL1111" s="2" t="s">
        <v>74</v>
      </c>
      <c r="AM1111" s="2" t="s">
        <v>74</v>
      </c>
      <c r="AN1111" s="2" t="s">
        <v>74</v>
      </c>
      <c r="AO1111" s="2" t="s">
        <v>658</v>
      </c>
      <c r="AP1111" s="2" t="s">
        <v>74</v>
      </c>
      <c r="AQ1111" s="2" t="s">
        <v>74</v>
      </c>
      <c r="AR1111" s="2" t="s">
        <v>74</v>
      </c>
      <c r="AS1111" s="2" t="s">
        <v>74</v>
      </c>
      <c r="AT1111" s="2" t="s">
        <v>305</v>
      </c>
      <c r="AU1111" s="2">
        <v>2023</v>
      </c>
      <c r="AV1111" s="2">
        <v>13</v>
      </c>
      <c r="AW1111" s="2">
        <v>12</v>
      </c>
      <c r="AX1111" s="2" t="s">
        <v>74</v>
      </c>
      <c r="AY1111" s="2" t="s">
        <v>74</v>
      </c>
      <c r="AZ1111" s="2" t="s">
        <v>74</v>
      </c>
      <c r="BA1111" s="2" t="s">
        <v>74</v>
      </c>
      <c r="BB1111" s="2" t="s">
        <v>74</v>
      </c>
      <c r="BC1111" s="2" t="s">
        <v>74</v>
      </c>
      <c r="BD1111" s="2" t="s">
        <v>659</v>
      </c>
      <c r="BE1111" s="2" t="s">
        <v>660</v>
      </c>
      <c r="BF1111" s="2" t="str">
        <f>HYPERLINK("http://dx.doi.org/10.1002/ece3.10735","http://dx.doi.org/10.1002/ece3.10735")</f>
        <v>http://dx.doi.org/10.1002/ece3.10735</v>
      </c>
      <c r="BG1111" s="2" t="s">
        <v>74</v>
      </c>
      <c r="BH1111" s="2" t="s">
        <v>74</v>
      </c>
      <c r="BI1111" s="2" t="s">
        <v>74</v>
      </c>
      <c r="BJ1111" s="2" t="s">
        <v>74</v>
      </c>
      <c r="BK1111" s="2" t="s">
        <v>74</v>
      </c>
      <c r="BL1111" s="2" t="s">
        <v>74</v>
      </c>
      <c r="BM1111" s="2" t="s">
        <v>74</v>
      </c>
      <c r="BN1111" s="2">
        <v>38077506</v>
      </c>
      <c r="BO1111" s="2" t="s">
        <v>74</v>
      </c>
      <c r="BP1111" s="2" t="s">
        <v>74</v>
      </c>
      <c r="BQ1111" s="2" t="s">
        <v>74</v>
      </c>
      <c r="BR1111" s="2" t="s">
        <v>74</v>
      </c>
      <c r="BS1111" s="2" t="s">
        <v>661</v>
      </c>
      <c r="BT1111" s="2" t="str">
        <f>HYPERLINK("https%3A%2F%2Fwww.webofscience.com%2Fwos%2Fwoscc%2Ffull-record%2FWOS:001114381400001","View Full Record in Web of Science")</f>
        <v>View Full Record in Web of Science</v>
      </c>
    </row>
    <row r="1112" spans="1:72" s="2" customFormat="1" x14ac:dyDescent="0.4">
      <c r="A1112" s="2" t="s">
        <v>72</v>
      </c>
      <c r="B1112" s="2" t="s">
        <v>355</v>
      </c>
      <c r="C1112" s="2" t="s">
        <v>74</v>
      </c>
      <c r="D1112" s="2" t="s">
        <v>74</v>
      </c>
      <c r="E1112" s="2" t="s">
        <v>74</v>
      </c>
      <c r="F1112" s="2" t="s">
        <v>356</v>
      </c>
      <c r="G1112" s="2" t="s">
        <v>74</v>
      </c>
      <c r="H1112" s="2" t="s">
        <v>74</v>
      </c>
      <c r="I1112" s="2" t="s">
        <v>357</v>
      </c>
      <c r="J1112" s="2" t="s">
        <v>88</v>
      </c>
      <c r="K1112" s="2" t="s">
        <v>74</v>
      </c>
      <c r="L1112" s="2" t="s">
        <v>74</v>
      </c>
      <c r="M1112" s="2" t="s">
        <v>74</v>
      </c>
      <c r="N1112" s="2" t="s">
        <v>74</v>
      </c>
      <c r="O1112" s="2" t="s">
        <v>74</v>
      </c>
      <c r="P1112" s="2" t="s">
        <v>74</v>
      </c>
      <c r="Q1112" s="2" t="s">
        <v>74</v>
      </c>
      <c r="R1112" s="2" t="s">
        <v>74</v>
      </c>
      <c r="S1112" s="2" t="s">
        <v>74</v>
      </c>
      <c r="T1112" s="2" t="s">
        <v>74</v>
      </c>
      <c r="U1112" s="2" t="s">
        <v>74</v>
      </c>
      <c r="V1112" s="5" t="s">
        <v>358</v>
      </c>
      <c r="W1112" s="2" t="s">
        <v>74</v>
      </c>
      <c r="X1112" s="2" t="s">
        <v>74</v>
      </c>
      <c r="Y1112" s="2" t="s">
        <v>74</v>
      </c>
      <c r="Z1112" s="2" t="s">
        <v>74</v>
      </c>
      <c r="AA1112" s="2" t="s">
        <v>359</v>
      </c>
      <c r="AB1112" s="2" t="s">
        <v>360</v>
      </c>
      <c r="AC1112" s="2" t="s">
        <v>74</v>
      </c>
      <c r="AD1112" s="2" t="s">
        <v>74</v>
      </c>
      <c r="AE1112" s="2" t="s">
        <v>74</v>
      </c>
      <c r="AF1112" s="2" t="s">
        <v>74</v>
      </c>
      <c r="AG1112" s="2" t="s">
        <v>74</v>
      </c>
      <c r="AH1112" s="2" t="s">
        <v>74</v>
      </c>
      <c r="AI1112" s="2" t="s">
        <v>74</v>
      </c>
      <c r="AJ1112" s="2" t="s">
        <v>74</v>
      </c>
      <c r="AK1112" s="2" t="s">
        <v>74</v>
      </c>
      <c r="AL1112" s="2" t="s">
        <v>74</v>
      </c>
      <c r="AM1112" s="2" t="s">
        <v>74</v>
      </c>
      <c r="AN1112" s="2" t="s">
        <v>74</v>
      </c>
      <c r="AO1112" s="2" t="s">
        <v>91</v>
      </c>
      <c r="AP1112" s="2" t="s">
        <v>92</v>
      </c>
      <c r="AQ1112" s="2" t="s">
        <v>74</v>
      </c>
      <c r="AR1112" s="2" t="s">
        <v>74</v>
      </c>
      <c r="AS1112" s="2" t="s">
        <v>74</v>
      </c>
      <c r="AT1112" s="2" t="s">
        <v>361</v>
      </c>
      <c r="AU1112" s="2">
        <v>2015</v>
      </c>
      <c r="AV1112" s="2">
        <v>11</v>
      </c>
      <c r="AW1112" s="2">
        <v>5</v>
      </c>
      <c r="AX1112" s="2" t="s">
        <v>74</v>
      </c>
      <c r="AY1112" s="2" t="s">
        <v>74</v>
      </c>
      <c r="AZ1112" s="2" t="s">
        <v>74</v>
      </c>
      <c r="BA1112" s="2" t="s">
        <v>74</v>
      </c>
      <c r="BB1112" s="2" t="s">
        <v>74</v>
      </c>
      <c r="BC1112" s="2" t="s">
        <v>74</v>
      </c>
      <c r="BD1112" s="2">
        <v>20150166</v>
      </c>
      <c r="BE1112" s="2" t="s">
        <v>362</v>
      </c>
      <c r="BF1112" s="2" t="str">
        <f>HYPERLINK("http://dx.doi.org/10.1098/rsbl.2015.0166","http://dx.doi.org/10.1098/rsbl.2015.0166")</f>
        <v>http://dx.doi.org/10.1098/rsbl.2015.0166</v>
      </c>
      <c r="BG1112" s="2" t="s">
        <v>74</v>
      </c>
      <c r="BH1112" s="2" t="s">
        <v>74</v>
      </c>
      <c r="BI1112" s="2" t="s">
        <v>74</v>
      </c>
      <c r="BJ1112" s="2" t="s">
        <v>74</v>
      </c>
      <c r="BK1112" s="2" t="s">
        <v>74</v>
      </c>
      <c r="BL1112" s="2" t="s">
        <v>74</v>
      </c>
      <c r="BM1112" s="2" t="s">
        <v>74</v>
      </c>
      <c r="BN1112" s="2">
        <v>25972401</v>
      </c>
      <c r="BO1112" s="2" t="s">
        <v>74</v>
      </c>
      <c r="BP1112" s="2" t="s">
        <v>74</v>
      </c>
      <c r="BQ1112" s="2" t="s">
        <v>74</v>
      </c>
      <c r="BR1112" s="2" t="s">
        <v>74</v>
      </c>
      <c r="BS1112" s="2" t="s">
        <v>363</v>
      </c>
      <c r="BT1112" s="2" t="str">
        <f>HYPERLINK("https%3A%2F%2Fwww.webofscience.com%2Fwos%2Fwoscc%2Ffull-record%2FWOS:000357684200014","View Full Record in Web of Science")</f>
        <v>View Full Record in Web of Science</v>
      </c>
    </row>
    <row r="1113" spans="1:72" s="2" customFormat="1" x14ac:dyDescent="0.4">
      <c r="A1113" s="2" t="s">
        <v>72</v>
      </c>
      <c r="B1113" s="2" t="s">
        <v>6049</v>
      </c>
      <c r="C1113" s="2" t="s">
        <v>74</v>
      </c>
      <c r="D1113" s="2" t="s">
        <v>74</v>
      </c>
      <c r="E1113" s="2" t="s">
        <v>74</v>
      </c>
      <c r="F1113" s="2" t="s">
        <v>6049</v>
      </c>
      <c r="G1113" s="2" t="s">
        <v>74</v>
      </c>
      <c r="H1113" s="2" t="s">
        <v>74</v>
      </c>
      <c r="I1113" s="2" t="s">
        <v>6050</v>
      </c>
      <c r="J1113" s="2" t="s">
        <v>171</v>
      </c>
      <c r="K1113" s="2" t="s">
        <v>74</v>
      </c>
      <c r="L1113" s="2" t="s">
        <v>74</v>
      </c>
      <c r="M1113" s="2" t="s">
        <v>74</v>
      </c>
      <c r="N1113" s="2" t="s">
        <v>74</v>
      </c>
      <c r="O1113" s="2" t="s">
        <v>74</v>
      </c>
      <c r="P1113" s="2" t="s">
        <v>74</v>
      </c>
      <c r="Q1113" s="2" t="s">
        <v>74</v>
      </c>
      <c r="R1113" s="2" t="s">
        <v>74</v>
      </c>
      <c r="S1113" s="2" t="s">
        <v>74</v>
      </c>
      <c r="T1113" s="2" t="s">
        <v>74</v>
      </c>
      <c r="U1113" s="2" t="s">
        <v>74</v>
      </c>
      <c r="V1113" s="5" t="s">
        <v>6051</v>
      </c>
      <c r="W1113" s="2" t="s">
        <v>74</v>
      </c>
      <c r="X1113" s="2" t="s">
        <v>74</v>
      </c>
      <c r="Y1113" s="2" t="s">
        <v>74</v>
      </c>
      <c r="Z1113" s="2" t="s">
        <v>74</v>
      </c>
      <c r="AA1113" s="2" t="s">
        <v>74</v>
      </c>
      <c r="AB1113" s="2" t="s">
        <v>6052</v>
      </c>
      <c r="AC1113" s="2" t="s">
        <v>74</v>
      </c>
      <c r="AD1113" s="2" t="s">
        <v>74</v>
      </c>
      <c r="AE1113" s="2" t="s">
        <v>74</v>
      </c>
      <c r="AF1113" s="2" t="s">
        <v>74</v>
      </c>
      <c r="AG1113" s="2" t="s">
        <v>74</v>
      </c>
      <c r="AH1113" s="2" t="s">
        <v>74</v>
      </c>
      <c r="AI1113" s="2" t="s">
        <v>74</v>
      </c>
      <c r="AJ1113" s="2" t="s">
        <v>74</v>
      </c>
      <c r="AK1113" s="2" t="s">
        <v>74</v>
      </c>
      <c r="AL1113" s="2" t="s">
        <v>74</v>
      </c>
      <c r="AM1113" s="2" t="s">
        <v>74</v>
      </c>
      <c r="AN1113" s="2" t="s">
        <v>74</v>
      </c>
      <c r="AO1113" s="2" t="s">
        <v>173</v>
      </c>
      <c r="AP1113" s="2" t="s">
        <v>174</v>
      </c>
      <c r="AQ1113" s="2" t="s">
        <v>74</v>
      </c>
      <c r="AR1113" s="2" t="s">
        <v>74</v>
      </c>
      <c r="AS1113" s="2" t="s">
        <v>74</v>
      </c>
      <c r="AT1113" s="2" t="s">
        <v>305</v>
      </c>
      <c r="AU1113" s="2">
        <v>1999</v>
      </c>
      <c r="AV1113" s="2">
        <v>53</v>
      </c>
      <c r="AW1113" s="2">
        <v>6</v>
      </c>
      <c r="AX1113" s="2" t="s">
        <v>74</v>
      </c>
      <c r="AY1113" s="2" t="s">
        <v>74</v>
      </c>
      <c r="AZ1113" s="2" t="s">
        <v>74</v>
      </c>
      <c r="BA1113" s="2" t="s">
        <v>74</v>
      </c>
      <c r="BB1113" s="2">
        <v>1884</v>
      </c>
      <c r="BC1113" s="2">
        <v>1897</v>
      </c>
      <c r="BD1113" s="2" t="s">
        <v>74</v>
      </c>
      <c r="BE1113" s="2" t="s">
        <v>6053</v>
      </c>
      <c r="BF1113" s="2" t="str">
        <f>HYPERLINK("http://dx.doi.org/10.2307/2640448","http://dx.doi.org/10.2307/2640448")</f>
        <v>http://dx.doi.org/10.2307/2640448</v>
      </c>
      <c r="BG1113" s="2" t="s">
        <v>74</v>
      </c>
      <c r="BH1113" s="2" t="s">
        <v>74</v>
      </c>
      <c r="BI1113" s="2" t="s">
        <v>74</v>
      </c>
      <c r="BJ1113" s="2" t="s">
        <v>74</v>
      </c>
      <c r="BK1113" s="2" t="s">
        <v>74</v>
      </c>
      <c r="BL1113" s="2" t="s">
        <v>74</v>
      </c>
      <c r="BM1113" s="2" t="s">
        <v>74</v>
      </c>
      <c r="BN1113" s="2">
        <v>28565467</v>
      </c>
      <c r="BO1113" s="2" t="s">
        <v>74</v>
      </c>
      <c r="BP1113" s="2" t="s">
        <v>74</v>
      </c>
      <c r="BQ1113" s="2" t="s">
        <v>74</v>
      </c>
      <c r="BR1113" s="2" t="s">
        <v>74</v>
      </c>
      <c r="BS1113" s="2" t="s">
        <v>6054</v>
      </c>
      <c r="BT1113" s="2" t="str">
        <f>HYPERLINK("https%3A%2F%2Fwww.webofscience.com%2Fwos%2Fwoscc%2Ffull-record%2FWOS:000084703100021","View Full Record in Web of Science")</f>
        <v>View Full Record in Web of Science</v>
      </c>
    </row>
    <row r="1114" spans="1:72" s="2" customFormat="1" x14ac:dyDescent="0.4">
      <c r="A1114" s="2" t="s">
        <v>72</v>
      </c>
      <c r="B1114" s="2" t="s">
        <v>4733</v>
      </c>
      <c r="C1114" s="2" t="s">
        <v>74</v>
      </c>
      <c r="D1114" s="2" t="s">
        <v>74</v>
      </c>
      <c r="E1114" s="2" t="s">
        <v>74</v>
      </c>
      <c r="F1114" s="2" t="s">
        <v>4734</v>
      </c>
      <c r="G1114" s="2" t="s">
        <v>74</v>
      </c>
      <c r="H1114" s="2" t="s">
        <v>74</v>
      </c>
      <c r="I1114" s="2" t="s">
        <v>4735</v>
      </c>
      <c r="J1114" s="2" t="s">
        <v>77</v>
      </c>
      <c r="K1114" s="2" t="s">
        <v>74</v>
      </c>
      <c r="L1114" s="2" t="s">
        <v>74</v>
      </c>
      <c r="M1114" s="2" t="s">
        <v>74</v>
      </c>
      <c r="N1114" s="2" t="s">
        <v>74</v>
      </c>
      <c r="O1114" s="2" t="s">
        <v>74</v>
      </c>
      <c r="P1114" s="2" t="s">
        <v>74</v>
      </c>
      <c r="Q1114" s="2" t="s">
        <v>74</v>
      </c>
      <c r="R1114" s="2" t="s">
        <v>74</v>
      </c>
      <c r="S1114" s="2" t="s">
        <v>74</v>
      </c>
      <c r="T1114" s="2" t="s">
        <v>74</v>
      </c>
      <c r="U1114" s="2" t="s">
        <v>74</v>
      </c>
      <c r="V1114" s="5" t="s">
        <v>4736</v>
      </c>
      <c r="W1114" s="2" t="s">
        <v>74</v>
      </c>
      <c r="X1114" s="2" t="s">
        <v>74</v>
      </c>
      <c r="Y1114" s="2" t="s">
        <v>74</v>
      </c>
      <c r="Z1114" s="2" t="s">
        <v>74</v>
      </c>
      <c r="AA1114" s="2" t="s">
        <v>4737</v>
      </c>
      <c r="AB1114" s="2" t="s">
        <v>74</v>
      </c>
      <c r="AC1114" s="2" t="s">
        <v>74</v>
      </c>
      <c r="AD1114" s="2" t="s">
        <v>74</v>
      </c>
      <c r="AE1114" s="2" t="s">
        <v>74</v>
      </c>
      <c r="AF1114" s="2" t="s">
        <v>74</v>
      </c>
      <c r="AG1114" s="2" t="s">
        <v>74</v>
      </c>
      <c r="AH1114" s="2" t="s">
        <v>74</v>
      </c>
      <c r="AI1114" s="2" t="s">
        <v>74</v>
      </c>
      <c r="AJ1114" s="2" t="s">
        <v>74</v>
      </c>
      <c r="AK1114" s="2" t="s">
        <v>74</v>
      </c>
      <c r="AL1114" s="2" t="s">
        <v>74</v>
      </c>
      <c r="AM1114" s="2" t="s">
        <v>74</v>
      </c>
      <c r="AN1114" s="2" t="s">
        <v>74</v>
      </c>
      <c r="AO1114" s="2" t="s">
        <v>81</v>
      </c>
      <c r="AP1114" s="2" t="s">
        <v>82</v>
      </c>
      <c r="AQ1114" s="2" t="s">
        <v>74</v>
      </c>
      <c r="AR1114" s="2" t="s">
        <v>74</v>
      </c>
      <c r="AS1114" s="2" t="s">
        <v>74</v>
      </c>
      <c r="AT1114" s="2" t="s">
        <v>74</v>
      </c>
      <c r="AU1114" s="2">
        <v>2015</v>
      </c>
      <c r="AV1114" s="2">
        <v>152</v>
      </c>
      <c r="AW1114" s="2">
        <v>5</v>
      </c>
      <c r="AX1114" s="2" t="s">
        <v>74</v>
      </c>
      <c r="AY1114" s="2" t="s">
        <v>74</v>
      </c>
      <c r="AZ1114" s="2" t="s">
        <v>74</v>
      </c>
      <c r="BA1114" s="2" t="s">
        <v>74</v>
      </c>
      <c r="BB1114" s="2">
        <v>563</v>
      </c>
      <c r="BC1114" s="2">
        <v>591</v>
      </c>
      <c r="BD1114" s="2" t="s">
        <v>74</v>
      </c>
      <c r="BE1114" s="2" t="s">
        <v>4738</v>
      </c>
      <c r="BF1114" s="2" t="str">
        <f>HYPERLINK("http://dx.doi.org/10.1163/1568539X-00003243","http://dx.doi.org/10.1163/1568539X-00003243")</f>
        <v>http://dx.doi.org/10.1163/1568539X-00003243</v>
      </c>
      <c r="BG1114" s="2" t="s">
        <v>74</v>
      </c>
      <c r="BH1114" s="2" t="s">
        <v>74</v>
      </c>
      <c r="BI1114" s="2" t="s">
        <v>74</v>
      </c>
      <c r="BJ1114" s="2" t="s">
        <v>74</v>
      </c>
      <c r="BK1114" s="2" t="s">
        <v>74</v>
      </c>
      <c r="BL1114" s="2" t="s">
        <v>74</v>
      </c>
      <c r="BM1114" s="2" t="s">
        <v>74</v>
      </c>
      <c r="BN1114" s="2" t="s">
        <v>74</v>
      </c>
      <c r="BO1114" s="2" t="s">
        <v>74</v>
      </c>
      <c r="BP1114" s="2" t="s">
        <v>74</v>
      </c>
      <c r="BQ1114" s="2" t="s">
        <v>74</v>
      </c>
      <c r="BR1114" s="2" t="s">
        <v>74</v>
      </c>
      <c r="BS1114" s="2" t="s">
        <v>4739</v>
      </c>
      <c r="BT1114" s="2" t="str">
        <f>HYPERLINK("https%3A%2F%2Fwww.webofscience.com%2Fwos%2Fwoscc%2Ffull-record%2FWOS:000351364600001","View Full Record in Web of Science")</f>
        <v>View Full Record in Web of Science</v>
      </c>
    </row>
    <row r="1115" spans="1:72" s="2" customFormat="1" x14ac:dyDescent="0.4">
      <c r="A1115" s="2" t="s">
        <v>72</v>
      </c>
      <c r="B1115" s="2" t="s">
        <v>6864</v>
      </c>
      <c r="C1115" s="2" t="s">
        <v>74</v>
      </c>
      <c r="D1115" s="2" t="s">
        <v>74</v>
      </c>
      <c r="E1115" s="2" t="s">
        <v>74</v>
      </c>
      <c r="F1115" s="2" t="s">
        <v>6865</v>
      </c>
      <c r="G1115" s="2" t="s">
        <v>74</v>
      </c>
      <c r="H1115" s="2" t="s">
        <v>74</v>
      </c>
      <c r="I1115" s="2" t="s">
        <v>6866</v>
      </c>
      <c r="J1115" s="2" t="s">
        <v>6867</v>
      </c>
      <c r="K1115" s="2" t="s">
        <v>74</v>
      </c>
      <c r="L1115" s="2" t="s">
        <v>74</v>
      </c>
      <c r="M1115" s="2" t="s">
        <v>74</v>
      </c>
      <c r="N1115" s="2" t="s">
        <v>74</v>
      </c>
      <c r="O1115" s="2" t="s">
        <v>74</v>
      </c>
      <c r="P1115" s="2" t="s">
        <v>74</v>
      </c>
      <c r="Q1115" s="2" t="s">
        <v>74</v>
      </c>
      <c r="R1115" s="2" t="s">
        <v>74</v>
      </c>
      <c r="S1115" s="2" t="s">
        <v>74</v>
      </c>
      <c r="T1115" s="2" t="s">
        <v>74</v>
      </c>
      <c r="U1115" s="2" t="s">
        <v>74</v>
      </c>
      <c r="V1115" s="5" t="s">
        <v>6868</v>
      </c>
      <c r="W1115" s="2" t="s">
        <v>74</v>
      </c>
      <c r="X1115" s="2" t="s">
        <v>74</v>
      </c>
      <c r="Y1115" s="2" t="s">
        <v>74</v>
      </c>
      <c r="Z1115" s="2" t="s">
        <v>74</v>
      </c>
      <c r="AA1115" s="2" t="s">
        <v>6869</v>
      </c>
      <c r="AB1115" s="2" t="s">
        <v>6870</v>
      </c>
      <c r="AC1115" s="2" t="s">
        <v>74</v>
      </c>
      <c r="AD1115" s="2" t="s">
        <v>74</v>
      </c>
      <c r="AE1115" s="2" t="s">
        <v>74</v>
      </c>
      <c r="AF1115" s="2" t="s">
        <v>74</v>
      </c>
      <c r="AG1115" s="2" t="s">
        <v>74</v>
      </c>
      <c r="AH1115" s="2" t="s">
        <v>74</v>
      </c>
      <c r="AI1115" s="2" t="s">
        <v>74</v>
      </c>
      <c r="AJ1115" s="2" t="s">
        <v>74</v>
      </c>
      <c r="AK1115" s="2" t="s">
        <v>74</v>
      </c>
      <c r="AL1115" s="2" t="s">
        <v>74</v>
      </c>
      <c r="AM1115" s="2" t="s">
        <v>74</v>
      </c>
      <c r="AN1115" s="2" t="s">
        <v>74</v>
      </c>
      <c r="AO1115" s="2" t="s">
        <v>6871</v>
      </c>
      <c r="AP1115" s="2" t="s">
        <v>6872</v>
      </c>
      <c r="AQ1115" s="2" t="s">
        <v>74</v>
      </c>
      <c r="AR1115" s="2" t="s">
        <v>74</v>
      </c>
      <c r="AS1115" s="2" t="s">
        <v>74</v>
      </c>
      <c r="AT1115" s="2" t="s">
        <v>175</v>
      </c>
      <c r="AU1115" s="2">
        <v>2020</v>
      </c>
      <c r="AV1115" s="2">
        <v>53</v>
      </c>
      <c r="AW1115" s="2" t="s">
        <v>74</v>
      </c>
      <c r="AX1115" s="2" t="s">
        <v>74</v>
      </c>
      <c r="AY1115" s="2" t="s">
        <v>74</v>
      </c>
      <c r="AZ1115" s="2" t="s">
        <v>74</v>
      </c>
      <c r="BA1115" s="2" t="s">
        <v>74</v>
      </c>
      <c r="BB1115" s="2" t="s">
        <v>74</v>
      </c>
      <c r="BC1115" s="2" t="s">
        <v>74</v>
      </c>
      <c r="BD1115" s="2">
        <v>100753</v>
      </c>
      <c r="BE1115" s="2" t="s">
        <v>6873</v>
      </c>
      <c r="BF1115" s="2" t="str">
        <f>HYPERLINK("http://dx.doi.org/10.1016/j.margen.2020.100753","http://dx.doi.org/10.1016/j.margen.2020.100753")</f>
        <v>http://dx.doi.org/10.1016/j.margen.2020.100753</v>
      </c>
      <c r="BG1115" s="2" t="s">
        <v>74</v>
      </c>
      <c r="BH1115" s="2" t="s">
        <v>74</v>
      </c>
      <c r="BI1115" s="2" t="s">
        <v>74</v>
      </c>
      <c r="BJ1115" s="2" t="s">
        <v>74</v>
      </c>
      <c r="BK1115" s="2" t="s">
        <v>74</v>
      </c>
      <c r="BL1115" s="2" t="s">
        <v>74</v>
      </c>
      <c r="BM1115" s="2" t="s">
        <v>74</v>
      </c>
      <c r="BN1115" s="2">
        <v>32057717</v>
      </c>
      <c r="BO1115" s="2" t="s">
        <v>74</v>
      </c>
      <c r="BP1115" s="2" t="s">
        <v>74</v>
      </c>
      <c r="BQ1115" s="2" t="s">
        <v>74</v>
      </c>
      <c r="BR1115" s="2" t="s">
        <v>74</v>
      </c>
      <c r="BS1115" s="2" t="s">
        <v>6874</v>
      </c>
      <c r="BT1115" s="2" t="str">
        <f>HYPERLINK("https%3A%2F%2Fwww.webofscience.com%2Fwos%2Fwoscc%2Ffull-record%2FWOS:000567844300003","View Full Record in Web of Science")</f>
        <v>View Full Record in Web of Science</v>
      </c>
    </row>
    <row r="1116" spans="1:72" s="2" customFormat="1" x14ac:dyDescent="0.4">
      <c r="A1116" s="2" t="s">
        <v>72</v>
      </c>
      <c r="B1116" s="2" t="s">
        <v>800</v>
      </c>
      <c r="C1116" s="2" t="s">
        <v>74</v>
      </c>
      <c r="D1116" s="2" t="s">
        <v>74</v>
      </c>
      <c r="E1116" s="2" t="s">
        <v>74</v>
      </c>
      <c r="F1116" s="2" t="s">
        <v>801</v>
      </c>
      <c r="G1116" s="2" t="s">
        <v>74</v>
      </c>
      <c r="H1116" s="2" t="s">
        <v>74</v>
      </c>
      <c r="I1116" s="2" t="s">
        <v>802</v>
      </c>
      <c r="J1116" s="2" t="s">
        <v>803</v>
      </c>
      <c r="K1116" s="2" t="s">
        <v>74</v>
      </c>
      <c r="L1116" s="2" t="s">
        <v>74</v>
      </c>
      <c r="M1116" s="2" t="s">
        <v>74</v>
      </c>
      <c r="N1116" s="2" t="s">
        <v>74</v>
      </c>
      <c r="O1116" s="2" t="s">
        <v>74</v>
      </c>
      <c r="P1116" s="2" t="s">
        <v>74</v>
      </c>
      <c r="Q1116" s="2" t="s">
        <v>74</v>
      </c>
      <c r="R1116" s="2" t="s">
        <v>74</v>
      </c>
      <c r="S1116" s="2" t="s">
        <v>74</v>
      </c>
      <c r="T1116" s="2" t="s">
        <v>74</v>
      </c>
      <c r="U1116" s="2" t="s">
        <v>74</v>
      </c>
      <c r="V1116" s="5" t="s">
        <v>804</v>
      </c>
      <c r="W1116" s="2" t="s">
        <v>74</v>
      </c>
      <c r="X1116" s="2" t="s">
        <v>74</v>
      </c>
      <c r="Y1116" s="2" t="s">
        <v>74</v>
      </c>
      <c r="Z1116" s="2" t="s">
        <v>74</v>
      </c>
      <c r="AA1116" s="2" t="s">
        <v>805</v>
      </c>
      <c r="AB1116" s="2" t="s">
        <v>74</v>
      </c>
      <c r="AC1116" s="2" t="s">
        <v>74</v>
      </c>
      <c r="AD1116" s="2" t="s">
        <v>74</v>
      </c>
      <c r="AE1116" s="2" t="s">
        <v>74</v>
      </c>
      <c r="AF1116" s="2" t="s">
        <v>74</v>
      </c>
      <c r="AG1116" s="2" t="s">
        <v>74</v>
      </c>
      <c r="AH1116" s="2" t="s">
        <v>74</v>
      </c>
      <c r="AI1116" s="2" t="s">
        <v>74</v>
      </c>
      <c r="AJ1116" s="2" t="s">
        <v>74</v>
      </c>
      <c r="AK1116" s="2" t="s">
        <v>74</v>
      </c>
      <c r="AL1116" s="2" t="s">
        <v>74</v>
      </c>
      <c r="AM1116" s="2" t="s">
        <v>74</v>
      </c>
      <c r="AN1116" s="2" t="s">
        <v>74</v>
      </c>
      <c r="AO1116" s="2" t="s">
        <v>806</v>
      </c>
      <c r="AP1116" s="2" t="s">
        <v>807</v>
      </c>
      <c r="AQ1116" s="2" t="s">
        <v>74</v>
      </c>
      <c r="AR1116" s="2" t="s">
        <v>74</v>
      </c>
      <c r="AS1116" s="2" t="s">
        <v>74</v>
      </c>
      <c r="AT1116" s="2" t="s">
        <v>808</v>
      </c>
      <c r="AU1116" s="2">
        <v>2016</v>
      </c>
      <c r="AV1116" s="2">
        <v>13</v>
      </c>
      <c r="AW1116" s="2" t="s">
        <v>74</v>
      </c>
      <c r="AX1116" s="2" t="s">
        <v>74</v>
      </c>
      <c r="AY1116" s="2" t="s">
        <v>74</v>
      </c>
      <c r="AZ1116" s="2" t="s">
        <v>74</v>
      </c>
      <c r="BA1116" s="2" t="s">
        <v>74</v>
      </c>
      <c r="BB1116" s="2">
        <v>80</v>
      </c>
      <c r="BC1116" s="2">
        <v>87</v>
      </c>
      <c r="BD1116" s="2" t="s">
        <v>74</v>
      </c>
      <c r="BE1116" s="2" t="s">
        <v>809</v>
      </c>
      <c r="BF1116" s="2" t="str">
        <f>HYPERLINK("http://dx.doi.org/10.1016/j.jveb.2016.03.009","http://dx.doi.org/10.1016/j.jveb.2016.03.009")</f>
        <v>http://dx.doi.org/10.1016/j.jveb.2016.03.009</v>
      </c>
      <c r="BG1116" s="2" t="s">
        <v>74</v>
      </c>
      <c r="BH1116" s="2" t="s">
        <v>74</v>
      </c>
      <c r="BI1116" s="2" t="s">
        <v>74</v>
      </c>
      <c r="BJ1116" s="2" t="s">
        <v>74</v>
      </c>
      <c r="BK1116" s="2" t="s">
        <v>74</v>
      </c>
      <c r="BL1116" s="2" t="s">
        <v>74</v>
      </c>
      <c r="BM1116" s="2" t="s">
        <v>74</v>
      </c>
      <c r="BN1116" s="2" t="s">
        <v>74</v>
      </c>
      <c r="BO1116" s="2" t="s">
        <v>74</v>
      </c>
      <c r="BP1116" s="2" t="s">
        <v>74</v>
      </c>
      <c r="BQ1116" s="2" t="s">
        <v>74</v>
      </c>
      <c r="BR1116" s="2" t="s">
        <v>74</v>
      </c>
      <c r="BS1116" s="2" t="s">
        <v>810</v>
      </c>
      <c r="BT1116" s="2" t="str">
        <f>HYPERLINK("https%3A%2F%2Fwww.webofscience.com%2Fwos%2Fwoscc%2Ffull-record%2FWOS:000378094700013","View Full Record in Web of Science")</f>
        <v>View Full Record in Web of Science</v>
      </c>
    </row>
    <row r="1117" spans="1:72" s="2" customFormat="1" x14ac:dyDescent="0.4">
      <c r="A1117" s="2" t="s">
        <v>72</v>
      </c>
      <c r="B1117" s="2" t="s">
        <v>6187</v>
      </c>
      <c r="C1117" s="2" t="s">
        <v>74</v>
      </c>
      <c r="D1117" s="2" t="s">
        <v>74</v>
      </c>
      <c r="E1117" s="2" t="s">
        <v>74</v>
      </c>
      <c r="F1117" s="2" t="s">
        <v>6188</v>
      </c>
      <c r="G1117" s="2" t="s">
        <v>74</v>
      </c>
      <c r="H1117" s="2" t="s">
        <v>74</v>
      </c>
      <c r="I1117" s="2" t="s">
        <v>6189</v>
      </c>
      <c r="J1117" s="2" t="s">
        <v>6190</v>
      </c>
      <c r="K1117" s="2" t="s">
        <v>74</v>
      </c>
      <c r="L1117" s="2" t="s">
        <v>74</v>
      </c>
      <c r="M1117" s="2" t="s">
        <v>74</v>
      </c>
      <c r="N1117" s="2" t="s">
        <v>74</v>
      </c>
      <c r="O1117" s="2" t="s">
        <v>74</v>
      </c>
      <c r="P1117" s="2" t="s">
        <v>74</v>
      </c>
      <c r="Q1117" s="2" t="s">
        <v>74</v>
      </c>
      <c r="R1117" s="2" t="s">
        <v>74</v>
      </c>
      <c r="S1117" s="2" t="s">
        <v>74</v>
      </c>
      <c r="T1117" s="2" t="s">
        <v>74</v>
      </c>
      <c r="U1117" s="2" t="s">
        <v>74</v>
      </c>
      <c r="V1117" s="5" t="s">
        <v>6191</v>
      </c>
      <c r="W1117" s="2" t="s">
        <v>74</v>
      </c>
      <c r="X1117" s="2" t="s">
        <v>74</v>
      </c>
      <c r="Y1117" s="2" t="s">
        <v>74</v>
      </c>
      <c r="Z1117" s="2" t="s">
        <v>74</v>
      </c>
      <c r="AA1117" s="2" t="s">
        <v>6192</v>
      </c>
      <c r="AB1117" s="2" t="s">
        <v>6193</v>
      </c>
      <c r="AC1117" s="2" t="s">
        <v>74</v>
      </c>
      <c r="AD1117" s="2" t="s">
        <v>74</v>
      </c>
      <c r="AE1117" s="2" t="s">
        <v>74</v>
      </c>
      <c r="AF1117" s="2" t="s">
        <v>74</v>
      </c>
      <c r="AG1117" s="2" t="s">
        <v>74</v>
      </c>
      <c r="AH1117" s="2" t="s">
        <v>74</v>
      </c>
      <c r="AI1117" s="2" t="s">
        <v>74</v>
      </c>
      <c r="AJ1117" s="2" t="s">
        <v>74</v>
      </c>
      <c r="AK1117" s="2" t="s">
        <v>74</v>
      </c>
      <c r="AL1117" s="2" t="s">
        <v>74</v>
      </c>
      <c r="AM1117" s="2" t="s">
        <v>74</v>
      </c>
      <c r="AN1117" s="2" t="s">
        <v>74</v>
      </c>
      <c r="AO1117" s="2" t="s">
        <v>6194</v>
      </c>
      <c r="AP1117" s="2" t="s">
        <v>6195</v>
      </c>
      <c r="AQ1117" s="2" t="s">
        <v>74</v>
      </c>
      <c r="AR1117" s="2" t="s">
        <v>74</v>
      </c>
      <c r="AS1117" s="2" t="s">
        <v>74</v>
      </c>
      <c r="AT1117" s="2" t="s">
        <v>134</v>
      </c>
      <c r="AU1117" s="2">
        <v>2022</v>
      </c>
      <c r="AV1117" s="2">
        <v>61</v>
      </c>
      <c r="AW1117" s="2">
        <v>2</v>
      </c>
      <c r="AX1117" s="2" t="s">
        <v>74</v>
      </c>
      <c r="AY1117" s="2" t="s">
        <v>74</v>
      </c>
      <c r="AZ1117" s="2" t="s">
        <v>74</v>
      </c>
      <c r="BA1117" s="2" t="s">
        <v>74</v>
      </c>
      <c r="BB1117" s="2">
        <v>137</v>
      </c>
      <c r="BC1117" s="2">
        <v>155</v>
      </c>
      <c r="BD1117" s="2" t="s">
        <v>74</v>
      </c>
      <c r="BE1117" s="2" t="s">
        <v>6196</v>
      </c>
      <c r="BF1117" s="2" t="str">
        <f>HYPERLINK("http://dx.doi.org/10.1111/aen.12596","http://dx.doi.org/10.1111/aen.12596")</f>
        <v>http://dx.doi.org/10.1111/aen.12596</v>
      </c>
      <c r="BG1117" s="2" t="s">
        <v>74</v>
      </c>
      <c r="BH1117" s="2" t="s">
        <v>74</v>
      </c>
      <c r="BI1117" s="2" t="s">
        <v>74</v>
      </c>
      <c r="BJ1117" s="2" t="s">
        <v>74</v>
      </c>
      <c r="BK1117" s="2" t="s">
        <v>74</v>
      </c>
      <c r="BL1117" s="2" t="s">
        <v>74</v>
      </c>
      <c r="BM1117" s="2" t="s">
        <v>74</v>
      </c>
      <c r="BN1117" s="2" t="s">
        <v>74</v>
      </c>
      <c r="BO1117" s="2" t="s">
        <v>74</v>
      </c>
      <c r="BP1117" s="2" t="s">
        <v>74</v>
      </c>
      <c r="BQ1117" s="2" t="s">
        <v>74</v>
      </c>
      <c r="BR1117" s="2" t="s">
        <v>74</v>
      </c>
      <c r="BS1117" s="2" t="s">
        <v>6197</v>
      </c>
      <c r="BT1117" s="2" t="str">
        <f>HYPERLINK("https%3A%2F%2Fwww.webofscience.com%2Fwos%2Fwoscc%2Ffull-record%2FWOS:000805597200003","View Full Record in Web of Science")</f>
        <v>View Full Record in Web of Science</v>
      </c>
    </row>
    <row r="1118" spans="1:72" s="2" customFormat="1" x14ac:dyDescent="0.4">
      <c r="A1118" s="2" t="s">
        <v>72</v>
      </c>
      <c r="B1118" s="2" t="s">
        <v>8021</v>
      </c>
      <c r="C1118" s="2" t="s">
        <v>74</v>
      </c>
      <c r="D1118" s="2" t="s">
        <v>74</v>
      </c>
      <c r="E1118" s="2" t="s">
        <v>74</v>
      </c>
      <c r="F1118" s="2" t="s">
        <v>8022</v>
      </c>
      <c r="G1118" s="2" t="s">
        <v>74</v>
      </c>
      <c r="H1118" s="2" t="s">
        <v>74</v>
      </c>
      <c r="I1118" s="2" t="s">
        <v>8023</v>
      </c>
      <c r="J1118" s="2" t="s">
        <v>1656</v>
      </c>
      <c r="K1118" s="2" t="s">
        <v>74</v>
      </c>
      <c r="L1118" s="2" t="s">
        <v>74</v>
      </c>
      <c r="M1118" s="2" t="s">
        <v>74</v>
      </c>
      <c r="N1118" s="2" t="s">
        <v>74</v>
      </c>
      <c r="O1118" s="2" t="s">
        <v>74</v>
      </c>
      <c r="P1118" s="2" t="s">
        <v>74</v>
      </c>
      <c r="Q1118" s="2" t="s">
        <v>74</v>
      </c>
      <c r="R1118" s="2" t="s">
        <v>74</v>
      </c>
      <c r="S1118" s="2" t="s">
        <v>74</v>
      </c>
      <c r="T1118" s="2" t="s">
        <v>74</v>
      </c>
      <c r="U1118" s="2" t="s">
        <v>74</v>
      </c>
      <c r="V1118" s="5" t="s">
        <v>8024</v>
      </c>
      <c r="W1118" s="2" t="s">
        <v>74</v>
      </c>
      <c r="X1118" s="2" t="s">
        <v>74</v>
      </c>
      <c r="Y1118" s="2" t="s">
        <v>74</v>
      </c>
      <c r="Z1118" s="2" t="s">
        <v>74</v>
      </c>
      <c r="AA1118" s="2" t="s">
        <v>8025</v>
      </c>
      <c r="AB1118" s="2" t="s">
        <v>8026</v>
      </c>
      <c r="AC1118" s="2" t="s">
        <v>74</v>
      </c>
      <c r="AD1118" s="2" t="s">
        <v>74</v>
      </c>
      <c r="AE1118" s="2" t="s">
        <v>74</v>
      </c>
      <c r="AF1118" s="2" t="s">
        <v>74</v>
      </c>
      <c r="AG1118" s="2" t="s">
        <v>74</v>
      </c>
      <c r="AH1118" s="2" t="s">
        <v>74</v>
      </c>
      <c r="AI1118" s="2" t="s">
        <v>74</v>
      </c>
      <c r="AJ1118" s="2" t="s">
        <v>74</v>
      </c>
      <c r="AK1118" s="2" t="s">
        <v>74</v>
      </c>
      <c r="AL1118" s="2" t="s">
        <v>74</v>
      </c>
      <c r="AM1118" s="2" t="s">
        <v>74</v>
      </c>
      <c r="AN1118" s="2" t="s">
        <v>74</v>
      </c>
      <c r="AO1118" s="2" t="s">
        <v>1658</v>
      </c>
      <c r="AP1118" s="2" t="s">
        <v>1659</v>
      </c>
      <c r="AQ1118" s="2" t="s">
        <v>74</v>
      </c>
      <c r="AR1118" s="2" t="s">
        <v>74</v>
      </c>
      <c r="AS1118" s="2" t="s">
        <v>74</v>
      </c>
      <c r="AT1118" s="2" t="s">
        <v>5887</v>
      </c>
      <c r="AU1118" s="2">
        <v>2019</v>
      </c>
      <c r="AV1118" s="2">
        <v>4625</v>
      </c>
      <c r="AW1118" s="2">
        <v>1</v>
      </c>
      <c r="AX1118" s="2" t="s">
        <v>74</v>
      </c>
      <c r="AY1118" s="2" t="s">
        <v>74</v>
      </c>
      <c r="AZ1118" s="2" t="s">
        <v>74</v>
      </c>
      <c r="BA1118" s="2" t="s">
        <v>74</v>
      </c>
      <c r="BB1118" s="2">
        <v>1</v>
      </c>
      <c r="BC1118" s="2">
        <v>68</v>
      </c>
      <c r="BD1118" s="2" t="s">
        <v>74</v>
      </c>
      <c r="BE1118" s="2" t="s">
        <v>8027</v>
      </c>
      <c r="BF1118" s="2" t="str">
        <f>HYPERLINK("http://dx.doi.org/10.11646/zootaxa.4625.1.1","http://dx.doi.org/10.11646/zootaxa.4625.1.1")</f>
        <v>http://dx.doi.org/10.11646/zootaxa.4625.1.1</v>
      </c>
      <c r="BG1118" s="2" t="s">
        <v>74</v>
      </c>
      <c r="BH1118" s="2" t="s">
        <v>74</v>
      </c>
      <c r="BI1118" s="2" t="s">
        <v>74</v>
      </c>
      <c r="BJ1118" s="2" t="s">
        <v>74</v>
      </c>
      <c r="BK1118" s="2" t="s">
        <v>74</v>
      </c>
      <c r="BL1118" s="2" t="s">
        <v>74</v>
      </c>
      <c r="BM1118" s="2" t="s">
        <v>74</v>
      </c>
      <c r="BN1118" s="2">
        <v>31712545</v>
      </c>
      <c r="BO1118" s="2" t="s">
        <v>74</v>
      </c>
      <c r="BP1118" s="2" t="s">
        <v>74</v>
      </c>
      <c r="BQ1118" s="2" t="s">
        <v>74</v>
      </c>
      <c r="BR1118" s="2" t="s">
        <v>74</v>
      </c>
      <c r="BS1118" s="2" t="s">
        <v>8028</v>
      </c>
      <c r="BT1118" s="2" t="str">
        <f>HYPERLINK("https%3A%2F%2Fwww.webofscience.com%2Fwos%2Fwoscc%2Ffull-record%2FWOS:000473734300001","View Full Record in Web of Science")</f>
        <v>View Full Record in Web of Science</v>
      </c>
    </row>
    <row r="1119" spans="1:72" s="2" customFormat="1" x14ac:dyDescent="0.4">
      <c r="A1119" s="2" t="s">
        <v>72</v>
      </c>
      <c r="B1119" s="2" t="s">
        <v>4915</v>
      </c>
      <c r="C1119" s="2" t="s">
        <v>74</v>
      </c>
      <c r="D1119" s="2" t="s">
        <v>74</v>
      </c>
      <c r="E1119" s="2" t="s">
        <v>74</v>
      </c>
      <c r="F1119" s="2" t="s">
        <v>4916</v>
      </c>
      <c r="G1119" s="2" t="s">
        <v>74</v>
      </c>
      <c r="H1119" s="2" t="s">
        <v>74</v>
      </c>
      <c r="I1119" s="2" t="s">
        <v>4917</v>
      </c>
      <c r="J1119" s="2" t="s">
        <v>3374</v>
      </c>
      <c r="K1119" s="2" t="s">
        <v>74</v>
      </c>
      <c r="L1119" s="2" t="s">
        <v>74</v>
      </c>
      <c r="M1119" s="2" t="s">
        <v>74</v>
      </c>
      <c r="N1119" s="2" t="s">
        <v>74</v>
      </c>
      <c r="O1119" s="2" t="s">
        <v>74</v>
      </c>
      <c r="P1119" s="2" t="s">
        <v>74</v>
      </c>
      <c r="Q1119" s="2" t="s">
        <v>74</v>
      </c>
      <c r="R1119" s="2" t="s">
        <v>74</v>
      </c>
      <c r="S1119" s="2" t="s">
        <v>74</v>
      </c>
      <c r="T1119" s="2" t="s">
        <v>74</v>
      </c>
      <c r="U1119" s="2" t="s">
        <v>74</v>
      </c>
      <c r="V1119" s="5" t="s">
        <v>4918</v>
      </c>
      <c r="W1119" s="2" t="s">
        <v>74</v>
      </c>
      <c r="X1119" s="2" t="s">
        <v>74</v>
      </c>
      <c r="Y1119" s="2" t="s">
        <v>74</v>
      </c>
      <c r="Z1119" s="2" t="s">
        <v>74</v>
      </c>
      <c r="AA1119" s="2" t="s">
        <v>4919</v>
      </c>
      <c r="AB1119" s="2" t="s">
        <v>4920</v>
      </c>
      <c r="AC1119" s="2" t="s">
        <v>74</v>
      </c>
      <c r="AD1119" s="2" t="s">
        <v>74</v>
      </c>
      <c r="AE1119" s="2" t="s">
        <v>74</v>
      </c>
      <c r="AF1119" s="2" t="s">
        <v>74</v>
      </c>
      <c r="AG1119" s="2" t="s">
        <v>74</v>
      </c>
      <c r="AH1119" s="2" t="s">
        <v>74</v>
      </c>
      <c r="AI1119" s="2" t="s">
        <v>74</v>
      </c>
      <c r="AJ1119" s="2" t="s">
        <v>74</v>
      </c>
      <c r="AK1119" s="2" t="s">
        <v>74</v>
      </c>
      <c r="AL1119" s="2" t="s">
        <v>74</v>
      </c>
      <c r="AM1119" s="2" t="s">
        <v>74</v>
      </c>
      <c r="AN1119" s="2" t="s">
        <v>74</v>
      </c>
      <c r="AO1119" s="2" t="s">
        <v>3378</v>
      </c>
      <c r="AP1119" s="2" t="s">
        <v>3379</v>
      </c>
      <c r="AQ1119" s="2" t="s">
        <v>74</v>
      </c>
      <c r="AR1119" s="2" t="s">
        <v>74</v>
      </c>
      <c r="AS1119" s="2" t="s">
        <v>74</v>
      </c>
      <c r="AT1119" s="2" t="s">
        <v>123</v>
      </c>
      <c r="AU1119" s="2">
        <v>2013</v>
      </c>
      <c r="AV1119" s="2">
        <v>44</v>
      </c>
      <c r="AW1119" s="2">
        <v>2</v>
      </c>
      <c r="AX1119" s="2" t="s">
        <v>74</v>
      </c>
      <c r="AY1119" s="2" t="s">
        <v>74</v>
      </c>
      <c r="AZ1119" s="2" t="s">
        <v>74</v>
      </c>
      <c r="BA1119" s="2" t="s">
        <v>74</v>
      </c>
      <c r="BB1119" s="2">
        <v>121</v>
      </c>
      <c r="BC1119" s="2">
        <v>132</v>
      </c>
      <c r="BD1119" s="2" t="s">
        <v>74</v>
      </c>
      <c r="BE1119" s="2" t="s">
        <v>4921</v>
      </c>
      <c r="BF1119" s="2" t="str">
        <f>HYPERLINK("http://dx.doi.org/10.1007/s13592-012-0161-x","http://dx.doi.org/10.1007/s13592-012-0161-x")</f>
        <v>http://dx.doi.org/10.1007/s13592-012-0161-x</v>
      </c>
      <c r="BG1119" s="2" t="s">
        <v>74</v>
      </c>
      <c r="BH1119" s="2" t="s">
        <v>74</v>
      </c>
      <c r="BI1119" s="2" t="s">
        <v>74</v>
      </c>
      <c r="BJ1119" s="2" t="s">
        <v>74</v>
      </c>
      <c r="BK1119" s="2" t="s">
        <v>74</v>
      </c>
      <c r="BL1119" s="2" t="s">
        <v>74</v>
      </c>
      <c r="BM1119" s="2" t="s">
        <v>74</v>
      </c>
      <c r="BN1119" s="2" t="s">
        <v>74</v>
      </c>
      <c r="BO1119" s="2" t="s">
        <v>74</v>
      </c>
      <c r="BP1119" s="2" t="s">
        <v>74</v>
      </c>
      <c r="BQ1119" s="2" t="s">
        <v>74</v>
      </c>
      <c r="BR1119" s="2" t="s">
        <v>74</v>
      </c>
      <c r="BS1119" s="2" t="s">
        <v>4922</v>
      </c>
      <c r="BT1119" s="2" t="str">
        <f>HYPERLINK("https%3A%2F%2Fwww.webofscience.com%2Fwos%2Fwoscc%2Ffull-record%2FWOS:000314882300001","View Full Record in Web of Science")</f>
        <v>View Full Record in Web of Science</v>
      </c>
    </row>
    <row r="1120" spans="1:72" s="2" customFormat="1" x14ac:dyDescent="0.4">
      <c r="A1120" s="2" t="s">
        <v>72</v>
      </c>
      <c r="B1120" s="2" t="s">
        <v>4519</v>
      </c>
      <c r="C1120" s="2" t="s">
        <v>74</v>
      </c>
      <c r="D1120" s="2" t="s">
        <v>74</v>
      </c>
      <c r="E1120" s="2" t="s">
        <v>74</v>
      </c>
      <c r="F1120" s="2" t="s">
        <v>4520</v>
      </c>
      <c r="G1120" s="2" t="s">
        <v>74</v>
      </c>
      <c r="H1120" s="2" t="s">
        <v>74</v>
      </c>
      <c r="I1120" s="2" t="s">
        <v>4521</v>
      </c>
      <c r="J1120" s="2" t="s">
        <v>4522</v>
      </c>
      <c r="K1120" s="2" t="s">
        <v>74</v>
      </c>
      <c r="L1120" s="2" t="s">
        <v>74</v>
      </c>
      <c r="M1120" s="2" t="s">
        <v>74</v>
      </c>
      <c r="N1120" s="2" t="s">
        <v>74</v>
      </c>
      <c r="O1120" s="2" t="s">
        <v>74</v>
      </c>
      <c r="P1120" s="2" t="s">
        <v>74</v>
      </c>
      <c r="Q1120" s="2" t="s">
        <v>74</v>
      </c>
      <c r="R1120" s="2" t="s">
        <v>74</v>
      </c>
      <c r="S1120" s="2" t="s">
        <v>74</v>
      </c>
      <c r="T1120" s="2" t="s">
        <v>74</v>
      </c>
      <c r="U1120" s="2" t="s">
        <v>74</v>
      </c>
      <c r="V1120" s="5" t="s">
        <v>4523</v>
      </c>
      <c r="W1120" s="2" t="s">
        <v>74</v>
      </c>
      <c r="X1120" s="2" t="s">
        <v>74</v>
      </c>
      <c r="Y1120" s="2" t="s">
        <v>74</v>
      </c>
      <c r="Z1120" s="2" t="s">
        <v>74</v>
      </c>
      <c r="AA1120" s="2" t="s">
        <v>4524</v>
      </c>
      <c r="AB1120" s="2" t="s">
        <v>4525</v>
      </c>
      <c r="AC1120" s="2" t="s">
        <v>74</v>
      </c>
      <c r="AD1120" s="2" t="s">
        <v>74</v>
      </c>
      <c r="AE1120" s="2" t="s">
        <v>74</v>
      </c>
      <c r="AF1120" s="2" t="s">
        <v>74</v>
      </c>
      <c r="AG1120" s="2" t="s">
        <v>74</v>
      </c>
      <c r="AH1120" s="2" t="s">
        <v>74</v>
      </c>
      <c r="AI1120" s="2" t="s">
        <v>74</v>
      </c>
      <c r="AJ1120" s="2" t="s">
        <v>74</v>
      </c>
      <c r="AK1120" s="2" t="s">
        <v>74</v>
      </c>
      <c r="AL1120" s="2" t="s">
        <v>74</v>
      </c>
      <c r="AM1120" s="2" t="s">
        <v>74</v>
      </c>
      <c r="AN1120" s="2" t="s">
        <v>74</v>
      </c>
      <c r="AO1120" s="2" t="s">
        <v>4526</v>
      </c>
      <c r="AP1120" s="2" t="s">
        <v>4527</v>
      </c>
      <c r="AQ1120" s="2" t="s">
        <v>74</v>
      </c>
      <c r="AR1120" s="2" t="s">
        <v>74</v>
      </c>
      <c r="AS1120" s="2" t="s">
        <v>74</v>
      </c>
      <c r="AT1120" s="2" t="s">
        <v>4528</v>
      </c>
      <c r="AU1120" s="2">
        <v>2022</v>
      </c>
      <c r="AV1120" s="2">
        <v>56</v>
      </c>
      <c r="AW1120" s="2" t="s">
        <v>4529</v>
      </c>
      <c r="AX1120" s="2" t="s">
        <v>74</v>
      </c>
      <c r="AY1120" s="2" t="s">
        <v>74</v>
      </c>
      <c r="AZ1120" s="2" t="s">
        <v>74</v>
      </c>
      <c r="BA1120" s="2" t="s">
        <v>74</v>
      </c>
      <c r="BB1120" s="2">
        <v>435</v>
      </c>
      <c r="BC1120" s="2">
        <v>447</v>
      </c>
      <c r="BD1120" s="2" t="s">
        <v>74</v>
      </c>
      <c r="BE1120" s="2" t="s">
        <v>4530</v>
      </c>
      <c r="BF1120" s="2" t="str">
        <f>HYPERLINK("http://dx.doi.org/10.1080/00222933.2022.2052991","http://dx.doi.org/10.1080/00222933.2022.2052991")</f>
        <v>http://dx.doi.org/10.1080/00222933.2022.2052991</v>
      </c>
      <c r="BG1120" s="2" t="s">
        <v>74</v>
      </c>
      <c r="BH1120" s="2" t="s">
        <v>74</v>
      </c>
      <c r="BI1120" s="2" t="s">
        <v>74</v>
      </c>
      <c r="BJ1120" s="2" t="s">
        <v>74</v>
      </c>
      <c r="BK1120" s="2" t="s">
        <v>74</v>
      </c>
      <c r="BL1120" s="2" t="s">
        <v>74</v>
      </c>
      <c r="BM1120" s="2" t="s">
        <v>74</v>
      </c>
      <c r="BN1120" s="2" t="s">
        <v>74</v>
      </c>
      <c r="BO1120" s="2" t="s">
        <v>74</v>
      </c>
      <c r="BP1120" s="2" t="s">
        <v>74</v>
      </c>
      <c r="BQ1120" s="2" t="s">
        <v>74</v>
      </c>
      <c r="BR1120" s="2" t="s">
        <v>74</v>
      </c>
      <c r="BS1120" s="2" t="s">
        <v>4531</v>
      </c>
      <c r="BT1120" s="2" t="str">
        <f>HYPERLINK("https%3A%2F%2Fwww.webofscience.com%2Fwos%2Fwoscc%2Ffull-record%2FWOS:000819303900001","View Full Record in Web of Science")</f>
        <v>View Full Record in Web of Science</v>
      </c>
    </row>
    <row r="1121" spans="1:72" s="2" customFormat="1" x14ac:dyDescent="0.4">
      <c r="A1121" s="2" t="s">
        <v>72</v>
      </c>
      <c r="B1121" s="2" t="s">
        <v>3505</v>
      </c>
      <c r="C1121" s="2" t="s">
        <v>74</v>
      </c>
      <c r="D1121" s="2" t="s">
        <v>74</v>
      </c>
      <c r="E1121" s="2" t="s">
        <v>74</v>
      </c>
      <c r="F1121" s="2" t="s">
        <v>3506</v>
      </c>
      <c r="G1121" s="2" t="s">
        <v>74</v>
      </c>
      <c r="H1121" s="2" t="s">
        <v>74</v>
      </c>
      <c r="I1121" s="2" t="s">
        <v>3507</v>
      </c>
      <c r="J1121" s="2" t="s">
        <v>333</v>
      </c>
      <c r="K1121" s="2" t="s">
        <v>74</v>
      </c>
      <c r="L1121" s="2" t="s">
        <v>74</v>
      </c>
      <c r="M1121" s="2" t="s">
        <v>74</v>
      </c>
      <c r="N1121" s="2" t="s">
        <v>74</v>
      </c>
      <c r="O1121" s="2" t="s">
        <v>74</v>
      </c>
      <c r="P1121" s="2" t="s">
        <v>74</v>
      </c>
      <c r="Q1121" s="2" t="s">
        <v>74</v>
      </c>
      <c r="R1121" s="2" t="s">
        <v>74</v>
      </c>
      <c r="S1121" s="2" t="s">
        <v>74</v>
      </c>
      <c r="T1121" s="2" t="s">
        <v>74</v>
      </c>
      <c r="U1121" s="2" t="s">
        <v>74</v>
      </c>
      <c r="V1121" s="5" t="s">
        <v>3508</v>
      </c>
      <c r="W1121" s="2" t="s">
        <v>74</v>
      </c>
      <c r="X1121" s="2" t="s">
        <v>74</v>
      </c>
      <c r="Y1121" s="2" t="s">
        <v>74</v>
      </c>
      <c r="Z1121" s="2" t="s">
        <v>74</v>
      </c>
      <c r="AA1121" s="2" t="s">
        <v>379</v>
      </c>
      <c r="AB1121" s="2" t="s">
        <v>74</v>
      </c>
      <c r="AC1121" s="2" t="s">
        <v>74</v>
      </c>
      <c r="AD1121" s="2" t="s">
        <v>74</v>
      </c>
      <c r="AE1121" s="2" t="s">
        <v>74</v>
      </c>
      <c r="AF1121" s="2" t="s">
        <v>74</v>
      </c>
      <c r="AG1121" s="2" t="s">
        <v>74</v>
      </c>
      <c r="AH1121" s="2" t="s">
        <v>74</v>
      </c>
      <c r="AI1121" s="2" t="s">
        <v>74</v>
      </c>
      <c r="AJ1121" s="2" t="s">
        <v>74</v>
      </c>
      <c r="AK1121" s="2" t="s">
        <v>74</v>
      </c>
      <c r="AL1121" s="2" t="s">
        <v>74</v>
      </c>
      <c r="AM1121" s="2" t="s">
        <v>74</v>
      </c>
      <c r="AN1121" s="2" t="s">
        <v>74</v>
      </c>
      <c r="AO1121" s="2" t="s">
        <v>337</v>
      </c>
      <c r="AP1121" s="2" t="s">
        <v>338</v>
      </c>
      <c r="AQ1121" s="2" t="s">
        <v>74</v>
      </c>
      <c r="AR1121" s="2" t="s">
        <v>74</v>
      </c>
      <c r="AS1121" s="2" t="s">
        <v>74</v>
      </c>
      <c r="AT1121" s="2" t="s">
        <v>1075</v>
      </c>
      <c r="AU1121" s="2">
        <v>2013</v>
      </c>
      <c r="AV1121" s="2">
        <v>24</v>
      </c>
      <c r="AW1121" s="2">
        <v>6</v>
      </c>
      <c r="AX1121" s="2" t="s">
        <v>74</v>
      </c>
      <c r="AY1121" s="2" t="s">
        <v>74</v>
      </c>
      <c r="AZ1121" s="2" t="s">
        <v>74</v>
      </c>
      <c r="BA1121" s="2" t="s">
        <v>74</v>
      </c>
      <c r="BB1121" s="2">
        <v>1407</v>
      </c>
      <c r="BC1121" s="2">
        <v>1414</v>
      </c>
      <c r="BD1121" s="2" t="s">
        <v>74</v>
      </c>
      <c r="BE1121" s="2" t="s">
        <v>3509</v>
      </c>
      <c r="BF1121" s="2" t="str">
        <f>HYPERLINK("http://dx.doi.org/10.1093/beheco/art080","http://dx.doi.org/10.1093/beheco/art080")</f>
        <v>http://dx.doi.org/10.1093/beheco/art080</v>
      </c>
      <c r="BG1121" s="2" t="s">
        <v>74</v>
      </c>
      <c r="BH1121" s="2" t="s">
        <v>74</v>
      </c>
      <c r="BI1121" s="2" t="s">
        <v>74</v>
      </c>
      <c r="BJ1121" s="2" t="s">
        <v>74</v>
      </c>
      <c r="BK1121" s="2" t="s">
        <v>74</v>
      </c>
      <c r="BL1121" s="2" t="s">
        <v>74</v>
      </c>
      <c r="BM1121" s="2" t="s">
        <v>74</v>
      </c>
      <c r="BN1121" s="2" t="s">
        <v>74</v>
      </c>
      <c r="BO1121" s="2" t="s">
        <v>74</v>
      </c>
      <c r="BP1121" s="2" t="s">
        <v>74</v>
      </c>
      <c r="BQ1121" s="2" t="s">
        <v>74</v>
      </c>
      <c r="BR1121" s="2" t="s">
        <v>74</v>
      </c>
      <c r="BS1121" s="2" t="s">
        <v>3510</v>
      </c>
      <c r="BT1121" s="2" t="str">
        <f>HYPERLINK("https%3A%2F%2Fwww.webofscience.com%2Fwos%2Fwoscc%2Ffull-record%2FWOS:000325995900018","View Full Record in Web of Science")</f>
        <v>View Full Record in Web of Science</v>
      </c>
    </row>
    <row r="1122" spans="1:72" s="2" customFormat="1" x14ac:dyDescent="0.4">
      <c r="A1122" s="2" t="s">
        <v>72</v>
      </c>
      <c r="B1122" s="2" t="s">
        <v>375</v>
      </c>
      <c r="C1122" s="2" t="s">
        <v>74</v>
      </c>
      <c r="D1122" s="2" t="s">
        <v>74</v>
      </c>
      <c r="E1122" s="2" t="s">
        <v>74</v>
      </c>
      <c r="F1122" s="2" t="s">
        <v>376</v>
      </c>
      <c r="G1122" s="2" t="s">
        <v>74</v>
      </c>
      <c r="H1122" s="2" t="s">
        <v>74</v>
      </c>
      <c r="I1122" s="2" t="s">
        <v>377</v>
      </c>
      <c r="J1122" s="2" t="s">
        <v>140</v>
      </c>
      <c r="K1122" s="2" t="s">
        <v>74</v>
      </c>
      <c r="L1122" s="2" t="s">
        <v>74</v>
      </c>
      <c r="M1122" s="2" t="s">
        <v>74</v>
      </c>
      <c r="N1122" s="2" t="s">
        <v>74</v>
      </c>
      <c r="O1122" s="2" t="s">
        <v>74</v>
      </c>
      <c r="P1122" s="2" t="s">
        <v>74</v>
      </c>
      <c r="Q1122" s="2" t="s">
        <v>74</v>
      </c>
      <c r="R1122" s="2" t="s">
        <v>74</v>
      </c>
      <c r="S1122" s="2" t="s">
        <v>74</v>
      </c>
      <c r="T1122" s="2" t="s">
        <v>74</v>
      </c>
      <c r="U1122" s="2" t="s">
        <v>74</v>
      </c>
      <c r="V1122" s="5" t="s">
        <v>378</v>
      </c>
      <c r="W1122" s="2" t="s">
        <v>74</v>
      </c>
      <c r="X1122" s="2" t="s">
        <v>74</v>
      </c>
      <c r="Y1122" s="2" t="s">
        <v>74</v>
      </c>
      <c r="Z1122" s="2" t="s">
        <v>74</v>
      </c>
      <c r="AA1122" s="2" t="s">
        <v>379</v>
      </c>
      <c r="AB1122" s="2" t="s">
        <v>74</v>
      </c>
      <c r="AC1122" s="2" t="s">
        <v>74</v>
      </c>
      <c r="AD1122" s="2" t="s">
        <v>74</v>
      </c>
      <c r="AE1122" s="2" t="s">
        <v>74</v>
      </c>
      <c r="AF1122" s="2" t="s">
        <v>74</v>
      </c>
      <c r="AG1122" s="2" t="s">
        <v>74</v>
      </c>
      <c r="AH1122" s="2" t="s">
        <v>74</v>
      </c>
      <c r="AI1122" s="2" t="s">
        <v>74</v>
      </c>
      <c r="AJ1122" s="2" t="s">
        <v>74</v>
      </c>
      <c r="AK1122" s="2" t="s">
        <v>74</v>
      </c>
      <c r="AL1122" s="2" t="s">
        <v>74</v>
      </c>
      <c r="AM1122" s="2" t="s">
        <v>74</v>
      </c>
      <c r="AN1122" s="2" t="s">
        <v>74</v>
      </c>
      <c r="AO1122" s="2" t="s">
        <v>143</v>
      </c>
      <c r="AP1122" s="2" t="s">
        <v>144</v>
      </c>
      <c r="AQ1122" s="2" t="s">
        <v>74</v>
      </c>
      <c r="AR1122" s="2" t="s">
        <v>74</v>
      </c>
      <c r="AS1122" s="2" t="s">
        <v>74</v>
      </c>
      <c r="AT1122" s="2" t="s">
        <v>102</v>
      </c>
      <c r="AU1122" s="2">
        <v>2013</v>
      </c>
      <c r="AV1122" s="2">
        <v>85</v>
      </c>
      <c r="AW1122" s="2">
        <v>6</v>
      </c>
      <c r="AX1122" s="2" t="s">
        <v>74</v>
      </c>
      <c r="AY1122" s="2" t="s">
        <v>74</v>
      </c>
      <c r="AZ1122" s="2" t="s">
        <v>74</v>
      </c>
      <c r="BA1122" s="2" t="s">
        <v>74</v>
      </c>
      <c r="BB1122" s="2">
        <v>1251</v>
      </c>
      <c r="BC1122" s="2">
        <v>1259</v>
      </c>
      <c r="BD1122" s="2" t="s">
        <v>74</v>
      </c>
      <c r="BE1122" s="2" t="s">
        <v>380</v>
      </c>
      <c r="BF1122" s="2" t="str">
        <f>HYPERLINK("http://dx.doi.org/10.1016/j.anbehav.2013.03.012","http://dx.doi.org/10.1016/j.anbehav.2013.03.012")</f>
        <v>http://dx.doi.org/10.1016/j.anbehav.2013.03.012</v>
      </c>
      <c r="BG1122" s="2" t="s">
        <v>74</v>
      </c>
      <c r="BH1122" s="2" t="s">
        <v>74</v>
      </c>
      <c r="BI1122" s="2" t="s">
        <v>74</v>
      </c>
      <c r="BJ1122" s="2" t="s">
        <v>74</v>
      </c>
      <c r="BK1122" s="2" t="s">
        <v>74</v>
      </c>
      <c r="BL1122" s="2" t="s">
        <v>74</v>
      </c>
      <c r="BM1122" s="2" t="s">
        <v>74</v>
      </c>
      <c r="BN1122" s="2" t="s">
        <v>74</v>
      </c>
      <c r="BO1122" s="2" t="s">
        <v>74</v>
      </c>
      <c r="BP1122" s="2" t="s">
        <v>74</v>
      </c>
      <c r="BQ1122" s="2" t="s">
        <v>74</v>
      </c>
      <c r="BR1122" s="2" t="s">
        <v>74</v>
      </c>
      <c r="BS1122" s="2" t="s">
        <v>381</v>
      </c>
      <c r="BT1122" s="2" t="str">
        <f>HYPERLINK("https%3A%2F%2Fwww.webofscience.com%2Fwos%2Fwoscc%2Ffull-record%2FWOS:000320651200015","View Full Record in Web of Science")</f>
        <v>View Full Record in Web of Science</v>
      </c>
    </row>
    <row r="1123" spans="1:72" s="2" customFormat="1" x14ac:dyDescent="0.4">
      <c r="A1123" s="2" t="s">
        <v>72</v>
      </c>
      <c r="B1123" s="2" t="s">
        <v>375</v>
      </c>
      <c r="C1123" s="2" t="s">
        <v>74</v>
      </c>
      <c r="D1123" s="2" t="s">
        <v>74</v>
      </c>
      <c r="E1123" s="2" t="s">
        <v>74</v>
      </c>
      <c r="F1123" s="2" t="s">
        <v>376</v>
      </c>
      <c r="G1123" s="2" t="s">
        <v>74</v>
      </c>
      <c r="H1123" s="2" t="s">
        <v>74</v>
      </c>
      <c r="I1123" s="2" t="s">
        <v>2371</v>
      </c>
      <c r="J1123" s="2" t="s">
        <v>140</v>
      </c>
      <c r="K1123" s="2" t="s">
        <v>74</v>
      </c>
      <c r="L1123" s="2" t="s">
        <v>74</v>
      </c>
      <c r="M1123" s="2" t="s">
        <v>74</v>
      </c>
      <c r="N1123" s="2" t="s">
        <v>74</v>
      </c>
      <c r="O1123" s="2" t="s">
        <v>74</v>
      </c>
      <c r="P1123" s="2" t="s">
        <v>74</v>
      </c>
      <c r="Q1123" s="2" t="s">
        <v>74</v>
      </c>
      <c r="R1123" s="2" t="s">
        <v>74</v>
      </c>
      <c r="S1123" s="2" t="s">
        <v>74</v>
      </c>
      <c r="T1123" s="2" t="s">
        <v>74</v>
      </c>
      <c r="U1123" s="2" t="s">
        <v>74</v>
      </c>
      <c r="V1123" s="5" t="s">
        <v>2372</v>
      </c>
      <c r="W1123" s="2" t="s">
        <v>74</v>
      </c>
      <c r="X1123" s="2" t="s">
        <v>74</v>
      </c>
      <c r="Y1123" s="2" t="s">
        <v>74</v>
      </c>
      <c r="Z1123" s="2" t="s">
        <v>74</v>
      </c>
      <c r="AA1123" s="2" t="s">
        <v>379</v>
      </c>
      <c r="AB1123" s="2" t="s">
        <v>74</v>
      </c>
      <c r="AC1123" s="2" t="s">
        <v>74</v>
      </c>
      <c r="AD1123" s="2" t="s">
        <v>74</v>
      </c>
      <c r="AE1123" s="2" t="s">
        <v>74</v>
      </c>
      <c r="AF1123" s="2" t="s">
        <v>74</v>
      </c>
      <c r="AG1123" s="2" t="s">
        <v>74</v>
      </c>
      <c r="AH1123" s="2" t="s">
        <v>74</v>
      </c>
      <c r="AI1123" s="2" t="s">
        <v>74</v>
      </c>
      <c r="AJ1123" s="2" t="s">
        <v>74</v>
      </c>
      <c r="AK1123" s="2" t="s">
        <v>74</v>
      </c>
      <c r="AL1123" s="2" t="s">
        <v>74</v>
      </c>
      <c r="AM1123" s="2" t="s">
        <v>74</v>
      </c>
      <c r="AN1123" s="2" t="s">
        <v>74</v>
      </c>
      <c r="AO1123" s="2" t="s">
        <v>143</v>
      </c>
      <c r="AP1123" s="2" t="s">
        <v>144</v>
      </c>
      <c r="AQ1123" s="2" t="s">
        <v>74</v>
      </c>
      <c r="AR1123" s="2" t="s">
        <v>74</v>
      </c>
      <c r="AS1123" s="2" t="s">
        <v>74</v>
      </c>
      <c r="AT1123" s="2" t="s">
        <v>175</v>
      </c>
      <c r="AU1123" s="2">
        <v>2011</v>
      </c>
      <c r="AV1123" s="2">
        <v>82</v>
      </c>
      <c r="AW1123" s="2">
        <v>4</v>
      </c>
      <c r="AX1123" s="2" t="s">
        <v>74</v>
      </c>
      <c r="AY1123" s="2" t="s">
        <v>74</v>
      </c>
      <c r="AZ1123" s="2" t="s">
        <v>74</v>
      </c>
      <c r="BA1123" s="2" t="s">
        <v>74</v>
      </c>
      <c r="BB1123" s="2">
        <v>683</v>
      </c>
      <c r="BC1123" s="2">
        <v>689</v>
      </c>
      <c r="BD1123" s="2" t="s">
        <v>74</v>
      </c>
      <c r="BE1123" s="2" t="s">
        <v>2373</v>
      </c>
      <c r="BF1123" s="2" t="str">
        <f>HYPERLINK("http://dx.doi.org/10.1016/j.anbehav.2011.06.023","http://dx.doi.org/10.1016/j.anbehav.2011.06.023")</f>
        <v>http://dx.doi.org/10.1016/j.anbehav.2011.06.023</v>
      </c>
      <c r="BG1123" s="2" t="s">
        <v>74</v>
      </c>
      <c r="BH1123" s="2" t="s">
        <v>74</v>
      </c>
      <c r="BI1123" s="2" t="s">
        <v>74</v>
      </c>
      <c r="BJ1123" s="2" t="s">
        <v>74</v>
      </c>
      <c r="BK1123" s="2" t="s">
        <v>74</v>
      </c>
      <c r="BL1123" s="2" t="s">
        <v>74</v>
      </c>
      <c r="BM1123" s="2" t="s">
        <v>74</v>
      </c>
      <c r="BN1123" s="2" t="s">
        <v>74</v>
      </c>
      <c r="BO1123" s="2" t="s">
        <v>74</v>
      </c>
      <c r="BP1123" s="2" t="s">
        <v>74</v>
      </c>
      <c r="BQ1123" s="2" t="s">
        <v>74</v>
      </c>
      <c r="BR1123" s="2" t="s">
        <v>74</v>
      </c>
      <c r="BS1123" s="2" t="s">
        <v>2374</v>
      </c>
      <c r="BT1123" s="2" t="str">
        <f>HYPERLINK("https%3A%2F%2Fwww.webofscience.com%2Fwos%2Fwoscc%2Ffull-record%2FWOS:000295262800012","View Full Record in Web of Science")</f>
        <v>View Full Record in Web of Science</v>
      </c>
    </row>
    <row r="1124" spans="1:72" s="2" customFormat="1" x14ac:dyDescent="0.4">
      <c r="A1124" s="2" t="s">
        <v>72</v>
      </c>
      <c r="B1124" s="2" t="s">
        <v>375</v>
      </c>
      <c r="C1124" s="2" t="s">
        <v>74</v>
      </c>
      <c r="D1124" s="2" t="s">
        <v>74</v>
      </c>
      <c r="E1124" s="2" t="s">
        <v>74</v>
      </c>
      <c r="F1124" s="2" t="s">
        <v>376</v>
      </c>
      <c r="G1124" s="2" t="s">
        <v>74</v>
      </c>
      <c r="H1124" s="2" t="s">
        <v>74</v>
      </c>
      <c r="I1124" s="2" t="s">
        <v>5944</v>
      </c>
      <c r="J1124" s="2" t="s">
        <v>610</v>
      </c>
      <c r="K1124" s="2" t="s">
        <v>74</v>
      </c>
      <c r="L1124" s="2" t="s">
        <v>74</v>
      </c>
      <c r="M1124" s="2" t="s">
        <v>74</v>
      </c>
      <c r="N1124" s="2" t="s">
        <v>74</v>
      </c>
      <c r="O1124" s="2" t="s">
        <v>74</v>
      </c>
      <c r="P1124" s="2" t="s">
        <v>74</v>
      </c>
      <c r="Q1124" s="2" t="s">
        <v>74</v>
      </c>
      <c r="R1124" s="2" t="s">
        <v>74</v>
      </c>
      <c r="S1124" s="2" t="s">
        <v>74</v>
      </c>
      <c r="T1124" s="2" t="s">
        <v>74</v>
      </c>
      <c r="U1124" s="2" t="s">
        <v>74</v>
      </c>
      <c r="V1124" s="5" t="s">
        <v>5945</v>
      </c>
      <c r="W1124" s="2" t="s">
        <v>74</v>
      </c>
      <c r="X1124" s="2" t="s">
        <v>74</v>
      </c>
      <c r="Y1124" s="2" t="s">
        <v>74</v>
      </c>
      <c r="Z1124" s="2" t="s">
        <v>74</v>
      </c>
      <c r="AA1124" s="2" t="s">
        <v>379</v>
      </c>
      <c r="AB1124" s="2" t="s">
        <v>74</v>
      </c>
      <c r="AC1124" s="2" t="s">
        <v>74</v>
      </c>
      <c r="AD1124" s="2" t="s">
        <v>74</v>
      </c>
      <c r="AE1124" s="2" t="s">
        <v>74</v>
      </c>
      <c r="AF1124" s="2" t="s">
        <v>74</v>
      </c>
      <c r="AG1124" s="2" t="s">
        <v>74</v>
      </c>
      <c r="AH1124" s="2" t="s">
        <v>74</v>
      </c>
      <c r="AI1124" s="2" t="s">
        <v>74</v>
      </c>
      <c r="AJ1124" s="2" t="s">
        <v>74</v>
      </c>
      <c r="AK1124" s="2" t="s">
        <v>74</v>
      </c>
      <c r="AL1124" s="2" t="s">
        <v>74</v>
      </c>
      <c r="AM1124" s="2" t="s">
        <v>74</v>
      </c>
      <c r="AN1124" s="2" t="s">
        <v>74</v>
      </c>
      <c r="AO1124" s="2" t="s">
        <v>614</v>
      </c>
      <c r="AP1124" s="2" t="s">
        <v>615</v>
      </c>
      <c r="AQ1124" s="2" t="s">
        <v>74</v>
      </c>
      <c r="AR1124" s="2" t="s">
        <v>74</v>
      </c>
      <c r="AS1124" s="2" t="s">
        <v>74</v>
      </c>
      <c r="AT1124" s="2" t="s">
        <v>213</v>
      </c>
      <c r="AU1124" s="2">
        <v>2010</v>
      </c>
      <c r="AV1124" s="2">
        <v>116</v>
      </c>
      <c r="AW1124" s="2">
        <v>11</v>
      </c>
      <c r="AX1124" s="2" t="s">
        <v>74</v>
      </c>
      <c r="AY1124" s="2" t="s">
        <v>74</v>
      </c>
      <c r="AZ1124" s="2" t="s">
        <v>74</v>
      </c>
      <c r="BA1124" s="2" t="s">
        <v>74</v>
      </c>
      <c r="BB1124" s="2">
        <v>1038</v>
      </c>
      <c r="BC1124" s="2">
        <v>1049</v>
      </c>
      <c r="BD1124" s="2" t="s">
        <v>74</v>
      </c>
      <c r="BE1124" s="2" t="s">
        <v>5946</v>
      </c>
      <c r="BF1124" s="2" t="str">
        <f>HYPERLINK("http://dx.doi.org/10.1111/j.1439-0310.2010.01816.x","http://dx.doi.org/10.1111/j.1439-0310.2010.01816.x")</f>
        <v>http://dx.doi.org/10.1111/j.1439-0310.2010.01816.x</v>
      </c>
      <c r="BG1124" s="2" t="s">
        <v>74</v>
      </c>
      <c r="BH1124" s="2" t="s">
        <v>74</v>
      </c>
      <c r="BI1124" s="2" t="s">
        <v>74</v>
      </c>
      <c r="BJ1124" s="2" t="s">
        <v>74</v>
      </c>
      <c r="BK1124" s="2" t="s">
        <v>74</v>
      </c>
      <c r="BL1124" s="2" t="s">
        <v>74</v>
      </c>
      <c r="BM1124" s="2" t="s">
        <v>74</v>
      </c>
      <c r="BN1124" s="2" t="s">
        <v>74</v>
      </c>
      <c r="BO1124" s="2" t="s">
        <v>74</v>
      </c>
      <c r="BP1124" s="2" t="s">
        <v>74</v>
      </c>
      <c r="BQ1124" s="2" t="s">
        <v>74</v>
      </c>
      <c r="BR1124" s="2" t="s">
        <v>74</v>
      </c>
      <c r="BS1124" s="2" t="s">
        <v>5947</v>
      </c>
      <c r="BT1124" s="2" t="str">
        <f>HYPERLINK("https%3A%2F%2Fwww.webofscience.com%2Fwos%2Fwoscc%2Ffull-record%2FWOS:000282821900005","View Full Record in Web of Science")</f>
        <v>View Full Record in Web of Science</v>
      </c>
    </row>
    <row r="1125" spans="1:72" s="2" customFormat="1" x14ac:dyDescent="0.4">
      <c r="A1125" s="2" t="s">
        <v>72</v>
      </c>
      <c r="B1125" s="2" t="s">
        <v>4820</v>
      </c>
      <c r="C1125" s="2" t="s">
        <v>74</v>
      </c>
      <c r="D1125" s="2" t="s">
        <v>74</v>
      </c>
      <c r="E1125" s="2" t="s">
        <v>74</v>
      </c>
      <c r="F1125" s="2" t="s">
        <v>4820</v>
      </c>
      <c r="G1125" s="2" t="s">
        <v>74</v>
      </c>
      <c r="H1125" s="2" t="s">
        <v>74</v>
      </c>
      <c r="I1125" s="2" t="s">
        <v>4821</v>
      </c>
      <c r="J1125" s="2" t="s">
        <v>1526</v>
      </c>
      <c r="K1125" s="2" t="s">
        <v>74</v>
      </c>
      <c r="L1125" s="2" t="s">
        <v>74</v>
      </c>
      <c r="M1125" s="2" t="s">
        <v>74</v>
      </c>
      <c r="N1125" s="2" t="s">
        <v>74</v>
      </c>
      <c r="O1125" s="2" t="s">
        <v>74</v>
      </c>
      <c r="P1125" s="2" t="s">
        <v>74</v>
      </c>
      <c r="Q1125" s="2" t="s">
        <v>74</v>
      </c>
      <c r="R1125" s="2" t="s">
        <v>74</v>
      </c>
      <c r="S1125" s="2" t="s">
        <v>74</v>
      </c>
      <c r="T1125" s="2" t="s">
        <v>74</v>
      </c>
      <c r="U1125" s="2" t="s">
        <v>74</v>
      </c>
      <c r="V1125" s="5" t="s">
        <v>4822</v>
      </c>
      <c r="W1125" s="2" t="s">
        <v>74</v>
      </c>
      <c r="X1125" s="2" t="s">
        <v>74</v>
      </c>
      <c r="Y1125" s="2" t="s">
        <v>74</v>
      </c>
      <c r="Z1125" s="2" t="s">
        <v>74</v>
      </c>
      <c r="AA1125" s="2" t="s">
        <v>74</v>
      </c>
      <c r="AB1125" s="2" t="s">
        <v>74</v>
      </c>
      <c r="AC1125" s="2" t="s">
        <v>74</v>
      </c>
      <c r="AD1125" s="2" t="s">
        <v>74</v>
      </c>
      <c r="AE1125" s="2" t="s">
        <v>74</v>
      </c>
      <c r="AF1125" s="2" t="s">
        <v>74</v>
      </c>
      <c r="AG1125" s="2" t="s">
        <v>74</v>
      </c>
      <c r="AH1125" s="2" t="s">
        <v>74</v>
      </c>
      <c r="AI1125" s="2" t="s">
        <v>74</v>
      </c>
      <c r="AJ1125" s="2" t="s">
        <v>74</v>
      </c>
      <c r="AK1125" s="2" t="s">
        <v>74</v>
      </c>
      <c r="AL1125" s="2" t="s">
        <v>74</v>
      </c>
      <c r="AM1125" s="2" t="s">
        <v>74</v>
      </c>
      <c r="AN1125" s="2" t="s">
        <v>74</v>
      </c>
      <c r="AO1125" s="2" t="s">
        <v>1528</v>
      </c>
      <c r="AP1125" s="2" t="s">
        <v>74</v>
      </c>
      <c r="AQ1125" s="2" t="s">
        <v>74</v>
      </c>
      <c r="AR1125" s="2" t="s">
        <v>74</v>
      </c>
      <c r="AS1125" s="2" t="s">
        <v>74</v>
      </c>
      <c r="AT1125" s="2" t="s">
        <v>145</v>
      </c>
      <c r="AU1125" s="2">
        <v>1993</v>
      </c>
      <c r="AV1125" s="2">
        <v>95</v>
      </c>
      <c r="AW1125" s="2">
        <v>3</v>
      </c>
      <c r="AX1125" s="2" t="s">
        <v>74</v>
      </c>
      <c r="AY1125" s="2" t="s">
        <v>74</v>
      </c>
      <c r="AZ1125" s="2" t="s">
        <v>74</v>
      </c>
      <c r="BA1125" s="2" t="s">
        <v>74</v>
      </c>
      <c r="BB1125" s="2">
        <v>596</v>
      </c>
      <c r="BC1125" s="2">
        <v>615</v>
      </c>
      <c r="BD1125" s="2" t="s">
        <v>74</v>
      </c>
      <c r="BE1125" s="2" t="s">
        <v>4823</v>
      </c>
      <c r="BF1125" s="2" t="str">
        <f>HYPERLINK("http://dx.doi.org/10.2307/1369604","http://dx.doi.org/10.2307/1369604")</f>
        <v>http://dx.doi.org/10.2307/1369604</v>
      </c>
      <c r="BG1125" s="2" t="s">
        <v>74</v>
      </c>
      <c r="BH1125" s="2" t="s">
        <v>74</v>
      </c>
      <c r="BI1125" s="2" t="s">
        <v>74</v>
      </c>
      <c r="BJ1125" s="2" t="s">
        <v>74</v>
      </c>
      <c r="BK1125" s="2" t="s">
        <v>74</v>
      </c>
      <c r="BL1125" s="2" t="s">
        <v>74</v>
      </c>
      <c r="BM1125" s="2" t="s">
        <v>74</v>
      </c>
      <c r="BN1125" s="2" t="s">
        <v>74</v>
      </c>
      <c r="BO1125" s="2" t="s">
        <v>74</v>
      </c>
      <c r="BP1125" s="2" t="s">
        <v>74</v>
      </c>
      <c r="BQ1125" s="2" t="s">
        <v>74</v>
      </c>
      <c r="BR1125" s="2" t="s">
        <v>74</v>
      </c>
      <c r="BS1125" s="2" t="s">
        <v>4824</v>
      </c>
      <c r="BT1125" s="2" t="str">
        <f>HYPERLINK("https%3A%2F%2Fwww.webofscience.com%2Fwos%2Fwoscc%2Ffull-record%2FWOS:A1993LU78000012","View Full Record in Web of Science")</f>
        <v>View Full Record in Web of Science</v>
      </c>
    </row>
    <row r="1126" spans="1:72" s="2" customFormat="1" x14ac:dyDescent="0.4">
      <c r="A1126" s="2" t="s">
        <v>72</v>
      </c>
      <c r="B1126" s="2" t="s">
        <v>8120</v>
      </c>
      <c r="C1126" s="2" t="s">
        <v>74</v>
      </c>
      <c r="D1126" s="2" t="s">
        <v>74</v>
      </c>
      <c r="E1126" s="2" t="s">
        <v>74</v>
      </c>
      <c r="F1126" s="2" t="s">
        <v>8121</v>
      </c>
      <c r="G1126" s="2" t="s">
        <v>74</v>
      </c>
      <c r="H1126" s="2" t="s">
        <v>74</v>
      </c>
      <c r="I1126" s="2" t="s">
        <v>8122</v>
      </c>
      <c r="J1126" s="2" t="s">
        <v>2629</v>
      </c>
      <c r="K1126" s="2" t="s">
        <v>74</v>
      </c>
      <c r="L1126" s="2" t="s">
        <v>74</v>
      </c>
      <c r="M1126" s="2" t="s">
        <v>74</v>
      </c>
      <c r="N1126" s="2" t="s">
        <v>74</v>
      </c>
      <c r="O1126" s="2" t="s">
        <v>74</v>
      </c>
      <c r="P1126" s="2" t="s">
        <v>74</v>
      </c>
      <c r="Q1126" s="2" t="s">
        <v>74</v>
      </c>
      <c r="R1126" s="2" t="s">
        <v>74</v>
      </c>
      <c r="S1126" s="2" t="s">
        <v>74</v>
      </c>
      <c r="T1126" s="2" t="s">
        <v>74</v>
      </c>
      <c r="U1126" s="2" t="s">
        <v>74</v>
      </c>
      <c r="V1126" s="5" t="s">
        <v>8123</v>
      </c>
      <c r="W1126" s="2" t="s">
        <v>74</v>
      </c>
      <c r="X1126" s="2" t="s">
        <v>74</v>
      </c>
      <c r="Y1126" s="2" t="s">
        <v>74</v>
      </c>
      <c r="Z1126" s="2" t="s">
        <v>74</v>
      </c>
      <c r="AA1126" s="2" t="s">
        <v>74</v>
      </c>
      <c r="AB1126" s="2" t="s">
        <v>74</v>
      </c>
      <c r="AC1126" s="2" t="s">
        <v>74</v>
      </c>
      <c r="AD1126" s="2" t="s">
        <v>74</v>
      </c>
      <c r="AE1126" s="2" t="s">
        <v>74</v>
      </c>
      <c r="AF1126" s="2" t="s">
        <v>74</v>
      </c>
      <c r="AG1126" s="2" t="s">
        <v>74</v>
      </c>
      <c r="AH1126" s="2" t="s">
        <v>74</v>
      </c>
      <c r="AI1126" s="2" t="s">
        <v>74</v>
      </c>
      <c r="AJ1126" s="2" t="s">
        <v>74</v>
      </c>
      <c r="AK1126" s="2" t="s">
        <v>74</v>
      </c>
      <c r="AL1126" s="2" t="s">
        <v>74</v>
      </c>
      <c r="AM1126" s="2" t="s">
        <v>74</v>
      </c>
      <c r="AN1126" s="2" t="s">
        <v>74</v>
      </c>
      <c r="AO1126" s="2" t="s">
        <v>2632</v>
      </c>
      <c r="AP1126" s="2" t="s">
        <v>2633</v>
      </c>
      <c r="AQ1126" s="2" t="s">
        <v>74</v>
      </c>
      <c r="AR1126" s="2" t="s">
        <v>74</v>
      </c>
      <c r="AS1126" s="2" t="s">
        <v>74</v>
      </c>
      <c r="AT1126" s="2" t="s">
        <v>74</v>
      </c>
      <c r="AU1126" s="2">
        <v>2020</v>
      </c>
      <c r="AV1126" s="2">
        <v>68</v>
      </c>
      <c r="AW1126" s="2">
        <v>2</v>
      </c>
      <c r="AX1126" s="2" t="s">
        <v>74</v>
      </c>
      <c r="AY1126" s="2" t="s">
        <v>74</v>
      </c>
      <c r="AZ1126" s="2" t="s">
        <v>74</v>
      </c>
      <c r="BA1126" s="2" t="s">
        <v>74</v>
      </c>
      <c r="BB1126" s="2">
        <v>85</v>
      </c>
      <c r="BC1126" s="2">
        <v>97</v>
      </c>
      <c r="BD1126" s="2" t="s">
        <v>74</v>
      </c>
      <c r="BE1126" s="2" t="s">
        <v>8124</v>
      </c>
      <c r="BF1126" s="2" t="str">
        <f>HYPERLINK("http://dx.doi.org/10.1071/ZO20091","http://dx.doi.org/10.1071/ZO20091")</f>
        <v>http://dx.doi.org/10.1071/ZO20091</v>
      </c>
      <c r="BG1126" s="2" t="s">
        <v>74</v>
      </c>
      <c r="BH1126" s="2" t="s">
        <v>224</v>
      </c>
      <c r="BI1126" s="2" t="s">
        <v>74</v>
      </c>
      <c r="BJ1126" s="2" t="s">
        <v>74</v>
      </c>
      <c r="BK1126" s="2" t="s">
        <v>74</v>
      </c>
      <c r="BL1126" s="2" t="s">
        <v>74</v>
      </c>
      <c r="BM1126" s="2" t="s">
        <v>74</v>
      </c>
      <c r="BN1126" s="2" t="s">
        <v>74</v>
      </c>
      <c r="BO1126" s="2" t="s">
        <v>74</v>
      </c>
      <c r="BP1126" s="2" t="s">
        <v>74</v>
      </c>
      <c r="BQ1126" s="2" t="s">
        <v>74</v>
      </c>
      <c r="BR1126" s="2" t="s">
        <v>74</v>
      </c>
      <c r="BS1126" s="2" t="s">
        <v>8125</v>
      </c>
      <c r="BT1126" s="2" t="str">
        <f>HYPERLINK("https%3A%2F%2Fwww.webofscience.com%2Fwos%2Fwoscc%2Ffull-record%2FWOS:000657370700001","View Full Record in Web of Science")</f>
        <v>View Full Record in Web of Science</v>
      </c>
    </row>
    <row r="1127" spans="1:72" s="2" customFormat="1" x14ac:dyDescent="0.4">
      <c r="A1127" s="2" t="s">
        <v>72</v>
      </c>
      <c r="B1127" s="2" t="s">
        <v>4167</v>
      </c>
      <c r="C1127" s="2" t="s">
        <v>74</v>
      </c>
      <c r="D1127" s="2" t="s">
        <v>74</v>
      </c>
      <c r="E1127" s="2" t="s">
        <v>74</v>
      </c>
      <c r="F1127" s="2" t="s">
        <v>4167</v>
      </c>
      <c r="G1127" s="2" t="s">
        <v>74</v>
      </c>
      <c r="H1127" s="2" t="s">
        <v>74</v>
      </c>
      <c r="I1127" s="2" t="s">
        <v>4168</v>
      </c>
      <c r="J1127" s="2" t="s">
        <v>691</v>
      </c>
      <c r="K1127" s="2" t="s">
        <v>74</v>
      </c>
      <c r="L1127" s="2" t="s">
        <v>74</v>
      </c>
      <c r="M1127" s="2" t="s">
        <v>74</v>
      </c>
      <c r="N1127" s="2" t="s">
        <v>74</v>
      </c>
      <c r="O1127" s="2" t="s">
        <v>74</v>
      </c>
      <c r="P1127" s="2" t="s">
        <v>74</v>
      </c>
      <c r="Q1127" s="2" t="s">
        <v>74</v>
      </c>
      <c r="R1127" s="2" t="s">
        <v>74</v>
      </c>
      <c r="S1127" s="2" t="s">
        <v>74</v>
      </c>
      <c r="T1127" s="2" t="s">
        <v>74</v>
      </c>
      <c r="U1127" s="2" t="s">
        <v>74</v>
      </c>
      <c r="V1127" s="5" t="s">
        <v>4169</v>
      </c>
      <c r="W1127" s="2" t="s">
        <v>74</v>
      </c>
      <c r="X1127" s="2" t="s">
        <v>74</v>
      </c>
      <c r="Y1127" s="2" t="s">
        <v>74</v>
      </c>
      <c r="Z1127" s="2" t="s">
        <v>74</v>
      </c>
      <c r="AA1127" s="2" t="s">
        <v>74</v>
      </c>
      <c r="AB1127" s="2" t="s">
        <v>74</v>
      </c>
      <c r="AC1127" s="2" t="s">
        <v>74</v>
      </c>
      <c r="AD1127" s="2" t="s">
        <v>74</v>
      </c>
      <c r="AE1127" s="2" t="s">
        <v>74</v>
      </c>
      <c r="AF1127" s="2" t="s">
        <v>74</v>
      </c>
      <c r="AG1127" s="2" t="s">
        <v>74</v>
      </c>
      <c r="AH1127" s="2" t="s">
        <v>74</v>
      </c>
      <c r="AI1127" s="2" t="s">
        <v>74</v>
      </c>
      <c r="AJ1127" s="2" t="s">
        <v>74</v>
      </c>
      <c r="AK1127" s="2" t="s">
        <v>74</v>
      </c>
      <c r="AL1127" s="2" t="s">
        <v>74</v>
      </c>
      <c r="AM1127" s="2" t="s">
        <v>74</v>
      </c>
      <c r="AN1127" s="2" t="s">
        <v>74</v>
      </c>
      <c r="AO1127" s="2" t="s">
        <v>695</v>
      </c>
      <c r="AP1127" s="2" t="s">
        <v>981</v>
      </c>
      <c r="AQ1127" s="2" t="s">
        <v>74</v>
      </c>
      <c r="AR1127" s="2" t="s">
        <v>74</v>
      </c>
      <c r="AS1127" s="2" t="s">
        <v>74</v>
      </c>
      <c r="AT1127" s="2" t="s">
        <v>305</v>
      </c>
      <c r="AU1127" s="2">
        <v>1989</v>
      </c>
      <c r="AV1127" s="2">
        <v>46</v>
      </c>
      <c r="AW1127" s="2">
        <v>6</v>
      </c>
      <c r="AX1127" s="2" t="s">
        <v>74</v>
      </c>
      <c r="AY1127" s="2" t="s">
        <v>74</v>
      </c>
      <c r="AZ1127" s="2" t="s">
        <v>74</v>
      </c>
      <c r="BA1127" s="2" t="s">
        <v>74</v>
      </c>
      <c r="BB1127" s="2">
        <v>977</v>
      </c>
      <c r="BC1127" s="2">
        <v>982</v>
      </c>
      <c r="BD1127" s="2" t="s">
        <v>74</v>
      </c>
      <c r="BE1127" s="2" t="s">
        <v>4170</v>
      </c>
      <c r="BF1127" s="2" t="str">
        <f>HYPERLINK("http://dx.doi.org/10.1016/0031-9384(89)90201-1","http://dx.doi.org/10.1016/0031-9384(89)90201-1")</f>
        <v>http://dx.doi.org/10.1016/0031-9384(89)90201-1</v>
      </c>
      <c r="BG1127" s="2" t="s">
        <v>74</v>
      </c>
      <c r="BH1127" s="2" t="s">
        <v>74</v>
      </c>
      <c r="BI1127" s="2" t="s">
        <v>74</v>
      </c>
      <c r="BJ1127" s="2" t="s">
        <v>74</v>
      </c>
      <c r="BK1127" s="2" t="s">
        <v>74</v>
      </c>
      <c r="BL1127" s="2" t="s">
        <v>74</v>
      </c>
      <c r="BM1127" s="2" t="s">
        <v>74</v>
      </c>
      <c r="BN1127" s="2">
        <v>2634263</v>
      </c>
      <c r="BO1127" s="2" t="s">
        <v>74</v>
      </c>
      <c r="BP1127" s="2" t="s">
        <v>74</v>
      </c>
      <c r="BQ1127" s="2" t="s">
        <v>74</v>
      </c>
      <c r="BR1127" s="2" t="s">
        <v>74</v>
      </c>
      <c r="BS1127" s="2" t="s">
        <v>4171</v>
      </c>
      <c r="BT1127" s="2" t="str">
        <f>HYPERLINK("https%3A%2F%2Fwww.webofscience.com%2Fwos%2Fwoscc%2Ffull-record%2FWOS:A1989CE14400011","View Full Record in Web of Science")</f>
        <v>View Full Record in Web of Science</v>
      </c>
    </row>
    <row r="1128" spans="1:72" s="2" customFormat="1" x14ac:dyDescent="0.4">
      <c r="A1128" s="2" t="s">
        <v>72</v>
      </c>
      <c r="B1128" s="2" t="s">
        <v>5563</v>
      </c>
      <c r="C1128" s="2" t="s">
        <v>74</v>
      </c>
      <c r="D1128" s="2" t="s">
        <v>74</v>
      </c>
      <c r="E1128" s="2" t="s">
        <v>74</v>
      </c>
      <c r="F1128" s="2" t="s">
        <v>5563</v>
      </c>
      <c r="G1128" s="2" t="s">
        <v>74</v>
      </c>
      <c r="H1128" s="2" t="s">
        <v>74</v>
      </c>
      <c r="I1128" s="2" t="s">
        <v>5564</v>
      </c>
      <c r="J1128" s="2" t="s">
        <v>5333</v>
      </c>
      <c r="K1128" s="2" t="s">
        <v>74</v>
      </c>
      <c r="L1128" s="2" t="s">
        <v>74</v>
      </c>
      <c r="M1128" s="2" t="s">
        <v>74</v>
      </c>
      <c r="N1128" s="2" t="s">
        <v>74</v>
      </c>
      <c r="O1128" s="2" t="s">
        <v>74</v>
      </c>
      <c r="P1128" s="2" t="s">
        <v>74</v>
      </c>
      <c r="Q1128" s="2" t="s">
        <v>74</v>
      </c>
      <c r="R1128" s="2" t="s">
        <v>74</v>
      </c>
      <c r="S1128" s="2" t="s">
        <v>74</v>
      </c>
      <c r="T1128" s="2" t="s">
        <v>74</v>
      </c>
      <c r="U1128" s="2" t="s">
        <v>74</v>
      </c>
      <c r="V1128" s="5" t="s">
        <v>5565</v>
      </c>
      <c r="W1128" s="2" t="s">
        <v>74</v>
      </c>
      <c r="X1128" s="2" t="s">
        <v>74</v>
      </c>
      <c r="Y1128" s="2" t="s">
        <v>74</v>
      </c>
      <c r="Z1128" s="2" t="s">
        <v>74</v>
      </c>
      <c r="AA1128" s="2" t="s">
        <v>74</v>
      </c>
      <c r="AB1128" s="2" t="s">
        <v>74</v>
      </c>
      <c r="AC1128" s="2" t="s">
        <v>74</v>
      </c>
      <c r="AD1128" s="2" t="s">
        <v>74</v>
      </c>
      <c r="AE1128" s="2" t="s">
        <v>74</v>
      </c>
      <c r="AF1128" s="2" t="s">
        <v>74</v>
      </c>
      <c r="AG1128" s="2" t="s">
        <v>74</v>
      </c>
      <c r="AH1128" s="2" t="s">
        <v>74</v>
      </c>
      <c r="AI1128" s="2" t="s">
        <v>74</v>
      </c>
      <c r="AJ1128" s="2" t="s">
        <v>74</v>
      </c>
      <c r="AK1128" s="2" t="s">
        <v>74</v>
      </c>
      <c r="AL1128" s="2" t="s">
        <v>74</v>
      </c>
      <c r="AM1128" s="2" t="s">
        <v>74</v>
      </c>
      <c r="AN1128" s="2" t="s">
        <v>74</v>
      </c>
      <c r="AO1128" s="2" t="s">
        <v>5335</v>
      </c>
      <c r="AP1128" s="2" t="s">
        <v>74</v>
      </c>
      <c r="AQ1128" s="2" t="s">
        <v>74</v>
      </c>
      <c r="AR1128" s="2" t="s">
        <v>74</v>
      </c>
      <c r="AS1128" s="2" t="s">
        <v>74</v>
      </c>
      <c r="AT1128" s="2" t="s">
        <v>74</v>
      </c>
      <c r="AU1128" s="2">
        <v>1985</v>
      </c>
      <c r="AV1128" s="2">
        <v>50</v>
      </c>
      <c r="AW1128" s="2">
        <v>3</v>
      </c>
      <c r="AX1128" s="2" t="s">
        <v>74</v>
      </c>
      <c r="AY1128" s="2" t="s">
        <v>74</v>
      </c>
      <c r="AZ1128" s="2" t="s">
        <v>74</v>
      </c>
      <c r="BA1128" s="2" t="s">
        <v>74</v>
      </c>
      <c r="BB1128" s="2">
        <v>166</v>
      </c>
      <c r="BC1128" s="2">
        <v>174</v>
      </c>
      <c r="BD1128" s="2" t="s">
        <v>74</v>
      </c>
      <c r="BE1128" s="2" t="s">
        <v>74</v>
      </c>
      <c r="BF1128" s="2" t="s">
        <v>74</v>
      </c>
      <c r="BG1128" s="2" t="s">
        <v>74</v>
      </c>
      <c r="BH1128" s="2" t="s">
        <v>74</v>
      </c>
      <c r="BI1128" s="2" t="s">
        <v>74</v>
      </c>
      <c r="BJ1128" s="2" t="s">
        <v>74</v>
      </c>
      <c r="BK1128" s="2" t="s">
        <v>74</v>
      </c>
      <c r="BL1128" s="2" t="s">
        <v>74</v>
      </c>
      <c r="BM1128" s="2" t="s">
        <v>74</v>
      </c>
      <c r="BN1128" s="2" t="s">
        <v>74</v>
      </c>
      <c r="BO1128" s="2" t="s">
        <v>74</v>
      </c>
      <c r="BP1128" s="2" t="s">
        <v>74</v>
      </c>
      <c r="BQ1128" s="2" t="s">
        <v>74</v>
      </c>
      <c r="BR1128" s="2" t="s">
        <v>74</v>
      </c>
      <c r="BS1128" s="2" t="s">
        <v>5566</v>
      </c>
      <c r="BT1128" s="2" t="str">
        <f>HYPERLINK("https%3A%2F%2Fwww.webofscience.com%2Fwos%2Fwoscc%2Ffull-record%2FWOS:A1985ALJ2100004","View Full Record in Web of Science")</f>
        <v>View Full Record in Web of Science</v>
      </c>
    </row>
    <row r="1129" spans="1:72" s="2" customFormat="1" x14ac:dyDescent="0.4">
      <c r="A1129" s="2" t="s">
        <v>72</v>
      </c>
      <c r="B1129" s="2" t="s">
        <v>8162</v>
      </c>
      <c r="C1129" s="2" t="s">
        <v>74</v>
      </c>
      <c r="D1129" s="2" t="s">
        <v>74</v>
      </c>
      <c r="E1129" s="2" t="s">
        <v>74</v>
      </c>
      <c r="F1129" s="2" t="s">
        <v>8162</v>
      </c>
      <c r="G1129" s="2" t="s">
        <v>74</v>
      </c>
      <c r="H1129" s="2" t="s">
        <v>74</v>
      </c>
      <c r="I1129" s="2" t="s">
        <v>8163</v>
      </c>
      <c r="J1129" s="2" t="s">
        <v>241</v>
      </c>
      <c r="K1129" s="2" t="s">
        <v>74</v>
      </c>
      <c r="L1129" s="2" t="s">
        <v>74</v>
      </c>
      <c r="M1129" s="2" t="s">
        <v>74</v>
      </c>
      <c r="N1129" s="2" t="s">
        <v>74</v>
      </c>
      <c r="O1129" s="2" t="s">
        <v>74</v>
      </c>
      <c r="P1129" s="2" t="s">
        <v>74</v>
      </c>
      <c r="Q1129" s="2" t="s">
        <v>74</v>
      </c>
      <c r="R1129" s="2" t="s">
        <v>74</v>
      </c>
      <c r="S1129" s="2" t="s">
        <v>74</v>
      </c>
      <c r="T1129" s="2" t="s">
        <v>74</v>
      </c>
      <c r="U1129" s="2" t="s">
        <v>74</v>
      </c>
      <c r="V1129" s="5" t="s">
        <v>8164</v>
      </c>
      <c r="W1129" s="2" t="s">
        <v>74</v>
      </c>
      <c r="X1129" s="2" t="s">
        <v>74</v>
      </c>
      <c r="Y1129" s="2" t="s">
        <v>74</v>
      </c>
      <c r="Z1129" s="2" t="s">
        <v>74</v>
      </c>
      <c r="AA1129" s="2" t="s">
        <v>6473</v>
      </c>
      <c r="AB1129" s="2" t="s">
        <v>8165</v>
      </c>
      <c r="AC1129" s="2" t="s">
        <v>74</v>
      </c>
      <c r="AD1129" s="2" t="s">
        <v>74</v>
      </c>
      <c r="AE1129" s="2" t="s">
        <v>74</v>
      </c>
      <c r="AF1129" s="2" t="s">
        <v>74</v>
      </c>
      <c r="AG1129" s="2" t="s">
        <v>74</v>
      </c>
      <c r="AH1129" s="2" t="s">
        <v>74</v>
      </c>
      <c r="AI1129" s="2" t="s">
        <v>74</v>
      </c>
      <c r="AJ1129" s="2" t="s">
        <v>74</v>
      </c>
      <c r="AK1129" s="2" t="s">
        <v>74</v>
      </c>
      <c r="AL1129" s="2" t="s">
        <v>74</v>
      </c>
      <c r="AM1129" s="2" t="s">
        <v>74</v>
      </c>
      <c r="AN1129" s="2" t="s">
        <v>74</v>
      </c>
      <c r="AO1129" s="2" t="s">
        <v>245</v>
      </c>
      <c r="AP1129" s="2" t="s">
        <v>74</v>
      </c>
      <c r="AQ1129" s="2" t="s">
        <v>74</v>
      </c>
      <c r="AR1129" s="2" t="s">
        <v>74</v>
      </c>
      <c r="AS1129" s="2" t="s">
        <v>74</v>
      </c>
      <c r="AT1129" s="2" t="s">
        <v>145</v>
      </c>
      <c r="AU1129" s="2">
        <v>1993</v>
      </c>
      <c r="AV1129" s="2">
        <v>95</v>
      </c>
      <c r="AW1129" s="2">
        <v>2</v>
      </c>
      <c r="AX1129" s="2" t="s">
        <v>74</v>
      </c>
      <c r="AY1129" s="2" t="s">
        <v>74</v>
      </c>
      <c r="AZ1129" s="2" t="s">
        <v>74</v>
      </c>
      <c r="BA1129" s="2" t="s">
        <v>74</v>
      </c>
      <c r="BB1129" s="2">
        <v>266</v>
      </c>
      <c r="BC1129" s="2">
        <v>276</v>
      </c>
      <c r="BD1129" s="2" t="s">
        <v>74</v>
      </c>
      <c r="BE1129" s="2" t="s">
        <v>8166</v>
      </c>
      <c r="BF1129" s="2" t="str">
        <f>HYPERLINK("http://dx.doi.org/10.1007/BF00323499","http://dx.doi.org/10.1007/BF00323499")</f>
        <v>http://dx.doi.org/10.1007/BF00323499</v>
      </c>
      <c r="BG1129" s="2" t="s">
        <v>74</v>
      </c>
      <c r="BH1129" s="2" t="s">
        <v>74</v>
      </c>
      <c r="BI1129" s="2" t="s">
        <v>74</v>
      </c>
      <c r="BJ1129" s="2" t="s">
        <v>74</v>
      </c>
      <c r="BK1129" s="2" t="s">
        <v>74</v>
      </c>
      <c r="BL1129" s="2" t="s">
        <v>74</v>
      </c>
      <c r="BM1129" s="2" t="s">
        <v>74</v>
      </c>
      <c r="BN1129" s="2">
        <v>28312951</v>
      </c>
      <c r="BO1129" s="2" t="s">
        <v>74</v>
      </c>
      <c r="BP1129" s="2" t="s">
        <v>74</v>
      </c>
      <c r="BQ1129" s="2" t="s">
        <v>74</v>
      </c>
      <c r="BR1129" s="2" t="s">
        <v>74</v>
      </c>
      <c r="BS1129" s="2" t="s">
        <v>8167</v>
      </c>
      <c r="BT1129" s="2" t="str">
        <f>HYPERLINK("https%3A%2F%2Fwww.webofscience.com%2Fwos%2Fwoscc%2Ffull-record%2FWOS:A1993LV56400015","View Full Record in Web of Science")</f>
        <v>View Full Record in Web of Science</v>
      </c>
    </row>
    <row r="1130" spans="1:72" s="2" customFormat="1" x14ac:dyDescent="0.4">
      <c r="A1130" s="2" t="s">
        <v>72</v>
      </c>
      <c r="B1130" s="2" t="s">
        <v>6081</v>
      </c>
      <c r="C1130" s="2" t="s">
        <v>74</v>
      </c>
      <c r="D1130" s="2" t="s">
        <v>74</v>
      </c>
      <c r="E1130" s="2" t="s">
        <v>74</v>
      </c>
      <c r="F1130" s="2" t="s">
        <v>6082</v>
      </c>
      <c r="G1130" s="2" t="s">
        <v>74</v>
      </c>
      <c r="H1130" s="2" t="s">
        <v>74</v>
      </c>
      <c r="I1130" s="2" t="s">
        <v>6083</v>
      </c>
      <c r="J1130" s="2" t="s">
        <v>6084</v>
      </c>
      <c r="K1130" s="2" t="s">
        <v>74</v>
      </c>
      <c r="L1130" s="2" t="s">
        <v>74</v>
      </c>
      <c r="M1130" s="2" t="s">
        <v>74</v>
      </c>
      <c r="N1130" s="2" t="s">
        <v>74</v>
      </c>
      <c r="O1130" s="2" t="s">
        <v>74</v>
      </c>
      <c r="P1130" s="2" t="s">
        <v>74</v>
      </c>
      <c r="Q1130" s="2" t="s">
        <v>74</v>
      </c>
      <c r="R1130" s="2" t="s">
        <v>74</v>
      </c>
      <c r="S1130" s="2" t="s">
        <v>74</v>
      </c>
      <c r="T1130" s="2" t="s">
        <v>74</v>
      </c>
      <c r="U1130" s="2" t="s">
        <v>74</v>
      </c>
      <c r="V1130" s="5" t="s">
        <v>6085</v>
      </c>
      <c r="W1130" s="2" t="s">
        <v>74</v>
      </c>
      <c r="X1130" s="2" t="s">
        <v>74</v>
      </c>
      <c r="Y1130" s="2" t="s">
        <v>74</v>
      </c>
      <c r="Z1130" s="2" t="s">
        <v>74</v>
      </c>
      <c r="AA1130" s="2" t="s">
        <v>2989</v>
      </c>
      <c r="AB1130" s="2" t="s">
        <v>6086</v>
      </c>
      <c r="AC1130" s="2" t="s">
        <v>74</v>
      </c>
      <c r="AD1130" s="2" t="s">
        <v>74</v>
      </c>
      <c r="AE1130" s="2" t="s">
        <v>74</v>
      </c>
      <c r="AF1130" s="2" t="s">
        <v>74</v>
      </c>
      <c r="AG1130" s="2" t="s">
        <v>74</v>
      </c>
      <c r="AH1130" s="2" t="s">
        <v>74</v>
      </c>
      <c r="AI1130" s="2" t="s">
        <v>74</v>
      </c>
      <c r="AJ1130" s="2" t="s">
        <v>74</v>
      </c>
      <c r="AK1130" s="2" t="s">
        <v>74</v>
      </c>
      <c r="AL1130" s="2" t="s">
        <v>74</v>
      </c>
      <c r="AM1130" s="2" t="s">
        <v>74</v>
      </c>
      <c r="AN1130" s="2" t="s">
        <v>74</v>
      </c>
      <c r="AO1130" s="2" t="s">
        <v>6087</v>
      </c>
      <c r="AP1130" s="2" t="s">
        <v>6088</v>
      </c>
      <c r="AQ1130" s="2" t="s">
        <v>74</v>
      </c>
      <c r="AR1130" s="2" t="s">
        <v>74</v>
      </c>
      <c r="AS1130" s="2" t="s">
        <v>74</v>
      </c>
      <c r="AT1130" s="2" t="s">
        <v>74</v>
      </c>
      <c r="AU1130" s="2">
        <v>2017</v>
      </c>
      <c r="AV1130" s="2">
        <v>20</v>
      </c>
      <c r="AW1130" s="2">
        <v>1</v>
      </c>
      <c r="AX1130" s="2" t="s">
        <v>74</v>
      </c>
      <c r="AY1130" s="2" t="s">
        <v>74</v>
      </c>
      <c r="AZ1130" s="2" t="s">
        <v>74</v>
      </c>
      <c r="BA1130" s="2" t="s">
        <v>74</v>
      </c>
      <c r="BB1130" s="2">
        <v>43</v>
      </c>
      <c r="BC1130" s="2">
        <v>52</v>
      </c>
      <c r="BD1130" s="2" t="s">
        <v>74</v>
      </c>
      <c r="BE1130" s="2" t="s">
        <v>6089</v>
      </c>
      <c r="BF1130" s="2" t="str">
        <f>HYPERLINK("http://dx.doi.org/10.1080/13887890.2017.1297259","http://dx.doi.org/10.1080/13887890.2017.1297259")</f>
        <v>http://dx.doi.org/10.1080/13887890.2017.1297259</v>
      </c>
      <c r="BG1130" s="2" t="s">
        <v>74</v>
      </c>
      <c r="BH1130" s="2" t="s">
        <v>74</v>
      </c>
      <c r="BI1130" s="2" t="s">
        <v>74</v>
      </c>
      <c r="BJ1130" s="2" t="s">
        <v>74</v>
      </c>
      <c r="BK1130" s="2" t="s">
        <v>74</v>
      </c>
      <c r="BL1130" s="2" t="s">
        <v>74</v>
      </c>
      <c r="BM1130" s="2" t="s">
        <v>74</v>
      </c>
      <c r="BN1130" s="2" t="s">
        <v>74</v>
      </c>
      <c r="BO1130" s="2" t="s">
        <v>74</v>
      </c>
      <c r="BP1130" s="2" t="s">
        <v>74</v>
      </c>
      <c r="BQ1130" s="2" t="s">
        <v>74</v>
      </c>
      <c r="BR1130" s="2" t="s">
        <v>74</v>
      </c>
      <c r="BS1130" s="2" t="s">
        <v>6090</v>
      </c>
      <c r="BT1130" s="2" t="str">
        <f>HYPERLINK("https%3A%2F%2Fwww.webofscience.com%2Fwos%2Fwoscc%2Ffull-record%2FWOS:000398096300004","View Full Record in Web of Science")</f>
        <v>View Full Record in Web of Science</v>
      </c>
    </row>
    <row r="1131" spans="1:72" s="2" customFormat="1" x14ac:dyDescent="0.4">
      <c r="A1131" s="2" t="s">
        <v>72</v>
      </c>
      <c r="B1131" s="2" t="s">
        <v>8292</v>
      </c>
      <c r="C1131" s="2" t="s">
        <v>74</v>
      </c>
      <c r="D1131" s="2" t="s">
        <v>74</v>
      </c>
      <c r="E1131" s="2" t="s">
        <v>74</v>
      </c>
      <c r="F1131" s="2" t="s">
        <v>8292</v>
      </c>
      <c r="G1131" s="2" t="s">
        <v>74</v>
      </c>
      <c r="H1131" s="2" t="s">
        <v>74</v>
      </c>
      <c r="I1131" s="2" t="s">
        <v>8293</v>
      </c>
      <c r="J1131" s="2" t="s">
        <v>456</v>
      </c>
      <c r="K1131" s="2" t="s">
        <v>74</v>
      </c>
      <c r="L1131" s="2" t="s">
        <v>74</v>
      </c>
      <c r="M1131" s="2" t="s">
        <v>74</v>
      </c>
      <c r="N1131" s="2" t="s">
        <v>74</v>
      </c>
      <c r="O1131" s="2" t="s">
        <v>74</v>
      </c>
      <c r="P1131" s="2" t="s">
        <v>74</v>
      </c>
      <c r="Q1131" s="2" t="s">
        <v>74</v>
      </c>
      <c r="R1131" s="2" t="s">
        <v>74</v>
      </c>
      <c r="S1131" s="2" t="s">
        <v>74</v>
      </c>
      <c r="T1131" s="2" t="s">
        <v>74</v>
      </c>
      <c r="U1131" s="2" t="s">
        <v>74</v>
      </c>
      <c r="V1131" s="5" t="s">
        <v>8294</v>
      </c>
      <c r="W1131" s="2" t="s">
        <v>74</v>
      </c>
      <c r="X1131" s="2" t="s">
        <v>74</v>
      </c>
      <c r="Y1131" s="2" t="s">
        <v>74</v>
      </c>
      <c r="Z1131" s="2" t="s">
        <v>74</v>
      </c>
      <c r="AA1131" s="2" t="s">
        <v>74</v>
      </c>
      <c r="AB1131" s="2" t="s">
        <v>74</v>
      </c>
      <c r="AC1131" s="2" t="s">
        <v>74</v>
      </c>
      <c r="AD1131" s="2" t="s">
        <v>74</v>
      </c>
      <c r="AE1131" s="2" t="s">
        <v>74</v>
      </c>
      <c r="AF1131" s="2" t="s">
        <v>74</v>
      </c>
      <c r="AG1131" s="2" t="s">
        <v>74</v>
      </c>
      <c r="AH1131" s="2" t="s">
        <v>74</v>
      </c>
      <c r="AI1131" s="2" t="s">
        <v>74</v>
      </c>
      <c r="AJ1131" s="2" t="s">
        <v>74</v>
      </c>
      <c r="AK1131" s="2" t="s">
        <v>74</v>
      </c>
      <c r="AL1131" s="2" t="s">
        <v>74</v>
      </c>
      <c r="AM1131" s="2" t="s">
        <v>74</v>
      </c>
      <c r="AN1131" s="2" t="s">
        <v>74</v>
      </c>
      <c r="AO1131" s="2" t="s">
        <v>460</v>
      </c>
      <c r="AP1131" s="2" t="s">
        <v>74</v>
      </c>
      <c r="AQ1131" s="2" t="s">
        <v>74</v>
      </c>
      <c r="AR1131" s="2" t="s">
        <v>74</v>
      </c>
      <c r="AS1131" s="2" t="s">
        <v>74</v>
      </c>
      <c r="AT1131" s="2" t="s">
        <v>352</v>
      </c>
      <c r="AU1131" s="2">
        <v>1991</v>
      </c>
      <c r="AV1131" s="2">
        <v>225</v>
      </c>
      <c r="AW1131" s="2" t="s">
        <v>74</v>
      </c>
      <c r="AX1131" s="2">
        <v>1</v>
      </c>
      <c r="AY1131" s="2" t="s">
        <v>74</v>
      </c>
      <c r="AZ1131" s="2" t="s">
        <v>74</v>
      </c>
      <c r="BA1131" s="2" t="s">
        <v>74</v>
      </c>
      <c r="BB1131" s="2">
        <v>43</v>
      </c>
      <c r="BC1131" s="2">
        <v>58</v>
      </c>
      <c r="BD1131" s="2" t="s">
        <v>74</v>
      </c>
      <c r="BE1131" s="2" t="s">
        <v>8295</v>
      </c>
      <c r="BF1131" s="2" t="str">
        <f>HYPERLINK("http://dx.doi.org/10.1111/j.1469-7998.1991.tb03800.x","http://dx.doi.org/10.1111/j.1469-7998.1991.tb03800.x")</f>
        <v>http://dx.doi.org/10.1111/j.1469-7998.1991.tb03800.x</v>
      </c>
      <c r="BG1131" s="2" t="s">
        <v>74</v>
      </c>
      <c r="BH1131" s="2" t="s">
        <v>74</v>
      </c>
      <c r="BI1131" s="2" t="s">
        <v>74</v>
      </c>
      <c r="BJ1131" s="2" t="s">
        <v>74</v>
      </c>
      <c r="BK1131" s="2" t="s">
        <v>74</v>
      </c>
      <c r="BL1131" s="2" t="s">
        <v>74</v>
      </c>
      <c r="BM1131" s="2" t="s">
        <v>74</v>
      </c>
      <c r="BN1131" s="2" t="s">
        <v>74</v>
      </c>
      <c r="BO1131" s="2" t="s">
        <v>74</v>
      </c>
      <c r="BP1131" s="2" t="s">
        <v>74</v>
      </c>
      <c r="BQ1131" s="2" t="s">
        <v>74</v>
      </c>
      <c r="BR1131" s="2" t="s">
        <v>74</v>
      </c>
      <c r="BS1131" s="2" t="s">
        <v>8296</v>
      </c>
      <c r="BT1131" s="2" t="str">
        <f>HYPERLINK("https%3A%2F%2Fwww.webofscience.com%2Fwos%2Fwoscc%2Ffull-record%2FWOS:A1991GK01600004","View Full Record in Web of Science")</f>
        <v>View Full Record in Web of Science</v>
      </c>
    </row>
    <row r="1132" spans="1:72" s="2" customFormat="1" x14ac:dyDescent="0.4">
      <c r="A1132" s="2" t="s">
        <v>72</v>
      </c>
      <c r="B1132" s="2" t="s">
        <v>4938</v>
      </c>
      <c r="C1132" s="2" t="s">
        <v>74</v>
      </c>
      <c r="D1132" s="2" t="s">
        <v>74</v>
      </c>
      <c r="E1132" s="2" t="s">
        <v>74</v>
      </c>
      <c r="F1132" s="2" t="s">
        <v>4938</v>
      </c>
      <c r="G1132" s="2" t="s">
        <v>74</v>
      </c>
      <c r="H1132" s="2" t="s">
        <v>74</v>
      </c>
      <c r="I1132" s="2" t="s">
        <v>4939</v>
      </c>
      <c r="J1132" s="2" t="s">
        <v>4522</v>
      </c>
      <c r="K1132" s="2" t="s">
        <v>74</v>
      </c>
      <c r="L1132" s="2" t="s">
        <v>74</v>
      </c>
      <c r="M1132" s="2" t="s">
        <v>74</v>
      </c>
      <c r="N1132" s="2" t="s">
        <v>74</v>
      </c>
      <c r="O1132" s="2" t="s">
        <v>74</v>
      </c>
      <c r="P1132" s="2" t="s">
        <v>74</v>
      </c>
      <c r="Q1132" s="2" t="s">
        <v>74</v>
      </c>
      <c r="R1132" s="2" t="s">
        <v>74</v>
      </c>
      <c r="S1132" s="2" t="s">
        <v>74</v>
      </c>
      <c r="T1132" s="2" t="s">
        <v>74</v>
      </c>
      <c r="U1132" s="2" t="s">
        <v>74</v>
      </c>
      <c r="V1132" s="5" t="s">
        <v>4940</v>
      </c>
      <c r="W1132" s="2" t="s">
        <v>74</v>
      </c>
      <c r="X1132" s="2" t="s">
        <v>74</v>
      </c>
      <c r="Y1132" s="2" t="s">
        <v>74</v>
      </c>
      <c r="Z1132" s="2" t="s">
        <v>74</v>
      </c>
      <c r="AA1132" s="2" t="s">
        <v>74</v>
      </c>
      <c r="AB1132" s="2" t="s">
        <v>74</v>
      </c>
      <c r="AC1132" s="2" t="s">
        <v>74</v>
      </c>
      <c r="AD1132" s="2" t="s">
        <v>74</v>
      </c>
      <c r="AE1132" s="2" t="s">
        <v>74</v>
      </c>
      <c r="AF1132" s="2" t="s">
        <v>74</v>
      </c>
      <c r="AG1132" s="2" t="s">
        <v>74</v>
      </c>
      <c r="AH1132" s="2" t="s">
        <v>74</v>
      </c>
      <c r="AI1132" s="2" t="s">
        <v>74</v>
      </c>
      <c r="AJ1132" s="2" t="s">
        <v>74</v>
      </c>
      <c r="AK1132" s="2" t="s">
        <v>74</v>
      </c>
      <c r="AL1132" s="2" t="s">
        <v>74</v>
      </c>
      <c r="AM1132" s="2" t="s">
        <v>74</v>
      </c>
      <c r="AN1132" s="2" t="s">
        <v>74</v>
      </c>
      <c r="AO1132" s="2" t="s">
        <v>4526</v>
      </c>
      <c r="AP1132" s="2" t="s">
        <v>4527</v>
      </c>
      <c r="AQ1132" s="2" t="s">
        <v>74</v>
      </c>
      <c r="AR1132" s="2" t="s">
        <v>74</v>
      </c>
      <c r="AS1132" s="2" t="s">
        <v>74</v>
      </c>
      <c r="AT1132" s="2" t="s">
        <v>1075</v>
      </c>
      <c r="AU1132" s="2">
        <v>1990</v>
      </c>
      <c r="AV1132" s="2">
        <v>24</v>
      </c>
      <c r="AW1132" s="2">
        <v>6</v>
      </c>
      <c r="AX1132" s="2" t="s">
        <v>74</v>
      </c>
      <c r="AY1132" s="2" t="s">
        <v>74</v>
      </c>
      <c r="AZ1132" s="2" t="s">
        <v>74</v>
      </c>
      <c r="BA1132" s="2" t="s">
        <v>74</v>
      </c>
      <c r="BB1132" s="2">
        <v>1617</v>
      </c>
      <c r="BC1132" s="2">
        <v>1627</v>
      </c>
      <c r="BD1132" s="2" t="s">
        <v>74</v>
      </c>
      <c r="BE1132" s="2" t="s">
        <v>4941</v>
      </c>
      <c r="BF1132" s="2" t="str">
        <f>HYPERLINK("http://dx.doi.org/10.1080/00222939000770931","http://dx.doi.org/10.1080/00222939000770931")</f>
        <v>http://dx.doi.org/10.1080/00222939000770931</v>
      </c>
      <c r="BG1132" s="2" t="s">
        <v>74</v>
      </c>
      <c r="BH1132" s="2" t="s">
        <v>74</v>
      </c>
      <c r="BI1132" s="2" t="s">
        <v>74</v>
      </c>
      <c r="BJ1132" s="2" t="s">
        <v>74</v>
      </c>
      <c r="BK1132" s="2" t="s">
        <v>74</v>
      </c>
      <c r="BL1132" s="2" t="s">
        <v>74</v>
      </c>
      <c r="BM1132" s="2" t="s">
        <v>74</v>
      </c>
      <c r="BN1132" s="2" t="s">
        <v>74</v>
      </c>
      <c r="BO1132" s="2" t="s">
        <v>74</v>
      </c>
      <c r="BP1132" s="2" t="s">
        <v>74</v>
      </c>
      <c r="BQ1132" s="2" t="s">
        <v>74</v>
      </c>
      <c r="BR1132" s="2" t="s">
        <v>74</v>
      </c>
      <c r="BS1132" s="2" t="s">
        <v>4942</v>
      </c>
      <c r="BT1132" s="2" t="str">
        <f>HYPERLINK("https%3A%2F%2Fwww.webofscience.com%2Fwos%2Fwoscc%2Ffull-record%2FWOS:A1990EH88300013","View Full Record in Web of Science")</f>
        <v>View Full Record in Web of Science</v>
      </c>
    </row>
    <row r="1133" spans="1:72" s="2" customFormat="1" x14ac:dyDescent="0.4">
      <c r="A1133" s="2" t="s">
        <v>72</v>
      </c>
      <c r="B1133" s="2" t="s">
        <v>7883</v>
      </c>
      <c r="C1133" s="2" t="s">
        <v>74</v>
      </c>
      <c r="D1133" s="2" t="s">
        <v>74</v>
      </c>
      <c r="E1133" s="2" t="s">
        <v>74</v>
      </c>
      <c r="F1133" s="2" t="s">
        <v>7883</v>
      </c>
      <c r="G1133" s="2" t="s">
        <v>74</v>
      </c>
      <c r="H1133" s="2" t="s">
        <v>74</v>
      </c>
      <c r="I1133" s="2" t="s">
        <v>7884</v>
      </c>
      <c r="J1133" s="2" t="s">
        <v>610</v>
      </c>
      <c r="K1133" s="2" t="s">
        <v>74</v>
      </c>
      <c r="L1133" s="2" t="s">
        <v>74</v>
      </c>
      <c r="M1133" s="2" t="s">
        <v>74</v>
      </c>
      <c r="N1133" s="2" t="s">
        <v>74</v>
      </c>
      <c r="O1133" s="2" t="s">
        <v>74</v>
      </c>
      <c r="P1133" s="2" t="s">
        <v>74</v>
      </c>
      <c r="Q1133" s="2" t="s">
        <v>74</v>
      </c>
      <c r="R1133" s="2" t="s">
        <v>74</v>
      </c>
      <c r="S1133" s="2" t="s">
        <v>74</v>
      </c>
      <c r="T1133" s="2" t="s">
        <v>74</v>
      </c>
      <c r="U1133" s="2" t="s">
        <v>74</v>
      </c>
      <c r="V1133" s="5" t="s">
        <v>7885</v>
      </c>
      <c r="W1133" s="2" t="s">
        <v>74</v>
      </c>
      <c r="X1133" s="2" t="s">
        <v>74</v>
      </c>
      <c r="Y1133" s="2" t="s">
        <v>74</v>
      </c>
      <c r="Z1133" s="2" t="s">
        <v>74</v>
      </c>
      <c r="AA1133" s="2" t="s">
        <v>74</v>
      </c>
      <c r="AB1133" s="2" t="s">
        <v>74</v>
      </c>
      <c r="AC1133" s="2" t="s">
        <v>74</v>
      </c>
      <c r="AD1133" s="2" t="s">
        <v>74</v>
      </c>
      <c r="AE1133" s="2" t="s">
        <v>74</v>
      </c>
      <c r="AF1133" s="2" t="s">
        <v>74</v>
      </c>
      <c r="AG1133" s="2" t="s">
        <v>74</v>
      </c>
      <c r="AH1133" s="2" t="s">
        <v>74</v>
      </c>
      <c r="AI1133" s="2" t="s">
        <v>74</v>
      </c>
      <c r="AJ1133" s="2" t="s">
        <v>74</v>
      </c>
      <c r="AK1133" s="2" t="s">
        <v>74</v>
      </c>
      <c r="AL1133" s="2" t="s">
        <v>74</v>
      </c>
      <c r="AM1133" s="2" t="s">
        <v>74</v>
      </c>
      <c r="AN1133" s="2" t="s">
        <v>74</v>
      </c>
      <c r="AO1133" s="2" t="s">
        <v>614</v>
      </c>
      <c r="AP1133" s="2" t="s">
        <v>615</v>
      </c>
      <c r="AQ1133" s="2" t="s">
        <v>74</v>
      </c>
      <c r="AR1133" s="2" t="s">
        <v>74</v>
      </c>
      <c r="AS1133" s="2" t="s">
        <v>74</v>
      </c>
      <c r="AT1133" s="2" t="s">
        <v>633</v>
      </c>
      <c r="AU1133" s="2">
        <v>2000</v>
      </c>
      <c r="AV1133" s="2">
        <v>106</v>
      </c>
      <c r="AW1133" s="2">
        <v>4</v>
      </c>
      <c r="AX1133" s="2" t="s">
        <v>74</v>
      </c>
      <c r="AY1133" s="2" t="s">
        <v>74</v>
      </c>
      <c r="AZ1133" s="2" t="s">
        <v>74</v>
      </c>
      <c r="BA1133" s="2" t="s">
        <v>74</v>
      </c>
      <c r="BB1133" s="2">
        <v>349</v>
      </c>
      <c r="BC1133" s="2">
        <v>363</v>
      </c>
      <c r="BD1133" s="2" t="s">
        <v>74</v>
      </c>
      <c r="BE1133" s="2" t="s">
        <v>7886</v>
      </c>
      <c r="BF1133" s="2" t="str">
        <f>HYPERLINK("http://dx.doi.org/10.1046/j.1439-0310.2000.00558.x","http://dx.doi.org/10.1046/j.1439-0310.2000.00558.x")</f>
        <v>http://dx.doi.org/10.1046/j.1439-0310.2000.00558.x</v>
      </c>
      <c r="BG1133" s="2" t="s">
        <v>74</v>
      </c>
      <c r="BH1133" s="2" t="s">
        <v>74</v>
      </c>
      <c r="BI1133" s="2" t="s">
        <v>74</v>
      </c>
      <c r="BJ1133" s="2" t="s">
        <v>74</v>
      </c>
      <c r="BK1133" s="2" t="s">
        <v>74</v>
      </c>
      <c r="BL1133" s="2" t="s">
        <v>74</v>
      </c>
      <c r="BM1133" s="2" t="s">
        <v>74</v>
      </c>
      <c r="BN1133" s="2" t="s">
        <v>74</v>
      </c>
      <c r="BO1133" s="2" t="s">
        <v>74</v>
      </c>
      <c r="BP1133" s="2" t="s">
        <v>74</v>
      </c>
      <c r="BQ1133" s="2" t="s">
        <v>74</v>
      </c>
      <c r="BR1133" s="2" t="s">
        <v>74</v>
      </c>
      <c r="BS1133" s="2" t="s">
        <v>7887</v>
      </c>
      <c r="BT1133" s="2" t="str">
        <f>HYPERLINK("https%3A%2F%2Fwww.webofscience.com%2Fwos%2Fwoscc%2Ffull-record%2FWOS:000086783400005","View Full Record in Web of Science")</f>
        <v>View Full Record in Web of Science</v>
      </c>
    </row>
    <row r="1134" spans="1:72" s="2" customFormat="1" x14ac:dyDescent="0.4">
      <c r="A1134" s="2" t="s">
        <v>72</v>
      </c>
      <c r="B1134" s="2" t="s">
        <v>4507</v>
      </c>
      <c r="C1134" s="2" t="s">
        <v>74</v>
      </c>
      <c r="D1134" s="2" t="s">
        <v>74</v>
      </c>
      <c r="E1134" s="2" t="s">
        <v>74</v>
      </c>
      <c r="F1134" s="2" t="s">
        <v>4507</v>
      </c>
      <c r="G1134" s="2" t="s">
        <v>74</v>
      </c>
      <c r="H1134" s="2" t="s">
        <v>74</v>
      </c>
      <c r="I1134" s="2" t="s">
        <v>4508</v>
      </c>
      <c r="J1134" s="2" t="s">
        <v>77</v>
      </c>
      <c r="K1134" s="2" t="s">
        <v>74</v>
      </c>
      <c r="L1134" s="2" t="s">
        <v>74</v>
      </c>
      <c r="M1134" s="2" t="s">
        <v>74</v>
      </c>
      <c r="N1134" s="2" t="s">
        <v>74</v>
      </c>
      <c r="O1134" s="2" t="s">
        <v>74</v>
      </c>
      <c r="P1134" s="2" t="s">
        <v>74</v>
      </c>
      <c r="Q1134" s="2" t="s">
        <v>74</v>
      </c>
      <c r="R1134" s="2" t="s">
        <v>74</v>
      </c>
      <c r="S1134" s="2" t="s">
        <v>74</v>
      </c>
      <c r="T1134" s="2" t="s">
        <v>74</v>
      </c>
      <c r="U1134" s="2" t="s">
        <v>74</v>
      </c>
      <c r="V1134" s="5" t="s">
        <v>4509</v>
      </c>
      <c r="W1134" s="2" t="s">
        <v>74</v>
      </c>
      <c r="X1134" s="2" t="s">
        <v>74</v>
      </c>
      <c r="Y1134" s="2" t="s">
        <v>74</v>
      </c>
      <c r="Z1134" s="2" t="s">
        <v>74</v>
      </c>
      <c r="AA1134" s="2" t="s">
        <v>74</v>
      </c>
      <c r="AB1134" s="2" t="s">
        <v>74</v>
      </c>
      <c r="AC1134" s="2" t="s">
        <v>74</v>
      </c>
      <c r="AD1134" s="2" t="s">
        <v>74</v>
      </c>
      <c r="AE1134" s="2" t="s">
        <v>74</v>
      </c>
      <c r="AF1134" s="2" t="s">
        <v>74</v>
      </c>
      <c r="AG1134" s="2" t="s">
        <v>74</v>
      </c>
      <c r="AH1134" s="2" t="s">
        <v>74</v>
      </c>
      <c r="AI1134" s="2" t="s">
        <v>74</v>
      </c>
      <c r="AJ1134" s="2" t="s">
        <v>74</v>
      </c>
      <c r="AK1134" s="2" t="s">
        <v>74</v>
      </c>
      <c r="AL1134" s="2" t="s">
        <v>74</v>
      </c>
      <c r="AM1134" s="2" t="s">
        <v>74</v>
      </c>
      <c r="AN1134" s="2" t="s">
        <v>74</v>
      </c>
      <c r="AO1134" s="2" t="s">
        <v>81</v>
      </c>
      <c r="AP1134" s="2" t="s">
        <v>82</v>
      </c>
      <c r="AQ1134" s="2" t="s">
        <v>74</v>
      </c>
      <c r="AR1134" s="2" t="s">
        <v>74</v>
      </c>
      <c r="AS1134" s="2" t="s">
        <v>74</v>
      </c>
      <c r="AT1134" s="2" t="s">
        <v>123</v>
      </c>
      <c r="AU1134" s="2">
        <v>2005</v>
      </c>
      <c r="AV1134" s="2">
        <v>142</v>
      </c>
      <c r="AW1134" s="2" t="s">
        <v>74</v>
      </c>
      <c r="AX1134" s="2">
        <v>3</v>
      </c>
      <c r="AY1134" s="2" t="s">
        <v>74</v>
      </c>
      <c r="AZ1134" s="2" t="s">
        <v>74</v>
      </c>
      <c r="BA1134" s="2" t="s">
        <v>74</v>
      </c>
      <c r="BB1134" s="2">
        <v>283</v>
      </c>
      <c r="BC1134" s="2">
        <v>303</v>
      </c>
      <c r="BD1134" s="2" t="s">
        <v>74</v>
      </c>
      <c r="BE1134" s="2" t="s">
        <v>4510</v>
      </c>
      <c r="BF1134" s="2" t="str">
        <f>HYPERLINK("http://dx.doi.org/10.1163/1568539053778292","http://dx.doi.org/10.1163/1568539053778292")</f>
        <v>http://dx.doi.org/10.1163/1568539053778292</v>
      </c>
      <c r="BG1134" s="2" t="s">
        <v>74</v>
      </c>
      <c r="BH1134" s="2" t="s">
        <v>74</v>
      </c>
      <c r="BI1134" s="2" t="s">
        <v>74</v>
      </c>
      <c r="BJ1134" s="2" t="s">
        <v>74</v>
      </c>
      <c r="BK1134" s="2" t="s">
        <v>74</v>
      </c>
      <c r="BL1134" s="2" t="s">
        <v>74</v>
      </c>
      <c r="BM1134" s="2" t="s">
        <v>74</v>
      </c>
      <c r="BN1134" s="2" t="s">
        <v>74</v>
      </c>
      <c r="BO1134" s="2" t="s">
        <v>74</v>
      </c>
      <c r="BP1134" s="2" t="s">
        <v>74</v>
      </c>
      <c r="BQ1134" s="2" t="s">
        <v>74</v>
      </c>
      <c r="BR1134" s="2" t="s">
        <v>74</v>
      </c>
      <c r="BS1134" s="2" t="s">
        <v>4511</v>
      </c>
      <c r="BT1134" s="2" t="str">
        <f>HYPERLINK("https%3A%2F%2Fwww.webofscience.com%2Fwos%2Fwoscc%2Ffull-record%2FWOS:000230357500002","View Full Record in Web of Science")</f>
        <v>View Full Record in Web of Science</v>
      </c>
    </row>
    <row r="1135" spans="1:72" s="2" customFormat="1" x14ac:dyDescent="0.4">
      <c r="A1135" s="2" t="s">
        <v>72</v>
      </c>
      <c r="B1135" s="2" t="s">
        <v>7296</v>
      </c>
      <c r="C1135" s="2" t="s">
        <v>74</v>
      </c>
      <c r="D1135" s="2" t="s">
        <v>74</v>
      </c>
      <c r="E1135" s="2" t="s">
        <v>74</v>
      </c>
      <c r="F1135" s="2" t="s">
        <v>7296</v>
      </c>
      <c r="G1135" s="2" t="s">
        <v>74</v>
      </c>
      <c r="H1135" s="2" t="s">
        <v>74</v>
      </c>
      <c r="I1135" s="2" t="s">
        <v>7297</v>
      </c>
      <c r="J1135" s="2" t="s">
        <v>3374</v>
      </c>
      <c r="K1135" s="2" t="s">
        <v>74</v>
      </c>
      <c r="L1135" s="2" t="s">
        <v>74</v>
      </c>
      <c r="M1135" s="2" t="s">
        <v>74</v>
      </c>
      <c r="N1135" s="2" t="s">
        <v>74</v>
      </c>
      <c r="O1135" s="2" t="s">
        <v>74</v>
      </c>
      <c r="P1135" s="2" t="s">
        <v>74</v>
      </c>
      <c r="Q1135" s="2" t="s">
        <v>74</v>
      </c>
      <c r="R1135" s="2" t="s">
        <v>74</v>
      </c>
      <c r="S1135" s="2" t="s">
        <v>74</v>
      </c>
      <c r="T1135" s="2" t="s">
        <v>74</v>
      </c>
      <c r="U1135" s="2" t="s">
        <v>74</v>
      </c>
      <c r="V1135" s="5" t="s">
        <v>7298</v>
      </c>
      <c r="W1135" s="2" t="s">
        <v>74</v>
      </c>
      <c r="X1135" s="2" t="s">
        <v>74</v>
      </c>
      <c r="Y1135" s="2" t="s">
        <v>74</v>
      </c>
      <c r="Z1135" s="2" t="s">
        <v>74</v>
      </c>
      <c r="AA1135" s="2" t="s">
        <v>7299</v>
      </c>
      <c r="AB1135" s="2" t="s">
        <v>7300</v>
      </c>
      <c r="AC1135" s="2" t="s">
        <v>74</v>
      </c>
      <c r="AD1135" s="2" t="s">
        <v>74</v>
      </c>
      <c r="AE1135" s="2" t="s">
        <v>74</v>
      </c>
      <c r="AF1135" s="2" t="s">
        <v>74</v>
      </c>
      <c r="AG1135" s="2" t="s">
        <v>74</v>
      </c>
      <c r="AH1135" s="2" t="s">
        <v>74</v>
      </c>
      <c r="AI1135" s="2" t="s">
        <v>74</v>
      </c>
      <c r="AJ1135" s="2" t="s">
        <v>74</v>
      </c>
      <c r="AK1135" s="2" t="s">
        <v>74</v>
      </c>
      <c r="AL1135" s="2" t="s">
        <v>74</v>
      </c>
      <c r="AM1135" s="2" t="s">
        <v>74</v>
      </c>
      <c r="AN1135" s="2" t="s">
        <v>74</v>
      </c>
      <c r="AO1135" s="2" t="s">
        <v>3378</v>
      </c>
      <c r="AP1135" s="2" t="s">
        <v>74</v>
      </c>
      <c r="AQ1135" s="2" t="s">
        <v>74</v>
      </c>
      <c r="AR1135" s="2" t="s">
        <v>74</v>
      </c>
      <c r="AS1135" s="2" t="s">
        <v>74</v>
      </c>
      <c r="AT1135" s="2" t="s">
        <v>1013</v>
      </c>
      <c r="AU1135" s="2">
        <v>2004</v>
      </c>
      <c r="AV1135" s="2">
        <v>35</v>
      </c>
      <c r="AW1135" s="2">
        <v>5</v>
      </c>
      <c r="AX1135" s="2" t="s">
        <v>74</v>
      </c>
      <c r="AY1135" s="2" t="s">
        <v>74</v>
      </c>
      <c r="AZ1135" s="2" t="s">
        <v>74</v>
      </c>
      <c r="BA1135" s="2" t="s">
        <v>74</v>
      </c>
      <c r="BB1135" s="2">
        <v>461</v>
      </c>
      <c r="BC1135" s="2">
        <v>468</v>
      </c>
      <c r="BD1135" s="2" t="s">
        <v>74</v>
      </c>
      <c r="BE1135" s="2" t="s">
        <v>7301</v>
      </c>
      <c r="BF1135" s="2" t="str">
        <f>HYPERLINK("http://dx.doi.org/10.1051/apido:2004040","http://dx.doi.org/10.1051/apido:2004040")</f>
        <v>http://dx.doi.org/10.1051/apido:2004040</v>
      </c>
      <c r="BG1135" s="2" t="s">
        <v>74</v>
      </c>
      <c r="BH1135" s="2" t="s">
        <v>74</v>
      </c>
      <c r="BI1135" s="2" t="s">
        <v>74</v>
      </c>
      <c r="BJ1135" s="2" t="s">
        <v>74</v>
      </c>
      <c r="BK1135" s="2" t="s">
        <v>74</v>
      </c>
      <c r="BL1135" s="2" t="s">
        <v>74</v>
      </c>
      <c r="BM1135" s="2" t="s">
        <v>74</v>
      </c>
      <c r="BN1135" s="2" t="s">
        <v>74</v>
      </c>
      <c r="BO1135" s="2" t="s">
        <v>74</v>
      </c>
      <c r="BP1135" s="2" t="s">
        <v>74</v>
      </c>
      <c r="BQ1135" s="2" t="s">
        <v>74</v>
      </c>
      <c r="BR1135" s="2" t="s">
        <v>74</v>
      </c>
      <c r="BS1135" s="2" t="s">
        <v>7302</v>
      </c>
      <c r="BT1135" s="2" t="str">
        <f>HYPERLINK("https%3A%2F%2Fwww.webofscience.com%2Fwos%2Fwoscc%2Ffull-record%2FWOS:000224957200002","View Full Record in Web of Science")</f>
        <v>View Full Record in Web of Science</v>
      </c>
    </row>
    <row r="1136" spans="1:72" s="2" customFormat="1" x14ac:dyDescent="0.4">
      <c r="A1136" s="2" t="s">
        <v>72</v>
      </c>
      <c r="B1136" s="2" t="s">
        <v>7340</v>
      </c>
      <c r="C1136" s="2" t="s">
        <v>74</v>
      </c>
      <c r="D1136" s="2" t="s">
        <v>74</v>
      </c>
      <c r="E1136" s="2" t="s">
        <v>74</v>
      </c>
      <c r="F1136" s="2" t="s">
        <v>7340</v>
      </c>
      <c r="G1136" s="2" t="s">
        <v>74</v>
      </c>
      <c r="H1136" s="2" t="s">
        <v>74</v>
      </c>
      <c r="I1136" s="2" t="s">
        <v>7341</v>
      </c>
      <c r="J1136" s="2" t="s">
        <v>1526</v>
      </c>
      <c r="K1136" s="2" t="s">
        <v>74</v>
      </c>
      <c r="L1136" s="2" t="s">
        <v>74</v>
      </c>
      <c r="M1136" s="2" t="s">
        <v>74</v>
      </c>
      <c r="N1136" s="2" t="s">
        <v>74</v>
      </c>
      <c r="O1136" s="2" t="s">
        <v>74</v>
      </c>
      <c r="P1136" s="2" t="s">
        <v>74</v>
      </c>
      <c r="Q1136" s="2" t="s">
        <v>74</v>
      </c>
      <c r="R1136" s="2" t="s">
        <v>74</v>
      </c>
      <c r="S1136" s="2" t="s">
        <v>74</v>
      </c>
      <c r="T1136" s="2" t="s">
        <v>74</v>
      </c>
      <c r="U1136" s="2" t="s">
        <v>74</v>
      </c>
      <c r="V1136" s="5" t="s">
        <v>7342</v>
      </c>
      <c r="W1136" s="2" t="s">
        <v>74</v>
      </c>
      <c r="X1136" s="2" t="s">
        <v>74</v>
      </c>
      <c r="Y1136" s="2" t="s">
        <v>74</v>
      </c>
      <c r="Z1136" s="2" t="s">
        <v>74</v>
      </c>
      <c r="AA1136" s="2" t="s">
        <v>74</v>
      </c>
      <c r="AB1136" s="2" t="s">
        <v>74</v>
      </c>
      <c r="AC1136" s="2" t="s">
        <v>74</v>
      </c>
      <c r="AD1136" s="2" t="s">
        <v>74</v>
      </c>
      <c r="AE1136" s="2" t="s">
        <v>74</v>
      </c>
      <c r="AF1136" s="2" t="s">
        <v>74</v>
      </c>
      <c r="AG1136" s="2" t="s">
        <v>74</v>
      </c>
      <c r="AH1136" s="2" t="s">
        <v>74</v>
      </c>
      <c r="AI1136" s="2" t="s">
        <v>74</v>
      </c>
      <c r="AJ1136" s="2" t="s">
        <v>74</v>
      </c>
      <c r="AK1136" s="2" t="s">
        <v>74</v>
      </c>
      <c r="AL1136" s="2" t="s">
        <v>74</v>
      </c>
      <c r="AM1136" s="2" t="s">
        <v>74</v>
      </c>
      <c r="AN1136" s="2" t="s">
        <v>74</v>
      </c>
      <c r="AO1136" s="2" t="s">
        <v>74</v>
      </c>
      <c r="AP1136" s="2" t="s">
        <v>2131</v>
      </c>
      <c r="AQ1136" s="2" t="s">
        <v>74</v>
      </c>
      <c r="AR1136" s="2" t="s">
        <v>74</v>
      </c>
      <c r="AS1136" s="2" t="s">
        <v>74</v>
      </c>
      <c r="AT1136" s="2" t="s">
        <v>74</v>
      </c>
      <c r="AU1136" s="2">
        <v>1977</v>
      </c>
      <c r="AV1136" s="2">
        <v>79</v>
      </c>
      <c r="AW1136" s="2">
        <v>1</v>
      </c>
      <c r="AX1136" s="2" t="s">
        <v>74</v>
      </c>
      <c r="AY1136" s="2" t="s">
        <v>74</v>
      </c>
      <c r="AZ1136" s="2" t="s">
        <v>74</v>
      </c>
      <c r="BA1136" s="2" t="s">
        <v>74</v>
      </c>
      <c r="BB1136" s="2">
        <v>1</v>
      </c>
      <c r="BC1136" s="2">
        <v>12</v>
      </c>
      <c r="BD1136" s="2" t="s">
        <v>74</v>
      </c>
      <c r="BE1136" s="2" t="s">
        <v>7343</v>
      </c>
      <c r="BF1136" s="2" t="str">
        <f>HYPERLINK("http://dx.doi.org/10.2307/1367524","http://dx.doi.org/10.2307/1367524")</f>
        <v>http://dx.doi.org/10.2307/1367524</v>
      </c>
      <c r="BG1136" s="2" t="s">
        <v>74</v>
      </c>
      <c r="BH1136" s="2" t="s">
        <v>74</v>
      </c>
      <c r="BI1136" s="2" t="s">
        <v>74</v>
      </c>
      <c r="BJ1136" s="2" t="s">
        <v>74</v>
      </c>
      <c r="BK1136" s="2" t="s">
        <v>74</v>
      </c>
      <c r="BL1136" s="2" t="s">
        <v>74</v>
      </c>
      <c r="BM1136" s="2" t="s">
        <v>74</v>
      </c>
      <c r="BN1136" s="2" t="s">
        <v>74</v>
      </c>
      <c r="BO1136" s="2" t="s">
        <v>74</v>
      </c>
      <c r="BP1136" s="2" t="s">
        <v>74</v>
      </c>
      <c r="BQ1136" s="2" t="s">
        <v>74</v>
      </c>
      <c r="BR1136" s="2" t="s">
        <v>74</v>
      </c>
      <c r="BS1136" s="2" t="s">
        <v>7344</v>
      </c>
      <c r="BT1136" s="2" t="str">
        <f>HYPERLINK("https%3A%2F%2Fwww.webofscience.com%2Fwos%2Fwoscc%2Ffull-record%2FWOS:A1977DN61900001","View Full Record in Web of Science")</f>
        <v>View Full Record in Web of Science</v>
      </c>
    </row>
    <row r="1137" spans="1:72" s="2" customFormat="1" x14ac:dyDescent="0.4">
      <c r="A1137" s="2" t="s">
        <v>72</v>
      </c>
      <c r="B1137" s="2" t="s">
        <v>496</v>
      </c>
      <c r="C1137" s="2" t="s">
        <v>74</v>
      </c>
      <c r="D1137" s="2" t="s">
        <v>74</v>
      </c>
      <c r="E1137" s="2" t="s">
        <v>74</v>
      </c>
      <c r="F1137" s="2" t="s">
        <v>497</v>
      </c>
      <c r="G1137" s="2" t="s">
        <v>74</v>
      </c>
      <c r="H1137" s="2" t="s">
        <v>74</v>
      </c>
      <c r="I1137" s="2" t="s">
        <v>498</v>
      </c>
      <c r="J1137" s="2" t="s">
        <v>499</v>
      </c>
      <c r="K1137" s="2" t="s">
        <v>74</v>
      </c>
      <c r="L1137" s="2" t="s">
        <v>74</v>
      </c>
      <c r="M1137" s="2" t="s">
        <v>74</v>
      </c>
      <c r="N1137" s="2" t="s">
        <v>74</v>
      </c>
      <c r="O1137" s="2" t="s">
        <v>74</v>
      </c>
      <c r="P1137" s="2" t="s">
        <v>74</v>
      </c>
      <c r="Q1137" s="2" t="s">
        <v>74</v>
      </c>
      <c r="R1137" s="2" t="s">
        <v>74</v>
      </c>
      <c r="S1137" s="2" t="s">
        <v>74</v>
      </c>
      <c r="T1137" s="2" t="s">
        <v>74</v>
      </c>
      <c r="U1137" s="2" t="s">
        <v>74</v>
      </c>
      <c r="V1137" s="5" t="s">
        <v>500</v>
      </c>
      <c r="W1137" s="2" t="s">
        <v>74</v>
      </c>
      <c r="X1137" s="2" t="s">
        <v>74</v>
      </c>
      <c r="Y1137" s="2" t="s">
        <v>74</v>
      </c>
      <c r="Z1137" s="2" t="s">
        <v>74</v>
      </c>
      <c r="AA1137" s="2" t="s">
        <v>501</v>
      </c>
      <c r="AB1137" s="2" t="s">
        <v>502</v>
      </c>
      <c r="AC1137" s="2" t="s">
        <v>74</v>
      </c>
      <c r="AD1137" s="2" t="s">
        <v>74</v>
      </c>
      <c r="AE1137" s="2" t="s">
        <v>74</v>
      </c>
      <c r="AF1137" s="2" t="s">
        <v>74</v>
      </c>
      <c r="AG1137" s="2" t="s">
        <v>74</v>
      </c>
      <c r="AH1137" s="2" t="s">
        <v>74</v>
      </c>
      <c r="AI1137" s="2" t="s">
        <v>74</v>
      </c>
      <c r="AJ1137" s="2" t="s">
        <v>74</v>
      </c>
      <c r="AK1137" s="2" t="s">
        <v>74</v>
      </c>
      <c r="AL1137" s="2" t="s">
        <v>74</v>
      </c>
      <c r="AM1137" s="2" t="s">
        <v>74</v>
      </c>
      <c r="AN1137" s="2" t="s">
        <v>74</v>
      </c>
      <c r="AO1137" s="2" t="s">
        <v>503</v>
      </c>
      <c r="AP1137" s="2" t="s">
        <v>504</v>
      </c>
      <c r="AQ1137" s="2" t="s">
        <v>74</v>
      </c>
      <c r="AR1137" s="2" t="s">
        <v>74</v>
      </c>
      <c r="AS1137" s="2" t="s">
        <v>74</v>
      </c>
      <c r="AT1137" s="2" t="s">
        <v>134</v>
      </c>
      <c r="AU1137" s="2">
        <v>2016</v>
      </c>
      <c r="AV1137" s="2">
        <v>17</v>
      </c>
      <c r="AW1137" s="2">
        <v>3</v>
      </c>
      <c r="AX1137" s="2" t="s">
        <v>74</v>
      </c>
      <c r="AY1137" s="2" t="s">
        <v>74</v>
      </c>
      <c r="AZ1137" s="2" t="s">
        <v>74</v>
      </c>
      <c r="BA1137" s="2" t="s">
        <v>74</v>
      </c>
      <c r="BB1137" s="2">
        <v>407</v>
      </c>
      <c r="BC1137" s="2">
        <v>418</v>
      </c>
      <c r="BD1137" s="2" t="s">
        <v>74</v>
      </c>
      <c r="BE1137" s="2" t="s">
        <v>74</v>
      </c>
      <c r="BF1137" s="2" t="s">
        <v>74</v>
      </c>
      <c r="BG1137" s="2" t="s">
        <v>74</v>
      </c>
      <c r="BH1137" s="2" t="s">
        <v>74</v>
      </c>
      <c r="BI1137" s="2" t="s">
        <v>74</v>
      </c>
      <c r="BJ1137" s="2" t="s">
        <v>74</v>
      </c>
      <c r="BK1137" s="2" t="s">
        <v>74</v>
      </c>
      <c r="BL1137" s="2" t="s">
        <v>74</v>
      </c>
      <c r="BM1137" s="2" t="s">
        <v>74</v>
      </c>
      <c r="BN1137" s="2" t="s">
        <v>74</v>
      </c>
      <c r="BO1137" s="2" t="s">
        <v>74</v>
      </c>
      <c r="BP1137" s="2" t="s">
        <v>74</v>
      </c>
      <c r="BQ1137" s="2" t="s">
        <v>74</v>
      </c>
      <c r="BR1137" s="2" t="s">
        <v>74</v>
      </c>
      <c r="BS1137" s="2" t="s">
        <v>505</v>
      </c>
      <c r="BT1137" s="2" t="str">
        <f>HYPERLINK("https%3A%2F%2Fwww.webofscience.com%2Fwos%2Fwoscc%2Ffull-record%2FWOS:000378168300007","View Full Record in Web of Science")</f>
        <v>View Full Record in Web of Science</v>
      </c>
    </row>
    <row r="1138" spans="1:72" s="2" customFormat="1" x14ac:dyDescent="0.4">
      <c r="A1138" s="2" t="s">
        <v>72</v>
      </c>
      <c r="B1138" s="2" t="s">
        <v>4601</v>
      </c>
      <c r="C1138" s="2" t="s">
        <v>74</v>
      </c>
      <c r="D1138" s="2" t="s">
        <v>74</v>
      </c>
      <c r="E1138" s="2" t="s">
        <v>74</v>
      </c>
      <c r="F1138" s="2" t="s">
        <v>4601</v>
      </c>
      <c r="G1138" s="2" t="s">
        <v>74</v>
      </c>
      <c r="H1138" s="2" t="s">
        <v>74</v>
      </c>
      <c r="I1138" s="2" t="s">
        <v>4602</v>
      </c>
      <c r="J1138" s="2" t="s">
        <v>4603</v>
      </c>
      <c r="K1138" s="2" t="s">
        <v>74</v>
      </c>
      <c r="L1138" s="2" t="s">
        <v>74</v>
      </c>
      <c r="M1138" s="2" t="s">
        <v>74</v>
      </c>
      <c r="N1138" s="2" t="s">
        <v>74</v>
      </c>
      <c r="O1138" s="2" t="s">
        <v>74</v>
      </c>
      <c r="P1138" s="2" t="s">
        <v>74</v>
      </c>
      <c r="Q1138" s="2" t="s">
        <v>74</v>
      </c>
      <c r="R1138" s="2" t="s">
        <v>74</v>
      </c>
      <c r="S1138" s="2" t="s">
        <v>74</v>
      </c>
      <c r="T1138" s="2" t="s">
        <v>74</v>
      </c>
      <c r="U1138" s="2" t="s">
        <v>74</v>
      </c>
      <c r="V1138" s="5" t="s">
        <v>4604</v>
      </c>
      <c r="W1138" s="2" t="s">
        <v>74</v>
      </c>
      <c r="X1138" s="2" t="s">
        <v>74</v>
      </c>
      <c r="Y1138" s="2" t="s">
        <v>74</v>
      </c>
      <c r="Z1138" s="2" t="s">
        <v>74</v>
      </c>
      <c r="AA1138" s="2" t="s">
        <v>4605</v>
      </c>
      <c r="AB1138" s="2" t="s">
        <v>4606</v>
      </c>
      <c r="AC1138" s="2" t="s">
        <v>74</v>
      </c>
      <c r="AD1138" s="2" t="s">
        <v>74</v>
      </c>
      <c r="AE1138" s="2" t="s">
        <v>74</v>
      </c>
      <c r="AF1138" s="2" t="s">
        <v>74</v>
      </c>
      <c r="AG1138" s="2" t="s">
        <v>74</v>
      </c>
      <c r="AH1138" s="2" t="s">
        <v>74</v>
      </c>
      <c r="AI1138" s="2" t="s">
        <v>74</v>
      </c>
      <c r="AJ1138" s="2" t="s">
        <v>74</v>
      </c>
      <c r="AK1138" s="2" t="s">
        <v>74</v>
      </c>
      <c r="AL1138" s="2" t="s">
        <v>74</v>
      </c>
      <c r="AM1138" s="2" t="s">
        <v>74</v>
      </c>
      <c r="AN1138" s="2" t="s">
        <v>74</v>
      </c>
      <c r="AO1138" s="2" t="s">
        <v>4607</v>
      </c>
      <c r="AP1138" s="2" t="s">
        <v>74</v>
      </c>
      <c r="AQ1138" s="2" t="s">
        <v>74</v>
      </c>
      <c r="AR1138" s="2" t="s">
        <v>74</v>
      </c>
      <c r="AS1138" s="2" t="s">
        <v>74</v>
      </c>
      <c r="AT1138" s="2" t="s">
        <v>175</v>
      </c>
      <c r="AU1138" s="2">
        <v>2001</v>
      </c>
      <c r="AV1138" s="2">
        <v>11</v>
      </c>
      <c r="AW1138" s="2">
        <v>4</v>
      </c>
      <c r="AX1138" s="2" t="s">
        <v>74</v>
      </c>
      <c r="AY1138" s="2" t="s">
        <v>74</v>
      </c>
      <c r="AZ1138" s="2" t="s">
        <v>74</v>
      </c>
      <c r="BA1138" s="2" t="s">
        <v>74</v>
      </c>
      <c r="BB1138" s="2">
        <v>157</v>
      </c>
      <c r="BC1138" s="2">
        <v>165</v>
      </c>
      <c r="BD1138" s="2" t="s">
        <v>74</v>
      </c>
      <c r="BE1138" s="2" t="s">
        <v>74</v>
      </c>
      <c r="BF1138" s="2" t="s">
        <v>74</v>
      </c>
      <c r="BG1138" s="2" t="s">
        <v>74</v>
      </c>
      <c r="BH1138" s="2" t="s">
        <v>74</v>
      </c>
      <c r="BI1138" s="2" t="s">
        <v>74</v>
      </c>
      <c r="BJ1138" s="2" t="s">
        <v>74</v>
      </c>
      <c r="BK1138" s="2" t="s">
        <v>74</v>
      </c>
      <c r="BL1138" s="2" t="s">
        <v>74</v>
      </c>
      <c r="BM1138" s="2" t="s">
        <v>74</v>
      </c>
      <c r="BN1138" s="2" t="s">
        <v>74</v>
      </c>
      <c r="BO1138" s="2" t="s">
        <v>74</v>
      </c>
      <c r="BP1138" s="2" t="s">
        <v>74</v>
      </c>
      <c r="BQ1138" s="2" t="s">
        <v>74</v>
      </c>
      <c r="BR1138" s="2" t="s">
        <v>74</v>
      </c>
      <c r="BS1138" s="2" t="s">
        <v>4608</v>
      </c>
      <c r="BT1138" s="2" t="str">
        <f>HYPERLINK("https%3A%2F%2Fwww.webofscience.com%2Fwos%2Fwoscc%2Ffull-record%2FWOS:000174693400004","View Full Record in Web of Science")</f>
        <v>View Full Record in Web of Science</v>
      </c>
    </row>
    <row r="1139" spans="1:72" s="2" customFormat="1" x14ac:dyDescent="0.4">
      <c r="A1139" s="2" t="s">
        <v>72</v>
      </c>
      <c r="B1139" s="2" t="s">
        <v>3552</v>
      </c>
      <c r="C1139" s="2" t="s">
        <v>74</v>
      </c>
      <c r="D1139" s="2" t="s">
        <v>74</v>
      </c>
      <c r="E1139" s="2" t="s">
        <v>74</v>
      </c>
      <c r="F1139" s="2" t="s">
        <v>3553</v>
      </c>
      <c r="G1139" s="2" t="s">
        <v>74</v>
      </c>
      <c r="H1139" s="2" t="s">
        <v>74</v>
      </c>
      <c r="I1139" s="2" t="s">
        <v>3554</v>
      </c>
      <c r="J1139" s="2" t="s">
        <v>3555</v>
      </c>
      <c r="K1139" s="2" t="s">
        <v>74</v>
      </c>
      <c r="L1139" s="2" t="s">
        <v>74</v>
      </c>
      <c r="M1139" s="2" t="s">
        <v>74</v>
      </c>
      <c r="N1139" s="2" t="s">
        <v>74</v>
      </c>
      <c r="O1139" s="2" t="s">
        <v>74</v>
      </c>
      <c r="P1139" s="2" t="s">
        <v>74</v>
      </c>
      <c r="Q1139" s="2" t="s">
        <v>74</v>
      </c>
      <c r="R1139" s="2" t="s">
        <v>74</v>
      </c>
      <c r="S1139" s="2" t="s">
        <v>74</v>
      </c>
      <c r="T1139" s="2" t="s">
        <v>74</v>
      </c>
      <c r="U1139" s="2" t="s">
        <v>74</v>
      </c>
      <c r="V1139" s="5" t="s">
        <v>3556</v>
      </c>
      <c r="W1139" s="2" t="s">
        <v>74</v>
      </c>
      <c r="X1139" s="2" t="s">
        <v>74</v>
      </c>
      <c r="Y1139" s="2" t="s">
        <v>74</v>
      </c>
      <c r="Z1139" s="2" t="s">
        <v>74</v>
      </c>
      <c r="AA1139" s="2" t="s">
        <v>3557</v>
      </c>
      <c r="AB1139" s="2" t="s">
        <v>74</v>
      </c>
      <c r="AC1139" s="2" t="s">
        <v>74</v>
      </c>
      <c r="AD1139" s="2" t="s">
        <v>74</v>
      </c>
      <c r="AE1139" s="2" t="s">
        <v>74</v>
      </c>
      <c r="AF1139" s="2" t="s">
        <v>74</v>
      </c>
      <c r="AG1139" s="2" t="s">
        <v>74</v>
      </c>
      <c r="AH1139" s="2" t="s">
        <v>74</v>
      </c>
      <c r="AI1139" s="2" t="s">
        <v>74</v>
      </c>
      <c r="AJ1139" s="2" t="s">
        <v>74</v>
      </c>
      <c r="AK1139" s="2" t="s">
        <v>74</v>
      </c>
      <c r="AL1139" s="2" t="s">
        <v>74</v>
      </c>
      <c r="AM1139" s="2" t="s">
        <v>74</v>
      </c>
      <c r="AN1139" s="2" t="s">
        <v>74</v>
      </c>
      <c r="AO1139" s="2" t="s">
        <v>3558</v>
      </c>
      <c r="AP1139" s="2" t="s">
        <v>3559</v>
      </c>
      <c r="AQ1139" s="2" t="s">
        <v>74</v>
      </c>
      <c r="AR1139" s="2" t="s">
        <v>74</v>
      </c>
      <c r="AS1139" s="2" t="s">
        <v>74</v>
      </c>
      <c r="AT1139" s="2" t="s">
        <v>145</v>
      </c>
      <c r="AU1139" s="2">
        <v>2007</v>
      </c>
      <c r="AV1139" s="2">
        <v>54</v>
      </c>
      <c r="AW1139" s="2">
        <v>3</v>
      </c>
      <c r="AX1139" s="2" t="s">
        <v>74</v>
      </c>
      <c r="AY1139" s="2" t="s">
        <v>74</v>
      </c>
      <c r="AZ1139" s="2" t="s">
        <v>74</v>
      </c>
      <c r="BA1139" s="2" t="s">
        <v>74</v>
      </c>
      <c r="BB1139" s="2">
        <v>268</v>
      </c>
      <c r="BC1139" s="2">
        <v>274</v>
      </c>
      <c r="BD1139" s="2" t="s">
        <v>74</v>
      </c>
      <c r="BE1139" s="2" t="s">
        <v>3560</v>
      </c>
      <c r="BF1139" s="2" t="str">
        <f>HYPERLINK("http://dx.doi.org/10.1007/s00040-007-0941-x","http://dx.doi.org/10.1007/s00040-007-0941-x")</f>
        <v>http://dx.doi.org/10.1007/s00040-007-0941-x</v>
      </c>
      <c r="BG1139" s="2" t="s">
        <v>74</v>
      </c>
      <c r="BH1139" s="2" t="s">
        <v>74</v>
      </c>
      <c r="BI1139" s="2" t="s">
        <v>74</v>
      </c>
      <c r="BJ1139" s="2" t="s">
        <v>74</v>
      </c>
      <c r="BK1139" s="2" t="s">
        <v>74</v>
      </c>
      <c r="BL1139" s="2" t="s">
        <v>74</v>
      </c>
      <c r="BM1139" s="2" t="s">
        <v>74</v>
      </c>
      <c r="BN1139" s="2" t="s">
        <v>74</v>
      </c>
      <c r="BO1139" s="2" t="s">
        <v>74</v>
      </c>
      <c r="BP1139" s="2" t="s">
        <v>74</v>
      </c>
      <c r="BQ1139" s="2" t="s">
        <v>74</v>
      </c>
      <c r="BR1139" s="2" t="s">
        <v>74</v>
      </c>
      <c r="BS1139" s="2" t="s">
        <v>3561</v>
      </c>
      <c r="BT1139" s="2" t="str">
        <f>HYPERLINK("https%3A%2F%2Fwww.webofscience.com%2Fwos%2Fwoscc%2Ffull-record%2FWOS:000248901500010","View Full Record in Web of Science")</f>
        <v>View Full Record in Web of Science</v>
      </c>
    </row>
    <row r="1140" spans="1:72" s="2" customFormat="1" x14ac:dyDescent="0.4">
      <c r="A1140" s="2" t="s">
        <v>72</v>
      </c>
      <c r="B1140" s="2" t="s">
        <v>3252</v>
      </c>
      <c r="C1140" s="2" t="s">
        <v>74</v>
      </c>
      <c r="D1140" s="2" t="s">
        <v>74</v>
      </c>
      <c r="E1140" s="2" t="s">
        <v>74</v>
      </c>
      <c r="F1140" s="2" t="s">
        <v>3253</v>
      </c>
      <c r="G1140" s="2" t="s">
        <v>74</v>
      </c>
      <c r="H1140" s="2" t="s">
        <v>74</v>
      </c>
      <c r="I1140" s="2" t="s">
        <v>3254</v>
      </c>
      <c r="J1140" s="2" t="s">
        <v>408</v>
      </c>
      <c r="K1140" s="2" t="s">
        <v>74</v>
      </c>
      <c r="L1140" s="2" t="s">
        <v>74</v>
      </c>
      <c r="M1140" s="2" t="s">
        <v>74</v>
      </c>
      <c r="N1140" s="2" t="s">
        <v>74</v>
      </c>
      <c r="O1140" s="2" t="s">
        <v>74</v>
      </c>
      <c r="P1140" s="2" t="s">
        <v>74</v>
      </c>
      <c r="Q1140" s="2" t="s">
        <v>74</v>
      </c>
      <c r="R1140" s="2" t="s">
        <v>74</v>
      </c>
      <c r="S1140" s="2" t="s">
        <v>74</v>
      </c>
      <c r="T1140" s="2" t="s">
        <v>74</v>
      </c>
      <c r="U1140" s="2" t="s">
        <v>74</v>
      </c>
      <c r="V1140" s="5" t="s">
        <v>3255</v>
      </c>
      <c r="W1140" s="2" t="s">
        <v>74</v>
      </c>
      <c r="X1140" s="2" t="s">
        <v>74</v>
      </c>
      <c r="Y1140" s="2" t="s">
        <v>74</v>
      </c>
      <c r="Z1140" s="2" t="s">
        <v>74</v>
      </c>
      <c r="AA1140" s="2" t="s">
        <v>3256</v>
      </c>
      <c r="AB1140" s="2" t="s">
        <v>3257</v>
      </c>
      <c r="AC1140" s="2" t="s">
        <v>74</v>
      </c>
      <c r="AD1140" s="2" t="s">
        <v>74</v>
      </c>
      <c r="AE1140" s="2" t="s">
        <v>74</v>
      </c>
      <c r="AF1140" s="2" t="s">
        <v>74</v>
      </c>
      <c r="AG1140" s="2" t="s">
        <v>74</v>
      </c>
      <c r="AH1140" s="2" t="s">
        <v>74</v>
      </c>
      <c r="AI1140" s="2" t="s">
        <v>74</v>
      </c>
      <c r="AJ1140" s="2" t="s">
        <v>74</v>
      </c>
      <c r="AK1140" s="2" t="s">
        <v>74</v>
      </c>
      <c r="AL1140" s="2" t="s">
        <v>74</v>
      </c>
      <c r="AM1140" s="2" t="s">
        <v>74</v>
      </c>
      <c r="AN1140" s="2" t="s">
        <v>74</v>
      </c>
      <c r="AO1140" s="2" t="s">
        <v>412</v>
      </c>
      <c r="AP1140" s="2" t="s">
        <v>413</v>
      </c>
      <c r="AQ1140" s="2" t="s">
        <v>74</v>
      </c>
      <c r="AR1140" s="2" t="s">
        <v>74</v>
      </c>
      <c r="AS1140" s="2" t="s">
        <v>74</v>
      </c>
      <c r="AT1140" s="2" t="s">
        <v>175</v>
      </c>
      <c r="AU1140" s="2">
        <v>2020</v>
      </c>
      <c r="AV1140" s="2">
        <v>131</v>
      </c>
      <c r="AW1140" s="2">
        <v>2</v>
      </c>
      <c r="AX1140" s="2" t="s">
        <v>74</v>
      </c>
      <c r="AY1140" s="2" t="s">
        <v>74</v>
      </c>
      <c r="AZ1140" s="2" t="s">
        <v>74</v>
      </c>
      <c r="BA1140" s="2" t="s">
        <v>74</v>
      </c>
      <c r="BB1140" s="2">
        <v>332</v>
      </c>
      <c r="BC1140" s="2">
        <v>343</v>
      </c>
      <c r="BD1140" s="2" t="s">
        <v>74</v>
      </c>
      <c r="BE1140" s="2" t="s">
        <v>3258</v>
      </c>
      <c r="BF1140" s="2" t="str">
        <f>HYPERLINK("http://dx.doi.org/10.1093/biolinnean/blaa119","http://dx.doi.org/10.1093/biolinnean/blaa119")</f>
        <v>http://dx.doi.org/10.1093/biolinnean/blaa119</v>
      </c>
      <c r="BG1140" s="2" t="s">
        <v>74</v>
      </c>
      <c r="BH1140" s="2" t="s">
        <v>74</v>
      </c>
      <c r="BI1140" s="2" t="s">
        <v>74</v>
      </c>
      <c r="BJ1140" s="2" t="s">
        <v>74</v>
      </c>
      <c r="BK1140" s="2" t="s">
        <v>74</v>
      </c>
      <c r="BL1140" s="2" t="s">
        <v>74</v>
      </c>
      <c r="BM1140" s="2" t="s">
        <v>74</v>
      </c>
      <c r="BN1140" s="2" t="s">
        <v>74</v>
      </c>
      <c r="BO1140" s="2" t="s">
        <v>74</v>
      </c>
      <c r="BP1140" s="2" t="s">
        <v>74</v>
      </c>
      <c r="BQ1140" s="2" t="s">
        <v>74</v>
      </c>
      <c r="BR1140" s="2" t="s">
        <v>74</v>
      </c>
      <c r="BS1140" s="2" t="s">
        <v>3259</v>
      </c>
      <c r="BT1140" s="2" t="str">
        <f>HYPERLINK("https%3A%2F%2Fwww.webofscience.com%2Fwos%2Fwoscc%2Ffull-record%2FWOS:000580984200006","View Full Record in Web of Science")</f>
        <v>View Full Record in Web of Science</v>
      </c>
    </row>
    <row r="1141" spans="1:72" s="1" customFormat="1" x14ac:dyDescent="0.4">
      <c r="A1141" s="2" t="s">
        <v>72</v>
      </c>
      <c r="B1141" s="2" t="s">
        <v>8194</v>
      </c>
      <c r="C1141" s="2" t="s">
        <v>74</v>
      </c>
      <c r="D1141" s="2" t="s">
        <v>74</v>
      </c>
      <c r="E1141" s="2" t="s">
        <v>74</v>
      </c>
      <c r="F1141" s="2" t="s">
        <v>8195</v>
      </c>
      <c r="G1141" s="2" t="s">
        <v>74</v>
      </c>
      <c r="H1141" s="2" t="s">
        <v>74</v>
      </c>
      <c r="I1141" s="2" t="s">
        <v>8196</v>
      </c>
      <c r="J1141" s="2" t="s">
        <v>281</v>
      </c>
      <c r="K1141" s="2" t="s">
        <v>74</v>
      </c>
      <c r="L1141" s="2" t="s">
        <v>74</v>
      </c>
      <c r="M1141" s="2" t="s">
        <v>74</v>
      </c>
      <c r="N1141" s="2" t="s">
        <v>74</v>
      </c>
      <c r="O1141" s="2" t="s">
        <v>74</v>
      </c>
      <c r="P1141" s="2" t="s">
        <v>74</v>
      </c>
      <c r="Q1141" s="2" t="s">
        <v>74</v>
      </c>
      <c r="R1141" s="2" t="s">
        <v>74</v>
      </c>
      <c r="S1141" s="2" t="s">
        <v>74</v>
      </c>
      <c r="T1141" s="2" t="s">
        <v>74</v>
      </c>
      <c r="U1141" s="2" t="s">
        <v>74</v>
      </c>
      <c r="V1141" s="5" t="s">
        <v>8197</v>
      </c>
      <c r="W1141" s="2" t="s">
        <v>74</v>
      </c>
      <c r="X1141" s="2" t="s">
        <v>74</v>
      </c>
      <c r="Y1141" s="2" t="s">
        <v>74</v>
      </c>
      <c r="Z1141" s="2" t="s">
        <v>74</v>
      </c>
      <c r="AA1141" s="2" t="s">
        <v>8198</v>
      </c>
      <c r="AB1141" s="2" t="s">
        <v>1377</v>
      </c>
      <c r="AC1141" s="2" t="s">
        <v>74</v>
      </c>
      <c r="AD1141" s="2" t="s">
        <v>74</v>
      </c>
      <c r="AE1141" s="2" t="s">
        <v>74</v>
      </c>
      <c r="AF1141" s="2" t="s">
        <v>74</v>
      </c>
      <c r="AG1141" s="2" t="s">
        <v>74</v>
      </c>
      <c r="AH1141" s="2" t="s">
        <v>74</v>
      </c>
      <c r="AI1141" s="2" t="s">
        <v>74</v>
      </c>
      <c r="AJ1141" s="2" t="s">
        <v>74</v>
      </c>
      <c r="AK1141" s="2" t="s">
        <v>74</v>
      </c>
      <c r="AL1141" s="2" t="s">
        <v>74</v>
      </c>
      <c r="AM1141" s="2" t="s">
        <v>74</v>
      </c>
      <c r="AN1141" s="2" t="s">
        <v>74</v>
      </c>
      <c r="AO1141" s="2" t="s">
        <v>285</v>
      </c>
      <c r="AP1141" s="2" t="s">
        <v>286</v>
      </c>
      <c r="AQ1141" s="2" t="s">
        <v>74</v>
      </c>
      <c r="AR1141" s="2" t="s">
        <v>74</v>
      </c>
      <c r="AS1141" s="2" t="s">
        <v>74</v>
      </c>
      <c r="AT1141" s="2" t="s">
        <v>175</v>
      </c>
      <c r="AU1141" s="2">
        <v>2022</v>
      </c>
      <c r="AV1141" s="2">
        <v>25</v>
      </c>
      <c r="AW1141" s="2">
        <v>5</v>
      </c>
      <c r="AX1141" s="2" t="s">
        <v>74</v>
      </c>
      <c r="AY1141" s="2" t="s">
        <v>74</v>
      </c>
      <c r="AZ1141" s="2" t="s">
        <v>848</v>
      </c>
      <c r="BA1141" s="2" t="s">
        <v>74</v>
      </c>
      <c r="BB1141" s="2">
        <v>1299</v>
      </c>
      <c r="BC1141" s="2">
        <v>1306</v>
      </c>
      <c r="BD1141" s="2" t="s">
        <v>74</v>
      </c>
      <c r="BE1141" s="2" t="s">
        <v>8199</v>
      </c>
      <c r="BF1141" s="2" t="str">
        <f>HYPERLINK("http://dx.doi.org/10.1007/s10071-022-01613-9","http://dx.doi.org/10.1007/s10071-022-01613-9")</f>
        <v>http://dx.doi.org/10.1007/s10071-022-01613-9</v>
      </c>
      <c r="BG1141" s="2" t="s">
        <v>74</v>
      </c>
      <c r="BH1141" s="2" t="s">
        <v>415</v>
      </c>
      <c r="BI1141" s="2" t="s">
        <v>74</v>
      </c>
      <c r="BJ1141" s="2" t="s">
        <v>74</v>
      </c>
      <c r="BK1141" s="2" t="s">
        <v>74</v>
      </c>
      <c r="BL1141" s="2" t="s">
        <v>74</v>
      </c>
      <c r="BM1141" s="2" t="s">
        <v>74</v>
      </c>
      <c r="BN1141" s="2">
        <v>35320446</v>
      </c>
      <c r="BO1141" s="2" t="s">
        <v>74</v>
      </c>
      <c r="BP1141" s="2" t="s">
        <v>74</v>
      </c>
      <c r="BQ1141" s="2" t="s">
        <v>74</v>
      </c>
      <c r="BR1141" s="2" t="s">
        <v>74</v>
      </c>
      <c r="BS1141" s="2" t="s">
        <v>8200</v>
      </c>
      <c r="BT1141" s="2" t="str">
        <f>HYPERLINK("https%3A%2F%2Fwww.webofscience.com%2Fwos%2Fwoscc%2Ffull-record%2FWOS:000772345800001","View Full Record in Web of Science")</f>
        <v>View Full Record in Web of Science</v>
      </c>
    </row>
    <row r="1142" spans="1:72" s="7" customFormat="1" x14ac:dyDescent="0.4">
      <c r="A1142" s="2" t="s">
        <v>72</v>
      </c>
      <c r="B1142" s="2" t="s">
        <v>5919</v>
      </c>
      <c r="C1142" s="2" t="s">
        <v>74</v>
      </c>
      <c r="D1142" s="2" t="s">
        <v>74</v>
      </c>
      <c r="E1142" s="2" t="s">
        <v>74</v>
      </c>
      <c r="F1142" s="2" t="s">
        <v>5920</v>
      </c>
      <c r="G1142" s="2" t="s">
        <v>74</v>
      </c>
      <c r="H1142" s="2" t="s">
        <v>74</v>
      </c>
      <c r="I1142" s="2" t="s">
        <v>5921</v>
      </c>
      <c r="J1142" s="2" t="s">
        <v>119</v>
      </c>
      <c r="K1142" s="2" t="s">
        <v>74</v>
      </c>
      <c r="L1142" s="2" t="s">
        <v>74</v>
      </c>
      <c r="M1142" s="2" t="s">
        <v>74</v>
      </c>
      <c r="N1142" s="2" t="s">
        <v>74</v>
      </c>
      <c r="O1142" s="2" t="s">
        <v>74</v>
      </c>
      <c r="P1142" s="2" t="s">
        <v>74</v>
      </c>
      <c r="Q1142" s="2" t="s">
        <v>74</v>
      </c>
      <c r="R1142" s="2" t="s">
        <v>74</v>
      </c>
      <c r="S1142" s="2" t="s">
        <v>74</v>
      </c>
      <c r="T1142" s="2" t="s">
        <v>74</v>
      </c>
      <c r="U1142" s="2" t="s">
        <v>74</v>
      </c>
      <c r="V1142" s="5" t="s">
        <v>5922</v>
      </c>
      <c r="W1142" s="2" t="s">
        <v>74</v>
      </c>
      <c r="X1142" s="2" t="s">
        <v>74</v>
      </c>
      <c r="Y1142" s="2" t="s">
        <v>74</v>
      </c>
      <c r="Z1142" s="2" t="s">
        <v>74</v>
      </c>
      <c r="AA1142" s="2" t="s">
        <v>5923</v>
      </c>
      <c r="AB1142" s="2" t="s">
        <v>74</v>
      </c>
      <c r="AC1142" s="2" t="s">
        <v>74</v>
      </c>
      <c r="AD1142" s="2" t="s">
        <v>74</v>
      </c>
      <c r="AE1142" s="2" t="s">
        <v>74</v>
      </c>
      <c r="AF1142" s="2" t="s">
        <v>74</v>
      </c>
      <c r="AG1142" s="2" t="s">
        <v>74</v>
      </c>
      <c r="AH1142" s="2" t="s">
        <v>74</v>
      </c>
      <c r="AI1142" s="2" t="s">
        <v>74</v>
      </c>
      <c r="AJ1142" s="2" t="s">
        <v>74</v>
      </c>
      <c r="AK1142" s="2" t="s">
        <v>74</v>
      </c>
      <c r="AL1142" s="2" t="s">
        <v>74</v>
      </c>
      <c r="AM1142" s="2" t="s">
        <v>74</v>
      </c>
      <c r="AN1142" s="2" t="s">
        <v>74</v>
      </c>
      <c r="AO1142" s="2" t="s">
        <v>121</v>
      </c>
      <c r="AP1142" s="2" t="s">
        <v>122</v>
      </c>
      <c r="AQ1142" s="2" t="s">
        <v>74</v>
      </c>
      <c r="AR1142" s="2" t="s">
        <v>74</v>
      </c>
      <c r="AS1142" s="2" t="s">
        <v>74</v>
      </c>
      <c r="AT1142" s="2" t="s">
        <v>633</v>
      </c>
      <c r="AU1142" s="2">
        <v>2016</v>
      </c>
      <c r="AV1142" s="2">
        <v>125</v>
      </c>
      <c r="AW1142" s="2" t="s">
        <v>74</v>
      </c>
      <c r="AX1142" s="2" t="s">
        <v>74</v>
      </c>
      <c r="AY1142" s="2" t="s">
        <v>74</v>
      </c>
      <c r="AZ1142" s="2" t="s">
        <v>74</v>
      </c>
      <c r="BA1142" s="2" t="s">
        <v>74</v>
      </c>
      <c r="BB1142" s="2">
        <v>85</v>
      </c>
      <c r="BC1142" s="2">
        <v>88</v>
      </c>
      <c r="BD1142" s="2" t="s">
        <v>74</v>
      </c>
      <c r="BE1142" s="2" t="s">
        <v>5924</v>
      </c>
      <c r="BF1142" s="2" t="str">
        <f>HYPERLINK("http://dx.doi.org/10.1016/j.beproc.2016.02.010","http://dx.doi.org/10.1016/j.beproc.2016.02.010")</f>
        <v>http://dx.doi.org/10.1016/j.beproc.2016.02.010</v>
      </c>
      <c r="BG1142" s="2" t="s">
        <v>74</v>
      </c>
      <c r="BH1142" s="2" t="s">
        <v>74</v>
      </c>
      <c r="BI1142" s="2" t="s">
        <v>74</v>
      </c>
      <c r="BJ1142" s="2" t="s">
        <v>74</v>
      </c>
      <c r="BK1142" s="2" t="s">
        <v>74</v>
      </c>
      <c r="BL1142" s="2" t="s">
        <v>74</v>
      </c>
      <c r="BM1142" s="2" t="s">
        <v>74</v>
      </c>
      <c r="BN1142" s="2">
        <v>26912482</v>
      </c>
      <c r="BO1142" s="2" t="s">
        <v>74</v>
      </c>
      <c r="BP1142" s="2" t="s">
        <v>74</v>
      </c>
      <c r="BQ1142" s="2" t="s">
        <v>74</v>
      </c>
      <c r="BR1142" s="2" t="s">
        <v>74</v>
      </c>
      <c r="BS1142" s="2" t="s">
        <v>5925</v>
      </c>
      <c r="BT1142" s="2" t="str">
        <f>HYPERLINK("https%3A%2F%2Fwww.webofscience.com%2Fwos%2Fwoscc%2Ffull-record%2FWOS:000373542900012","View Full Record in Web of Science")</f>
        <v>View Full Record in Web of Science</v>
      </c>
    </row>
    <row r="1143" spans="1:72" s="2" customFormat="1" x14ac:dyDescent="0.4">
      <c r="A1143" s="2" t="s">
        <v>72</v>
      </c>
      <c r="B1143" s="2" t="s">
        <v>1900</v>
      </c>
      <c r="C1143" s="2" t="s">
        <v>74</v>
      </c>
      <c r="D1143" s="2" t="s">
        <v>74</v>
      </c>
      <c r="E1143" s="2" t="s">
        <v>74</v>
      </c>
      <c r="F1143" s="2" t="s">
        <v>1900</v>
      </c>
      <c r="G1143" s="2" t="s">
        <v>74</v>
      </c>
      <c r="H1143" s="2" t="s">
        <v>74</v>
      </c>
      <c r="I1143" s="2" t="s">
        <v>1901</v>
      </c>
      <c r="J1143" s="2" t="s">
        <v>610</v>
      </c>
      <c r="K1143" s="2" t="s">
        <v>74</v>
      </c>
      <c r="L1143" s="2" t="s">
        <v>74</v>
      </c>
      <c r="M1143" s="2" t="s">
        <v>74</v>
      </c>
      <c r="N1143" s="2" t="s">
        <v>74</v>
      </c>
      <c r="O1143" s="2" t="s">
        <v>74</v>
      </c>
      <c r="P1143" s="2" t="s">
        <v>74</v>
      </c>
      <c r="Q1143" s="2" t="s">
        <v>74</v>
      </c>
      <c r="R1143" s="2" t="s">
        <v>74</v>
      </c>
      <c r="S1143" s="2" t="s">
        <v>74</v>
      </c>
      <c r="T1143" s="2" t="s">
        <v>74</v>
      </c>
      <c r="U1143" s="2" t="s">
        <v>74</v>
      </c>
      <c r="V1143" s="5" t="s">
        <v>1902</v>
      </c>
      <c r="W1143" s="2" t="s">
        <v>74</v>
      </c>
      <c r="X1143" s="2" t="s">
        <v>74</v>
      </c>
      <c r="Y1143" s="2" t="s">
        <v>74</v>
      </c>
      <c r="Z1143" s="2" t="s">
        <v>74</v>
      </c>
      <c r="AA1143" s="2" t="s">
        <v>74</v>
      </c>
      <c r="AB1143" s="2" t="s">
        <v>74</v>
      </c>
      <c r="AC1143" s="2" t="s">
        <v>74</v>
      </c>
      <c r="AD1143" s="2" t="s">
        <v>74</v>
      </c>
      <c r="AE1143" s="2" t="s">
        <v>74</v>
      </c>
      <c r="AF1143" s="2" t="s">
        <v>74</v>
      </c>
      <c r="AG1143" s="2" t="s">
        <v>74</v>
      </c>
      <c r="AH1143" s="2" t="s">
        <v>74</v>
      </c>
      <c r="AI1143" s="2" t="s">
        <v>74</v>
      </c>
      <c r="AJ1143" s="2" t="s">
        <v>74</v>
      </c>
      <c r="AK1143" s="2" t="s">
        <v>74</v>
      </c>
      <c r="AL1143" s="2" t="s">
        <v>74</v>
      </c>
      <c r="AM1143" s="2" t="s">
        <v>74</v>
      </c>
      <c r="AN1143" s="2" t="s">
        <v>74</v>
      </c>
      <c r="AO1143" s="2" t="s">
        <v>614</v>
      </c>
      <c r="AP1143" s="2" t="s">
        <v>615</v>
      </c>
      <c r="AQ1143" s="2" t="s">
        <v>74</v>
      </c>
      <c r="AR1143" s="2" t="s">
        <v>74</v>
      </c>
      <c r="AS1143" s="2" t="s">
        <v>74</v>
      </c>
      <c r="AT1143" s="2" t="s">
        <v>352</v>
      </c>
      <c r="AU1143" s="2">
        <v>2001</v>
      </c>
      <c r="AV1143" s="2">
        <v>107</v>
      </c>
      <c r="AW1143" s="2">
        <v>9</v>
      </c>
      <c r="AX1143" s="2" t="s">
        <v>74</v>
      </c>
      <c r="AY1143" s="2" t="s">
        <v>74</v>
      </c>
      <c r="AZ1143" s="2" t="s">
        <v>74</v>
      </c>
      <c r="BA1143" s="2" t="s">
        <v>74</v>
      </c>
      <c r="BB1143" s="2">
        <v>777</v>
      </c>
      <c r="BC1143" s="2">
        <v>793</v>
      </c>
      <c r="BD1143" s="2" t="s">
        <v>74</v>
      </c>
      <c r="BE1143" s="2" t="s">
        <v>1903</v>
      </c>
      <c r="BF1143" s="2" t="str">
        <f>HYPERLINK("http://dx.doi.org/10.1046/j.1439-0310.2001.00704.x","http://dx.doi.org/10.1046/j.1439-0310.2001.00704.x")</f>
        <v>http://dx.doi.org/10.1046/j.1439-0310.2001.00704.x</v>
      </c>
      <c r="BG1143" s="2" t="s">
        <v>74</v>
      </c>
      <c r="BH1143" s="2" t="s">
        <v>74</v>
      </c>
      <c r="BI1143" s="2" t="s">
        <v>74</v>
      </c>
      <c r="BJ1143" s="2" t="s">
        <v>74</v>
      </c>
      <c r="BK1143" s="2" t="s">
        <v>74</v>
      </c>
      <c r="BL1143" s="2" t="s">
        <v>74</v>
      </c>
      <c r="BM1143" s="2" t="s">
        <v>74</v>
      </c>
      <c r="BN1143" s="2" t="s">
        <v>74</v>
      </c>
      <c r="BO1143" s="2" t="s">
        <v>74</v>
      </c>
      <c r="BP1143" s="2" t="s">
        <v>74</v>
      </c>
      <c r="BQ1143" s="2" t="s">
        <v>74</v>
      </c>
      <c r="BR1143" s="2" t="s">
        <v>74</v>
      </c>
      <c r="BS1143" s="2" t="s">
        <v>1904</v>
      </c>
      <c r="BT1143" s="2" t="str">
        <f>HYPERLINK("https%3A%2F%2Fwww.webofscience.com%2Fwos%2Fwoscc%2Ffull-record%2FWOS:000171378500002","View Full Record in Web of Science")</f>
        <v>View Full Record in Web of Science</v>
      </c>
    </row>
    <row r="1144" spans="1:72" s="2" customFormat="1" x14ac:dyDescent="0.4">
      <c r="A1144" s="2" t="s">
        <v>72</v>
      </c>
      <c r="B1144" s="2" t="s">
        <v>6875</v>
      </c>
      <c r="C1144" s="2" t="s">
        <v>74</v>
      </c>
      <c r="D1144" s="2" t="s">
        <v>74</v>
      </c>
      <c r="E1144" s="2" t="s">
        <v>74</v>
      </c>
      <c r="F1144" s="2" t="s">
        <v>6876</v>
      </c>
      <c r="G1144" s="2" t="s">
        <v>74</v>
      </c>
      <c r="H1144" s="2" t="s">
        <v>74</v>
      </c>
      <c r="I1144" s="2" t="s">
        <v>6877</v>
      </c>
      <c r="J1144" s="2" t="s">
        <v>5961</v>
      </c>
      <c r="K1144" s="2" t="s">
        <v>74</v>
      </c>
      <c r="L1144" s="2" t="s">
        <v>74</v>
      </c>
      <c r="M1144" s="2" t="s">
        <v>74</v>
      </c>
      <c r="N1144" s="2" t="s">
        <v>74</v>
      </c>
      <c r="O1144" s="2" t="s">
        <v>74</v>
      </c>
      <c r="P1144" s="2" t="s">
        <v>74</v>
      </c>
      <c r="Q1144" s="2" t="s">
        <v>74</v>
      </c>
      <c r="R1144" s="2" t="s">
        <v>74</v>
      </c>
      <c r="S1144" s="2" t="s">
        <v>74</v>
      </c>
      <c r="T1144" s="2" t="s">
        <v>74</v>
      </c>
      <c r="U1144" s="2" t="s">
        <v>74</v>
      </c>
      <c r="V1144" s="5" t="s">
        <v>6878</v>
      </c>
      <c r="W1144" s="2" t="s">
        <v>74</v>
      </c>
      <c r="X1144" s="2" t="s">
        <v>74</v>
      </c>
      <c r="Y1144" s="2" t="s">
        <v>74</v>
      </c>
      <c r="Z1144" s="2" t="s">
        <v>74</v>
      </c>
      <c r="AA1144" s="2" t="s">
        <v>6879</v>
      </c>
      <c r="AB1144" s="2" t="s">
        <v>6880</v>
      </c>
      <c r="AC1144" s="2" t="s">
        <v>74</v>
      </c>
      <c r="AD1144" s="2" t="s">
        <v>74</v>
      </c>
      <c r="AE1144" s="2" t="s">
        <v>74</v>
      </c>
      <c r="AF1144" s="2" t="s">
        <v>74</v>
      </c>
      <c r="AG1144" s="2" t="s">
        <v>74</v>
      </c>
      <c r="AH1144" s="2" t="s">
        <v>74</v>
      </c>
      <c r="AI1144" s="2" t="s">
        <v>74</v>
      </c>
      <c r="AJ1144" s="2" t="s">
        <v>74</v>
      </c>
      <c r="AK1144" s="2" t="s">
        <v>74</v>
      </c>
      <c r="AL1144" s="2" t="s">
        <v>74</v>
      </c>
      <c r="AM1144" s="2" t="s">
        <v>74</v>
      </c>
      <c r="AN1144" s="2" t="s">
        <v>74</v>
      </c>
      <c r="AO1144" s="2" t="s">
        <v>5965</v>
      </c>
      <c r="AP1144" s="2" t="s">
        <v>5966</v>
      </c>
      <c r="AQ1144" s="2" t="s">
        <v>74</v>
      </c>
      <c r="AR1144" s="2" t="s">
        <v>74</v>
      </c>
      <c r="AS1144" s="2" t="s">
        <v>74</v>
      </c>
      <c r="AT1144" s="2" t="s">
        <v>204</v>
      </c>
      <c r="AU1144" s="2">
        <v>2018</v>
      </c>
      <c r="AV1144" s="2">
        <v>43</v>
      </c>
      <c r="AW1144" s="2">
        <v>3</v>
      </c>
      <c r="AX1144" s="2" t="s">
        <v>74</v>
      </c>
      <c r="AY1144" s="2" t="s">
        <v>74</v>
      </c>
      <c r="AZ1144" s="2" t="s">
        <v>74</v>
      </c>
      <c r="BA1144" s="2" t="s">
        <v>74</v>
      </c>
      <c r="BB1144" s="2">
        <v>568</v>
      </c>
      <c r="BC1144" s="2">
        <v>595</v>
      </c>
      <c r="BD1144" s="2" t="s">
        <v>74</v>
      </c>
      <c r="BE1144" s="2" t="s">
        <v>6881</v>
      </c>
      <c r="BF1144" s="2" t="str">
        <f>HYPERLINK("http://dx.doi.org/10.1111/syen.12287","http://dx.doi.org/10.1111/syen.12287")</f>
        <v>http://dx.doi.org/10.1111/syen.12287</v>
      </c>
      <c r="BG1144" s="2" t="s">
        <v>74</v>
      </c>
      <c r="BH1144" s="2" t="s">
        <v>74</v>
      </c>
      <c r="BI1144" s="2" t="s">
        <v>74</v>
      </c>
      <c r="BJ1144" s="2" t="s">
        <v>74</v>
      </c>
      <c r="BK1144" s="2" t="s">
        <v>74</v>
      </c>
      <c r="BL1144" s="2" t="s">
        <v>74</v>
      </c>
      <c r="BM1144" s="2" t="s">
        <v>74</v>
      </c>
      <c r="BN1144" s="2" t="s">
        <v>74</v>
      </c>
      <c r="BO1144" s="2" t="s">
        <v>74</v>
      </c>
      <c r="BP1144" s="2" t="s">
        <v>74</v>
      </c>
      <c r="BQ1144" s="2" t="s">
        <v>74</v>
      </c>
      <c r="BR1144" s="2" t="s">
        <v>74</v>
      </c>
      <c r="BS1144" s="2" t="s">
        <v>6882</v>
      </c>
      <c r="BT1144" s="2" t="str">
        <f>HYPERLINK("https%3A%2F%2Fwww.webofscience.com%2Fwos%2Fwoscc%2Ffull-record%2FWOS:000434280000009","View Full Record in Web of Science")</f>
        <v>View Full Record in Web of Science</v>
      </c>
    </row>
    <row r="1145" spans="1:72" s="2" customFormat="1" x14ac:dyDescent="0.4">
      <c r="A1145" s="2" t="s">
        <v>72</v>
      </c>
      <c r="B1145" s="2" t="s">
        <v>1181</v>
      </c>
      <c r="C1145" s="2" t="s">
        <v>74</v>
      </c>
      <c r="D1145" s="2" t="s">
        <v>74</v>
      </c>
      <c r="E1145" s="2" t="s">
        <v>74</v>
      </c>
      <c r="F1145" s="2" t="s">
        <v>1182</v>
      </c>
      <c r="G1145" s="2" t="s">
        <v>74</v>
      </c>
      <c r="H1145" s="2" t="s">
        <v>74</v>
      </c>
      <c r="I1145" s="2" t="s">
        <v>1183</v>
      </c>
      <c r="J1145" s="2" t="s">
        <v>229</v>
      </c>
      <c r="K1145" s="2" t="s">
        <v>74</v>
      </c>
      <c r="L1145" s="2" t="s">
        <v>74</v>
      </c>
      <c r="M1145" s="2" t="s">
        <v>74</v>
      </c>
      <c r="N1145" s="2" t="s">
        <v>74</v>
      </c>
      <c r="O1145" s="2" t="s">
        <v>74</v>
      </c>
      <c r="P1145" s="2" t="s">
        <v>74</v>
      </c>
      <c r="Q1145" s="2" t="s">
        <v>74</v>
      </c>
      <c r="R1145" s="2" t="s">
        <v>74</v>
      </c>
      <c r="S1145" s="2" t="s">
        <v>74</v>
      </c>
      <c r="T1145" s="2" t="s">
        <v>74</v>
      </c>
      <c r="U1145" s="2" t="s">
        <v>74</v>
      </c>
      <c r="V1145" s="5" t="s">
        <v>1184</v>
      </c>
      <c r="W1145" s="2" t="s">
        <v>74</v>
      </c>
      <c r="X1145" s="2" t="s">
        <v>74</v>
      </c>
      <c r="Y1145" s="2" t="s">
        <v>74</v>
      </c>
      <c r="Z1145" s="2" t="s">
        <v>74</v>
      </c>
      <c r="AA1145" s="2" t="s">
        <v>1185</v>
      </c>
      <c r="AB1145" s="2" t="s">
        <v>74</v>
      </c>
      <c r="AC1145" s="2" t="s">
        <v>74</v>
      </c>
      <c r="AD1145" s="2" t="s">
        <v>74</v>
      </c>
      <c r="AE1145" s="2" t="s">
        <v>74</v>
      </c>
      <c r="AF1145" s="2" t="s">
        <v>74</v>
      </c>
      <c r="AG1145" s="2" t="s">
        <v>74</v>
      </c>
      <c r="AH1145" s="2" t="s">
        <v>74</v>
      </c>
      <c r="AI1145" s="2" t="s">
        <v>74</v>
      </c>
      <c r="AJ1145" s="2" t="s">
        <v>74</v>
      </c>
      <c r="AK1145" s="2" t="s">
        <v>74</v>
      </c>
      <c r="AL1145" s="2" t="s">
        <v>74</v>
      </c>
      <c r="AM1145" s="2" t="s">
        <v>74</v>
      </c>
      <c r="AN1145" s="2" t="s">
        <v>74</v>
      </c>
      <c r="AO1145" s="2" t="s">
        <v>233</v>
      </c>
      <c r="AP1145" s="2" t="s">
        <v>234</v>
      </c>
      <c r="AQ1145" s="2" t="s">
        <v>74</v>
      </c>
      <c r="AR1145" s="2" t="s">
        <v>74</v>
      </c>
      <c r="AS1145" s="2" t="s">
        <v>74</v>
      </c>
      <c r="AT1145" s="2" t="s">
        <v>1075</v>
      </c>
      <c r="AU1145" s="2">
        <v>2014</v>
      </c>
      <c r="AV1145" s="2">
        <v>40</v>
      </c>
      <c r="AW1145" s="2">
        <v>6</v>
      </c>
      <c r="AX1145" s="2" t="s">
        <v>74</v>
      </c>
      <c r="AY1145" s="2" t="s">
        <v>74</v>
      </c>
      <c r="AZ1145" s="2" t="s">
        <v>74</v>
      </c>
      <c r="BA1145" s="2" t="s">
        <v>74</v>
      </c>
      <c r="BB1145" s="2">
        <v>537</v>
      </c>
      <c r="BC1145" s="2">
        <v>541</v>
      </c>
      <c r="BD1145" s="2" t="s">
        <v>74</v>
      </c>
      <c r="BE1145" s="2" t="s">
        <v>1186</v>
      </c>
      <c r="BF1145" s="2" t="str">
        <f>HYPERLINK("http://dx.doi.org/10.1002/ab.21551","http://dx.doi.org/10.1002/ab.21551")</f>
        <v>http://dx.doi.org/10.1002/ab.21551</v>
      </c>
      <c r="BG1145" s="2" t="s">
        <v>74</v>
      </c>
      <c r="BH1145" s="2" t="s">
        <v>74</v>
      </c>
      <c r="BI1145" s="2" t="s">
        <v>74</v>
      </c>
      <c r="BJ1145" s="2" t="s">
        <v>74</v>
      </c>
      <c r="BK1145" s="2" t="s">
        <v>74</v>
      </c>
      <c r="BL1145" s="2" t="s">
        <v>74</v>
      </c>
      <c r="BM1145" s="2" t="s">
        <v>74</v>
      </c>
      <c r="BN1145" s="2">
        <v>25043905</v>
      </c>
      <c r="BO1145" s="2" t="s">
        <v>74</v>
      </c>
      <c r="BP1145" s="2" t="s">
        <v>74</v>
      </c>
      <c r="BQ1145" s="2" t="s">
        <v>74</v>
      </c>
      <c r="BR1145" s="2" t="s">
        <v>74</v>
      </c>
      <c r="BS1145" s="2" t="s">
        <v>1187</v>
      </c>
      <c r="BT1145" s="2" t="str">
        <f>HYPERLINK("https%3A%2F%2Fwww.webofscience.com%2Fwos%2Fwoscc%2Ffull-record%2FWOS:000344002600005","View Full Record in Web of Science")</f>
        <v>View Full Record in Web of Science</v>
      </c>
    </row>
    <row r="1146" spans="1:72" s="2" customFormat="1" x14ac:dyDescent="0.4">
      <c r="A1146" s="2" t="s">
        <v>72</v>
      </c>
      <c r="B1146" s="2" t="s">
        <v>2435</v>
      </c>
      <c r="C1146" s="2" t="s">
        <v>74</v>
      </c>
      <c r="D1146" s="2" t="s">
        <v>74</v>
      </c>
      <c r="E1146" s="2" t="s">
        <v>74</v>
      </c>
      <c r="F1146" s="2" t="s">
        <v>2436</v>
      </c>
      <c r="G1146" s="2" t="s">
        <v>74</v>
      </c>
      <c r="H1146" s="2" t="s">
        <v>74</v>
      </c>
      <c r="I1146" s="2" t="s">
        <v>2437</v>
      </c>
      <c r="J1146" s="2" t="s">
        <v>2438</v>
      </c>
      <c r="K1146" s="2" t="s">
        <v>74</v>
      </c>
      <c r="L1146" s="2" t="s">
        <v>74</v>
      </c>
      <c r="M1146" s="2" t="s">
        <v>74</v>
      </c>
      <c r="N1146" s="2" t="s">
        <v>74</v>
      </c>
      <c r="O1146" s="2" t="s">
        <v>74</v>
      </c>
      <c r="P1146" s="2" t="s">
        <v>74</v>
      </c>
      <c r="Q1146" s="2" t="s">
        <v>74</v>
      </c>
      <c r="R1146" s="2" t="s">
        <v>74</v>
      </c>
      <c r="S1146" s="2" t="s">
        <v>74</v>
      </c>
      <c r="T1146" s="2" t="s">
        <v>74</v>
      </c>
      <c r="U1146" s="2" t="s">
        <v>74</v>
      </c>
      <c r="V1146" s="5" t="s">
        <v>2439</v>
      </c>
      <c r="W1146" s="2" t="s">
        <v>74</v>
      </c>
      <c r="X1146" s="2" t="s">
        <v>74</v>
      </c>
      <c r="Y1146" s="2" t="s">
        <v>74</v>
      </c>
      <c r="Z1146" s="2" t="s">
        <v>74</v>
      </c>
      <c r="AA1146" s="2" t="s">
        <v>2440</v>
      </c>
      <c r="AB1146" s="2" t="s">
        <v>2441</v>
      </c>
      <c r="AC1146" s="2" t="s">
        <v>74</v>
      </c>
      <c r="AD1146" s="2" t="s">
        <v>74</v>
      </c>
      <c r="AE1146" s="2" t="s">
        <v>74</v>
      </c>
      <c r="AF1146" s="2" t="s">
        <v>74</v>
      </c>
      <c r="AG1146" s="2" t="s">
        <v>74</v>
      </c>
      <c r="AH1146" s="2" t="s">
        <v>74</v>
      </c>
      <c r="AI1146" s="2" t="s">
        <v>74</v>
      </c>
      <c r="AJ1146" s="2" t="s">
        <v>74</v>
      </c>
      <c r="AK1146" s="2" t="s">
        <v>74</v>
      </c>
      <c r="AL1146" s="2" t="s">
        <v>74</v>
      </c>
      <c r="AM1146" s="2" t="s">
        <v>74</v>
      </c>
      <c r="AN1146" s="2" t="s">
        <v>74</v>
      </c>
      <c r="AO1146" s="2" t="s">
        <v>2442</v>
      </c>
      <c r="AP1146" s="2" t="s">
        <v>74</v>
      </c>
      <c r="AQ1146" s="2" t="s">
        <v>74</v>
      </c>
      <c r="AR1146" s="2" t="s">
        <v>74</v>
      </c>
      <c r="AS1146" s="2" t="s">
        <v>74</v>
      </c>
      <c r="AT1146" s="2" t="s">
        <v>2443</v>
      </c>
      <c r="AU1146" s="2">
        <v>2019</v>
      </c>
      <c r="AV1146" s="2">
        <v>8</v>
      </c>
      <c r="AW1146" s="2" t="s">
        <v>74</v>
      </c>
      <c r="AX1146" s="2" t="s">
        <v>74</v>
      </c>
      <c r="AY1146" s="2" t="s">
        <v>74</v>
      </c>
      <c r="AZ1146" s="2" t="s">
        <v>74</v>
      </c>
      <c r="BA1146" s="2" t="s">
        <v>74</v>
      </c>
      <c r="BB1146" s="2" t="s">
        <v>74</v>
      </c>
      <c r="BC1146" s="2" t="s">
        <v>74</v>
      </c>
      <c r="BD1146" s="2" t="s">
        <v>2444</v>
      </c>
      <c r="BE1146" s="2" t="s">
        <v>2445</v>
      </c>
      <c r="BF1146" s="2" t="str">
        <f>HYPERLINK("http://dx.doi.org/10.7554/eLife.41362","http://dx.doi.org/10.7554/eLife.41362")</f>
        <v>http://dx.doi.org/10.7554/eLife.41362</v>
      </c>
      <c r="BG1146" s="2" t="s">
        <v>74</v>
      </c>
      <c r="BH1146" s="2" t="s">
        <v>74</v>
      </c>
      <c r="BI1146" s="2" t="s">
        <v>74</v>
      </c>
      <c r="BJ1146" s="2" t="s">
        <v>74</v>
      </c>
      <c r="BK1146" s="2" t="s">
        <v>74</v>
      </c>
      <c r="BL1146" s="2" t="s">
        <v>74</v>
      </c>
      <c r="BM1146" s="2" t="s">
        <v>74</v>
      </c>
      <c r="BN1146" s="2">
        <v>30616714</v>
      </c>
      <c r="BO1146" s="2" t="s">
        <v>74</v>
      </c>
      <c r="BP1146" s="2" t="s">
        <v>74</v>
      </c>
      <c r="BQ1146" s="2" t="s">
        <v>74</v>
      </c>
      <c r="BR1146" s="2" t="s">
        <v>74</v>
      </c>
      <c r="BS1146" s="2" t="s">
        <v>2446</v>
      </c>
      <c r="BT1146" s="2" t="str">
        <f>HYPERLINK("https%3A%2F%2Fwww.webofscience.com%2Fwos%2Fwoscc%2Ffull-record%2FWOS:000455079700001","View Full Record in Web of Science")</f>
        <v>View Full Record in Web of Science</v>
      </c>
    </row>
    <row r="1147" spans="1:72" s="2" customFormat="1" x14ac:dyDescent="0.4">
      <c r="A1147" s="2" t="s">
        <v>72</v>
      </c>
      <c r="B1147" s="2" t="s">
        <v>2300</v>
      </c>
      <c r="C1147" s="2" t="s">
        <v>74</v>
      </c>
      <c r="D1147" s="2" t="s">
        <v>74</v>
      </c>
      <c r="E1147" s="2" t="s">
        <v>74</v>
      </c>
      <c r="F1147" s="2" t="s">
        <v>2301</v>
      </c>
      <c r="G1147" s="2" t="s">
        <v>74</v>
      </c>
      <c r="H1147" s="2" t="s">
        <v>74</v>
      </c>
      <c r="I1147" s="2" t="s">
        <v>2302</v>
      </c>
      <c r="J1147" s="2" t="s">
        <v>140</v>
      </c>
      <c r="K1147" s="2" t="s">
        <v>74</v>
      </c>
      <c r="L1147" s="2" t="s">
        <v>74</v>
      </c>
      <c r="M1147" s="2" t="s">
        <v>74</v>
      </c>
      <c r="N1147" s="2" t="s">
        <v>74</v>
      </c>
      <c r="O1147" s="2" t="s">
        <v>74</v>
      </c>
      <c r="P1147" s="2" t="s">
        <v>74</v>
      </c>
      <c r="Q1147" s="2" t="s">
        <v>74</v>
      </c>
      <c r="R1147" s="2" t="s">
        <v>74</v>
      </c>
      <c r="S1147" s="2" t="s">
        <v>74</v>
      </c>
      <c r="T1147" s="2" t="s">
        <v>74</v>
      </c>
      <c r="U1147" s="2" t="s">
        <v>74</v>
      </c>
      <c r="V1147" s="5" t="s">
        <v>2303</v>
      </c>
      <c r="W1147" s="2" t="s">
        <v>74</v>
      </c>
      <c r="X1147" s="2" t="s">
        <v>74</v>
      </c>
      <c r="Y1147" s="2" t="s">
        <v>74</v>
      </c>
      <c r="Z1147" s="2" t="s">
        <v>74</v>
      </c>
      <c r="AA1147" s="2" t="s">
        <v>74</v>
      </c>
      <c r="AB1147" s="2" t="s">
        <v>2304</v>
      </c>
      <c r="AC1147" s="2" t="s">
        <v>74</v>
      </c>
      <c r="AD1147" s="2" t="s">
        <v>74</v>
      </c>
      <c r="AE1147" s="2" t="s">
        <v>74</v>
      </c>
      <c r="AF1147" s="2" t="s">
        <v>74</v>
      </c>
      <c r="AG1147" s="2" t="s">
        <v>74</v>
      </c>
      <c r="AH1147" s="2" t="s">
        <v>74</v>
      </c>
      <c r="AI1147" s="2" t="s">
        <v>74</v>
      </c>
      <c r="AJ1147" s="2" t="s">
        <v>74</v>
      </c>
      <c r="AK1147" s="2" t="s">
        <v>74</v>
      </c>
      <c r="AL1147" s="2" t="s">
        <v>74</v>
      </c>
      <c r="AM1147" s="2" t="s">
        <v>74</v>
      </c>
      <c r="AN1147" s="2" t="s">
        <v>74</v>
      </c>
      <c r="AO1147" s="2" t="s">
        <v>143</v>
      </c>
      <c r="AP1147" s="2" t="s">
        <v>144</v>
      </c>
      <c r="AQ1147" s="2" t="s">
        <v>74</v>
      </c>
      <c r="AR1147" s="2" t="s">
        <v>74</v>
      </c>
      <c r="AS1147" s="2" t="s">
        <v>74</v>
      </c>
      <c r="AT1147" s="2" t="s">
        <v>964</v>
      </c>
      <c r="AU1147" s="2">
        <v>2009</v>
      </c>
      <c r="AV1147" s="2">
        <v>77</v>
      </c>
      <c r="AW1147" s="2">
        <v>2</v>
      </c>
      <c r="AX1147" s="2" t="s">
        <v>74</v>
      </c>
      <c r="AY1147" s="2" t="s">
        <v>74</v>
      </c>
      <c r="AZ1147" s="2" t="s">
        <v>74</v>
      </c>
      <c r="BA1147" s="2" t="s">
        <v>74</v>
      </c>
      <c r="BB1147" s="2">
        <v>531</v>
      </c>
      <c r="BC1147" s="2">
        <v>540</v>
      </c>
      <c r="BD1147" s="2" t="s">
        <v>74</v>
      </c>
      <c r="BE1147" s="2" t="s">
        <v>2305</v>
      </c>
      <c r="BF1147" s="2" t="str">
        <f>HYPERLINK("http://dx.doi.org/10.1016/j.anbehav.2008.11.013","http://dx.doi.org/10.1016/j.anbehav.2008.11.013")</f>
        <v>http://dx.doi.org/10.1016/j.anbehav.2008.11.013</v>
      </c>
      <c r="BG1147" s="2" t="s">
        <v>74</v>
      </c>
      <c r="BH1147" s="2" t="s">
        <v>74</v>
      </c>
      <c r="BI1147" s="2" t="s">
        <v>74</v>
      </c>
      <c r="BJ1147" s="2" t="s">
        <v>74</v>
      </c>
      <c r="BK1147" s="2" t="s">
        <v>74</v>
      </c>
      <c r="BL1147" s="2" t="s">
        <v>74</v>
      </c>
      <c r="BM1147" s="2" t="s">
        <v>74</v>
      </c>
      <c r="BN1147" s="2" t="s">
        <v>74</v>
      </c>
      <c r="BO1147" s="2" t="s">
        <v>74</v>
      </c>
      <c r="BP1147" s="2" t="s">
        <v>74</v>
      </c>
      <c r="BQ1147" s="2" t="s">
        <v>74</v>
      </c>
      <c r="BR1147" s="2" t="s">
        <v>74</v>
      </c>
      <c r="BS1147" s="2" t="s">
        <v>2306</v>
      </c>
      <c r="BT1147" s="2" t="str">
        <f>HYPERLINK("https%3A%2F%2Fwww.webofscience.com%2Fwos%2Fwoscc%2Ffull-record%2FWOS:000262709400033","View Full Record in Web of Science")</f>
        <v>View Full Record in Web of Science</v>
      </c>
    </row>
    <row r="1148" spans="1:72" s="2" customFormat="1" x14ac:dyDescent="0.4">
      <c r="A1148" s="2" t="s">
        <v>72</v>
      </c>
      <c r="B1148" s="2" t="s">
        <v>3282</v>
      </c>
      <c r="C1148" s="2" t="s">
        <v>74</v>
      </c>
      <c r="D1148" s="2" t="s">
        <v>74</v>
      </c>
      <c r="E1148" s="2" t="s">
        <v>74</v>
      </c>
      <c r="F1148" s="2" t="s">
        <v>3283</v>
      </c>
      <c r="G1148" s="2" t="s">
        <v>74</v>
      </c>
      <c r="H1148" s="2" t="s">
        <v>74</v>
      </c>
      <c r="I1148" s="2" t="s">
        <v>3284</v>
      </c>
      <c r="J1148" s="2" t="s">
        <v>1526</v>
      </c>
      <c r="K1148" s="2" t="s">
        <v>74</v>
      </c>
      <c r="L1148" s="2" t="s">
        <v>74</v>
      </c>
      <c r="M1148" s="2" t="s">
        <v>74</v>
      </c>
      <c r="N1148" s="2" t="s">
        <v>74</v>
      </c>
      <c r="O1148" s="2" t="s">
        <v>74</v>
      </c>
      <c r="P1148" s="2" t="s">
        <v>74</v>
      </c>
      <c r="Q1148" s="2" t="s">
        <v>74</v>
      </c>
      <c r="R1148" s="2" t="s">
        <v>74</v>
      </c>
      <c r="S1148" s="2" t="s">
        <v>74</v>
      </c>
      <c r="T1148" s="2" t="s">
        <v>74</v>
      </c>
      <c r="U1148" s="2" t="s">
        <v>74</v>
      </c>
      <c r="V1148" s="5" t="s">
        <v>3285</v>
      </c>
      <c r="W1148" s="2" t="s">
        <v>74</v>
      </c>
      <c r="X1148" s="2" t="s">
        <v>74</v>
      </c>
      <c r="Y1148" s="2" t="s">
        <v>74</v>
      </c>
      <c r="Z1148" s="2" t="s">
        <v>74</v>
      </c>
      <c r="AA1148" s="2" t="s">
        <v>74</v>
      </c>
      <c r="AB1148" s="2" t="s">
        <v>2304</v>
      </c>
      <c r="AC1148" s="2" t="s">
        <v>74</v>
      </c>
      <c r="AD1148" s="2" t="s">
        <v>74</v>
      </c>
      <c r="AE1148" s="2" t="s">
        <v>74</v>
      </c>
      <c r="AF1148" s="2" t="s">
        <v>74</v>
      </c>
      <c r="AG1148" s="2" t="s">
        <v>74</v>
      </c>
      <c r="AH1148" s="2" t="s">
        <v>74</v>
      </c>
      <c r="AI1148" s="2" t="s">
        <v>74</v>
      </c>
      <c r="AJ1148" s="2" t="s">
        <v>74</v>
      </c>
      <c r="AK1148" s="2" t="s">
        <v>74</v>
      </c>
      <c r="AL1148" s="2" t="s">
        <v>74</v>
      </c>
      <c r="AM1148" s="2" t="s">
        <v>74</v>
      </c>
      <c r="AN1148" s="2" t="s">
        <v>74</v>
      </c>
      <c r="AO1148" s="2" t="s">
        <v>1528</v>
      </c>
      <c r="AP1148" s="2" t="s">
        <v>2131</v>
      </c>
      <c r="AQ1148" s="2" t="s">
        <v>74</v>
      </c>
      <c r="AR1148" s="2" t="s">
        <v>74</v>
      </c>
      <c r="AS1148" s="2" t="s">
        <v>74</v>
      </c>
      <c r="AT1148" s="2" t="s">
        <v>213</v>
      </c>
      <c r="AU1148" s="2">
        <v>2009</v>
      </c>
      <c r="AV1148" s="2">
        <v>111</v>
      </c>
      <c r="AW1148" s="2">
        <v>4</v>
      </c>
      <c r="AX1148" s="2" t="s">
        <v>74</v>
      </c>
      <c r="AY1148" s="2" t="s">
        <v>74</v>
      </c>
      <c r="AZ1148" s="2" t="s">
        <v>74</v>
      </c>
      <c r="BA1148" s="2" t="s">
        <v>74</v>
      </c>
      <c r="BB1148" s="2">
        <v>740</v>
      </c>
      <c r="BC1148" s="2">
        <v>751</v>
      </c>
      <c r="BD1148" s="2" t="s">
        <v>74</v>
      </c>
      <c r="BE1148" s="2" t="s">
        <v>3286</v>
      </c>
      <c r="BF1148" s="2" t="str">
        <f>HYPERLINK("http://dx.doi.org/10.1525/cond.2009.090058","http://dx.doi.org/10.1525/cond.2009.090058")</f>
        <v>http://dx.doi.org/10.1525/cond.2009.090058</v>
      </c>
      <c r="BG1148" s="2" t="s">
        <v>74</v>
      </c>
      <c r="BH1148" s="2" t="s">
        <v>74</v>
      </c>
      <c r="BI1148" s="2" t="s">
        <v>74</v>
      </c>
      <c r="BJ1148" s="2" t="s">
        <v>74</v>
      </c>
      <c r="BK1148" s="2" t="s">
        <v>74</v>
      </c>
      <c r="BL1148" s="2" t="s">
        <v>74</v>
      </c>
      <c r="BM1148" s="2" t="s">
        <v>74</v>
      </c>
      <c r="BN1148" s="2" t="s">
        <v>74</v>
      </c>
      <c r="BO1148" s="2" t="s">
        <v>74</v>
      </c>
      <c r="BP1148" s="2" t="s">
        <v>74</v>
      </c>
      <c r="BQ1148" s="2" t="s">
        <v>74</v>
      </c>
      <c r="BR1148" s="2" t="s">
        <v>74</v>
      </c>
      <c r="BS1148" s="2" t="s">
        <v>3287</v>
      </c>
      <c r="BT1148" s="2" t="str">
        <f>HYPERLINK("https%3A%2F%2Fwww.webofscience.com%2Fwos%2Fwoscc%2Ffull-record%2FWOS:000272325600018","View Full Record in Web of Science")</f>
        <v>View Full Record in Web of Science</v>
      </c>
    </row>
    <row r="1149" spans="1:72" s="2" customFormat="1" x14ac:dyDescent="0.4">
      <c r="A1149" s="2" t="s">
        <v>72</v>
      </c>
      <c r="B1149" s="2" t="s">
        <v>4892</v>
      </c>
      <c r="C1149" s="2" t="s">
        <v>74</v>
      </c>
      <c r="D1149" s="2" t="s">
        <v>74</v>
      </c>
      <c r="E1149" s="2" t="s">
        <v>74</v>
      </c>
      <c r="F1149" s="2" t="s">
        <v>4893</v>
      </c>
      <c r="G1149" s="2" t="s">
        <v>74</v>
      </c>
      <c r="H1149" s="2" t="s">
        <v>74</v>
      </c>
      <c r="I1149" s="2" t="s">
        <v>4894</v>
      </c>
      <c r="J1149" s="2" t="s">
        <v>4895</v>
      </c>
      <c r="K1149" s="2" t="s">
        <v>74</v>
      </c>
      <c r="L1149" s="2" t="s">
        <v>74</v>
      </c>
      <c r="M1149" s="2" t="s">
        <v>74</v>
      </c>
      <c r="N1149" s="2" t="s">
        <v>74</v>
      </c>
      <c r="O1149" s="2" t="s">
        <v>74</v>
      </c>
      <c r="P1149" s="2" t="s">
        <v>74</v>
      </c>
      <c r="Q1149" s="2" t="s">
        <v>74</v>
      </c>
      <c r="R1149" s="2" t="s">
        <v>74</v>
      </c>
      <c r="S1149" s="2" t="s">
        <v>74</v>
      </c>
      <c r="T1149" s="2" t="s">
        <v>74</v>
      </c>
      <c r="U1149" s="2" t="s">
        <v>74</v>
      </c>
      <c r="V1149" s="5" t="s">
        <v>4896</v>
      </c>
      <c r="W1149" s="2" t="s">
        <v>74</v>
      </c>
      <c r="X1149" s="2" t="s">
        <v>74</v>
      </c>
      <c r="Y1149" s="2" t="s">
        <v>74</v>
      </c>
      <c r="Z1149" s="2" t="s">
        <v>74</v>
      </c>
      <c r="AA1149" s="2" t="s">
        <v>4897</v>
      </c>
      <c r="AB1149" s="2" t="s">
        <v>4898</v>
      </c>
      <c r="AC1149" s="2" t="s">
        <v>74</v>
      </c>
      <c r="AD1149" s="2" t="s">
        <v>74</v>
      </c>
      <c r="AE1149" s="2" t="s">
        <v>74</v>
      </c>
      <c r="AF1149" s="2" t="s">
        <v>74</v>
      </c>
      <c r="AG1149" s="2" t="s">
        <v>74</v>
      </c>
      <c r="AH1149" s="2" t="s">
        <v>74</v>
      </c>
      <c r="AI1149" s="2" t="s">
        <v>74</v>
      </c>
      <c r="AJ1149" s="2" t="s">
        <v>74</v>
      </c>
      <c r="AK1149" s="2" t="s">
        <v>74</v>
      </c>
      <c r="AL1149" s="2" t="s">
        <v>74</v>
      </c>
      <c r="AM1149" s="2" t="s">
        <v>74</v>
      </c>
      <c r="AN1149" s="2" t="s">
        <v>74</v>
      </c>
      <c r="AO1149" s="2" t="s">
        <v>4899</v>
      </c>
      <c r="AP1149" s="2" t="s">
        <v>4900</v>
      </c>
      <c r="AQ1149" s="2" t="s">
        <v>74</v>
      </c>
      <c r="AR1149" s="2" t="s">
        <v>74</v>
      </c>
      <c r="AS1149" s="2" t="s">
        <v>74</v>
      </c>
      <c r="AT1149" s="2" t="s">
        <v>213</v>
      </c>
      <c r="AU1149" s="2">
        <v>2018</v>
      </c>
      <c r="AV1149" s="2">
        <v>304</v>
      </c>
      <c r="AW1149" s="2">
        <v>9</v>
      </c>
      <c r="AX1149" s="2" t="s">
        <v>74</v>
      </c>
      <c r="AY1149" s="2" t="s">
        <v>74</v>
      </c>
      <c r="AZ1149" s="2" t="s">
        <v>74</v>
      </c>
      <c r="BA1149" s="2" t="s">
        <v>74</v>
      </c>
      <c r="BB1149" s="2">
        <v>1165</v>
      </c>
      <c r="BC1149" s="2">
        <v>1180</v>
      </c>
      <c r="BD1149" s="2" t="s">
        <v>74</v>
      </c>
      <c r="BE1149" s="2" t="s">
        <v>4901</v>
      </c>
      <c r="BF1149" s="2" t="str">
        <f>HYPERLINK("http://dx.doi.org/10.1007/s00606-018-1539-7","http://dx.doi.org/10.1007/s00606-018-1539-7")</f>
        <v>http://dx.doi.org/10.1007/s00606-018-1539-7</v>
      </c>
      <c r="BG1149" s="2" t="s">
        <v>74</v>
      </c>
      <c r="BH1149" s="2" t="s">
        <v>74</v>
      </c>
      <c r="BI1149" s="2" t="s">
        <v>74</v>
      </c>
      <c r="BJ1149" s="2" t="s">
        <v>74</v>
      </c>
      <c r="BK1149" s="2" t="s">
        <v>74</v>
      </c>
      <c r="BL1149" s="2" t="s">
        <v>74</v>
      </c>
      <c r="BM1149" s="2" t="s">
        <v>74</v>
      </c>
      <c r="BN1149" s="2" t="s">
        <v>74</v>
      </c>
      <c r="BO1149" s="2" t="s">
        <v>74</v>
      </c>
      <c r="BP1149" s="2" t="s">
        <v>74</v>
      </c>
      <c r="BQ1149" s="2" t="s">
        <v>74</v>
      </c>
      <c r="BR1149" s="2" t="s">
        <v>74</v>
      </c>
      <c r="BS1149" s="2" t="s">
        <v>4902</v>
      </c>
      <c r="BT1149" s="2" t="str">
        <f>HYPERLINK("https%3A%2F%2Fwww.webofscience.com%2Fwos%2Fwoscc%2Ffull-record%2FWOS:000447531400008","View Full Record in Web of Science")</f>
        <v>View Full Record in Web of Science</v>
      </c>
    </row>
    <row r="1150" spans="1:72" s="1" customFormat="1" x14ac:dyDescent="0.4">
      <c r="A1150" s="2" t="s">
        <v>72</v>
      </c>
      <c r="B1150" s="2" t="s">
        <v>4878</v>
      </c>
      <c r="C1150" s="2" t="s">
        <v>74</v>
      </c>
      <c r="D1150" s="2" t="s">
        <v>74</v>
      </c>
      <c r="E1150" s="2" t="s">
        <v>74</v>
      </c>
      <c r="F1150" s="2" t="s">
        <v>4879</v>
      </c>
      <c r="G1150" s="2" t="s">
        <v>74</v>
      </c>
      <c r="H1150" s="2" t="s">
        <v>74</v>
      </c>
      <c r="I1150" s="2" t="s">
        <v>4880</v>
      </c>
      <c r="J1150" s="2" t="s">
        <v>2017</v>
      </c>
      <c r="K1150" s="2" t="s">
        <v>74</v>
      </c>
      <c r="L1150" s="2" t="s">
        <v>74</v>
      </c>
      <c r="M1150" s="2" t="s">
        <v>74</v>
      </c>
      <c r="N1150" s="2" t="s">
        <v>74</v>
      </c>
      <c r="O1150" s="2" t="s">
        <v>74</v>
      </c>
      <c r="P1150" s="2" t="s">
        <v>74</v>
      </c>
      <c r="Q1150" s="2" t="s">
        <v>74</v>
      </c>
      <c r="R1150" s="2" t="s">
        <v>74</v>
      </c>
      <c r="S1150" s="2" t="s">
        <v>74</v>
      </c>
      <c r="T1150" s="2" t="s">
        <v>74</v>
      </c>
      <c r="U1150" s="2" t="s">
        <v>74</v>
      </c>
      <c r="V1150" s="5" t="s">
        <v>4881</v>
      </c>
      <c r="W1150" s="2" t="s">
        <v>74</v>
      </c>
      <c r="X1150" s="2" t="s">
        <v>74</v>
      </c>
      <c r="Y1150" s="2" t="s">
        <v>74</v>
      </c>
      <c r="Z1150" s="2" t="s">
        <v>74</v>
      </c>
      <c r="AA1150" s="2" t="s">
        <v>4882</v>
      </c>
      <c r="AB1150" s="2" t="s">
        <v>4883</v>
      </c>
      <c r="AC1150" s="2" t="s">
        <v>74</v>
      </c>
      <c r="AD1150" s="2" t="s">
        <v>74</v>
      </c>
      <c r="AE1150" s="2" t="s">
        <v>74</v>
      </c>
      <c r="AF1150" s="2" t="s">
        <v>74</v>
      </c>
      <c r="AG1150" s="2" t="s">
        <v>74</v>
      </c>
      <c r="AH1150" s="2" t="s">
        <v>74</v>
      </c>
      <c r="AI1150" s="2" t="s">
        <v>74</v>
      </c>
      <c r="AJ1150" s="2" t="s">
        <v>74</v>
      </c>
      <c r="AK1150" s="2" t="s">
        <v>74</v>
      </c>
      <c r="AL1150" s="2" t="s">
        <v>74</v>
      </c>
      <c r="AM1150" s="2" t="s">
        <v>74</v>
      </c>
      <c r="AN1150" s="2" t="s">
        <v>74</v>
      </c>
      <c r="AO1150" s="2" t="s">
        <v>2021</v>
      </c>
      <c r="AP1150" s="2" t="s">
        <v>74</v>
      </c>
      <c r="AQ1150" s="2" t="s">
        <v>74</v>
      </c>
      <c r="AR1150" s="2" t="s">
        <v>74</v>
      </c>
      <c r="AS1150" s="2" t="s">
        <v>74</v>
      </c>
      <c r="AT1150" s="2" t="s">
        <v>3833</v>
      </c>
      <c r="AU1150" s="2">
        <v>2022</v>
      </c>
      <c r="AV1150" s="2">
        <v>10</v>
      </c>
      <c r="AW1150" s="2" t="s">
        <v>74</v>
      </c>
      <c r="AX1150" s="2" t="s">
        <v>74</v>
      </c>
      <c r="AY1150" s="2" t="s">
        <v>74</v>
      </c>
      <c r="AZ1150" s="2" t="s">
        <v>74</v>
      </c>
      <c r="BA1150" s="2" t="s">
        <v>74</v>
      </c>
      <c r="BB1150" s="2" t="s">
        <v>74</v>
      </c>
      <c r="BC1150" s="2" t="s">
        <v>74</v>
      </c>
      <c r="BD1150" s="2">
        <v>803996</v>
      </c>
      <c r="BE1150" s="2" t="s">
        <v>4884</v>
      </c>
      <c r="BF1150" s="2" t="str">
        <f>HYPERLINK("http://dx.doi.org/10.3389/fevo.2022.803996","http://dx.doi.org/10.3389/fevo.2022.803996")</f>
        <v>http://dx.doi.org/10.3389/fevo.2022.803996</v>
      </c>
      <c r="BG1150" s="2" t="s">
        <v>74</v>
      </c>
      <c r="BH1150" s="2" t="s">
        <v>74</v>
      </c>
      <c r="BI1150" s="2" t="s">
        <v>74</v>
      </c>
      <c r="BJ1150" s="2" t="s">
        <v>74</v>
      </c>
      <c r="BK1150" s="2" t="s">
        <v>74</v>
      </c>
      <c r="BL1150" s="2" t="s">
        <v>74</v>
      </c>
      <c r="BM1150" s="2" t="s">
        <v>74</v>
      </c>
      <c r="BN1150" s="2" t="s">
        <v>74</v>
      </c>
      <c r="BO1150" s="2" t="s">
        <v>74</v>
      </c>
      <c r="BP1150" s="2" t="s">
        <v>74</v>
      </c>
      <c r="BQ1150" s="2" t="s">
        <v>74</v>
      </c>
      <c r="BR1150" s="2" t="s">
        <v>74</v>
      </c>
      <c r="BS1150" s="2" t="s">
        <v>4885</v>
      </c>
      <c r="BT1150" s="2" t="str">
        <f>HYPERLINK("https%3A%2F%2Fwww.webofscience.com%2Fwos%2Fwoscc%2Ffull-record%2FWOS:000775231200001","View Full Record in Web of Science")</f>
        <v>View Full Record in Web of Science</v>
      </c>
    </row>
    <row r="1151" spans="1:72" s="1" customFormat="1" x14ac:dyDescent="0.4">
      <c r="A1151" s="2" t="s">
        <v>72</v>
      </c>
      <c r="B1151" s="2" t="s">
        <v>2049</v>
      </c>
      <c r="C1151" s="2" t="s">
        <v>74</v>
      </c>
      <c r="D1151" s="2" t="s">
        <v>74</v>
      </c>
      <c r="E1151" s="2" t="s">
        <v>74</v>
      </c>
      <c r="F1151" s="2" t="s">
        <v>2049</v>
      </c>
      <c r="G1151" s="2" t="s">
        <v>74</v>
      </c>
      <c r="H1151" s="2" t="s">
        <v>74</v>
      </c>
      <c r="I1151" s="2" t="s">
        <v>2050</v>
      </c>
      <c r="J1151" s="2" t="s">
        <v>1549</v>
      </c>
      <c r="K1151" s="2" t="s">
        <v>74</v>
      </c>
      <c r="L1151" s="2" t="s">
        <v>74</v>
      </c>
      <c r="M1151" s="2" t="s">
        <v>74</v>
      </c>
      <c r="N1151" s="2" t="s">
        <v>74</v>
      </c>
      <c r="O1151" s="2" t="s">
        <v>74</v>
      </c>
      <c r="P1151" s="2" t="s">
        <v>74</v>
      </c>
      <c r="Q1151" s="2" t="s">
        <v>74</v>
      </c>
      <c r="R1151" s="2" t="s">
        <v>74</v>
      </c>
      <c r="S1151" s="2" t="s">
        <v>74</v>
      </c>
      <c r="T1151" s="2" t="s">
        <v>74</v>
      </c>
      <c r="U1151" s="2" t="s">
        <v>74</v>
      </c>
      <c r="V1151" s="5" t="s">
        <v>2051</v>
      </c>
      <c r="W1151" s="2" t="s">
        <v>74</v>
      </c>
      <c r="X1151" s="2" t="s">
        <v>74</v>
      </c>
      <c r="Y1151" s="2" t="s">
        <v>74</v>
      </c>
      <c r="Z1151" s="2" t="s">
        <v>74</v>
      </c>
      <c r="AA1151" s="2" t="s">
        <v>74</v>
      </c>
      <c r="AB1151" s="2" t="s">
        <v>74</v>
      </c>
      <c r="AC1151" s="2" t="s">
        <v>74</v>
      </c>
      <c r="AD1151" s="2" t="s">
        <v>74</v>
      </c>
      <c r="AE1151" s="2" t="s">
        <v>74</v>
      </c>
      <c r="AF1151" s="2" t="s">
        <v>74</v>
      </c>
      <c r="AG1151" s="2" t="s">
        <v>74</v>
      </c>
      <c r="AH1151" s="2" t="s">
        <v>74</v>
      </c>
      <c r="AI1151" s="2" t="s">
        <v>74</v>
      </c>
      <c r="AJ1151" s="2" t="s">
        <v>74</v>
      </c>
      <c r="AK1151" s="2" t="s">
        <v>74</v>
      </c>
      <c r="AL1151" s="2" t="s">
        <v>74</v>
      </c>
      <c r="AM1151" s="2" t="s">
        <v>74</v>
      </c>
      <c r="AN1151" s="2" t="s">
        <v>74</v>
      </c>
      <c r="AO1151" s="2" t="s">
        <v>1551</v>
      </c>
      <c r="AP1151" s="2" t="s">
        <v>74</v>
      </c>
      <c r="AQ1151" s="2" t="s">
        <v>74</v>
      </c>
      <c r="AR1151" s="2" t="s">
        <v>74</v>
      </c>
      <c r="AS1151" s="2" t="s">
        <v>74</v>
      </c>
      <c r="AT1151" s="2" t="s">
        <v>102</v>
      </c>
      <c r="AU1151" s="2">
        <v>2000</v>
      </c>
      <c r="AV1151" s="2">
        <v>25</v>
      </c>
      <c r="AW1151" s="2">
        <v>2</v>
      </c>
      <c r="AX1151" s="2" t="s">
        <v>74</v>
      </c>
      <c r="AY1151" s="2" t="s">
        <v>74</v>
      </c>
      <c r="AZ1151" s="2" t="s">
        <v>74</v>
      </c>
      <c r="BA1151" s="2" t="s">
        <v>74</v>
      </c>
      <c r="BB1151" s="2">
        <v>127</v>
      </c>
      <c r="BC1151" s="2">
        <v>132</v>
      </c>
      <c r="BD1151" s="2" t="s">
        <v>74</v>
      </c>
      <c r="BE1151" s="2" t="s">
        <v>2052</v>
      </c>
      <c r="BF1151" s="2" t="str">
        <f>HYPERLINK("http://dx.doi.org/10.1046/j.1365-3032.2000.00174.x","http://dx.doi.org/10.1046/j.1365-3032.2000.00174.x")</f>
        <v>http://dx.doi.org/10.1046/j.1365-3032.2000.00174.x</v>
      </c>
      <c r="BG1151" s="2" t="s">
        <v>74</v>
      </c>
      <c r="BH1151" s="2" t="s">
        <v>74</v>
      </c>
      <c r="BI1151" s="2" t="s">
        <v>74</v>
      </c>
      <c r="BJ1151" s="2" t="s">
        <v>74</v>
      </c>
      <c r="BK1151" s="2" t="s">
        <v>74</v>
      </c>
      <c r="BL1151" s="2" t="s">
        <v>74</v>
      </c>
      <c r="BM1151" s="2" t="s">
        <v>74</v>
      </c>
      <c r="BN1151" s="2" t="s">
        <v>74</v>
      </c>
      <c r="BO1151" s="2" t="s">
        <v>74</v>
      </c>
      <c r="BP1151" s="2" t="s">
        <v>74</v>
      </c>
      <c r="BQ1151" s="2" t="s">
        <v>74</v>
      </c>
      <c r="BR1151" s="2" t="s">
        <v>74</v>
      </c>
      <c r="BS1151" s="2" t="s">
        <v>2053</v>
      </c>
      <c r="BT1151" s="2" t="str">
        <f>HYPERLINK("https%3A%2F%2Fwww.webofscience.com%2Fwos%2Fwoscc%2Ffull-record%2FWOS:000087985900004","View Full Record in Web of Science")</f>
        <v>View Full Record in Web of Science</v>
      </c>
    </row>
    <row r="1152" spans="1:72" s="1" customFormat="1" x14ac:dyDescent="0.4">
      <c r="A1152" s="2" t="s">
        <v>72</v>
      </c>
      <c r="B1152" s="2" t="s">
        <v>1547</v>
      </c>
      <c r="C1152" s="2" t="s">
        <v>74</v>
      </c>
      <c r="D1152" s="2" t="s">
        <v>74</v>
      </c>
      <c r="E1152" s="2" t="s">
        <v>74</v>
      </c>
      <c r="F1152" s="2" t="s">
        <v>1547</v>
      </c>
      <c r="G1152" s="2" t="s">
        <v>74</v>
      </c>
      <c r="H1152" s="2" t="s">
        <v>74</v>
      </c>
      <c r="I1152" s="2" t="s">
        <v>1548</v>
      </c>
      <c r="J1152" s="2" t="s">
        <v>1549</v>
      </c>
      <c r="K1152" s="2" t="s">
        <v>74</v>
      </c>
      <c r="L1152" s="2" t="s">
        <v>74</v>
      </c>
      <c r="M1152" s="2" t="s">
        <v>74</v>
      </c>
      <c r="N1152" s="2" t="s">
        <v>74</v>
      </c>
      <c r="O1152" s="2" t="s">
        <v>74</v>
      </c>
      <c r="P1152" s="2" t="s">
        <v>74</v>
      </c>
      <c r="Q1152" s="2" t="s">
        <v>74</v>
      </c>
      <c r="R1152" s="2" t="s">
        <v>74</v>
      </c>
      <c r="S1152" s="2" t="s">
        <v>74</v>
      </c>
      <c r="T1152" s="2" t="s">
        <v>74</v>
      </c>
      <c r="U1152" s="2" t="s">
        <v>74</v>
      </c>
      <c r="V1152" s="5" t="s">
        <v>1550</v>
      </c>
      <c r="W1152" s="2" t="s">
        <v>74</v>
      </c>
      <c r="X1152" s="2" t="s">
        <v>74</v>
      </c>
      <c r="Y1152" s="2" t="s">
        <v>74</v>
      </c>
      <c r="Z1152" s="2" t="s">
        <v>74</v>
      </c>
      <c r="AA1152" s="2" t="s">
        <v>74</v>
      </c>
      <c r="AB1152" s="2" t="s">
        <v>74</v>
      </c>
      <c r="AC1152" s="2" t="s">
        <v>74</v>
      </c>
      <c r="AD1152" s="2" t="s">
        <v>74</v>
      </c>
      <c r="AE1152" s="2" t="s">
        <v>74</v>
      </c>
      <c r="AF1152" s="2" t="s">
        <v>74</v>
      </c>
      <c r="AG1152" s="2" t="s">
        <v>74</v>
      </c>
      <c r="AH1152" s="2" t="s">
        <v>74</v>
      </c>
      <c r="AI1152" s="2" t="s">
        <v>74</v>
      </c>
      <c r="AJ1152" s="2" t="s">
        <v>74</v>
      </c>
      <c r="AK1152" s="2" t="s">
        <v>74</v>
      </c>
      <c r="AL1152" s="2" t="s">
        <v>74</v>
      </c>
      <c r="AM1152" s="2" t="s">
        <v>74</v>
      </c>
      <c r="AN1152" s="2" t="s">
        <v>74</v>
      </c>
      <c r="AO1152" s="2" t="s">
        <v>1551</v>
      </c>
      <c r="AP1152" s="2" t="s">
        <v>74</v>
      </c>
      <c r="AQ1152" s="2" t="s">
        <v>74</v>
      </c>
      <c r="AR1152" s="2" t="s">
        <v>74</v>
      </c>
      <c r="AS1152" s="2" t="s">
        <v>74</v>
      </c>
      <c r="AT1152" s="2" t="s">
        <v>102</v>
      </c>
      <c r="AU1152" s="2">
        <v>2002</v>
      </c>
      <c r="AV1152" s="2">
        <v>27</v>
      </c>
      <c r="AW1152" s="2">
        <v>2</v>
      </c>
      <c r="AX1152" s="2" t="s">
        <v>74</v>
      </c>
      <c r="AY1152" s="2" t="s">
        <v>74</v>
      </c>
      <c r="AZ1152" s="2" t="s">
        <v>74</v>
      </c>
      <c r="BA1152" s="2" t="s">
        <v>74</v>
      </c>
      <c r="BB1152" s="2">
        <v>165</v>
      </c>
      <c r="BC1152" s="2">
        <v>169</v>
      </c>
      <c r="BD1152" s="2" t="s">
        <v>74</v>
      </c>
      <c r="BE1152" s="2" t="s">
        <v>1552</v>
      </c>
      <c r="BF1152" s="2" t="str">
        <f>HYPERLINK("http://dx.doi.org/10.1046/j.1365-3032.2002.00283.x","http://dx.doi.org/10.1046/j.1365-3032.2002.00283.x")</f>
        <v>http://dx.doi.org/10.1046/j.1365-3032.2002.00283.x</v>
      </c>
      <c r="BG1152" s="2" t="s">
        <v>74</v>
      </c>
      <c r="BH1152" s="2" t="s">
        <v>74</v>
      </c>
      <c r="BI1152" s="2" t="s">
        <v>74</v>
      </c>
      <c r="BJ1152" s="2" t="s">
        <v>74</v>
      </c>
      <c r="BK1152" s="2" t="s">
        <v>74</v>
      </c>
      <c r="BL1152" s="2" t="s">
        <v>74</v>
      </c>
      <c r="BM1152" s="2" t="s">
        <v>74</v>
      </c>
      <c r="BN1152" s="2" t="s">
        <v>74</v>
      </c>
      <c r="BO1152" s="2" t="s">
        <v>74</v>
      </c>
      <c r="BP1152" s="2" t="s">
        <v>74</v>
      </c>
      <c r="BQ1152" s="2" t="s">
        <v>74</v>
      </c>
      <c r="BR1152" s="2" t="s">
        <v>74</v>
      </c>
      <c r="BS1152" s="2" t="s">
        <v>1553</v>
      </c>
      <c r="BT1152" s="2" t="str">
        <f>HYPERLINK("https%3A%2F%2Fwww.webofscience.com%2Fwos%2Fwoscc%2Ffull-record%2FWOS:000175861800011","View Full Record in Web of Science")</f>
        <v>View Full Record in Web of Science</v>
      </c>
    </row>
    <row r="1153" spans="1:72" s="2" customFormat="1" x14ac:dyDescent="0.4">
      <c r="A1153" s="2" t="s">
        <v>72</v>
      </c>
      <c r="B1153" s="2" t="s">
        <v>871</v>
      </c>
      <c r="C1153" s="2" t="s">
        <v>74</v>
      </c>
      <c r="D1153" s="2" t="s">
        <v>74</v>
      </c>
      <c r="E1153" s="2" t="s">
        <v>74</v>
      </c>
      <c r="F1153" s="2" t="s">
        <v>872</v>
      </c>
      <c r="G1153" s="2" t="s">
        <v>74</v>
      </c>
      <c r="H1153" s="2" t="s">
        <v>74</v>
      </c>
      <c r="I1153" s="2" t="s">
        <v>873</v>
      </c>
      <c r="J1153" s="2" t="s">
        <v>509</v>
      </c>
      <c r="K1153" s="2" t="s">
        <v>74</v>
      </c>
      <c r="L1153" s="2" t="s">
        <v>74</v>
      </c>
      <c r="M1153" s="2" t="s">
        <v>74</v>
      </c>
      <c r="N1153" s="2" t="s">
        <v>74</v>
      </c>
      <c r="O1153" s="2" t="s">
        <v>74</v>
      </c>
      <c r="P1153" s="2" t="s">
        <v>74</v>
      </c>
      <c r="Q1153" s="2" t="s">
        <v>74</v>
      </c>
      <c r="R1153" s="2" t="s">
        <v>74</v>
      </c>
      <c r="S1153" s="2" t="s">
        <v>74</v>
      </c>
      <c r="T1153" s="2" t="s">
        <v>74</v>
      </c>
      <c r="U1153" s="2" t="s">
        <v>74</v>
      </c>
      <c r="V1153" s="5" t="s">
        <v>874</v>
      </c>
      <c r="W1153" s="2" t="s">
        <v>74</v>
      </c>
      <c r="X1153" s="2" t="s">
        <v>74</v>
      </c>
      <c r="Y1153" s="2" t="s">
        <v>74</v>
      </c>
      <c r="Z1153" s="2" t="s">
        <v>74</v>
      </c>
      <c r="AA1153" s="2" t="s">
        <v>875</v>
      </c>
      <c r="AB1153" s="2" t="s">
        <v>876</v>
      </c>
      <c r="AC1153" s="2" t="s">
        <v>74</v>
      </c>
      <c r="AD1153" s="2" t="s">
        <v>74</v>
      </c>
      <c r="AE1153" s="2" t="s">
        <v>74</v>
      </c>
      <c r="AF1153" s="2" t="s">
        <v>74</v>
      </c>
      <c r="AG1153" s="2" t="s">
        <v>74</v>
      </c>
      <c r="AH1153" s="2" t="s">
        <v>74</v>
      </c>
      <c r="AI1153" s="2" t="s">
        <v>74</v>
      </c>
      <c r="AJ1153" s="2" t="s">
        <v>74</v>
      </c>
      <c r="AK1153" s="2" t="s">
        <v>74</v>
      </c>
      <c r="AL1153" s="2" t="s">
        <v>74</v>
      </c>
      <c r="AM1153" s="2" t="s">
        <v>74</v>
      </c>
      <c r="AN1153" s="2" t="s">
        <v>74</v>
      </c>
      <c r="AO1153" s="2" t="s">
        <v>511</v>
      </c>
      <c r="AP1153" s="2" t="s">
        <v>512</v>
      </c>
      <c r="AQ1153" s="2" t="s">
        <v>74</v>
      </c>
      <c r="AR1153" s="2" t="s">
        <v>74</v>
      </c>
      <c r="AS1153" s="2" t="s">
        <v>74</v>
      </c>
      <c r="AT1153" s="2" t="s">
        <v>204</v>
      </c>
      <c r="AU1153" s="2">
        <v>2017</v>
      </c>
      <c r="AV1153" s="2">
        <v>93</v>
      </c>
      <c r="AW1153" s="2" t="s">
        <v>74</v>
      </c>
      <c r="AX1153" s="2" t="s">
        <v>74</v>
      </c>
      <c r="AY1153" s="2" t="s">
        <v>74</v>
      </c>
      <c r="AZ1153" s="2" t="s">
        <v>74</v>
      </c>
      <c r="BA1153" s="2" t="s">
        <v>74</v>
      </c>
      <c r="BB1153" s="2">
        <v>118</v>
      </c>
      <c r="BC1153" s="2">
        <v>127</v>
      </c>
      <c r="BD1153" s="2" t="s">
        <v>74</v>
      </c>
      <c r="BE1153" s="2" t="s">
        <v>877</v>
      </c>
      <c r="BF1153" s="2" t="str">
        <f>HYPERLINK("http://dx.doi.org/10.1016/j.yhbeh.2017.05.001","http://dx.doi.org/10.1016/j.yhbeh.2017.05.001")</f>
        <v>http://dx.doi.org/10.1016/j.yhbeh.2017.05.001</v>
      </c>
      <c r="BG1153" s="2" t="s">
        <v>74</v>
      </c>
      <c r="BH1153" s="2" t="s">
        <v>74</v>
      </c>
      <c r="BI1153" s="2" t="s">
        <v>74</v>
      </c>
      <c r="BJ1153" s="2" t="s">
        <v>74</v>
      </c>
      <c r="BK1153" s="2" t="s">
        <v>74</v>
      </c>
      <c r="BL1153" s="2" t="s">
        <v>74</v>
      </c>
      <c r="BM1153" s="2" t="s">
        <v>74</v>
      </c>
      <c r="BN1153" s="2">
        <v>28478216</v>
      </c>
      <c r="BO1153" s="2" t="s">
        <v>74</v>
      </c>
      <c r="BP1153" s="2" t="s">
        <v>74</v>
      </c>
      <c r="BQ1153" s="2" t="s">
        <v>74</v>
      </c>
      <c r="BR1153" s="2" t="s">
        <v>74</v>
      </c>
      <c r="BS1153" s="2" t="s">
        <v>878</v>
      </c>
      <c r="BT1153" s="2" t="str">
        <f>HYPERLINK("https%3A%2F%2Fwww.webofscience.com%2Fwos%2Fwoscc%2Ffull-record%2FWOS:000407528300014","View Full Record in Web of Science")</f>
        <v>View Full Record in Web of Science</v>
      </c>
    </row>
    <row r="1154" spans="1:72" s="2" customFormat="1" x14ac:dyDescent="0.4">
      <c r="A1154" s="2" t="s">
        <v>72</v>
      </c>
      <c r="B1154" s="2" t="s">
        <v>6609</v>
      </c>
      <c r="C1154" s="2" t="s">
        <v>74</v>
      </c>
      <c r="D1154" s="2" t="s">
        <v>74</v>
      </c>
      <c r="E1154" s="2" t="s">
        <v>74</v>
      </c>
      <c r="F1154" s="2" t="s">
        <v>6610</v>
      </c>
      <c r="G1154" s="2" t="s">
        <v>74</v>
      </c>
      <c r="H1154" s="2" t="s">
        <v>74</v>
      </c>
      <c r="I1154" s="2" t="s">
        <v>6611</v>
      </c>
      <c r="J1154" s="2" t="s">
        <v>1743</v>
      </c>
      <c r="K1154" s="2" t="s">
        <v>74</v>
      </c>
      <c r="L1154" s="2" t="s">
        <v>74</v>
      </c>
      <c r="M1154" s="2" t="s">
        <v>74</v>
      </c>
      <c r="N1154" s="2" t="s">
        <v>74</v>
      </c>
      <c r="O1154" s="2" t="s">
        <v>74</v>
      </c>
      <c r="P1154" s="2" t="s">
        <v>74</v>
      </c>
      <c r="Q1154" s="2" t="s">
        <v>74</v>
      </c>
      <c r="R1154" s="2" t="s">
        <v>74</v>
      </c>
      <c r="S1154" s="2" t="s">
        <v>74</v>
      </c>
      <c r="T1154" s="2" t="s">
        <v>74</v>
      </c>
      <c r="U1154" s="2" t="s">
        <v>74</v>
      </c>
      <c r="V1154" s="5" t="s">
        <v>6612</v>
      </c>
      <c r="W1154" s="2" t="s">
        <v>74</v>
      </c>
      <c r="X1154" s="2" t="s">
        <v>74</v>
      </c>
      <c r="Y1154" s="2" t="s">
        <v>74</v>
      </c>
      <c r="Z1154" s="2" t="s">
        <v>74</v>
      </c>
      <c r="AA1154" s="2" t="s">
        <v>74</v>
      </c>
      <c r="AB1154" s="2" t="s">
        <v>6613</v>
      </c>
      <c r="AC1154" s="2" t="s">
        <v>74</v>
      </c>
      <c r="AD1154" s="2" t="s">
        <v>74</v>
      </c>
      <c r="AE1154" s="2" t="s">
        <v>74</v>
      </c>
      <c r="AF1154" s="2" t="s">
        <v>74</v>
      </c>
      <c r="AG1154" s="2" t="s">
        <v>74</v>
      </c>
      <c r="AH1154" s="2" t="s">
        <v>74</v>
      </c>
      <c r="AI1154" s="2" t="s">
        <v>74</v>
      </c>
      <c r="AJ1154" s="2" t="s">
        <v>74</v>
      </c>
      <c r="AK1154" s="2" t="s">
        <v>74</v>
      </c>
      <c r="AL1154" s="2" t="s">
        <v>74</v>
      </c>
      <c r="AM1154" s="2" t="s">
        <v>74</v>
      </c>
      <c r="AN1154" s="2" t="s">
        <v>74</v>
      </c>
      <c r="AO1154" s="2" t="s">
        <v>1746</v>
      </c>
      <c r="AP1154" s="2" t="s">
        <v>74</v>
      </c>
      <c r="AQ1154" s="2" t="s">
        <v>74</v>
      </c>
      <c r="AR1154" s="2" t="s">
        <v>74</v>
      </c>
      <c r="AS1154" s="2" t="s">
        <v>74</v>
      </c>
      <c r="AT1154" s="2" t="s">
        <v>145</v>
      </c>
      <c r="AU1154" s="2">
        <v>2019</v>
      </c>
      <c r="AV1154" s="2">
        <v>36</v>
      </c>
      <c r="AW1154" s="2">
        <v>4</v>
      </c>
      <c r="AX1154" s="2" t="s">
        <v>74</v>
      </c>
      <c r="AY1154" s="2" t="s">
        <v>74</v>
      </c>
      <c r="AZ1154" s="2" t="s">
        <v>74</v>
      </c>
      <c r="BA1154" s="2" t="s">
        <v>74</v>
      </c>
      <c r="BB1154" s="2">
        <v>284</v>
      </c>
      <c r="BC1154" s="2">
        <v>293</v>
      </c>
      <c r="BD1154" s="2" t="s">
        <v>74</v>
      </c>
      <c r="BE1154" s="2" t="s">
        <v>6614</v>
      </c>
      <c r="BF1154" s="2" t="str">
        <f>HYPERLINK("http://dx.doi.org/10.2108/zs180167","http://dx.doi.org/10.2108/zs180167")</f>
        <v>http://dx.doi.org/10.2108/zs180167</v>
      </c>
      <c r="BG1154" s="2" t="s">
        <v>74</v>
      </c>
      <c r="BH1154" s="2" t="s">
        <v>74</v>
      </c>
      <c r="BI1154" s="2" t="s">
        <v>74</v>
      </c>
      <c r="BJ1154" s="2" t="s">
        <v>74</v>
      </c>
      <c r="BK1154" s="2" t="s">
        <v>74</v>
      </c>
      <c r="BL1154" s="2" t="s">
        <v>74</v>
      </c>
      <c r="BM1154" s="2" t="s">
        <v>74</v>
      </c>
      <c r="BN1154" s="2">
        <v>34664898</v>
      </c>
      <c r="BO1154" s="2" t="s">
        <v>74</v>
      </c>
      <c r="BP1154" s="2" t="s">
        <v>74</v>
      </c>
      <c r="BQ1154" s="2" t="s">
        <v>74</v>
      </c>
      <c r="BR1154" s="2" t="s">
        <v>74</v>
      </c>
      <c r="BS1154" s="2" t="s">
        <v>6615</v>
      </c>
      <c r="BT1154" s="2" t="str">
        <f>HYPERLINK("https%3A%2F%2Fwww.webofscience.com%2Fwos%2Fwoscc%2Ffull-record%2FWOS:000477900300003","View Full Record in Web of Science")</f>
        <v>View Full Record in Web of Science</v>
      </c>
    </row>
    <row r="1155" spans="1:72" s="2" customFormat="1" x14ac:dyDescent="0.4">
      <c r="A1155" s="2" t="s">
        <v>72</v>
      </c>
      <c r="B1155" s="2" t="s">
        <v>832</v>
      </c>
      <c r="C1155" s="2" t="s">
        <v>74</v>
      </c>
      <c r="D1155" s="2" t="s">
        <v>74</v>
      </c>
      <c r="E1155" s="2" t="s">
        <v>74</v>
      </c>
      <c r="F1155" s="2" t="s">
        <v>833</v>
      </c>
      <c r="G1155" s="2" t="s">
        <v>74</v>
      </c>
      <c r="H1155" s="2" t="s">
        <v>74</v>
      </c>
      <c r="I1155" s="2" t="s">
        <v>834</v>
      </c>
      <c r="J1155" s="2" t="s">
        <v>119</v>
      </c>
      <c r="K1155" s="2" t="s">
        <v>74</v>
      </c>
      <c r="L1155" s="2" t="s">
        <v>74</v>
      </c>
      <c r="M1155" s="2" t="s">
        <v>74</v>
      </c>
      <c r="N1155" s="2" t="s">
        <v>74</v>
      </c>
      <c r="O1155" s="2" t="s">
        <v>74</v>
      </c>
      <c r="P1155" s="2" t="s">
        <v>74</v>
      </c>
      <c r="Q1155" s="2" t="s">
        <v>74</v>
      </c>
      <c r="R1155" s="2" t="s">
        <v>74</v>
      </c>
      <c r="S1155" s="2" t="s">
        <v>74</v>
      </c>
      <c r="T1155" s="2" t="s">
        <v>74</v>
      </c>
      <c r="U1155" s="2" t="s">
        <v>74</v>
      </c>
      <c r="V1155" s="5" t="s">
        <v>835</v>
      </c>
      <c r="W1155" s="2" t="s">
        <v>74</v>
      </c>
      <c r="X1155" s="2" t="s">
        <v>74</v>
      </c>
      <c r="Y1155" s="2" t="s">
        <v>74</v>
      </c>
      <c r="Z1155" s="2" t="s">
        <v>74</v>
      </c>
      <c r="AA1155" s="2" t="s">
        <v>836</v>
      </c>
      <c r="AB1155" s="2" t="s">
        <v>74</v>
      </c>
      <c r="AC1155" s="2" t="s">
        <v>74</v>
      </c>
      <c r="AD1155" s="2" t="s">
        <v>74</v>
      </c>
      <c r="AE1155" s="2" t="s">
        <v>74</v>
      </c>
      <c r="AF1155" s="2" t="s">
        <v>74</v>
      </c>
      <c r="AG1155" s="2" t="s">
        <v>74</v>
      </c>
      <c r="AH1155" s="2" t="s">
        <v>74</v>
      </c>
      <c r="AI1155" s="2" t="s">
        <v>74</v>
      </c>
      <c r="AJ1155" s="2" t="s">
        <v>74</v>
      </c>
      <c r="AK1155" s="2" t="s">
        <v>74</v>
      </c>
      <c r="AL1155" s="2" t="s">
        <v>74</v>
      </c>
      <c r="AM1155" s="2" t="s">
        <v>74</v>
      </c>
      <c r="AN1155" s="2" t="s">
        <v>74</v>
      </c>
      <c r="AO1155" s="2" t="s">
        <v>121</v>
      </c>
      <c r="AP1155" s="2" t="s">
        <v>122</v>
      </c>
      <c r="AQ1155" s="2" t="s">
        <v>74</v>
      </c>
      <c r="AR1155" s="2" t="s">
        <v>74</v>
      </c>
      <c r="AS1155" s="2" t="s">
        <v>74</v>
      </c>
      <c r="AT1155" s="2" t="s">
        <v>134</v>
      </c>
      <c r="AU1155" s="2">
        <v>2017</v>
      </c>
      <c r="AV1155" s="2">
        <v>138</v>
      </c>
      <c r="AW1155" s="2" t="s">
        <v>74</v>
      </c>
      <c r="AX1155" s="2" t="s">
        <v>74</v>
      </c>
      <c r="AY1155" s="2" t="s">
        <v>74</v>
      </c>
      <c r="AZ1155" s="2" t="s">
        <v>74</v>
      </c>
      <c r="BA1155" s="2" t="s">
        <v>74</v>
      </c>
      <c r="BB1155" s="2">
        <v>41</v>
      </c>
      <c r="BC1155" s="2">
        <v>48</v>
      </c>
      <c r="BD1155" s="2" t="s">
        <v>74</v>
      </c>
      <c r="BE1155" s="2" t="s">
        <v>837</v>
      </c>
      <c r="BF1155" s="2" t="str">
        <f>HYPERLINK("http://dx.doi.org/10.1016/j.beproc.2017.01.017","http://dx.doi.org/10.1016/j.beproc.2017.01.017")</f>
        <v>http://dx.doi.org/10.1016/j.beproc.2017.01.017</v>
      </c>
      <c r="BG1155" s="2" t="s">
        <v>74</v>
      </c>
      <c r="BH1155" s="2" t="s">
        <v>74</v>
      </c>
      <c r="BI1155" s="2" t="s">
        <v>74</v>
      </c>
      <c r="BJ1155" s="2" t="s">
        <v>74</v>
      </c>
      <c r="BK1155" s="2" t="s">
        <v>74</v>
      </c>
      <c r="BL1155" s="2" t="s">
        <v>74</v>
      </c>
      <c r="BM1155" s="2" t="s">
        <v>74</v>
      </c>
      <c r="BN1155" s="2">
        <v>28159653</v>
      </c>
      <c r="BO1155" s="2" t="s">
        <v>74</v>
      </c>
      <c r="BP1155" s="2" t="s">
        <v>74</v>
      </c>
      <c r="BQ1155" s="2" t="s">
        <v>74</v>
      </c>
      <c r="BR1155" s="2" t="s">
        <v>74</v>
      </c>
      <c r="BS1155" s="2" t="s">
        <v>838</v>
      </c>
      <c r="BT1155" s="2" t="str">
        <f>HYPERLINK("https%3A%2F%2Fwww.webofscience.com%2Fwos%2Fwoscc%2Ffull-record%2FWOS:000400878800007","View Full Record in Web of Science")</f>
        <v>View Full Record in Web of Science</v>
      </c>
    </row>
    <row r="1156" spans="1:72" s="2" customFormat="1" x14ac:dyDescent="0.4">
      <c r="A1156" s="2" t="s">
        <v>72</v>
      </c>
      <c r="B1156" s="2" t="s">
        <v>5404</v>
      </c>
      <c r="C1156" s="2" t="s">
        <v>74</v>
      </c>
      <c r="D1156" s="2" t="s">
        <v>74</v>
      </c>
      <c r="E1156" s="2" t="s">
        <v>74</v>
      </c>
      <c r="F1156" s="2" t="s">
        <v>5405</v>
      </c>
      <c r="G1156" s="2" t="s">
        <v>74</v>
      </c>
      <c r="H1156" s="2" t="s">
        <v>74</v>
      </c>
      <c r="I1156" s="2" t="s">
        <v>5406</v>
      </c>
      <c r="J1156" s="2" t="s">
        <v>2207</v>
      </c>
      <c r="K1156" s="2" t="s">
        <v>74</v>
      </c>
      <c r="L1156" s="2" t="s">
        <v>74</v>
      </c>
      <c r="M1156" s="2" t="s">
        <v>74</v>
      </c>
      <c r="N1156" s="2" t="s">
        <v>74</v>
      </c>
      <c r="O1156" s="2" t="s">
        <v>74</v>
      </c>
      <c r="P1156" s="2" t="s">
        <v>74</v>
      </c>
      <c r="Q1156" s="2" t="s">
        <v>74</v>
      </c>
      <c r="R1156" s="2" t="s">
        <v>74</v>
      </c>
      <c r="S1156" s="2" t="s">
        <v>74</v>
      </c>
      <c r="T1156" s="2" t="s">
        <v>74</v>
      </c>
      <c r="U1156" s="2" t="s">
        <v>74</v>
      </c>
      <c r="V1156" s="5" t="s">
        <v>5407</v>
      </c>
      <c r="W1156" s="2" t="s">
        <v>74</v>
      </c>
      <c r="X1156" s="2" t="s">
        <v>74</v>
      </c>
      <c r="Y1156" s="2" t="s">
        <v>74</v>
      </c>
      <c r="Z1156" s="2" t="s">
        <v>74</v>
      </c>
      <c r="AA1156" s="2" t="s">
        <v>836</v>
      </c>
      <c r="AB1156" s="2" t="s">
        <v>5408</v>
      </c>
      <c r="AC1156" s="2" t="s">
        <v>74</v>
      </c>
      <c r="AD1156" s="2" t="s">
        <v>74</v>
      </c>
      <c r="AE1156" s="2" t="s">
        <v>74</v>
      </c>
      <c r="AF1156" s="2" t="s">
        <v>74</v>
      </c>
      <c r="AG1156" s="2" t="s">
        <v>74</v>
      </c>
      <c r="AH1156" s="2" t="s">
        <v>74</v>
      </c>
      <c r="AI1156" s="2" t="s">
        <v>74</v>
      </c>
      <c r="AJ1156" s="2" t="s">
        <v>74</v>
      </c>
      <c r="AK1156" s="2" t="s">
        <v>74</v>
      </c>
      <c r="AL1156" s="2" t="s">
        <v>74</v>
      </c>
      <c r="AM1156" s="2" t="s">
        <v>74</v>
      </c>
      <c r="AN1156" s="2" t="s">
        <v>74</v>
      </c>
      <c r="AO1156" s="2" t="s">
        <v>2211</v>
      </c>
      <c r="AP1156" s="2" t="s">
        <v>2461</v>
      </c>
      <c r="AQ1156" s="2" t="s">
        <v>74</v>
      </c>
      <c r="AR1156" s="2" t="s">
        <v>74</v>
      </c>
      <c r="AS1156" s="2" t="s">
        <v>74</v>
      </c>
      <c r="AT1156" s="2" t="s">
        <v>123</v>
      </c>
      <c r="AU1156" s="2">
        <v>2016</v>
      </c>
      <c r="AV1156" s="2">
        <v>47</v>
      </c>
      <c r="AW1156" s="2">
        <v>2</v>
      </c>
      <c r="AX1156" s="2" t="s">
        <v>74</v>
      </c>
      <c r="AY1156" s="2" t="s">
        <v>74</v>
      </c>
      <c r="AZ1156" s="2" t="s">
        <v>74</v>
      </c>
      <c r="BA1156" s="2" t="s">
        <v>74</v>
      </c>
      <c r="BB1156" s="2">
        <v>167</v>
      </c>
      <c r="BC1156" s="2">
        <v>175</v>
      </c>
      <c r="BD1156" s="2" t="s">
        <v>74</v>
      </c>
      <c r="BE1156" s="2" t="s">
        <v>5409</v>
      </c>
      <c r="BF1156" s="2" t="str">
        <f>HYPERLINK("http://dx.doi.org/10.1111/jav.00742","http://dx.doi.org/10.1111/jav.00742")</f>
        <v>http://dx.doi.org/10.1111/jav.00742</v>
      </c>
      <c r="BG1156" s="2" t="s">
        <v>74</v>
      </c>
      <c r="BH1156" s="2" t="s">
        <v>74</v>
      </c>
      <c r="BI1156" s="2" t="s">
        <v>74</v>
      </c>
      <c r="BJ1156" s="2" t="s">
        <v>74</v>
      </c>
      <c r="BK1156" s="2" t="s">
        <v>74</v>
      </c>
      <c r="BL1156" s="2" t="s">
        <v>74</v>
      </c>
      <c r="BM1156" s="2" t="s">
        <v>74</v>
      </c>
      <c r="BN1156" s="2" t="s">
        <v>74</v>
      </c>
      <c r="BO1156" s="2" t="s">
        <v>74</v>
      </c>
      <c r="BP1156" s="2" t="s">
        <v>74</v>
      </c>
      <c r="BQ1156" s="2" t="s">
        <v>74</v>
      </c>
      <c r="BR1156" s="2" t="s">
        <v>74</v>
      </c>
      <c r="BS1156" s="2" t="s">
        <v>5410</v>
      </c>
      <c r="BT1156" s="2" t="str">
        <f>HYPERLINK("https%3A%2F%2Fwww.webofscience.com%2Fwos%2Fwoscc%2Ffull-record%2FWOS:000373014800005","View Full Record in Web of Science")</f>
        <v>View Full Record in Web of Science</v>
      </c>
    </row>
    <row r="1157" spans="1:72" s="2" customFormat="1" x14ac:dyDescent="0.4">
      <c r="A1157" s="2" t="s">
        <v>72</v>
      </c>
      <c r="B1157" s="2" t="s">
        <v>6294</v>
      </c>
      <c r="C1157" s="2" t="s">
        <v>74</v>
      </c>
      <c r="D1157" s="2" t="s">
        <v>74</v>
      </c>
      <c r="E1157" s="2" t="s">
        <v>74</v>
      </c>
      <c r="F1157" s="2" t="s">
        <v>6295</v>
      </c>
      <c r="G1157" s="2" t="s">
        <v>74</v>
      </c>
      <c r="H1157" s="2" t="s">
        <v>74</v>
      </c>
      <c r="I1157" s="2" t="s">
        <v>6296</v>
      </c>
      <c r="J1157" s="2" t="s">
        <v>6297</v>
      </c>
      <c r="K1157" s="2" t="s">
        <v>74</v>
      </c>
      <c r="L1157" s="2" t="s">
        <v>74</v>
      </c>
      <c r="M1157" s="2" t="s">
        <v>74</v>
      </c>
      <c r="N1157" s="2" t="s">
        <v>74</v>
      </c>
      <c r="O1157" s="2" t="s">
        <v>74</v>
      </c>
      <c r="P1157" s="2" t="s">
        <v>74</v>
      </c>
      <c r="Q1157" s="2" t="s">
        <v>74</v>
      </c>
      <c r="R1157" s="2" t="s">
        <v>74</v>
      </c>
      <c r="S1157" s="2" t="s">
        <v>74</v>
      </c>
      <c r="T1157" s="2" t="s">
        <v>74</v>
      </c>
      <c r="U1157" s="2" t="s">
        <v>74</v>
      </c>
      <c r="V1157" s="5" t="s">
        <v>6298</v>
      </c>
      <c r="W1157" s="2" t="s">
        <v>74</v>
      </c>
      <c r="X1157" s="2" t="s">
        <v>74</v>
      </c>
      <c r="Y1157" s="2" t="s">
        <v>74</v>
      </c>
      <c r="Z1157" s="2" t="s">
        <v>74</v>
      </c>
      <c r="AA1157" s="2" t="s">
        <v>6299</v>
      </c>
      <c r="AB1157" s="2" t="s">
        <v>74</v>
      </c>
      <c r="AC1157" s="2" t="s">
        <v>74</v>
      </c>
      <c r="AD1157" s="2" t="s">
        <v>74</v>
      </c>
      <c r="AE1157" s="2" t="s">
        <v>74</v>
      </c>
      <c r="AF1157" s="2" t="s">
        <v>74</v>
      </c>
      <c r="AG1157" s="2" t="s">
        <v>74</v>
      </c>
      <c r="AH1157" s="2" t="s">
        <v>74</v>
      </c>
      <c r="AI1157" s="2" t="s">
        <v>74</v>
      </c>
      <c r="AJ1157" s="2" t="s">
        <v>74</v>
      </c>
      <c r="AK1157" s="2" t="s">
        <v>74</v>
      </c>
      <c r="AL1157" s="2" t="s">
        <v>74</v>
      </c>
      <c r="AM1157" s="2" t="s">
        <v>74</v>
      </c>
      <c r="AN1157" s="2" t="s">
        <v>74</v>
      </c>
      <c r="AO1157" s="2" t="s">
        <v>6300</v>
      </c>
      <c r="AP1157" s="2" t="s">
        <v>6301</v>
      </c>
      <c r="AQ1157" s="2" t="s">
        <v>74</v>
      </c>
      <c r="AR1157" s="2" t="s">
        <v>74</v>
      </c>
      <c r="AS1157" s="2" t="s">
        <v>74</v>
      </c>
      <c r="AT1157" s="2" t="s">
        <v>305</v>
      </c>
      <c r="AU1157" s="2">
        <v>2015</v>
      </c>
      <c r="AV1157" s="2">
        <v>69</v>
      </c>
      <c r="AW1157" s="2" t="s">
        <v>74</v>
      </c>
      <c r="AX1157" s="2" t="s">
        <v>74</v>
      </c>
      <c r="AY1157" s="2" t="s">
        <v>74</v>
      </c>
      <c r="AZ1157" s="2" t="s">
        <v>74</v>
      </c>
      <c r="BA1157" s="2" t="s">
        <v>74</v>
      </c>
      <c r="BB1157" s="2">
        <v>191</v>
      </c>
      <c r="BC1157" s="2">
        <v>195</v>
      </c>
      <c r="BD1157" s="2" t="s">
        <v>74</v>
      </c>
      <c r="BE1157" s="2" t="s">
        <v>6302</v>
      </c>
      <c r="BF1157" s="2" t="str">
        <f>HYPERLINK("http://dx.doi.org/10.1649/0010-065X-69.mo4.191","http://dx.doi.org/10.1649/0010-065X-69.mo4.191")</f>
        <v>http://dx.doi.org/10.1649/0010-065X-69.mo4.191</v>
      </c>
      <c r="BG1157" s="2" t="s">
        <v>74</v>
      </c>
      <c r="BH1157" s="2" t="s">
        <v>74</v>
      </c>
      <c r="BI1157" s="2" t="s">
        <v>74</v>
      </c>
      <c r="BJ1157" s="2" t="s">
        <v>74</v>
      </c>
      <c r="BK1157" s="2" t="s">
        <v>74</v>
      </c>
      <c r="BL1157" s="2" t="s">
        <v>74</v>
      </c>
      <c r="BM1157" s="2" t="s">
        <v>74</v>
      </c>
      <c r="BN1157" s="2" t="s">
        <v>74</v>
      </c>
      <c r="BO1157" s="2" t="s">
        <v>74</v>
      </c>
      <c r="BP1157" s="2" t="s">
        <v>74</v>
      </c>
      <c r="BQ1157" s="2" t="s">
        <v>74</v>
      </c>
      <c r="BR1157" s="2" t="s">
        <v>74</v>
      </c>
      <c r="BS1157" s="2" t="s">
        <v>6303</v>
      </c>
      <c r="BT1157" s="2" t="str">
        <f>HYPERLINK("https%3A%2F%2Fwww.webofscience.com%2Fwos%2Fwoscc%2Ffull-record%2FWOS:000370895200020","View Full Record in Web of Science")</f>
        <v>View Full Record in Web of Science</v>
      </c>
    </row>
    <row r="1158" spans="1:72" s="2" customFormat="1" x14ac:dyDescent="0.4">
      <c r="A1158" s="2" t="s">
        <v>72</v>
      </c>
      <c r="B1158" s="2" t="s">
        <v>7196</v>
      </c>
      <c r="C1158" s="2" t="s">
        <v>74</v>
      </c>
      <c r="D1158" s="2" t="s">
        <v>74</v>
      </c>
      <c r="E1158" s="2" t="s">
        <v>74</v>
      </c>
      <c r="F1158" s="2" t="s">
        <v>7197</v>
      </c>
      <c r="G1158" s="2" t="s">
        <v>74</v>
      </c>
      <c r="H1158" s="2" t="s">
        <v>74</v>
      </c>
      <c r="I1158" s="2" t="s">
        <v>7198</v>
      </c>
      <c r="J1158" s="2" t="s">
        <v>7199</v>
      </c>
      <c r="K1158" s="2" t="s">
        <v>74</v>
      </c>
      <c r="L1158" s="2" t="s">
        <v>74</v>
      </c>
      <c r="M1158" s="2" t="s">
        <v>74</v>
      </c>
      <c r="N1158" s="2" t="s">
        <v>74</v>
      </c>
      <c r="O1158" s="2" t="s">
        <v>74</v>
      </c>
      <c r="P1158" s="2" t="s">
        <v>74</v>
      </c>
      <c r="Q1158" s="2" t="s">
        <v>74</v>
      </c>
      <c r="R1158" s="2" t="s">
        <v>74</v>
      </c>
      <c r="S1158" s="2" t="s">
        <v>74</v>
      </c>
      <c r="T1158" s="2" t="s">
        <v>74</v>
      </c>
      <c r="U1158" s="2" t="s">
        <v>74</v>
      </c>
      <c r="V1158" s="5" t="s">
        <v>7200</v>
      </c>
      <c r="W1158" s="2" t="s">
        <v>74</v>
      </c>
      <c r="X1158" s="2" t="s">
        <v>74</v>
      </c>
      <c r="Y1158" s="2" t="s">
        <v>74</v>
      </c>
      <c r="Z1158" s="2" t="s">
        <v>74</v>
      </c>
      <c r="AA1158" s="2" t="s">
        <v>74</v>
      </c>
      <c r="AB1158" s="2" t="s">
        <v>7201</v>
      </c>
      <c r="AC1158" s="2" t="s">
        <v>74</v>
      </c>
      <c r="AD1158" s="2" t="s">
        <v>74</v>
      </c>
      <c r="AE1158" s="2" t="s">
        <v>74</v>
      </c>
      <c r="AF1158" s="2" t="s">
        <v>74</v>
      </c>
      <c r="AG1158" s="2" t="s">
        <v>74</v>
      </c>
      <c r="AH1158" s="2" t="s">
        <v>74</v>
      </c>
      <c r="AI1158" s="2" t="s">
        <v>74</v>
      </c>
      <c r="AJ1158" s="2" t="s">
        <v>74</v>
      </c>
      <c r="AK1158" s="2" t="s">
        <v>74</v>
      </c>
      <c r="AL1158" s="2" t="s">
        <v>74</v>
      </c>
      <c r="AM1158" s="2" t="s">
        <v>74</v>
      </c>
      <c r="AN1158" s="2" t="s">
        <v>74</v>
      </c>
      <c r="AO1158" s="2" t="s">
        <v>7202</v>
      </c>
      <c r="AP1158" s="2" t="s">
        <v>74</v>
      </c>
      <c r="AQ1158" s="2" t="s">
        <v>74</v>
      </c>
      <c r="AR1158" s="2" t="s">
        <v>74</v>
      </c>
      <c r="AS1158" s="2" t="s">
        <v>74</v>
      </c>
      <c r="AT1158" s="2" t="s">
        <v>7203</v>
      </c>
      <c r="AU1158" s="2">
        <v>2019</v>
      </c>
      <c r="AV1158" s="2">
        <v>13</v>
      </c>
      <c r="AW1158" s="2" t="s">
        <v>74</v>
      </c>
      <c r="AX1158" s="2" t="s">
        <v>74</v>
      </c>
      <c r="AY1158" s="2" t="s">
        <v>74</v>
      </c>
      <c r="AZ1158" s="2" t="s">
        <v>74</v>
      </c>
      <c r="BA1158" s="2" t="s">
        <v>74</v>
      </c>
      <c r="BB1158" s="2" t="s">
        <v>74</v>
      </c>
      <c r="BC1158" s="2" t="s">
        <v>74</v>
      </c>
      <c r="BD1158" s="2">
        <v>36</v>
      </c>
      <c r="BE1158" s="2" t="s">
        <v>7204</v>
      </c>
      <c r="BF1158" s="2" t="str">
        <f>HYPERLINK("http://dx.doi.org/10.3389/fnint.2019.00036","http://dx.doi.org/10.3389/fnint.2019.00036")</f>
        <v>http://dx.doi.org/10.3389/fnint.2019.00036</v>
      </c>
      <c r="BG1158" s="2" t="s">
        <v>74</v>
      </c>
      <c r="BH1158" s="2" t="s">
        <v>74</v>
      </c>
      <c r="BI1158" s="2" t="s">
        <v>74</v>
      </c>
      <c r="BJ1158" s="2" t="s">
        <v>74</v>
      </c>
      <c r="BK1158" s="2" t="s">
        <v>74</v>
      </c>
      <c r="BL1158" s="2" t="s">
        <v>74</v>
      </c>
      <c r="BM1158" s="2" t="s">
        <v>74</v>
      </c>
      <c r="BN1158" s="2">
        <v>31417374</v>
      </c>
      <c r="BO1158" s="2" t="s">
        <v>74</v>
      </c>
      <c r="BP1158" s="2" t="s">
        <v>74</v>
      </c>
      <c r="BQ1158" s="2" t="s">
        <v>74</v>
      </c>
      <c r="BR1158" s="2" t="s">
        <v>74</v>
      </c>
      <c r="BS1158" s="2" t="s">
        <v>7205</v>
      </c>
      <c r="BT1158" s="2" t="str">
        <f>HYPERLINK("https%3A%2F%2Fwww.webofscience.com%2Fwos%2Fwoscc%2Ffull-record%2FWOS:000478020400001","View Full Record in Web of Science")</f>
        <v>View Full Record in Web of Science</v>
      </c>
    </row>
    <row r="1159" spans="1:72" s="2" customFormat="1" x14ac:dyDescent="0.4">
      <c r="A1159" s="2" t="s">
        <v>72</v>
      </c>
      <c r="B1159" s="2" t="s">
        <v>8352</v>
      </c>
      <c r="C1159" s="2" t="s">
        <v>74</v>
      </c>
      <c r="D1159" s="2" t="s">
        <v>74</v>
      </c>
      <c r="E1159" s="2" t="s">
        <v>74</v>
      </c>
      <c r="F1159" s="2" t="s">
        <v>8353</v>
      </c>
      <c r="G1159" s="2" t="s">
        <v>74</v>
      </c>
      <c r="H1159" s="2" t="s">
        <v>74</v>
      </c>
      <c r="I1159" s="2" t="s">
        <v>8354</v>
      </c>
      <c r="J1159" s="2" t="s">
        <v>4836</v>
      </c>
      <c r="K1159" s="2" t="s">
        <v>74</v>
      </c>
      <c r="L1159" s="2" t="s">
        <v>74</v>
      </c>
      <c r="M1159" s="2" t="s">
        <v>74</v>
      </c>
      <c r="N1159" s="2" t="s">
        <v>74</v>
      </c>
      <c r="O1159" s="2" t="s">
        <v>74</v>
      </c>
      <c r="P1159" s="2" t="s">
        <v>74</v>
      </c>
      <c r="Q1159" s="2" t="s">
        <v>74</v>
      </c>
      <c r="R1159" s="2" t="s">
        <v>74</v>
      </c>
      <c r="S1159" s="2" t="s">
        <v>74</v>
      </c>
      <c r="T1159" s="2" t="s">
        <v>74</v>
      </c>
      <c r="U1159" s="2" t="s">
        <v>74</v>
      </c>
      <c r="V1159" s="5" t="s">
        <v>8355</v>
      </c>
      <c r="W1159" s="2" t="s">
        <v>74</v>
      </c>
      <c r="X1159" s="2" t="s">
        <v>74</v>
      </c>
      <c r="Y1159" s="2" t="s">
        <v>74</v>
      </c>
      <c r="Z1159" s="2" t="s">
        <v>74</v>
      </c>
      <c r="AA1159" s="2" t="s">
        <v>74</v>
      </c>
      <c r="AB1159" s="2" t="s">
        <v>74</v>
      </c>
      <c r="AC1159" s="2" t="s">
        <v>74</v>
      </c>
      <c r="AD1159" s="2" t="s">
        <v>74</v>
      </c>
      <c r="AE1159" s="2" t="s">
        <v>74</v>
      </c>
      <c r="AF1159" s="2" t="s">
        <v>74</v>
      </c>
      <c r="AG1159" s="2" t="s">
        <v>74</v>
      </c>
      <c r="AH1159" s="2" t="s">
        <v>74</v>
      </c>
      <c r="AI1159" s="2" t="s">
        <v>74</v>
      </c>
      <c r="AJ1159" s="2" t="s">
        <v>74</v>
      </c>
      <c r="AK1159" s="2" t="s">
        <v>74</v>
      </c>
      <c r="AL1159" s="2" t="s">
        <v>74</v>
      </c>
      <c r="AM1159" s="2" t="s">
        <v>74</v>
      </c>
      <c r="AN1159" s="2" t="s">
        <v>74</v>
      </c>
      <c r="AO1159" s="2" t="s">
        <v>4840</v>
      </c>
      <c r="AP1159" s="2" t="s">
        <v>74</v>
      </c>
      <c r="AQ1159" s="2" t="s">
        <v>74</v>
      </c>
      <c r="AR1159" s="2" t="s">
        <v>74</v>
      </c>
      <c r="AS1159" s="2" t="s">
        <v>74</v>
      </c>
      <c r="AT1159" s="2" t="s">
        <v>204</v>
      </c>
      <c r="AU1159" s="2">
        <v>2014</v>
      </c>
      <c r="AV1159" s="2">
        <v>64</v>
      </c>
      <c r="AW1159" s="2">
        <v>2</v>
      </c>
      <c r="AX1159" s="2" t="s">
        <v>74</v>
      </c>
      <c r="AY1159" s="2" t="s">
        <v>74</v>
      </c>
      <c r="AZ1159" s="2" t="s">
        <v>74</v>
      </c>
      <c r="BA1159" s="2" t="s">
        <v>74</v>
      </c>
      <c r="BB1159" s="2">
        <v>139</v>
      </c>
      <c r="BC1159" s="2">
        <v>167</v>
      </c>
      <c r="BD1159" s="2" t="s">
        <v>74</v>
      </c>
      <c r="BE1159" s="2" t="s">
        <v>74</v>
      </c>
      <c r="BF1159" s="2" t="s">
        <v>74</v>
      </c>
      <c r="BG1159" s="2" t="s">
        <v>74</v>
      </c>
      <c r="BH1159" s="2" t="s">
        <v>74</v>
      </c>
      <c r="BI1159" s="2" t="s">
        <v>74</v>
      </c>
      <c r="BJ1159" s="2" t="s">
        <v>74</v>
      </c>
      <c r="BK1159" s="2" t="s">
        <v>74</v>
      </c>
      <c r="BL1159" s="2" t="s">
        <v>74</v>
      </c>
      <c r="BM1159" s="2" t="s">
        <v>74</v>
      </c>
      <c r="BN1159" s="2" t="s">
        <v>74</v>
      </c>
      <c r="BO1159" s="2" t="s">
        <v>74</v>
      </c>
      <c r="BP1159" s="2" t="s">
        <v>74</v>
      </c>
      <c r="BQ1159" s="2" t="s">
        <v>74</v>
      </c>
      <c r="BR1159" s="2" t="s">
        <v>74</v>
      </c>
      <c r="BS1159" s="2" t="s">
        <v>8356</v>
      </c>
      <c r="BT1159" s="2" t="str">
        <f>HYPERLINK("https%3A%2F%2Fwww.webofscience.com%2Fwos%2Fwoscc%2Ffull-record%2FWOS:000341406400001","View Full Record in Web of Science")</f>
        <v>View Full Record in Web of Science</v>
      </c>
    </row>
    <row r="1160" spans="1:72" s="2" customFormat="1" x14ac:dyDescent="0.4">
      <c r="A1160" s="2" t="s">
        <v>72</v>
      </c>
      <c r="B1160" s="2" t="s">
        <v>7571</v>
      </c>
      <c r="C1160" s="2" t="s">
        <v>74</v>
      </c>
      <c r="D1160" s="2" t="s">
        <v>74</v>
      </c>
      <c r="E1160" s="2" t="s">
        <v>74</v>
      </c>
      <c r="F1160" s="2" t="s">
        <v>7572</v>
      </c>
      <c r="G1160" s="2" t="s">
        <v>74</v>
      </c>
      <c r="H1160" s="2" t="s">
        <v>74</v>
      </c>
      <c r="I1160" s="2" t="s">
        <v>7573</v>
      </c>
      <c r="J1160" s="2" t="s">
        <v>77</v>
      </c>
      <c r="K1160" s="2" t="s">
        <v>74</v>
      </c>
      <c r="L1160" s="2" t="s">
        <v>74</v>
      </c>
      <c r="M1160" s="2" t="s">
        <v>74</v>
      </c>
      <c r="N1160" s="2" t="s">
        <v>74</v>
      </c>
      <c r="O1160" s="2" t="s">
        <v>74</v>
      </c>
      <c r="P1160" s="2" t="s">
        <v>74</v>
      </c>
      <c r="Q1160" s="2" t="s">
        <v>74</v>
      </c>
      <c r="R1160" s="2" t="s">
        <v>74</v>
      </c>
      <c r="S1160" s="2" t="s">
        <v>74</v>
      </c>
      <c r="T1160" s="2" t="s">
        <v>74</v>
      </c>
      <c r="U1160" s="2" t="s">
        <v>74</v>
      </c>
      <c r="V1160" s="5" t="s">
        <v>7574</v>
      </c>
      <c r="W1160" s="2" t="s">
        <v>74</v>
      </c>
      <c r="X1160" s="2" t="s">
        <v>74</v>
      </c>
      <c r="Y1160" s="2" t="s">
        <v>74</v>
      </c>
      <c r="Z1160" s="2" t="s">
        <v>74</v>
      </c>
      <c r="AA1160" s="2" t="s">
        <v>74</v>
      </c>
      <c r="AB1160" s="2" t="s">
        <v>7575</v>
      </c>
      <c r="AC1160" s="2" t="s">
        <v>74</v>
      </c>
      <c r="AD1160" s="2" t="s">
        <v>74</v>
      </c>
      <c r="AE1160" s="2" t="s">
        <v>74</v>
      </c>
      <c r="AF1160" s="2" t="s">
        <v>74</v>
      </c>
      <c r="AG1160" s="2" t="s">
        <v>74</v>
      </c>
      <c r="AH1160" s="2" t="s">
        <v>74</v>
      </c>
      <c r="AI1160" s="2" t="s">
        <v>74</v>
      </c>
      <c r="AJ1160" s="2" t="s">
        <v>74</v>
      </c>
      <c r="AK1160" s="2" t="s">
        <v>74</v>
      </c>
      <c r="AL1160" s="2" t="s">
        <v>74</v>
      </c>
      <c r="AM1160" s="2" t="s">
        <v>74</v>
      </c>
      <c r="AN1160" s="2" t="s">
        <v>74</v>
      </c>
      <c r="AO1160" s="2" t="s">
        <v>81</v>
      </c>
      <c r="AP1160" s="2" t="s">
        <v>82</v>
      </c>
      <c r="AQ1160" s="2" t="s">
        <v>74</v>
      </c>
      <c r="AR1160" s="2" t="s">
        <v>74</v>
      </c>
      <c r="AS1160" s="2" t="s">
        <v>74</v>
      </c>
      <c r="AT1160" s="2" t="s">
        <v>255</v>
      </c>
      <c r="AU1160" s="2">
        <v>2019</v>
      </c>
      <c r="AV1160" s="2">
        <v>156</v>
      </c>
      <c r="AW1160" s="2">
        <v>2</v>
      </c>
      <c r="AX1160" s="2" t="s">
        <v>74</v>
      </c>
      <c r="AY1160" s="2" t="s">
        <v>74</v>
      </c>
      <c r="AZ1160" s="2" t="s">
        <v>74</v>
      </c>
      <c r="BA1160" s="2" t="s">
        <v>74</v>
      </c>
      <c r="BB1160" s="2">
        <v>131</v>
      </c>
      <c r="BC1160" s="2">
        <v>153</v>
      </c>
      <c r="BD1160" s="2" t="s">
        <v>74</v>
      </c>
      <c r="BE1160" s="2" t="s">
        <v>7576</v>
      </c>
      <c r="BF1160" s="2" t="str">
        <f>HYPERLINK("http://dx.doi.org/10.1163/1568539X-00003533","http://dx.doi.org/10.1163/1568539X-00003533")</f>
        <v>http://dx.doi.org/10.1163/1568539X-00003533</v>
      </c>
      <c r="BG1160" s="2" t="s">
        <v>74</v>
      </c>
      <c r="BH1160" s="2" t="s">
        <v>74</v>
      </c>
      <c r="BI1160" s="2" t="s">
        <v>74</v>
      </c>
      <c r="BJ1160" s="2" t="s">
        <v>74</v>
      </c>
      <c r="BK1160" s="2" t="s">
        <v>74</v>
      </c>
      <c r="BL1160" s="2" t="s">
        <v>74</v>
      </c>
      <c r="BM1160" s="2" t="s">
        <v>74</v>
      </c>
      <c r="BN1160" s="2" t="s">
        <v>74</v>
      </c>
      <c r="BO1160" s="2" t="s">
        <v>74</v>
      </c>
      <c r="BP1160" s="2" t="s">
        <v>74</v>
      </c>
      <c r="BQ1160" s="2" t="s">
        <v>74</v>
      </c>
      <c r="BR1160" s="2" t="s">
        <v>74</v>
      </c>
      <c r="BS1160" s="2" t="s">
        <v>7577</v>
      </c>
      <c r="BT1160" s="2" t="str">
        <f>HYPERLINK("https%3A%2F%2Fwww.webofscience.com%2Fwos%2Fwoscc%2Ffull-record%2FWOS:000457844100002","View Full Record in Web of Science")</f>
        <v>View Full Record in Web of Science</v>
      </c>
    </row>
    <row r="1161" spans="1:72" s="2" customFormat="1" x14ac:dyDescent="0.4">
      <c r="A1161" s="2" t="s">
        <v>72</v>
      </c>
      <c r="B1161" s="2" t="s">
        <v>6843</v>
      </c>
      <c r="C1161" s="2" t="s">
        <v>74</v>
      </c>
      <c r="D1161" s="2" t="s">
        <v>74</v>
      </c>
      <c r="E1161" s="2" t="s">
        <v>74</v>
      </c>
      <c r="F1161" s="2" t="s">
        <v>6844</v>
      </c>
      <c r="G1161" s="2" t="s">
        <v>74</v>
      </c>
      <c r="H1161" s="2" t="s">
        <v>74</v>
      </c>
      <c r="I1161" s="2" t="s">
        <v>6845</v>
      </c>
      <c r="J1161" s="2" t="s">
        <v>5684</v>
      </c>
      <c r="K1161" s="2" t="s">
        <v>74</v>
      </c>
      <c r="L1161" s="2" t="s">
        <v>74</v>
      </c>
      <c r="M1161" s="2" t="s">
        <v>74</v>
      </c>
      <c r="N1161" s="2" t="s">
        <v>74</v>
      </c>
      <c r="O1161" s="2" t="s">
        <v>74</v>
      </c>
      <c r="P1161" s="2" t="s">
        <v>74</v>
      </c>
      <c r="Q1161" s="2" t="s">
        <v>74</v>
      </c>
      <c r="R1161" s="2" t="s">
        <v>74</v>
      </c>
      <c r="S1161" s="2" t="s">
        <v>74</v>
      </c>
      <c r="T1161" s="2" t="s">
        <v>74</v>
      </c>
      <c r="U1161" s="2" t="s">
        <v>74</v>
      </c>
      <c r="V1161" s="5" t="s">
        <v>6846</v>
      </c>
      <c r="W1161" s="2" t="s">
        <v>74</v>
      </c>
      <c r="X1161" s="2" t="s">
        <v>74</v>
      </c>
      <c r="Y1161" s="2" t="s">
        <v>74</v>
      </c>
      <c r="Z1161" s="2" t="s">
        <v>74</v>
      </c>
      <c r="AA1161" s="2" t="s">
        <v>74</v>
      </c>
      <c r="AB1161" s="2" t="s">
        <v>74</v>
      </c>
      <c r="AC1161" s="2" t="s">
        <v>74</v>
      </c>
      <c r="AD1161" s="2" t="s">
        <v>74</v>
      </c>
      <c r="AE1161" s="2" t="s">
        <v>74</v>
      </c>
      <c r="AF1161" s="2" t="s">
        <v>74</v>
      </c>
      <c r="AG1161" s="2" t="s">
        <v>74</v>
      </c>
      <c r="AH1161" s="2" t="s">
        <v>74</v>
      </c>
      <c r="AI1161" s="2" t="s">
        <v>74</v>
      </c>
      <c r="AJ1161" s="2" t="s">
        <v>74</v>
      </c>
      <c r="AK1161" s="2" t="s">
        <v>74</v>
      </c>
      <c r="AL1161" s="2" t="s">
        <v>74</v>
      </c>
      <c r="AM1161" s="2" t="s">
        <v>74</v>
      </c>
      <c r="AN1161" s="2" t="s">
        <v>74</v>
      </c>
      <c r="AO1161" s="2" t="s">
        <v>5688</v>
      </c>
      <c r="AP1161" s="2" t="s">
        <v>5689</v>
      </c>
      <c r="AQ1161" s="2" t="s">
        <v>74</v>
      </c>
      <c r="AR1161" s="2" t="s">
        <v>74</v>
      </c>
      <c r="AS1161" s="2" t="s">
        <v>74</v>
      </c>
      <c r="AT1161" s="2" t="s">
        <v>964</v>
      </c>
      <c r="AU1161" s="2">
        <v>2011</v>
      </c>
      <c r="AV1161" s="2">
        <v>67</v>
      </c>
      <c r="AW1161" s="2">
        <v>2</v>
      </c>
      <c r="AX1161" s="2" t="s">
        <v>74</v>
      </c>
      <c r="AY1161" s="2" t="s">
        <v>74</v>
      </c>
      <c r="AZ1161" s="2" t="s">
        <v>74</v>
      </c>
      <c r="BA1161" s="2" t="s">
        <v>74</v>
      </c>
      <c r="BB1161" s="2">
        <v>162</v>
      </c>
      <c r="BC1161" s="2">
        <v>169</v>
      </c>
      <c r="BD1161" s="2" t="s">
        <v>74</v>
      </c>
      <c r="BE1161" s="2" t="s">
        <v>6847</v>
      </c>
      <c r="BF1161" s="2" t="str">
        <f>HYPERLINK("http://dx.doi.org/10.1002/ps.2045","http://dx.doi.org/10.1002/ps.2045")</f>
        <v>http://dx.doi.org/10.1002/ps.2045</v>
      </c>
      <c r="BG1161" s="2" t="s">
        <v>74</v>
      </c>
      <c r="BH1161" s="2" t="s">
        <v>74</v>
      </c>
      <c r="BI1161" s="2" t="s">
        <v>74</v>
      </c>
      <c r="BJ1161" s="2" t="s">
        <v>74</v>
      </c>
      <c r="BK1161" s="2" t="s">
        <v>74</v>
      </c>
      <c r="BL1161" s="2" t="s">
        <v>74</v>
      </c>
      <c r="BM1161" s="2" t="s">
        <v>74</v>
      </c>
      <c r="BN1161" s="2">
        <v>20981740</v>
      </c>
      <c r="BO1161" s="2" t="s">
        <v>74</v>
      </c>
      <c r="BP1161" s="2" t="s">
        <v>74</v>
      </c>
      <c r="BQ1161" s="2" t="s">
        <v>74</v>
      </c>
      <c r="BR1161" s="2" t="s">
        <v>74</v>
      </c>
      <c r="BS1161" s="2" t="s">
        <v>6848</v>
      </c>
      <c r="BT1161" s="2" t="str">
        <f>HYPERLINK("https%3A%2F%2Fwww.webofscience.com%2Fwos%2Fwoscc%2Ffull-record%2FWOS:000286071200005","View Full Record in Web of Science")</f>
        <v>View Full Record in Web of Science</v>
      </c>
    </row>
    <row r="1162" spans="1:72" s="2" customFormat="1" x14ac:dyDescent="0.4">
      <c r="A1162" s="2" t="s">
        <v>72</v>
      </c>
      <c r="B1162" s="2" t="s">
        <v>7665</v>
      </c>
      <c r="C1162" s="2" t="s">
        <v>74</v>
      </c>
      <c r="D1162" s="2" t="s">
        <v>74</v>
      </c>
      <c r="E1162" s="2" t="s">
        <v>74</v>
      </c>
      <c r="F1162" s="2" t="s">
        <v>7666</v>
      </c>
      <c r="G1162" s="2" t="s">
        <v>74</v>
      </c>
      <c r="H1162" s="2" t="s">
        <v>74</v>
      </c>
      <c r="I1162" s="2" t="s">
        <v>7667</v>
      </c>
      <c r="J1162" s="2" t="s">
        <v>5937</v>
      </c>
      <c r="K1162" s="2" t="s">
        <v>74</v>
      </c>
      <c r="L1162" s="2" t="s">
        <v>74</v>
      </c>
      <c r="M1162" s="2" t="s">
        <v>74</v>
      </c>
      <c r="N1162" s="2" t="s">
        <v>74</v>
      </c>
      <c r="O1162" s="2" t="s">
        <v>74</v>
      </c>
      <c r="P1162" s="2" t="s">
        <v>74</v>
      </c>
      <c r="Q1162" s="2" t="s">
        <v>74</v>
      </c>
      <c r="R1162" s="2" t="s">
        <v>74</v>
      </c>
      <c r="S1162" s="2" t="s">
        <v>74</v>
      </c>
      <c r="T1162" s="2" t="s">
        <v>74</v>
      </c>
      <c r="U1162" s="2" t="s">
        <v>74</v>
      </c>
      <c r="V1162" s="5" t="s">
        <v>7668</v>
      </c>
      <c r="W1162" s="2" t="s">
        <v>74</v>
      </c>
      <c r="X1162" s="2" t="s">
        <v>74</v>
      </c>
      <c r="Y1162" s="2" t="s">
        <v>74</v>
      </c>
      <c r="Z1162" s="2" t="s">
        <v>74</v>
      </c>
      <c r="AA1162" s="2" t="s">
        <v>7669</v>
      </c>
      <c r="AB1162" s="2" t="s">
        <v>7670</v>
      </c>
      <c r="AC1162" s="2" t="s">
        <v>74</v>
      </c>
      <c r="AD1162" s="2" t="s">
        <v>74</v>
      </c>
      <c r="AE1162" s="2" t="s">
        <v>74</v>
      </c>
      <c r="AF1162" s="2" t="s">
        <v>74</v>
      </c>
      <c r="AG1162" s="2" t="s">
        <v>74</v>
      </c>
      <c r="AH1162" s="2" t="s">
        <v>74</v>
      </c>
      <c r="AI1162" s="2" t="s">
        <v>74</v>
      </c>
      <c r="AJ1162" s="2" t="s">
        <v>74</v>
      </c>
      <c r="AK1162" s="2" t="s">
        <v>74</v>
      </c>
      <c r="AL1162" s="2" t="s">
        <v>74</v>
      </c>
      <c r="AM1162" s="2" t="s">
        <v>74</v>
      </c>
      <c r="AN1162" s="2" t="s">
        <v>74</v>
      </c>
      <c r="AO1162" s="2" t="s">
        <v>5941</v>
      </c>
      <c r="AP1162" s="2" t="s">
        <v>74</v>
      </c>
      <c r="AQ1162" s="2" t="s">
        <v>74</v>
      </c>
      <c r="AR1162" s="2" t="s">
        <v>74</v>
      </c>
      <c r="AS1162" s="2" t="s">
        <v>74</v>
      </c>
      <c r="AT1162" s="2" t="s">
        <v>964</v>
      </c>
      <c r="AU1162" s="2">
        <v>2023</v>
      </c>
      <c r="AV1162" s="2">
        <v>13</v>
      </c>
      <c r="AW1162" s="2">
        <v>4</v>
      </c>
      <c r="AX1162" s="2" t="s">
        <v>74</v>
      </c>
      <c r="AY1162" s="2" t="s">
        <v>74</v>
      </c>
      <c r="AZ1162" s="2" t="s">
        <v>74</v>
      </c>
      <c r="BA1162" s="2" t="s">
        <v>74</v>
      </c>
      <c r="BB1162" s="2" t="s">
        <v>74</v>
      </c>
      <c r="BC1162" s="2" t="s">
        <v>74</v>
      </c>
      <c r="BD1162" s="2">
        <v>753</v>
      </c>
      <c r="BE1162" s="2" t="s">
        <v>7671</v>
      </c>
      <c r="BF1162" s="2" t="str">
        <f>HYPERLINK("http://dx.doi.org/10.3390/ani13040753","http://dx.doi.org/10.3390/ani13040753")</f>
        <v>http://dx.doi.org/10.3390/ani13040753</v>
      </c>
      <c r="BG1162" s="2" t="s">
        <v>74</v>
      </c>
      <c r="BH1162" s="2" t="s">
        <v>74</v>
      </c>
      <c r="BI1162" s="2" t="s">
        <v>74</v>
      </c>
      <c r="BJ1162" s="2" t="s">
        <v>74</v>
      </c>
      <c r="BK1162" s="2" t="s">
        <v>74</v>
      </c>
      <c r="BL1162" s="2" t="s">
        <v>74</v>
      </c>
      <c r="BM1162" s="2" t="s">
        <v>74</v>
      </c>
      <c r="BN1162" s="2">
        <v>36830540</v>
      </c>
      <c r="BO1162" s="2" t="s">
        <v>74</v>
      </c>
      <c r="BP1162" s="2" t="s">
        <v>74</v>
      </c>
      <c r="BQ1162" s="2" t="s">
        <v>74</v>
      </c>
      <c r="BR1162" s="2" t="s">
        <v>74</v>
      </c>
      <c r="BS1162" s="2" t="s">
        <v>7672</v>
      </c>
      <c r="BT1162" s="2" t="str">
        <f>HYPERLINK("https%3A%2F%2Fwww.webofscience.com%2Fwos%2Fwoscc%2Ffull-record%2FWOS:000938298300001","View Full Record in Web of Science")</f>
        <v>View Full Record in Web of Science</v>
      </c>
    </row>
    <row r="1163" spans="1:72" s="1" customFormat="1" x14ac:dyDescent="0.4">
      <c r="A1163" s="2" t="s">
        <v>72</v>
      </c>
      <c r="B1163" s="2" t="s">
        <v>137</v>
      </c>
      <c r="C1163" s="2" t="s">
        <v>74</v>
      </c>
      <c r="D1163" s="2" t="s">
        <v>74</v>
      </c>
      <c r="E1163" s="2" t="s">
        <v>74</v>
      </c>
      <c r="F1163" s="2" t="s">
        <v>138</v>
      </c>
      <c r="G1163" s="2" t="s">
        <v>74</v>
      </c>
      <c r="H1163" s="2" t="s">
        <v>74</v>
      </c>
      <c r="I1163" s="2" t="s">
        <v>139</v>
      </c>
      <c r="J1163" s="2" t="s">
        <v>140</v>
      </c>
      <c r="K1163" s="2" t="s">
        <v>74</v>
      </c>
      <c r="L1163" s="2" t="s">
        <v>74</v>
      </c>
      <c r="M1163" s="2" t="s">
        <v>74</v>
      </c>
      <c r="N1163" s="2" t="s">
        <v>74</v>
      </c>
      <c r="O1163" s="2" t="s">
        <v>74</v>
      </c>
      <c r="P1163" s="2" t="s">
        <v>74</v>
      </c>
      <c r="Q1163" s="2" t="s">
        <v>74</v>
      </c>
      <c r="R1163" s="2" t="s">
        <v>74</v>
      </c>
      <c r="S1163" s="2" t="s">
        <v>74</v>
      </c>
      <c r="T1163" s="2" t="s">
        <v>74</v>
      </c>
      <c r="U1163" s="2" t="s">
        <v>74</v>
      </c>
      <c r="V1163" s="5" t="s">
        <v>141</v>
      </c>
      <c r="W1163" s="2" t="s">
        <v>74</v>
      </c>
      <c r="X1163" s="2" t="s">
        <v>74</v>
      </c>
      <c r="Y1163" s="2" t="s">
        <v>74</v>
      </c>
      <c r="Z1163" s="2" t="s">
        <v>74</v>
      </c>
      <c r="AA1163" s="2" t="s">
        <v>74</v>
      </c>
      <c r="AB1163" s="2" t="s">
        <v>142</v>
      </c>
      <c r="AC1163" s="2" t="s">
        <v>74</v>
      </c>
      <c r="AD1163" s="2" t="s">
        <v>74</v>
      </c>
      <c r="AE1163" s="2" t="s">
        <v>74</v>
      </c>
      <c r="AF1163" s="2" t="s">
        <v>74</v>
      </c>
      <c r="AG1163" s="2" t="s">
        <v>74</v>
      </c>
      <c r="AH1163" s="2" t="s">
        <v>74</v>
      </c>
      <c r="AI1163" s="2" t="s">
        <v>74</v>
      </c>
      <c r="AJ1163" s="2" t="s">
        <v>74</v>
      </c>
      <c r="AK1163" s="2" t="s">
        <v>74</v>
      </c>
      <c r="AL1163" s="2" t="s">
        <v>74</v>
      </c>
      <c r="AM1163" s="2" t="s">
        <v>74</v>
      </c>
      <c r="AN1163" s="2" t="s">
        <v>74</v>
      </c>
      <c r="AO1163" s="2" t="s">
        <v>143</v>
      </c>
      <c r="AP1163" s="2" t="s">
        <v>144</v>
      </c>
      <c r="AQ1163" s="2" t="s">
        <v>74</v>
      </c>
      <c r="AR1163" s="2" t="s">
        <v>74</v>
      </c>
      <c r="AS1163" s="2" t="s">
        <v>74</v>
      </c>
      <c r="AT1163" s="2" t="s">
        <v>145</v>
      </c>
      <c r="AU1163" s="2">
        <v>2015</v>
      </c>
      <c r="AV1163" s="2">
        <v>106</v>
      </c>
      <c r="AW1163" s="2" t="s">
        <v>74</v>
      </c>
      <c r="AX1163" s="2" t="s">
        <v>74</v>
      </c>
      <c r="AY1163" s="2" t="s">
        <v>74</v>
      </c>
      <c r="AZ1163" s="2" t="s">
        <v>74</v>
      </c>
      <c r="BA1163" s="2" t="s">
        <v>74</v>
      </c>
      <c r="BB1163" s="2">
        <v>171</v>
      </c>
      <c r="BC1163" s="2">
        <v>179</v>
      </c>
      <c r="BD1163" s="2" t="s">
        <v>74</v>
      </c>
      <c r="BE1163" s="2" t="s">
        <v>146</v>
      </c>
      <c r="BF1163" s="2" t="str">
        <f>HYPERLINK("http://dx.doi.org/10.1016/j.anbehav.2015.05.016","http://dx.doi.org/10.1016/j.anbehav.2015.05.016")</f>
        <v>http://dx.doi.org/10.1016/j.anbehav.2015.05.016</v>
      </c>
      <c r="BG1163" s="2" t="s">
        <v>74</v>
      </c>
      <c r="BH1163" s="2" t="s">
        <v>74</v>
      </c>
      <c r="BI1163" s="2" t="s">
        <v>74</v>
      </c>
      <c r="BJ1163" s="2" t="s">
        <v>74</v>
      </c>
      <c r="BK1163" s="2" t="s">
        <v>74</v>
      </c>
      <c r="BL1163" s="2" t="s">
        <v>74</v>
      </c>
      <c r="BM1163" s="2" t="s">
        <v>74</v>
      </c>
      <c r="BN1163" s="2" t="s">
        <v>74</v>
      </c>
      <c r="BO1163" s="2" t="s">
        <v>74</v>
      </c>
      <c r="BP1163" s="2" t="s">
        <v>74</v>
      </c>
      <c r="BQ1163" s="2" t="s">
        <v>74</v>
      </c>
      <c r="BR1163" s="2" t="s">
        <v>74</v>
      </c>
      <c r="BS1163" s="2" t="s">
        <v>147</v>
      </c>
      <c r="BT1163" s="2" t="str">
        <f>HYPERLINK("https%3A%2F%2Fwww.webofscience.com%2Fwos%2Fwoscc%2Ffull-record%2FWOS:000358315700022","View Full Record in Web of Science")</f>
        <v>View Full Record in Web of Science</v>
      </c>
    </row>
  </sheetData>
  <sortState xmlns:xlrd2="http://schemas.microsoft.com/office/spreadsheetml/2017/richdata2" ref="A2:BT1163">
    <sortCondition sortBy="cellColor" ref="F2:F1163" dxfId="1"/>
    <sortCondition descending="1" sortBy="cellColor" ref="F2:F1163" dxfId="0"/>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4CEE0-A15A-4D69-A3A4-DFACC8EFB335}">
  <dimension ref="A1:LB1163"/>
  <sheetViews>
    <sheetView tabSelected="1" topLeftCell="F1" zoomScaleNormal="100" workbookViewId="0">
      <selection activeCell="F69" sqref="F69:F102"/>
    </sheetView>
  </sheetViews>
  <sheetFormatPr defaultRowHeight="15" x14ac:dyDescent="0.4"/>
  <cols>
    <col min="1" max="5" width="0" hidden="1" customWidth="1"/>
    <col min="6" max="6" width="19.06640625" customWidth="1"/>
    <col min="7" max="8" width="0" hidden="1" customWidth="1"/>
    <col min="9" max="9" width="245.73046875" bestFit="1" customWidth="1"/>
    <col min="11" max="21" width="0" hidden="1" customWidth="1"/>
    <col min="22" max="22" width="255.59765625" style="3" bestFit="1" customWidth="1"/>
    <col min="23" max="45" width="0" hidden="1" customWidth="1"/>
    <col min="59" max="73" width="0" hidden="1" customWidth="1"/>
  </cols>
  <sheetData>
    <row r="1" spans="1:314"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3"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314" s="7" customFormat="1" x14ac:dyDescent="0.4">
      <c r="A2" s="1" t="s">
        <v>72</v>
      </c>
      <c r="B2" s="1" t="s">
        <v>3477</v>
      </c>
      <c r="C2" s="1" t="s">
        <v>74</v>
      </c>
      <c r="D2" s="1" t="s">
        <v>74</v>
      </c>
      <c r="E2" s="1" t="s">
        <v>74</v>
      </c>
      <c r="F2" s="1" t="s">
        <v>3477</v>
      </c>
      <c r="G2" s="1" t="s">
        <v>74</v>
      </c>
      <c r="H2" s="1" t="s">
        <v>74</v>
      </c>
      <c r="I2" s="1" t="s">
        <v>3478</v>
      </c>
      <c r="J2" s="1" t="s">
        <v>77</v>
      </c>
      <c r="K2" s="1" t="s">
        <v>74</v>
      </c>
      <c r="L2" s="1" t="s">
        <v>74</v>
      </c>
      <c r="M2" s="1" t="s">
        <v>74</v>
      </c>
      <c r="N2" s="1" t="s">
        <v>74</v>
      </c>
      <c r="O2" s="1" t="s">
        <v>74</v>
      </c>
      <c r="P2" s="1" t="s">
        <v>74</v>
      </c>
      <c r="Q2" s="1" t="s">
        <v>74</v>
      </c>
      <c r="R2" s="1" t="s">
        <v>74</v>
      </c>
      <c r="S2" s="1" t="s">
        <v>74</v>
      </c>
      <c r="T2" s="1" t="s">
        <v>74</v>
      </c>
      <c r="U2" s="1" t="s">
        <v>74</v>
      </c>
      <c r="V2" s="4" t="s">
        <v>3479</v>
      </c>
      <c r="W2" s="1" t="s">
        <v>74</v>
      </c>
      <c r="X2" s="1" t="s">
        <v>74</v>
      </c>
      <c r="Y2" s="1" t="s">
        <v>74</v>
      </c>
      <c r="Z2" s="1" t="s">
        <v>74</v>
      </c>
      <c r="AA2" s="1" t="s">
        <v>74</v>
      </c>
      <c r="AB2" s="1" t="s">
        <v>1774</v>
      </c>
      <c r="AC2" s="1" t="s">
        <v>74</v>
      </c>
      <c r="AD2" s="1" t="s">
        <v>74</v>
      </c>
      <c r="AE2" s="1" t="s">
        <v>74</v>
      </c>
      <c r="AF2" s="1" t="s">
        <v>74</v>
      </c>
      <c r="AG2" s="1" t="s">
        <v>74</v>
      </c>
      <c r="AH2" s="1" t="s">
        <v>74</v>
      </c>
      <c r="AI2" s="1" t="s">
        <v>74</v>
      </c>
      <c r="AJ2" s="1" t="s">
        <v>74</v>
      </c>
      <c r="AK2" s="1" t="s">
        <v>74</v>
      </c>
      <c r="AL2" s="1" t="s">
        <v>74</v>
      </c>
      <c r="AM2" s="1" t="s">
        <v>74</v>
      </c>
      <c r="AN2" s="1" t="s">
        <v>74</v>
      </c>
      <c r="AO2" s="1" t="s">
        <v>81</v>
      </c>
      <c r="AP2" s="1" t="s">
        <v>74</v>
      </c>
      <c r="AQ2" s="1" t="s">
        <v>74</v>
      </c>
      <c r="AR2" s="1" t="s">
        <v>74</v>
      </c>
      <c r="AS2" s="1" t="s">
        <v>74</v>
      </c>
      <c r="AT2" s="1" t="s">
        <v>305</v>
      </c>
      <c r="AU2" s="1">
        <v>1996</v>
      </c>
      <c r="AV2" s="1">
        <v>133</v>
      </c>
      <c r="AW2" s="1" t="s">
        <v>74</v>
      </c>
      <c r="AX2" s="1" t="s">
        <v>3480</v>
      </c>
      <c r="AY2" s="1" t="s">
        <v>74</v>
      </c>
      <c r="AZ2" s="1" t="s">
        <v>74</v>
      </c>
      <c r="BA2" s="1" t="s">
        <v>74</v>
      </c>
      <c r="BB2" s="1">
        <v>1265</v>
      </c>
      <c r="BC2" s="1">
        <v>1279</v>
      </c>
      <c r="BD2" s="1" t="s">
        <v>74</v>
      </c>
      <c r="BE2" s="1" t="s">
        <v>3481</v>
      </c>
      <c r="BF2" s="1" t="str">
        <f>HYPERLINK("http://dx.doi.org/10.1163/156853996X00396","http://dx.doi.org/10.1163/156853996X00396")</f>
        <v>http://dx.doi.org/10.1163/156853996X00396</v>
      </c>
      <c r="BG2" s="1" t="s">
        <v>74</v>
      </c>
      <c r="BH2" s="1" t="s">
        <v>74</v>
      </c>
      <c r="BI2" s="1" t="s">
        <v>74</v>
      </c>
      <c r="BJ2" s="1" t="s">
        <v>74</v>
      </c>
      <c r="BK2" s="1" t="s">
        <v>74</v>
      </c>
      <c r="BL2" s="1" t="s">
        <v>74</v>
      </c>
      <c r="BM2" s="1" t="s">
        <v>74</v>
      </c>
      <c r="BN2" s="1" t="s">
        <v>74</v>
      </c>
      <c r="BO2" s="1" t="s">
        <v>74</v>
      </c>
      <c r="BP2" s="1" t="s">
        <v>74</v>
      </c>
      <c r="BQ2" s="1" t="s">
        <v>74</v>
      </c>
      <c r="BR2" s="1" t="s">
        <v>74</v>
      </c>
      <c r="BS2" s="1" t="s">
        <v>3482</v>
      </c>
      <c r="BT2" s="1" t="str">
        <f>HYPERLINK("https%3A%2F%2Fwww.webofscience.com%2Fwos%2Fwoscc%2Ffull-record%2FWOS:A1996WF81400008","View Full Record in Web of Science")</f>
        <v>View Full Record in Web of Science</v>
      </c>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row>
    <row r="3" spans="1:314" s="2" customFormat="1" x14ac:dyDescent="0.4">
      <c r="A3" s="1" t="s">
        <v>72</v>
      </c>
      <c r="B3" s="1" t="s">
        <v>1585</v>
      </c>
      <c r="C3" s="1" t="s">
        <v>74</v>
      </c>
      <c r="D3" s="1" t="s">
        <v>74</v>
      </c>
      <c r="E3" s="1" t="s">
        <v>74</v>
      </c>
      <c r="F3" s="1" t="s">
        <v>1586</v>
      </c>
      <c r="G3" s="1" t="s">
        <v>74</v>
      </c>
      <c r="H3" s="1" t="s">
        <v>74</v>
      </c>
      <c r="I3" s="1" t="s">
        <v>1587</v>
      </c>
      <c r="J3" s="1" t="s">
        <v>775</v>
      </c>
      <c r="K3" s="1" t="s">
        <v>74</v>
      </c>
      <c r="L3" s="1" t="s">
        <v>74</v>
      </c>
      <c r="M3" s="1" t="s">
        <v>74</v>
      </c>
      <c r="N3" s="1" t="s">
        <v>74</v>
      </c>
      <c r="O3" s="1" t="s">
        <v>74</v>
      </c>
      <c r="P3" s="1" t="s">
        <v>74</v>
      </c>
      <c r="Q3" s="1" t="s">
        <v>74</v>
      </c>
      <c r="R3" s="1" t="s">
        <v>74</v>
      </c>
      <c r="S3" s="1" t="s">
        <v>74</v>
      </c>
      <c r="T3" s="1" t="s">
        <v>74</v>
      </c>
      <c r="U3" s="1" t="s">
        <v>74</v>
      </c>
      <c r="V3" s="4" t="s">
        <v>1588</v>
      </c>
      <c r="W3" s="1" t="s">
        <v>74</v>
      </c>
      <c r="X3" s="1" t="s">
        <v>74</v>
      </c>
      <c r="Y3" s="1" t="s">
        <v>74</v>
      </c>
      <c r="Z3" s="1" t="s">
        <v>74</v>
      </c>
      <c r="AA3" s="1" t="s">
        <v>1589</v>
      </c>
      <c r="AB3" s="1" t="s">
        <v>1590</v>
      </c>
      <c r="AC3" s="1" t="s">
        <v>74</v>
      </c>
      <c r="AD3" s="1" t="s">
        <v>74</v>
      </c>
      <c r="AE3" s="1" t="s">
        <v>74</v>
      </c>
      <c r="AF3" s="1" t="s">
        <v>74</v>
      </c>
      <c r="AG3" s="1" t="s">
        <v>74</v>
      </c>
      <c r="AH3" s="1" t="s">
        <v>74</v>
      </c>
      <c r="AI3" s="1" t="s">
        <v>74</v>
      </c>
      <c r="AJ3" s="1" t="s">
        <v>74</v>
      </c>
      <c r="AK3" s="1" t="s">
        <v>74</v>
      </c>
      <c r="AL3" s="1" t="s">
        <v>74</v>
      </c>
      <c r="AM3" s="1" t="s">
        <v>74</v>
      </c>
      <c r="AN3" s="1" t="s">
        <v>74</v>
      </c>
      <c r="AO3" s="1" t="s">
        <v>778</v>
      </c>
      <c r="AP3" s="1" t="s">
        <v>779</v>
      </c>
      <c r="AQ3" s="1" t="s">
        <v>74</v>
      </c>
      <c r="AR3" s="1" t="s">
        <v>74</v>
      </c>
      <c r="AS3" s="1" t="s">
        <v>74</v>
      </c>
      <c r="AT3" s="1" t="s">
        <v>964</v>
      </c>
      <c r="AU3" s="1">
        <v>2017</v>
      </c>
      <c r="AV3" s="1">
        <v>63</v>
      </c>
      <c r="AW3" s="1">
        <v>1</v>
      </c>
      <c r="AX3" s="1" t="s">
        <v>74</v>
      </c>
      <c r="AY3" s="1" t="s">
        <v>74</v>
      </c>
      <c r="AZ3" s="1" t="s">
        <v>74</v>
      </c>
      <c r="BA3" s="1" t="s">
        <v>74</v>
      </c>
      <c r="BB3" s="1">
        <v>45</v>
      </c>
      <c r="BC3" s="1">
        <v>54</v>
      </c>
      <c r="BD3" s="1" t="s">
        <v>74</v>
      </c>
      <c r="BE3" s="1" t="s">
        <v>1591</v>
      </c>
      <c r="BF3" s="1" t="str">
        <f>HYPERLINK("http://dx.doi.org/10.1093/cz/zow086","http://dx.doi.org/10.1093/cz/zow086")</f>
        <v>http://dx.doi.org/10.1093/cz/zow086</v>
      </c>
      <c r="BG3" s="1" t="s">
        <v>74</v>
      </c>
      <c r="BH3" s="1" t="s">
        <v>74</v>
      </c>
      <c r="BI3" s="1" t="s">
        <v>74</v>
      </c>
      <c r="BJ3" s="1" t="s">
        <v>74</v>
      </c>
      <c r="BK3" s="1" t="s">
        <v>74</v>
      </c>
      <c r="BL3" s="1" t="s">
        <v>74</v>
      </c>
      <c r="BM3" s="1" t="s">
        <v>74</v>
      </c>
      <c r="BN3" s="1">
        <v>29491962</v>
      </c>
      <c r="BO3" s="1" t="s">
        <v>74</v>
      </c>
      <c r="BP3" s="1" t="s">
        <v>74</v>
      </c>
      <c r="BQ3" s="1" t="s">
        <v>74</v>
      </c>
      <c r="BR3" s="1" t="s">
        <v>74</v>
      </c>
      <c r="BS3" s="1" t="s">
        <v>1592</v>
      </c>
      <c r="BT3" s="1" t="str">
        <f>HYPERLINK("https%3A%2F%2Fwww.webofscience.com%2Fwos%2Fwoscc%2Ffull-record%2FWOS:000396213400006","View Full Record in Web of Science")</f>
        <v>View Full Record in Web of Science</v>
      </c>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row>
    <row r="4" spans="1:314" s="2" customFormat="1" x14ac:dyDescent="0.4">
      <c r="A4" s="1" t="s">
        <v>72</v>
      </c>
      <c r="B4" s="1" t="s">
        <v>3178</v>
      </c>
      <c r="C4" s="1" t="s">
        <v>74</v>
      </c>
      <c r="D4" s="1" t="s">
        <v>74</v>
      </c>
      <c r="E4" s="1" t="s">
        <v>74</v>
      </c>
      <c r="F4" s="1" t="s">
        <v>3178</v>
      </c>
      <c r="G4" s="1" t="s">
        <v>74</v>
      </c>
      <c r="H4" s="1" t="s">
        <v>74</v>
      </c>
      <c r="I4" s="1" t="s">
        <v>3179</v>
      </c>
      <c r="J4" s="1" t="s">
        <v>77</v>
      </c>
      <c r="K4" s="1" t="s">
        <v>74</v>
      </c>
      <c r="L4" s="1" t="s">
        <v>74</v>
      </c>
      <c r="M4" s="1" t="s">
        <v>74</v>
      </c>
      <c r="N4" s="1" t="s">
        <v>74</v>
      </c>
      <c r="O4" s="1" t="s">
        <v>74</v>
      </c>
      <c r="P4" s="1" t="s">
        <v>74</v>
      </c>
      <c r="Q4" s="1" t="s">
        <v>74</v>
      </c>
      <c r="R4" s="1" t="s">
        <v>74</v>
      </c>
      <c r="S4" s="1" t="s">
        <v>74</v>
      </c>
      <c r="T4" s="1" t="s">
        <v>74</v>
      </c>
      <c r="U4" s="1" t="s">
        <v>74</v>
      </c>
      <c r="V4" s="4" t="s">
        <v>3180</v>
      </c>
      <c r="W4" s="1" t="s">
        <v>74</v>
      </c>
      <c r="X4" s="1" t="s">
        <v>74</v>
      </c>
      <c r="Y4" s="1" t="s">
        <v>74</v>
      </c>
      <c r="Z4" s="1" t="s">
        <v>74</v>
      </c>
      <c r="AA4" s="1" t="s">
        <v>74</v>
      </c>
      <c r="AB4" s="1" t="s">
        <v>74</v>
      </c>
      <c r="AC4" s="1" t="s">
        <v>74</v>
      </c>
      <c r="AD4" s="1" t="s">
        <v>74</v>
      </c>
      <c r="AE4" s="1" t="s">
        <v>74</v>
      </c>
      <c r="AF4" s="1" t="s">
        <v>74</v>
      </c>
      <c r="AG4" s="1" t="s">
        <v>74</v>
      </c>
      <c r="AH4" s="1" t="s">
        <v>74</v>
      </c>
      <c r="AI4" s="1" t="s">
        <v>74</v>
      </c>
      <c r="AJ4" s="1" t="s">
        <v>74</v>
      </c>
      <c r="AK4" s="1" t="s">
        <v>74</v>
      </c>
      <c r="AL4" s="1" t="s">
        <v>74</v>
      </c>
      <c r="AM4" s="1" t="s">
        <v>74</v>
      </c>
      <c r="AN4" s="1" t="s">
        <v>74</v>
      </c>
      <c r="AO4" s="1" t="s">
        <v>81</v>
      </c>
      <c r="AP4" s="1" t="s">
        <v>74</v>
      </c>
      <c r="AQ4" s="1" t="s">
        <v>74</v>
      </c>
      <c r="AR4" s="1" t="s">
        <v>74</v>
      </c>
      <c r="AS4" s="1" t="s">
        <v>74</v>
      </c>
      <c r="AT4" s="1" t="s">
        <v>145</v>
      </c>
      <c r="AU4" s="1">
        <v>1994</v>
      </c>
      <c r="AV4" s="1">
        <v>130</v>
      </c>
      <c r="AW4" s="1" t="s">
        <v>74</v>
      </c>
      <c r="AX4" s="1" t="s">
        <v>548</v>
      </c>
      <c r="AY4" s="1" t="s">
        <v>74</v>
      </c>
      <c r="AZ4" s="1" t="s">
        <v>74</v>
      </c>
      <c r="BA4" s="1" t="s">
        <v>74</v>
      </c>
      <c r="BB4" s="1">
        <v>77</v>
      </c>
      <c r="BC4" s="1">
        <v>112</v>
      </c>
      <c r="BD4" s="1" t="s">
        <v>74</v>
      </c>
      <c r="BE4" s="1" t="s">
        <v>3181</v>
      </c>
      <c r="BF4" s="1" t="str">
        <f>HYPERLINK("http://dx.doi.org/10.1163/156853994X00154","http://dx.doi.org/10.1163/156853994X00154")</f>
        <v>http://dx.doi.org/10.1163/156853994X00154</v>
      </c>
      <c r="BG4" s="1" t="s">
        <v>74</v>
      </c>
      <c r="BH4" s="1" t="s">
        <v>74</v>
      </c>
      <c r="BI4" s="1" t="s">
        <v>74</v>
      </c>
      <c r="BJ4" s="1" t="s">
        <v>74</v>
      </c>
      <c r="BK4" s="1" t="s">
        <v>74</v>
      </c>
      <c r="BL4" s="1" t="s">
        <v>74</v>
      </c>
      <c r="BM4" s="1" t="s">
        <v>74</v>
      </c>
      <c r="BN4" s="1" t="s">
        <v>74</v>
      </c>
      <c r="BO4" s="1" t="s">
        <v>74</v>
      </c>
      <c r="BP4" s="1" t="s">
        <v>74</v>
      </c>
      <c r="BQ4" s="1" t="s">
        <v>74</v>
      </c>
      <c r="BR4" s="1" t="s">
        <v>74</v>
      </c>
      <c r="BS4" s="1" t="s">
        <v>3182</v>
      </c>
      <c r="BT4" s="1" t="str">
        <f>HYPERLINK("https%3A%2F%2Fwww.webofscience.com%2Fwos%2Fwoscc%2Ffull-record%2FWOS:A1994PR38500006","View Full Record in Web of Science")</f>
        <v>View Full Record in Web of Science</v>
      </c>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row>
    <row r="5" spans="1:314" s="2" customFormat="1" x14ac:dyDescent="0.4">
      <c r="A5" s="1" t="s">
        <v>72</v>
      </c>
      <c r="B5" s="1" t="s">
        <v>6484</v>
      </c>
      <c r="C5" s="1" t="s">
        <v>74</v>
      </c>
      <c r="D5" s="1" t="s">
        <v>74</v>
      </c>
      <c r="E5" s="1" t="s">
        <v>74</v>
      </c>
      <c r="F5" s="1" t="s">
        <v>6485</v>
      </c>
      <c r="G5" s="1" t="s">
        <v>74</v>
      </c>
      <c r="H5" s="1" t="s">
        <v>74</v>
      </c>
      <c r="I5" s="1" t="s">
        <v>6486</v>
      </c>
      <c r="J5" s="1" t="s">
        <v>140</v>
      </c>
      <c r="K5" s="1" t="s">
        <v>74</v>
      </c>
      <c r="L5" s="1" t="s">
        <v>74</v>
      </c>
      <c r="M5" s="1" t="s">
        <v>74</v>
      </c>
      <c r="N5" s="1" t="s">
        <v>74</v>
      </c>
      <c r="O5" s="1" t="s">
        <v>74</v>
      </c>
      <c r="P5" s="1" t="s">
        <v>74</v>
      </c>
      <c r="Q5" s="1" t="s">
        <v>74</v>
      </c>
      <c r="R5" s="1" t="s">
        <v>74</v>
      </c>
      <c r="S5" s="1" t="s">
        <v>74</v>
      </c>
      <c r="T5" s="1" t="s">
        <v>74</v>
      </c>
      <c r="U5" s="1" t="s">
        <v>74</v>
      </c>
      <c r="V5" s="4" t="s">
        <v>6487</v>
      </c>
      <c r="W5" s="1" t="s">
        <v>74</v>
      </c>
      <c r="X5" s="1" t="s">
        <v>74</v>
      </c>
      <c r="Y5" s="1" t="s">
        <v>74</v>
      </c>
      <c r="Z5" s="1" t="s">
        <v>74</v>
      </c>
      <c r="AA5" s="1" t="s">
        <v>6488</v>
      </c>
      <c r="AB5" s="1" t="s">
        <v>6489</v>
      </c>
      <c r="AC5" s="1" t="s">
        <v>74</v>
      </c>
      <c r="AD5" s="1" t="s">
        <v>74</v>
      </c>
      <c r="AE5" s="1" t="s">
        <v>74</v>
      </c>
      <c r="AF5" s="1" t="s">
        <v>74</v>
      </c>
      <c r="AG5" s="1" t="s">
        <v>74</v>
      </c>
      <c r="AH5" s="1" t="s">
        <v>74</v>
      </c>
      <c r="AI5" s="1" t="s">
        <v>74</v>
      </c>
      <c r="AJ5" s="1" t="s">
        <v>74</v>
      </c>
      <c r="AK5" s="1" t="s">
        <v>74</v>
      </c>
      <c r="AL5" s="1" t="s">
        <v>74</v>
      </c>
      <c r="AM5" s="1" t="s">
        <v>74</v>
      </c>
      <c r="AN5" s="1" t="s">
        <v>74</v>
      </c>
      <c r="AO5" s="1" t="s">
        <v>143</v>
      </c>
      <c r="AP5" s="1" t="s">
        <v>144</v>
      </c>
      <c r="AQ5" s="1" t="s">
        <v>74</v>
      </c>
      <c r="AR5" s="1" t="s">
        <v>74</v>
      </c>
      <c r="AS5" s="1" t="s">
        <v>74</v>
      </c>
      <c r="AT5" s="1" t="s">
        <v>964</v>
      </c>
      <c r="AU5" s="1">
        <v>2015</v>
      </c>
      <c r="AV5" s="1">
        <v>100</v>
      </c>
      <c r="AW5" s="1" t="s">
        <v>74</v>
      </c>
      <c r="AX5" s="1" t="s">
        <v>74</v>
      </c>
      <c r="AY5" s="1" t="s">
        <v>74</v>
      </c>
      <c r="AZ5" s="1" t="s">
        <v>74</v>
      </c>
      <c r="BA5" s="1" t="s">
        <v>74</v>
      </c>
      <c r="BB5" s="1">
        <v>116</v>
      </c>
      <c r="BC5" s="1">
        <v>124</v>
      </c>
      <c r="BD5" s="1" t="s">
        <v>74</v>
      </c>
      <c r="BE5" s="1" t="s">
        <v>6490</v>
      </c>
      <c r="BF5" s="1" t="str">
        <f>HYPERLINK("http://dx.doi.org/10.1016/j.anbehav.2014.11.016","http://dx.doi.org/10.1016/j.anbehav.2014.11.016")</f>
        <v>http://dx.doi.org/10.1016/j.anbehav.2014.11.016</v>
      </c>
      <c r="BG5" s="1" t="s">
        <v>74</v>
      </c>
      <c r="BH5" s="1" t="s">
        <v>74</v>
      </c>
      <c r="BI5" s="1" t="s">
        <v>74</v>
      </c>
      <c r="BJ5" s="1" t="s">
        <v>74</v>
      </c>
      <c r="BK5" s="1" t="s">
        <v>74</v>
      </c>
      <c r="BL5" s="1" t="s">
        <v>74</v>
      </c>
      <c r="BM5" s="1" t="s">
        <v>74</v>
      </c>
      <c r="BN5" s="1" t="s">
        <v>74</v>
      </c>
      <c r="BO5" s="1" t="s">
        <v>74</v>
      </c>
      <c r="BP5" s="1" t="s">
        <v>74</v>
      </c>
      <c r="BQ5" s="1" t="s">
        <v>74</v>
      </c>
      <c r="BR5" s="1" t="s">
        <v>74</v>
      </c>
      <c r="BS5" s="1" t="s">
        <v>6491</v>
      </c>
      <c r="BT5" s="1" t="str">
        <f>HYPERLINK("https%3A%2F%2Fwww.webofscience.com%2Fwos%2Fwoscc%2Ffull-record%2FWOS:000348449000017","View Full Record in Web of Science")</f>
        <v>View Full Record in Web of Science</v>
      </c>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row>
    <row r="6" spans="1:314" s="2" customFormat="1" x14ac:dyDescent="0.4">
      <c r="A6" s="1" t="s">
        <v>72</v>
      </c>
      <c r="B6" s="1" t="s">
        <v>7654</v>
      </c>
      <c r="C6" s="1" t="s">
        <v>74</v>
      </c>
      <c r="D6" s="1" t="s">
        <v>74</v>
      </c>
      <c r="E6" s="1" t="s">
        <v>74</v>
      </c>
      <c r="F6" s="1" t="s">
        <v>7654</v>
      </c>
      <c r="G6" s="1" t="s">
        <v>74</v>
      </c>
      <c r="H6" s="1" t="s">
        <v>74</v>
      </c>
      <c r="I6" s="1" t="s">
        <v>7655</v>
      </c>
      <c r="J6" s="1" t="s">
        <v>140</v>
      </c>
      <c r="K6" s="1" t="s">
        <v>74</v>
      </c>
      <c r="L6" s="1" t="s">
        <v>74</v>
      </c>
      <c r="M6" s="1" t="s">
        <v>74</v>
      </c>
      <c r="N6" s="1" t="s">
        <v>74</v>
      </c>
      <c r="O6" s="1" t="s">
        <v>74</v>
      </c>
      <c r="P6" s="1" t="s">
        <v>74</v>
      </c>
      <c r="Q6" s="1" t="s">
        <v>74</v>
      </c>
      <c r="R6" s="1" t="s">
        <v>74</v>
      </c>
      <c r="S6" s="1" t="s">
        <v>74</v>
      </c>
      <c r="T6" s="1" t="s">
        <v>74</v>
      </c>
      <c r="U6" s="1" t="s">
        <v>74</v>
      </c>
      <c r="V6" s="4" t="s">
        <v>7656</v>
      </c>
      <c r="W6" s="1" t="s">
        <v>74</v>
      </c>
      <c r="X6" s="1" t="s">
        <v>74</v>
      </c>
      <c r="Y6" s="1" t="s">
        <v>74</v>
      </c>
      <c r="Z6" s="1" t="s">
        <v>74</v>
      </c>
      <c r="AA6" s="1" t="s">
        <v>74</v>
      </c>
      <c r="AB6" s="1" t="s">
        <v>74</v>
      </c>
      <c r="AC6" s="1" t="s">
        <v>74</v>
      </c>
      <c r="AD6" s="1" t="s">
        <v>74</v>
      </c>
      <c r="AE6" s="1" t="s">
        <v>74</v>
      </c>
      <c r="AF6" s="1" t="s">
        <v>74</v>
      </c>
      <c r="AG6" s="1" t="s">
        <v>74</v>
      </c>
      <c r="AH6" s="1" t="s">
        <v>74</v>
      </c>
      <c r="AI6" s="1" t="s">
        <v>74</v>
      </c>
      <c r="AJ6" s="1" t="s">
        <v>74</v>
      </c>
      <c r="AK6" s="1" t="s">
        <v>74</v>
      </c>
      <c r="AL6" s="1" t="s">
        <v>74</v>
      </c>
      <c r="AM6" s="1" t="s">
        <v>74</v>
      </c>
      <c r="AN6" s="1" t="s">
        <v>74</v>
      </c>
      <c r="AO6" s="1" t="s">
        <v>143</v>
      </c>
      <c r="AP6" s="1" t="s">
        <v>144</v>
      </c>
      <c r="AQ6" s="1" t="s">
        <v>74</v>
      </c>
      <c r="AR6" s="1" t="s">
        <v>74</v>
      </c>
      <c r="AS6" s="1" t="s">
        <v>74</v>
      </c>
      <c r="AT6" s="1" t="s">
        <v>633</v>
      </c>
      <c r="AU6" s="1">
        <v>1997</v>
      </c>
      <c r="AV6" s="1">
        <v>53</v>
      </c>
      <c r="AW6" s="1" t="s">
        <v>74</v>
      </c>
      <c r="AX6" s="1">
        <v>4</v>
      </c>
      <c r="AY6" s="1" t="s">
        <v>74</v>
      </c>
      <c r="AZ6" s="1" t="s">
        <v>74</v>
      </c>
      <c r="BA6" s="1" t="s">
        <v>74</v>
      </c>
      <c r="BB6" s="1">
        <v>819</v>
      </c>
      <c r="BC6" s="1">
        <v>833</v>
      </c>
      <c r="BD6" s="1" t="s">
        <v>74</v>
      </c>
      <c r="BE6" s="1" t="s">
        <v>7657</v>
      </c>
      <c r="BF6" s="1" t="str">
        <f>HYPERLINK("http://dx.doi.org/10.1006/anbe.1996.0347","http://dx.doi.org/10.1006/anbe.1996.0347")</f>
        <v>http://dx.doi.org/10.1006/anbe.1996.0347</v>
      </c>
      <c r="BG6" s="1" t="s">
        <v>74</v>
      </c>
      <c r="BH6" s="1" t="s">
        <v>74</v>
      </c>
      <c r="BI6" s="1" t="s">
        <v>74</v>
      </c>
      <c r="BJ6" s="1" t="s">
        <v>74</v>
      </c>
      <c r="BK6" s="1" t="s">
        <v>74</v>
      </c>
      <c r="BL6" s="1" t="s">
        <v>74</v>
      </c>
      <c r="BM6" s="1" t="s">
        <v>74</v>
      </c>
      <c r="BN6" s="1" t="s">
        <v>74</v>
      </c>
      <c r="BO6" s="1" t="s">
        <v>74</v>
      </c>
      <c r="BP6" s="1" t="s">
        <v>74</v>
      </c>
      <c r="BQ6" s="1" t="s">
        <v>74</v>
      </c>
      <c r="BR6" s="1" t="s">
        <v>74</v>
      </c>
      <c r="BS6" s="1" t="s">
        <v>7658</v>
      </c>
      <c r="BT6" s="1" t="str">
        <f>HYPERLINK("https%3A%2F%2Fwww.webofscience.com%2Fwos%2Fwoscc%2Ffull-record%2FWOS:A1997WW45300013","View Full Record in Web of Science")</f>
        <v>View Full Record in Web of Science</v>
      </c>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row>
    <row r="7" spans="1:314" s="2" customFormat="1" x14ac:dyDescent="0.4">
      <c r="A7" s="1" t="s">
        <v>72</v>
      </c>
      <c r="B7" s="1" t="s">
        <v>1016</v>
      </c>
      <c r="C7" s="1" t="s">
        <v>74</v>
      </c>
      <c r="D7" s="1" t="s">
        <v>74</v>
      </c>
      <c r="E7" s="1" t="s">
        <v>74</v>
      </c>
      <c r="F7" s="1" t="s">
        <v>1017</v>
      </c>
      <c r="G7" s="1" t="s">
        <v>74</v>
      </c>
      <c r="H7" s="1" t="s">
        <v>74</v>
      </c>
      <c r="I7" s="1" t="s">
        <v>1018</v>
      </c>
      <c r="J7" s="1" t="s">
        <v>140</v>
      </c>
      <c r="K7" s="1" t="s">
        <v>74</v>
      </c>
      <c r="L7" s="1" t="s">
        <v>74</v>
      </c>
      <c r="M7" s="1" t="s">
        <v>74</v>
      </c>
      <c r="N7" s="1" t="s">
        <v>74</v>
      </c>
      <c r="O7" s="1" t="s">
        <v>74</v>
      </c>
      <c r="P7" s="1" t="s">
        <v>74</v>
      </c>
      <c r="Q7" s="1" t="s">
        <v>74</v>
      </c>
      <c r="R7" s="1" t="s">
        <v>74</v>
      </c>
      <c r="S7" s="1" t="s">
        <v>74</v>
      </c>
      <c r="T7" s="1" t="s">
        <v>74</v>
      </c>
      <c r="U7" s="1" t="s">
        <v>74</v>
      </c>
      <c r="V7" s="4" t="s">
        <v>1019</v>
      </c>
      <c r="W7" s="1" t="s">
        <v>74</v>
      </c>
      <c r="X7" s="1" t="s">
        <v>74</v>
      </c>
      <c r="Y7" s="1" t="s">
        <v>74</v>
      </c>
      <c r="Z7" s="1" t="s">
        <v>74</v>
      </c>
      <c r="AA7" s="1" t="s">
        <v>74</v>
      </c>
      <c r="AB7" s="1" t="s">
        <v>1020</v>
      </c>
      <c r="AC7" s="1" t="s">
        <v>74</v>
      </c>
      <c r="AD7" s="1" t="s">
        <v>74</v>
      </c>
      <c r="AE7" s="1" t="s">
        <v>74</v>
      </c>
      <c r="AF7" s="1" t="s">
        <v>74</v>
      </c>
      <c r="AG7" s="1" t="s">
        <v>74</v>
      </c>
      <c r="AH7" s="1" t="s">
        <v>74</v>
      </c>
      <c r="AI7" s="1" t="s">
        <v>74</v>
      </c>
      <c r="AJ7" s="1" t="s">
        <v>74</v>
      </c>
      <c r="AK7" s="1" t="s">
        <v>74</v>
      </c>
      <c r="AL7" s="1" t="s">
        <v>74</v>
      </c>
      <c r="AM7" s="1" t="s">
        <v>74</v>
      </c>
      <c r="AN7" s="1" t="s">
        <v>74</v>
      </c>
      <c r="AO7" s="1" t="s">
        <v>143</v>
      </c>
      <c r="AP7" s="1" t="s">
        <v>144</v>
      </c>
      <c r="AQ7" s="1" t="s">
        <v>74</v>
      </c>
      <c r="AR7" s="1" t="s">
        <v>74</v>
      </c>
      <c r="AS7" s="1" t="s">
        <v>74</v>
      </c>
      <c r="AT7" s="1" t="s">
        <v>145</v>
      </c>
      <c r="AU7" s="1">
        <v>2018</v>
      </c>
      <c r="AV7" s="1">
        <v>142</v>
      </c>
      <c r="AW7" s="1" t="s">
        <v>74</v>
      </c>
      <c r="AX7" s="1" t="s">
        <v>74</v>
      </c>
      <c r="AY7" s="1" t="s">
        <v>74</v>
      </c>
      <c r="AZ7" s="1" t="s">
        <v>74</v>
      </c>
      <c r="BA7" s="1" t="s">
        <v>74</v>
      </c>
      <c r="BB7" s="1">
        <v>119</v>
      </c>
      <c r="BC7" s="1">
        <v>128</v>
      </c>
      <c r="BD7" s="1" t="s">
        <v>74</v>
      </c>
      <c r="BE7" s="1" t="s">
        <v>1021</v>
      </c>
      <c r="BF7" s="1" t="str">
        <f>HYPERLINK("http://dx.doi.org/10.1016/j.anbehav.2018.06.012","http://dx.doi.org/10.1016/j.anbehav.2018.06.012")</f>
        <v>http://dx.doi.org/10.1016/j.anbehav.2018.06.012</v>
      </c>
      <c r="BG7" s="1" t="s">
        <v>74</v>
      </c>
      <c r="BH7" s="1" t="s">
        <v>74</v>
      </c>
      <c r="BI7" s="1" t="s">
        <v>74</v>
      </c>
      <c r="BJ7" s="1" t="s">
        <v>74</v>
      </c>
      <c r="BK7" s="1" t="s">
        <v>74</v>
      </c>
      <c r="BL7" s="1" t="s">
        <v>74</v>
      </c>
      <c r="BM7" s="1" t="s">
        <v>74</v>
      </c>
      <c r="BN7" s="1" t="s">
        <v>74</v>
      </c>
      <c r="BO7" s="1" t="s">
        <v>74</v>
      </c>
      <c r="BP7" s="1" t="s">
        <v>74</v>
      </c>
      <c r="BQ7" s="1" t="s">
        <v>74</v>
      </c>
      <c r="BR7" s="1" t="s">
        <v>74</v>
      </c>
      <c r="BS7" s="1" t="s">
        <v>1022</v>
      </c>
      <c r="BT7" s="1" t="str">
        <f>HYPERLINK("https%3A%2F%2Fwww.webofscience.com%2Fwos%2Fwoscc%2Ffull-record%2FWOS:000441515500014","View Full Record in Web of Science")</f>
        <v>View Full Record in Web of Science</v>
      </c>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row>
    <row r="8" spans="1:314" s="2" customFormat="1" x14ac:dyDescent="0.4">
      <c r="A8" s="1" t="s">
        <v>72</v>
      </c>
      <c r="B8" s="1" t="s">
        <v>3874</v>
      </c>
      <c r="C8" s="1" t="s">
        <v>74</v>
      </c>
      <c r="D8" s="1" t="s">
        <v>74</v>
      </c>
      <c r="E8" s="1" t="s">
        <v>74</v>
      </c>
      <c r="F8" s="1" t="s">
        <v>3874</v>
      </c>
      <c r="G8" s="1" t="s">
        <v>74</v>
      </c>
      <c r="H8" s="1" t="s">
        <v>74</v>
      </c>
      <c r="I8" s="1" t="s">
        <v>3875</v>
      </c>
      <c r="J8" s="1" t="s">
        <v>140</v>
      </c>
      <c r="K8" s="1" t="s">
        <v>74</v>
      </c>
      <c r="L8" s="1" t="s">
        <v>74</v>
      </c>
      <c r="M8" s="1" t="s">
        <v>74</v>
      </c>
      <c r="N8" s="1" t="s">
        <v>74</v>
      </c>
      <c r="O8" s="1" t="s">
        <v>74</v>
      </c>
      <c r="P8" s="1" t="s">
        <v>74</v>
      </c>
      <c r="Q8" s="1" t="s">
        <v>74</v>
      </c>
      <c r="R8" s="1" t="s">
        <v>74</v>
      </c>
      <c r="S8" s="1" t="s">
        <v>74</v>
      </c>
      <c r="T8" s="1" t="s">
        <v>74</v>
      </c>
      <c r="U8" s="1" t="s">
        <v>74</v>
      </c>
      <c r="V8" s="4" t="s">
        <v>3876</v>
      </c>
      <c r="W8" s="1" t="s">
        <v>74</v>
      </c>
      <c r="X8" s="1" t="s">
        <v>74</v>
      </c>
      <c r="Y8" s="1" t="s">
        <v>74</v>
      </c>
      <c r="Z8" s="1" t="s">
        <v>74</v>
      </c>
      <c r="AA8" s="1" t="s">
        <v>74</v>
      </c>
      <c r="AB8" s="1" t="s">
        <v>74</v>
      </c>
      <c r="AC8" s="1" t="s">
        <v>74</v>
      </c>
      <c r="AD8" s="1" t="s">
        <v>74</v>
      </c>
      <c r="AE8" s="1" t="s">
        <v>74</v>
      </c>
      <c r="AF8" s="1" t="s">
        <v>74</v>
      </c>
      <c r="AG8" s="1" t="s">
        <v>74</v>
      </c>
      <c r="AH8" s="1" t="s">
        <v>74</v>
      </c>
      <c r="AI8" s="1" t="s">
        <v>74</v>
      </c>
      <c r="AJ8" s="1" t="s">
        <v>74</v>
      </c>
      <c r="AK8" s="1" t="s">
        <v>74</v>
      </c>
      <c r="AL8" s="1" t="s">
        <v>74</v>
      </c>
      <c r="AM8" s="1" t="s">
        <v>74</v>
      </c>
      <c r="AN8" s="1" t="s">
        <v>74</v>
      </c>
      <c r="AO8" s="1" t="s">
        <v>143</v>
      </c>
      <c r="AP8" s="1" t="s">
        <v>74</v>
      </c>
      <c r="AQ8" s="1" t="s">
        <v>74</v>
      </c>
      <c r="AR8" s="1" t="s">
        <v>74</v>
      </c>
      <c r="AS8" s="1" t="s">
        <v>74</v>
      </c>
      <c r="AT8" s="1" t="s">
        <v>175</v>
      </c>
      <c r="AU8" s="1">
        <v>1998</v>
      </c>
      <c r="AV8" s="1">
        <v>56</v>
      </c>
      <c r="AW8" s="1" t="s">
        <v>74</v>
      </c>
      <c r="AX8" s="1">
        <v>4</v>
      </c>
      <c r="AY8" s="1" t="s">
        <v>74</v>
      </c>
      <c r="AZ8" s="1" t="s">
        <v>74</v>
      </c>
      <c r="BA8" s="1" t="s">
        <v>74</v>
      </c>
      <c r="BB8" s="1">
        <v>1021</v>
      </c>
      <c r="BC8" s="1">
        <v>1026</v>
      </c>
      <c r="BD8" s="1" t="s">
        <v>74</v>
      </c>
      <c r="BE8" s="1" t="s">
        <v>3877</v>
      </c>
      <c r="BF8" s="1" t="str">
        <f>HYPERLINK("http://dx.doi.org/10.1006/anbe.1998.0868","http://dx.doi.org/10.1006/anbe.1998.0868")</f>
        <v>http://dx.doi.org/10.1006/anbe.1998.0868</v>
      </c>
      <c r="BG8" s="1" t="s">
        <v>74</v>
      </c>
      <c r="BH8" s="1" t="s">
        <v>74</v>
      </c>
      <c r="BI8" s="1" t="s">
        <v>74</v>
      </c>
      <c r="BJ8" s="1" t="s">
        <v>74</v>
      </c>
      <c r="BK8" s="1" t="s">
        <v>74</v>
      </c>
      <c r="BL8" s="1" t="s">
        <v>74</v>
      </c>
      <c r="BM8" s="1" t="s">
        <v>74</v>
      </c>
      <c r="BN8" s="1">
        <v>9790714</v>
      </c>
      <c r="BO8" s="1" t="s">
        <v>74</v>
      </c>
      <c r="BP8" s="1" t="s">
        <v>74</v>
      </c>
      <c r="BQ8" s="1" t="s">
        <v>74</v>
      </c>
      <c r="BR8" s="1" t="s">
        <v>74</v>
      </c>
      <c r="BS8" s="1" t="s">
        <v>3878</v>
      </c>
      <c r="BT8" s="1" t="str">
        <f>HYPERLINK("https%3A%2F%2Fwww.webofscience.com%2Fwos%2Fwoscc%2Ffull-record%2FWOS:000076755700025","View Full Record in Web of Science")</f>
        <v>View Full Record in Web of Science</v>
      </c>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row>
    <row r="9" spans="1:314" s="2" customFormat="1" x14ac:dyDescent="0.4">
      <c r="A9" s="1" t="s">
        <v>72</v>
      </c>
      <c r="B9" s="1" t="s">
        <v>1485</v>
      </c>
      <c r="C9" s="1" t="s">
        <v>74</v>
      </c>
      <c r="D9" s="1" t="s">
        <v>74</v>
      </c>
      <c r="E9" s="1" t="s">
        <v>74</v>
      </c>
      <c r="F9" s="1" t="s">
        <v>1486</v>
      </c>
      <c r="G9" s="1" t="s">
        <v>74</v>
      </c>
      <c r="H9" s="1" t="s">
        <v>74</v>
      </c>
      <c r="I9" s="1" t="s">
        <v>1487</v>
      </c>
      <c r="J9" s="1" t="s">
        <v>333</v>
      </c>
      <c r="K9" s="1" t="s">
        <v>74</v>
      </c>
      <c r="L9" s="1" t="s">
        <v>74</v>
      </c>
      <c r="M9" s="1" t="s">
        <v>74</v>
      </c>
      <c r="N9" s="1" t="s">
        <v>74</v>
      </c>
      <c r="O9" s="1" t="s">
        <v>74</v>
      </c>
      <c r="P9" s="1" t="s">
        <v>74</v>
      </c>
      <c r="Q9" s="1" t="s">
        <v>74</v>
      </c>
      <c r="R9" s="1" t="s">
        <v>74</v>
      </c>
      <c r="S9" s="1" t="s">
        <v>74</v>
      </c>
      <c r="T9" s="1" t="s">
        <v>74</v>
      </c>
      <c r="U9" s="1" t="s">
        <v>74</v>
      </c>
      <c r="V9" s="4" t="s">
        <v>1488</v>
      </c>
      <c r="W9" s="1" t="s">
        <v>74</v>
      </c>
      <c r="X9" s="1" t="s">
        <v>74</v>
      </c>
      <c r="Y9" s="1" t="s">
        <v>74</v>
      </c>
      <c r="Z9" s="1" t="s">
        <v>74</v>
      </c>
      <c r="AA9" s="1" t="s">
        <v>74</v>
      </c>
      <c r="AB9" s="1" t="s">
        <v>74</v>
      </c>
      <c r="AC9" s="1" t="s">
        <v>74</v>
      </c>
      <c r="AD9" s="1" t="s">
        <v>74</v>
      </c>
      <c r="AE9" s="1" t="s">
        <v>74</v>
      </c>
      <c r="AF9" s="1" t="s">
        <v>74</v>
      </c>
      <c r="AG9" s="1" t="s">
        <v>74</v>
      </c>
      <c r="AH9" s="1" t="s">
        <v>74</v>
      </c>
      <c r="AI9" s="1" t="s">
        <v>74</v>
      </c>
      <c r="AJ9" s="1" t="s">
        <v>74</v>
      </c>
      <c r="AK9" s="1" t="s">
        <v>74</v>
      </c>
      <c r="AL9" s="1" t="s">
        <v>74</v>
      </c>
      <c r="AM9" s="1" t="s">
        <v>74</v>
      </c>
      <c r="AN9" s="1" t="s">
        <v>74</v>
      </c>
      <c r="AO9" s="1" t="s">
        <v>337</v>
      </c>
      <c r="AP9" s="1" t="s">
        <v>338</v>
      </c>
      <c r="AQ9" s="1" t="s">
        <v>74</v>
      </c>
      <c r="AR9" s="1" t="s">
        <v>74</v>
      </c>
      <c r="AS9" s="1" t="s">
        <v>74</v>
      </c>
      <c r="AT9" s="1" t="s">
        <v>1475</v>
      </c>
      <c r="AU9" s="1">
        <v>2009</v>
      </c>
      <c r="AV9" s="1">
        <v>20</v>
      </c>
      <c r="AW9" s="1">
        <v>1</v>
      </c>
      <c r="AX9" s="1" t="s">
        <v>74</v>
      </c>
      <c r="AY9" s="1" t="s">
        <v>74</v>
      </c>
      <c r="AZ9" s="1" t="s">
        <v>74</v>
      </c>
      <c r="BA9" s="1" t="s">
        <v>74</v>
      </c>
      <c r="BB9" s="1">
        <v>180</v>
      </c>
      <c r="BC9" s="1">
        <v>185</v>
      </c>
      <c r="BD9" s="1" t="s">
        <v>74</v>
      </c>
      <c r="BE9" s="1" t="s">
        <v>1489</v>
      </c>
      <c r="BF9" s="1" t="str">
        <f>HYPERLINK("http://dx.doi.org/10.1093/beheco/arn132","http://dx.doi.org/10.1093/beheco/arn132")</f>
        <v>http://dx.doi.org/10.1093/beheco/arn132</v>
      </c>
      <c r="BG9" s="1" t="s">
        <v>74</v>
      </c>
      <c r="BH9" s="1" t="s">
        <v>74</v>
      </c>
      <c r="BI9" s="1" t="s">
        <v>74</v>
      </c>
      <c r="BJ9" s="1" t="s">
        <v>74</v>
      </c>
      <c r="BK9" s="1" t="s">
        <v>74</v>
      </c>
      <c r="BL9" s="1" t="s">
        <v>74</v>
      </c>
      <c r="BM9" s="1" t="s">
        <v>74</v>
      </c>
      <c r="BN9" s="1" t="s">
        <v>74</v>
      </c>
      <c r="BO9" s="1" t="s">
        <v>74</v>
      </c>
      <c r="BP9" s="1" t="s">
        <v>74</v>
      </c>
      <c r="BQ9" s="1" t="s">
        <v>74</v>
      </c>
      <c r="BR9" s="1" t="s">
        <v>74</v>
      </c>
      <c r="BS9" s="1" t="s">
        <v>1490</v>
      </c>
      <c r="BT9" s="1" t="str">
        <f>HYPERLINK("https%3A%2F%2Fwww.webofscience.com%2Fwos%2Fwoscc%2Ffull-record%2FWOS:000262152300024","View Full Record in Web of Science")</f>
        <v>View Full Record in Web of Science</v>
      </c>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row>
    <row r="10" spans="1:314" s="2" customFormat="1" x14ac:dyDescent="0.4">
      <c r="A10" s="1" t="s">
        <v>72</v>
      </c>
      <c r="B10" s="1" t="s">
        <v>528</v>
      </c>
      <c r="C10" s="1" t="s">
        <v>74</v>
      </c>
      <c r="D10" s="1" t="s">
        <v>74</v>
      </c>
      <c r="E10" s="1" t="s">
        <v>74</v>
      </c>
      <c r="F10" s="1" t="s">
        <v>528</v>
      </c>
      <c r="G10" s="1" t="s">
        <v>74</v>
      </c>
      <c r="H10" s="1" t="s">
        <v>74</v>
      </c>
      <c r="I10" s="1" t="s">
        <v>529</v>
      </c>
      <c r="J10" s="1" t="s">
        <v>530</v>
      </c>
      <c r="K10" s="1" t="s">
        <v>74</v>
      </c>
      <c r="L10" s="1" t="s">
        <v>74</v>
      </c>
      <c r="M10" s="1" t="s">
        <v>74</v>
      </c>
      <c r="N10" s="1" t="s">
        <v>74</v>
      </c>
      <c r="O10" s="1" t="s">
        <v>74</v>
      </c>
      <c r="P10" s="1" t="s">
        <v>74</v>
      </c>
      <c r="Q10" s="1" t="s">
        <v>74</v>
      </c>
      <c r="R10" s="1" t="s">
        <v>74</v>
      </c>
      <c r="S10" s="1" t="s">
        <v>74</v>
      </c>
      <c r="T10" s="1" t="s">
        <v>74</v>
      </c>
      <c r="U10" s="1" t="s">
        <v>74</v>
      </c>
      <c r="V10" s="4" t="s">
        <v>531</v>
      </c>
      <c r="W10" s="1" t="s">
        <v>74</v>
      </c>
      <c r="X10" s="1" t="s">
        <v>74</v>
      </c>
      <c r="Y10" s="1" t="s">
        <v>74</v>
      </c>
      <c r="Z10" s="1" t="s">
        <v>74</v>
      </c>
      <c r="AA10" s="1" t="s">
        <v>74</v>
      </c>
      <c r="AB10" s="1" t="s">
        <v>74</v>
      </c>
      <c r="AC10" s="1" t="s">
        <v>74</v>
      </c>
      <c r="AD10" s="1" t="s">
        <v>74</v>
      </c>
      <c r="AE10" s="1" t="s">
        <v>74</v>
      </c>
      <c r="AF10" s="1" t="s">
        <v>74</v>
      </c>
      <c r="AG10" s="1" t="s">
        <v>74</v>
      </c>
      <c r="AH10" s="1" t="s">
        <v>74</v>
      </c>
      <c r="AI10" s="1" t="s">
        <v>74</v>
      </c>
      <c r="AJ10" s="1" t="s">
        <v>74</v>
      </c>
      <c r="AK10" s="1" t="s">
        <v>74</v>
      </c>
      <c r="AL10" s="1" t="s">
        <v>74</v>
      </c>
      <c r="AM10" s="1" t="s">
        <v>74</v>
      </c>
      <c r="AN10" s="1" t="s">
        <v>74</v>
      </c>
      <c r="AO10" s="1" t="s">
        <v>532</v>
      </c>
      <c r="AP10" s="1" t="s">
        <v>533</v>
      </c>
      <c r="AQ10" s="1" t="s">
        <v>74</v>
      </c>
      <c r="AR10" s="1" t="s">
        <v>74</v>
      </c>
      <c r="AS10" s="1" t="s">
        <v>74</v>
      </c>
      <c r="AT10" s="1" t="s">
        <v>74</v>
      </c>
      <c r="AU10" s="1">
        <v>1981</v>
      </c>
      <c r="AV10" s="1">
        <v>64</v>
      </c>
      <c r="AW10" s="1">
        <v>1</v>
      </c>
      <c r="AX10" s="1" t="s">
        <v>74</v>
      </c>
      <c r="AY10" s="1" t="s">
        <v>74</v>
      </c>
      <c r="AZ10" s="1" t="s">
        <v>74</v>
      </c>
      <c r="BA10" s="1" t="s">
        <v>74</v>
      </c>
      <c r="BB10" s="1">
        <v>85</v>
      </c>
      <c r="BC10" s="1">
        <v>93</v>
      </c>
      <c r="BD10" s="1" t="s">
        <v>74</v>
      </c>
      <c r="BE10" s="1" t="s">
        <v>534</v>
      </c>
      <c r="BF10" s="1" t="str">
        <f>HYPERLINK("http://dx.doi.org/10.1007/BF00394084","http://dx.doi.org/10.1007/BF00394084")</f>
        <v>http://dx.doi.org/10.1007/BF00394084</v>
      </c>
      <c r="BG10" s="1" t="s">
        <v>74</v>
      </c>
      <c r="BH10" s="1" t="s">
        <v>74</v>
      </c>
      <c r="BI10" s="1" t="s">
        <v>74</v>
      </c>
      <c r="BJ10" s="1" t="s">
        <v>74</v>
      </c>
      <c r="BK10" s="1" t="s">
        <v>74</v>
      </c>
      <c r="BL10" s="1" t="s">
        <v>74</v>
      </c>
      <c r="BM10" s="1" t="s">
        <v>74</v>
      </c>
      <c r="BN10" s="1" t="s">
        <v>74</v>
      </c>
      <c r="BO10" s="1" t="s">
        <v>74</v>
      </c>
      <c r="BP10" s="1" t="s">
        <v>74</v>
      </c>
      <c r="BQ10" s="1" t="s">
        <v>74</v>
      </c>
      <c r="BR10" s="1" t="s">
        <v>74</v>
      </c>
      <c r="BS10" s="1" t="s">
        <v>535</v>
      </c>
      <c r="BT10" s="1" t="str">
        <f>HYPERLINK("https%3A%2F%2Fwww.webofscience.com%2Fwos%2Fwoscc%2Ffull-record%2FWOS:A1981MG93600010","View Full Record in Web of Science")</f>
        <v>View Full Record in Web of Science</v>
      </c>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row>
    <row r="11" spans="1:314" s="2" customFormat="1" x14ac:dyDescent="0.4">
      <c r="A11" s="1" t="s">
        <v>72</v>
      </c>
      <c r="B11" s="1" t="s">
        <v>1862</v>
      </c>
      <c r="C11" s="1" t="s">
        <v>74</v>
      </c>
      <c r="D11" s="1" t="s">
        <v>74</v>
      </c>
      <c r="E11" s="1" t="s">
        <v>74</v>
      </c>
      <c r="F11" s="1" t="s">
        <v>1863</v>
      </c>
      <c r="G11" s="1" t="s">
        <v>74</v>
      </c>
      <c r="H11" s="1" t="s">
        <v>74</v>
      </c>
      <c r="I11" s="1" t="s">
        <v>1864</v>
      </c>
      <c r="J11" s="1" t="s">
        <v>77</v>
      </c>
      <c r="K11" s="1" t="s">
        <v>74</v>
      </c>
      <c r="L11" s="1" t="s">
        <v>74</v>
      </c>
      <c r="M11" s="1" t="s">
        <v>74</v>
      </c>
      <c r="N11" s="1" t="s">
        <v>74</v>
      </c>
      <c r="O11" s="1" t="s">
        <v>74</v>
      </c>
      <c r="P11" s="1" t="s">
        <v>74</v>
      </c>
      <c r="Q11" s="1" t="s">
        <v>74</v>
      </c>
      <c r="R11" s="1" t="s">
        <v>74</v>
      </c>
      <c r="S11" s="1" t="s">
        <v>74</v>
      </c>
      <c r="T11" s="1" t="s">
        <v>74</v>
      </c>
      <c r="U11" s="1" t="s">
        <v>74</v>
      </c>
      <c r="V11" s="4" t="s">
        <v>1865</v>
      </c>
      <c r="W11" s="1" t="s">
        <v>74</v>
      </c>
      <c r="X11" s="1" t="s">
        <v>74</v>
      </c>
      <c r="Y11" s="1" t="s">
        <v>74</v>
      </c>
      <c r="Z11" s="1" t="s">
        <v>74</v>
      </c>
      <c r="AA11" s="1" t="s">
        <v>74</v>
      </c>
      <c r="AB11" s="1" t="s">
        <v>74</v>
      </c>
      <c r="AC11" s="1" t="s">
        <v>74</v>
      </c>
      <c r="AD11" s="1" t="s">
        <v>74</v>
      </c>
      <c r="AE11" s="1" t="s">
        <v>74</v>
      </c>
      <c r="AF11" s="1" t="s">
        <v>74</v>
      </c>
      <c r="AG11" s="1" t="s">
        <v>74</v>
      </c>
      <c r="AH11" s="1" t="s">
        <v>74</v>
      </c>
      <c r="AI11" s="1" t="s">
        <v>74</v>
      </c>
      <c r="AJ11" s="1" t="s">
        <v>74</v>
      </c>
      <c r="AK11" s="1" t="s">
        <v>74</v>
      </c>
      <c r="AL11" s="1" t="s">
        <v>74</v>
      </c>
      <c r="AM11" s="1" t="s">
        <v>74</v>
      </c>
      <c r="AN11" s="1" t="s">
        <v>74</v>
      </c>
      <c r="AO11" s="1" t="s">
        <v>81</v>
      </c>
      <c r="AP11" s="1" t="s">
        <v>82</v>
      </c>
      <c r="AQ11" s="1" t="s">
        <v>74</v>
      </c>
      <c r="AR11" s="1" t="s">
        <v>74</v>
      </c>
      <c r="AS11" s="1" t="s">
        <v>74</v>
      </c>
      <c r="AT11" s="1" t="s">
        <v>74</v>
      </c>
      <c r="AU11" s="1">
        <v>2018</v>
      </c>
      <c r="AV11" s="1">
        <v>155</v>
      </c>
      <c r="AW11" s="1">
        <v>6</v>
      </c>
      <c r="AX11" s="1" t="s">
        <v>74</v>
      </c>
      <c r="AY11" s="1" t="s">
        <v>74</v>
      </c>
      <c r="AZ11" s="1" t="s">
        <v>74</v>
      </c>
      <c r="BA11" s="1" t="s">
        <v>74</v>
      </c>
      <c r="BB11" s="1">
        <v>443</v>
      </c>
      <c r="BC11" s="1">
        <v>463</v>
      </c>
      <c r="BD11" s="1" t="s">
        <v>74</v>
      </c>
      <c r="BE11" s="1" t="s">
        <v>1866</v>
      </c>
      <c r="BF11" s="1" t="str">
        <f>HYPERLINK("http://dx.doi.org/10.1163/1568539X-00003498","http://dx.doi.org/10.1163/1568539X-00003498")</f>
        <v>http://dx.doi.org/10.1163/1568539X-00003498</v>
      </c>
      <c r="BG11" s="1" t="s">
        <v>74</v>
      </c>
      <c r="BH11" s="1" t="s">
        <v>74</v>
      </c>
      <c r="BI11" s="1" t="s">
        <v>74</v>
      </c>
      <c r="BJ11" s="1" t="s">
        <v>74</v>
      </c>
      <c r="BK11" s="1" t="s">
        <v>74</v>
      </c>
      <c r="BL11" s="1" t="s">
        <v>74</v>
      </c>
      <c r="BM11" s="1" t="s">
        <v>74</v>
      </c>
      <c r="BN11" s="1" t="s">
        <v>74</v>
      </c>
      <c r="BO11" s="1" t="s">
        <v>74</v>
      </c>
      <c r="BP11" s="1" t="s">
        <v>74</v>
      </c>
      <c r="BQ11" s="1" t="s">
        <v>74</v>
      </c>
      <c r="BR11" s="1" t="s">
        <v>74</v>
      </c>
      <c r="BS11" s="1" t="s">
        <v>1867</v>
      </c>
      <c r="BT11" s="1" t="str">
        <f>HYPERLINK("https%3A%2F%2Fwww.webofscience.com%2Fwos%2Fwoscc%2Ffull-record%2FWOS:000437348800001","View Full Record in Web of Science")</f>
        <v>View Full Record in Web of Science</v>
      </c>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row>
    <row r="12" spans="1:314" s="2" customFormat="1" x14ac:dyDescent="0.4">
      <c r="A12" s="1" t="s">
        <v>72</v>
      </c>
      <c r="B12" s="1" t="s">
        <v>643</v>
      </c>
      <c r="C12" s="1" t="s">
        <v>74</v>
      </c>
      <c r="D12" s="1" t="s">
        <v>74</v>
      </c>
      <c r="E12" s="1" t="s">
        <v>74</v>
      </c>
      <c r="F12" s="1" t="s">
        <v>644</v>
      </c>
      <c r="G12" s="1" t="s">
        <v>74</v>
      </c>
      <c r="H12" s="1" t="s">
        <v>74</v>
      </c>
      <c r="I12" s="1" t="s">
        <v>645</v>
      </c>
      <c r="J12" s="1" t="s">
        <v>129</v>
      </c>
      <c r="K12" s="1" t="s">
        <v>74</v>
      </c>
      <c r="L12" s="1" t="s">
        <v>74</v>
      </c>
      <c r="M12" s="1" t="s">
        <v>74</v>
      </c>
      <c r="N12" s="1" t="s">
        <v>74</v>
      </c>
      <c r="O12" s="1" t="s">
        <v>74</v>
      </c>
      <c r="P12" s="1" t="s">
        <v>74</v>
      </c>
      <c r="Q12" s="1" t="s">
        <v>74</v>
      </c>
      <c r="R12" s="1" t="s">
        <v>74</v>
      </c>
      <c r="S12" s="1" t="s">
        <v>74</v>
      </c>
      <c r="T12" s="1" t="s">
        <v>74</v>
      </c>
      <c r="U12" s="1" t="s">
        <v>74</v>
      </c>
      <c r="V12" s="4" t="s">
        <v>646</v>
      </c>
      <c r="W12" s="1" t="s">
        <v>74</v>
      </c>
      <c r="X12" s="1" t="s">
        <v>74</v>
      </c>
      <c r="Y12" s="1" t="s">
        <v>74</v>
      </c>
      <c r="Z12" s="1" t="s">
        <v>74</v>
      </c>
      <c r="AA12" s="1" t="s">
        <v>647</v>
      </c>
      <c r="AB12" s="1" t="s">
        <v>648</v>
      </c>
      <c r="AC12" s="1" t="s">
        <v>74</v>
      </c>
      <c r="AD12" s="1" t="s">
        <v>74</v>
      </c>
      <c r="AE12" s="1" t="s">
        <v>74</v>
      </c>
      <c r="AF12" s="1" t="s">
        <v>74</v>
      </c>
      <c r="AG12" s="1" t="s">
        <v>74</v>
      </c>
      <c r="AH12" s="1" t="s">
        <v>74</v>
      </c>
      <c r="AI12" s="1" t="s">
        <v>74</v>
      </c>
      <c r="AJ12" s="1" t="s">
        <v>74</v>
      </c>
      <c r="AK12" s="1" t="s">
        <v>74</v>
      </c>
      <c r="AL12" s="1" t="s">
        <v>74</v>
      </c>
      <c r="AM12" s="1" t="s">
        <v>74</v>
      </c>
      <c r="AN12" s="1" t="s">
        <v>74</v>
      </c>
      <c r="AO12" s="1" t="s">
        <v>132</v>
      </c>
      <c r="AP12" s="1" t="s">
        <v>133</v>
      </c>
      <c r="AQ12" s="1" t="s">
        <v>74</v>
      </c>
      <c r="AR12" s="1" t="s">
        <v>74</v>
      </c>
      <c r="AS12" s="1" t="s">
        <v>74</v>
      </c>
      <c r="AT12" s="1" t="s">
        <v>102</v>
      </c>
      <c r="AU12" s="1">
        <v>2019</v>
      </c>
      <c r="AV12" s="1">
        <v>73</v>
      </c>
      <c r="AW12" s="1">
        <v>6</v>
      </c>
      <c r="AX12" s="1" t="s">
        <v>74</v>
      </c>
      <c r="AY12" s="1" t="s">
        <v>74</v>
      </c>
      <c r="AZ12" s="1" t="s">
        <v>74</v>
      </c>
      <c r="BA12" s="1" t="s">
        <v>74</v>
      </c>
      <c r="BB12" s="1" t="s">
        <v>74</v>
      </c>
      <c r="BC12" s="1" t="s">
        <v>74</v>
      </c>
      <c r="BD12" s="1">
        <v>72</v>
      </c>
      <c r="BE12" s="1" t="s">
        <v>649</v>
      </c>
      <c r="BF12" s="1" t="str">
        <f>HYPERLINK("http://dx.doi.org/10.1007/s00265-019-2673-0","http://dx.doi.org/10.1007/s00265-019-2673-0")</f>
        <v>http://dx.doi.org/10.1007/s00265-019-2673-0</v>
      </c>
      <c r="BG12" s="1" t="s">
        <v>74</v>
      </c>
      <c r="BH12" s="1" t="s">
        <v>74</v>
      </c>
      <c r="BI12" s="1" t="s">
        <v>74</v>
      </c>
      <c r="BJ12" s="1" t="s">
        <v>74</v>
      </c>
      <c r="BK12" s="1" t="s">
        <v>74</v>
      </c>
      <c r="BL12" s="1" t="s">
        <v>74</v>
      </c>
      <c r="BM12" s="1" t="s">
        <v>74</v>
      </c>
      <c r="BN12" s="1" t="s">
        <v>74</v>
      </c>
      <c r="BO12" s="1" t="s">
        <v>74</v>
      </c>
      <c r="BP12" s="1" t="s">
        <v>74</v>
      </c>
      <c r="BQ12" s="1" t="s">
        <v>74</v>
      </c>
      <c r="BR12" s="1" t="s">
        <v>74</v>
      </c>
      <c r="BS12" s="1" t="s">
        <v>650</v>
      </c>
      <c r="BT12" s="1" t="str">
        <f>HYPERLINK("https%3A%2F%2Fwww.webofscience.com%2Fwos%2Fwoscc%2Ffull-record%2FWOS:000467390400001","View Full Record in Web of Science")</f>
        <v>View Full Record in Web of Science</v>
      </c>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row>
    <row r="13" spans="1:314" s="2" customFormat="1" x14ac:dyDescent="0.4">
      <c r="A13" s="1" t="s">
        <v>72</v>
      </c>
      <c r="B13" s="1" t="s">
        <v>8739</v>
      </c>
      <c r="C13" s="1" t="s">
        <v>74</v>
      </c>
      <c r="D13" s="1" t="s">
        <v>74</v>
      </c>
      <c r="E13" s="1" t="s">
        <v>74</v>
      </c>
      <c r="F13" s="1" t="s">
        <v>8740</v>
      </c>
      <c r="G13" s="1" t="s">
        <v>74</v>
      </c>
      <c r="H13" s="1" t="s">
        <v>74</v>
      </c>
      <c r="I13" s="1" t="s">
        <v>8741</v>
      </c>
      <c r="J13" s="1" t="s">
        <v>8742</v>
      </c>
      <c r="K13" s="1" t="s">
        <v>74</v>
      </c>
      <c r="L13" s="1" t="s">
        <v>74</v>
      </c>
      <c r="M13" s="1" t="s">
        <v>74</v>
      </c>
      <c r="N13" s="1" t="s">
        <v>74</v>
      </c>
      <c r="O13" s="1" t="s">
        <v>74</v>
      </c>
      <c r="P13" s="1" t="s">
        <v>74</v>
      </c>
      <c r="Q13" s="1" t="s">
        <v>74</v>
      </c>
      <c r="R13" s="1" t="s">
        <v>74</v>
      </c>
      <c r="S13" s="1" t="s">
        <v>74</v>
      </c>
      <c r="T13" s="1" t="s">
        <v>74</v>
      </c>
      <c r="U13" s="1" t="s">
        <v>74</v>
      </c>
      <c r="V13" s="4" t="s">
        <v>8743</v>
      </c>
      <c r="W13" s="1" t="s">
        <v>74</v>
      </c>
      <c r="X13" s="1" t="s">
        <v>74</v>
      </c>
      <c r="Y13" s="1" t="s">
        <v>74</v>
      </c>
      <c r="Z13" s="1" t="s">
        <v>74</v>
      </c>
      <c r="AA13" s="1" t="s">
        <v>8744</v>
      </c>
      <c r="AB13" s="1" t="s">
        <v>74</v>
      </c>
      <c r="AC13" s="1" t="s">
        <v>74</v>
      </c>
      <c r="AD13" s="1" t="s">
        <v>74</v>
      </c>
      <c r="AE13" s="1" t="s">
        <v>74</v>
      </c>
      <c r="AF13" s="1" t="s">
        <v>74</v>
      </c>
      <c r="AG13" s="1" t="s">
        <v>74</v>
      </c>
      <c r="AH13" s="1" t="s">
        <v>74</v>
      </c>
      <c r="AI13" s="1" t="s">
        <v>74</v>
      </c>
      <c r="AJ13" s="1" t="s">
        <v>74</v>
      </c>
      <c r="AK13" s="1" t="s">
        <v>74</v>
      </c>
      <c r="AL13" s="1" t="s">
        <v>74</v>
      </c>
      <c r="AM13" s="1" t="s">
        <v>74</v>
      </c>
      <c r="AN13" s="1" t="s">
        <v>74</v>
      </c>
      <c r="AO13" s="1" t="s">
        <v>8745</v>
      </c>
      <c r="AP13" s="1" t="s">
        <v>74</v>
      </c>
      <c r="AQ13" s="1" t="s">
        <v>74</v>
      </c>
      <c r="AR13" s="1" t="s">
        <v>74</v>
      </c>
      <c r="AS13" s="1" t="s">
        <v>74</v>
      </c>
      <c r="AT13" s="1" t="s">
        <v>1146</v>
      </c>
      <c r="AU13" s="1">
        <v>2014</v>
      </c>
      <c r="AV13" s="1">
        <v>8</v>
      </c>
      <c r="AW13" s="1" t="s">
        <v>74</v>
      </c>
      <c r="AX13" s="1" t="s">
        <v>74</v>
      </c>
      <c r="AY13" s="1" t="s">
        <v>74</v>
      </c>
      <c r="AZ13" s="1" t="s">
        <v>74</v>
      </c>
      <c r="BA13" s="1" t="s">
        <v>74</v>
      </c>
      <c r="BB13" s="1" t="s">
        <v>74</v>
      </c>
      <c r="BC13" s="1" t="s">
        <v>74</v>
      </c>
      <c r="BD13" s="1">
        <v>259</v>
      </c>
      <c r="BE13" s="1" t="s">
        <v>8746</v>
      </c>
      <c r="BF13" s="1" t="str">
        <f>HYPERLINK("http://dx.doi.org/10.3389/fnbeh.2014.00259","http://dx.doi.org/10.3389/fnbeh.2014.00259")</f>
        <v>http://dx.doi.org/10.3389/fnbeh.2014.00259</v>
      </c>
      <c r="BG13" s="1" t="s">
        <v>74</v>
      </c>
      <c r="BH13" s="1" t="s">
        <v>74</v>
      </c>
      <c r="BI13" s="1" t="s">
        <v>74</v>
      </c>
      <c r="BJ13" s="1" t="s">
        <v>74</v>
      </c>
      <c r="BK13" s="1" t="s">
        <v>74</v>
      </c>
      <c r="BL13" s="1" t="s">
        <v>74</v>
      </c>
      <c r="BM13" s="1" t="s">
        <v>74</v>
      </c>
      <c r="BN13" s="1">
        <v>25136298</v>
      </c>
      <c r="BO13" s="1" t="s">
        <v>74</v>
      </c>
      <c r="BP13" s="1" t="s">
        <v>74</v>
      </c>
      <c r="BQ13" s="1" t="s">
        <v>74</v>
      </c>
      <c r="BR13" s="1" t="s">
        <v>74</v>
      </c>
      <c r="BS13" s="1" t="s">
        <v>8747</v>
      </c>
      <c r="BT13" s="1" t="str">
        <f>HYPERLINK("https%3A%2F%2Fwww.webofscience.com%2Fwos%2Fwoscc%2Ffull-record%2FWOS:000340901400001","View Full Record in Web of Science")</f>
        <v>View Full Record in Web of Science</v>
      </c>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row>
    <row r="14" spans="1:314" s="2" customFormat="1" x14ac:dyDescent="0.4">
      <c r="A14" s="1" t="s">
        <v>72</v>
      </c>
      <c r="B14" s="1" t="s">
        <v>4026</v>
      </c>
      <c r="C14" s="1" t="s">
        <v>74</v>
      </c>
      <c r="D14" s="1" t="s">
        <v>74</v>
      </c>
      <c r="E14" s="1" t="s">
        <v>74</v>
      </c>
      <c r="F14" s="1" t="s">
        <v>4027</v>
      </c>
      <c r="G14" s="1" t="s">
        <v>74</v>
      </c>
      <c r="H14" s="1" t="s">
        <v>74</v>
      </c>
      <c r="I14" s="1" t="s">
        <v>4028</v>
      </c>
      <c r="J14" s="1" t="s">
        <v>140</v>
      </c>
      <c r="K14" s="1" t="s">
        <v>74</v>
      </c>
      <c r="L14" s="1" t="s">
        <v>74</v>
      </c>
      <c r="M14" s="1" t="s">
        <v>74</v>
      </c>
      <c r="N14" s="1" t="s">
        <v>74</v>
      </c>
      <c r="O14" s="1" t="s">
        <v>74</v>
      </c>
      <c r="P14" s="1" t="s">
        <v>74</v>
      </c>
      <c r="Q14" s="1" t="s">
        <v>74</v>
      </c>
      <c r="R14" s="1" t="s">
        <v>74</v>
      </c>
      <c r="S14" s="1" t="s">
        <v>74</v>
      </c>
      <c r="T14" s="1" t="s">
        <v>74</v>
      </c>
      <c r="U14" s="1" t="s">
        <v>74</v>
      </c>
      <c r="V14" s="4" t="s">
        <v>4029</v>
      </c>
      <c r="W14" s="1" t="s">
        <v>74</v>
      </c>
      <c r="X14" s="1" t="s">
        <v>74</v>
      </c>
      <c r="Y14" s="1" t="s">
        <v>74</v>
      </c>
      <c r="Z14" s="1" t="s">
        <v>74</v>
      </c>
      <c r="AA14" s="1" t="s">
        <v>4030</v>
      </c>
      <c r="AB14" s="1" t="s">
        <v>74</v>
      </c>
      <c r="AC14" s="1" t="s">
        <v>74</v>
      </c>
      <c r="AD14" s="1" t="s">
        <v>74</v>
      </c>
      <c r="AE14" s="1" t="s">
        <v>74</v>
      </c>
      <c r="AF14" s="1" t="s">
        <v>74</v>
      </c>
      <c r="AG14" s="1" t="s">
        <v>74</v>
      </c>
      <c r="AH14" s="1" t="s">
        <v>74</v>
      </c>
      <c r="AI14" s="1" t="s">
        <v>74</v>
      </c>
      <c r="AJ14" s="1" t="s">
        <v>74</v>
      </c>
      <c r="AK14" s="1" t="s">
        <v>74</v>
      </c>
      <c r="AL14" s="1" t="s">
        <v>74</v>
      </c>
      <c r="AM14" s="1" t="s">
        <v>74</v>
      </c>
      <c r="AN14" s="1" t="s">
        <v>74</v>
      </c>
      <c r="AO14" s="1" t="s">
        <v>143</v>
      </c>
      <c r="AP14" s="1" t="s">
        <v>144</v>
      </c>
      <c r="AQ14" s="1" t="s">
        <v>74</v>
      </c>
      <c r="AR14" s="1" t="s">
        <v>74</v>
      </c>
      <c r="AS14" s="1" t="s">
        <v>74</v>
      </c>
      <c r="AT14" s="1" t="s">
        <v>352</v>
      </c>
      <c r="AU14" s="1">
        <v>2008</v>
      </c>
      <c r="AV14" s="1">
        <v>76</v>
      </c>
      <c r="AW14" s="1" t="s">
        <v>74</v>
      </c>
      <c r="AX14" s="1">
        <v>3</v>
      </c>
      <c r="AY14" s="1" t="s">
        <v>74</v>
      </c>
      <c r="AZ14" s="1" t="s">
        <v>74</v>
      </c>
      <c r="BA14" s="1" t="s">
        <v>74</v>
      </c>
      <c r="BB14" s="1">
        <v>657</v>
      </c>
      <c r="BC14" s="1">
        <v>667</v>
      </c>
      <c r="BD14" s="1" t="s">
        <v>74</v>
      </c>
      <c r="BE14" s="1" t="s">
        <v>4031</v>
      </c>
      <c r="BF14" s="1" t="str">
        <f>HYPERLINK("http://dx.doi.org/10.1016/j.anbehav.2008.03.014","http://dx.doi.org/10.1016/j.anbehav.2008.03.014")</f>
        <v>http://dx.doi.org/10.1016/j.anbehav.2008.03.014</v>
      </c>
      <c r="BG14" s="1" t="s">
        <v>74</v>
      </c>
      <c r="BH14" s="1" t="s">
        <v>74</v>
      </c>
      <c r="BI14" s="1" t="s">
        <v>74</v>
      </c>
      <c r="BJ14" s="1" t="s">
        <v>74</v>
      </c>
      <c r="BK14" s="1" t="s">
        <v>74</v>
      </c>
      <c r="BL14" s="1" t="s">
        <v>74</v>
      </c>
      <c r="BM14" s="1" t="s">
        <v>74</v>
      </c>
      <c r="BN14" s="1" t="s">
        <v>74</v>
      </c>
      <c r="BO14" s="1" t="s">
        <v>74</v>
      </c>
      <c r="BP14" s="1" t="s">
        <v>74</v>
      </c>
      <c r="BQ14" s="1" t="s">
        <v>74</v>
      </c>
      <c r="BR14" s="1" t="s">
        <v>74</v>
      </c>
      <c r="BS14" s="1" t="s">
        <v>4032</v>
      </c>
      <c r="BT14" s="1" t="str">
        <f>HYPERLINK("https%3A%2F%2Fwww.webofscience.com%2Fwos%2Fwoscc%2Ffull-record%2FWOS:000258490800016","View Full Record in Web of Science")</f>
        <v>View Full Record in Web of Science</v>
      </c>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row>
    <row r="15" spans="1:314" s="2" customFormat="1" x14ac:dyDescent="0.4">
      <c r="A15" s="1" t="s">
        <v>72</v>
      </c>
      <c r="B15" s="1" t="s">
        <v>3203</v>
      </c>
      <c r="C15" s="1" t="s">
        <v>74</v>
      </c>
      <c r="D15" s="1" t="s">
        <v>74</v>
      </c>
      <c r="E15" s="1" t="s">
        <v>74</v>
      </c>
      <c r="F15" s="1" t="s">
        <v>3203</v>
      </c>
      <c r="G15" s="1" t="s">
        <v>74</v>
      </c>
      <c r="H15" s="1" t="s">
        <v>74</v>
      </c>
      <c r="I15" s="1" t="s">
        <v>3204</v>
      </c>
      <c r="J15" s="1" t="s">
        <v>509</v>
      </c>
      <c r="K15" s="1" t="s">
        <v>74</v>
      </c>
      <c r="L15" s="1" t="s">
        <v>74</v>
      </c>
      <c r="M15" s="1" t="s">
        <v>74</v>
      </c>
      <c r="N15" s="1" t="s">
        <v>74</v>
      </c>
      <c r="O15" s="1" t="s">
        <v>74</v>
      </c>
      <c r="P15" s="1" t="s">
        <v>74</v>
      </c>
      <c r="Q15" s="1" t="s">
        <v>74</v>
      </c>
      <c r="R15" s="1" t="s">
        <v>74</v>
      </c>
      <c r="S15" s="1" t="s">
        <v>74</v>
      </c>
      <c r="T15" s="1" t="s">
        <v>74</v>
      </c>
      <c r="U15" s="1" t="s">
        <v>74</v>
      </c>
      <c r="V15" s="4" t="s">
        <v>3205</v>
      </c>
      <c r="W15" s="1" t="s">
        <v>74</v>
      </c>
      <c r="X15" s="1" t="s">
        <v>74</v>
      </c>
      <c r="Y15" s="1" t="s">
        <v>74</v>
      </c>
      <c r="Z15" s="1" t="s">
        <v>74</v>
      </c>
      <c r="AA15" s="1" t="s">
        <v>74</v>
      </c>
      <c r="AB15" s="1" t="s">
        <v>74</v>
      </c>
      <c r="AC15" s="1" t="s">
        <v>74</v>
      </c>
      <c r="AD15" s="1" t="s">
        <v>74</v>
      </c>
      <c r="AE15" s="1" t="s">
        <v>74</v>
      </c>
      <c r="AF15" s="1" t="s">
        <v>74</v>
      </c>
      <c r="AG15" s="1" t="s">
        <v>74</v>
      </c>
      <c r="AH15" s="1" t="s">
        <v>74</v>
      </c>
      <c r="AI15" s="1" t="s">
        <v>74</v>
      </c>
      <c r="AJ15" s="1" t="s">
        <v>74</v>
      </c>
      <c r="AK15" s="1" t="s">
        <v>74</v>
      </c>
      <c r="AL15" s="1" t="s">
        <v>74</v>
      </c>
      <c r="AM15" s="1" t="s">
        <v>74</v>
      </c>
      <c r="AN15" s="1" t="s">
        <v>74</v>
      </c>
      <c r="AO15" s="1" t="s">
        <v>511</v>
      </c>
      <c r="AP15" s="1" t="s">
        <v>512</v>
      </c>
      <c r="AQ15" s="1" t="s">
        <v>74</v>
      </c>
      <c r="AR15" s="1" t="s">
        <v>74</v>
      </c>
      <c r="AS15" s="1" t="s">
        <v>74</v>
      </c>
      <c r="AT15" s="1" t="s">
        <v>123</v>
      </c>
      <c r="AU15" s="1">
        <v>2005</v>
      </c>
      <c r="AV15" s="1">
        <v>47</v>
      </c>
      <c r="AW15" s="1">
        <v>3</v>
      </c>
      <c r="AX15" s="1" t="s">
        <v>74</v>
      </c>
      <c r="AY15" s="1" t="s">
        <v>74</v>
      </c>
      <c r="AZ15" s="1" t="s">
        <v>74</v>
      </c>
      <c r="BA15" s="1" t="s">
        <v>74</v>
      </c>
      <c r="BB15" s="1">
        <v>336</v>
      </c>
      <c r="BC15" s="1">
        <v>342</v>
      </c>
      <c r="BD15" s="1" t="s">
        <v>74</v>
      </c>
      <c r="BE15" s="1" t="s">
        <v>3206</v>
      </c>
      <c r="BF15" s="1" t="str">
        <f>HYPERLINK("http://dx.doi.org/10.1016/j.yhbeh.2004.11.014","http://dx.doi.org/10.1016/j.yhbeh.2004.11.014")</f>
        <v>http://dx.doi.org/10.1016/j.yhbeh.2004.11.014</v>
      </c>
      <c r="BG15" s="1" t="s">
        <v>74</v>
      </c>
      <c r="BH15" s="1" t="s">
        <v>74</v>
      </c>
      <c r="BI15" s="1" t="s">
        <v>74</v>
      </c>
      <c r="BJ15" s="1" t="s">
        <v>74</v>
      </c>
      <c r="BK15" s="1" t="s">
        <v>74</v>
      </c>
      <c r="BL15" s="1" t="s">
        <v>74</v>
      </c>
      <c r="BM15" s="1" t="s">
        <v>74</v>
      </c>
      <c r="BN15" s="1">
        <v>15708763</v>
      </c>
      <c r="BO15" s="1" t="s">
        <v>74</v>
      </c>
      <c r="BP15" s="1" t="s">
        <v>74</v>
      </c>
      <c r="BQ15" s="1" t="s">
        <v>74</v>
      </c>
      <c r="BR15" s="1" t="s">
        <v>74</v>
      </c>
      <c r="BS15" s="1" t="s">
        <v>3207</v>
      </c>
      <c r="BT15" s="1" t="str">
        <f>HYPERLINK("https%3A%2F%2Fwww.webofscience.com%2Fwos%2Fwoscc%2Ffull-record%2FWOS:000227326100013","View Full Record in Web of Science")</f>
        <v>View Full Record in Web of Science</v>
      </c>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row>
    <row r="16" spans="1:314" s="2" customFormat="1" x14ac:dyDescent="0.4">
      <c r="A16" s="1" t="s">
        <v>72</v>
      </c>
      <c r="B16" s="1" t="s">
        <v>1524</v>
      </c>
      <c r="C16" s="1" t="s">
        <v>74</v>
      </c>
      <c r="D16" s="1" t="s">
        <v>74</v>
      </c>
      <c r="E16" s="1" t="s">
        <v>74</v>
      </c>
      <c r="F16" s="1" t="s">
        <v>1524</v>
      </c>
      <c r="G16" s="1" t="s">
        <v>74</v>
      </c>
      <c r="H16" s="1" t="s">
        <v>74</v>
      </c>
      <c r="I16" s="1" t="s">
        <v>1525</v>
      </c>
      <c r="J16" s="1" t="s">
        <v>1526</v>
      </c>
      <c r="K16" s="1" t="s">
        <v>74</v>
      </c>
      <c r="L16" s="1" t="s">
        <v>74</v>
      </c>
      <c r="M16" s="1" t="s">
        <v>74</v>
      </c>
      <c r="N16" s="1" t="s">
        <v>74</v>
      </c>
      <c r="O16" s="1" t="s">
        <v>74</v>
      </c>
      <c r="P16" s="1" t="s">
        <v>74</v>
      </c>
      <c r="Q16" s="1" t="s">
        <v>74</v>
      </c>
      <c r="R16" s="1" t="s">
        <v>74</v>
      </c>
      <c r="S16" s="1" t="s">
        <v>74</v>
      </c>
      <c r="T16" s="1" t="s">
        <v>74</v>
      </c>
      <c r="U16" s="1" t="s">
        <v>74</v>
      </c>
      <c r="V16" s="4" t="s">
        <v>1527</v>
      </c>
      <c r="W16" s="1" t="s">
        <v>74</v>
      </c>
      <c r="X16" s="1" t="s">
        <v>74</v>
      </c>
      <c r="Y16" s="1" t="s">
        <v>74</v>
      </c>
      <c r="Z16" s="1" t="s">
        <v>74</v>
      </c>
      <c r="AA16" s="1" t="s">
        <v>74</v>
      </c>
      <c r="AB16" s="1" t="s">
        <v>74</v>
      </c>
      <c r="AC16" s="1" t="s">
        <v>74</v>
      </c>
      <c r="AD16" s="1" t="s">
        <v>74</v>
      </c>
      <c r="AE16" s="1" t="s">
        <v>74</v>
      </c>
      <c r="AF16" s="1" t="s">
        <v>74</v>
      </c>
      <c r="AG16" s="1" t="s">
        <v>74</v>
      </c>
      <c r="AH16" s="1" t="s">
        <v>74</v>
      </c>
      <c r="AI16" s="1" t="s">
        <v>74</v>
      </c>
      <c r="AJ16" s="1" t="s">
        <v>74</v>
      </c>
      <c r="AK16" s="1" t="s">
        <v>74</v>
      </c>
      <c r="AL16" s="1" t="s">
        <v>74</v>
      </c>
      <c r="AM16" s="1" t="s">
        <v>74</v>
      </c>
      <c r="AN16" s="1" t="s">
        <v>74</v>
      </c>
      <c r="AO16" s="1" t="s">
        <v>1528</v>
      </c>
      <c r="AP16" s="1" t="s">
        <v>74</v>
      </c>
      <c r="AQ16" s="1" t="s">
        <v>74</v>
      </c>
      <c r="AR16" s="1" t="s">
        <v>74</v>
      </c>
      <c r="AS16" s="1" t="s">
        <v>74</v>
      </c>
      <c r="AT16" s="1" t="s">
        <v>213</v>
      </c>
      <c r="AU16" s="1">
        <v>1999</v>
      </c>
      <c r="AV16" s="1">
        <v>101</v>
      </c>
      <c r="AW16" s="1">
        <v>4</v>
      </c>
      <c r="AX16" s="1" t="s">
        <v>74</v>
      </c>
      <c r="AY16" s="1" t="s">
        <v>74</v>
      </c>
      <c r="AZ16" s="1" t="s">
        <v>74</v>
      </c>
      <c r="BA16" s="1" t="s">
        <v>74</v>
      </c>
      <c r="BB16" s="1">
        <v>842</v>
      </c>
      <c r="BC16" s="1">
        <v>845</v>
      </c>
      <c r="BD16" s="1" t="s">
        <v>74</v>
      </c>
      <c r="BE16" s="1" t="s">
        <v>1529</v>
      </c>
      <c r="BF16" s="1" t="str">
        <f>HYPERLINK("http://dx.doi.org/10.2307/1370072","http://dx.doi.org/10.2307/1370072")</f>
        <v>http://dx.doi.org/10.2307/1370072</v>
      </c>
      <c r="BG16" s="1" t="s">
        <v>74</v>
      </c>
      <c r="BH16" s="1" t="s">
        <v>74</v>
      </c>
      <c r="BI16" s="1" t="s">
        <v>74</v>
      </c>
      <c r="BJ16" s="1" t="s">
        <v>74</v>
      </c>
      <c r="BK16" s="1" t="s">
        <v>74</v>
      </c>
      <c r="BL16" s="1" t="s">
        <v>74</v>
      </c>
      <c r="BM16" s="1" t="s">
        <v>74</v>
      </c>
      <c r="BN16" s="1" t="s">
        <v>74</v>
      </c>
      <c r="BO16" s="1" t="s">
        <v>74</v>
      </c>
      <c r="BP16" s="1" t="s">
        <v>74</v>
      </c>
      <c r="BQ16" s="1" t="s">
        <v>74</v>
      </c>
      <c r="BR16" s="1" t="s">
        <v>74</v>
      </c>
      <c r="BS16" s="1" t="s">
        <v>1530</v>
      </c>
      <c r="BT16" s="1" t="str">
        <f>HYPERLINK("https%3A%2F%2Fwww.webofscience.com%2Fwos%2Fwoscc%2Ffull-record%2FWOS:000083884100014","View Full Record in Web of Science")</f>
        <v>View Full Record in Web of Science</v>
      </c>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row>
    <row r="17" spans="1:314" s="2" customFormat="1" x14ac:dyDescent="0.4">
      <c r="A17" s="1" t="s">
        <v>72</v>
      </c>
      <c r="B17" s="1" t="s">
        <v>3983</v>
      </c>
      <c r="C17" s="1" t="s">
        <v>74</v>
      </c>
      <c r="D17" s="1" t="s">
        <v>74</v>
      </c>
      <c r="E17" s="1" t="s">
        <v>74</v>
      </c>
      <c r="F17" s="1" t="s">
        <v>3984</v>
      </c>
      <c r="G17" s="1" t="s">
        <v>74</v>
      </c>
      <c r="H17" s="1" t="s">
        <v>74</v>
      </c>
      <c r="I17" s="1" t="s">
        <v>3985</v>
      </c>
      <c r="J17" s="1" t="s">
        <v>333</v>
      </c>
      <c r="K17" s="1" t="s">
        <v>74</v>
      </c>
      <c r="L17" s="1" t="s">
        <v>74</v>
      </c>
      <c r="M17" s="1" t="s">
        <v>74</v>
      </c>
      <c r="N17" s="1" t="s">
        <v>74</v>
      </c>
      <c r="O17" s="1" t="s">
        <v>74</v>
      </c>
      <c r="P17" s="1" t="s">
        <v>74</v>
      </c>
      <c r="Q17" s="1" t="s">
        <v>74</v>
      </c>
      <c r="R17" s="1" t="s">
        <v>74</v>
      </c>
      <c r="S17" s="1" t="s">
        <v>74</v>
      </c>
      <c r="T17" s="1" t="s">
        <v>74</v>
      </c>
      <c r="U17" s="1" t="s">
        <v>74</v>
      </c>
      <c r="V17" s="4" t="s">
        <v>3986</v>
      </c>
      <c r="W17" s="1" t="s">
        <v>74</v>
      </c>
      <c r="X17" s="1" t="s">
        <v>74</v>
      </c>
      <c r="Y17" s="1" t="s">
        <v>74</v>
      </c>
      <c r="Z17" s="1" t="s">
        <v>74</v>
      </c>
      <c r="AA17" s="1" t="s">
        <v>74</v>
      </c>
      <c r="AB17" s="1" t="s">
        <v>74</v>
      </c>
      <c r="AC17" s="1" t="s">
        <v>74</v>
      </c>
      <c r="AD17" s="1" t="s">
        <v>74</v>
      </c>
      <c r="AE17" s="1" t="s">
        <v>74</v>
      </c>
      <c r="AF17" s="1" t="s">
        <v>74</v>
      </c>
      <c r="AG17" s="1" t="s">
        <v>74</v>
      </c>
      <c r="AH17" s="1" t="s">
        <v>74</v>
      </c>
      <c r="AI17" s="1" t="s">
        <v>74</v>
      </c>
      <c r="AJ17" s="1" t="s">
        <v>74</v>
      </c>
      <c r="AK17" s="1" t="s">
        <v>74</v>
      </c>
      <c r="AL17" s="1" t="s">
        <v>74</v>
      </c>
      <c r="AM17" s="1" t="s">
        <v>74</v>
      </c>
      <c r="AN17" s="1" t="s">
        <v>74</v>
      </c>
      <c r="AO17" s="1" t="s">
        <v>337</v>
      </c>
      <c r="AP17" s="1" t="s">
        <v>338</v>
      </c>
      <c r="AQ17" s="1" t="s">
        <v>74</v>
      </c>
      <c r="AR17" s="1" t="s">
        <v>74</v>
      </c>
      <c r="AS17" s="1" t="s">
        <v>74</v>
      </c>
      <c r="AT17" s="1" t="s">
        <v>1038</v>
      </c>
      <c r="AU17" s="1">
        <v>2015</v>
      </c>
      <c r="AV17" s="1">
        <v>26</v>
      </c>
      <c r="AW17" s="1">
        <v>2</v>
      </c>
      <c r="AX17" s="1" t="s">
        <v>74</v>
      </c>
      <c r="AY17" s="1" t="s">
        <v>74</v>
      </c>
      <c r="AZ17" s="1" t="s">
        <v>74</v>
      </c>
      <c r="BA17" s="1" t="s">
        <v>74</v>
      </c>
      <c r="BB17" s="1">
        <v>560</v>
      </c>
      <c r="BC17" s="1">
        <v>568</v>
      </c>
      <c r="BD17" s="1" t="s">
        <v>74</v>
      </c>
      <c r="BE17" s="1" t="s">
        <v>3987</v>
      </c>
      <c r="BF17" s="1" t="str">
        <f>HYPERLINK("http://dx.doi.org/10.1093/beheco/aru231","http://dx.doi.org/10.1093/beheco/aru231")</f>
        <v>http://dx.doi.org/10.1093/beheco/aru231</v>
      </c>
      <c r="BG17" s="1" t="s">
        <v>74</v>
      </c>
      <c r="BH17" s="1" t="s">
        <v>74</v>
      </c>
      <c r="BI17" s="1" t="s">
        <v>74</v>
      </c>
      <c r="BJ17" s="1" t="s">
        <v>74</v>
      </c>
      <c r="BK17" s="1" t="s">
        <v>74</v>
      </c>
      <c r="BL17" s="1" t="s">
        <v>74</v>
      </c>
      <c r="BM17" s="1" t="s">
        <v>74</v>
      </c>
      <c r="BN17" s="1" t="s">
        <v>74</v>
      </c>
      <c r="BO17" s="1" t="s">
        <v>74</v>
      </c>
      <c r="BP17" s="1" t="s">
        <v>74</v>
      </c>
      <c r="BQ17" s="1" t="s">
        <v>74</v>
      </c>
      <c r="BR17" s="1" t="s">
        <v>74</v>
      </c>
      <c r="BS17" s="1" t="s">
        <v>3988</v>
      </c>
      <c r="BT17" s="1" t="str">
        <f>HYPERLINK("https%3A%2F%2Fwww.webofscience.com%2Fwos%2Fwoscc%2Ffull-record%2FWOS:000352271800037","View Full Record in Web of Science")</f>
        <v>View Full Record in Web of Science</v>
      </c>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row>
    <row r="18" spans="1:314" s="2" customFormat="1" x14ac:dyDescent="0.4">
      <c r="A18" s="1" t="s">
        <v>72</v>
      </c>
      <c r="B18" s="1" t="s">
        <v>7079</v>
      </c>
      <c r="C18" s="1" t="s">
        <v>74</v>
      </c>
      <c r="D18" s="1" t="s">
        <v>74</v>
      </c>
      <c r="E18" s="1" t="s">
        <v>74</v>
      </c>
      <c r="F18" s="1" t="s">
        <v>7080</v>
      </c>
      <c r="G18" s="1" t="s">
        <v>74</v>
      </c>
      <c r="H18" s="1" t="s">
        <v>74</v>
      </c>
      <c r="I18" s="1" t="s">
        <v>7081</v>
      </c>
      <c r="J18" s="1" t="s">
        <v>171</v>
      </c>
      <c r="K18" s="1" t="s">
        <v>74</v>
      </c>
      <c r="L18" s="1" t="s">
        <v>74</v>
      </c>
      <c r="M18" s="1" t="s">
        <v>74</v>
      </c>
      <c r="N18" s="1" t="s">
        <v>74</v>
      </c>
      <c r="O18" s="1" t="s">
        <v>74</v>
      </c>
      <c r="P18" s="1" t="s">
        <v>74</v>
      </c>
      <c r="Q18" s="1" t="s">
        <v>74</v>
      </c>
      <c r="R18" s="1" t="s">
        <v>74</v>
      </c>
      <c r="S18" s="1" t="s">
        <v>74</v>
      </c>
      <c r="T18" s="1" t="s">
        <v>74</v>
      </c>
      <c r="U18" s="1" t="s">
        <v>74</v>
      </c>
      <c r="V18" s="4" t="s">
        <v>7082</v>
      </c>
      <c r="W18" s="1" t="s">
        <v>74</v>
      </c>
      <c r="X18" s="1" t="s">
        <v>74</v>
      </c>
      <c r="Y18" s="1" t="s">
        <v>74</v>
      </c>
      <c r="Z18" s="1" t="s">
        <v>74</v>
      </c>
      <c r="AA18" s="1" t="s">
        <v>74</v>
      </c>
      <c r="AB18" s="1" t="s">
        <v>74</v>
      </c>
      <c r="AC18" s="1" t="s">
        <v>74</v>
      </c>
      <c r="AD18" s="1" t="s">
        <v>74</v>
      </c>
      <c r="AE18" s="1" t="s">
        <v>74</v>
      </c>
      <c r="AF18" s="1" t="s">
        <v>74</v>
      </c>
      <c r="AG18" s="1" t="s">
        <v>74</v>
      </c>
      <c r="AH18" s="1" t="s">
        <v>74</v>
      </c>
      <c r="AI18" s="1" t="s">
        <v>74</v>
      </c>
      <c r="AJ18" s="1" t="s">
        <v>74</v>
      </c>
      <c r="AK18" s="1" t="s">
        <v>74</v>
      </c>
      <c r="AL18" s="1" t="s">
        <v>74</v>
      </c>
      <c r="AM18" s="1" t="s">
        <v>74</v>
      </c>
      <c r="AN18" s="1" t="s">
        <v>74</v>
      </c>
      <c r="AO18" s="1" t="s">
        <v>173</v>
      </c>
      <c r="AP18" s="1" t="s">
        <v>174</v>
      </c>
      <c r="AQ18" s="1" t="s">
        <v>74</v>
      </c>
      <c r="AR18" s="1" t="s">
        <v>74</v>
      </c>
      <c r="AS18" s="1" t="s">
        <v>74</v>
      </c>
      <c r="AT18" s="1" t="s">
        <v>964</v>
      </c>
      <c r="AU18" s="1">
        <v>2011</v>
      </c>
      <c r="AV18" s="1">
        <v>65</v>
      </c>
      <c r="AW18" s="1">
        <v>2</v>
      </c>
      <c r="AX18" s="1" t="s">
        <v>74</v>
      </c>
      <c r="AY18" s="1" t="s">
        <v>74</v>
      </c>
      <c r="AZ18" s="1" t="s">
        <v>74</v>
      </c>
      <c r="BA18" s="1" t="s">
        <v>74</v>
      </c>
      <c r="BB18" s="1">
        <v>599</v>
      </c>
      <c r="BC18" s="1">
        <v>605</v>
      </c>
      <c r="BD18" s="1" t="s">
        <v>74</v>
      </c>
      <c r="BE18" s="1" t="s">
        <v>7083</v>
      </c>
      <c r="BF18" s="1" t="str">
        <f>HYPERLINK("http://dx.doi.org/10.1111/j.1558-5646.2010.01154.x","http://dx.doi.org/10.1111/j.1558-5646.2010.01154.x")</f>
        <v>http://dx.doi.org/10.1111/j.1558-5646.2010.01154.x</v>
      </c>
      <c r="BG18" s="1" t="s">
        <v>74</v>
      </c>
      <c r="BH18" s="1" t="s">
        <v>74</v>
      </c>
      <c r="BI18" s="1" t="s">
        <v>74</v>
      </c>
      <c r="BJ18" s="1" t="s">
        <v>74</v>
      </c>
      <c r="BK18" s="1" t="s">
        <v>74</v>
      </c>
      <c r="BL18" s="1" t="s">
        <v>74</v>
      </c>
      <c r="BM18" s="1" t="s">
        <v>74</v>
      </c>
      <c r="BN18" s="1">
        <v>21271999</v>
      </c>
      <c r="BO18" s="1" t="s">
        <v>74</v>
      </c>
      <c r="BP18" s="1" t="s">
        <v>74</v>
      </c>
      <c r="BQ18" s="1" t="s">
        <v>74</v>
      </c>
      <c r="BR18" s="1" t="s">
        <v>74</v>
      </c>
      <c r="BS18" s="1" t="s">
        <v>7084</v>
      </c>
      <c r="BT18" s="1" t="str">
        <f>HYPERLINK("https%3A%2F%2Fwww.webofscience.com%2Fwos%2Fwoscc%2Ffull-record%2FWOS:000286629100024","View Full Record in Web of Science")</f>
        <v>View Full Record in Web of Science</v>
      </c>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row>
    <row r="19" spans="1:314" s="2" customFormat="1" x14ac:dyDescent="0.4">
      <c r="A19" s="1" t="s">
        <v>72</v>
      </c>
      <c r="B19" s="1" t="s">
        <v>5785</v>
      </c>
      <c r="C19" s="1" t="s">
        <v>74</v>
      </c>
      <c r="D19" s="1" t="s">
        <v>74</v>
      </c>
      <c r="E19" s="1" t="s">
        <v>74</v>
      </c>
      <c r="F19" s="1" t="s">
        <v>5785</v>
      </c>
      <c r="G19" s="1" t="s">
        <v>74</v>
      </c>
      <c r="H19" s="1" t="s">
        <v>74</v>
      </c>
      <c r="I19" s="1" t="s">
        <v>5786</v>
      </c>
      <c r="J19" s="1" t="s">
        <v>431</v>
      </c>
      <c r="K19" s="1" t="s">
        <v>74</v>
      </c>
      <c r="L19" s="1" t="s">
        <v>74</v>
      </c>
      <c r="M19" s="1" t="s">
        <v>74</v>
      </c>
      <c r="N19" s="1" t="s">
        <v>74</v>
      </c>
      <c r="O19" s="1" t="s">
        <v>74</v>
      </c>
      <c r="P19" s="1" t="s">
        <v>74</v>
      </c>
      <c r="Q19" s="1" t="s">
        <v>74</v>
      </c>
      <c r="R19" s="1" t="s">
        <v>74</v>
      </c>
      <c r="S19" s="1" t="s">
        <v>74</v>
      </c>
      <c r="T19" s="1" t="s">
        <v>74</v>
      </c>
      <c r="U19" s="1" t="s">
        <v>74</v>
      </c>
      <c r="V19" s="4" t="s">
        <v>5787</v>
      </c>
      <c r="W19" s="1" t="s">
        <v>74</v>
      </c>
      <c r="X19" s="1" t="s">
        <v>74</v>
      </c>
      <c r="Y19" s="1" t="s">
        <v>74</v>
      </c>
      <c r="Z19" s="1" t="s">
        <v>74</v>
      </c>
      <c r="AA19" s="1" t="s">
        <v>74</v>
      </c>
      <c r="AB19" s="1" t="s">
        <v>74</v>
      </c>
      <c r="AC19" s="1" t="s">
        <v>74</v>
      </c>
      <c r="AD19" s="1" t="s">
        <v>74</v>
      </c>
      <c r="AE19" s="1" t="s">
        <v>74</v>
      </c>
      <c r="AF19" s="1" t="s">
        <v>74</v>
      </c>
      <c r="AG19" s="1" t="s">
        <v>74</v>
      </c>
      <c r="AH19" s="1" t="s">
        <v>74</v>
      </c>
      <c r="AI19" s="1" t="s">
        <v>74</v>
      </c>
      <c r="AJ19" s="1" t="s">
        <v>74</v>
      </c>
      <c r="AK19" s="1" t="s">
        <v>74</v>
      </c>
      <c r="AL19" s="1" t="s">
        <v>74</v>
      </c>
      <c r="AM19" s="1" t="s">
        <v>74</v>
      </c>
      <c r="AN19" s="1" t="s">
        <v>74</v>
      </c>
      <c r="AO19" s="1" t="s">
        <v>1458</v>
      </c>
      <c r="AP19" s="1" t="s">
        <v>435</v>
      </c>
      <c r="AQ19" s="1" t="s">
        <v>74</v>
      </c>
      <c r="AR19" s="1" t="s">
        <v>74</v>
      </c>
      <c r="AS19" s="1" t="s">
        <v>74</v>
      </c>
      <c r="AT19" s="1" t="s">
        <v>175</v>
      </c>
      <c r="AU19" s="1">
        <v>1996</v>
      </c>
      <c r="AV19" s="1">
        <v>113</v>
      </c>
      <c r="AW19" s="1">
        <v>4</v>
      </c>
      <c r="AX19" s="1" t="s">
        <v>74</v>
      </c>
      <c r="AY19" s="1" t="s">
        <v>74</v>
      </c>
      <c r="AZ19" s="1" t="s">
        <v>74</v>
      </c>
      <c r="BA19" s="1" t="s">
        <v>74</v>
      </c>
      <c r="BB19" s="1">
        <v>849</v>
      </c>
      <c r="BC19" s="1">
        <v>857</v>
      </c>
      <c r="BD19" s="1" t="s">
        <v>74</v>
      </c>
      <c r="BE19" s="1" t="s">
        <v>5788</v>
      </c>
      <c r="BF19" s="1" t="str">
        <f>HYPERLINK("http://dx.doi.org/10.2307/4088863","http://dx.doi.org/10.2307/4088863")</f>
        <v>http://dx.doi.org/10.2307/4088863</v>
      </c>
      <c r="BG19" s="1" t="s">
        <v>74</v>
      </c>
      <c r="BH19" s="1" t="s">
        <v>74</v>
      </c>
      <c r="BI19" s="1" t="s">
        <v>74</v>
      </c>
      <c r="BJ19" s="1" t="s">
        <v>74</v>
      </c>
      <c r="BK19" s="1" t="s">
        <v>74</v>
      </c>
      <c r="BL19" s="1" t="s">
        <v>74</v>
      </c>
      <c r="BM19" s="1" t="s">
        <v>74</v>
      </c>
      <c r="BN19" s="1" t="s">
        <v>74</v>
      </c>
      <c r="BO19" s="1" t="s">
        <v>74</v>
      </c>
      <c r="BP19" s="1" t="s">
        <v>74</v>
      </c>
      <c r="BQ19" s="1" t="s">
        <v>74</v>
      </c>
      <c r="BR19" s="1" t="s">
        <v>74</v>
      </c>
      <c r="BS19" s="1" t="s">
        <v>5789</v>
      </c>
      <c r="BT19" s="1" t="str">
        <f>HYPERLINK("https%3A%2F%2Fwww.webofscience.com%2Fwos%2Fwoscc%2Ffull-record%2FWOS:A1996VN96300011","View Full Record in Web of Science")</f>
        <v>View Full Record in Web of Science</v>
      </c>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row>
    <row r="20" spans="1:314" s="2" customFormat="1" x14ac:dyDescent="0.4">
      <c r="A20" s="1" t="s">
        <v>72</v>
      </c>
      <c r="B20" s="1" t="s">
        <v>4789</v>
      </c>
      <c r="C20" s="1" t="s">
        <v>74</v>
      </c>
      <c r="D20" s="1" t="s">
        <v>74</v>
      </c>
      <c r="E20" s="1" t="s">
        <v>74</v>
      </c>
      <c r="F20" s="1" t="s">
        <v>4789</v>
      </c>
      <c r="G20" s="1" t="s">
        <v>74</v>
      </c>
      <c r="H20" s="1" t="s">
        <v>74</v>
      </c>
      <c r="I20" s="1" t="s">
        <v>4790</v>
      </c>
      <c r="J20" s="1" t="s">
        <v>4791</v>
      </c>
      <c r="K20" s="1" t="s">
        <v>74</v>
      </c>
      <c r="L20" s="1" t="s">
        <v>74</v>
      </c>
      <c r="M20" s="1" t="s">
        <v>74</v>
      </c>
      <c r="N20" s="1" t="s">
        <v>74</v>
      </c>
      <c r="O20" s="1" t="s">
        <v>74</v>
      </c>
      <c r="P20" s="1" t="s">
        <v>74</v>
      </c>
      <c r="Q20" s="1" t="s">
        <v>74</v>
      </c>
      <c r="R20" s="1" t="s">
        <v>74</v>
      </c>
      <c r="S20" s="1" t="s">
        <v>74</v>
      </c>
      <c r="T20" s="1" t="s">
        <v>74</v>
      </c>
      <c r="U20" s="1" t="s">
        <v>74</v>
      </c>
      <c r="V20" s="4" t="s">
        <v>4792</v>
      </c>
      <c r="W20" s="1" t="s">
        <v>74</v>
      </c>
      <c r="X20" s="1" t="s">
        <v>74</v>
      </c>
      <c r="Y20" s="1" t="s">
        <v>74</v>
      </c>
      <c r="Z20" s="1" t="s">
        <v>74</v>
      </c>
      <c r="AA20" s="1" t="s">
        <v>74</v>
      </c>
      <c r="AB20" s="1" t="s">
        <v>74</v>
      </c>
      <c r="AC20" s="1" t="s">
        <v>74</v>
      </c>
      <c r="AD20" s="1" t="s">
        <v>74</v>
      </c>
      <c r="AE20" s="1" t="s">
        <v>74</v>
      </c>
      <c r="AF20" s="1" t="s">
        <v>74</v>
      </c>
      <c r="AG20" s="1" t="s">
        <v>74</v>
      </c>
      <c r="AH20" s="1" t="s">
        <v>74</v>
      </c>
      <c r="AI20" s="1" t="s">
        <v>74</v>
      </c>
      <c r="AJ20" s="1" t="s">
        <v>74</v>
      </c>
      <c r="AK20" s="1" t="s">
        <v>74</v>
      </c>
      <c r="AL20" s="1" t="s">
        <v>74</v>
      </c>
      <c r="AM20" s="1" t="s">
        <v>74</v>
      </c>
      <c r="AN20" s="1" t="s">
        <v>74</v>
      </c>
      <c r="AO20" s="1" t="s">
        <v>4793</v>
      </c>
      <c r="AP20" s="1" t="s">
        <v>74</v>
      </c>
      <c r="AQ20" s="1" t="s">
        <v>74</v>
      </c>
      <c r="AR20" s="1" t="s">
        <v>74</v>
      </c>
      <c r="AS20" s="1" t="s">
        <v>74</v>
      </c>
      <c r="AT20" s="1" t="s">
        <v>361</v>
      </c>
      <c r="AU20" s="1">
        <v>1997</v>
      </c>
      <c r="AV20" s="1">
        <v>278</v>
      </c>
      <c r="AW20" s="1">
        <v>1</v>
      </c>
      <c r="AX20" s="1" t="s">
        <v>74</v>
      </c>
      <c r="AY20" s="1" t="s">
        <v>74</v>
      </c>
      <c r="AZ20" s="1" t="s">
        <v>74</v>
      </c>
      <c r="BA20" s="1" t="s">
        <v>74</v>
      </c>
      <c r="BB20" s="1">
        <v>9</v>
      </c>
      <c r="BC20" s="1">
        <v>21</v>
      </c>
      <c r="BD20" s="1" t="s">
        <v>74</v>
      </c>
      <c r="BE20" s="1" t="s">
        <v>4794</v>
      </c>
      <c r="BF20" s="1" t="str">
        <f>HYPERLINK("http://dx.doi.org/10.1002/(SICI)1097-010X(19970501)278:1&lt;9::AID-JEZ2&gt;3.0.CO;2-T","http://dx.doi.org/10.1002/(SICI)1097-010X(19970501)278:1&lt;9::AID-JEZ2&gt;3.0.CO;2-T")</f>
        <v>http://dx.doi.org/10.1002/(SICI)1097-010X(19970501)278:1&lt;9::AID-JEZ2&gt;3.0.CO;2-T</v>
      </c>
      <c r="BG20" s="1" t="s">
        <v>74</v>
      </c>
      <c r="BH20" s="1" t="s">
        <v>74</v>
      </c>
      <c r="BI20" s="1" t="s">
        <v>74</v>
      </c>
      <c r="BJ20" s="1" t="s">
        <v>74</v>
      </c>
      <c r="BK20" s="1" t="s">
        <v>74</v>
      </c>
      <c r="BL20" s="1" t="s">
        <v>74</v>
      </c>
      <c r="BM20" s="1" t="s">
        <v>74</v>
      </c>
      <c r="BN20" s="1" t="s">
        <v>74</v>
      </c>
      <c r="BO20" s="1" t="s">
        <v>74</v>
      </c>
      <c r="BP20" s="1" t="s">
        <v>74</v>
      </c>
      <c r="BQ20" s="1" t="s">
        <v>74</v>
      </c>
      <c r="BR20" s="1" t="s">
        <v>74</v>
      </c>
      <c r="BS20" s="1" t="s">
        <v>4795</v>
      </c>
      <c r="BT20" s="1" t="str">
        <f>HYPERLINK("https%3A%2F%2Fwww.webofscience.com%2Fwos%2Fwoscc%2Ffull-record%2FWOS:A1997WW30700002","View Full Record in Web of Science")</f>
        <v>View Full Record in Web of Science</v>
      </c>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row>
    <row r="21" spans="1:314" s="2" customFormat="1" x14ac:dyDescent="0.4">
      <c r="A21" s="1" t="s">
        <v>72</v>
      </c>
      <c r="B21" s="1" t="s">
        <v>1469</v>
      </c>
      <c r="C21" s="1" t="s">
        <v>74</v>
      </c>
      <c r="D21" s="1" t="s">
        <v>74</v>
      </c>
      <c r="E21" s="1" t="s">
        <v>74</v>
      </c>
      <c r="F21" s="1" t="s">
        <v>1470</v>
      </c>
      <c r="G21" s="1" t="s">
        <v>74</v>
      </c>
      <c r="H21" s="1" t="s">
        <v>74</v>
      </c>
      <c r="I21" s="1" t="s">
        <v>1471</v>
      </c>
      <c r="J21" s="1" t="s">
        <v>333</v>
      </c>
      <c r="K21" s="1" t="s">
        <v>74</v>
      </c>
      <c r="L21" s="1" t="s">
        <v>74</v>
      </c>
      <c r="M21" s="1" t="s">
        <v>74</v>
      </c>
      <c r="N21" s="1" t="s">
        <v>74</v>
      </c>
      <c r="O21" s="1" t="s">
        <v>74</v>
      </c>
      <c r="P21" s="1" t="s">
        <v>74</v>
      </c>
      <c r="Q21" s="1" t="s">
        <v>74</v>
      </c>
      <c r="R21" s="1" t="s">
        <v>74</v>
      </c>
      <c r="S21" s="1" t="s">
        <v>74</v>
      </c>
      <c r="T21" s="1" t="s">
        <v>74</v>
      </c>
      <c r="U21" s="1" t="s">
        <v>74</v>
      </c>
      <c r="V21" s="4" t="s">
        <v>1472</v>
      </c>
      <c r="W21" s="1" t="s">
        <v>74</v>
      </c>
      <c r="X21" s="1" t="s">
        <v>74</v>
      </c>
      <c r="Y21" s="1" t="s">
        <v>74</v>
      </c>
      <c r="Z21" s="1" t="s">
        <v>74</v>
      </c>
      <c r="AA21" s="1" t="s">
        <v>1473</v>
      </c>
      <c r="AB21" s="1" t="s">
        <v>1474</v>
      </c>
      <c r="AC21" s="1" t="s">
        <v>74</v>
      </c>
      <c r="AD21" s="1" t="s">
        <v>74</v>
      </c>
      <c r="AE21" s="1" t="s">
        <v>74</v>
      </c>
      <c r="AF21" s="1" t="s">
        <v>74</v>
      </c>
      <c r="AG21" s="1" t="s">
        <v>74</v>
      </c>
      <c r="AH21" s="1" t="s">
        <v>74</v>
      </c>
      <c r="AI21" s="1" t="s">
        <v>74</v>
      </c>
      <c r="AJ21" s="1" t="s">
        <v>74</v>
      </c>
      <c r="AK21" s="1" t="s">
        <v>74</v>
      </c>
      <c r="AL21" s="1" t="s">
        <v>74</v>
      </c>
      <c r="AM21" s="1" t="s">
        <v>74</v>
      </c>
      <c r="AN21" s="1" t="s">
        <v>74</v>
      </c>
      <c r="AO21" s="1" t="s">
        <v>337</v>
      </c>
      <c r="AP21" s="1" t="s">
        <v>338</v>
      </c>
      <c r="AQ21" s="1" t="s">
        <v>74</v>
      </c>
      <c r="AR21" s="1" t="s">
        <v>74</v>
      </c>
      <c r="AS21" s="1" t="s">
        <v>74</v>
      </c>
      <c r="AT21" s="1" t="s">
        <v>1475</v>
      </c>
      <c r="AU21" s="1">
        <v>2009</v>
      </c>
      <c r="AV21" s="1">
        <v>20</v>
      </c>
      <c r="AW21" s="1">
        <v>1</v>
      </c>
      <c r="AX21" s="1" t="s">
        <v>74</v>
      </c>
      <c r="AY21" s="1" t="s">
        <v>74</v>
      </c>
      <c r="AZ21" s="1" t="s">
        <v>74</v>
      </c>
      <c r="BA21" s="1" t="s">
        <v>74</v>
      </c>
      <c r="BB21" s="1">
        <v>138</v>
      </c>
      <c r="BC21" s="1">
        <v>144</v>
      </c>
      <c r="BD21" s="1" t="s">
        <v>74</v>
      </c>
      <c r="BE21" s="1" t="s">
        <v>1476</v>
      </c>
      <c r="BF21" s="1" t="str">
        <f>HYPERLINK("http://dx.doi.org/10.1093/beheco/arn125","http://dx.doi.org/10.1093/beheco/arn125")</f>
        <v>http://dx.doi.org/10.1093/beheco/arn125</v>
      </c>
      <c r="BG21" s="1" t="s">
        <v>74</v>
      </c>
      <c r="BH21" s="1" t="s">
        <v>74</v>
      </c>
      <c r="BI21" s="1" t="s">
        <v>74</v>
      </c>
      <c r="BJ21" s="1" t="s">
        <v>74</v>
      </c>
      <c r="BK21" s="1" t="s">
        <v>74</v>
      </c>
      <c r="BL21" s="1" t="s">
        <v>74</v>
      </c>
      <c r="BM21" s="1" t="s">
        <v>74</v>
      </c>
      <c r="BN21" s="1" t="s">
        <v>74</v>
      </c>
      <c r="BO21" s="1" t="s">
        <v>74</v>
      </c>
      <c r="BP21" s="1" t="s">
        <v>74</v>
      </c>
      <c r="BQ21" s="1" t="s">
        <v>74</v>
      </c>
      <c r="BR21" s="1" t="s">
        <v>74</v>
      </c>
      <c r="BS21" s="1" t="s">
        <v>1477</v>
      </c>
      <c r="BT21" s="1" t="str">
        <f>HYPERLINK("https%3A%2F%2Fwww.webofscience.com%2Fwos%2Fwoscc%2Ffull-record%2FWOS:000262152300018","View Full Record in Web of Science")</f>
        <v>View Full Record in Web of Science</v>
      </c>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row>
    <row r="22" spans="1:314" s="2" customFormat="1" x14ac:dyDescent="0.4">
      <c r="A22" s="1" t="s">
        <v>72</v>
      </c>
      <c r="B22" s="1" t="s">
        <v>1360</v>
      </c>
      <c r="C22" s="1" t="s">
        <v>74</v>
      </c>
      <c r="D22" s="1" t="s">
        <v>74</v>
      </c>
      <c r="E22" s="1" t="s">
        <v>74</v>
      </c>
      <c r="F22" s="1" t="s">
        <v>1361</v>
      </c>
      <c r="G22" s="1" t="s">
        <v>74</v>
      </c>
      <c r="H22" s="1" t="s">
        <v>74</v>
      </c>
      <c r="I22" s="1" t="s">
        <v>1362</v>
      </c>
      <c r="J22" s="1" t="s">
        <v>333</v>
      </c>
      <c r="K22" s="1" t="s">
        <v>74</v>
      </c>
      <c r="L22" s="1" t="s">
        <v>74</v>
      </c>
      <c r="M22" s="1" t="s">
        <v>74</v>
      </c>
      <c r="N22" s="1" t="s">
        <v>74</v>
      </c>
      <c r="O22" s="1" t="s">
        <v>74</v>
      </c>
      <c r="P22" s="1" t="s">
        <v>74</v>
      </c>
      <c r="Q22" s="1" t="s">
        <v>74</v>
      </c>
      <c r="R22" s="1" t="s">
        <v>74</v>
      </c>
      <c r="S22" s="1" t="s">
        <v>74</v>
      </c>
      <c r="T22" s="1" t="s">
        <v>74</v>
      </c>
      <c r="U22" s="1" t="s">
        <v>74</v>
      </c>
      <c r="V22" s="4" t="s">
        <v>1363</v>
      </c>
      <c r="W22" s="1" t="s">
        <v>74</v>
      </c>
      <c r="X22" s="1" t="s">
        <v>74</v>
      </c>
      <c r="Y22" s="1" t="s">
        <v>74</v>
      </c>
      <c r="Z22" s="1" t="s">
        <v>74</v>
      </c>
      <c r="AA22" s="1" t="s">
        <v>484</v>
      </c>
      <c r="AB22" s="1" t="s">
        <v>485</v>
      </c>
      <c r="AC22" s="1" t="s">
        <v>74</v>
      </c>
      <c r="AD22" s="1" t="s">
        <v>74</v>
      </c>
      <c r="AE22" s="1" t="s">
        <v>74</v>
      </c>
      <c r="AF22" s="1" t="s">
        <v>74</v>
      </c>
      <c r="AG22" s="1" t="s">
        <v>74</v>
      </c>
      <c r="AH22" s="1" t="s">
        <v>74</v>
      </c>
      <c r="AI22" s="1" t="s">
        <v>74</v>
      </c>
      <c r="AJ22" s="1" t="s">
        <v>74</v>
      </c>
      <c r="AK22" s="1" t="s">
        <v>74</v>
      </c>
      <c r="AL22" s="1" t="s">
        <v>74</v>
      </c>
      <c r="AM22" s="1" t="s">
        <v>74</v>
      </c>
      <c r="AN22" s="1" t="s">
        <v>74</v>
      </c>
      <c r="AO22" s="1" t="s">
        <v>337</v>
      </c>
      <c r="AP22" s="1" t="s">
        <v>338</v>
      </c>
      <c r="AQ22" s="1" t="s">
        <v>74</v>
      </c>
      <c r="AR22" s="1" t="s">
        <v>74</v>
      </c>
      <c r="AS22" s="1" t="s">
        <v>74</v>
      </c>
      <c r="AT22" s="1" t="s">
        <v>808</v>
      </c>
      <c r="AU22" s="1">
        <v>2009</v>
      </c>
      <c r="AV22" s="1">
        <v>20</v>
      </c>
      <c r="AW22" s="1">
        <v>3</v>
      </c>
      <c r="AX22" s="1" t="s">
        <v>74</v>
      </c>
      <c r="AY22" s="1" t="s">
        <v>74</v>
      </c>
      <c r="AZ22" s="1" t="s">
        <v>74</v>
      </c>
      <c r="BA22" s="1" t="s">
        <v>74</v>
      </c>
      <c r="BB22" s="1">
        <v>593</v>
      </c>
      <c r="BC22" s="1">
        <v>600</v>
      </c>
      <c r="BD22" s="1" t="s">
        <v>74</v>
      </c>
      <c r="BE22" s="1" t="s">
        <v>1364</v>
      </c>
      <c r="BF22" s="1" t="str">
        <f>HYPERLINK("http://dx.doi.org/10.1093/beheco/arp036","http://dx.doi.org/10.1093/beheco/arp036")</f>
        <v>http://dx.doi.org/10.1093/beheco/arp036</v>
      </c>
      <c r="BG22" s="1" t="s">
        <v>74</v>
      </c>
      <c r="BH22" s="1" t="s">
        <v>74</v>
      </c>
      <c r="BI22" s="1" t="s">
        <v>74</v>
      </c>
      <c r="BJ22" s="1" t="s">
        <v>74</v>
      </c>
      <c r="BK22" s="1" t="s">
        <v>74</v>
      </c>
      <c r="BL22" s="1" t="s">
        <v>74</v>
      </c>
      <c r="BM22" s="1" t="s">
        <v>74</v>
      </c>
      <c r="BN22" s="1" t="s">
        <v>74</v>
      </c>
      <c r="BO22" s="1" t="s">
        <v>74</v>
      </c>
      <c r="BP22" s="1" t="s">
        <v>74</v>
      </c>
      <c r="BQ22" s="1" t="s">
        <v>74</v>
      </c>
      <c r="BR22" s="1" t="s">
        <v>74</v>
      </c>
      <c r="BS22" s="1" t="s">
        <v>1365</v>
      </c>
      <c r="BT22" s="1" t="str">
        <f>HYPERLINK("https%3A%2F%2Fwww.webofscience.com%2Fwos%2Fwoscc%2Ffull-record%2FWOS:000265950200018","View Full Record in Web of Science")</f>
        <v>View Full Record in Web of Science</v>
      </c>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row>
    <row r="23" spans="1:314" s="2" customFormat="1" x14ac:dyDescent="0.4">
      <c r="A23" s="1" t="s">
        <v>72</v>
      </c>
      <c r="B23" s="1" t="s">
        <v>8064</v>
      </c>
      <c r="C23" s="1" t="s">
        <v>74</v>
      </c>
      <c r="D23" s="1" t="s">
        <v>74</v>
      </c>
      <c r="E23" s="1" t="s">
        <v>74</v>
      </c>
      <c r="F23" s="1" t="s">
        <v>8065</v>
      </c>
      <c r="G23" s="1" t="s">
        <v>74</v>
      </c>
      <c r="H23" s="1" t="s">
        <v>74</v>
      </c>
      <c r="I23" s="1" t="s">
        <v>8066</v>
      </c>
      <c r="J23" s="1" t="s">
        <v>8067</v>
      </c>
      <c r="K23" s="1" t="s">
        <v>74</v>
      </c>
      <c r="L23" s="1" t="s">
        <v>74</v>
      </c>
      <c r="M23" s="1" t="s">
        <v>74</v>
      </c>
      <c r="N23" s="1" t="s">
        <v>74</v>
      </c>
      <c r="O23" s="1" t="s">
        <v>74</v>
      </c>
      <c r="P23" s="1" t="s">
        <v>74</v>
      </c>
      <c r="Q23" s="1" t="s">
        <v>74</v>
      </c>
      <c r="R23" s="1" t="s">
        <v>74</v>
      </c>
      <c r="S23" s="1" t="s">
        <v>74</v>
      </c>
      <c r="T23" s="1" t="s">
        <v>74</v>
      </c>
      <c r="U23" s="1" t="s">
        <v>74</v>
      </c>
      <c r="V23" s="4" t="s">
        <v>8068</v>
      </c>
      <c r="W23" s="1" t="s">
        <v>74</v>
      </c>
      <c r="X23" s="1" t="s">
        <v>74</v>
      </c>
      <c r="Y23" s="1" t="s">
        <v>74</v>
      </c>
      <c r="Z23" s="1" t="s">
        <v>74</v>
      </c>
      <c r="AA23" s="1" t="s">
        <v>8069</v>
      </c>
      <c r="AB23" s="1" t="s">
        <v>8070</v>
      </c>
      <c r="AC23" s="1" t="s">
        <v>74</v>
      </c>
      <c r="AD23" s="1" t="s">
        <v>74</v>
      </c>
      <c r="AE23" s="1" t="s">
        <v>74</v>
      </c>
      <c r="AF23" s="1" t="s">
        <v>74</v>
      </c>
      <c r="AG23" s="1" t="s">
        <v>74</v>
      </c>
      <c r="AH23" s="1" t="s">
        <v>74</v>
      </c>
      <c r="AI23" s="1" t="s">
        <v>74</v>
      </c>
      <c r="AJ23" s="1" t="s">
        <v>74</v>
      </c>
      <c r="AK23" s="1" t="s">
        <v>74</v>
      </c>
      <c r="AL23" s="1" t="s">
        <v>74</v>
      </c>
      <c r="AM23" s="1" t="s">
        <v>74</v>
      </c>
      <c r="AN23" s="1" t="s">
        <v>74</v>
      </c>
      <c r="AO23" s="1" t="s">
        <v>8071</v>
      </c>
      <c r="AP23" s="1" t="s">
        <v>8072</v>
      </c>
      <c r="AQ23" s="1" t="s">
        <v>74</v>
      </c>
      <c r="AR23" s="1" t="s">
        <v>74</v>
      </c>
      <c r="AS23" s="1" t="s">
        <v>74</v>
      </c>
      <c r="AT23" s="1" t="s">
        <v>769</v>
      </c>
      <c r="AU23" s="1">
        <v>2019</v>
      </c>
      <c r="AV23" s="1">
        <v>236</v>
      </c>
      <c r="AW23" s="1">
        <v>1</v>
      </c>
      <c r="AX23" s="1" t="s">
        <v>74</v>
      </c>
      <c r="AY23" s="1" t="s">
        <v>74</v>
      </c>
      <c r="AZ23" s="1" t="s">
        <v>74</v>
      </c>
      <c r="BA23" s="1" t="s">
        <v>74</v>
      </c>
      <c r="BB23" s="1">
        <v>43</v>
      </c>
      <c r="BC23" s="1">
        <v>54</v>
      </c>
      <c r="BD23" s="1" t="s">
        <v>74</v>
      </c>
      <c r="BE23" s="1" t="s">
        <v>8073</v>
      </c>
      <c r="BF23" s="1" t="str">
        <f>HYPERLINK("http://dx.doi.org/10.1086/700836","http://dx.doi.org/10.1086/700836")</f>
        <v>http://dx.doi.org/10.1086/700836</v>
      </c>
      <c r="BG23" s="1" t="s">
        <v>74</v>
      </c>
      <c r="BH23" s="1" t="s">
        <v>74</v>
      </c>
      <c r="BI23" s="1" t="s">
        <v>74</v>
      </c>
      <c r="BJ23" s="1" t="s">
        <v>74</v>
      </c>
      <c r="BK23" s="1" t="s">
        <v>74</v>
      </c>
      <c r="BL23" s="1" t="s">
        <v>74</v>
      </c>
      <c r="BM23" s="1" t="s">
        <v>74</v>
      </c>
      <c r="BN23" s="1">
        <v>30707606</v>
      </c>
      <c r="BO23" s="1" t="s">
        <v>74</v>
      </c>
      <c r="BP23" s="1" t="s">
        <v>74</v>
      </c>
      <c r="BQ23" s="1" t="s">
        <v>74</v>
      </c>
      <c r="BR23" s="1" t="s">
        <v>74</v>
      </c>
      <c r="BS23" s="1" t="s">
        <v>8074</v>
      </c>
      <c r="BT23" s="1" t="str">
        <f>HYPERLINK("https%3A%2F%2Fwww.webofscience.com%2Fwos%2Fwoscc%2Ffull-record%2FWOS:000457792100004","View Full Record in Web of Science")</f>
        <v>View Full Record in Web of Science</v>
      </c>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row>
    <row r="24" spans="1:314" s="2" customFormat="1" x14ac:dyDescent="0.4">
      <c r="A24" s="1" t="s">
        <v>72</v>
      </c>
      <c r="B24" s="1" t="s">
        <v>3298</v>
      </c>
      <c r="C24" s="1" t="s">
        <v>74</v>
      </c>
      <c r="D24" s="1" t="s">
        <v>74</v>
      </c>
      <c r="E24" s="1" t="s">
        <v>74</v>
      </c>
      <c r="F24" s="1" t="s">
        <v>3298</v>
      </c>
      <c r="G24" s="1" t="s">
        <v>74</v>
      </c>
      <c r="H24" s="1" t="s">
        <v>74</v>
      </c>
      <c r="I24" s="1" t="s">
        <v>3299</v>
      </c>
      <c r="J24" s="1" t="s">
        <v>1244</v>
      </c>
      <c r="K24" s="1" t="s">
        <v>74</v>
      </c>
      <c r="L24" s="1" t="s">
        <v>74</v>
      </c>
      <c r="M24" s="1" t="s">
        <v>74</v>
      </c>
      <c r="N24" s="1" t="s">
        <v>74</v>
      </c>
      <c r="O24" s="1" t="s">
        <v>74</v>
      </c>
      <c r="P24" s="1" t="s">
        <v>74</v>
      </c>
      <c r="Q24" s="1" t="s">
        <v>74</v>
      </c>
      <c r="R24" s="1" t="s">
        <v>74</v>
      </c>
      <c r="S24" s="1" t="s">
        <v>74</v>
      </c>
      <c r="T24" s="1" t="s">
        <v>74</v>
      </c>
      <c r="U24" s="1" t="s">
        <v>74</v>
      </c>
      <c r="V24" s="4" t="s">
        <v>3300</v>
      </c>
      <c r="W24" s="1" t="s">
        <v>74</v>
      </c>
      <c r="X24" s="1" t="s">
        <v>74</v>
      </c>
      <c r="Y24" s="1" t="s">
        <v>74</v>
      </c>
      <c r="Z24" s="1" t="s">
        <v>74</v>
      </c>
      <c r="AA24" s="1" t="s">
        <v>3301</v>
      </c>
      <c r="AB24" s="1" t="s">
        <v>74</v>
      </c>
      <c r="AC24" s="1" t="s">
        <v>74</v>
      </c>
      <c r="AD24" s="1" t="s">
        <v>74</v>
      </c>
      <c r="AE24" s="1" t="s">
        <v>74</v>
      </c>
      <c r="AF24" s="1" t="s">
        <v>74</v>
      </c>
      <c r="AG24" s="1" t="s">
        <v>74</v>
      </c>
      <c r="AH24" s="1" t="s">
        <v>74</v>
      </c>
      <c r="AI24" s="1" t="s">
        <v>74</v>
      </c>
      <c r="AJ24" s="1" t="s">
        <v>74</v>
      </c>
      <c r="AK24" s="1" t="s">
        <v>74</v>
      </c>
      <c r="AL24" s="1" t="s">
        <v>74</v>
      </c>
      <c r="AM24" s="1" t="s">
        <v>74</v>
      </c>
      <c r="AN24" s="1" t="s">
        <v>74</v>
      </c>
      <c r="AO24" s="1" t="s">
        <v>1246</v>
      </c>
      <c r="AP24" s="1" t="s">
        <v>74</v>
      </c>
      <c r="AQ24" s="1" t="s">
        <v>74</v>
      </c>
      <c r="AR24" s="1" t="s">
        <v>74</v>
      </c>
      <c r="AS24" s="1" t="s">
        <v>74</v>
      </c>
      <c r="AT24" s="1" t="s">
        <v>3302</v>
      </c>
      <c r="AU24" s="1">
        <v>2006</v>
      </c>
      <c r="AV24" s="1">
        <v>35</v>
      </c>
      <c r="AW24" s="1">
        <v>1</v>
      </c>
      <c r="AX24" s="1" t="s">
        <v>74</v>
      </c>
      <c r="AY24" s="1" t="s">
        <v>74</v>
      </c>
      <c r="AZ24" s="1" t="s">
        <v>74</v>
      </c>
      <c r="BA24" s="1" t="s">
        <v>74</v>
      </c>
      <c r="BB24" s="1">
        <v>15</v>
      </c>
      <c r="BC24" s="1">
        <v>22</v>
      </c>
      <c r="BD24" s="1" t="s">
        <v>74</v>
      </c>
      <c r="BE24" s="1" t="s">
        <v>74</v>
      </c>
      <c r="BF24" s="1" t="s">
        <v>74</v>
      </c>
      <c r="BG24" s="1" t="s">
        <v>74</v>
      </c>
      <c r="BH24" s="1" t="s">
        <v>74</v>
      </c>
      <c r="BI24" s="1" t="s">
        <v>74</v>
      </c>
      <c r="BJ24" s="1" t="s">
        <v>74</v>
      </c>
      <c r="BK24" s="1" t="s">
        <v>74</v>
      </c>
      <c r="BL24" s="1" t="s">
        <v>74</v>
      </c>
      <c r="BM24" s="1" t="s">
        <v>74</v>
      </c>
      <c r="BN24" s="1" t="s">
        <v>74</v>
      </c>
      <c r="BO24" s="1" t="s">
        <v>74</v>
      </c>
      <c r="BP24" s="1" t="s">
        <v>74</v>
      </c>
      <c r="BQ24" s="1" t="s">
        <v>74</v>
      </c>
      <c r="BR24" s="1" t="s">
        <v>74</v>
      </c>
      <c r="BS24" s="1" t="s">
        <v>3303</v>
      </c>
      <c r="BT24" s="1" t="str">
        <f>HYPERLINK("https%3A%2F%2Fwww.webofscience.com%2Fwos%2Fwoscc%2Ffull-record%2FWOS:000235795700002","View Full Record in Web of Science")</f>
        <v>View Full Record in Web of Science</v>
      </c>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row>
    <row r="25" spans="1:314" s="2" customFormat="1" x14ac:dyDescent="0.4">
      <c r="A25" s="1" t="s">
        <v>72</v>
      </c>
      <c r="B25" s="1" t="s">
        <v>2342</v>
      </c>
      <c r="C25" s="1" t="s">
        <v>74</v>
      </c>
      <c r="D25" s="1" t="s">
        <v>74</v>
      </c>
      <c r="E25" s="1" t="s">
        <v>74</v>
      </c>
      <c r="F25" s="1" t="s">
        <v>2342</v>
      </c>
      <c r="G25" s="1" t="s">
        <v>74</v>
      </c>
      <c r="H25" s="1" t="s">
        <v>74</v>
      </c>
      <c r="I25" s="1" t="s">
        <v>2343</v>
      </c>
      <c r="J25" s="1" t="s">
        <v>108</v>
      </c>
      <c r="K25" s="1" t="s">
        <v>74</v>
      </c>
      <c r="L25" s="1" t="s">
        <v>74</v>
      </c>
      <c r="M25" s="1" t="s">
        <v>74</v>
      </c>
      <c r="N25" s="1" t="s">
        <v>74</v>
      </c>
      <c r="O25" s="1" t="s">
        <v>74</v>
      </c>
      <c r="P25" s="1" t="s">
        <v>74</v>
      </c>
      <c r="Q25" s="1" t="s">
        <v>74</v>
      </c>
      <c r="R25" s="1" t="s">
        <v>74</v>
      </c>
      <c r="S25" s="1" t="s">
        <v>74</v>
      </c>
      <c r="T25" s="1" t="s">
        <v>74</v>
      </c>
      <c r="U25" s="1" t="s">
        <v>74</v>
      </c>
      <c r="V25" s="4" t="s">
        <v>2344</v>
      </c>
      <c r="W25" s="1" t="s">
        <v>74</v>
      </c>
      <c r="X25" s="1" t="s">
        <v>74</v>
      </c>
      <c r="Y25" s="1" t="s">
        <v>74</v>
      </c>
      <c r="Z25" s="1" t="s">
        <v>74</v>
      </c>
      <c r="AA25" s="1" t="s">
        <v>74</v>
      </c>
      <c r="AB25" s="1" t="s">
        <v>74</v>
      </c>
      <c r="AC25" s="1" t="s">
        <v>74</v>
      </c>
      <c r="AD25" s="1" t="s">
        <v>74</v>
      </c>
      <c r="AE25" s="1" t="s">
        <v>74</v>
      </c>
      <c r="AF25" s="1" t="s">
        <v>74</v>
      </c>
      <c r="AG25" s="1" t="s">
        <v>74</v>
      </c>
      <c r="AH25" s="1" t="s">
        <v>74</v>
      </c>
      <c r="AI25" s="1" t="s">
        <v>74</v>
      </c>
      <c r="AJ25" s="1" t="s">
        <v>74</v>
      </c>
      <c r="AK25" s="1" t="s">
        <v>74</v>
      </c>
      <c r="AL25" s="1" t="s">
        <v>74</v>
      </c>
      <c r="AM25" s="1" t="s">
        <v>74</v>
      </c>
      <c r="AN25" s="1" t="s">
        <v>74</v>
      </c>
      <c r="AO25" s="1" t="s">
        <v>111</v>
      </c>
      <c r="AP25" s="1" t="s">
        <v>112</v>
      </c>
      <c r="AQ25" s="1" t="s">
        <v>74</v>
      </c>
      <c r="AR25" s="1" t="s">
        <v>74</v>
      </c>
      <c r="AS25" s="1" t="s">
        <v>74</v>
      </c>
      <c r="AT25" s="1" t="s">
        <v>2345</v>
      </c>
      <c r="AU25" s="1">
        <v>2003</v>
      </c>
      <c r="AV25" s="1">
        <v>270</v>
      </c>
      <c r="AW25" s="1">
        <v>1519</v>
      </c>
      <c r="AX25" s="1" t="s">
        <v>74</v>
      </c>
      <c r="AY25" s="1" t="s">
        <v>74</v>
      </c>
      <c r="AZ25" s="1" t="s">
        <v>74</v>
      </c>
      <c r="BA25" s="1" t="s">
        <v>74</v>
      </c>
      <c r="BB25" s="1">
        <v>1033</v>
      </c>
      <c r="BC25" s="1">
        <v>1040</v>
      </c>
      <c r="BD25" s="1" t="s">
        <v>74</v>
      </c>
      <c r="BE25" s="1" t="s">
        <v>2346</v>
      </c>
      <c r="BF25" s="1" t="str">
        <f>HYPERLINK("http://dx.doi.org/10.1098/rspb.2003.2348","http://dx.doi.org/10.1098/rspb.2003.2348")</f>
        <v>http://dx.doi.org/10.1098/rspb.2003.2348</v>
      </c>
      <c r="BG25" s="1" t="s">
        <v>74</v>
      </c>
      <c r="BH25" s="1" t="s">
        <v>74</v>
      </c>
      <c r="BI25" s="1" t="s">
        <v>74</v>
      </c>
      <c r="BJ25" s="1" t="s">
        <v>74</v>
      </c>
      <c r="BK25" s="1" t="s">
        <v>74</v>
      </c>
      <c r="BL25" s="1" t="s">
        <v>74</v>
      </c>
      <c r="BM25" s="1" t="s">
        <v>74</v>
      </c>
      <c r="BN25" s="1">
        <v>12803892</v>
      </c>
      <c r="BO25" s="1" t="s">
        <v>74</v>
      </c>
      <c r="BP25" s="1" t="s">
        <v>74</v>
      </c>
      <c r="BQ25" s="1" t="s">
        <v>74</v>
      </c>
      <c r="BR25" s="1" t="s">
        <v>74</v>
      </c>
      <c r="BS25" s="1" t="s">
        <v>2347</v>
      </c>
      <c r="BT25" s="1" t="str">
        <f>HYPERLINK("https%3A%2F%2Fwww.webofscience.com%2Fwos%2Fwoscc%2Ffull-record%2FWOS:000182969100005","View Full Record in Web of Science")</f>
        <v>View Full Record in Web of Science</v>
      </c>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row>
    <row r="26" spans="1:314" s="2" customFormat="1" x14ac:dyDescent="0.4">
      <c r="A26" s="1" t="s">
        <v>72</v>
      </c>
      <c r="B26" s="1" t="s">
        <v>3689</v>
      </c>
      <c r="C26" s="1" t="s">
        <v>74</v>
      </c>
      <c r="D26" s="1" t="s">
        <v>74</v>
      </c>
      <c r="E26" s="1" t="s">
        <v>74</v>
      </c>
      <c r="F26" s="1" t="s">
        <v>3690</v>
      </c>
      <c r="G26" s="1" t="s">
        <v>74</v>
      </c>
      <c r="H26" s="1" t="s">
        <v>74</v>
      </c>
      <c r="I26" s="1" t="s">
        <v>3691</v>
      </c>
      <c r="J26" s="1" t="s">
        <v>140</v>
      </c>
      <c r="K26" s="1" t="s">
        <v>74</v>
      </c>
      <c r="L26" s="1" t="s">
        <v>74</v>
      </c>
      <c r="M26" s="1" t="s">
        <v>74</v>
      </c>
      <c r="N26" s="1" t="s">
        <v>74</v>
      </c>
      <c r="O26" s="1" t="s">
        <v>74</v>
      </c>
      <c r="P26" s="1" t="s">
        <v>74</v>
      </c>
      <c r="Q26" s="1" t="s">
        <v>74</v>
      </c>
      <c r="R26" s="1" t="s">
        <v>74</v>
      </c>
      <c r="S26" s="1" t="s">
        <v>74</v>
      </c>
      <c r="T26" s="1" t="s">
        <v>74</v>
      </c>
      <c r="U26" s="1" t="s">
        <v>74</v>
      </c>
      <c r="V26" s="4" t="s">
        <v>3692</v>
      </c>
      <c r="W26" s="1" t="s">
        <v>74</v>
      </c>
      <c r="X26" s="1" t="s">
        <v>74</v>
      </c>
      <c r="Y26" s="1" t="s">
        <v>74</v>
      </c>
      <c r="Z26" s="1" t="s">
        <v>74</v>
      </c>
      <c r="AA26" s="1" t="s">
        <v>3693</v>
      </c>
      <c r="AB26" s="1" t="s">
        <v>3694</v>
      </c>
      <c r="AC26" s="1" t="s">
        <v>74</v>
      </c>
      <c r="AD26" s="1" t="s">
        <v>74</v>
      </c>
      <c r="AE26" s="1" t="s">
        <v>74</v>
      </c>
      <c r="AF26" s="1" t="s">
        <v>74</v>
      </c>
      <c r="AG26" s="1" t="s">
        <v>74</v>
      </c>
      <c r="AH26" s="1" t="s">
        <v>74</v>
      </c>
      <c r="AI26" s="1" t="s">
        <v>74</v>
      </c>
      <c r="AJ26" s="1" t="s">
        <v>74</v>
      </c>
      <c r="AK26" s="1" t="s">
        <v>74</v>
      </c>
      <c r="AL26" s="1" t="s">
        <v>74</v>
      </c>
      <c r="AM26" s="1" t="s">
        <v>74</v>
      </c>
      <c r="AN26" s="1" t="s">
        <v>74</v>
      </c>
      <c r="AO26" s="1" t="s">
        <v>143</v>
      </c>
      <c r="AP26" s="1" t="s">
        <v>144</v>
      </c>
      <c r="AQ26" s="1" t="s">
        <v>74</v>
      </c>
      <c r="AR26" s="1" t="s">
        <v>74</v>
      </c>
      <c r="AS26" s="1" t="s">
        <v>74</v>
      </c>
      <c r="AT26" s="1" t="s">
        <v>204</v>
      </c>
      <c r="AU26" s="1">
        <v>2014</v>
      </c>
      <c r="AV26" s="1">
        <v>93</v>
      </c>
      <c r="AW26" s="1" t="s">
        <v>74</v>
      </c>
      <c r="AX26" s="1" t="s">
        <v>74</v>
      </c>
      <c r="AY26" s="1" t="s">
        <v>74</v>
      </c>
      <c r="AZ26" s="1" t="s">
        <v>74</v>
      </c>
      <c r="BA26" s="1" t="s">
        <v>74</v>
      </c>
      <c r="BB26" s="1">
        <v>207</v>
      </c>
      <c r="BC26" s="1">
        <v>219</v>
      </c>
      <c r="BD26" s="1" t="s">
        <v>74</v>
      </c>
      <c r="BE26" s="1" t="s">
        <v>3695</v>
      </c>
      <c r="BF26" s="1" t="str">
        <f>HYPERLINK("http://dx.doi.org/10.1016/j.anbehav.2014.04.015","http://dx.doi.org/10.1016/j.anbehav.2014.04.015")</f>
        <v>http://dx.doi.org/10.1016/j.anbehav.2014.04.015</v>
      </c>
      <c r="BG26" s="1" t="s">
        <v>74</v>
      </c>
      <c r="BH26" s="1" t="s">
        <v>74</v>
      </c>
      <c r="BI26" s="1" t="s">
        <v>74</v>
      </c>
      <c r="BJ26" s="1" t="s">
        <v>74</v>
      </c>
      <c r="BK26" s="1" t="s">
        <v>74</v>
      </c>
      <c r="BL26" s="1" t="s">
        <v>74</v>
      </c>
      <c r="BM26" s="1" t="s">
        <v>74</v>
      </c>
      <c r="BN26" s="1">
        <v>25045171</v>
      </c>
      <c r="BO26" s="1" t="s">
        <v>74</v>
      </c>
      <c r="BP26" s="1" t="s">
        <v>74</v>
      </c>
      <c r="BQ26" s="1" t="s">
        <v>74</v>
      </c>
      <c r="BR26" s="1" t="s">
        <v>74</v>
      </c>
      <c r="BS26" s="1" t="s">
        <v>3696</v>
      </c>
      <c r="BT26" s="1" t="str">
        <f>HYPERLINK("https%3A%2F%2Fwww.webofscience.com%2Fwos%2Fwoscc%2Ffull-record%2FWOS:000338712900026","View Full Record in Web of Science")</f>
        <v>View Full Record in Web of Science</v>
      </c>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row>
    <row r="27" spans="1:314" s="2" customFormat="1" x14ac:dyDescent="0.4">
      <c r="A27" s="1" t="s">
        <v>72</v>
      </c>
      <c r="B27" s="1" t="s">
        <v>4844</v>
      </c>
      <c r="C27" s="1" t="s">
        <v>74</v>
      </c>
      <c r="D27" s="1" t="s">
        <v>74</v>
      </c>
      <c r="E27" s="1" t="s">
        <v>74</v>
      </c>
      <c r="F27" s="1" t="s">
        <v>4844</v>
      </c>
      <c r="G27" s="1" t="s">
        <v>74</v>
      </c>
      <c r="H27" s="1" t="s">
        <v>74</v>
      </c>
      <c r="I27" s="1" t="s">
        <v>4845</v>
      </c>
      <c r="J27" s="1" t="s">
        <v>140</v>
      </c>
      <c r="K27" s="1" t="s">
        <v>74</v>
      </c>
      <c r="L27" s="1" t="s">
        <v>74</v>
      </c>
      <c r="M27" s="1" t="s">
        <v>74</v>
      </c>
      <c r="N27" s="1" t="s">
        <v>74</v>
      </c>
      <c r="O27" s="1" t="s">
        <v>74</v>
      </c>
      <c r="P27" s="1" t="s">
        <v>74</v>
      </c>
      <c r="Q27" s="1" t="s">
        <v>74</v>
      </c>
      <c r="R27" s="1" t="s">
        <v>74</v>
      </c>
      <c r="S27" s="1" t="s">
        <v>74</v>
      </c>
      <c r="T27" s="1" t="s">
        <v>74</v>
      </c>
      <c r="U27" s="1" t="s">
        <v>74</v>
      </c>
      <c r="V27" s="4" t="s">
        <v>74</v>
      </c>
      <c r="W27" s="1" t="s">
        <v>74</v>
      </c>
      <c r="X27" s="1" t="s">
        <v>74</v>
      </c>
      <c r="Y27" s="1" t="s">
        <v>74</v>
      </c>
      <c r="Z27" s="1" t="s">
        <v>74</v>
      </c>
      <c r="AA27" s="1" t="s">
        <v>74</v>
      </c>
      <c r="AB27" s="1" t="s">
        <v>74</v>
      </c>
      <c r="AC27" s="1" t="s">
        <v>74</v>
      </c>
      <c r="AD27" s="1" t="s">
        <v>74</v>
      </c>
      <c r="AE27" s="1" t="s">
        <v>74</v>
      </c>
      <c r="AF27" s="1" t="s">
        <v>74</v>
      </c>
      <c r="AG27" s="1" t="s">
        <v>74</v>
      </c>
      <c r="AH27" s="1" t="s">
        <v>74</v>
      </c>
      <c r="AI27" s="1" t="s">
        <v>74</v>
      </c>
      <c r="AJ27" s="1" t="s">
        <v>74</v>
      </c>
      <c r="AK27" s="1" t="s">
        <v>74</v>
      </c>
      <c r="AL27" s="1" t="s">
        <v>74</v>
      </c>
      <c r="AM27" s="1" t="s">
        <v>74</v>
      </c>
      <c r="AN27" s="1" t="s">
        <v>74</v>
      </c>
      <c r="AO27" s="1" t="s">
        <v>143</v>
      </c>
      <c r="AP27" s="1" t="s">
        <v>144</v>
      </c>
      <c r="AQ27" s="1" t="s">
        <v>74</v>
      </c>
      <c r="AR27" s="1" t="s">
        <v>74</v>
      </c>
      <c r="AS27" s="1" t="s">
        <v>74</v>
      </c>
      <c r="AT27" s="1" t="s">
        <v>123</v>
      </c>
      <c r="AU27" s="1">
        <v>1993</v>
      </c>
      <c r="AV27" s="1">
        <v>45</v>
      </c>
      <c r="AW27" s="1">
        <v>3</v>
      </c>
      <c r="AX27" s="1" t="s">
        <v>74</v>
      </c>
      <c r="AY27" s="1" t="s">
        <v>74</v>
      </c>
      <c r="AZ27" s="1" t="s">
        <v>74</v>
      </c>
      <c r="BA27" s="1" t="s">
        <v>74</v>
      </c>
      <c r="BB27" s="1">
        <v>511</v>
      </c>
      <c r="BC27" s="1">
        <v>518</v>
      </c>
      <c r="BD27" s="1" t="s">
        <v>74</v>
      </c>
      <c r="BE27" s="1" t="s">
        <v>4846</v>
      </c>
      <c r="BF27" s="1" t="str">
        <f>HYPERLINK("http://dx.doi.org/10.1006/anbe.1993.1062","http://dx.doi.org/10.1006/anbe.1993.1062")</f>
        <v>http://dx.doi.org/10.1006/anbe.1993.1062</v>
      </c>
      <c r="BG27" s="1" t="s">
        <v>74</v>
      </c>
      <c r="BH27" s="1" t="s">
        <v>74</v>
      </c>
      <c r="BI27" s="1" t="s">
        <v>74</v>
      </c>
      <c r="BJ27" s="1" t="s">
        <v>74</v>
      </c>
      <c r="BK27" s="1" t="s">
        <v>74</v>
      </c>
      <c r="BL27" s="1" t="s">
        <v>74</v>
      </c>
      <c r="BM27" s="1" t="s">
        <v>74</v>
      </c>
      <c r="BN27" s="1" t="s">
        <v>74</v>
      </c>
      <c r="BO27" s="1" t="s">
        <v>74</v>
      </c>
      <c r="BP27" s="1" t="s">
        <v>74</v>
      </c>
      <c r="BQ27" s="1" t="s">
        <v>74</v>
      </c>
      <c r="BR27" s="1" t="s">
        <v>74</v>
      </c>
      <c r="BS27" s="1" t="s">
        <v>4847</v>
      </c>
      <c r="BT27" s="1" t="str">
        <f>HYPERLINK("https%3A%2F%2Fwww.webofscience.com%2Fwos%2Fwoscc%2Ffull-record%2FWOS:A1993KW24700009","View Full Record in Web of Science")</f>
        <v>View Full Record in Web of Science</v>
      </c>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row>
    <row r="28" spans="1:314" s="1" customFormat="1" x14ac:dyDescent="0.4">
      <c r="A28" s="1" t="s">
        <v>72</v>
      </c>
      <c r="B28" s="1" t="s">
        <v>5544</v>
      </c>
      <c r="C28" s="1" t="s">
        <v>74</v>
      </c>
      <c r="D28" s="1" t="s">
        <v>74</v>
      </c>
      <c r="E28" s="1" t="s">
        <v>74</v>
      </c>
      <c r="F28" s="1" t="s">
        <v>5544</v>
      </c>
      <c r="G28" s="1" t="s">
        <v>74</v>
      </c>
      <c r="H28" s="1" t="s">
        <v>74</v>
      </c>
      <c r="I28" s="1" t="s">
        <v>5545</v>
      </c>
      <c r="J28" s="1" t="s">
        <v>140</v>
      </c>
      <c r="K28" s="1" t="s">
        <v>74</v>
      </c>
      <c r="L28" s="1" t="s">
        <v>74</v>
      </c>
      <c r="M28" s="1" t="s">
        <v>74</v>
      </c>
      <c r="N28" s="1" t="s">
        <v>74</v>
      </c>
      <c r="O28" s="1" t="s">
        <v>74</v>
      </c>
      <c r="P28" s="1" t="s">
        <v>74</v>
      </c>
      <c r="Q28" s="1" t="s">
        <v>74</v>
      </c>
      <c r="R28" s="1" t="s">
        <v>74</v>
      </c>
      <c r="S28" s="1" t="s">
        <v>74</v>
      </c>
      <c r="T28" s="1" t="s">
        <v>74</v>
      </c>
      <c r="U28" s="1" t="s">
        <v>74</v>
      </c>
      <c r="V28" s="4" t="s">
        <v>5546</v>
      </c>
      <c r="W28" s="1" t="s">
        <v>74</v>
      </c>
      <c r="X28" s="1" t="s">
        <v>74</v>
      </c>
      <c r="Y28" s="1" t="s">
        <v>74</v>
      </c>
      <c r="Z28" s="1" t="s">
        <v>74</v>
      </c>
      <c r="AA28" s="1" t="s">
        <v>74</v>
      </c>
      <c r="AB28" s="1" t="s">
        <v>74</v>
      </c>
      <c r="AC28" s="1" t="s">
        <v>74</v>
      </c>
      <c r="AD28" s="1" t="s">
        <v>74</v>
      </c>
      <c r="AE28" s="1" t="s">
        <v>74</v>
      </c>
      <c r="AF28" s="1" t="s">
        <v>74</v>
      </c>
      <c r="AG28" s="1" t="s">
        <v>74</v>
      </c>
      <c r="AH28" s="1" t="s">
        <v>74</v>
      </c>
      <c r="AI28" s="1" t="s">
        <v>74</v>
      </c>
      <c r="AJ28" s="1" t="s">
        <v>74</v>
      </c>
      <c r="AK28" s="1" t="s">
        <v>74</v>
      </c>
      <c r="AL28" s="1" t="s">
        <v>74</v>
      </c>
      <c r="AM28" s="1" t="s">
        <v>74</v>
      </c>
      <c r="AN28" s="1" t="s">
        <v>74</v>
      </c>
      <c r="AO28" s="1" t="s">
        <v>143</v>
      </c>
      <c r="AP28" s="1" t="s">
        <v>144</v>
      </c>
      <c r="AQ28" s="1" t="s">
        <v>74</v>
      </c>
      <c r="AR28" s="1" t="s">
        <v>74</v>
      </c>
      <c r="AS28" s="1" t="s">
        <v>74</v>
      </c>
      <c r="AT28" s="1" t="s">
        <v>134</v>
      </c>
      <c r="AU28" s="1">
        <v>2004</v>
      </c>
      <c r="AV28" s="1">
        <v>67</v>
      </c>
      <c r="AW28" s="1" t="s">
        <v>74</v>
      </c>
      <c r="AX28" s="1">
        <v>5</v>
      </c>
      <c r="AY28" s="1" t="s">
        <v>74</v>
      </c>
      <c r="AZ28" s="1" t="s">
        <v>74</v>
      </c>
      <c r="BA28" s="1" t="s">
        <v>74</v>
      </c>
      <c r="BB28" s="1">
        <v>875</v>
      </c>
      <c r="BC28" s="1">
        <v>882</v>
      </c>
      <c r="BD28" s="1" t="s">
        <v>74</v>
      </c>
      <c r="BE28" s="1" t="s">
        <v>5547</v>
      </c>
      <c r="BF28" s="1" t="str">
        <f>HYPERLINK("http://dx.doi.org/10.1016/j.anbehav.2003.05.015","http://dx.doi.org/10.1016/j.anbehav.2003.05.015")</f>
        <v>http://dx.doi.org/10.1016/j.anbehav.2003.05.015</v>
      </c>
      <c r="BG28" s="1" t="s">
        <v>74</v>
      </c>
      <c r="BH28" s="1" t="s">
        <v>74</v>
      </c>
      <c r="BI28" s="1" t="s">
        <v>74</v>
      </c>
      <c r="BJ28" s="1" t="s">
        <v>74</v>
      </c>
      <c r="BK28" s="1" t="s">
        <v>74</v>
      </c>
      <c r="BL28" s="1" t="s">
        <v>74</v>
      </c>
      <c r="BM28" s="1" t="s">
        <v>74</v>
      </c>
      <c r="BN28" s="1" t="s">
        <v>74</v>
      </c>
      <c r="BO28" s="1" t="s">
        <v>74</v>
      </c>
      <c r="BP28" s="1" t="s">
        <v>74</v>
      </c>
      <c r="BQ28" s="1" t="s">
        <v>74</v>
      </c>
      <c r="BR28" s="1" t="s">
        <v>74</v>
      </c>
      <c r="BS28" s="1" t="s">
        <v>5548</v>
      </c>
      <c r="BT28" s="1" t="str">
        <f>HYPERLINK("https%3A%2F%2Fwww.webofscience.com%2Fwos%2Fwoscc%2Ffull-record%2FWOS:000221541600007","View Full Record in Web of Science")</f>
        <v>View Full Record in Web of Science</v>
      </c>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row>
    <row r="29" spans="1:314" s="2" customFormat="1" x14ac:dyDescent="0.4">
      <c r="A29" s="1" t="s">
        <v>72</v>
      </c>
      <c r="B29" s="1" t="s">
        <v>8663</v>
      </c>
      <c r="C29" s="1" t="s">
        <v>74</v>
      </c>
      <c r="D29" s="1" t="s">
        <v>74</v>
      </c>
      <c r="E29" s="1" t="s">
        <v>74</v>
      </c>
      <c r="F29" s="1" t="s">
        <v>8664</v>
      </c>
      <c r="G29" s="1" t="s">
        <v>74</v>
      </c>
      <c r="H29" s="1" t="s">
        <v>74</v>
      </c>
      <c r="I29" s="1" t="s">
        <v>8665</v>
      </c>
      <c r="J29" s="1" t="s">
        <v>8666</v>
      </c>
      <c r="K29" s="1" t="s">
        <v>74</v>
      </c>
      <c r="L29" s="1" t="s">
        <v>74</v>
      </c>
      <c r="M29" s="1" t="s">
        <v>74</v>
      </c>
      <c r="N29" s="1" t="s">
        <v>74</v>
      </c>
      <c r="O29" s="1" t="s">
        <v>74</v>
      </c>
      <c r="P29" s="1" t="s">
        <v>74</v>
      </c>
      <c r="Q29" s="1" t="s">
        <v>74</v>
      </c>
      <c r="R29" s="1" t="s">
        <v>74</v>
      </c>
      <c r="S29" s="1" t="s">
        <v>74</v>
      </c>
      <c r="T29" s="1" t="s">
        <v>74</v>
      </c>
      <c r="U29" s="1" t="s">
        <v>74</v>
      </c>
      <c r="V29" s="4" t="s">
        <v>8667</v>
      </c>
      <c r="W29" s="1" t="s">
        <v>74</v>
      </c>
      <c r="X29" s="1" t="s">
        <v>74</v>
      </c>
      <c r="Y29" s="1" t="s">
        <v>74</v>
      </c>
      <c r="Z29" s="1" t="s">
        <v>74</v>
      </c>
      <c r="AA29" s="1" t="s">
        <v>8668</v>
      </c>
      <c r="AB29" s="1" t="s">
        <v>8669</v>
      </c>
      <c r="AC29" s="1" t="s">
        <v>74</v>
      </c>
      <c r="AD29" s="1" t="s">
        <v>74</v>
      </c>
      <c r="AE29" s="1" t="s">
        <v>74</v>
      </c>
      <c r="AF29" s="1" t="s">
        <v>74</v>
      </c>
      <c r="AG29" s="1" t="s">
        <v>74</v>
      </c>
      <c r="AH29" s="1" t="s">
        <v>74</v>
      </c>
      <c r="AI29" s="1" t="s">
        <v>74</v>
      </c>
      <c r="AJ29" s="1" t="s">
        <v>74</v>
      </c>
      <c r="AK29" s="1" t="s">
        <v>74</v>
      </c>
      <c r="AL29" s="1" t="s">
        <v>74</v>
      </c>
      <c r="AM29" s="1" t="s">
        <v>74</v>
      </c>
      <c r="AN29" s="1" t="s">
        <v>74</v>
      </c>
      <c r="AO29" s="1" t="s">
        <v>8670</v>
      </c>
      <c r="AP29" s="1" t="s">
        <v>8671</v>
      </c>
      <c r="AQ29" s="1" t="s">
        <v>74</v>
      </c>
      <c r="AR29" s="1" t="s">
        <v>74</v>
      </c>
      <c r="AS29" s="1" t="s">
        <v>74</v>
      </c>
      <c r="AT29" s="1" t="s">
        <v>123</v>
      </c>
      <c r="AU29" s="1">
        <v>2011</v>
      </c>
      <c r="AV29" s="1">
        <v>41</v>
      </c>
      <c r="AW29" s="1">
        <v>2</v>
      </c>
      <c r="AX29" s="1" t="s">
        <v>74</v>
      </c>
      <c r="AY29" s="1" t="s">
        <v>74</v>
      </c>
      <c r="AZ29" s="1" t="s">
        <v>74</v>
      </c>
      <c r="BA29" s="1" t="s">
        <v>74</v>
      </c>
      <c r="BB29" s="1">
        <v>312</v>
      </c>
      <c r="BC29" s="1">
        <v>322</v>
      </c>
      <c r="BD29" s="1" t="s">
        <v>74</v>
      </c>
      <c r="BE29" s="1" t="s">
        <v>8672</v>
      </c>
      <c r="BF29" s="1" t="str">
        <f>HYPERLINK("http://dx.doi.org/10.1007/s10519-010-9379-4","http://dx.doi.org/10.1007/s10519-010-9379-4")</f>
        <v>http://dx.doi.org/10.1007/s10519-010-9379-4</v>
      </c>
      <c r="BG29" s="1" t="s">
        <v>74</v>
      </c>
      <c r="BH29" s="1" t="s">
        <v>74</v>
      </c>
      <c r="BI29" s="1" t="s">
        <v>74</v>
      </c>
      <c r="BJ29" s="1" t="s">
        <v>74</v>
      </c>
      <c r="BK29" s="1" t="s">
        <v>74</v>
      </c>
      <c r="BL29" s="1" t="s">
        <v>74</v>
      </c>
      <c r="BM29" s="1" t="s">
        <v>74</v>
      </c>
      <c r="BN29" s="1">
        <v>20623330</v>
      </c>
      <c r="BO29" s="1" t="s">
        <v>74</v>
      </c>
      <c r="BP29" s="1" t="s">
        <v>74</v>
      </c>
      <c r="BQ29" s="1" t="s">
        <v>74</v>
      </c>
      <c r="BR29" s="1" t="s">
        <v>74</v>
      </c>
      <c r="BS29" s="1" t="s">
        <v>8673</v>
      </c>
      <c r="BT29" s="1" t="str">
        <f>HYPERLINK("https%3A%2F%2Fwww.webofscience.com%2Fwos%2Fwoscc%2Ffull-record%2FWOS:000287749700015","View Full Record in Web of Science")</f>
        <v>View Full Record in Web of Science</v>
      </c>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row>
    <row r="30" spans="1:314" s="2" customFormat="1" x14ac:dyDescent="0.4">
      <c r="A30" s="1" t="s">
        <v>72</v>
      </c>
      <c r="B30" s="1" t="s">
        <v>1166</v>
      </c>
      <c r="C30" s="1" t="s">
        <v>74</v>
      </c>
      <c r="D30" s="1" t="s">
        <v>74</v>
      </c>
      <c r="E30" s="1" t="s">
        <v>74</v>
      </c>
      <c r="F30" s="1" t="s">
        <v>1167</v>
      </c>
      <c r="G30" s="1" t="s">
        <v>74</v>
      </c>
      <c r="H30" s="1" t="s">
        <v>74</v>
      </c>
      <c r="I30" s="1" t="s">
        <v>1168</v>
      </c>
      <c r="J30" s="1" t="s">
        <v>119</v>
      </c>
      <c r="K30" s="1" t="s">
        <v>74</v>
      </c>
      <c r="L30" s="1" t="s">
        <v>74</v>
      </c>
      <c r="M30" s="1" t="s">
        <v>74</v>
      </c>
      <c r="N30" s="1" t="s">
        <v>74</v>
      </c>
      <c r="O30" s="1" t="s">
        <v>74</v>
      </c>
      <c r="P30" s="1" t="s">
        <v>74</v>
      </c>
      <c r="Q30" s="1" t="s">
        <v>74</v>
      </c>
      <c r="R30" s="1" t="s">
        <v>74</v>
      </c>
      <c r="S30" s="1" t="s">
        <v>74</v>
      </c>
      <c r="T30" s="1" t="s">
        <v>74</v>
      </c>
      <c r="U30" s="1" t="s">
        <v>74</v>
      </c>
      <c r="V30" s="4" t="s">
        <v>1169</v>
      </c>
      <c r="W30" s="1" t="s">
        <v>74</v>
      </c>
      <c r="X30" s="1" t="s">
        <v>74</v>
      </c>
      <c r="Y30" s="1" t="s">
        <v>74</v>
      </c>
      <c r="Z30" s="1" t="s">
        <v>74</v>
      </c>
      <c r="AA30" s="1" t="s">
        <v>74</v>
      </c>
      <c r="AB30" s="1" t="s">
        <v>74</v>
      </c>
      <c r="AC30" s="1" t="s">
        <v>74</v>
      </c>
      <c r="AD30" s="1" t="s">
        <v>74</v>
      </c>
      <c r="AE30" s="1" t="s">
        <v>74</v>
      </c>
      <c r="AF30" s="1" t="s">
        <v>74</v>
      </c>
      <c r="AG30" s="1" t="s">
        <v>74</v>
      </c>
      <c r="AH30" s="1" t="s">
        <v>74</v>
      </c>
      <c r="AI30" s="1" t="s">
        <v>74</v>
      </c>
      <c r="AJ30" s="1" t="s">
        <v>74</v>
      </c>
      <c r="AK30" s="1" t="s">
        <v>74</v>
      </c>
      <c r="AL30" s="1" t="s">
        <v>74</v>
      </c>
      <c r="AM30" s="1" t="s">
        <v>74</v>
      </c>
      <c r="AN30" s="1" t="s">
        <v>74</v>
      </c>
      <c r="AO30" s="1" t="s">
        <v>121</v>
      </c>
      <c r="AP30" s="1" t="s">
        <v>122</v>
      </c>
      <c r="AQ30" s="1" t="s">
        <v>74</v>
      </c>
      <c r="AR30" s="1" t="s">
        <v>74</v>
      </c>
      <c r="AS30" s="1" t="s">
        <v>74</v>
      </c>
      <c r="AT30" s="1" t="s">
        <v>102</v>
      </c>
      <c r="AU30" s="1">
        <v>2010</v>
      </c>
      <c r="AV30" s="1">
        <v>84</v>
      </c>
      <c r="AW30" s="1">
        <v>2</v>
      </c>
      <c r="AX30" s="1" t="s">
        <v>74</v>
      </c>
      <c r="AY30" s="1" t="s">
        <v>74</v>
      </c>
      <c r="AZ30" s="1" t="s">
        <v>74</v>
      </c>
      <c r="BA30" s="1" t="s">
        <v>74</v>
      </c>
      <c r="BB30" s="1">
        <v>568</v>
      </c>
      <c r="BC30" s="1">
        <v>572</v>
      </c>
      <c r="BD30" s="1" t="s">
        <v>74</v>
      </c>
      <c r="BE30" s="1" t="s">
        <v>1170</v>
      </c>
      <c r="BF30" s="1" t="str">
        <f>HYPERLINK("http://dx.doi.org/10.1016/j.beproc.2010.02.012","http://dx.doi.org/10.1016/j.beproc.2010.02.012")</f>
        <v>http://dx.doi.org/10.1016/j.beproc.2010.02.012</v>
      </c>
      <c r="BG30" s="1" t="s">
        <v>74</v>
      </c>
      <c r="BH30" s="1" t="s">
        <v>74</v>
      </c>
      <c r="BI30" s="1" t="s">
        <v>74</v>
      </c>
      <c r="BJ30" s="1" t="s">
        <v>74</v>
      </c>
      <c r="BK30" s="1" t="s">
        <v>74</v>
      </c>
      <c r="BL30" s="1" t="s">
        <v>74</v>
      </c>
      <c r="BM30" s="1" t="s">
        <v>74</v>
      </c>
      <c r="BN30" s="1">
        <v>20176091</v>
      </c>
      <c r="BO30" s="1" t="s">
        <v>74</v>
      </c>
      <c r="BP30" s="1" t="s">
        <v>74</v>
      </c>
      <c r="BQ30" s="1" t="s">
        <v>74</v>
      </c>
      <c r="BR30" s="1" t="s">
        <v>74</v>
      </c>
      <c r="BS30" s="1" t="s">
        <v>1171</v>
      </c>
      <c r="BT30" s="1" t="str">
        <f>HYPERLINK("https%3A%2F%2Fwww.webofscience.com%2Fwos%2Fwoscc%2Ffull-record%2FWOS:000279096400004","View Full Record in Web of Science")</f>
        <v>View Full Record in Web of Science</v>
      </c>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row>
    <row r="31" spans="1:314" s="2" customFormat="1" x14ac:dyDescent="0.4">
      <c r="A31" s="1" t="s">
        <v>72</v>
      </c>
      <c r="B31" s="1" t="s">
        <v>3217</v>
      </c>
      <c r="C31" s="1" t="s">
        <v>74</v>
      </c>
      <c r="D31" s="1" t="s">
        <v>74</v>
      </c>
      <c r="E31" s="1" t="s">
        <v>74</v>
      </c>
      <c r="F31" s="1" t="s">
        <v>3218</v>
      </c>
      <c r="G31" s="1" t="s">
        <v>74</v>
      </c>
      <c r="H31" s="1" t="s">
        <v>74</v>
      </c>
      <c r="I31" s="1" t="s">
        <v>3219</v>
      </c>
      <c r="J31" s="1" t="s">
        <v>77</v>
      </c>
      <c r="K31" s="1" t="s">
        <v>74</v>
      </c>
      <c r="L31" s="1" t="s">
        <v>74</v>
      </c>
      <c r="M31" s="1" t="s">
        <v>74</v>
      </c>
      <c r="N31" s="1" t="s">
        <v>74</v>
      </c>
      <c r="O31" s="1" t="s">
        <v>74</v>
      </c>
      <c r="P31" s="1" t="s">
        <v>74</v>
      </c>
      <c r="Q31" s="1" t="s">
        <v>74</v>
      </c>
      <c r="R31" s="1" t="s">
        <v>74</v>
      </c>
      <c r="S31" s="1" t="s">
        <v>74</v>
      </c>
      <c r="T31" s="1" t="s">
        <v>74</v>
      </c>
      <c r="U31" s="1" t="s">
        <v>74</v>
      </c>
      <c r="V31" s="4" t="s">
        <v>3220</v>
      </c>
      <c r="W31" s="1" t="s">
        <v>74</v>
      </c>
      <c r="X31" s="1" t="s">
        <v>74</v>
      </c>
      <c r="Y31" s="1" t="s">
        <v>74</v>
      </c>
      <c r="Z31" s="1" t="s">
        <v>74</v>
      </c>
      <c r="AA31" s="1" t="s">
        <v>3221</v>
      </c>
      <c r="AB31" s="1" t="s">
        <v>3222</v>
      </c>
      <c r="AC31" s="1" t="s">
        <v>74</v>
      </c>
      <c r="AD31" s="1" t="s">
        <v>74</v>
      </c>
      <c r="AE31" s="1" t="s">
        <v>74</v>
      </c>
      <c r="AF31" s="1" t="s">
        <v>74</v>
      </c>
      <c r="AG31" s="1" t="s">
        <v>74</v>
      </c>
      <c r="AH31" s="1" t="s">
        <v>74</v>
      </c>
      <c r="AI31" s="1" t="s">
        <v>74</v>
      </c>
      <c r="AJ31" s="1" t="s">
        <v>74</v>
      </c>
      <c r="AK31" s="1" t="s">
        <v>74</v>
      </c>
      <c r="AL31" s="1" t="s">
        <v>74</v>
      </c>
      <c r="AM31" s="1" t="s">
        <v>74</v>
      </c>
      <c r="AN31" s="1" t="s">
        <v>74</v>
      </c>
      <c r="AO31" s="1" t="s">
        <v>81</v>
      </c>
      <c r="AP31" s="1" t="s">
        <v>82</v>
      </c>
      <c r="AQ31" s="1" t="s">
        <v>74</v>
      </c>
      <c r="AR31" s="1" t="s">
        <v>74</v>
      </c>
      <c r="AS31" s="1" t="s">
        <v>74</v>
      </c>
      <c r="AT31" s="1" t="s">
        <v>633</v>
      </c>
      <c r="AU31" s="1">
        <v>2007</v>
      </c>
      <c r="AV31" s="1">
        <v>144</v>
      </c>
      <c r="AW31" s="1" t="s">
        <v>74</v>
      </c>
      <c r="AX31" s="1">
        <v>4</v>
      </c>
      <c r="AY31" s="1" t="s">
        <v>74</v>
      </c>
      <c r="AZ31" s="1" t="s">
        <v>74</v>
      </c>
      <c r="BA31" s="1" t="s">
        <v>74</v>
      </c>
      <c r="BB31" s="1">
        <v>447</v>
      </c>
      <c r="BC31" s="1">
        <v>470</v>
      </c>
      <c r="BD31" s="1" t="s">
        <v>74</v>
      </c>
      <c r="BE31" s="1" t="s">
        <v>3223</v>
      </c>
      <c r="BF31" s="1" t="str">
        <f>HYPERLINK("http://dx.doi.org/10.1163/156853907780756030","http://dx.doi.org/10.1163/156853907780756030")</f>
        <v>http://dx.doi.org/10.1163/156853907780756030</v>
      </c>
      <c r="BG31" s="1" t="s">
        <v>74</v>
      </c>
      <c r="BH31" s="1" t="s">
        <v>74</v>
      </c>
      <c r="BI31" s="1" t="s">
        <v>74</v>
      </c>
      <c r="BJ31" s="1" t="s">
        <v>74</v>
      </c>
      <c r="BK31" s="1" t="s">
        <v>74</v>
      </c>
      <c r="BL31" s="1" t="s">
        <v>74</v>
      </c>
      <c r="BM31" s="1" t="s">
        <v>74</v>
      </c>
      <c r="BN31" s="1" t="s">
        <v>74</v>
      </c>
      <c r="BO31" s="1" t="s">
        <v>74</v>
      </c>
      <c r="BP31" s="1" t="s">
        <v>74</v>
      </c>
      <c r="BQ31" s="1" t="s">
        <v>74</v>
      </c>
      <c r="BR31" s="1" t="s">
        <v>74</v>
      </c>
      <c r="BS31" s="1" t="s">
        <v>3224</v>
      </c>
      <c r="BT31" s="1" t="str">
        <f>HYPERLINK("https%3A%2F%2Fwww.webofscience.com%2Fwos%2Fwoscc%2Ffull-record%2FWOS:000247125600005","View Full Record in Web of Science")</f>
        <v>View Full Record in Web of Science</v>
      </c>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row>
    <row r="32" spans="1:314" s="2" customFormat="1" x14ac:dyDescent="0.4">
      <c r="A32" s="1" t="s">
        <v>72</v>
      </c>
      <c r="B32" s="1" t="s">
        <v>851</v>
      </c>
      <c r="C32" s="1" t="s">
        <v>74</v>
      </c>
      <c r="D32" s="1" t="s">
        <v>74</v>
      </c>
      <c r="E32" s="1" t="s">
        <v>74</v>
      </c>
      <c r="F32" s="1" t="s">
        <v>852</v>
      </c>
      <c r="G32" s="1" t="s">
        <v>74</v>
      </c>
      <c r="H32" s="1" t="s">
        <v>74</v>
      </c>
      <c r="I32" s="1" t="s">
        <v>853</v>
      </c>
      <c r="J32" s="1" t="s">
        <v>509</v>
      </c>
      <c r="K32" s="1" t="s">
        <v>74</v>
      </c>
      <c r="L32" s="1" t="s">
        <v>74</v>
      </c>
      <c r="M32" s="1" t="s">
        <v>74</v>
      </c>
      <c r="N32" s="1" t="s">
        <v>74</v>
      </c>
      <c r="O32" s="1" t="s">
        <v>74</v>
      </c>
      <c r="P32" s="1" t="s">
        <v>74</v>
      </c>
      <c r="Q32" s="1" t="s">
        <v>74</v>
      </c>
      <c r="R32" s="1" t="s">
        <v>74</v>
      </c>
      <c r="S32" s="1" t="s">
        <v>74</v>
      </c>
      <c r="T32" s="1" t="s">
        <v>74</v>
      </c>
      <c r="U32" s="1" t="s">
        <v>74</v>
      </c>
      <c r="V32" s="4" t="s">
        <v>854</v>
      </c>
      <c r="W32" s="1" t="s">
        <v>74</v>
      </c>
      <c r="X32" s="1" t="s">
        <v>74</v>
      </c>
      <c r="Y32" s="1" t="s">
        <v>74</v>
      </c>
      <c r="Z32" s="1" t="s">
        <v>74</v>
      </c>
      <c r="AA32" s="1" t="s">
        <v>855</v>
      </c>
      <c r="AB32" s="1" t="s">
        <v>856</v>
      </c>
      <c r="AC32" s="1" t="s">
        <v>74</v>
      </c>
      <c r="AD32" s="1" t="s">
        <v>74</v>
      </c>
      <c r="AE32" s="1" t="s">
        <v>74</v>
      </c>
      <c r="AF32" s="1" t="s">
        <v>74</v>
      </c>
      <c r="AG32" s="1" t="s">
        <v>74</v>
      </c>
      <c r="AH32" s="1" t="s">
        <v>74</v>
      </c>
      <c r="AI32" s="1" t="s">
        <v>74</v>
      </c>
      <c r="AJ32" s="1" t="s">
        <v>74</v>
      </c>
      <c r="AK32" s="1" t="s">
        <v>74</v>
      </c>
      <c r="AL32" s="1" t="s">
        <v>74</v>
      </c>
      <c r="AM32" s="1" t="s">
        <v>74</v>
      </c>
      <c r="AN32" s="1" t="s">
        <v>74</v>
      </c>
      <c r="AO32" s="1" t="s">
        <v>511</v>
      </c>
      <c r="AP32" s="1" t="s">
        <v>512</v>
      </c>
      <c r="AQ32" s="1" t="s">
        <v>74</v>
      </c>
      <c r="AR32" s="1" t="s">
        <v>74</v>
      </c>
      <c r="AS32" s="1" t="s">
        <v>74</v>
      </c>
      <c r="AT32" s="1" t="s">
        <v>145</v>
      </c>
      <c r="AU32" s="1">
        <v>2008</v>
      </c>
      <c r="AV32" s="1">
        <v>54</v>
      </c>
      <c r="AW32" s="1">
        <v>3</v>
      </c>
      <c r="AX32" s="1" t="s">
        <v>74</v>
      </c>
      <c r="AY32" s="1" t="s">
        <v>74</v>
      </c>
      <c r="AZ32" s="1" t="s">
        <v>74</v>
      </c>
      <c r="BA32" s="1" t="s">
        <v>74</v>
      </c>
      <c r="BB32" s="1">
        <v>463</v>
      </c>
      <c r="BC32" s="1">
        <v>470</v>
      </c>
      <c r="BD32" s="1" t="s">
        <v>74</v>
      </c>
      <c r="BE32" s="1" t="s">
        <v>857</v>
      </c>
      <c r="BF32" s="1" t="str">
        <f>HYPERLINK("http://dx.doi.org/10.1016/j.yhbeh.2008.05.006","http://dx.doi.org/10.1016/j.yhbeh.2008.05.006")</f>
        <v>http://dx.doi.org/10.1016/j.yhbeh.2008.05.006</v>
      </c>
      <c r="BG32" s="1" t="s">
        <v>74</v>
      </c>
      <c r="BH32" s="1" t="s">
        <v>74</v>
      </c>
      <c r="BI32" s="1" t="s">
        <v>74</v>
      </c>
      <c r="BJ32" s="1" t="s">
        <v>74</v>
      </c>
      <c r="BK32" s="1" t="s">
        <v>74</v>
      </c>
      <c r="BL32" s="1" t="s">
        <v>74</v>
      </c>
      <c r="BM32" s="1" t="s">
        <v>74</v>
      </c>
      <c r="BN32" s="1">
        <v>18586245</v>
      </c>
      <c r="BO32" s="1" t="s">
        <v>74</v>
      </c>
      <c r="BP32" s="1" t="s">
        <v>74</v>
      </c>
      <c r="BQ32" s="1" t="s">
        <v>74</v>
      </c>
      <c r="BR32" s="1" t="s">
        <v>74</v>
      </c>
      <c r="BS32" s="1" t="s">
        <v>858</v>
      </c>
      <c r="BT32" s="1" t="str">
        <f>HYPERLINK("https%3A%2F%2Fwww.webofscience.com%2Fwos%2Fwoscc%2Ffull-record%2FWOS:000258812900017","View Full Record in Web of Science")</f>
        <v>View Full Record in Web of Science</v>
      </c>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row>
    <row r="33" spans="1:314" s="7" customFormat="1" x14ac:dyDescent="0.4">
      <c r="A33" s="1" t="s">
        <v>72</v>
      </c>
      <c r="B33" s="1" t="s">
        <v>6344</v>
      </c>
      <c r="C33" s="1" t="s">
        <v>74</v>
      </c>
      <c r="D33" s="1" t="s">
        <v>74</v>
      </c>
      <c r="E33" s="1" t="s">
        <v>74</v>
      </c>
      <c r="F33" s="1" t="s">
        <v>6345</v>
      </c>
      <c r="G33" s="1" t="s">
        <v>74</v>
      </c>
      <c r="H33" s="1" t="s">
        <v>74</v>
      </c>
      <c r="I33" s="1" t="s">
        <v>6346</v>
      </c>
      <c r="J33" s="1" t="s">
        <v>140</v>
      </c>
      <c r="K33" s="1" t="s">
        <v>74</v>
      </c>
      <c r="L33" s="1" t="s">
        <v>74</v>
      </c>
      <c r="M33" s="1" t="s">
        <v>74</v>
      </c>
      <c r="N33" s="1" t="s">
        <v>74</v>
      </c>
      <c r="O33" s="1" t="s">
        <v>74</v>
      </c>
      <c r="P33" s="1" t="s">
        <v>74</v>
      </c>
      <c r="Q33" s="1" t="s">
        <v>74</v>
      </c>
      <c r="R33" s="1" t="s">
        <v>74</v>
      </c>
      <c r="S33" s="1" t="s">
        <v>74</v>
      </c>
      <c r="T33" s="1" t="s">
        <v>74</v>
      </c>
      <c r="U33" s="1" t="s">
        <v>74</v>
      </c>
      <c r="V33" s="4" t="s">
        <v>6347</v>
      </c>
      <c r="W33" s="1" t="s">
        <v>74</v>
      </c>
      <c r="X33" s="1" t="s">
        <v>74</v>
      </c>
      <c r="Y33" s="1" t="s">
        <v>74</v>
      </c>
      <c r="Z33" s="1" t="s">
        <v>74</v>
      </c>
      <c r="AA33" s="1" t="s">
        <v>6348</v>
      </c>
      <c r="AB33" s="1" t="s">
        <v>6349</v>
      </c>
      <c r="AC33" s="1" t="s">
        <v>74</v>
      </c>
      <c r="AD33" s="1" t="s">
        <v>74</v>
      </c>
      <c r="AE33" s="1" t="s">
        <v>74</v>
      </c>
      <c r="AF33" s="1" t="s">
        <v>74</v>
      </c>
      <c r="AG33" s="1" t="s">
        <v>74</v>
      </c>
      <c r="AH33" s="1" t="s">
        <v>74</v>
      </c>
      <c r="AI33" s="1" t="s">
        <v>74</v>
      </c>
      <c r="AJ33" s="1" t="s">
        <v>74</v>
      </c>
      <c r="AK33" s="1" t="s">
        <v>74</v>
      </c>
      <c r="AL33" s="1" t="s">
        <v>74</v>
      </c>
      <c r="AM33" s="1" t="s">
        <v>74</v>
      </c>
      <c r="AN33" s="1" t="s">
        <v>74</v>
      </c>
      <c r="AO33" s="1" t="s">
        <v>143</v>
      </c>
      <c r="AP33" s="1" t="s">
        <v>144</v>
      </c>
      <c r="AQ33" s="1" t="s">
        <v>74</v>
      </c>
      <c r="AR33" s="1" t="s">
        <v>74</v>
      </c>
      <c r="AS33" s="1" t="s">
        <v>74</v>
      </c>
      <c r="AT33" s="1" t="s">
        <v>305</v>
      </c>
      <c r="AU33" s="1">
        <v>2015</v>
      </c>
      <c r="AV33" s="1">
        <v>110</v>
      </c>
      <c r="AW33" s="1" t="s">
        <v>74</v>
      </c>
      <c r="AX33" s="1" t="s">
        <v>74</v>
      </c>
      <c r="AY33" s="1" t="s">
        <v>74</v>
      </c>
      <c r="AZ33" s="1" t="s">
        <v>74</v>
      </c>
      <c r="BA33" s="1" t="s">
        <v>74</v>
      </c>
      <c r="BB33" s="1">
        <v>155</v>
      </c>
      <c r="BC33" s="1">
        <v>161</v>
      </c>
      <c r="BD33" s="1" t="s">
        <v>74</v>
      </c>
      <c r="BE33" s="1" t="s">
        <v>6350</v>
      </c>
      <c r="BF33" s="1" t="str">
        <f>HYPERLINK("http://dx.doi.org/10.1016/j.anbehav.2015.09.025","http://dx.doi.org/10.1016/j.anbehav.2015.09.025")</f>
        <v>http://dx.doi.org/10.1016/j.anbehav.2015.09.025</v>
      </c>
      <c r="BG33" s="1" t="s">
        <v>74</v>
      </c>
      <c r="BH33" s="1" t="s">
        <v>74</v>
      </c>
      <c r="BI33" s="1" t="s">
        <v>74</v>
      </c>
      <c r="BJ33" s="1" t="s">
        <v>74</v>
      </c>
      <c r="BK33" s="1" t="s">
        <v>74</v>
      </c>
      <c r="BL33" s="1" t="s">
        <v>74</v>
      </c>
      <c r="BM33" s="1" t="s">
        <v>74</v>
      </c>
      <c r="BN33" s="1" t="s">
        <v>74</v>
      </c>
      <c r="BO33" s="1" t="s">
        <v>74</v>
      </c>
      <c r="BP33" s="1" t="s">
        <v>74</v>
      </c>
      <c r="BQ33" s="1" t="s">
        <v>74</v>
      </c>
      <c r="BR33" s="1" t="s">
        <v>74</v>
      </c>
      <c r="BS33" s="1" t="s">
        <v>6351</v>
      </c>
      <c r="BT33" s="1" t="str">
        <f>HYPERLINK("https%3A%2F%2Fwww.webofscience.com%2Fwos%2Fwoscc%2Ffull-record%2FWOS:000366731500022","View Full Record in Web of Science")</f>
        <v>View Full Record in Web of Science</v>
      </c>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row>
    <row r="34" spans="1:314" s="2" customFormat="1" x14ac:dyDescent="0.4">
      <c r="A34" s="1" t="s">
        <v>72</v>
      </c>
      <c r="B34" s="1" t="s">
        <v>627</v>
      </c>
      <c r="C34" s="1" t="s">
        <v>74</v>
      </c>
      <c r="D34" s="1" t="s">
        <v>74</v>
      </c>
      <c r="E34" s="1" t="s">
        <v>74</v>
      </c>
      <c r="F34" s="1" t="s">
        <v>628</v>
      </c>
      <c r="G34" s="1" t="s">
        <v>74</v>
      </c>
      <c r="H34" s="1" t="s">
        <v>74</v>
      </c>
      <c r="I34" s="1" t="s">
        <v>629</v>
      </c>
      <c r="J34" s="1" t="s">
        <v>140</v>
      </c>
      <c r="K34" s="1" t="s">
        <v>74</v>
      </c>
      <c r="L34" s="1" t="s">
        <v>74</v>
      </c>
      <c r="M34" s="1" t="s">
        <v>74</v>
      </c>
      <c r="N34" s="1" t="s">
        <v>74</v>
      </c>
      <c r="O34" s="1" t="s">
        <v>74</v>
      </c>
      <c r="P34" s="1" t="s">
        <v>74</v>
      </c>
      <c r="Q34" s="1" t="s">
        <v>74</v>
      </c>
      <c r="R34" s="1" t="s">
        <v>74</v>
      </c>
      <c r="S34" s="1" t="s">
        <v>74</v>
      </c>
      <c r="T34" s="1" t="s">
        <v>74</v>
      </c>
      <c r="U34" s="1" t="s">
        <v>74</v>
      </c>
      <c r="V34" s="4" t="s">
        <v>630</v>
      </c>
      <c r="W34" s="1" t="s">
        <v>74</v>
      </c>
      <c r="X34" s="1" t="s">
        <v>74</v>
      </c>
      <c r="Y34" s="1" t="s">
        <v>74</v>
      </c>
      <c r="Z34" s="1" t="s">
        <v>74</v>
      </c>
      <c r="AA34" s="1" t="s">
        <v>631</v>
      </c>
      <c r="AB34" s="1" t="s">
        <v>632</v>
      </c>
      <c r="AC34" s="1" t="s">
        <v>74</v>
      </c>
      <c r="AD34" s="1" t="s">
        <v>74</v>
      </c>
      <c r="AE34" s="1" t="s">
        <v>74</v>
      </c>
      <c r="AF34" s="1" t="s">
        <v>74</v>
      </c>
      <c r="AG34" s="1" t="s">
        <v>74</v>
      </c>
      <c r="AH34" s="1" t="s">
        <v>74</v>
      </c>
      <c r="AI34" s="1" t="s">
        <v>74</v>
      </c>
      <c r="AJ34" s="1" t="s">
        <v>74</v>
      </c>
      <c r="AK34" s="1" t="s">
        <v>74</v>
      </c>
      <c r="AL34" s="1" t="s">
        <v>74</v>
      </c>
      <c r="AM34" s="1" t="s">
        <v>74</v>
      </c>
      <c r="AN34" s="1" t="s">
        <v>74</v>
      </c>
      <c r="AO34" s="1" t="s">
        <v>143</v>
      </c>
      <c r="AP34" s="1" t="s">
        <v>144</v>
      </c>
      <c r="AQ34" s="1" t="s">
        <v>74</v>
      </c>
      <c r="AR34" s="1" t="s">
        <v>74</v>
      </c>
      <c r="AS34" s="1" t="s">
        <v>74</v>
      </c>
      <c r="AT34" s="1" t="s">
        <v>633</v>
      </c>
      <c r="AU34" s="1">
        <v>2019</v>
      </c>
      <c r="AV34" s="1">
        <v>150</v>
      </c>
      <c r="AW34" s="1" t="s">
        <v>74</v>
      </c>
      <c r="AX34" s="1" t="s">
        <v>74</v>
      </c>
      <c r="AY34" s="1" t="s">
        <v>74</v>
      </c>
      <c r="AZ34" s="1" t="s">
        <v>74</v>
      </c>
      <c r="BA34" s="1" t="s">
        <v>74</v>
      </c>
      <c r="BB34" s="1">
        <v>285</v>
      </c>
      <c r="BC34" s="1">
        <v>301</v>
      </c>
      <c r="BD34" s="1" t="s">
        <v>74</v>
      </c>
      <c r="BE34" s="1" t="s">
        <v>634</v>
      </c>
      <c r="BF34" s="1" t="str">
        <f>HYPERLINK("http://dx.doi.org/10.1016/j.anbehav.2019.01.025","http://dx.doi.org/10.1016/j.anbehav.2019.01.025")</f>
        <v>http://dx.doi.org/10.1016/j.anbehav.2019.01.025</v>
      </c>
      <c r="BG34" s="1" t="s">
        <v>74</v>
      </c>
      <c r="BH34" s="1" t="s">
        <v>74</v>
      </c>
      <c r="BI34" s="1" t="s">
        <v>74</v>
      </c>
      <c r="BJ34" s="1" t="s">
        <v>74</v>
      </c>
      <c r="BK34" s="1" t="s">
        <v>74</v>
      </c>
      <c r="BL34" s="1" t="s">
        <v>74</v>
      </c>
      <c r="BM34" s="1" t="s">
        <v>74</v>
      </c>
      <c r="BN34" s="1" t="s">
        <v>74</v>
      </c>
      <c r="BO34" s="1" t="s">
        <v>74</v>
      </c>
      <c r="BP34" s="1" t="s">
        <v>74</v>
      </c>
      <c r="BQ34" s="1" t="s">
        <v>74</v>
      </c>
      <c r="BR34" s="1" t="s">
        <v>74</v>
      </c>
      <c r="BS34" s="1" t="s">
        <v>635</v>
      </c>
      <c r="BT34" s="1" t="str">
        <f>HYPERLINK("https%3A%2F%2Fwww.webofscience.com%2Fwos%2Fwoscc%2Ffull-record%2FWOS:000463590000025","View Full Record in Web of Science")</f>
        <v>View Full Record in Web of Science</v>
      </c>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row>
    <row r="35" spans="1:314" s="2" customFormat="1" x14ac:dyDescent="0.4">
      <c r="A35" s="1" t="s">
        <v>72</v>
      </c>
      <c r="B35" s="1" t="s">
        <v>1119</v>
      </c>
      <c r="C35" s="1" t="s">
        <v>74</v>
      </c>
      <c r="D35" s="1" t="s">
        <v>74</v>
      </c>
      <c r="E35" s="1" t="s">
        <v>74</v>
      </c>
      <c r="F35" s="1" t="s">
        <v>1119</v>
      </c>
      <c r="G35" s="1" t="s">
        <v>74</v>
      </c>
      <c r="H35" s="1" t="s">
        <v>74</v>
      </c>
      <c r="I35" s="1" t="s">
        <v>1120</v>
      </c>
      <c r="J35" s="1" t="s">
        <v>140</v>
      </c>
      <c r="K35" s="1" t="s">
        <v>74</v>
      </c>
      <c r="L35" s="1" t="s">
        <v>74</v>
      </c>
      <c r="M35" s="1" t="s">
        <v>74</v>
      </c>
      <c r="N35" s="1" t="s">
        <v>74</v>
      </c>
      <c r="O35" s="1" t="s">
        <v>74</v>
      </c>
      <c r="P35" s="1" t="s">
        <v>74</v>
      </c>
      <c r="Q35" s="1" t="s">
        <v>74</v>
      </c>
      <c r="R35" s="1" t="s">
        <v>74</v>
      </c>
      <c r="S35" s="1" t="s">
        <v>74</v>
      </c>
      <c r="T35" s="1" t="s">
        <v>74</v>
      </c>
      <c r="U35" s="1" t="s">
        <v>74</v>
      </c>
      <c r="V35" s="4" t="s">
        <v>1121</v>
      </c>
      <c r="W35" s="1" t="s">
        <v>74</v>
      </c>
      <c r="X35" s="1" t="s">
        <v>74</v>
      </c>
      <c r="Y35" s="1" t="s">
        <v>74</v>
      </c>
      <c r="Z35" s="1" t="s">
        <v>74</v>
      </c>
      <c r="AA35" s="1" t="s">
        <v>74</v>
      </c>
      <c r="AB35" s="1" t="s">
        <v>1122</v>
      </c>
      <c r="AC35" s="1" t="s">
        <v>74</v>
      </c>
      <c r="AD35" s="1" t="s">
        <v>74</v>
      </c>
      <c r="AE35" s="1" t="s">
        <v>74</v>
      </c>
      <c r="AF35" s="1" t="s">
        <v>74</v>
      </c>
      <c r="AG35" s="1" t="s">
        <v>74</v>
      </c>
      <c r="AH35" s="1" t="s">
        <v>74</v>
      </c>
      <c r="AI35" s="1" t="s">
        <v>74</v>
      </c>
      <c r="AJ35" s="1" t="s">
        <v>74</v>
      </c>
      <c r="AK35" s="1" t="s">
        <v>74</v>
      </c>
      <c r="AL35" s="1" t="s">
        <v>74</v>
      </c>
      <c r="AM35" s="1" t="s">
        <v>74</v>
      </c>
      <c r="AN35" s="1" t="s">
        <v>74</v>
      </c>
      <c r="AO35" s="1" t="s">
        <v>143</v>
      </c>
      <c r="AP35" s="1" t="s">
        <v>144</v>
      </c>
      <c r="AQ35" s="1" t="s">
        <v>74</v>
      </c>
      <c r="AR35" s="1" t="s">
        <v>74</v>
      </c>
      <c r="AS35" s="1" t="s">
        <v>74</v>
      </c>
      <c r="AT35" s="1" t="s">
        <v>74</v>
      </c>
      <c r="AU35" s="1">
        <v>1981</v>
      </c>
      <c r="AV35" s="1">
        <v>29</v>
      </c>
      <c r="AW35" s="1" t="s">
        <v>134</v>
      </c>
      <c r="AX35" s="1" t="s">
        <v>74</v>
      </c>
      <c r="AY35" s="1" t="s">
        <v>74</v>
      </c>
      <c r="AZ35" s="1" t="s">
        <v>74</v>
      </c>
      <c r="BA35" s="1" t="s">
        <v>74</v>
      </c>
      <c r="BB35" s="1">
        <v>325</v>
      </c>
      <c r="BC35" s="1">
        <v>331</v>
      </c>
      <c r="BD35" s="1" t="s">
        <v>74</v>
      </c>
      <c r="BE35" s="1" t="s">
        <v>1123</v>
      </c>
      <c r="BF35" s="1" t="str">
        <f>HYPERLINK("http://dx.doi.org/10.1016/S0003-3472(81)80092-9","http://dx.doi.org/10.1016/S0003-3472(81)80092-9")</f>
        <v>http://dx.doi.org/10.1016/S0003-3472(81)80092-9</v>
      </c>
      <c r="BG35" s="1" t="s">
        <v>74</v>
      </c>
      <c r="BH35" s="1" t="s">
        <v>74</v>
      </c>
      <c r="BI35" s="1" t="s">
        <v>74</v>
      </c>
      <c r="BJ35" s="1" t="s">
        <v>74</v>
      </c>
      <c r="BK35" s="1" t="s">
        <v>74</v>
      </c>
      <c r="BL35" s="1" t="s">
        <v>74</v>
      </c>
      <c r="BM35" s="1" t="s">
        <v>74</v>
      </c>
      <c r="BN35" s="1" t="s">
        <v>74</v>
      </c>
      <c r="BO35" s="1" t="s">
        <v>74</v>
      </c>
      <c r="BP35" s="1" t="s">
        <v>74</v>
      </c>
      <c r="BQ35" s="1" t="s">
        <v>74</v>
      </c>
      <c r="BR35" s="1" t="s">
        <v>74</v>
      </c>
      <c r="BS35" s="1" t="s">
        <v>1124</v>
      </c>
      <c r="BT35" s="1" t="str">
        <f>HYPERLINK("https%3A%2F%2Fwww.webofscience.com%2Fwos%2Fwoscc%2Ffull-record%2FWOS:A1981LQ60200001","View Full Record in Web of Science")</f>
        <v>View Full Record in Web of Science</v>
      </c>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row>
    <row r="36" spans="1:314" s="2" customFormat="1" x14ac:dyDescent="0.4">
      <c r="A36" s="1" t="s">
        <v>72</v>
      </c>
      <c r="B36" s="1" t="s">
        <v>4634</v>
      </c>
      <c r="C36" s="1" t="s">
        <v>74</v>
      </c>
      <c r="D36" s="1" t="s">
        <v>74</v>
      </c>
      <c r="E36" s="1" t="s">
        <v>74</v>
      </c>
      <c r="F36" s="1" t="s">
        <v>4634</v>
      </c>
      <c r="G36" s="1" t="s">
        <v>74</v>
      </c>
      <c r="H36" s="1" t="s">
        <v>74</v>
      </c>
      <c r="I36" s="1" t="s">
        <v>4635</v>
      </c>
      <c r="J36" s="1" t="s">
        <v>171</v>
      </c>
      <c r="K36" s="1" t="s">
        <v>74</v>
      </c>
      <c r="L36" s="1" t="s">
        <v>74</v>
      </c>
      <c r="M36" s="1" t="s">
        <v>74</v>
      </c>
      <c r="N36" s="1" t="s">
        <v>74</v>
      </c>
      <c r="O36" s="1" t="s">
        <v>74</v>
      </c>
      <c r="P36" s="1" t="s">
        <v>74</v>
      </c>
      <c r="Q36" s="1" t="s">
        <v>74</v>
      </c>
      <c r="R36" s="1" t="s">
        <v>74</v>
      </c>
      <c r="S36" s="1" t="s">
        <v>74</v>
      </c>
      <c r="T36" s="1" t="s">
        <v>74</v>
      </c>
      <c r="U36" s="1" t="s">
        <v>74</v>
      </c>
      <c r="V36" s="4" t="s">
        <v>4636</v>
      </c>
      <c r="W36" s="1" t="s">
        <v>74</v>
      </c>
      <c r="X36" s="1" t="s">
        <v>74</v>
      </c>
      <c r="Y36" s="1" t="s">
        <v>74</v>
      </c>
      <c r="Z36" s="1" t="s">
        <v>74</v>
      </c>
      <c r="AA36" s="1" t="s">
        <v>4637</v>
      </c>
      <c r="AB36" s="1" t="s">
        <v>4638</v>
      </c>
      <c r="AC36" s="1" t="s">
        <v>74</v>
      </c>
      <c r="AD36" s="1" t="s">
        <v>74</v>
      </c>
      <c r="AE36" s="1" t="s">
        <v>74</v>
      </c>
      <c r="AF36" s="1" t="s">
        <v>74</v>
      </c>
      <c r="AG36" s="1" t="s">
        <v>74</v>
      </c>
      <c r="AH36" s="1" t="s">
        <v>74</v>
      </c>
      <c r="AI36" s="1" t="s">
        <v>74</v>
      </c>
      <c r="AJ36" s="1" t="s">
        <v>74</v>
      </c>
      <c r="AK36" s="1" t="s">
        <v>74</v>
      </c>
      <c r="AL36" s="1" t="s">
        <v>74</v>
      </c>
      <c r="AM36" s="1" t="s">
        <v>74</v>
      </c>
      <c r="AN36" s="1" t="s">
        <v>74</v>
      </c>
      <c r="AO36" s="1" t="s">
        <v>173</v>
      </c>
      <c r="AP36" s="1" t="s">
        <v>174</v>
      </c>
      <c r="AQ36" s="1" t="s">
        <v>74</v>
      </c>
      <c r="AR36" s="1" t="s">
        <v>74</v>
      </c>
      <c r="AS36" s="1" t="s">
        <v>74</v>
      </c>
      <c r="AT36" s="1" t="s">
        <v>204</v>
      </c>
      <c r="AU36" s="1">
        <v>2001</v>
      </c>
      <c r="AV36" s="1">
        <v>55</v>
      </c>
      <c r="AW36" s="1">
        <v>7</v>
      </c>
      <c r="AX36" s="1" t="s">
        <v>74</v>
      </c>
      <c r="AY36" s="1" t="s">
        <v>74</v>
      </c>
      <c r="AZ36" s="1" t="s">
        <v>74</v>
      </c>
      <c r="BA36" s="1" t="s">
        <v>74</v>
      </c>
      <c r="BB36" s="1">
        <v>1443</v>
      </c>
      <c r="BC36" s="1">
        <v>1451</v>
      </c>
      <c r="BD36" s="1" t="s">
        <v>74</v>
      </c>
      <c r="BE36" s="1" t="s">
        <v>74</v>
      </c>
      <c r="BF36" s="1" t="s">
        <v>74</v>
      </c>
      <c r="BG36" s="1" t="s">
        <v>74</v>
      </c>
      <c r="BH36" s="1" t="s">
        <v>74</v>
      </c>
      <c r="BI36" s="1" t="s">
        <v>74</v>
      </c>
      <c r="BJ36" s="1" t="s">
        <v>74</v>
      </c>
      <c r="BK36" s="1" t="s">
        <v>74</v>
      </c>
      <c r="BL36" s="1" t="s">
        <v>74</v>
      </c>
      <c r="BM36" s="1" t="s">
        <v>74</v>
      </c>
      <c r="BN36" s="1">
        <v>11525466</v>
      </c>
      <c r="BO36" s="1" t="s">
        <v>74</v>
      </c>
      <c r="BP36" s="1" t="s">
        <v>74</v>
      </c>
      <c r="BQ36" s="1" t="s">
        <v>74</v>
      </c>
      <c r="BR36" s="1" t="s">
        <v>74</v>
      </c>
      <c r="BS36" s="1" t="s">
        <v>4639</v>
      </c>
      <c r="BT36" s="1" t="str">
        <f>HYPERLINK("https%3A%2F%2Fwww.webofscience.com%2Fwos%2Fwoscc%2Ffull-record%2FWOS:000170699300015","View Full Record in Web of Science")</f>
        <v>View Full Record in Web of Science</v>
      </c>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row>
    <row r="37" spans="1:314" s="2" customFormat="1" x14ac:dyDescent="0.4">
      <c r="A37" s="1" t="s">
        <v>72</v>
      </c>
      <c r="B37" s="1" t="s">
        <v>4172</v>
      </c>
      <c r="C37" s="1" t="s">
        <v>74</v>
      </c>
      <c r="D37" s="1" t="s">
        <v>74</v>
      </c>
      <c r="E37" s="1" t="s">
        <v>74</v>
      </c>
      <c r="F37" s="1" t="s">
        <v>4173</v>
      </c>
      <c r="G37" s="1" t="s">
        <v>74</v>
      </c>
      <c r="H37" s="1" t="s">
        <v>74</v>
      </c>
      <c r="I37" s="1" t="s">
        <v>4174</v>
      </c>
      <c r="J37" s="1" t="s">
        <v>610</v>
      </c>
      <c r="K37" s="1" t="s">
        <v>74</v>
      </c>
      <c r="L37" s="1" t="s">
        <v>74</v>
      </c>
      <c r="M37" s="1" t="s">
        <v>74</v>
      </c>
      <c r="N37" s="1" t="s">
        <v>74</v>
      </c>
      <c r="O37" s="1" t="s">
        <v>74</v>
      </c>
      <c r="P37" s="1" t="s">
        <v>74</v>
      </c>
      <c r="Q37" s="1" t="s">
        <v>74</v>
      </c>
      <c r="R37" s="1" t="s">
        <v>74</v>
      </c>
      <c r="S37" s="1" t="s">
        <v>74</v>
      </c>
      <c r="T37" s="1" t="s">
        <v>74</v>
      </c>
      <c r="U37" s="1" t="s">
        <v>74</v>
      </c>
      <c r="V37" s="4" t="s">
        <v>4175</v>
      </c>
      <c r="W37" s="1" t="s">
        <v>74</v>
      </c>
      <c r="X37" s="1" t="s">
        <v>74</v>
      </c>
      <c r="Y37" s="1" t="s">
        <v>74</v>
      </c>
      <c r="Z37" s="1" t="s">
        <v>74</v>
      </c>
      <c r="AA37" s="1" t="s">
        <v>74</v>
      </c>
      <c r="AB37" s="1" t="s">
        <v>74</v>
      </c>
      <c r="AC37" s="1" t="s">
        <v>74</v>
      </c>
      <c r="AD37" s="1" t="s">
        <v>74</v>
      </c>
      <c r="AE37" s="1" t="s">
        <v>74</v>
      </c>
      <c r="AF37" s="1" t="s">
        <v>74</v>
      </c>
      <c r="AG37" s="1" t="s">
        <v>74</v>
      </c>
      <c r="AH37" s="1" t="s">
        <v>74</v>
      </c>
      <c r="AI37" s="1" t="s">
        <v>74</v>
      </c>
      <c r="AJ37" s="1" t="s">
        <v>74</v>
      </c>
      <c r="AK37" s="1" t="s">
        <v>74</v>
      </c>
      <c r="AL37" s="1" t="s">
        <v>74</v>
      </c>
      <c r="AM37" s="1" t="s">
        <v>74</v>
      </c>
      <c r="AN37" s="1" t="s">
        <v>74</v>
      </c>
      <c r="AO37" s="1" t="s">
        <v>614</v>
      </c>
      <c r="AP37" s="1" t="s">
        <v>615</v>
      </c>
      <c r="AQ37" s="1" t="s">
        <v>74</v>
      </c>
      <c r="AR37" s="1" t="s">
        <v>74</v>
      </c>
      <c r="AS37" s="1" t="s">
        <v>74</v>
      </c>
      <c r="AT37" s="1" t="s">
        <v>213</v>
      </c>
      <c r="AU37" s="1">
        <v>2007</v>
      </c>
      <c r="AV37" s="1">
        <v>113</v>
      </c>
      <c r="AW37" s="1">
        <v>11</v>
      </c>
      <c r="AX37" s="1" t="s">
        <v>74</v>
      </c>
      <c r="AY37" s="1" t="s">
        <v>74</v>
      </c>
      <c r="AZ37" s="1" t="s">
        <v>74</v>
      </c>
      <c r="BA37" s="1" t="s">
        <v>74</v>
      </c>
      <c r="BB37" s="1">
        <v>1113</v>
      </c>
      <c r="BC37" s="1">
        <v>1122</v>
      </c>
      <c r="BD37" s="1" t="s">
        <v>74</v>
      </c>
      <c r="BE37" s="1" t="s">
        <v>4176</v>
      </c>
      <c r="BF37" s="1" t="str">
        <f>HYPERLINK("http://dx.doi.org/10.1111/j.1439-0310.2007.01420.x","http://dx.doi.org/10.1111/j.1439-0310.2007.01420.x")</f>
        <v>http://dx.doi.org/10.1111/j.1439-0310.2007.01420.x</v>
      </c>
      <c r="BG37" s="1" t="s">
        <v>74</v>
      </c>
      <c r="BH37" s="1" t="s">
        <v>74</v>
      </c>
      <c r="BI37" s="1" t="s">
        <v>74</v>
      </c>
      <c r="BJ37" s="1" t="s">
        <v>74</v>
      </c>
      <c r="BK37" s="1" t="s">
        <v>74</v>
      </c>
      <c r="BL37" s="1" t="s">
        <v>74</v>
      </c>
      <c r="BM37" s="1" t="s">
        <v>74</v>
      </c>
      <c r="BN37" s="1" t="s">
        <v>74</v>
      </c>
      <c r="BO37" s="1" t="s">
        <v>74</v>
      </c>
      <c r="BP37" s="1" t="s">
        <v>74</v>
      </c>
      <c r="BQ37" s="1" t="s">
        <v>74</v>
      </c>
      <c r="BR37" s="1" t="s">
        <v>74</v>
      </c>
      <c r="BS37" s="1" t="s">
        <v>4177</v>
      </c>
      <c r="BT37" s="1" t="str">
        <f>HYPERLINK("https%3A%2F%2Fwww.webofscience.com%2Fwos%2Fwoscc%2Ffull-record%2FWOS:000250262400011","View Full Record in Web of Science")</f>
        <v>View Full Record in Web of Science</v>
      </c>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row>
    <row r="38" spans="1:314" s="2" customFormat="1" x14ac:dyDescent="0.4">
      <c r="A38" s="1" t="s">
        <v>72</v>
      </c>
      <c r="B38" s="1" t="s">
        <v>1825</v>
      </c>
      <c r="C38" s="1" t="s">
        <v>74</v>
      </c>
      <c r="D38" s="1" t="s">
        <v>74</v>
      </c>
      <c r="E38" s="1" t="s">
        <v>74</v>
      </c>
      <c r="F38" s="1" t="s">
        <v>1826</v>
      </c>
      <c r="G38" s="1" t="s">
        <v>74</v>
      </c>
      <c r="H38" s="1" t="s">
        <v>74</v>
      </c>
      <c r="I38" s="1" t="s">
        <v>1827</v>
      </c>
      <c r="J38" s="1" t="s">
        <v>77</v>
      </c>
      <c r="K38" s="1" t="s">
        <v>74</v>
      </c>
      <c r="L38" s="1" t="s">
        <v>74</v>
      </c>
      <c r="M38" s="1" t="s">
        <v>74</v>
      </c>
      <c r="N38" s="1" t="s">
        <v>74</v>
      </c>
      <c r="O38" s="1" t="s">
        <v>74</v>
      </c>
      <c r="P38" s="1" t="s">
        <v>74</v>
      </c>
      <c r="Q38" s="1" t="s">
        <v>74</v>
      </c>
      <c r="R38" s="1" t="s">
        <v>74</v>
      </c>
      <c r="S38" s="1" t="s">
        <v>74</v>
      </c>
      <c r="T38" s="1" t="s">
        <v>74</v>
      </c>
      <c r="U38" s="1" t="s">
        <v>74</v>
      </c>
      <c r="V38" s="4" t="s">
        <v>1828</v>
      </c>
      <c r="W38" s="1" t="s">
        <v>74</v>
      </c>
      <c r="X38" s="1" t="s">
        <v>74</v>
      </c>
      <c r="Y38" s="1" t="s">
        <v>74</v>
      </c>
      <c r="Z38" s="1" t="s">
        <v>74</v>
      </c>
      <c r="AA38" s="1" t="s">
        <v>74</v>
      </c>
      <c r="AB38" s="1" t="s">
        <v>74</v>
      </c>
      <c r="AC38" s="1" t="s">
        <v>74</v>
      </c>
      <c r="AD38" s="1" t="s">
        <v>74</v>
      </c>
      <c r="AE38" s="1" t="s">
        <v>74</v>
      </c>
      <c r="AF38" s="1" t="s">
        <v>74</v>
      </c>
      <c r="AG38" s="1" t="s">
        <v>74</v>
      </c>
      <c r="AH38" s="1" t="s">
        <v>74</v>
      </c>
      <c r="AI38" s="1" t="s">
        <v>74</v>
      </c>
      <c r="AJ38" s="1" t="s">
        <v>74</v>
      </c>
      <c r="AK38" s="1" t="s">
        <v>74</v>
      </c>
      <c r="AL38" s="1" t="s">
        <v>74</v>
      </c>
      <c r="AM38" s="1" t="s">
        <v>74</v>
      </c>
      <c r="AN38" s="1" t="s">
        <v>74</v>
      </c>
      <c r="AO38" s="1" t="s">
        <v>81</v>
      </c>
      <c r="AP38" s="1" t="s">
        <v>74</v>
      </c>
      <c r="AQ38" s="1" t="s">
        <v>74</v>
      </c>
      <c r="AR38" s="1" t="s">
        <v>74</v>
      </c>
      <c r="AS38" s="1" t="s">
        <v>74</v>
      </c>
      <c r="AT38" s="1" t="s">
        <v>964</v>
      </c>
      <c r="AU38" s="1">
        <v>2007</v>
      </c>
      <c r="AV38" s="1">
        <v>144</v>
      </c>
      <c r="AW38" s="1" t="s">
        <v>74</v>
      </c>
      <c r="AX38" s="1">
        <v>2</v>
      </c>
      <c r="AY38" s="1" t="s">
        <v>74</v>
      </c>
      <c r="AZ38" s="1" t="s">
        <v>74</v>
      </c>
      <c r="BA38" s="1" t="s">
        <v>74</v>
      </c>
      <c r="BB38" s="1">
        <v>165</v>
      </c>
      <c r="BC38" s="1">
        <v>178</v>
      </c>
      <c r="BD38" s="1" t="s">
        <v>74</v>
      </c>
      <c r="BE38" s="1" t="s">
        <v>1829</v>
      </c>
      <c r="BF38" s="1" t="str">
        <f>HYPERLINK("http://dx.doi.org/10.1163/156853907779947328","http://dx.doi.org/10.1163/156853907779947328")</f>
        <v>http://dx.doi.org/10.1163/156853907779947328</v>
      </c>
      <c r="BG38" s="1" t="s">
        <v>74</v>
      </c>
      <c r="BH38" s="1" t="s">
        <v>74</v>
      </c>
      <c r="BI38" s="1" t="s">
        <v>74</v>
      </c>
      <c r="BJ38" s="1" t="s">
        <v>74</v>
      </c>
      <c r="BK38" s="1" t="s">
        <v>74</v>
      </c>
      <c r="BL38" s="1" t="s">
        <v>74</v>
      </c>
      <c r="BM38" s="1" t="s">
        <v>74</v>
      </c>
      <c r="BN38" s="1" t="s">
        <v>74</v>
      </c>
      <c r="BO38" s="1" t="s">
        <v>74</v>
      </c>
      <c r="BP38" s="1" t="s">
        <v>74</v>
      </c>
      <c r="BQ38" s="1" t="s">
        <v>74</v>
      </c>
      <c r="BR38" s="1" t="s">
        <v>74</v>
      </c>
      <c r="BS38" s="1" t="s">
        <v>1830</v>
      </c>
      <c r="BT38" s="1" t="str">
        <f>HYPERLINK("https%3A%2F%2Fwww.webofscience.com%2Fwos%2Fwoscc%2Ffull-record%2FWOS:000245544800002","View Full Record in Web of Science")</f>
        <v>View Full Record in Web of Science</v>
      </c>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row>
    <row r="39" spans="1:314" s="2" customFormat="1" x14ac:dyDescent="0.4">
      <c r="A39" s="1" t="s">
        <v>72</v>
      </c>
      <c r="B39" s="1" t="s">
        <v>6764</v>
      </c>
      <c r="C39" s="1" t="s">
        <v>74</v>
      </c>
      <c r="D39" s="1" t="s">
        <v>74</v>
      </c>
      <c r="E39" s="1" t="s">
        <v>74</v>
      </c>
      <c r="F39" s="1" t="s">
        <v>6764</v>
      </c>
      <c r="G39" s="1" t="s">
        <v>74</v>
      </c>
      <c r="H39" s="1" t="s">
        <v>74</v>
      </c>
      <c r="I39" s="1" t="s">
        <v>6765</v>
      </c>
      <c r="J39" s="1" t="s">
        <v>129</v>
      </c>
      <c r="K39" s="1" t="s">
        <v>74</v>
      </c>
      <c r="L39" s="1" t="s">
        <v>74</v>
      </c>
      <c r="M39" s="1" t="s">
        <v>74</v>
      </c>
      <c r="N39" s="1" t="s">
        <v>74</v>
      </c>
      <c r="O39" s="1" t="s">
        <v>74</v>
      </c>
      <c r="P39" s="1" t="s">
        <v>74</v>
      </c>
      <c r="Q39" s="1" t="s">
        <v>74</v>
      </c>
      <c r="R39" s="1" t="s">
        <v>74</v>
      </c>
      <c r="S39" s="1" t="s">
        <v>74</v>
      </c>
      <c r="T39" s="1" t="s">
        <v>74</v>
      </c>
      <c r="U39" s="1" t="s">
        <v>74</v>
      </c>
      <c r="V39" s="4" t="s">
        <v>6766</v>
      </c>
      <c r="W39" s="1" t="s">
        <v>74</v>
      </c>
      <c r="X39" s="1" t="s">
        <v>74</v>
      </c>
      <c r="Y39" s="1" t="s">
        <v>74</v>
      </c>
      <c r="Z39" s="1" t="s">
        <v>74</v>
      </c>
      <c r="AA39" s="1" t="s">
        <v>6220</v>
      </c>
      <c r="AB39" s="1" t="s">
        <v>6221</v>
      </c>
      <c r="AC39" s="1" t="s">
        <v>74</v>
      </c>
      <c r="AD39" s="1" t="s">
        <v>74</v>
      </c>
      <c r="AE39" s="1" t="s">
        <v>74</v>
      </c>
      <c r="AF39" s="1" t="s">
        <v>74</v>
      </c>
      <c r="AG39" s="1" t="s">
        <v>74</v>
      </c>
      <c r="AH39" s="1" t="s">
        <v>74</v>
      </c>
      <c r="AI39" s="1" t="s">
        <v>74</v>
      </c>
      <c r="AJ39" s="1" t="s">
        <v>74</v>
      </c>
      <c r="AK39" s="1" t="s">
        <v>74</v>
      </c>
      <c r="AL39" s="1" t="s">
        <v>74</v>
      </c>
      <c r="AM39" s="1" t="s">
        <v>74</v>
      </c>
      <c r="AN39" s="1" t="s">
        <v>74</v>
      </c>
      <c r="AO39" s="1" t="s">
        <v>132</v>
      </c>
      <c r="AP39" s="1" t="s">
        <v>133</v>
      </c>
      <c r="AQ39" s="1" t="s">
        <v>74</v>
      </c>
      <c r="AR39" s="1" t="s">
        <v>74</v>
      </c>
      <c r="AS39" s="1" t="s">
        <v>74</v>
      </c>
      <c r="AT39" s="1" t="s">
        <v>255</v>
      </c>
      <c r="AU39" s="1">
        <v>2003</v>
      </c>
      <c r="AV39" s="1">
        <v>53</v>
      </c>
      <c r="AW39" s="1">
        <v>2</v>
      </c>
      <c r="AX39" s="1" t="s">
        <v>74</v>
      </c>
      <c r="AY39" s="1" t="s">
        <v>74</v>
      </c>
      <c r="AZ39" s="1" t="s">
        <v>74</v>
      </c>
      <c r="BA39" s="1" t="s">
        <v>74</v>
      </c>
      <c r="BB39" s="1">
        <v>116</v>
      </c>
      <c r="BC39" s="1">
        <v>122</v>
      </c>
      <c r="BD39" s="1" t="s">
        <v>74</v>
      </c>
      <c r="BE39" s="1" t="s">
        <v>6767</v>
      </c>
      <c r="BF39" s="1" t="str">
        <f>HYPERLINK("http://dx.doi.org/10.1007/s00265-002-0558-z","http://dx.doi.org/10.1007/s00265-002-0558-z")</f>
        <v>http://dx.doi.org/10.1007/s00265-002-0558-z</v>
      </c>
      <c r="BG39" s="1" t="s">
        <v>74</v>
      </c>
      <c r="BH39" s="1" t="s">
        <v>74</v>
      </c>
      <c r="BI39" s="1" t="s">
        <v>74</v>
      </c>
      <c r="BJ39" s="1" t="s">
        <v>74</v>
      </c>
      <c r="BK39" s="1" t="s">
        <v>74</v>
      </c>
      <c r="BL39" s="1" t="s">
        <v>74</v>
      </c>
      <c r="BM39" s="1" t="s">
        <v>74</v>
      </c>
      <c r="BN39" s="1" t="s">
        <v>74</v>
      </c>
      <c r="BO39" s="1" t="s">
        <v>74</v>
      </c>
      <c r="BP39" s="1" t="s">
        <v>74</v>
      </c>
      <c r="BQ39" s="1" t="s">
        <v>74</v>
      </c>
      <c r="BR39" s="1" t="s">
        <v>74</v>
      </c>
      <c r="BS39" s="1" t="s">
        <v>6768</v>
      </c>
      <c r="BT39" s="1" t="str">
        <f>HYPERLINK("https%3A%2F%2Fwww.webofscience.com%2Fwos%2Fwoscc%2Ffull-record%2FWOS:000180871900007","View Full Record in Web of Science")</f>
        <v>View Full Record in Web of Science</v>
      </c>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row>
    <row r="40" spans="1:314" s="2" customFormat="1" x14ac:dyDescent="0.4">
      <c r="A40" s="1" t="s">
        <v>72</v>
      </c>
      <c r="B40" s="1" t="s">
        <v>2447</v>
      </c>
      <c r="C40" s="1" t="s">
        <v>74</v>
      </c>
      <c r="D40" s="1" t="s">
        <v>74</v>
      </c>
      <c r="E40" s="1" t="s">
        <v>74</v>
      </c>
      <c r="F40" s="1" t="s">
        <v>2448</v>
      </c>
      <c r="G40" s="1" t="s">
        <v>74</v>
      </c>
      <c r="H40" s="1" t="s">
        <v>74</v>
      </c>
      <c r="I40" s="1" t="s">
        <v>2449</v>
      </c>
      <c r="J40" s="1" t="s">
        <v>218</v>
      </c>
      <c r="K40" s="1" t="s">
        <v>74</v>
      </c>
      <c r="L40" s="1" t="s">
        <v>74</v>
      </c>
      <c r="M40" s="1" t="s">
        <v>74</v>
      </c>
      <c r="N40" s="1" t="s">
        <v>74</v>
      </c>
      <c r="O40" s="1" t="s">
        <v>74</v>
      </c>
      <c r="P40" s="1" t="s">
        <v>74</v>
      </c>
      <c r="Q40" s="1" t="s">
        <v>74</v>
      </c>
      <c r="R40" s="1" t="s">
        <v>74</v>
      </c>
      <c r="S40" s="1" t="s">
        <v>74</v>
      </c>
      <c r="T40" s="1" t="s">
        <v>74</v>
      </c>
      <c r="U40" s="1" t="s">
        <v>74</v>
      </c>
      <c r="V40" s="4" t="s">
        <v>2450</v>
      </c>
      <c r="W40" s="1" t="s">
        <v>74</v>
      </c>
      <c r="X40" s="1" t="s">
        <v>74</v>
      </c>
      <c r="Y40" s="1" t="s">
        <v>74</v>
      </c>
      <c r="Z40" s="1" t="s">
        <v>74</v>
      </c>
      <c r="AA40" s="1" t="s">
        <v>2451</v>
      </c>
      <c r="AB40" s="1" t="s">
        <v>2452</v>
      </c>
      <c r="AC40" s="1" t="s">
        <v>74</v>
      </c>
      <c r="AD40" s="1" t="s">
        <v>74</v>
      </c>
      <c r="AE40" s="1" t="s">
        <v>74</v>
      </c>
      <c r="AF40" s="1" t="s">
        <v>74</v>
      </c>
      <c r="AG40" s="1" t="s">
        <v>74</v>
      </c>
      <c r="AH40" s="1" t="s">
        <v>74</v>
      </c>
      <c r="AI40" s="1" t="s">
        <v>74</v>
      </c>
      <c r="AJ40" s="1" t="s">
        <v>74</v>
      </c>
      <c r="AK40" s="1" t="s">
        <v>74</v>
      </c>
      <c r="AL40" s="1" t="s">
        <v>74</v>
      </c>
      <c r="AM40" s="1" t="s">
        <v>74</v>
      </c>
      <c r="AN40" s="1" t="s">
        <v>74</v>
      </c>
      <c r="AO40" s="1" t="s">
        <v>221</v>
      </c>
      <c r="AP40" s="1" t="s">
        <v>222</v>
      </c>
      <c r="AQ40" s="1" t="s">
        <v>74</v>
      </c>
      <c r="AR40" s="1" t="s">
        <v>74</v>
      </c>
      <c r="AS40" s="1" t="s">
        <v>74</v>
      </c>
      <c r="AT40" s="1" t="s">
        <v>213</v>
      </c>
      <c r="AU40" s="1">
        <v>2016</v>
      </c>
      <c r="AV40" s="1">
        <v>29</v>
      </c>
      <c r="AW40" s="1">
        <v>11</v>
      </c>
      <c r="AX40" s="1" t="s">
        <v>74</v>
      </c>
      <c r="AY40" s="1" t="s">
        <v>74</v>
      </c>
      <c r="AZ40" s="1" t="s">
        <v>74</v>
      </c>
      <c r="BA40" s="1" t="s">
        <v>74</v>
      </c>
      <c r="BB40" s="1">
        <v>2256</v>
      </c>
      <c r="BC40" s="1">
        <v>2265</v>
      </c>
      <c r="BD40" s="1" t="s">
        <v>74</v>
      </c>
      <c r="BE40" s="1" t="s">
        <v>2453</v>
      </c>
      <c r="BF40" s="1" t="str">
        <f>HYPERLINK("http://dx.doi.org/10.1111/jeb.12953","http://dx.doi.org/10.1111/jeb.12953")</f>
        <v>http://dx.doi.org/10.1111/jeb.12953</v>
      </c>
      <c r="BG40" s="1" t="s">
        <v>74</v>
      </c>
      <c r="BH40" s="1" t="s">
        <v>74</v>
      </c>
      <c r="BI40" s="1" t="s">
        <v>74</v>
      </c>
      <c r="BJ40" s="1" t="s">
        <v>74</v>
      </c>
      <c r="BK40" s="1" t="s">
        <v>74</v>
      </c>
      <c r="BL40" s="1" t="s">
        <v>74</v>
      </c>
      <c r="BM40" s="1" t="s">
        <v>74</v>
      </c>
      <c r="BN40" s="1">
        <v>27467980</v>
      </c>
      <c r="BO40" s="1" t="s">
        <v>74</v>
      </c>
      <c r="BP40" s="1" t="s">
        <v>74</v>
      </c>
      <c r="BQ40" s="1" t="s">
        <v>74</v>
      </c>
      <c r="BR40" s="1" t="s">
        <v>74</v>
      </c>
      <c r="BS40" s="1" t="s">
        <v>2454</v>
      </c>
      <c r="BT40" s="1" t="str">
        <f>HYPERLINK("https%3A%2F%2Fwww.webofscience.com%2Fwos%2Fwoscc%2Ffull-record%2FWOS:000388312300013","View Full Record in Web of Science")</f>
        <v>View Full Record in Web of Science</v>
      </c>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row>
    <row r="41" spans="1:314" s="2" customFormat="1" x14ac:dyDescent="0.4">
      <c r="A41" s="1" t="s">
        <v>72</v>
      </c>
      <c r="B41" s="1" t="s">
        <v>4710</v>
      </c>
      <c r="C41" s="1" t="s">
        <v>74</v>
      </c>
      <c r="D41" s="1" t="s">
        <v>74</v>
      </c>
      <c r="E41" s="1" t="s">
        <v>74</v>
      </c>
      <c r="F41" s="1" t="s">
        <v>4711</v>
      </c>
      <c r="G41" s="1" t="s">
        <v>74</v>
      </c>
      <c r="H41" s="1" t="s">
        <v>74</v>
      </c>
      <c r="I41" s="1" t="s">
        <v>4712</v>
      </c>
      <c r="J41" s="1" t="s">
        <v>1112</v>
      </c>
      <c r="K41" s="1" t="s">
        <v>74</v>
      </c>
      <c r="L41" s="1" t="s">
        <v>74</v>
      </c>
      <c r="M41" s="1" t="s">
        <v>74</v>
      </c>
      <c r="N41" s="1" t="s">
        <v>74</v>
      </c>
      <c r="O41" s="1" t="s">
        <v>74</v>
      </c>
      <c r="P41" s="1" t="s">
        <v>74</v>
      </c>
      <c r="Q41" s="1" t="s">
        <v>74</v>
      </c>
      <c r="R41" s="1" t="s">
        <v>74</v>
      </c>
      <c r="S41" s="1" t="s">
        <v>74</v>
      </c>
      <c r="T41" s="1" t="s">
        <v>74</v>
      </c>
      <c r="U41" s="1" t="s">
        <v>74</v>
      </c>
      <c r="V41" s="4" t="s">
        <v>4713</v>
      </c>
      <c r="W41" s="1" t="s">
        <v>74</v>
      </c>
      <c r="X41" s="1" t="s">
        <v>74</v>
      </c>
      <c r="Y41" s="1" t="s">
        <v>74</v>
      </c>
      <c r="Z41" s="1" t="s">
        <v>74</v>
      </c>
      <c r="AA41" s="1" t="s">
        <v>4714</v>
      </c>
      <c r="AB41" s="1" t="s">
        <v>4715</v>
      </c>
      <c r="AC41" s="1" t="s">
        <v>74</v>
      </c>
      <c r="AD41" s="1" t="s">
        <v>74</v>
      </c>
      <c r="AE41" s="1" t="s">
        <v>74</v>
      </c>
      <c r="AF41" s="1" t="s">
        <v>74</v>
      </c>
      <c r="AG41" s="1" t="s">
        <v>74</v>
      </c>
      <c r="AH41" s="1" t="s">
        <v>74</v>
      </c>
      <c r="AI41" s="1" t="s">
        <v>74</v>
      </c>
      <c r="AJ41" s="1" t="s">
        <v>74</v>
      </c>
      <c r="AK41" s="1" t="s">
        <v>74</v>
      </c>
      <c r="AL41" s="1" t="s">
        <v>74</v>
      </c>
      <c r="AM41" s="1" t="s">
        <v>74</v>
      </c>
      <c r="AN41" s="1" t="s">
        <v>74</v>
      </c>
      <c r="AO41" s="1" t="s">
        <v>1114</v>
      </c>
      <c r="AP41" s="1" t="s">
        <v>74</v>
      </c>
      <c r="AQ41" s="1" t="s">
        <v>74</v>
      </c>
      <c r="AR41" s="1" t="s">
        <v>74</v>
      </c>
      <c r="AS41" s="1" t="s">
        <v>74</v>
      </c>
      <c r="AT41" s="1" t="s">
        <v>4716</v>
      </c>
      <c r="AU41" s="1">
        <v>2011</v>
      </c>
      <c r="AV41" s="1">
        <v>135</v>
      </c>
      <c r="AW41" s="1">
        <v>4</v>
      </c>
      <c r="AX41" s="1" t="s">
        <v>74</v>
      </c>
      <c r="AY41" s="1" t="s">
        <v>74</v>
      </c>
      <c r="AZ41" s="1" t="s">
        <v>74</v>
      </c>
      <c r="BA41" s="1" t="s">
        <v>74</v>
      </c>
      <c r="BB41" s="1">
        <v>293</v>
      </c>
      <c r="BC41" s="1">
        <v>299</v>
      </c>
      <c r="BD41" s="1" t="s">
        <v>74</v>
      </c>
      <c r="BE41" s="1" t="s">
        <v>4717</v>
      </c>
      <c r="BF41" s="1" t="str">
        <f>HYPERLINK("http://dx.doi.org/10.1016/j.applanim.2011.09.011","http://dx.doi.org/10.1016/j.applanim.2011.09.011")</f>
        <v>http://dx.doi.org/10.1016/j.applanim.2011.09.011</v>
      </c>
      <c r="BG41" s="1" t="s">
        <v>74</v>
      </c>
      <c r="BH41" s="1" t="s">
        <v>74</v>
      </c>
      <c r="BI41" s="1" t="s">
        <v>74</v>
      </c>
      <c r="BJ41" s="1" t="s">
        <v>74</v>
      </c>
      <c r="BK41" s="1" t="s">
        <v>74</v>
      </c>
      <c r="BL41" s="1" t="s">
        <v>74</v>
      </c>
      <c r="BM41" s="1" t="s">
        <v>74</v>
      </c>
      <c r="BN41" s="1" t="s">
        <v>74</v>
      </c>
      <c r="BO41" s="1" t="s">
        <v>74</v>
      </c>
      <c r="BP41" s="1" t="s">
        <v>74</v>
      </c>
      <c r="BQ41" s="1" t="s">
        <v>74</v>
      </c>
      <c r="BR41" s="1" t="s">
        <v>74</v>
      </c>
      <c r="BS41" s="1" t="s">
        <v>4718</v>
      </c>
      <c r="BT41" s="1" t="str">
        <f>HYPERLINK("https%3A%2F%2Fwww.webofscience.com%2Fwos%2Fwoscc%2Ffull-record%2FWOS:000298775100005","View Full Record in Web of Science")</f>
        <v>View Full Record in Web of Science</v>
      </c>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row>
    <row r="42" spans="1:314" s="2" customFormat="1" x14ac:dyDescent="0.4">
      <c r="A42" s="1" t="s">
        <v>72</v>
      </c>
      <c r="B42" s="1" t="s">
        <v>6919</v>
      </c>
      <c r="C42" s="1" t="s">
        <v>74</v>
      </c>
      <c r="D42" s="1" t="s">
        <v>74</v>
      </c>
      <c r="E42" s="1" t="s">
        <v>74</v>
      </c>
      <c r="F42" s="1" t="s">
        <v>6919</v>
      </c>
      <c r="G42" s="1" t="s">
        <v>74</v>
      </c>
      <c r="H42" s="1" t="s">
        <v>74</v>
      </c>
      <c r="I42" s="1" t="s">
        <v>6920</v>
      </c>
      <c r="J42" s="1" t="s">
        <v>140</v>
      </c>
      <c r="K42" s="1" t="s">
        <v>74</v>
      </c>
      <c r="L42" s="1" t="s">
        <v>74</v>
      </c>
      <c r="M42" s="1" t="s">
        <v>74</v>
      </c>
      <c r="N42" s="1" t="s">
        <v>74</v>
      </c>
      <c r="O42" s="1" t="s">
        <v>74</v>
      </c>
      <c r="P42" s="1" t="s">
        <v>74</v>
      </c>
      <c r="Q42" s="1" t="s">
        <v>74</v>
      </c>
      <c r="R42" s="1" t="s">
        <v>74</v>
      </c>
      <c r="S42" s="1" t="s">
        <v>74</v>
      </c>
      <c r="T42" s="1" t="s">
        <v>74</v>
      </c>
      <c r="U42" s="1" t="s">
        <v>74</v>
      </c>
      <c r="V42" s="4" t="s">
        <v>6921</v>
      </c>
      <c r="W42" s="1" t="s">
        <v>74</v>
      </c>
      <c r="X42" s="1" t="s">
        <v>74</v>
      </c>
      <c r="Y42" s="1" t="s">
        <v>74</v>
      </c>
      <c r="Z42" s="1" t="s">
        <v>74</v>
      </c>
      <c r="AA42" s="1" t="s">
        <v>1295</v>
      </c>
      <c r="AB42" s="1" t="s">
        <v>6922</v>
      </c>
      <c r="AC42" s="1" t="s">
        <v>74</v>
      </c>
      <c r="AD42" s="1" t="s">
        <v>74</v>
      </c>
      <c r="AE42" s="1" t="s">
        <v>74</v>
      </c>
      <c r="AF42" s="1" t="s">
        <v>74</v>
      </c>
      <c r="AG42" s="1" t="s">
        <v>74</v>
      </c>
      <c r="AH42" s="1" t="s">
        <v>74</v>
      </c>
      <c r="AI42" s="1" t="s">
        <v>74</v>
      </c>
      <c r="AJ42" s="1" t="s">
        <v>74</v>
      </c>
      <c r="AK42" s="1" t="s">
        <v>74</v>
      </c>
      <c r="AL42" s="1" t="s">
        <v>74</v>
      </c>
      <c r="AM42" s="1" t="s">
        <v>74</v>
      </c>
      <c r="AN42" s="1" t="s">
        <v>74</v>
      </c>
      <c r="AO42" s="1" t="s">
        <v>143</v>
      </c>
      <c r="AP42" s="1" t="s">
        <v>144</v>
      </c>
      <c r="AQ42" s="1" t="s">
        <v>74</v>
      </c>
      <c r="AR42" s="1" t="s">
        <v>74</v>
      </c>
      <c r="AS42" s="1" t="s">
        <v>74</v>
      </c>
      <c r="AT42" s="1" t="s">
        <v>305</v>
      </c>
      <c r="AU42" s="1">
        <v>1999</v>
      </c>
      <c r="AV42" s="1">
        <v>58</v>
      </c>
      <c r="AW42" s="1" t="s">
        <v>74</v>
      </c>
      <c r="AX42" s="1">
        <v>6</v>
      </c>
      <c r="AY42" s="1" t="s">
        <v>74</v>
      </c>
      <c r="AZ42" s="1" t="s">
        <v>74</v>
      </c>
      <c r="BA42" s="1" t="s">
        <v>74</v>
      </c>
      <c r="BB42" s="1">
        <v>1269</v>
      </c>
      <c r="BC42" s="1">
        <v>1276</v>
      </c>
      <c r="BD42" s="1" t="s">
        <v>74</v>
      </c>
      <c r="BE42" s="1" t="s">
        <v>6923</v>
      </c>
      <c r="BF42" s="1" t="str">
        <f>HYPERLINK("http://dx.doi.org/10.1006/anbe.1999.1260","http://dx.doi.org/10.1006/anbe.1999.1260")</f>
        <v>http://dx.doi.org/10.1006/anbe.1999.1260</v>
      </c>
      <c r="BG42" s="1" t="s">
        <v>74</v>
      </c>
      <c r="BH42" s="1" t="s">
        <v>74</v>
      </c>
      <c r="BI42" s="1" t="s">
        <v>74</v>
      </c>
      <c r="BJ42" s="1" t="s">
        <v>74</v>
      </c>
      <c r="BK42" s="1" t="s">
        <v>74</v>
      </c>
      <c r="BL42" s="1" t="s">
        <v>74</v>
      </c>
      <c r="BM42" s="1" t="s">
        <v>74</v>
      </c>
      <c r="BN42" s="1">
        <v>10600149</v>
      </c>
      <c r="BO42" s="1" t="s">
        <v>74</v>
      </c>
      <c r="BP42" s="1" t="s">
        <v>74</v>
      </c>
      <c r="BQ42" s="1" t="s">
        <v>74</v>
      </c>
      <c r="BR42" s="1" t="s">
        <v>74</v>
      </c>
      <c r="BS42" s="1" t="s">
        <v>6924</v>
      </c>
      <c r="BT42" s="1" t="str">
        <f>HYPERLINK("https%3A%2F%2Fwww.webofscience.com%2Fwos%2Fwoscc%2Ffull-record%2FWOS:000085094300014","View Full Record in Web of Science")</f>
        <v>View Full Record in Web of Science</v>
      </c>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row>
    <row r="43" spans="1:314" s="2" customFormat="1" x14ac:dyDescent="0.4">
      <c r="A43" s="1" t="s">
        <v>72</v>
      </c>
      <c r="B43" s="1" t="s">
        <v>3008</v>
      </c>
      <c r="C43" s="1" t="s">
        <v>74</v>
      </c>
      <c r="D43" s="1" t="s">
        <v>74</v>
      </c>
      <c r="E43" s="1" t="s">
        <v>74</v>
      </c>
      <c r="F43" s="1" t="s">
        <v>3009</v>
      </c>
      <c r="G43" s="1" t="s">
        <v>74</v>
      </c>
      <c r="H43" s="1" t="s">
        <v>74</v>
      </c>
      <c r="I43" s="1" t="s">
        <v>3010</v>
      </c>
      <c r="J43" s="1" t="s">
        <v>610</v>
      </c>
      <c r="K43" s="1" t="s">
        <v>74</v>
      </c>
      <c r="L43" s="1" t="s">
        <v>74</v>
      </c>
      <c r="M43" s="1" t="s">
        <v>74</v>
      </c>
      <c r="N43" s="1" t="s">
        <v>74</v>
      </c>
      <c r="O43" s="1" t="s">
        <v>74</v>
      </c>
      <c r="P43" s="1" t="s">
        <v>74</v>
      </c>
      <c r="Q43" s="1" t="s">
        <v>74</v>
      </c>
      <c r="R43" s="1" t="s">
        <v>74</v>
      </c>
      <c r="S43" s="1" t="s">
        <v>74</v>
      </c>
      <c r="T43" s="1" t="s">
        <v>74</v>
      </c>
      <c r="U43" s="1" t="s">
        <v>74</v>
      </c>
      <c r="V43" s="4" t="s">
        <v>3011</v>
      </c>
      <c r="W43" s="1" t="s">
        <v>74</v>
      </c>
      <c r="X43" s="1" t="s">
        <v>74</v>
      </c>
      <c r="Y43" s="1" t="s">
        <v>74</v>
      </c>
      <c r="Z43" s="1" t="s">
        <v>74</v>
      </c>
      <c r="AA43" s="1" t="s">
        <v>3012</v>
      </c>
      <c r="AB43" s="1" t="s">
        <v>3013</v>
      </c>
      <c r="AC43" s="1" t="s">
        <v>74</v>
      </c>
      <c r="AD43" s="1" t="s">
        <v>74</v>
      </c>
      <c r="AE43" s="1" t="s">
        <v>74</v>
      </c>
      <c r="AF43" s="1" t="s">
        <v>74</v>
      </c>
      <c r="AG43" s="1" t="s">
        <v>74</v>
      </c>
      <c r="AH43" s="1" t="s">
        <v>74</v>
      </c>
      <c r="AI43" s="1" t="s">
        <v>74</v>
      </c>
      <c r="AJ43" s="1" t="s">
        <v>74</v>
      </c>
      <c r="AK43" s="1" t="s">
        <v>74</v>
      </c>
      <c r="AL43" s="1" t="s">
        <v>74</v>
      </c>
      <c r="AM43" s="1" t="s">
        <v>74</v>
      </c>
      <c r="AN43" s="1" t="s">
        <v>74</v>
      </c>
      <c r="AO43" s="1" t="s">
        <v>614</v>
      </c>
      <c r="AP43" s="1" t="s">
        <v>615</v>
      </c>
      <c r="AQ43" s="1" t="s">
        <v>74</v>
      </c>
      <c r="AR43" s="1" t="s">
        <v>74</v>
      </c>
      <c r="AS43" s="1" t="s">
        <v>74</v>
      </c>
      <c r="AT43" s="1" t="s">
        <v>123</v>
      </c>
      <c r="AU43" s="1">
        <v>2015</v>
      </c>
      <c r="AV43" s="1">
        <v>121</v>
      </c>
      <c r="AW43" s="1">
        <v>3</v>
      </c>
      <c r="AX43" s="1" t="s">
        <v>74</v>
      </c>
      <c r="AY43" s="1" t="s">
        <v>74</v>
      </c>
      <c r="AZ43" s="1" t="s">
        <v>74</v>
      </c>
      <c r="BA43" s="1" t="s">
        <v>74</v>
      </c>
      <c r="BB43" s="1">
        <v>300</v>
      </c>
      <c r="BC43" s="1">
        <v>307</v>
      </c>
      <c r="BD43" s="1" t="s">
        <v>74</v>
      </c>
      <c r="BE43" s="1" t="s">
        <v>3014</v>
      </c>
      <c r="BF43" s="1" t="str">
        <f>HYPERLINK("http://dx.doi.org/10.1111/eth.12339","http://dx.doi.org/10.1111/eth.12339")</f>
        <v>http://dx.doi.org/10.1111/eth.12339</v>
      </c>
      <c r="BG43" s="1" t="s">
        <v>74</v>
      </c>
      <c r="BH43" s="1" t="s">
        <v>74</v>
      </c>
      <c r="BI43" s="1" t="s">
        <v>74</v>
      </c>
      <c r="BJ43" s="1" t="s">
        <v>74</v>
      </c>
      <c r="BK43" s="1" t="s">
        <v>74</v>
      </c>
      <c r="BL43" s="1" t="s">
        <v>74</v>
      </c>
      <c r="BM43" s="1" t="s">
        <v>74</v>
      </c>
      <c r="BN43" s="1" t="s">
        <v>74</v>
      </c>
      <c r="BO43" s="1" t="s">
        <v>74</v>
      </c>
      <c r="BP43" s="1" t="s">
        <v>74</v>
      </c>
      <c r="BQ43" s="1" t="s">
        <v>74</v>
      </c>
      <c r="BR43" s="1" t="s">
        <v>74</v>
      </c>
      <c r="BS43" s="1" t="s">
        <v>3015</v>
      </c>
      <c r="BT43" s="1" t="str">
        <f>HYPERLINK("https%3A%2F%2Fwww.webofscience.com%2Fwos%2Fwoscc%2Ffull-record%2FWOS:000348908100009","View Full Record in Web of Science")</f>
        <v>View Full Record in Web of Science</v>
      </c>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row>
    <row r="44" spans="1:314" s="2" customFormat="1" x14ac:dyDescent="0.4">
      <c r="A44" s="1" t="s">
        <v>72</v>
      </c>
      <c r="B44" s="1" t="s">
        <v>2429</v>
      </c>
      <c r="C44" s="1" t="s">
        <v>74</v>
      </c>
      <c r="D44" s="1" t="s">
        <v>74</v>
      </c>
      <c r="E44" s="1" t="s">
        <v>74</v>
      </c>
      <c r="F44" s="1" t="s">
        <v>2429</v>
      </c>
      <c r="G44" s="1" t="s">
        <v>74</v>
      </c>
      <c r="H44" s="1" t="s">
        <v>74</v>
      </c>
      <c r="I44" s="1" t="s">
        <v>3771</v>
      </c>
      <c r="J44" s="1" t="s">
        <v>1112</v>
      </c>
      <c r="K44" s="1" t="s">
        <v>74</v>
      </c>
      <c r="L44" s="1" t="s">
        <v>74</v>
      </c>
      <c r="M44" s="1" t="s">
        <v>74</v>
      </c>
      <c r="N44" s="1" t="s">
        <v>74</v>
      </c>
      <c r="O44" s="1" t="s">
        <v>74</v>
      </c>
      <c r="P44" s="1" t="s">
        <v>74</v>
      </c>
      <c r="Q44" s="1" t="s">
        <v>74</v>
      </c>
      <c r="R44" s="1" t="s">
        <v>74</v>
      </c>
      <c r="S44" s="1" t="s">
        <v>74</v>
      </c>
      <c r="T44" s="1" t="s">
        <v>74</v>
      </c>
      <c r="U44" s="1" t="s">
        <v>74</v>
      </c>
      <c r="V44" s="4" t="s">
        <v>3772</v>
      </c>
      <c r="W44" s="1" t="s">
        <v>74</v>
      </c>
      <c r="X44" s="1" t="s">
        <v>74</v>
      </c>
      <c r="Y44" s="1" t="s">
        <v>74</v>
      </c>
      <c r="Z44" s="1" t="s">
        <v>74</v>
      </c>
      <c r="AA44" s="1" t="s">
        <v>805</v>
      </c>
      <c r="AB44" s="1" t="s">
        <v>2432</v>
      </c>
      <c r="AC44" s="1" t="s">
        <v>74</v>
      </c>
      <c r="AD44" s="1" t="s">
        <v>74</v>
      </c>
      <c r="AE44" s="1" t="s">
        <v>74</v>
      </c>
      <c r="AF44" s="1" t="s">
        <v>74</v>
      </c>
      <c r="AG44" s="1" t="s">
        <v>74</v>
      </c>
      <c r="AH44" s="1" t="s">
        <v>74</v>
      </c>
      <c r="AI44" s="1" t="s">
        <v>74</v>
      </c>
      <c r="AJ44" s="1" t="s">
        <v>74</v>
      </c>
      <c r="AK44" s="1" t="s">
        <v>74</v>
      </c>
      <c r="AL44" s="1" t="s">
        <v>74</v>
      </c>
      <c r="AM44" s="1" t="s">
        <v>74</v>
      </c>
      <c r="AN44" s="1" t="s">
        <v>74</v>
      </c>
      <c r="AO44" s="1" t="s">
        <v>1114</v>
      </c>
      <c r="AP44" s="1" t="s">
        <v>74</v>
      </c>
      <c r="AQ44" s="1" t="s">
        <v>74</v>
      </c>
      <c r="AR44" s="1" t="s">
        <v>74</v>
      </c>
      <c r="AS44" s="1" t="s">
        <v>74</v>
      </c>
      <c r="AT44" s="1" t="s">
        <v>633</v>
      </c>
      <c r="AU44" s="1">
        <v>1996</v>
      </c>
      <c r="AV44" s="1">
        <v>47</v>
      </c>
      <c r="AW44" s="1" t="s">
        <v>548</v>
      </c>
      <c r="AX44" s="1" t="s">
        <v>74</v>
      </c>
      <c r="AY44" s="1" t="s">
        <v>74</v>
      </c>
      <c r="AZ44" s="1" t="s">
        <v>74</v>
      </c>
      <c r="BA44" s="1" t="s">
        <v>74</v>
      </c>
      <c r="BB44" s="1">
        <v>75</v>
      </c>
      <c r="BC44" s="1">
        <v>89</v>
      </c>
      <c r="BD44" s="1" t="s">
        <v>74</v>
      </c>
      <c r="BE44" s="1" t="s">
        <v>3773</v>
      </c>
      <c r="BF44" s="1" t="str">
        <f>HYPERLINK("http://dx.doi.org/10.1016/0168-1591(95)01012-2","http://dx.doi.org/10.1016/0168-1591(95)01012-2")</f>
        <v>http://dx.doi.org/10.1016/0168-1591(95)01012-2</v>
      </c>
      <c r="BG44" s="1" t="s">
        <v>74</v>
      </c>
      <c r="BH44" s="1" t="s">
        <v>74</v>
      </c>
      <c r="BI44" s="1" t="s">
        <v>74</v>
      </c>
      <c r="BJ44" s="1" t="s">
        <v>74</v>
      </c>
      <c r="BK44" s="1" t="s">
        <v>74</v>
      </c>
      <c r="BL44" s="1" t="s">
        <v>74</v>
      </c>
      <c r="BM44" s="1" t="s">
        <v>74</v>
      </c>
      <c r="BN44" s="1" t="s">
        <v>74</v>
      </c>
      <c r="BO44" s="1" t="s">
        <v>74</v>
      </c>
      <c r="BP44" s="1" t="s">
        <v>74</v>
      </c>
      <c r="BQ44" s="1" t="s">
        <v>74</v>
      </c>
      <c r="BR44" s="1" t="s">
        <v>74</v>
      </c>
      <c r="BS44" s="1" t="s">
        <v>3774</v>
      </c>
      <c r="BT44" s="1" t="str">
        <f>HYPERLINK("https%3A%2F%2Fwww.webofscience.com%2Fwos%2Fwoscc%2Ffull-record%2FWOS:A1996UR65000008","View Full Record in Web of Science")</f>
        <v>View Full Record in Web of Science</v>
      </c>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row>
    <row r="45" spans="1:314" s="2" customFormat="1" x14ac:dyDescent="0.4">
      <c r="A45" s="1" t="s">
        <v>72</v>
      </c>
      <c r="B45" s="1" t="s">
        <v>1153</v>
      </c>
      <c r="C45" s="1" t="s">
        <v>74</v>
      </c>
      <c r="D45" s="1" t="s">
        <v>74</v>
      </c>
      <c r="E45" s="1" t="s">
        <v>74</v>
      </c>
      <c r="F45" s="1" t="s">
        <v>1154</v>
      </c>
      <c r="G45" s="1" t="s">
        <v>74</v>
      </c>
      <c r="H45" s="1" t="s">
        <v>74</v>
      </c>
      <c r="I45" s="1" t="s">
        <v>1155</v>
      </c>
      <c r="J45" s="1" t="s">
        <v>312</v>
      </c>
      <c r="K45" s="1" t="s">
        <v>74</v>
      </c>
      <c r="L45" s="1" t="s">
        <v>74</v>
      </c>
      <c r="M45" s="1" t="s">
        <v>74</v>
      </c>
      <c r="N45" s="1" t="s">
        <v>74</v>
      </c>
      <c r="O45" s="1" t="s">
        <v>74</v>
      </c>
      <c r="P45" s="1" t="s">
        <v>74</v>
      </c>
      <c r="Q45" s="1" t="s">
        <v>74</v>
      </c>
      <c r="R45" s="1" t="s">
        <v>74</v>
      </c>
      <c r="S45" s="1" t="s">
        <v>74</v>
      </c>
      <c r="T45" s="1" t="s">
        <v>74</v>
      </c>
      <c r="U45" s="1" t="s">
        <v>74</v>
      </c>
      <c r="V45" s="4" t="s">
        <v>1156</v>
      </c>
      <c r="W45" s="1" t="s">
        <v>74</v>
      </c>
      <c r="X45" s="1" t="s">
        <v>74</v>
      </c>
      <c r="Y45" s="1" t="s">
        <v>74</v>
      </c>
      <c r="Z45" s="1" t="s">
        <v>74</v>
      </c>
      <c r="AA45" s="1" t="s">
        <v>433</v>
      </c>
      <c r="AB45" s="1" t="s">
        <v>434</v>
      </c>
      <c r="AC45" s="1" t="s">
        <v>74</v>
      </c>
      <c r="AD45" s="1" t="s">
        <v>74</v>
      </c>
      <c r="AE45" s="1" t="s">
        <v>74</v>
      </c>
      <c r="AF45" s="1" t="s">
        <v>74</v>
      </c>
      <c r="AG45" s="1" t="s">
        <v>74</v>
      </c>
      <c r="AH45" s="1" t="s">
        <v>74</v>
      </c>
      <c r="AI45" s="1" t="s">
        <v>74</v>
      </c>
      <c r="AJ45" s="1" t="s">
        <v>74</v>
      </c>
      <c r="AK45" s="1" t="s">
        <v>74</v>
      </c>
      <c r="AL45" s="1" t="s">
        <v>74</v>
      </c>
      <c r="AM45" s="1" t="s">
        <v>74</v>
      </c>
      <c r="AN45" s="1" t="s">
        <v>74</v>
      </c>
      <c r="AO45" s="1" t="s">
        <v>314</v>
      </c>
      <c r="AP45" s="1" t="s">
        <v>315</v>
      </c>
      <c r="AQ45" s="1" t="s">
        <v>74</v>
      </c>
      <c r="AR45" s="1" t="s">
        <v>74</v>
      </c>
      <c r="AS45" s="1" t="s">
        <v>74</v>
      </c>
      <c r="AT45" s="1" t="s">
        <v>175</v>
      </c>
      <c r="AU45" s="1">
        <v>2009</v>
      </c>
      <c r="AV45" s="1">
        <v>174</v>
      </c>
      <c r="AW45" s="1">
        <v>4</v>
      </c>
      <c r="AX45" s="1" t="s">
        <v>74</v>
      </c>
      <c r="AY45" s="1" t="s">
        <v>74</v>
      </c>
      <c r="AZ45" s="1" t="s">
        <v>74</v>
      </c>
      <c r="BA45" s="1" t="s">
        <v>74</v>
      </c>
      <c r="BB45" s="1">
        <v>455</v>
      </c>
      <c r="BC45" s="1">
        <v>464</v>
      </c>
      <c r="BD45" s="1" t="s">
        <v>74</v>
      </c>
      <c r="BE45" s="1" t="s">
        <v>1157</v>
      </c>
      <c r="BF45" s="1" t="str">
        <f>HYPERLINK("http://dx.doi.org/10.1086/605376","http://dx.doi.org/10.1086/605376")</f>
        <v>http://dx.doi.org/10.1086/605376</v>
      </c>
      <c r="BG45" s="1" t="s">
        <v>74</v>
      </c>
      <c r="BH45" s="1" t="s">
        <v>74</v>
      </c>
      <c r="BI45" s="1" t="s">
        <v>74</v>
      </c>
      <c r="BJ45" s="1" t="s">
        <v>74</v>
      </c>
      <c r="BK45" s="1" t="s">
        <v>74</v>
      </c>
      <c r="BL45" s="1" t="s">
        <v>74</v>
      </c>
      <c r="BM45" s="1" t="s">
        <v>74</v>
      </c>
      <c r="BN45" s="1">
        <v>19689213</v>
      </c>
      <c r="BO45" s="1" t="s">
        <v>74</v>
      </c>
      <c r="BP45" s="1" t="s">
        <v>74</v>
      </c>
      <c r="BQ45" s="1" t="s">
        <v>74</v>
      </c>
      <c r="BR45" s="1" t="s">
        <v>74</v>
      </c>
      <c r="BS45" s="1" t="s">
        <v>1158</v>
      </c>
      <c r="BT45" s="1" t="str">
        <f>HYPERLINK("https%3A%2F%2Fwww.webofscience.com%2Fwos%2Fwoscc%2Ffull-record%2FWOS:000269824800004","View Full Record in Web of Science")</f>
        <v>View Full Record in Web of Science</v>
      </c>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row>
    <row r="46" spans="1:314" s="2" customFormat="1" x14ac:dyDescent="0.4">
      <c r="A46" s="1" t="s">
        <v>72</v>
      </c>
      <c r="B46" s="1" t="s">
        <v>1836</v>
      </c>
      <c r="C46" s="1" t="s">
        <v>74</v>
      </c>
      <c r="D46" s="1" t="s">
        <v>74</v>
      </c>
      <c r="E46" s="1" t="s">
        <v>74</v>
      </c>
      <c r="F46" s="1" t="s">
        <v>1836</v>
      </c>
      <c r="G46" s="1" t="s">
        <v>74</v>
      </c>
      <c r="H46" s="1" t="s">
        <v>74</v>
      </c>
      <c r="I46" s="1" t="s">
        <v>1837</v>
      </c>
      <c r="J46" s="1" t="s">
        <v>140</v>
      </c>
      <c r="K46" s="1" t="s">
        <v>74</v>
      </c>
      <c r="L46" s="1" t="s">
        <v>74</v>
      </c>
      <c r="M46" s="1" t="s">
        <v>74</v>
      </c>
      <c r="N46" s="1" t="s">
        <v>74</v>
      </c>
      <c r="O46" s="1" t="s">
        <v>74</v>
      </c>
      <c r="P46" s="1" t="s">
        <v>74</v>
      </c>
      <c r="Q46" s="1" t="s">
        <v>74</v>
      </c>
      <c r="R46" s="1" t="s">
        <v>74</v>
      </c>
      <c r="S46" s="1" t="s">
        <v>74</v>
      </c>
      <c r="T46" s="1" t="s">
        <v>74</v>
      </c>
      <c r="U46" s="1" t="s">
        <v>74</v>
      </c>
      <c r="V46" s="4" t="s">
        <v>1838</v>
      </c>
      <c r="W46" s="1" t="s">
        <v>74</v>
      </c>
      <c r="X46" s="1" t="s">
        <v>74</v>
      </c>
      <c r="Y46" s="1" t="s">
        <v>74</v>
      </c>
      <c r="Z46" s="1" t="s">
        <v>74</v>
      </c>
      <c r="AA46" s="1" t="s">
        <v>1839</v>
      </c>
      <c r="AB46" s="1" t="s">
        <v>1840</v>
      </c>
      <c r="AC46" s="1" t="s">
        <v>74</v>
      </c>
      <c r="AD46" s="1" t="s">
        <v>74</v>
      </c>
      <c r="AE46" s="1" t="s">
        <v>74</v>
      </c>
      <c r="AF46" s="1" t="s">
        <v>74</v>
      </c>
      <c r="AG46" s="1" t="s">
        <v>74</v>
      </c>
      <c r="AH46" s="1" t="s">
        <v>74</v>
      </c>
      <c r="AI46" s="1" t="s">
        <v>74</v>
      </c>
      <c r="AJ46" s="1" t="s">
        <v>74</v>
      </c>
      <c r="AK46" s="1" t="s">
        <v>74</v>
      </c>
      <c r="AL46" s="1" t="s">
        <v>74</v>
      </c>
      <c r="AM46" s="1" t="s">
        <v>74</v>
      </c>
      <c r="AN46" s="1" t="s">
        <v>74</v>
      </c>
      <c r="AO46" s="1" t="s">
        <v>143</v>
      </c>
      <c r="AP46" s="1" t="s">
        <v>144</v>
      </c>
      <c r="AQ46" s="1" t="s">
        <v>74</v>
      </c>
      <c r="AR46" s="1" t="s">
        <v>74</v>
      </c>
      <c r="AS46" s="1" t="s">
        <v>74</v>
      </c>
      <c r="AT46" s="1" t="s">
        <v>175</v>
      </c>
      <c r="AU46" s="1">
        <v>2001</v>
      </c>
      <c r="AV46" s="1">
        <v>62</v>
      </c>
      <c r="AW46" s="1" t="s">
        <v>74</v>
      </c>
      <c r="AX46" s="1">
        <v>4</v>
      </c>
      <c r="AY46" s="1" t="s">
        <v>74</v>
      </c>
      <c r="AZ46" s="1" t="s">
        <v>74</v>
      </c>
      <c r="BA46" s="1" t="s">
        <v>74</v>
      </c>
      <c r="BB46" s="1">
        <v>695</v>
      </c>
      <c r="BC46" s="1">
        <v>704</v>
      </c>
      <c r="BD46" s="1" t="s">
        <v>74</v>
      </c>
      <c r="BE46" s="1" t="s">
        <v>1841</v>
      </c>
      <c r="BF46" s="1" t="str">
        <f>HYPERLINK("http://dx.doi.org/10.1006/anbe.2001.1804","http://dx.doi.org/10.1006/anbe.2001.1804")</f>
        <v>http://dx.doi.org/10.1006/anbe.2001.1804</v>
      </c>
      <c r="BG46" s="1" t="s">
        <v>74</v>
      </c>
      <c r="BH46" s="1" t="s">
        <v>74</v>
      </c>
      <c r="BI46" s="1" t="s">
        <v>74</v>
      </c>
      <c r="BJ46" s="1" t="s">
        <v>74</v>
      </c>
      <c r="BK46" s="1" t="s">
        <v>74</v>
      </c>
      <c r="BL46" s="1" t="s">
        <v>74</v>
      </c>
      <c r="BM46" s="1" t="s">
        <v>74</v>
      </c>
      <c r="BN46" s="1" t="s">
        <v>74</v>
      </c>
      <c r="BO46" s="1" t="s">
        <v>74</v>
      </c>
      <c r="BP46" s="1" t="s">
        <v>74</v>
      </c>
      <c r="BQ46" s="1" t="s">
        <v>74</v>
      </c>
      <c r="BR46" s="1" t="s">
        <v>74</v>
      </c>
      <c r="BS46" s="1" t="s">
        <v>1842</v>
      </c>
      <c r="BT46" s="1" t="str">
        <f>HYPERLINK("https%3A%2F%2Fwww.webofscience.com%2Fwos%2Fwoscc%2Ffull-record%2FWOS:000172189400010","View Full Record in Web of Science")</f>
        <v>View Full Record in Web of Science</v>
      </c>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row>
    <row r="47" spans="1:314" s="2" customFormat="1" x14ac:dyDescent="0.4">
      <c r="A47" s="1" t="s">
        <v>72</v>
      </c>
      <c r="B47" s="1" t="s">
        <v>5549</v>
      </c>
      <c r="C47" s="1" t="s">
        <v>74</v>
      </c>
      <c r="D47" s="1" t="s">
        <v>74</v>
      </c>
      <c r="E47" s="1" t="s">
        <v>74</v>
      </c>
      <c r="F47" s="1" t="s">
        <v>5550</v>
      </c>
      <c r="G47" s="1" t="s">
        <v>74</v>
      </c>
      <c r="H47" s="1" t="s">
        <v>74</v>
      </c>
      <c r="I47" s="1" t="s">
        <v>5551</v>
      </c>
      <c r="J47" s="1" t="s">
        <v>1126</v>
      </c>
      <c r="K47" s="1" t="s">
        <v>74</v>
      </c>
      <c r="L47" s="1" t="s">
        <v>74</v>
      </c>
      <c r="M47" s="1" t="s">
        <v>74</v>
      </c>
      <c r="N47" s="1" t="s">
        <v>74</v>
      </c>
      <c r="O47" s="1" t="s">
        <v>74</v>
      </c>
      <c r="P47" s="1" t="s">
        <v>74</v>
      </c>
      <c r="Q47" s="1" t="s">
        <v>74</v>
      </c>
      <c r="R47" s="1" t="s">
        <v>74</v>
      </c>
      <c r="S47" s="1" t="s">
        <v>74</v>
      </c>
      <c r="T47" s="1" t="s">
        <v>74</v>
      </c>
      <c r="U47" s="1" t="s">
        <v>74</v>
      </c>
      <c r="V47" s="4" t="s">
        <v>5552</v>
      </c>
      <c r="W47" s="1" t="s">
        <v>74</v>
      </c>
      <c r="X47" s="1" t="s">
        <v>74</v>
      </c>
      <c r="Y47" s="1" t="s">
        <v>74</v>
      </c>
      <c r="Z47" s="1" t="s">
        <v>74</v>
      </c>
      <c r="AA47" s="1" t="s">
        <v>74</v>
      </c>
      <c r="AB47" s="1" t="s">
        <v>74</v>
      </c>
      <c r="AC47" s="1" t="s">
        <v>74</v>
      </c>
      <c r="AD47" s="1" t="s">
        <v>74</v>
      </c>
      <c r="AE47" s="1" t="s">
        <v>74</v>
      </c>
      <c r="AF47" s="1" t="s">
        <v>74</v>
      </c>
      <c r="AG47" s="1" t="s">
        <v>74</v>
      </c>
      <c r="AH47" s="1" t="s">
        <v>74</v>
      </c>
      <c r="AI47" s="1" t="s">
        <v>74</v>
      </c>
      <c r="AJ47" s="1" t="s">
        <v>74</v>
      </c>
      <c r="AK47" s="1" t="s">
        <v>74</v>
      </c>
      <c r="AL47" s="1" t="s">
        <v>74</v>
      </c>
      <c r="AM47" s="1" t="s">
        <v>74</v>
      </c>
      <c r="AN47" s="1" t="s">
        <v>74</v>
      </c>
      <c r="AO47" s="1" t="s">
        <v>1128</v>
      </c>
      <c r="AP47" s="1" t="s">
        <v>1129</v>
      </c>
      <c r="AQ47" s="1" t="s">
        <v>74</v>
      </c>
      <c r="AR47" s="1" t="s">
        <v>74</v>
      </c>
      <c r="AS47" s="1" t="s">
        <v>74</v>
      </c>
      <c r="AT47" s="1" t="s">
        <v>305</v>
      </c>
      <c r="AU47" s="1">
        <v>2014</v>
      </c>
      <c r="AV47" s="1" t="s">
        <v>74</v>
      </c>
      <c r="AW47" s="1">
        <v>3</v>
      </c>
      <c r="AX47" s="1" t="s">
        <v>74</v>
      </c>
      <c r="AY47" s="1" t="s">
        <v>74</v>
      </c>
      <c r="AZ47" s="1" t="s">
        <v>74</v>
      </c>
      <c r="BA47" s="1" t="s">
        <v>74</v>
      </c>
      <c r="BB47" s="1">
        <v>481</v>
      </c>
      <c r="BC47" s="1">
        <v>488</v>
      </c>
      <c r="BD47" s="1" t="s">
        <v>74</v>
      </c>
      <c r="BE47" s="1" t="s">
        <v>5553</v>
      </c>
      <c r="BF47" s="1" t="str">
        <f>HYPERLINK("http://dx.doi.org/10.1643/CE-13-154","http://dx.doi.org/10.1643/CE-13-154")</f>
        <v>http://dx.doi.org/10.1643/CE-13-154</v>
      </c>
      <c r="BG47" s="1" t="s">
        <v>74</v>
      </c>
      <c r="BH47" s="1" t="s">
        <v>74</v>
      </c>
      <c r="BI47" s="1" t="s">
        <v>74</v>
      </c>
      <c r="BJ47" s="1" t="s">
        <v>74</v>
      </c>
      <c r="BK47" s="1" t="s">
        <v>74</v>
      </c>
      <c r="BL47" s="1" t="s">
        <v>74</v>
      </c>
      <c r="BM47" s="1" t="s">
        <v>74</v>
      </c>
      <c r="BN47" s="1" t="s">
        <v>74</v>
      </c>
      <c r="BO47" s="1" t="s">
        <v>74</v>
      </c>
      <c r="BP47" s="1" t="s">
        <v>74</v>
      </c>
      <c r="BQ47" s="1" t="s">
        <v>74</v>
      </c>
      <c r="BR47" s="1" t="s">
        <v>74</v>
      </c>
      <c r="BS47" s="1" t="s">
        <v>5554</v>
      </c>
      <c r="BT47" s="1" t="str">
        <f>HYPERLINK("https%3A%2F%2Fwww.webofscience.com%2Fwos%2Fwoscc%2Ffull-record%2FWOS:000348516300003","View Full Record in Web of Science")</f>
        <v>View Full Record in Web of Science</v>
      </c>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row>
    <row r="48" spans="1:314" s="7" customFormat="1" x14ac:dyDescent="0.4">
      <c r="A48" s="1" t="s">
        <v>72</v>
      </c>
      <c r="B48" s="1" t="s">
        <v>4949</v>
      </c>
      <c r="C48" s="1" t="s">
        <v>74</v>
      </c>
      <c r="D48" s="1" t="s">
        <v>74</v>
      </c>
      <c r="E48" s="1" t="s">
        <v>74</v>
      </c>
      <c r="F48" s="1" t="s">
        <v>4950</v>
      </c>
      <c r="G48" s="1" t="s">
        <v>74</v>
      </c>
      <c r="H48" s="1" t="s">
        <v>74</v>
      </c>
      <c r="I48" s="1" t="s">
        <v>4951</v>
      </c>
      <c r="J48" s="1" t="s">
        <v>509</v>
      </c>
      <c r="K48" s="1" t="s">
        <v>74</v>
      </c>
      <c r="L48" s="1" t="s">
        <v>74</v>
      </c>
      <c r="M48" s="1" t="s">
        <v>74</v>
      </c>
      <c r="N48" s="1" t="s">
        <v>74</v>
      </c>
      <c r="O48" s="1" t="s">
        <v>74</v>
      </c>
      <c r="P48" s="1" t="s">
        <v>74</v>
      </c>
      <c r="Q48" s="1" t="s">
        <v>74</v>
      </c>
      <c r="R48" s="1" t="s">
        <v>74</v>
      </c>
      <c r="S48" s="1" t="s">
        <v>74</v>
      </c>
      <c r="T48" s="1" t="s">
        <v>74</v>
      </c>
      <c r="U48" s="1" t="s">
        <v>74</v>
      </c>
      <c r="V48" s="4" t="s">
        <v>4952</v>
      </c>
      <c r="W48" s="1" t="s">
        <v>74</v>
      </c>
      <c r="X48" s="1" t="s">
        <v>74</v>
      </c>
      <c r="Y48" s="1" t="s">
        <v>74</v>
      </c>
      <c r="Z48" s="1" t="s">
        <v>74</v>
      </c>
      <c r="AA48" s="1" t="s">
        <v>4953</v>
      </c>
      <c r="AB48" s="1" t="s">
        <v>4954</v>
      </c>
      <c r="AC48" s="1" t="s">
        <v>74</v>
      </c>
      <c r="AD48" s="1" t="s">
        <v>74</v>
      </c>
      <c r="AE48" s="1" t="s">
        <v>74</v>
      </c>
      <c r="AF48" s="1" t="s">
        <v>74</v>
      </c>
      <c r="AG48" s="1" t="s">
        <v>74</v>
      </c>
      <c r="AH48" s="1" t="s">
        <v>74</v>
      </c>
      <c r="AI48" s="1" t="s">
        <v>74</v>
      </c>
      <c r="AJ48" s="1" t="s">
        <v>74</v>
      </c>
      <c r="AK48" s="1" t="s">
        <v>74</v>
      </c>
      <c r="AL48" s="1" t="s">
        <v>74</v>
      </c>
      <c r="AM48" s="1" t="s">
        <v>74</v>
      </c>
      <c r="AN48" s="1" t="s">
        <v>74</v>
      </c>
      <c r="AO48" s="1" t="s">
        <v>511</v>
      </c>
      <c r="AP48" s="1" t="s">
        <v>74</v>
      </c>
      <c r="AQ48" s="1" t="s">
        <v>74</v>
      </c>
      <c r="AR48" s="1" t="s">
        <v>74</v>
      </c>
      <c r="AS48" s="1" t="s">
        <v>74</v>
      </c>
      <c r="AT48" s="1" t="s">
        <v>633</v>
      </c>
      <c r="AU48" s="1">
        <v>2012</v>
      </c>
      <c r="AV48" s="1">
        <v>61</v>
      </c>
      <c r="AW48" s="1">
        <v>4</v>
      </c>
      <c r="AX48" s="1" t="s">
        <v>74</v>
      </c>
      <c r="AY48" s="1" t="s">
        <v>74</v>
      </c>
      <c r="AZ48" s="1" t="s">
        <v>74</v>
      </c>
      <c r="BA48" s="1" t="s">
        <v>74</v>
      </c>
      <c r="BB48" s="1">
        <v>496</v>
      </c>
      <c r="BC48" s="1">
        <v>503</v>
      </c>
      <c r="BD48" s="1" t="s">
        <v>74</v>
      </c>
      <c r="BE48" s="1" t="s">
        <v>4955</v>
      </c>
      <c r="BF48" s="1" t="str">
        <f>HYPERLINK("http://dx.doi.org/10.1016/j.yhbeh.2012.01.006","http://dx.doi.org/10.1016/j.yhbeh.2012.01.006")</f>
        <v>http://dx.doi.org/10.1016/j.yhbeh.2012.01.006</v>
      </c>
      <c r="BG48" s="1" t="s">
        <v>74</v>
      </c>
      <c r="BH48" s="1" t="s">
        <v>74</v>
      </c>
      <c r="BI48" s="1" t="s">
        <v>74</v>
      </c>
      <c r="BJ48" s="1" t="s">
        <v>74</v>
      </c>
      <c r="BK48" s="1" t="s">
        <v>74</v>
      </c>
      <c r="BL48" s="1" t="s">
        <v>74</v>
      </c>
      <c r="BM48" s="1" t="s">
        <v>74</v>
      </c>
      <c r="BN48" s="1">
        <v>22285646</v>
      </c>
      <c r="BO48" s="1" t="s">
        <v>74</v>
      </c>
      <c r="BP48" s="1" t="s">
        <v>74</v>
      </c>
      <c r="BQ48" s="1" t="s">
        <v>74</v>
      </c>
      <c r="BR48" s="1" t="s">
        <v>74</v>
      </c>
      <c r="BS48" s="1" t="s">
        <v>4956</v>
      </c>
      <c r="BT48" s="1" t="str">
        <f>HYPERLINK("https%3A%2F%2Fwww.webofscience.com%2Fwos%2Fwoscc%2Ffull-record%2FWOS:000302763700005","View Full Record in Web of Science")</f>
        <v>View Full Record in Web of Science</v>
      </c>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row>
    <row r="49" spans="1:314" s="2" customFormat="1" x14ac:dyDescent="0.4">
      <c r="A49" s="1" t="s">
        <v>72</v>
      </c>
      <c r="B49" s="1" t="s">
        <v>3119</v>
      </c>
      <c r="C49" s="1" t="s">
        <v>74</v>
      </c>
      <c r="D49" s="1" t="s">
        <v>74</v>
      </c>
      <c r="E49" s="1" t="s">
        <v>74</v>
      </c>
      <c r="F49" s="1" t="s">
        <v>3120</v>
      </c>
      <c r="G49" s="1" t="s">
        <v>74</v>
      </c>
      <c r="H49" s="1" t="s">
        <v>74</v>
      </c>
      <c r="I49" s="1" t="s">
        <v>3121</v>
      </c>
      <c r="J49" s="1" t="s">
        <v>218</v>
      </c>
      <c r="K49" s="1" t="s">
        <v>74</v>
      </c>
      <c r="L49" s="1" t="s">
        <v>74</v>
      </c>
      <c r="M49" s="1" t="s">
        <v>74</v>
      </c>
      <c r="N49" s="1" t="s">
        <v>74</v>
      </c>
      <c r="O49" s="1" t="s">
        <v>74</v>
      </c>
      <c r="P49" s="1" t="s">
        <v>74</v>
      </c>
      <c r="Q49" s="1" t="s">
        <v>74</v>
      </c>
      <c r="R49" s="1" t="s">
        <v>74</v>
      </c>
      <c r="S49" s="1" t="s">
        <v>74</v>
      </c>
      <c r="T49" s="1" t="s">
        <v>74</v>
      </c>
      <c r="U49" s="1" t="s">
        <v>74</v>
      </c>
      <c r="V49" s="4" t="s">
        <v>3122</v>
      </c>
      <c r="W49" s="1" t="s">
        <v>74</v>
      </c>
      <c r="X49" s="1" t="s">
        <v>74</v>
      </c>
      <c r="Y49" s="1" t="s">
        <v>74</v>
      </c>
      <c r="Z49" s="1" t="s">
        <v>74</v>
      </c>
      <c r="AA49" s="1" t="s">
        <v>74</v>
      </c>
      <c r="AB49" s="1" t="s">
        <v>74</v>
      </c>
      <c r="AC49" s="1" t="s">
        <v>74</v>
      </c>
      <c r="AD49" s="1" t="s">
        <v>74</v>
      </c>
      <c r="AE49" s="1" t="s">
        <v>74</v>
      </c>
      <c r="AF49" s="1" t="s">
        <v>74</v>
      </c>
      <c r="AG49" s="1" t="s">
        <v>74</v>
      </c>
      <c r="AH49" s="1" t="s">
        <v>74</v>
      </c>
      <c r="AI49" s="1" t="s">
        <v>74</v>
      </c>
      <c r="AJ49" s="1" t="s">
        <v>74</v>
      </c>
      <c r="AK49" s="1" t="s">
        <v>74</v>
      </c>
      <c r="AL49" s="1" t="s">
        <v>74</v>
      </c>
      <c r="AM49" s="1" t="s">
        <v>74</v>
      </c>
      <c r="AN49" s="1" t="s">
        <v>74</v>
      </c>
      <c r="AO49" s="1" t="s">
        <v>221</v>
      </c>
      <c r="AP49" s="1" t="s">
        <v>74</v>
      </c>
      <c r="AQ49" s="1" t="s">
        <v>74</v>
      </c>
      <c r="AR49" s="1" t="s">
        <v>74</v>
      </c>
      <c r="AS49" s="1" t="s">
        <v>74</v>
      </c>
      <c r="AT49" s="1" t="s">
        <v>352</v>
      </c>
      <c r="AU49" s="1">
        <v>2010</v>
      </c>
      <c r="AV49" s="1">
        <v>23</v>
      </c>
      <c r="AW49" s="1">
        <v>9</v>
      </c>
      <c r="AX49" s="1" t="s">
        <v>74</v>
      </c>
      <c r="AY49" s="1" t="s">
        <v>74</v>
      </c>
      <c r="AZ49" s="1" t="s">
        <v>74</v>
      </c>
      <c r="BA49" s="1" t="s">
        <v>74</v>
      </c>
      <c r="BB49" s="1">
        <v>1928</v>
      </c>
      <c r="BC49" s="1">
        <v>1936</v>
      </c>
      <c r="BD49" s="1" t="s">
        <v>74</v>
      </c>
      <c r="BE49" s="1" t="s">
        <v>3123</v>
      </c>
      <c r="BF49" s="1" t="str">
        <f>HYPERLINK("http://dx.doi.org/10.1111/j.1420-9101.2010.02063.x","http://dx.doi.org/10.1111/j.1420-9101.2010.02063.x")</f>
        <v>http://dx.doi.org/10.1111/j.1420-9101.2010.02063.x</v>
      </c>
      <c r="BG49" s="1" t="s">
        <v>74</v>
      </c>
      <c r="BH49" s="1" t="s">
        <v>74</v>
      </c>
      <c r="BI49" s="1" t="s">
        <v>74</v>
      </c>
      <c r="BJ49" s="1" t="s">
        <v>74</v>
      </c>
      <c r="BK49" s="1" t="s">
        <v>74</v>
      </c>
      <c r="BL49" s="1" t="s">
        <v>74</v>
      </c>
      <c r="BM49" s="1" t="s">
        <v>74</v>
      </c>
      <c r="BN49" s="1">
        <v>20695966</v>
      </c>
      <c r="BO49" s="1" t="s">
        <v>74</v>
      </c>
      <c r="BP49" s="1" t="s">
        <v>74</v>
      </c>
      <c r="BQ49" s="1" t="s">
        <v>74</v>
      </c>
      <c r="BR49" s="1" t="s">
        <v>74</v>
      </c>
      <c r="BS49" s="1" t="s">
        <v>3124</v>
      </c>
      <c r="BT49" s="1" t="str">
        <f>HYPERLINK("https%3A%2F%2Fwww.webofscience.com%2Fwos%2Fwoscc%2Ffull-record%2FWOS:000281141800011","View Full Record in Web of Science")</f>
        <v>View Full Record in Web of Science</v>
      </c>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row>
    <row r="50" spans="1:314" s="2" customFormat="1" x14ac:dyDescent="0.4">
      <c r="A50" s="1" t="s">
        <v>72</v>
      </c>
      <c r="B50" s="1" t="s">
        <v>3753</v>
      </c>
      <c r="C50" s="1" t="s">
        <v>74</v>
      </c>
      <c r="D50" s="1" t="s">
        <v>74</v>
      </c>
      <c r="E50" s="1" t="s">
        <v>74</v>
      </c>
      <c r="F50" s="1" t="s">
        <v>3754</v>
      </c>
      <c r="G50" s="1" t="s">
        <v>74</v>
      </c>
      <c r="H50" s="1" t="s">
        <v>74</v>
      </c>
      <c r="I50" s="1" t="s">
        <v>3755</v>
      </c>
      <c r="J50" s="1" t="s">
        <v>3756</v>
      </c>
      <c r="K50" s="1" t="s">
        <v>74</v>
      </c>
      <c r="L50" s="1" t="s">
        <v>74</v>
      </c>
      <c r="M50" s="1" t="s">
        <v>74</v>
      </c>
      <c r="N50" s="1" t="s">
        <v>74</v>
      </c>
      <c r="O50" s="1" t="s">
        <v>74</v>
      </c>
      <c r="P50" s="1" t="s">
        <v>74</v>
      </c>
      <c r="Q50" s="1" t="s">
        <v>74</v>
      </c>
      <c r="R50" s="1" t="s">
        <v>74</v>
      </c>
      <c r="S50" s="1" t="s">
        <v>74</v>
      </c>
      <c r="T50" s="1" t="s">
        <v>74</v>
      </c>
      <c r="U50" s="1" t="s">
        <v>74</v>
      </c>
      <c r="V50" s="4" t="s">
        <v>3757</v>
      </c>
      <c r="W50" s="1" t="s">
        <v>74</v>
      </c>
      <c r="X50" s="1" t="s">
        <v>74</v>
      </c>
      <c r="Y50" s="1" t="s">
        <v>74</v>
      </c>
      <c r="Z50" s="1" t="s">
        <v>74</v>
      </c>
      <c r="AA50" s="1" t="s">
        <v>3758</v>
      </c>
      <c r="AB50" s="1" t="s">
        <v>3759</v>
      </c>
      <c r="AC50" s="1" t="s">
        <v>74</v>
      </c>
      <c r="AD50" s="1" t="s">
        <v>74</v>
      </c>
      <c r="AE50" s="1" t="s">
        <v>74</v>
      </c>
      <c r="AF50" s="1" t="s">
        <v>74</v>
      </c>
      <c r="AG50" s="1" t="s">
        <v>74</v>
      </c>
      <c r="AH50" s="1" t="s">
        <v>74</v>
      </c>
      <c r="AI50" s="1" t="s">
        <v>74</v>
      </c>
      <c r="AJ50" s="1" t="s">
        <v>74</v>
      </c>
      <c r="AK50" s="1" t="s">
        <v>74</v>
      </c>
      <c r="AL50" s="1" t="s">
        <v>74</v>
      </c>
      <c r="AM50" s="1" t="s">
        <v>74</v>
      </c>
      <c r="AN50" s="1" t="s">
        <v>74</v>
      </c>
      <c r="AO50" s="1" t="s">
        <v>3760</v>
      </c>
      <c r="AP50" s="1" t="s">
        <v>74</v>
      </c>
      <c r="AQ50" s="1" t="s">
        <v>74</v>
      </c>
      <c r="AR50" s="1" t="s">
        <v>74</v>
      </c>
      <c r="AS50" s="1" t="s">
        <v>74</v>
      </c>
      <c r="AT50" s="1" t="s">
        <v>175</v>
      </c>
      <c r="AU50" s="1">
        <v>2019</v>
      </c>
      <c r="AV50" s="1">
        <v>12</v>
      </c>
      <c r="AW50" s="1">
        <v>9</v>
      </c>
      <c r="AX50" s="1" t="s">
        <v>74</v>
      </c>
      <c r="AY50" s="1" t="s">
        <v>74</v>
      </c>
      <c r="AZ50" s="1" t="s">
        <v>74</v>
      </c>
      <c r="BA50" s="1" t="s">
        <v>74</v>
      </c>
      <c r="BB50" s="1">
        <v>1757</v>
      </c>
      <c r="BC50" s="1">
        <v>1771</v>
      </c>
      <c r="BD50" s="1" t="s">
        <v>74</v>
      </c>
      <c r="BE50" s="1" t="s">
        <v>3761</v>
      </c>
      <c r="BF50" s="1" t="str">
        <f>HYPERLINK("http://dx.doi.org/10.1111/eva.12830","http://dx.doi.org/10.1111/eva.12830")</f>
        <v>http://dx.doi.org/10.1111/eva.12830</v>
      </c>
      <c r="BG50" s="1" t="s">
        <v>74</v>
      </c>
      <c r="BH50" s="1" t="s">
        <v>3762</v>
      </c>
      <c r="BI50" s="1" t="s">
        <v>74</v>
      </c>
      <c r="BJ50" s="1" t="s">
        <v>74</v>
      </c>
      <c r="BK50" s="1" t="s">
        <v>74</v>
      </c>
      <c r="BL50" s="1" t="s">
        <v>74</v>
      </c>
      <c r="BM50" s="1" t="s">
        <v>74</v>
      </c>
      <c r="BN50" s="1">
        <v>31548855</v>
      </c>
      <c r="BO50" s="1" t="s">
        <v>74</v>
      </c>
      <c r="BP50" s="1" t="s">
        <v>74</v>
      </c>
      <c r="BQ50" s="1" t="s">
        <v>74</v>
      </c>
      <c r="BR50" s="1" t="s">
        <v>74</v>
      </c>
      <c r="BS50" s="1" t="s">
        <v>3763</v>
      </c>
      <c r="BT50" s="1" t="str">
        <f>HYPERLINK("https%3A%2F%2Fwww.webofscience.com%2Fwos%2Fwoscc%2Ffull-record%2FWOS:000476434800001","View Full Record in Web of Science")</f>
        <v>View Full Record in Web of Science</v>
      </c>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row>
    <row r="51" spans="1:314" s="2" customFormat="1" x14ac:dyDescent="0.4">
      <c r="A51" s="1" t="s">
        <v>72</v>
      </c>
      <c r="B51" s="1" t="s">
        <v>607</v>
      </c>
      <c r="C51" s="1" t="s">
        <v>74</v>
      </c>
      <c r="D51" s="1" t="s">
        <v>74</v>
      </c>
      <c r="E51" s="1" t="s">
        <v>74</v>
      </c>
      <c r="F51" s="1" t="s">
        <v>608</v>
      </c>
      <c r="G51" s="1" t="s">
        <v>74</v>
      </c>
      <c r="H51" s="1" t="s">
        <v>74</v>
      </c>
      <c r="I51" s="1" t="s">
        <v>609</v>
      </c>
      <c r="J51" s="1" t="s">
        <v>610</v>
      </c>
      <c r="K51" s="1" t="s">
        <v>74</v>
      </c>
      <c r="L51" s="1" t="s">
        <v>74</v>
      </c>
      <c r="M51" s="1" t="s">
        <v>74</v>
      </c>
      <c r="N51" s="1" t="s">
        <v>74</v>
      </c>
      <c r="O51" s="1" t="s">
        <v>74</v>
      </c>
      <c r="P51" s="1" t="s">
        <v>74</v>
      </c>
      <c r="Q51" s="1" t="s">
        <v>74</v>
      </c>
      <c r="R51" s="1" t="s">
        <v>74</v>
      </c>
      <c r="S51" s="1" t="s">
        <v>74</v>
      </c>
      <c r="T51" s="1" t="s">
        <v>74</v>
      </c>
      <c r="U51" s="1" t="s">
        <v>74</v>
      </c>
      <c r="V51" s="4" t="s">
        <v>611</v>
      </c>
      <c r="W51" s="1" t="s">
        <v>74</v>
      </c>
      <c r="X51" s="1" t="s">
        <v>74</v>
      </c>
      <c r="Y51" s="1" t="s">
        <v>74</v>
      </c>
      <c r="Z51" s="1" t="s">
        <v>74</v>
      </c>
      <c r="AA51" s="1" t="s">
        <v>612</v>
      </c>
      <c r="AB51" s="1" t="s">
        <v>613</v>
      </c>
      <c r="AC51" s="1" t="s">
        <v>74</v>
      </c>
      <c r="AD51" s="1" t="s">
        <v>74</v>
      </c>
      <c r="AE51" s="1" t="s">
        <v>74</v>
      </c>
      <c r="AF51" s="1" t="s">
        <v>74</v>
      </c>
      <c r="AG51" s="1" t="s">
        <v>74</v>
      </c>
      <c r="AH51" s="1" t="s">
        <v>74</v>
      </c>
      <c r="AI51" s="1" t="s">
        <v>74</v>
      </c>
      <c r="AJ51" s="1" t="s">
        <v>74</v>
      </c>
      <c r="AK51" s="1" t="s">
        <v>74</v>
      </c>
      <c r="AL51" s="1" t="s">
        <v>74</v>
      </c>
      <c r="AM51" s="1" t="s">
        <v>74</v>
      </c>
      <c r="AN51" s="1" t="s">
        <v>74</v>
      </c>
      <c r="AO51" s="1" t="s">
        <v>614</v>
      </c>
      <c r="AP51" s="1" t="s">
        <v>615</v>
      </c>
      <c r="AQ51" s="1" t="s">
        <v>74</v>
      </c>
      <c r="AR51" s="1" t="s">
        <v>74</v>
      </c>
      <c r="AS51" s="1" t="s">
        <v>74</v>
      </c>
      <c r="AT51" s="1" t="s">
        <v>352</v>
      </c>
      <c r="AU51" s="1">
        <v>2020</v>
      </c>
      <c r="AV51" s="1">
        <v>126</v>
      </c>
      <c r="AW51" s="1">
        <v>9</v>
      </c>
      <c r="AX51" s="1" t="s">
        <v>74</v>
      </c>
      <c r="AY51" s="1" t="s">
        <v>74</v>
      </c>
      <c r="AZ51" s="1" t="s">
        <v>74</v>
      </c>
      <c r="BA51" s="1" t="s">
        <v>74</v>
      </c>
      <c r="BB51" s="1">
        <v>900</v>
      </c>
      <c r="BC51" s="1">
        <v>913</v>
      </c>
      <c r="BD51" s="1" t="s">
        <v>74</v>
      </c>
      <c r="BE51" s="1" t="s">
        <v>616</v>
      </c>
      <c r="BF51" s="1" t="str">
        <f>HYPERLINK("http://dx.doi.org/10.1111/eth.13067","http://dx.doi.org/10.1111/eth.13067")</f>
        <v>http://dx.doi.org/10.1111/eth.13067</v>
      </c>
      <c r="BG51" s="1" t="s">
        <v>74</v>
      </c>
      <c r="BH51" s="1" t="s">
        <v>617</v>
      </c>
      <c r="BI51" s="1" t="s">
        <v>74</v>
      </c>
      <c r="BJ51" s="1" t="s">
        <v>74</v>
      </c>
      <c r="BK51" s="1" t="s">
        <v>74</v>
      </c>
      <c r="BL51" s="1" t="s">
        <v>74</v>
      </c>
      <c r="BM51" s="1" t="s">
        <v>74</v>
      </c>
      <c r="BN51" s="1" t="s">
        <v>74</v>
      </c>
      <c r="BO51" s="1" t="s">
        <v>74</v>
      </c>
      <c r="BP51" s="1" t="s">
        <v>74</v>
      </c>
      <c r="BQ51" s="1" t="s">
        <v>74</v>
      </c>
      <c r="BR51" s="1" t="s">
        <v>74</v>
      </c>
      <c r="BS51" s="1" t="s">
        <v>618</v>
      </c>
      <c r="BT51" s="1" t="str">
        <f>HYPERLINK("https%3A%2F%2Fwww.webofscience.com%2Fwos%2Fwoscc%2Ffull-record%2FWOS:000538660200001","View Full Record in Web of Science")</f>
        <v>View Full Record in Web of Science</v>
      </c>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row>
    <row r="52" spans="1:314" s="2" customFormat="1" x14ac:dyDescent="0.4">
      <c r="A52" s="1" t="s">
        <v>72</v>
      </c>
      <c r="B52" s="1" t="s">
        <v>2197</v>
      </c>
      <c r="C52" s="1" t="s">
        <v>74</v>
      </c>
      <c r="D52" s="1" t="s">
        <v>74</v>
      </c>
      <c r="E52" s="1" t="s">
        <v>74</v>
      </c>
      <c r="F52" s="1" t="s">
        <v>2198</v>
      </c>
      <c r="G52" s="1" t="s">
        <v>74</v>
      </c>
      <c r="H52" s="1" t="s">
        <v>74</v>
      </c>
      <c r="I52" s="1" t="s">
        <v>2199</v>
      </c>
      <c r="J52" s="1" t="s">
        <v>408</v>
      </c>
      <c r="K52" s="1" t="s">
        <v>74</v>
      </c>
      <c r="L52" s="1" t="s">
        <v>74</v>
      </c>
      <c r="M52" s="1" t="s">
        <v>74</v>
      </c>
      <c r="N52" s="1" t="s">
        <v>74</v>
      </c>
      <c r="O52" s="1" t="s">
        <v>74</v>
      </c>
      <c r="P52" s="1" t="s">
        <v>74</v>
      </c>
      <c r="Q52" s="1" t="s">
        <v>74</v>
      </c>
      <c r="R52" s="1" t="s">
        <v>74</v>
      </c>
      <c r="S52" s="1" t="s">
        <v>74</v>
      </c>
      <c r="T52" s="1" t="s">
        <v>74</v>
      </c>
      <c r="U52" s="1" t="s">
        <v>74</v>
      </c>
      <c r="V52" s="4" t="s">
        <v>2200</v>
      </c>
      <c r="W52" s="1" t="s">
        <v>74</v>
      </c>
      <c r="X52" s="1" t="s">
        <v>74</v>
      </c>
      <c r="Y52" s="1" t="s">
        <v>74</v>
      </c>
      <c r="Z52" s="1" t="s">
        <v>74</v>
      </c>
      <c r="AA52" s="1" t="s">
        <v>2201</v>
      </c>
      <c r="AB52" s="1" t="s">
        <v>2202</v>
      </c>
      <c r="AC52" s="1" t="s">
        <v>74</v>
      </c>
      <c r="AD52" s="1" t="s">
        <v>74</v>
      </c>
      <c r="AE52" s="1" t="s">
        <v>74</v>
      </c>
      <c r="AF52" s="1" t="s">
        <v>74</v>
      </c>
      <c r="AG52" s="1" t="s">
        <v>74</v>
      </c>
      <c r="AH52" s="1" t="s">
        <v>74</v>
      </c>
      <c r="AI52" s="1" t="s">
        <v>74</v>
      </c>
      <c r="AJ52" s="1" t="s">
        <v>74</v>
      </c>
      <c r="AK52" s="1" t="s">
        <v>74</v>
      </c>
      <c r="AL52" s="1" t="s">
        <v>74</v>
      </c>
      <c r="AM52" s="1" t="s">
        <v>74</v>
      </c>
      <c r="AN52" s="1" t="s">
        <v>74</v>
      </c>
      <c r="AO52" s="1" t="s">
        <v>412</v>
      </c>
      <c r="AP52" s="1" t="s">
        <v>413</v>
      </c>
      <c r="AQ52" s="1" t="s">
        <v>74</v>
      </c>
      <c r="AR52" s="1" t="s">
        <v>74</v>
      </c>
      <c r="AS52" s="1" t="s">
        <v>74</v>
      </c>
      <c r="AT52" s="1" t="s">
        <v>255</v>
      </c>
      <c r="AU52" s="1">
        <v>2013</v>
      </c>
      <c r="AV52" s="1">
        <v>108</v>
      </c>
      <c r="AW52" s="1">
        <v>1</v>
      </c>
      <c r="AX52" s="1" t="s">
        <v>74</v>
      </c>
      <c r="AY52" s="1" t="s">
        <v>74</v>
      </c>
      <c r="AZ52" s="1" t="s">
        <v>74</v>
      </c>
      <c r="BA52" s="1" t="s">
        <v>74</v>
      </c>
      <c r="BB52" s="1">
        <v>116</v>
      </c>
      <c r="BC52" s="1">
        <v>126</v>
      </c>
      <c r="BD52" s="1" t="s">
        <v>74</v>
      </c>
      <c r="BE52" s="1" t="s">
        <v>2203</v>
      </c>
      <c r="BF52" s="1" t="str">
        <f>HYPERLINK("http://dx.doi.org/10.1111/j.1095-8312.2012.02006.x","http://dx.doi.org/10.1111/j.1095-8312.2012.02006.x")</f>
        <v>http://dx.doi.org/10.1111/j.1095-8312.2012.02006.x</v>
      </c>
      <c r="BG52" s="1" t="s">
        <v>74</v>
      </c>
      <c r="BH52" s="1" t="s">
        <v>74</v>
      </c>
      <c r="BI52" s="1" t="s">
        <v>74</v>
      </c>
      <c r="BJ52" s="1" t="s">
        <v>74</v>
      </c>
      <c r="BK52" s="1" t="s">
        <v>74</v>
      </c>
      <c r="BL52" s="1" t="s">
        <v>74</v>
      </c>
      <c r="BM52" s="1" t="s">
        <v>74</v>
      </c>
      <c r="BN52" s="1" t="s">
        <v>74</v>
      </c>
      <c r="BO52" s="1" t="s">
        <v>74</v>
      </c>
      <c r="BP52" s="1" t="s">
        <v>74</v>
      </c>
      <c r="BQ52" s="1" t="s">
        <v>74</v>
      </c>
      <c r="BR52" s="1" t="s">
        <v>74</v>
      </c>
      <c r="BS52" s="1" t="s">
        <v>2204</v>
      </c>
      <c r="BT52" s="1" t="str">
        <f>HYPERLINK("https%3A%2F%2Fwww.webofscience.com%2Fwos%2Fwoscc%2Ffull-record%2FWOS:000312543100011","View Full Record in Web of Science")</f>
        <v>View Full Record in Web of Science</v>
      </c>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row>
    <row r="53" spans="1:314" s="2" customFormat="1" x14ac:dyDescent="0.4">
      <c r="A53" s="1" t="s">
        <v>72</v>
      </c>
      <c r="B53" s="1" t="s">
        <v>1501</v>
      </c>
      <c r="C53" s="1" t="s">
        <v>74</v>
      </c>
      <c r="D53" s="1" t="s">
        <v>74</v>
      </c>
      <c r="E53" s="1" t="s">
        <v>74</v>
      </c>
      <c r="F53" s="1" t="s">
        <v>1502</v>
      </c>
      <c r="G53" s="1" t="s">
        <v>74</v>
      </c>
      <c r="H53" s="1" t="s">
        <v>74</v>
      </c>
      <c r="I53" s="1" t="s">
        <v>1503</v>
      </c>
      <c r="J53" s="1" t="s">
        <v>814</v>
      </c>
      <c r="K53" s="1" t="s">
        <v>74</v>
      </c>
      <c r="L53" s="1" t="s">
        <v>74</v>
      </c>
      <c r="M53" s="1" t="s">
        <v>74</v>
      </c>
      <c r="N53" s="1" t="s">
        <v>74</v>
      </c>
      <c r="O53" s="1" t="s">
        <v>74</v>
      </c>
      <c r="P53" s="1" t="s">
        <v>74</v>
      </c>
      <c r="Q53" s="1" t="s">
        <v>74</v>
      </c>
      <c r="R53" s="1" t="s">
        <v>74</v>
      </c>
      <c r="S53" s="1" t="s">
        <v>74</v>
      </c>
      <c r="T53" s="1" t="s">
        <v>74</v>
      </c>
      <c r="U53" s="1" t="s">
        <v>74</v>
      </c>
      <c r="V53" s="4" t="s">
        <v>1504</v>
      </c>
      <c r="W53" s="1" t="s">
        <v>74</v>
      </c>
      <c r="X53" s="1" t="s">
        <v>74</v>
      </c>
      <c r="Y53" s="1" t="s">
        <v>74</v>
      </c>
      <c r="Z53" s="1" t="s">
        <v>74</v>
      </c>
      <c r="AA53" s="1" t="s">
        <v>74</v>
      </c>
      <c r="AB53" s="1" t="s">
        <v>74</v>
      </c>
      <c r="AC53" s="1" t="s">
        <v>74</v>
      </c>
      <c r="AD53" s="1" t="s">
        <v>74</v>
      </c>
      <c r="AE53" s="1" t="s">
        <v>74</v>
      </c>
      <c r="AF53" s="1" t="s">
        <v>74</v>
      </c>
      <c r="AG53" s="1" t="s">
        <v>74</v>
      </c>
      <c r="AH53" s="1" t="s">
        <v>74</v>
      </c>
      <c r="AI53" s="1" t="s">
        <v>74</v>
      </c>
      <c r="AJ53" s="1" t="s">
        <v>74</v>
      </c>
      <c r="AK53" s="1" t="s">
        <v>74</v>
      </c>
      <c r="AL53" s="1" t="s">
        <v>74</v>
      </c>
      <c r="AM53" s="1" t="s">
        <v>74</v>
      </c>
      <c r="AN53" s="1" t="s">
        <v>74</v>
      </c>
      <c r="AO53" s="1" t="s">
        <v>818</v>
      </c>
      <c r="AP53" s="1" t="s">
        <v>1505</v>
      </c>
      <c r="AQ53" s="1" t="s">
        <v>74</v>
      </c>
      <c r="AR53" s="1" t="s">
        <v>74</v>
      </c>
      <c r="AS53" s="1" t="s">
        <v>74</v>
      </c>
      <c r="AT53" s="1" t="s">
        <v>102</v>
      </c>
      <c r="AU53" s="1">
        <v>2017</v>
      </c>
      <c r="AV53" s="1">
        <v>122</v>
      </c>
      <c r="AW53" s="1" t="s">
        <v>74</v>
      </c>
      <c r="AX53" s="1" t="s">
        <v>74</v>
      </c>
      <c r="AY53" s="1" t="s">
        <v>74</v>
      </c>
      <c r="AZ53" s="1" t="s">
        <v>74</v>
      </c>
      <c r="BA53" s="1" t="s">
        <v>74</v>
      </c>
      <c r="BB53" s="1">
        <v>115</v>
      </c>
      <c r="BC53" s="1">
        <v>125</v>
      </c>
      <c r="BD53" s="1" t="s">
        <v>74</v>
      </c>
      <c r="BE53" s="1" t="s">
        <v>1506</v>
      </c>
      <c r="BF53" s="1" t="str">
        <f>HYPERLINK("http://dx.doi.org/10.1016/j.zool.2017.05.002","http://dx.doi.org/10.1016/j.zool.2017.05.002")</f>
        <v>http://dx.doi.org/10.1016/j.zool.2017.05.002</v>
      </c>
      <c r="BG53" s="1" t="s">
        <v>74</v>
      </c>
      <c r="BH53" s="1" t="s">
        <v>74</v>
      </c>
      <c r="BI53" s="1" t="s">
        <v>74</v>
      </c>
      <c r="BJ53" s="1" t="s">
        <v>74</v>
      </c>
      <c r="BK53" s="1" t="s">
        <v>74</v>
      </c>
      <c r="BL53" s="1" t="s">
        <v>74</v>
      </c>
      <c r="BM53" s="1" t="s">
        <v>74</v>
      </c>
      <c r="BN53" s="1">
        <v>28546067</v>
      </c>
      <c r="BO53" s="1" t="s">
        <v>74</v>
      </c>
      <c r="BP53" s="1" t="s">
        <v>74</v>
      </c>
      <c r="BQ53" s="1" t="s">
        <v>74</v>
      </c>
      <c r="BR53" s="1" t="s">
        <v>74</v>
      </c>
      <c r="BS53" s="1" t="s">
        <v>1507</v>
      </c>
      <c r="BT53" s="1" t="str">
        <f>HYPERLINK("https%3A%2F%2Fwww.webofscience.com%2Fwos%2Fwoscc%2Ffull-record%2FWOS:000404310700015","View Full Record in Web of Science")</f>
        <v>View Full Record in Web of Science</v>
      </c>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row>
    <row r="54" spans="1:314" s="2" customFormat="1" x14ac:dyDescent="0.4">
      <c r="A54" s="1" t="s">
        <v>72</v>
      </c>
      <c r="B54" s="1" t="s">
        <v>4740</v>
      </c>
      <c r="C54" s="1" t="s">
        <v>74</v>
      </c>
      <c r="D54" s="1" t="s">
        <v>74</v>
      </c>
      <c r="E54" s="1" t="s">
        <v>74</v>
      </c>
      <c r="F54" s="1" t="s">
        <v>4741</v>
      </c>
      <c r="G54" s="1" t="s">
        <v>74</v>
      </c>
      <c r="H54" s="1" t="s">
        <v>74</v>
      </c>
      <c r="I54" s="1" t="s">
        <v>4742</v>
      </c>
      <c r="J54" s="1" t="s">
        <v>691</v>
      </c>
      <c r="K54" s="1" t="s">
        <v>74</v>
      </c>
      <c r="L54" s="1" t="s">
        <v>74</v>
      </c>
      <c r="M54" s="1" t="s">
        <v>74</v>
      </c>
      <c r="N54" s="1" t="s">
        <v>74</v>
      </c>
      <c r="O54" s="1" t="s">
        <v>74</v>
      </c>
      <c r="P54" s="1" t="s">
        <v>74</v>
      </c>
      <c r="Q54" s="1" t="s">
        <v>74</v>
      </c>
      <c r="R54" s="1" t="s">
        <v>74</v>
      </c>
      <c r="S54" s="1" t="s">
        <v>74</v>
      </c>
      <c r="T54" s="1" t="s">
        <v>74</v>
      </c>
      <c r="U54" s="1" t="s">
        <v>74</v>
      </c>
      <c r="V54" s="4" t="s">
        <v>4743</v>
      </c>
      <c r="W54" s="1" t="s">
        <v>74</v>
      </c>
      <c r="X54" s="1" t="s">
        <v>74</v>
      </c>
      <c r="Y54" s="1" t="s">
        <v>74</v>
      </c>
      <c r="Z54" s="1" t="s">
        <v>74</v>
      </c>
      <c r="AA54" s="1" t="s">
        <v>74</v>
      </c>
      <c r="AB54" s="1" t="s">
        <v>74</v>
      </c>
      <c r="AC54" s="1" t="s">
        <v>74</v>
      </c>
      <c r="AD54" s="1" t="s">
        <v>74</v>
      </c>
      <c r="AE54" s="1" t="s">
        <v>74</v>
      </c>
      <c r="AF54" s="1" t="s">
        <v>74</v>
      </c>
      <c r="AG54" s="1" t="s">
        <v>74</v>
      </c>
      <c r="AH54" s="1" t="s">
        <v>74</v>
      </c>
      <c r="AI54" s="1" t="s">
        <v>74</v>
      </c>
      <c r="AJ54" s="1" t="s">
        <v>74</v>
      </c>
      <c r="AK54" s="1" t="s">
        <v>74</v>
      </c>
      <c r="AL54" s="1" t="s">
        <v>74</v>
      </c>
      <c r="AM54" s="1" t="s">
        <v>74</v>
      </c>
      <c r="AN54" s="1" t="s">
        <v>74</v>
      </c>
      <c r="AO54" s="1" t="s">
        <v>695</v>
      </c>
      <c r="AP54" s="1" t="s">
        <v>74</v>
      </c>
      <c r="AQ54" s="1" t="s">
        <v>74</v>
      </c>
      <c r="AR54" s="1" t="s">
        <v>74</v>
      </c>
      <c r="AS54" s="1" t="s">
        <v>74</v>
      </c>
      <c r="AT54" s="1" t="s">
        <v>4744</v>
      </c>
      <c r="AU54" s="1">
        <v>2016</v>
      </c>
      <c r="AV54" s="1">
        <v>163</v>
      </c>
      <c r="AW54" s="1" t="s">
        <v>74</v>
      </c>
      <c r="AX54" s="1" t="s">
        <v>74</v>
      </c>
      <c r="AY54" s="1" t="s">
        <v>74</v>
      </c>
      <c r="AZ54" s="1" t="s">
        <v>74</v>
      </c>
      <c r="BA54" s="1" t="s">
        <v>74</v>
      </c>
      <c r="BB54" s="1">
        <v>70</v>
      </c>
      <c r="BC54" s="1">
        <v>80</v>
      </c>
      <c r="BD54" s="1" t="s">
        <v>74</v>
      </c>
      <c r="BE54" s="1" t="s">
        <v>4745</v>
      </c>
      <c r="BF54" s="1" t="str">
        <f>HYPERLINK("http://dx.doi.org/10.1016/j.physbeh.2016.04.039","http://dx.doi.org/10.1016/j.physbeh.2016.04.039")</f>
        <v>http://dx.doi.org/10.1016/j.physbeh.2016.04.039</v>
      </c>
      <c r="BG54" s="1" t="s">
        <v>74</v>
      </c>
      <c r="BH54" s="1" t="s">
        <v>74</v>
      </c>
      <c r="BI54" s="1" t="s">
        <v>74</v>
      </c>
      <c r="BJ54" s="1" t="s">
        <v>74</v>
      </c>
      <c r="BK54" s="1" t="s">
        <v>74</v>
      </c>
      <c r="BL54" s="1" t="s">
        <v>74</v>
      </c>
      <c r="BM54" s="1" t="s">
        <v>74</v>
      </c>
      <c r="BN54" s="1">
        <v>27137079</v>
      </c>
      <c r="BO54" s="1" t="s">
        <v>74</v>
      </c>
      <c r="BP54" s="1" t="s">
        <v>74</v>
      </c>
      <c r="BQ54" s="1" t="s">
        <v>74</v>
      </c>
      <c r="BR54" s="1" t="s">
        <v>74</v>
      </c>
      <c r="BS54" s="1" t="s">
        <v>4746</v>
      </c>
      <c r="BT54" s="1" t="str">
        <f>HYPERLINK("https%3A%2F%2Fwww.webofscience.com%2Fwos%2Fwoscc%2Ffull-record%2FWOS:000380597400010","View Full Record in Web of Science")</f>
        <v>View Full Record in Web of Science</v>
      </c>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row>
    <row r="55" spans="1:314" s="2" customFormat="1" x14ac:dyDescent="0.4">
      <c r="A55" s="1" t="s">
        <v>72</v>
      </c>
      <c r="B55" s="1" t="s">
        <v>4740</v>
      </c>
      <c r="C55" s="1" t="s">
        <v>74</v>
      </c>
      <c r="D55" s="1" t="s">
        <v>74</v>
      </c>
      <c r="E55" s="1" t="s">
        <v>74</v>
      </c>
      <c r="F55" s="1" t="s">
        <v>4741</v>
      </c>
      <c r="G55" s="1" t="s">
        <v>74</v>
      </c>
      <c r="H55" s="1" t="s">
        <v>74</v>
      </c>
      <c r="I55" s="1" t="s">
        <v>6585</v>
      </c>
      <c r="J55" s="1" t="s">
        <v>6042</v>
      </c>
      <c r="K55" s="1" t="s">
        <v>74</v>
      </c>
      <c r="L55" s="1" t="s">
        <v>74</v>
      </c>
      <c r="M55" s="1" t="s">
        <v>74</v>
      </c>
      <c r="N55" s="1" t="s">
        <v>74</v>
      </c>
      <c r="O55" s="1" t="s">
        <v>74</v>
      </c>
      <c r="P55" s="1" t="s">
        <v>74</v>
      </c>
      <c r="Q55" s="1" t="s">
        <v>74</v>
      </c>
      <c r="R55" s="1" t="s">
        <v>74</v>
      </c>
      <c r="S55" s="1" t="s">
        <v>74</v>
      </c>
      <c r="T55" s="1" t="s">
        <v>74</v>
      </c>
      <c r="U55" s="1" t="s">
        <v>74</v>
      </c>
      <c r="V55" s="4" t="s">
        <v>6586</v>
      </c>
      <c r="W55" s="1" t="s">
        <v>74</v>
      </c>
      <c r="X55" s="1" t="s">
        <v>74</v>
      </c>
      <c r="Y55" s="1" t="s">
        <v>74</v>
      </c>
      <c r="Z55" s="1" t="s">
        <v>74</v>
      </c>
      <c r="AA55" s="1" t="s">
        <v>74</v>
      </c>
      <c r="AB55" s="1" t="s">
        <v>274</v>
      </c>
      <c r="AC55" s="1" t="s">
        <v>74</v>
      </c>
      <c r="AD55" s="1" t="s">
        <v>74</v>
      </c>
      <c r="AE55" s="1" t="s">
        <v>74</v>
      </c>
      <c r="AF55" s="1" t="s">
        <v>74</v>
      </c>
      <c r="AG55" s="1" t="s">
        <v>74</v>
      </c>
      <c r="AH55" s="1" t="s">
        <v>74</v>
      </c>
      <c r="AI55" s="1" t="s">
        <v>74</v>
      </c>
      <c r="AJ55" s="1" t="s">
        <v>74</v>
      </c>
      <c r="AK55" s="1" t="s">
        <v>74</v>
      </c>
      <c r="AL55" s="1" t="s">
        <v>74</v>
      </c>
      <c r="AM55" s="1" t="s">
        <v>74</v>
      </c>
      <c r="AN55" s="1" t="s">
        <v>74</v>
      </c>
      <c r="AO55" s="1" t="s">
        <v>6045</v>
      </c>
      <c r="AP55" s="1" t="s">
        <v>74</v>
      </c>
      <c r="AQ55" s="1" t="s">
        <v>74</v>
      </c>
      <c r="AR55" s="1" t="s">
        <v>74</v>
      </c>
      <c r="AS55" s="1" t="s">
        <v>74</v>
      </c>
      <c r="AT55" s="1" t="s">
        <v>175</v>
      </c>
      <c r="AU55" s="1">
        <v>2017</v>
      </c>
      <c r="AV55" s="1">
        <v>327</v>
      </c>
      <c r="AW55" s="1">
        <v>8</v>
      </c>
      <c r="AX55" s="1" t="s">
        <v>74</v>
      </c>
      <c r="AY55" s="1" t="s">
        <v>74</v>
      </c>
      <c r="AZ55" s="1" t="s">
        <v>74</v>
      </c>
      <c r="BA55" s="1" t="s">
        <v>74</v>
      </c>
      <c r="BB55" s="1">
        <v>481</v>
      </c>
      <c r="BC55" s="1">
        <v>492</v>
      </c>
      <c r="BD55" s="1" t="s">
        <v>74</v>
      </c>
      <c r="BE55" s="1" t="s">
        <v>6587</v>
      </c>
      <c r="BF55" s="1" t="str">
        <f>HYPERLINK("http://dx.doi.org/10.1002/jez.2133","http://dx.doi.org/10.1002/jez.2133")</f>
        <v>http://dx.doi.org/10.1002/jez.2133</v>
      </c>
      <c r="BG55" s="1" t="s">
        <v>74</v>
      </c>
      <c r="BH55" s="1" t="s">
        <v>74</v>
      </c>
      <c r="BI55" s="1" t="s">
        <v>74</v>
      </c>
      <c r="BJ55" s="1" t="s">
        <v>74</v>
      </c>
      <c r="BK55" s="1" t="s">
        <v>74</v>
      </c>
      <c r="BL55" s="1" t="s">
        <v>74</v>
      </c>
      <c r="BM55" s="1" t="s">
        <v>74</v>
      </c>
      <c r="BN55" s="1">
        <v>29356435</v>
      </c>
      <c r="BO55" s="1" t="s">
        <v>74</v>
      </c>
      <c r="BP55" s="1" t="s">
        <v>74</v>
      </c>
      <c r="BQ55" s="1" t="s">
        <v>74</v>
      </c>
      <c r="BR55" s="1" t="s">
        <v>74</v>
      </c>
      <c r="BS55" s="1" t="s">
        <v>6588</v>
      </c>
      <c r="BT55" s="1" t="str">
        <f>HYPERLINK("https%3A%2F%2Fwww.webofscience.com%2Fwos%2Fwoscc%2Ffull-record%2FWOS:000422728900001","View Full Record in Web of Science")</f>
        <v>View Full Record in Web of Science</v>
      </c>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row>
    <row r="56" spans="1:314" s="2" customFormat="1" x14ac:dyDescent="0.4">
      <c r="A56" s="1" t="s">
        <v>72</v>
      </c>
      <c r="B56" s="1" t="s">
        <v>2420</v>
      </c>
      <c r="C56" s="1" t="s">
        <v>74</v>
      </c>
      <c r="D56" s="1" t="s">
        <v>74</v>
      </c>
      <c r="E56" s="1" t="s">
        <v>74</v>
      </c>
      <c r="F56" s="1" t="s">
        <v>2420</v>
      </c>
      <c r="G56" s="1" t="s">
        <v>74</v>
      </c>
      <c r="H56" s="1" t="s">
        <v>74</v>
      </c>
      <c r="I56" s="1" t="s">
        <v>2421</v>
      </c>
      <c r="J56" s="1" t="s">
        <v>2422</v>
      </c>
      <c r="K56" s="1" t="s">
        <v>74</v>
      </c>
      <c r="L56" s="1" t="s">
        <v>74</v>
      </c>
      <c r="M56" s="1" t="s">
        <v>74</v>
      </c>
      <c r="N56" s="1" t="s">
        <v>74</v>
      </c>
      <c r="O56" s="1" t="s">
        <v>74</v>
      </c>
      <c r="P56" s="1" t="s">
        <v>74</v>
      </c>
      <c r="Q56" s="1" t="s">
        <v>74</v>
      </c>
      <c r="R56" s="1" t="s">
        <v>74</v>
      </c>
      <c r="S56" s="1" t="s">
        <v>74</v>
      </c>
      <c r="T56" s="1" t="s">
        <v>74</v>
      </c>
      <c r="U56" s="1" t="s">
        <v>74</v>
      </c>
      <c r="V56" s="4" t="s">
        <v>2423</v>
      </c>
      <c r="W56" s="1" t="s">
        <v>74</v>
      </c>
      <c r="X56" s="1" t="s">
        <v>74</v>
      </c>
      <c r="Y56" s="1" t="s">
        <v>74</v>
      </c>
      <c r="Z56" s="1" t="s">
        <v>74</v>
      </c>
      <c r="AA56" s="1" t="s">
        <v>2424</v>
      </c>
      <c r="AB56" s="1" t="s">
        <v>2425</v>
      </c>
      <c r="AC56" s="1" t="s">
        <v>74</v>
      </c>
      <c r="AD56" s="1" t="s">
        <v>74</v>
      </c>
      <c r="AE56" s="1" t="s">
        <v>74</v>
      </c>
      <c r="AF56" s="1" t="s">
        <v>74</v>
      </c>
      <c r="AG56" s="1" t="s">
        <v>74</v>
      </c>
      <c r="AH56" s="1" t="s">
        <v>74</v>
      </c>
      <c r="AI56" s="1" t="s">
        <v>74</v>
      </c>
      <c r="AJ56" s="1" t="s">
        <v>74</v>
      </c>
      <c r="AK56" s="1" t="s">
        <v>74</v>
      </c>
      <c r="AL56" s="1" t="s">
        <v>74</v>
      </c>
      <c r="AM56" s="1" t="s">
        <v>74</v>
      </c>
      <c r="AN56" s="1" t="s">
        <v>74</v>
      </c>
      <c r="AO56" s="1" t="s">
        <v>2426</v>
      </c>
      <c r="AP56" s="1" t="s">
        <v>74</v>
      </c>
      <c r="AQ56" s="1" t="s">
        <v>74</v>
      </c>
      <c r="AR56" s="1" t="s">
        <v>74</v>
      </c>
      <c r="AS56" s="1" t="s">
        <v>74</v>
      </c>
      <c r="AT56" s="1" t="s">
        <v>134</v>
      </c>
      <c r="AU56" s="1">
        <v>2006</v>
      </c>
      <c r="AV56" s="1">
        <v>31</v>
      </c>
      <c r="AW56" s="1">
        <v>4</v>
      </c>
      <c r="AX56" s="1" t="s">
        <v>74</v>
      </c>
      <c r="AY56" s="1" t="s">
        <v>74</v>
      </c>
      <c r="AZ56" s="1" t="s">
        <v>74</v>
      </c>
      <c r="BA56" s="1" t="s">
        <v>74</v>
      </c>
      <c r="BB56" s="1">
        <v>362</v>
      </c>
      <c r="BC56" s="1">
        <v>369</v>
      </c>
      <c r="BD56" s="1" t="s">
        <v>74</v>
      </c>
      <c r="BE56" s="1" t="s">
        <v>2427</v>
      </c>
      <c r="BF56" s="1" t="str">
        <f>HYPERLINK("http://dx.doi.org/10.1016/j.jtherbio.2006.01.008","http://dx.doi.org/10.1016/j.jtherbio.2006.01.008")</f>
        <v>http://dx.doi.org/10.1016/j.jtherbio.2006.01.008</v>
      </c>
      <c r="BG56" s="1" t="s">
        <v>74</v>
      </c>
      <c r="BH56" s="1" t="s">
        <v>74</v>
      </c>
      <c r="BI56" s="1" t="s">
        <v>74</v>
      </c>
      <c r="BJ56" s="1" t="s">
        <v>74</v>
      </c>
      <c r="BK56" s="1" t="s">
        <v>74</v>
      </c>
      <c r="BL56" s="1" t="s">
        <v>74</v>
      </c>
      <c r="BM56" s="1" t="s">
        <v>74</v>
      </c>
      <c r="BN56" s="1" t="s">
        <v>74</v>
      </c>
      <c r="BO56" s="1" t="s">
        <v>74</v>
      </c>
      <c r="BP56" s="1" t="s">
        <v>74</v>
      </c>
      <c r="BQ56" s="1" t="s">
        <v>74</v>
      </c>
      <c r="BR56" s="1" t="s">
        <v>74</v>
      </c>
      <c r="BS56" s="1" t="s">
        <v>2428</v>
      </c>
      <c r="BT56" s="1" t="str">
        <f>HYPERLINK("https%3A%2F%2Fwww.webofscience.com%2Fwos%2Fwoscc%2Ffull-record%2FWOS:000237171000013","View Full Record in Web of Science")</f>
        <v>View Full Record in Web of Science</v>
      </c>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row>
    <row r="57" spans="1:314" s="2" customFormat="1" x14ac:dyDescent="0.4">
      <c r="A57" s="1" t="s">
        <v>72</v>
      </c>
      <c r="B57" s="1" t="s">
        <v>349</v>
      </c>
      <c r="C57" s="1" t="s">
        <v>74</v>
      </c>
      <c r="D57" s="1" t="s">
        <v>74</v>
      </c>
      <c r="E57" s="1" t="s">
        <v>74</v>
      </c>
      <c r="F57" s="1" t="s">
        <v>349</v>
      </c>
      <c r="G57" s="1" t="s">
        <v>74</v>
      </c>
      <c r="H57" s="1" t="s">
        <v>74</v>
      </c>
      <c r="I57" s="1" t="s">
        <v>350</v>
      </c>
      <c r="J57" s="1" t="s">
        <v>201</v>
      </c>
      <c r="K57" s="1" t="s">
        <v>74</v>
      </c>
      <c r="L57" s="1" t="s">
        <v>74</v>
      </c>
      <c r="M57" s="1" t="s">
        <v>74</v>
      </c>
      <c r="N57" s="1" t="s">
        <v>74</v>
      </c>
      <c r="O57" s="1" t="s">
        <v>74</v>
      </c>
      <c r="P57" s="1" t="s">
        <v>74</v>
      </c>
      <c r="Q57" s="1" t="s">
        <v>74</v>
      </c>
      <c r="R57" s="1" t="s">
        <v>74</v>
      </c>
      <c r="S57" s="1" t="s">
        <v>74</v>
      </c>
      <c r="T57" s="1" t="s">
        <v>74</v>
      </c>
      <c r="U57" s="1" t="s">
        <v>74</v>
      </c>
      <c r="V57" s="4" t="s">
        <v>351</v>
      </c>
      <c r="W57" s="1" t="s">
        <v>74</v>
      </c>
      <c r="X57" s="1" t="s">
        <v>74</v>
      </c>
      <c r="Y57" s="1" t="s">
        <v>74</v>
      </c>
      <c r="Z57" s="1" t="s">
        <v>74</v>
      </c>
      <c r="AA57" s="1" t="s">
        <v>74</v>
      </c>
      <c r="AB57" s="1" t="s">
        <v>74</v>
      </c>
      <c r="AC57" s="1" t="s">
        <v>74</v>
      </c>
      <c r="AD57" s="1" t="s">
        <v>74</v>
      </c>
      <c r="AE57" s="1" t="s">
        <v>74</v>
      </c>
      <c r="AF57" s="1" t="s">
        <v>74</v>
      </c>
      <c r="AG57" s="1" t="s">
        <v>74</v>
      </c>
      <c r="AH57" s="1" t="s">
        <v>74</v>
      </c>
      <c r="AI57" s="1" t="s">
        <v>74</v>
      </c>
      <c r="AJ57" s="1" t="s">
        <v>74</v>
      </c>
      <c r="AK57" s="1" t="s">
        <v>74</v>
      </c>
      <c r="AL57" s="1" t="s">
        <v>74</v>
      </c>
      <c r="AM57" s="1" t="s">
        <v>74</v>
      </c>
      <c r="AN57" s="1" t="s">
        <v>74</v>
      </c>
      <c r="AO57" s="1" t="s">
        <v>203</v>
      </c>
      <c r="AP57" s="1" t="s">
        <v>74</v>
      </c>
      <c r="AQ57" s="1" t="s">
        <v>74</v>
      </c>
      <c r="AR57" s="1" t="s">
        <v>74</v>
      </c>
      <c r="AS57" s="1" t="s">
        <v>74</v>
      </c>
      <c r="AT57" s="1" t="s">
        <v>352</v>
      </c>
      <c r="AU57" s="1">
        <v>2002</v>
      </c>
      <c r="AV57" s="1">
        <v>61</v>
      </c>
      <c r="AW57" s="1">
        <v>3</v>
      </c>
      <c r="AX57" s="1" t="s">
        <v>74</v>
      </c>
      <c r="AY57" s="1" t="s">
        <v>74</v>
      </c>
      <c r="AZ57" s="1" t="s">
        <v>74</v>
      </c>
      <c r="BA57" s="1" t="s">
        <v>74</v>
      </c>
      <c r="BB57" s="1">
        <v>606</v>
      </c>
      <c r="BC57" s="1">
        <v>614</v>
      </c>
      <c r="BD57" s="1" t="s">
        <v>74</v>
      </c>
      <c r="BE57" s="1" t="s">
        <v>353</v>
      </c>
      <c r="BF57" s="1" t="str">
        <f>HYPERLINK("http://dx.doi.org/10.1006/jfbi.2002.2084","http://dx.doi.org/10.1006/jfbi.2002.2084")</f>
        <v>http://dx.doi.org/10.1006/jfbi.2002.2084</v>
      </c>
      <c r="BG57" s="1" t="s">
        <v>74</v>
      </c>
      <c r="BH57" s="1" t="s">
        <v>74</v>
      </c>
      <c r="BI57" s="1" t="s">
        <v>74</v>
      </c>
      <c r="BJ57" s="1" t="s">
        <v>74</v>
      </c>
      <c r="BK57" s="1" t="s">
        <v>74</v>
      </c>
      <c r="BL57" s="1" t="s">
        <v>74</v>
      </c>
      <c r="BM57" s="1" t="s">
        <v>74</v>
      </c>
      <c r="BN57" s="1" t="s">
        <v>74</v>
      </c>
      <c r="BO57" s="1" t="s">
        <v>74</v>
      </c>
      <c r="BP57" s="1" t="s">
        <v>74</v>
      </c>
      <c r="BQ57" s="1" t="s">
        <v>74</v>
      </c>
      <c r="BR57" s="1" t="s">
        <v>74</v>
      </c>
      <c r="BS57" s="1" t="s">
        <v>354</v>
      </c>
      <c r="BT57" s="1" t="str">
        <f>HYPERLINK("https%3A%2F%2Fwww.webofscience.com%2Fwos%2Fwoscc%2Ffull-record%2FWOS:000179168400007","View Full Record in Web of Science")</f>
        <v>View Full Record in Web of Science</v>
      </c>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row>
    <row r="58" spans="1:314" s="1" customFormat="1" x14ac:dyDescent="0.4">
      <c r="A58" s="1" t="s">
        <v>72</v>
      </c>
      <c r="B58" s="1" t="s">
        <v>3275</v>
      </c>
      <c r="C58" s="1" t="s">
        <v>74</v>
      </c>
      <c r="D58" s="1" t="s">
        <v>74</v>
      </c>
      <c r="E58" s="1" t="s">
        <v>74</v>
      </c>
      <c r="F58" s="1" t="s">
        <v>3276</v>
      </c>
      <c r="G58" s="1" t="s">
        <v>74</v>
      </c>
      <c r="H58" s="1" t="s">
        <v>74</v>
      </c>
      <c r="I58" s="1" t="s">
        <v>3277</v>
      </c>
      <c r="J58" s="1" t="s">
        <v>610</v>
      </c>
      <c r="K58" s="1" t="s">
        <v>74</v>
      </c>
      <c r="L58" s="1" t="s">
        <v>74</v>
      </c>
      <c r="M58" s="1" t="s">
        <v>74</v>
      </c>
      <c r="N58" s="1" t="s">
        <v>74</v>
      </c>
      <c r="O58" s="1" t="s">
        <v>74</v>
      </c>
      <c r="P58" s="1" t="s">
        <v>74</v>
      </c>
      <c r="Q58" s="1" t="s">
        <v>74</v>
      </c>
      <c r="R58" s="1" t="s">
        <v>74</v>
      </c>
      <c r="S58" s="1" t="s">
        <v>74</v>
      </c>
      <c r="T58" s="1" t="s">
        <v>74</v>
      </c>
      <c r="U58" s="1" t="s">
        <v>74</v>
      </c>
      <c r="V58" s="4" t="s">
        <v>3278</v>
      </c>
      <c r="W58" s="1" t="s">
        <v>74</v>
      </c>
      <c r="X58" s="1" t="s">
        <v>74</v>
      </c>
      <c r="Y58" s="1" t="s">
        <v>74</v>
      </c>
      <c r="Z58" s="1" t="s">
        <v>74</v>
      </c>
      <c r="AA58" s="1" t="s">
        <v>74</v>
      </c>
      <c r="AB58" s="1" t="s">
        <v>3279</v>
      </c>
      <c r="AC58" s="1" t="s">
        <v>74</v>
      </c>
      <c r="AD58" s="1" t="s">
        <v>74</v>
      </c>
      <c r="AE58" s="1" t="s">
        <v>74</v>
      </c>
      <c r="AF58" s="1" t="s">
        <v>74</v>
      </c>
      <c r="AG58" s="1" t="s">
        <v>74</v>
      </c>
      <c r="AH58" s="1" t="s">
        <v>74</v>
      </c>
      <c r="AI58" s="1" t="s">
        <v>74</v>
      </c>
      <c r="AJ58" s="1" t="s">
        <v>74</v>
      </c>
      <c r="AK58" s="1" t="s">
        <v>74</v>
      </c>
      <c r="AL58" s="1" t="s">
        <v>74</v>
      </c>
      <c r="AM58" s="1" t="s">
        <v>74</v>
      </c>
      <c r="AN58" s="1" t="s">
        <v>74</v>
      </c>
      <c r="AO58" s="1" t="s">
        <v>614</v>
      </c>
      <c r="AP58" s="1" t="s">
        <v>615</v>
      </c>
      <c r="AQ58" s="1" t="s">
        <v>74</v>
      </c>
      <c r="AR58" s="1" t="s">
        <v>74</v>
      </c>
      <c r="AS58" s="1" t="s">
        <v>74</v>
      </c>
      <c r="AT58" s="1" t="s">
        <v>213</v>
      </c>
      <c r="AU58" s="1">
        <v>2016</v>
      </c>
      <c r="AV58" s="1">
        <v>122</v>
      </c>
      <c r="AW58" s="1">
        <v>11</v>
      </c>
      <c r="AX58" s="1" t="s">
        <v>74</v>
      </c>
      <c r="AY58" s="1" t="s">
        <v>74</v>
      </c>
      <c r="AZ58" s="1" t="s">
        <v>74</v>
      </c>
      <c r="BA58" s="1" t="s">
        <v>74</v>
      </c>
      <c r="BB58" s="1">
        <v>892</v>
      </c>
      <c r="BC58" s="1">
        <v>901</v>
      </c>
      <c r="BD58" s="1" t="s">
        <v>74</v>
      </c>
      <c r="BE58" s="1" t="s">
        <v>3280</v>
      </c>
      <c r="BF58" s="1" t="str">
        <f>HYPERLINK("http://dx.doi.org/10.1111/eth.12534","http://dx.doi.org/10.1111/eth.12534")</f>
        <v>http://dx.doi.org/10.1111/eth.12534</v>
      </c>
      <c r="BG58" s="1" t="s">
        <v>74</v>
      </c>
      <c r="BH58" s="1" t="s">
        <v>74</v>
      </c>
      <c r="BI58" s="1" t="s">
        <v>74</v>
      </c>
      <c r="BJ58" s="1" t="s">
        <v>74</v>
      </c>
      <c r="BK58" s="1" t="s">
        <v>74</v>
      </c>
      <c r="BL58" s="1" t="s">
        <v>74</v>
      </c>
      <c r="BM58" s="1" t="s">
        <v>74</v>
      </c>
      <c r="BN58" s="1" t="s">
        <v>74</v>
      </c>
      <c r="BO58" s="1" t="s">
        <v>74</v>
      </c>
      <c r="BP58" s="1" t="s">
        <v>74</v>
      </c>
      <c r="BQ58" s="1" t="s">
        <v>74</v>
      </c>
      <c r="BR58" s="1" t="s">
        <v>74</v>
      </c>
      <c r="BS58" s="1" t="s">
        <v>3281</v>
      </c>
      <c r="BT58" s="1" t="str">
        <f>HYPERLINK("https%3A%2F%2Fwww.webofscience.com%2Fwos%2Fwoscc%2Ffull-record%2FWOS:000385572700005","View Full Record in Web of Science")</f>
        <v>View Full Record in Web of Science</v>
      </c>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row>
    <row r="59" spans="1:314" s="7" customFormat="1" x14ac:dyDescent="0.4">
      <c r="A59" s="1" t="s">
        <v>72</v>
      </c>
      <c r="B59" s="1" t="s">
        <v>991</v>
      </c>
      <c r="C59" s="1" t="s">
        <v>74</v>
      </c>
      <c r="D59" s="1" t="s">
        <v>74</v>
      </c>
      <c r="E59" s="1" t="s">
        <v>74</v>
      </c>
      <c r="F59" s="1" t="s">
        <v>992</v>
      </c>
      <c r="G59" s="1" t="s">
        <v>74</v>
      </c>
      <c r="H59" s="1" t="s">
        <v>74</v>
      </c>
      <c r="I59" s="1" t="s">
        <v>993</v>
      </c>
      <c r="J59" s="1" t="s">
        <v>775</v>
      </c>
      <c r="K59" s="1" t="s">
        <v>74</v>
      </c>
      <c r="L59" s="1" t="s">
        <v>74</v>
      </c>
      <c r="M59" s="1" t="s">
        <v>74</v>
      </c>
      <c r="N59" s="1" t="s">
        <v>74</v>
      </c>
      <c r="O59" s="1" t="s">
        <v>74</v>
      </c>
      <c r="P59" s="1" t="s">
        <v>74</v>
      </c>
      <c r="Q59" s="1" t="s">
        <v>74</v>
      </c>
      <c r="R59" s="1" t="s">
        <v>74</v>
      </c>
      <c r="S59" s="1" t="s">
        <v>74</v>
      </c>
      <c r="T59" s="1" t="s">
        <v>74</v>
      </c>
      <c r="U59" s="1" t="s">
        <v>74</v>
      </c>
      <c r="V59" s="4" t="s">
        <v>994</v>
      </c>
      <c r="W59" s="1" t="s">
        <v>74</v>
      </c>
      <c r="X59" s="1" t="s">
        <v>74</v>
      </c>
      <c r="Y59" s="1" t="s">
        <v>74</v>
      </c>
      <c r="Z59" s="1" t="s">
        <v>74</v>
      </c>
      <c r="AA59" s="1" t="s">
        <v>995</v>
      </c>
      <c r="AB59" s="1" t="s">
        <v>996</v>
      </c>
      <c r="AC59" s="1" t="s">
        <v>74</v>
      </c>
      <c r="AD59" s="1" t="s">
        <v>74</v>
      </c>
      <c r="AE59" s="1" t="s">
        <v>74</v>
      </c>
      <c r="AF59" s="1" t="s">
        <v>74</v>
      </c>
      <c r="AG59" s="1" t="s">
        <v>74</v>
      </c>
      <c r="AH59" s="1" t="s">
        <v>74</v>
      </c>
      <c r="AI59" s="1" t="s">
        <v>74</v>
      </c>
      <c r="AJ59" s="1" t="s">
        <v>74</v>
      </c>
      <c r="AK59" s="1" t="s">
        <v>74</v>
      </c>
      <c r="AL59" s="1" t="s">
        <v>74</v>
      </c>
      <c r="AM59" s="1" t="s">
        <v>74</v>
      </c>
      <c r="AN59" s="1" t="s">
        <v>74</v>
      </c>
      <c r="AO59" s="1" t="s">
        <v>778</v>
      </c>
      <c r="AP59" s="1" t="s">
        <v>779</v>
      </c>
      <c r="AQ59" s="1" t="s">
        <v>74</v>
      </c>
      <c r="AR59" s="1" t="s">
        <v>74</v>
      </c>
      <c r="AS59" s="1" t="s">
        <v>74</v>
      </c>
      <c r="AT59" s="1" t="s">
        <v>964</v>
      </c>
      <c r="AU59" s="1">
        <v>2018</v>
      </c>
      <c r="AV59" s="1">
        <v>64</v>
      </c>
      <c r="AW59" s="1">
        <v>1</v>
      </c>
      <c r="AX59" s="1" t="s">
        <v>74</v>
      </c>
      <c r="AY59" s="1" t="s">
        <v>74</v>
      </c>
      <c r="AZ59" s="1" t="s">
        <v>74</v>
      </c>
      <c r="BA59" s="1" t="s">
        <v>74</v>
      </c>
      <c r="BB59" s="1">
        <v>115</v>
      </c>
      <c r="BC59" s="1">
        <v>123</v>
      </c>
      <c r="BD59" s="1" t="s">
        <v>74</v>
      </c>
      <c r="BE59" s="1" t="s">
        <v>997</v>
      </c>
      <c r="BF59" s="1" t="str">
        <f>HYPERLINK("http://dx.doi.org/10.1093/cz/zox070","http://dx.doi.org/10.1093/cz/zox070")</f>
        <v>http://dx.doi.org/10.1093/cz/zox070</v>
      </c>
      <c r="BG59" s="1" t="s">
        <v>74</v>
      </c>
      <c r="BH59" s="1" t="s">
        <v>74</v>
      </c>
      <c r="BI59" s="1" t="s">
        <v>74</v>
      </c>
      <c r="BJ59" s="1" t="s">
        <v>74</v>
      </c>
      <c r="BK59" s="1" t="s">
        <v>74</v>
      </c>
      <c r="BL59" s="1" t="s">
        <v>74</v>
      </c>
      <c r="BM59" s="1" t="s">
        <v>74</v>
      </c>
      <c r="BN59" s="1">
        <v>29492044</v>
      </c>
      <c r="BO59" s="1" t="s">
        <v>74</v>
      </c>
      <c r="BP59" s="1" t="s">
        <v>74</v>
      </c>
      <c r="BQ59" s="1" t="s">
        <v>74</v>
      </c>
      <c r="BR59" s="1" t="s">
        <v>74</v>
      </c>
      <c r="BS59" s="1" t="s">
        <v>998</v>
      </c>
      <c r="BT59" s="1" t="str">
        <f>HYPERLINK("https%3A%2F%2Fwww.webofscience.com%2Fwos%2Fwoscc%2Ffull-record%2FWOS:000425719000012","View Full Record in Web of Science")</f>
        <v>View Full Record in Web of Science</v>
      </c>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row>
    <row r="60" spans="1:314" s="2" customFormat="1" x14ac:dyDescent="0.4">
      <c r="A60" s="1" t="s">
        <v>72</v>
      </c>
      <c r="B60" s="1" t="s">
        <v>4578</v>
      </c>
      <c r="C60" s="1" t="s">
        <v>74</v>
      </c>
      <c r="D60" s="1" t="s">
        <v>74</v>
      </c>
      <c r="E60" s="1" t="s">
        <v>74</v>
      </c>
      <c r="F60" s="1" t="s">
        <v>4579</v>
      </c>
      <c r="G60" s="1" t="s">
        <v>74</v>
      </c>
      <c r="H60" s="1" t="s">
        <v>74</v>
      </c>
      <c r="I60" s="1" t="s">
        <v>4580</v>
      </c>
      <c r="J60" s="1" t="s">
        <v>333</v>
      </c>
      <c r="K60" s="1" t="s">
        <v>74</v>
      </c>
      <c r="L60" s="1" t="s">
        <v>74</v>
      </c>
      <c r="M60" s="1" t="s">
        <v>74</v>
      </c>
      <c r="N60" s="1" t="s">
        <v>74</v>
      </c>
      <c r="O60" s="1" t="s">
        <v>74</v>
      </c>
      <c r="P60" s="1" t="s">
        <v>74</v>
      </c>
      <c r="Q60" s="1" t="s">
        <v>74</v>
      </c>
      <c r="R60" s="1" t="s">
        <v>74</v>
      </c>
      <c r="S60" s="1" t="s">
        <v>74</v>
      </c>
      <c r="T60" s="1" t="s">
        <v>74</v>
      </c>
      <c r="U60" s="1" t="s">
        <v>74</v>
      </c>
      <c r="V60" s="4" t="s">
        <v>4581</v>
      </c>
      <c r="W60" s="1" t="s">
        <v>74</v>
      </c>
      <c r="X60" s="1" t="s">
        <v>74</v>
      </c>
      <c r="Y60" s="1" t="s">
        <v>74</v>
      </c>
      <c r="Z60" s="1" t="s">
        <v>74</v>
      </c>
      <c r="AA60" s="1" t="s">
        <v>995</v>
      </c>
      <c r="AB60" s="1" t="s">
        <v>4582</v>
      </c>
      <c r="AC60" s="1" t="s">
        <v>74</v>
      </c>
      <c r="AD60" s="1" t="s">
        <v>74</v>
      </c>
      <c r="AE60" s="1" t="s">
        <v>74</v>
      </c>
      <c r="AF60" s="1" t="s">
        <v>74</v>
      </c>
      <c r="AG60" s="1" t="s">
        <v>74</v>
      </c>
      <c r="AH60" s="1" t="s">
        <v>74</v>
      </c>
      <c r="AI60" s="1" t="s">
        <v>74</v>
      </c>
      <c r="AJ60" s="1" t="s">
        <v>74</v>
      </c>
      <c r="AK60" s="1" t="s">
        <v>74</v>
      </c>
      <c r="AL60" s="1" t="s">
        <v>74</v>
      </c>
      <c r="AM60" s="1" t="s">
        <v>74</v>
      </c>
      <c r="AN60" s="1" t="s">
        <v>74</v>
      </c>
      <c r="AO60" s="1" t="s">
        <v>337</v>
      </c>
      <c r="AP60" s="1" t="s">
        <v>338</v>
      </c>
      <c r="AQ60" s="1" t="s">
        <v>74</v>
      </c>
      <c r="AR60" s="1" t="s">
        <v>74</v>
      </c>
      <c r="AS60" s="1" t="s">
        <v>74</v>
      </c>
      <c r="AT60" s="1" t="s">
        <v>1038</v>
      </c>
      <c r="AU60" s="1">
        <v>2015</v>
      </c>
      <c r="AV60" s="1">
        <v>26</v>
      </c>
      <c r="AW60" s="1">
        <v>2</v>
      </c>
      <c r="AX60" s="1" t="s">
        <v>74</v>
      </c>
      <c r="AY60" s="1" t="s">
        <v>74</v>
      </c>
      <c r="AZ60" s="1" t="s">
        <v>74</v>
      </c>
      <c r="BA60" s="1" t="s">
        <v>74</v>
      </c>
      <c r="BB60" s="1">
        <v>609</v>
      </c>
      <c r="BC60" s="1">
        <v>616</v>
      </c>
      <c r="BD60" s="1" t="s">
        <v>74</v>
      </c>
      <c r="BE60" s="1" t="s">
        <v>4583</v>
      </c>
      <c r="BF60" s="1" t="str">
        <f>HYPERLINK("http://dx.doi.org/10.1093/beheco/aru242","http://dx.doi.org/10.1093/beheco/aru242")</f>
        <v>http://dx.doi.org/10.1093/beheco/aru242</v>
      </c>
      <c r="BG60" s="1" t="s">
        <v>74</v>
      </c>
      <c r="BH60" s="1" t="s">
        <v>74</v>
      </c>
      <c r="BI60" s="1" t="s">
        <v>74</v>
      </c>
      <c r="BJ60" s="1" t="s">
        <v>74</v>
      </c>
      <c r="BK60" s="1" t="s">
        <v>74</v>
      </c>
      <c r="BL60" s="1" t="s">
        <v>74</v>
      </c>
      <c r="BM60" s="1" t="s">
        <v>74</v>
      </c>
      <c r="BN60" s="1" t="s">
        <v>74</v>
      </c>
      <c r="BO60" s="1" t="s">
        <v>74</v>
      </c>
      <c r="BP60" s="1" t="s">
        <v>74</v>
      </c>
      <c r="BQ60" s="1" t="s">
        <v>74</v>
      </c>
      <c r="BR60" s="1" t="s">
        <v>74</v>
      </c>
      <c r="BS60" s="1" t="s">
        <v>4584</v>
      </c>
      <c r="BT60" s="1" t="str">
        <f>HYPERLINK("https%3A%2F%2Fwww.webofscience.com%2Fwos%2Fwoscc%2Ffull-record%2FWOS:000352271800043","View Full Record in Web of Science")</f>
        <v>View Full Record in Web of Science</v>
      </c>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row>
    <row r="61" spans="1:314" s="7" customFormat="1" x14ac:dyDescent="0.4">
      <c r="A61" s="1" t="s">
        <v>72</v>
      </c>
      <c r="B61" s="1" t="s">
        <v>714</v>
      </c>
      <c r="C61" s="1" t="s">
        <v>74</v>
      </c>
      <c r="D61" s="1" t="s">
        <v>74</v>
      </c>
      <c r="E61" s="1" t="s">
        <v>74</v>
      </c>
      <c r="F61" s="1" t="s">
        <v>715</v>
      </c>
      <c r="G61" s="1" t="s">
        <v>74</v>
      </c>
      <c r="H61" s="1" t="s">
        <v>74</v>
      </c>
      <c r="I61" s="1" t="s">
        <v>716</v>
      </c>
      <c r="J61" s="1" t="s">
        <v>456</v>
      </c>
      <c r="K61" s="1" t="s">
        <v>74</v>
      </c>
      <c r="L61" s="1" t="s">
        <v>74</v>
      </c>
      <c r="M61" s="1" t="s">
        <v>74</v>
      </c>
      <c r="N61" s="1" t="s">
        <v>74</v>
      </c>
      <c r="O61" s="1" t="s">
        <v>74</v>
      </c>
      <c r="P61" s="1" t="s">
        <v>74</v>
      </c>
      <c r="Q61" s="1" t="s">
        <v>74</v>
      </c>
      <c r="R61" s="1" t="s">
        <v>74</v>
      </c>
      <c r="S61" s="1" t="s">
        <v>74</v>
      </c>
      <c r="T61" s="1" t="s">
        <v>74</v>
      </c>
      <c r="U61" s="1" t="s">
        <v>74</v>
      </c>
      <c r="V61" s="4" t="s">
        <v>717</v>
      </c>
      <c r="W61" s="1" t="s">
        <v>74</v>
      </c>
      <c r="X61" s="1" t="s">
        <v>74</v>
      </c>
      <c r="Y61" s="1" t="s">
        <v>74</v>
      </c>
      <c r="Z61" s="1" t="s">
        <v>74</v>
      </c>
      <c r="AA61" s="1" t="s">
        <v>718</v>
      </c>
      <c r="AB61" s="1" t="s">
        <v>719</v>
      </c>
      <c r="AC61" s="1" t="s">
        <v>74</v>
      </c>
      <c r="AD61" s="1" t="s">
        <v>74</v>
      </c>
      <c r="AE61" s="1" t="s">
        <v>74</v>
      </c>
      <c r="AF61" s="1" t="s">
        <v>74</v>
      </c>
      <c r="AG61" s="1" t="s">
        <v>74</v>
      </c>
      <c r="AH61" s="1" t="s">
        <v>74</v>
      </c>
      <c r="AI61" s="1" t="s">
        <v>74</v>
      </c>
      <c r="AJ61" s="1" t="s">
        <v>74</v>
      </c>
      <c r="AK61" s="1" t="s">
        <v>74</v>
      </c>
      <c r="AL61" s="1" t="s">
        <v>74</v>
      </c>
      <c r="AM61" s="1" t="s">
        <v>74</v>
      </c>
      <c r="AN61" s="1" t="s">
        <v>74</v>
      </c>
      <c r="AO61" s="1" t="s">
        <v>460</v>
      </c>
      <c r="AP61" s="1" t="s">
        <v>461</v>
      </c>
      <c r="AQ61" s="1" t="s">
        <v>74</v>
      </c>
      <c r="AR61" s="1" t="s">
        <v>74</v>
      </c>
      <c r="AS61" s="1" t="s">
        <v>74</v>
      </c>
      <c r="AT61" s="1" t="s">
        <v>633</v>
      </c>
      <c r="AU61" s="1">
        <v>2018</v>
      </c>
      <c r="AV61" s="1">
        <v>304</v>
      </c>
      <c r="AW61" s="1">
        <v>4</v>
      </c>
      <c r="AX61" s="1" t="s">
        <v>74</v>
      </c>
      <c r="AY61" s="1" t="s">
        <v>74</v>
      </c>
      <c r="AZ61" s="1" t="s">
        <v>74</v>
      </c>
      <c r="BA61" s="1" t="s">
        <v>74</v>
      </c>
      <c r="BB61" s="1">
        <v>260</v>
      </c>
      <c r="BC61" s="1">
        <v>267</v>
      </c>
      <c r="BD61" s="1" t="s">
        <v>74</v>
      </c>
      <c r="BE61" s="1" t="s">
        <v>720</v>
      </c>
      <c r="BF61" s="1" t="str">
        <f>HYPERLINK("http://dx.doi.org/10.1111/jzo.12524","http://dx.doi.org/10.1111/jzo.12524")</f>
        <v>http://dx.doi.org/10.1111/jzo.12524</v>
      </c>
      <c r="BG61" s="1" t="s">
        <v>74</v>
      </c>
      <c r="BH61" s="1" t="s">
        <v>74</v>
      </c>
      <c r="BI61" s="1" t="s">
        <v>74</v>
      </c>
      <c r="BJ61" s="1" t="s">
        <v>74</v>
      </c>
      <c r="BK61" s="1" t="s">
        <v>74</v>
      </c>
      <c r="BL61" s="1" t="s">
        <v>74</v>
      </c>
      <c r="BM61" s="1" t="s">
        <v>74</v>
      </c>
      <c r="BN61" s="1" t="s">
        <v>74</v>
      </c>
      <c r="BO61" s="1" t="s">
        <v>74</v>
      </c>
      <c r="BP61" s="1" t="s">
        <v>74</v>
      </c>
      <c r="BQ61" s="1" t="s">
        <v>74</v>
      </c>
      <c r="BR61" s="1" t="s">
        <v>74</v>
      </c>
      <c r="BS61" s="1" t="s">
        <v>721</v>
      </c>
      <c r="BT61" s="1" t="str">
        <f>HYPERLINK("https%3A%2F%2Fwww.webofscience.com%2Fwos%2Fwoscc%2Ffull-record%2FWOS:000429420900005","View Full Record in Web of Science")</f>
        <v>View Full Record in Web of Science</v>
      </c>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row>
    <row r="62" spans="1:314" s="2" customFormat="1" x14ac:dyDescent="0.4">
      <c r="A62" s="1" t="s">
        <v>72</v>
      </c>
      <c r="B62" s="1" t="s">
        <v>2084</v>
      </c>
      <c r="C62" s="1" t="s">
        <v>74</v>
      </c>
      <c r="D62" s="1" t="s">
        <v>74</v>
      </c>
      <c r="E62" s="1" t="s">
        <v>74</v>
      </c>
      <c r="F62" s="1" t="s">
        <v>2085</v>
      </c>
      <c r="G62" s="1" t="s">
        <v>74</v>
      </c>
      <c r="H62" s="1" t="s">
        <v>74</v>
      </c>
      <c r="I62" s="1" t="s">
        <v>2086</v>
      </c>
      <c r="J62" s="1" t="s">
        <v>2087</v>
      </c>
      <c r="K62" s="1" t="s">
        <v>74</v>
      </c>
      <c r="L62" s="1" t="s">
        <v>74</v>
      </c>
      <c r="M62" s="1" t="s">
        <v>74</v>
      </c>
      <c r="N62" s="1" t="s">
        <v>74</v>
      </c>
      <c r="O62" s="1" t="s">
        <v>74</v>
      </c>
      <c r="P62" s="1" t="s">
        <v>74</v>
      </c>
      <c r="Q62" s="1" t="s">
        <v>74</v>
      </c>
      <c r="R62" s="1" t="s">
        <v>74</v>
      </c>
      <c r="S62" s="1" t="s">
        <v>74</v>
      </c>
      <c r="T62" s="1" t="s">
        <v>74</v>
      </c>
      <c r="U62" s="1" t="s">
        <v>74</v>
      </c>
      <c r="V62" s="4" t="s">
        <v>2088</v>
      </c>
      <c r="W62" s="1" t="s">
        <v>74</v>
      </c>
      <c r="X62" s="1" t="s">
        <v>74</v>
      </c>
      <c r="Y62" s="1" t="s">
        <v>74</v>
      </c>
      <c r="Z62" s="1" t="s">
        <v>74</v>
      </c>
      <c r="AA62" s="1" t="s">
        <v>74</v>
      </c>
      <c r="AB62" s="1" t="s">
        <v>74</v>
      </c>
      <c r="AC62" s="1" t="s">
        <v>74</v>
      </c>
      <c r="AD62" s="1" t="s">
        <v>74</v>
      </c>
      <c r="AE62" s="1" t="s">
        <v>74</v>
      </c>
      <c r="AF62" s="1" t="s">
        <v>74</v>
      </c>
      <c r="AG62" s="1" t="s">
        <v>74</v>
      </c>
      <c r="AH62" s="1" t="s">
        <v>74</v>
      </c>
      <c r="AI62" s="1" t="s">
        <v>74</v>
      </c>
      <c r="AJ62" s="1" t="s">
        <v>74</v>
      </c>
      <c r="AK62" s="1" t="s">
        <v>74</v>
      </c>
      <c r="AL62" s="1" t="s">
        <v>74</v>
      </c>
      <c r="AM62" s="1" t="s">
        <v>74</v>
      </c>
      <c r="AN62" s="1" t="s">
        <v>74</v>
      </c>
      <c r="AO62" s="1" t="s">
        <v>2089</v>
      </c>
      <c r="AP62" s="1" t="s">
        <v>74</v>
      </c>
      <c r="AQ62" s="1" t="s">
        <v>74</v>
      </c>
      <c r="AR62" s="1" t="s">
        <v>74</v>
      </c>
      <c r="AS62" s="1" t="s">
        <v>74</v>
      </c>
      <c r="AT62" s="1" t="s">
        <v>74</v>
      </c>
      <c r="AU62" s="1">
        <v>2008</v>
      </c>
      <c r="AV62" s="1">
        <v>15</v>
      </c>
      <c r="AW62" s="1">
        <v>3</v>
      </c>
      <c r="AX62" s="1" t="s">
        <v>74</v>
      </c>
      <c r="AY62" s="1" t="s">
        <v>74</v>
      </c>
      <c r="AZ62" s="1" t="s">
        <v>74</v>
      </c>
      <c r="BA62" s="1" t="s">
        <v>74</v>
      </c>
      <c r="BB62" s="1">
        <v>320</v>
      </c>
      <c r="BC62" s="1">
        <v>326</v>
      </c>
      <c r="BD62" s="1" t="s">
        <v>74</v>
      </c>
      <c r="BE62" s="1" t="s">
        <v>2090</v>
      </c>
      <c r="BF62" s="1" t="str">
        <f>HYPERLINK("http://dx.doi.org/10.2980/15-3-3135","http://dx.doi.org/10.2980/15-3-3135")</f>
        <v>http://dx.doi.org/10.2980/15-3-3135</v>
      </c>
      <c r="BG62" s="1" t="s">
        <v>74</v>
      </c>
      <c r="BH62" s="1" t="s">
        <v>74</v>
      </c>
      <c r="BI62" s="1" t="s">
        <v>74</v>
      </c>
      <c r="BJ62" s="1" t="s">
        <v>74</v>
      </c>
      <c r="BK62" s="1" t="s">
        <v>74</v>
      </c>
      <c r="BL62" s="1" t="s">
        <v>74</v>
      </c>
      <c r="BM62" s="1" t="s">
        <v>74</v>
      </c>
      <c r="BN62" s="1" t="s">
        <v>74</v>
      </c>
      <c r="BO62" s="1" t="s">
        <v>74</v>
      </c>
      <c r="BP62" s="1" t="s">
        <v>74</v>
      </c>
      <c r="BQ62" s="1" t="s">
        <v>74</v>
      </c>
      <c r="BR62" s="1" t="s">
        <v>74</v>
      </c>
      <c r="BS62" s="1" t="s">
        <v>2091</v>
      </c>
      <c r="BT62" s="1" t="str">
        <f>HYPERLINK("https%3A%2F%2Fwww.webofscience.com%2Fwos%2Fwoscc%2Ffull-record%2FWOS:000259841500005","View Full Record in Web of Science")</f>
        <v>View Full Record in Web of Science</v>
      </c>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row>
    <row r="63" spans="1:314" s="2" customFormat="1" x14ac:dyDescent="0.4">
      <c r="A63" s="1" t="s">
        <v>72</v>
      </c>
      <c r="B63" s="1" t="s">
        <v>1461</v>
      </c>
      <c r="C63" s="1" t="s">
        <v>74</v>
      </c>
      <c r="D63" s="1" t="s">
        <v>74</v>
      </c>
      <c r="E63" s="1" t="s">
        <v>74</v>
      </c>
      <c r="F63" s="1" t="s">
        <v>1462</v>
      </c>
      <c r="G63" s="1" t="s">
        <v>74</v>
      </c>
      <c r="H63" s="1" t="s">
        <v>74</v>
      </c>
      <c r="I63" s="1" t="s">
        <v>1463</v>
      </c>
      <c r="J63" s="1" t="s">
        <v>140</v>
      </c>
      <c r="K63" s="1" t="s">
        <v>74</v>
      </c>
      <c r="L63" s="1" t="s">
        <v>74</v>
      </c>
      <c r="M63" s="1" t="s">
        <v>74</v>
      </c>
      <c r="N63" s="1" t="s">
        <v>74</v>
      </c>
      <c r="O63" s="1" t="s">
        <v>74</v>
      </c>
      <c r="P63" s="1" t="s">
        <v>74</v>
      </c>
      <c r="Q63" s="1" t="s">
        <v>74</v>
      </c>
      <c r="R63" s="1" t="s">
        <v>74</v>
      </c>
      <c r="S63" s="1" t="s">
        <v>74</v>
      </c>
      <c r="T63" s="1" t="s">
        <v>74</v>
      </c>
      <c r="U63" s="1" t="s">
        <v>74</v>
      </c>
      <c r="V63" s="4" t="s">
        <v>1464</v>
      </c>
      <c r="W63" s="1" t="s">
        <v>74</v>
      </c>
      <c r="X63" s="1" t="s">
        <v>74</v>
      </c>
      <c r="Y63" s="1" t="s">
        <v>74</v>
      </c>
      <c r="Z63" s="1" t="s">
        <v>74</v>
      </c>
      <c r="AA63" s="1" t="s">
        <v>1465</v>
      </c>
      <c r="AB63" s="1" t="s">
        <v>1466</v>
      </c>
      <c r="AC63" s="1" t="s">
        <v>74</v>
      </c>
      <c r="AD63" s="1" t="s">
        <v>74</v>
      </c>
      <c r="AE63" s="1" t="s">
        <v>74</v>
      </c>
      <c r="AF63" s="1" t="s">
        <v>74</v>
      </c>
      <c r="AG63" s="1" t="s">
        <v>74</v>
      </c>
      <c r="AH63" s="1" t="s">
        <v>74</v>
      </c>
      <c r="AI63" s="1" t="s">
        <v>74</v>
      </c>
      <c r="AJ63" s="1" t="s">
        <v>74</v>
      </c>
      <c r="AK63" s="1" t="s">
        <v>74</v>
      </c>
      <c r="AL63" s="1" t="s">
        <v>74</v>
      </c>
      <c r="AM63" s="1" t="s">
        <v>74</v>
      </c>
      <c r="AN63" s="1" t="s">
        <v>74</v>
      </c>
      <c r="AO63" s="1" t="s">
        <v>143</v>
      </c>
      <c r="AP63" s="1" t="s">
        <v>144</v>
      </c>
      <c r="AQ63" s="1" t="s">
        <v>74</v>
      </c>
      <c r="AR63" s="1" t="s">
        <v>74</v>
      </c>
      <c r="AS63" s="1" t="s">
        <v>74</v>
      </c>
      <c r="AT63" s="1" t="s">
        <v>204</v>
      </c>
      <c r="AU63" s="1">
        <v>2012</v>
      </c>
      <c r="AV63" s="1">
        <v>84</v>
      </c>
      <c r="AW63" s="1">
        <v>1</v>
      </c>
      <c r="AX63" s="1" t="s">
        <v>74</v>
      </c>
      <c r="AY63" s="1" t="s">
        <v>74</v>
      </c>
      <c r="AZ63" s="1" t="s">
        <v>74</v>
      </c>
      <c r="BA63" s="1" t="s">
        <v>74</v>
      </c>
      <c r="BB63" s="1">
        <v>159</v>
      </c>
      <c r="BC63" s="1">
        <v>165</v>
      </c>
      <c r="BD63" s="1" t="s">
        <v>74</v>
      </c>
      <c r="BE63" s="1" t="s">
        <v>1467</v>
      </c>
      <c r="BF63" s="1" t="str">
        <f>HYPERLINK("http://dx.doi.org/10.1016/j.anbehav.2012.04.025","http://dx.doi.org/10.1016/j.anbehav.2012.04.025")</f>
        <v>http://dx.doi.org/10.1016/j.anbehav.2012.04.025</v>
      </c>
      <c r="BG63" s="1" t="s">
        <v>74</v>
      </c>
      <c r="BH63" s="1" t="s">
        <v>74</v>
      </c>
      <c r="BI63" s="1" t="s">
        <v>74</v>
      </c>
      <c r="BJ63" s="1" t="s">
        <v>74</v>
      </c>
      <c r="BK63" s="1" t="s">
        <v>74</v>
      </c>
      <c r="BL63" s="1" t="s">
        <v>74</v>
      </c>
      <c r="BM63" s="1" t="s">
        <v>74</v>
      </c>
      <c r="BN63" s="1" t="s">
        <v>74</v>
      </c>
      <c r="BO63" s="1" t="s">
        <v>74</v>
      </c>
      <c r="BP63" s="1" t="s">
        <v>74</v>
      </c>
      <c r="BQ63" s="1" t="s">
        <v>74</v>
      </c>
      <c r="BR63" s="1" t="s">
        <v>74</v>
      </c>
      <c r="BS63" s="1" t="s">
        <v>1468</v>
      </c>
      <c r="BT63" s="1" t="str">
        <f>HYPERLINK("https%3A%2F%2Fwww.webofscience.com%2Fwos%2Fwoscc%2Ffull-record%2FWOS:000305748000020","View Full Record in Web of Science")</f>
        <v>View Full Record in Web of Science</v>
      </c>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row>
    <row r="64" spans="1:314" s="2" customFormat="1" x14ac:dyDescent="0.4">
      <c r="A64" s="1" t="s">
        <v>72</v>
      </c>
      <c r="B64" s="1" t="s">
        <v>585</v>
      </c>
      <c r="C64" s="1" t="s">
        <v>74</v>
      </c>
      <c r="D64" s="1" t="s">
        <v>74</v>
      </c>
      <c r="E64" s="1" t="s">
        <v>74</v>
      </c>
      <c r="F64" s="1" t="s">
        <v>586</v>
      </c>
      <c r="G64" s="1" t="s">
        <v>74</v>
      </c>
      <c r="H64" s="1" t="s">
        <v>74</v>
      </c>
      <c r="I64" s="1" t="s">
        <v>587</v>
      </c>
      <c r="J64" s="1" t="s">
        <v>218</v>
      </c>
      <c r="K64" s="1" t="s">
        <v>74</v>
      </c>
      <c r="L64" s="1" t="s">
        <v>74</v>
      </c>
      <c r="M64" s="1" t="s">
        <v>74</v>
      </c>
      <c r="N64" s="1" t="s">
        <v>74</v>
      </c>
      <c r="O64" s="1" t="s">
        <v>74</v>
      </c>
      <c r="P64" s="1" t="s">
        <v>74</v>
      </c>
      <c r="Q64" s="1" t="s">
        <v>74</v>
      </c>
      <c r="R64" s="1" t="s">
        <v>74</v>
      </c>
      <c r="S64" s="1" t="s">
        <v>74</v>
      </c>
      <c r="T64" s="1" t="s">
        <v>74</v>
      </c>
      <c r="U64" s="1" t="s">
        <v>74</v>
      </c>
      <c r="V64" s="4" t="s">
        <v>588</v>
      </c>
      <c r="W64" s="1" t="s">
        <v>74</v>
      </c>
      <c r="X64" s="1" t="s">
        <v>74</v>
      </c>
      <c r="Y64" s="1" t="s">
        <v>74</v>
      </c>
      <c r="Z64" s="1" t="s">
        <v>74</v>
      </c>
      <c r="AA64" s="1" t="s">
        <v>589</v>
      </c>
      <c r="AB64" s="1" t="s">
        <v>590</v>
      </c>
      <c r="AC64" s="1" t="s">
        <v>74</v>
      </c>
      <c r="AD64" s="1" t="s">
        <v>74</v>
      </c>
      <c r="AE64" s="1" t="s">
        <v>74</v>
      </c>
      <c r="AF64" s="1" t="s">
        <v>74</v>
      </c>
      <c r="AG64" s="1" t="s">
        <v>74</v>
      </c>
      <c r="AH64" s="1" t="s">
        <v>74</v>
      </c>
      <c r="AI64" s="1" t="s">
        <v>74</v>
      </c>
      <c r="AJ64" s="1" t="s">
        <v>74</v>
      </c>
      <c r="AK64" s="1" t="s">
        <v>74</v>
      </c>
      <c r="AL64" s="1" t="s">
        <v>74</v>
      </c>
      <c r="AM64" s="1" t="s">
        <v>74</v>
      </c>
      <c r="AN64" s="1" t="s">
        <v>74</v>
      </c>
      <c r="AO64" s="1" t="s">
        <v>221</v>
      </c>
      <c r="AP64" s="1" t="s">
        <v>222</v>
      </c>
      <c r="AQ64" s="1" t="s">
        <v>74</v>
      </c>
      <c r="AR64" s="1" t="s">
        <v>74</v>
      </c>
      <c r="AS64" s="1" t="s">
        <v>74</v>
      </c>
      <c r="AT64" s="1" t="s">
        <v>123</v>
      </c>
      <c r="AU64" s="1">
        <v>2018</v>
      </c>
      <c r="AV64" s="1">
        <v>31</v>
      </c>
      <c r="AW64" s="1">
        <v>3</v>
      </c>
      <c r="AX64" s="1" t="s">
        <v>74</v>
      </c>
      <c r="AY64" s="1" t="s">
        <v>74</v>
      </c>
      <c r="AZ64" s="1" t="s">
        <v>74</v>
      </c>
      <c r="BA64" s="1" t="s">
        <v>74</v>
      </c>
      <c r="BB64" s="1">
        <v>457</v>
      </c>
      <c r="BC64" s="1">
        <v>468</v>
      </c>
      <c r="BD64" s="1" t="s">
        <v>74</v>
      </c>
      <c r="BE64" s="1" t="s">
        <v>591</v>
      </c>
      <c r="BF64" s="1" t="str">
        <f>HYPERLINK("http://dx.doi.org/10.1111/jeb.13243","http://dx.doi.org/10.1111/jeb.13243")</f>
        <v>http://dx.doi.org/10.1111/jeb.13243</v>
      </c>
      <c r="BG64" s="1" t="s">
        <v>74</v>
      </c>
      <c r="BH64" s="1" t="s">
        <v>74</v>
      </c>
      <c r="BI64" s="1" t="s">
        <v>74</v>
      </c>
      <c r="BJ64" s="1" t="s">
        <v>74</v>
      </c>
      <c r="BK64" s="1" t="s">
        <v>74</v>
      </c>
      <c r="BL64" s="1" t="s">
        <v>74</v>
      </c>
      <c r="BM64" s="1" t="s">
        <v>74</v>
      </c>
      <c r="BN64" s="1">
        <v>29345026</v>
      </c>
      <c r="BO64" s="1" t="s">
        <v>74</v>
      </c>
      <c r="BP64" s="1" t="s">
        <v>74</v>
      </c>
      <c r="BQ64" s="1" t="s">
        <v>74</v>
      </c>
      <c r="BR64" s="1" t="s">
        <v>74</v>
      </c>
      <c r="BS64" s="1" t="s">
        <v>592</v>
      </c>
      <c r="BT64" s="1" t="str">
        <f>HYPERLINK("https%3A%2F%2Fwww.webofscience.com%2Fwos%2Fwoscc%2Ffull-record%2FWOS:000426731400012","View Full Record in Web of Science")</f>
        <v>View Full Record in Web of Science</v>
      </c>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row>
    <row r="65" spans="1:314" s="2" customFormat="1" x14ac:dyDescent="0.4">
      <c r="A65" s="1" t="s">
        <v>72</v>
      </c>
      <c r="B65" s="1" t="s">
        <v>258</v>
      </c>
      <c r="C65" s="1" t="s">
        <v>74</v>
      </c>
      <c r="D65" s="1" t="s">
        <v>74</v>
      </c>
      <c r="E65" s="1" t="s">
        <v>74</v>
      </c>
      <c r="F65" s="1" t="s">
        <v>259</v>
      </c>
      <c r="G65" s="1" t="s">
        <v>74</v>
      </c>
      <c r="H65" s="1" t="s">
        <v>74</v>
      </c>
      <c r="I65" s="1" t="s">
        <v>260</v>
      </c>
      <c r="J65" s="1" t="s">
        <v>140</v>
      </c>
      <c r="K65" s="1" t="s">
        <v>74</v>
      </c>
      <c r="L65" s="1" t="s">
        <v>74</v>
      </c>
      <c r="M65" s="1" t="s">
        <v>74</v>
      </c>
      <c r="N65" s="1" t="s">
        <v>74</v>
      </c>
      <c r="O65" s="1" t="s">
        <v>74</v>
      </c>
      <c r="P65" s="1" t="s">
        <v>74</v>
      </c>
      <c r="Q65" s="1" t="s">
        <v>74</v>
      </c>
      <c r="R65" s="1" t="s">
        <v>74</v>
      </c>
      <c r="S65" s="1" t="s">
        <v>74</v>
      </c>
      <c r="T65" s="1" t="s">
        <v>74</v>
      </c>
      <c r="U65" s="1" t="s">
        <v>74</v>
      </c>
      <c r="V65" s="4" t="s">
        <v>261</v>
      </c>
      <c r="W65" s="1" t="s">
        <v>74</v>
      </c>
      <c r="X65" s="1" t="s">
        <v>74</v>
      </c>
      <c r="Y65" s="1" t="s">
        <v>74</v>
      </c>
      <c r="Z65" s="1" t="s">
        <v>74</v>
      </c>
      <c r="AA65" s="1" t="s">
        <v>74</v>
      </c>
      <c r="AB65" s="1" t="s">
        <v>262</v>
      </c>
      <c r="AC65" s="1" t="s">
        <v>74</v>
      </c>
      <c r="AD65" s="1" t="s">
        <v>74</v>
      </c>
      <c r="AE65" s="1" t="s">
        <v>74</v>
      </c>
      <c r="AF65" s="1" t="s">
        <v>74</v>
      </c>
      <c r="AG65" s="1" t="s">
        <v>74</v>
      </c>
      <c r="AH65" s="1" t="s">
        <v>74</v>
      </c>
      <c r="AI65" s="1" t="s">
        <v>74</v>
      </c>
      <c r="AJ65" s="1" t="s">
        <v>74</v>
      </c>
      <c r="AK65" s="1" t="s">
        <v>74</v>
      </c>
      <c r="AL65" s="1" t="s">
        <v>74</v>
      </c>
      <c r="AM65" s="1" t="s">
        <v>74</v>
      </c>
      <c r="AN65" s="1" t="s">
        <v>74</v>
      </c>
      <c r="AO65" s="1" t="s">
        <v>143</v>
      </c>
      <c r="AP65" s="1" t="s">
        <v>144</v>
      </c>
      <c r="AQ65" s="1" t="s">
        <v>74</v>
      </c>
      <c r="AR65" s="1" t="s">
        <v>74</v>
      </c>
      <c r="AS65" s="1" t="s">
        <v>74</v>
      </c>
      <c r="AT65" s="1" t="s">
        <v>255</v>
      </c>
      <c r="AU65" s="1">
        <v>2016</v>
      </c>
      <c r="AV65" s="1">
        <v>111</v>
      </c>
      <c r="AW65" s="1" t="s">
        <v>74</v>
      </c>
      <c r="AX65" s="1" t="s">
        <v>74</v>
      </c>
      <c r="AY65" s="1" t="s">
        <v>74</v>
      </c>
      <c r="AZ65" s="1" t="s">
        <v>74</v>
      </c>
      <c r="BA65" s="1" t="s">
        <v>74</v>
      </c>
      <c r="BB65" s="1">
        <v>329</v>
      </c>
      <c r="BC65" s="1">
        <v>339</v>
      </c>
      <c r="BD65" s="1" t="s">
        <v>74</v>
      </c>
      <c r="BE65" s="1" t="s">
        <v>263</v>
      </c>
      <c r="BF65" s="1" t="str">
        <f>HYPERLINK("http://dx.doi.org/10.1016/j.anbehav.2015.10.029","http://dx.doi.org/10.1016/j.anbehav.2015.10.029")</f>
        <v>http://dx.doi.org/10.1016/j.anbehav.2015.10.029</v>
      </c>
      <c r="BG65" s="1" t="s">
        <v>74</v>
      </c>
      <c r="BH65" s="1" t="s">
        <v>74</v>
      </c>
      <c r="BI65" s="1" t="s">
        <v>74</v>
      </c>
      <c r="BJ65" s="1" t="s">
        <v>74</v>
      </c>
      <c r="BK65" s="1" t="s">
        <v>74</v>
      </c>
      <c r="BL65" s="1" t="s">
        <v>74</v>
      </c>
      <c r="BM65" s="1" t="s">
        <v>74</v>
      </c>
      <c r="BN65" s="1" t="s">
        <v>74</v>
      </c>
      <c r="BO65" s="1" t="s">
        <v>74</v>
      </c>
      <c r="BP65" s="1" t="s">
        <v>74</v>
      </c>
      <c r="BQ65" s="1" t="s">
        <v>74</v>
      </c>
      <c r="BR65" s="1" t="s">
        <v>74</v>
      </c>
      <c r="BS65" s="1" t="s">
        <v>264</v>
      </c>
      <c r="BT65" s="1" t="str">
        <f>HYPERLINK("https%3A%2F%2Fwww.webofscience.com%2Fwos%2Fwoscc%2Ffull-record%2FWOS:000367374000038","View Full Record in Web of Science")</f>
        <v>View Full Record in Web of Science</v>
      </c>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row>
    <row r="66" spans="1:314" s="2" customFormat="1" x14ac:dyDescent="0.4">
      <c r="A66" s="1" t="s">
        <v>72</v>
      </c>
      <c r="B66" s="1" t="s">
        <v>772</v>
      </c>
      <c r="C66" s="1" t="s">
        <v>74</v>
      </c>
      <c r="D66" s="1" t="s">
        <v>74</v>
      </c>
      <c r="E66" s="1" t="s">
        <v>74</v>
      </c>
      <c r="F66" s="1" t="s">
        <v>773</v>
      </c>
      <c r="G66" s="1" t="s">
        <v>74</v>
      </c>
      <c r="H66" s="1" t="s">
        <v>74</v>
      </c>
      <c r="I66" s="1" t="s">
        <v>774</v>
      </c>
      <c r="J66" s="1" t="s">
        <v>775</v>
      </c>
      <c r="K66" s="1" t="s">
        <v>74</v>
      </c>
      <c r="L66" s="1" t="s">
        <v>74</v>
      </c>
      <c r="M66" s="1" t="s">
        <v>74</v>
      </c>
      <c r="N66" s="1" t="s">
        <v>74</v>
      </c>
      <c r="O66" s="1" t="s">
        <v>74</v>
      </c>
      <c r="P66" s="1" t="s">
        <v>74</v>
      </c>
      <c r="Q66" s="1" t="s">
        <v>74</v>
      </c>
      <c r="R66" s="1" t="s">
        <v>74</v>
      </c>
      <c r="S66" s="1" t="s">
        <v>74</v>
      </c>
      <c r="T66" s="1" t="s">
        <v>74</v>
      </c>
      <c r="U66" s="1" t="s">
        <v>74</v>
      </c>
      <c r="V66" s="4" t="s">
        <v>776</v>
      </c>
      <c r="W66" s="1" t="s">
        <v>74</v>
      </c>
      <c r="X66" s="1" t="s">
        <v>74</v>
      </c>
      <c r="Y66" s="1" t="s">
        <v>74</v>
      </c>
      <c r="Z66" s="1" t="s">
        <v>74</v>
      </c>
      <c r="AA66" s="1" t="s">
        <v>74</v>
      </c>
      <c r="AB66" s="1" t="s">
        <v>777</v>
      </c>
      <c r="AC66" s="1" t="s">
        <v>74</v>
      </c>
      <c r="AD66" s="1" t="s">
        <v>74</v>
      </c>
      <c r="AE66" s="1" t="s">
        <v>74</v>
      </c>
      <c r="AF66" s="1" t="s">
        <v>74</v>
      </c>
      <c r="AG66" s="1" t="s">
        <v>74</v>
      </c>
      <c r="AH66" s="1" t="s">
        <v>74</v>
      </c>
      <c r="AI66" s="1" t="s">
        <v>74</v>
      </c>
      <c r="AJ66" s="1" t="s">
        <v>74</v>
      </c>
      <c r="AK66" s="1" t="s">
        <v>74</v>
      </c>
      <c r="AL66" s="1" t="s">
        <v>74</v>
      </c>
      <c r="AM66" s="1" t="s">
        <v>74</v>
      </c>
      <c r="AN66" s="1" t="s">
        <v>74</v>
      </c>
      <c r="AO66" s="1" t="s">
        <v>778</v>
      </c>
      <c r="AP66" s="1" t="s">
        <v>779</v>
      </c>
      <c r="AQ66" s="1" t="s">
        <v>74</v>
      </c>
      <c r="AR66" s="1" t="s">
        <v>74</v>
      </c>
      <c r="AS66" s="1" t="s">
        <v>74</v>
      </c>
      <c r="AT66" s="1" t="s">
        <v>102</v>
      </c>
      <c r="AU66" s="1">
        <v>2018</v>
      </c>
      <c r="AV66" s="1">
        <v>64</v>
      </c>
      <c r="AW66" s="1">
        <v>3</v>
      </c>
      <c r="AX66" s="1" t="s">
        <v>74</v>
      </c>
      <c r="AY66" s="1" t="s">
        <v>74</v>
      </c>
      <c r="AZ66" s="1" t="s">
        <v>74</v>
      </c>
      <c r="BA66" s="1" t="s">
        <v>74</v>
      </c>
      <c r="BB66" s="1">
        <v>345</v>
      </c>
      <c r="BC66" s="1">
        <v>350</v>
      </c>
      <c r="BD66" s="1" t="s">
        <v>74</v>
      </c>
      <c r="BE66" s="1" t="s">
        <v>780</v>
      </c>
      <c r="BF66" s="1" t="str">
        <f>HYPERLINK("http://dx.doi.org/10.1093/cz/zoy020","http://dx.doi.org/10.1093/cz/zoy020")</f>
        <v>http://dx.doi.org/10.1093/cz/zoy020</v>
      </c>
      <c r="BG66" s="1" t="s">
        <v>74</v>
      </c>
      <c r="BH66" s="1" t="s">
        <v>74</v>
      </c>
      <c r="BI66" s="1" t="s">
        <v>74</v>
      </c>
      <c r="BJ66" s="1" t="s">
        <v>74</v>
      </c>
      <c r="BK66" s="1" t="s">
        <v>74</v>
      </c>
      <c r="BL66" s="1" t="s">
        <v>74</v>
      </c>
      <c r="BM66" s="1" t="s">
        <v>74</v>
      </c>
      <c r="BN66" s="1">
        <v>30402077</v>
      </c>
      <c r="BO66" s="1" t="s">
        <v>74</v>
      </c>
      <c r="BP66" s="1" t="s">
        <v>74</v>
      </c>
      <c r="BQ66" s="1" t="s">
        <v>74</v>
      </c>
      <c r="BR66" s="1" t="s">
        <v>74</v>
      </c>
      <c r="BS66" s="1" t="s">
        <v>781</v>
      </c>
      <c r="BT66" s="1" t="str">
        <f>HYPERLINK("https%3A%2F%2Fwww.webofscience.com%2Fwos%2Fwoscc%2Ffull-record%2FWOS:000436421000011","View Full Record in Web of Science")</f>
        <v>View Full Record in Web of Science</v>
      </c>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row>
    <row r="67" spans="1:314" s="2" customFormat="1" x14ac:dyDescent="0.4">
      <c r="A67" s="1" t="s">
        <v>72</v>
      </c>
      <c r="B67" s="1" t="s">
        <v>1785</v>
      </c>
      <c r="C67" s="1" t="s">
        <v>74</v>
      </c>
      <c r="D67" s="1" t="s">
        <v>74</v>
      </c>
      <c r="E67" s="1" t="s">
        <v>74</v>
      </c>
      <c r="F67" s="1" t="s">
        <v>1786</v>
      </c>
      <c r="G67" s="1" t="s">
        <v>74</v>
      </c>
      <c r="H67" s="1" t="s">
        <v>74</v>
      </c>
      <c r="I67" s="1" t="s">
        <v>1787</v>
      </c>
      <c r="J67" s="1" t="s">
        <v>333</v>
      </c>
      <c r="K67" s="1" t="s">
        <v>74</v>
      </c>
      <c r="L67" s="1" t="s">
        <v>74</v>
      </c>
      <c r="M67" s="1" t="s">
        <v>74</v>
      </c>
      <c r="N67" s="1" t="s">
        <v>74</v>
      </c>
      <c r="O67" s="1" t="s">
        <v>74</v>
      </c>
      <c r="P67" s="1" t="s">
        <v>74</v>
      </c>
      <c r="Q67" s="1" t="s">
        <v>74</v>
      </c>
      <c r="R67" s="1" t="s">
        <v>74</v>
      </c>
      <c r="S67" s="1" t="s">
        <v>74</v>
      </c>
      <c r="T67" s="1" t="s">
        <v>74</v>
      </c>
      <c r="U67" s="1" t="s">
        <v>74</v>
      </c>
      <c r="V67" s="4" t="s">
        <v>1788</v>
      </c>
      <c r="W67" s="1" t="s">
        <v>74</v>
      </c>
      <c r="X67" s="1" t="s">
        <v>74</v>
      </c>
      <c r="Y67" s="1" t="s">
        <v>74</v>
      </c>
      <c r="Z67" s="1" t="s">
        <v>74</v>
      </c>
      <c r="AA67" s="1" t="s">
        <v>1789</v>
      </c>
      <c r="AB67" s="1" t="s">
        <v>1790</v>
      </c>
      <c r="AC67" s="1" t="s">
        <v>74</v>
      </c>
      <c r="AD67" s="1" t="s">
        <v>74</v>
      </c>
      <c r="AE67" s="1" t="s">
        <v>74</v>
      </c>
      <c r="AF67" s="1" t="s">
        <v>74</v>
      </c>
      <c r="AG67" s="1" t="s">
        <v>74</v>
      </c>
      <c r="AH67" s="1" t="s">
        <v>74</v>
      </c>
      <c r="AI67" s="1" t="s">
        <v>74</v>
      </c>
      <c r="AJ67" s="1" t="s">
        <v>74</v>
      </c>
      <c r="AK67" s="1" t="s">
        <v>74</v>
      </c>
      <c r="AL67" s="1" t="s">
        <v>74</v>
      </c>
      <c r="AM67" s="1" t="s">
        <v>74</v>
      </c>
      <c r="AN67" s="1" t="s">
        <v>74</v>
      </c>
      <c r="AO67" s="1" t="s">
        <v>337</v>
      </c>
      <c r="AP67" s="1" t="s">
        <v>338</v>
      </c>
      <c r="AQ67" s="1" t="s">
        <v>74</v>
      </c>
      <c r="AR67" s="1" t="s">
        <v>74</v>
      </c>
      <c r="AS67" s="1" t="s">
        <v>74</v>
      </c>
      <c r="AT67" s="1" t="s">
        <v>339</v>
      </c>
      <c r="AU67" s="1">
        <v>2015</v>
      </c>
      <c r="AV67" s="1">
        <v>26</v>
      </c>
      <c r="AW67" s="1">
        <v>4</v>
      </c>
      <c r="AX67" s="1" t="s">
        <v>74</v>
      </c>
      <c r="AY67" s="1" t="s">
        <v>74</v>
      </c>
      <c r="AZ67" s="1" t="s">
        <v>74</v>
      </c>
      <c r="BA67" s="1" t="s">
        <v>74</v>
      </c>
      <c r="BB67" s="1">
        <v>1030</v>
      </c>
      <c r="BC67" s="1">
        <v>1038</v>
      </c>
      <c r="BD67" s="1" t="s">
        <v>74</v>
      </c>
      <c r="BE67" s="1" t="s">
        <v>1791</v>
      </c>
      <c r="BF67" s="1" t="str">
        <f>HYPERLINK("http://dx.doi.org/10.1093/beheco/arv037","http://dx.doi.org/10.1093/beheco/arv037")</f>
        <v>http://dx.doi.org/10.1093/beheco/arv037</v>
      </c>
      <c r="BG67" s="1" t="s">
        <v>74</v>
      </c>
      <c r="BH67" s="1" t="s">
        <v>74</v>
      </c>
      <c r="BI67" s="1" t="s">
        <v>74</v>
      </c>
      <c r="BJ67" s="1" t="s">
        <v>74</v>
      </c>
      <c r="BK67" s="1" t="s">
        <v>74</v>
      </c>
      <c r="BL67" s="1" t="s">
        <v>74</v>
      </c>
      <c r="BM67" s="1" t="s">
        <v>74</v>
      </c>
      <c r="BN67" s="1" t="s">
        <v>74</v>
      </c>
      <c r="BO67" s="1" t="s">
        <v>74</v>
      </c>
      <c r="BP67" s="1" t="s">
        <v>74</v>
      </c>
      <c r="BQ67" s="1" t="s">
        <v>74</v>
      </c>
      <c r="BR67" s="1" t="s">
        <v>74</v>
      </c>
      <c r="BS67" s="1" t="s">
        <v>1792</v>
      </c>
      <c r="BT67" s="1" t="str">
        <f>HYPERLINK("https%3A%2F%2Fwww.webofscience.com%2Fwos%2Fwoscc%2Ffull-record%2FWOS:000358171600013","View Full Record in Web of Science")</f>
        <v>View Full Record in Web of Science</v>
      </c>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row>
    <row r="68" spans="1:314" s="2" customFormat="1" x14ac:dyDescent="0.4">
      <c r="A68" s="1" t="s">
        <v>72</v>
      </c>
      <c r="B68" s="1" t="s">
        <v>4665</v>
      </c>
      <c r="C68" s="1" t="s">
        <v>74</v>
      </c>
      <c r="D68" s="1" t="s">
        <v>74</v>
      </c>
      <c r="E68" s="1" t="s">
        <v>74</v>
      </c>
      <c r="F68" s="1" t="s">
        <v>4666</v>
      </c>
      <c r="G68" s="1" t="s">
        <v>74</v>
      </c>
      <c r="H68" s="1" t="s">
        <v>74</v>
      </c>
      <c r="I68" s="1" t="s">
        <v>4667</v>
      </c>
      <c r="J68" s="1" t="s">
        <v>397</v>
      </c>
      <c r="K68" s="1" t="s">
        <v>74</v>
      </c>
      <c r="L68" s="1" t="s">
        <v>74</v>
      </c>
      <c r="M68" s="1" t="s">
        <v>74</v>
      </c>
      <c r="N68" s="1" t="s">
        <v>74</v>
      </c>
      <c r="O68" s="1" t="s">
        <v>74</v>
      </c>
      <c r="P68" s="1" t="s">
        <v>74</v>
      </c>
      <c r="Q68" s="1" t="s">
        <v>74</v>
      </c>
      <c r="R68" s="1" t="s">
        <v>74</v>
      </c>
      <c r="S68" s="1" t="s">
        <v>74</v>
      </c>
      <c r="T68" s="1" t="s">
        <v>74</v>
      </c>
      <c r="U68" s="1" t="s">
        <v>74</v>
      </c>
      <c r="V68" s="4" t="s">
        <v>4668</v>
      </c>
      <c r="W68" s="1" t="s">
        <v>74</v>
      </c>
      <c r="X68" s="1" t="s">
        <v>74</v>
      </c>
      <c r="Y68" s="1" t="s">
        <v>74</v>
      </c>
      <c r="Z68" s="1" t="s">
        <v>74</v>
      </c>
      <c r="AA68" s="1" t="s">
        <v>4669</v>
      </c>
      <c r="AB68" s="1" t="s">
        <v>4670</v>
      </c>
      <c r="AC68" s="1" t="s">
        <v>74</v>
      </c>
      <c r="AD68" s="1" t="s">
        <v>74</v>
      </c>
      <c r="AE68" s="1" t="s">
        <v>74</v>
      </c>
      <c r="AF68" s="1" t="s">
        <v>74</v>
      </c>
      <c r="AG68" s="1" t="s">
        <v>74</v>
      </c>
      <c r="AH68" s="1" t="s">
        <v>74</v>
      </c>
      <c r="AI68" s="1" t="s">
        <v>74</v>
      </c>
      <c r="AJ68" s="1" t="s">
        <v>74</v>
      </c>
      <c r="AK68" s="1" t="s">
        <v>74</v>
      </c>
      <c r="AL68" s="1" t="s">
        <v>74</v>
      </c>
      <c r="AM68" s="1" t="s">
        <v>74</v>
      </c>
      <c r="AN68" s="1" t="s">
        <v>74</v>
      </c>
      <c r="AO68" s="1" t="s">
        <v>401</v>
      </c>
      <c r="AP68" s="1" t="s">
        <v>402</v>
      </c>
      <c r="AQ68" s="1" t="s">
        <v>74</v>
      </c>
      <c r="AR68" s="1" t="s">
        <v>74</v>
      </c>
      <c r="AS68" s="1" t="s">
        <v>74</v>
      </c>
      <c r="AT68" s="1" t="s">
        <v>213</v>
      </c>
      <c r="AU68" s="1">
        <v>2015</v>
      </c>
      <c r="AV68" s="1">
        <v>14</v>
      </c>
      <c r="AW68" s="1">
        <v>8</v>
      </c>
      <c r="AX68" s="1" t="s">
        <v>74</v>
      </c>
      <c r="AY68" s="1" t="s">
        <v>74</v>
      </c>
      <c r="AZ68" s="1" t="s">
        <v>74</v>
      </c>
      <c r="BA68" s="1" t="s">
        <v>74</v>
      </c>
      <c r="BB68" s="1">
        <v>641</v>
      </c>
      <c r="BC68" s="1">
        <v>654</v>
      </c>
      <c r="BD68" s="1" t="s">
        <v>74</v>
      </c>
      <c r="BE68" s="1" t="s">
        <v>4671</v>
      </c>
      <c r="BF68" s="1" t="str">
        <f>HYPERLINK("http://dx.doi.org/10.1111/gbb.12252","http://dx.doi.org/10.1111/gbb.12252")</f>
        <v>http://dx.doi.org/10.1111/gbb.12252</v>
      </c>
      <c r="BG68" s="1" t="s">
        <v>74</v>
      </c>
      <c r="BH68" s="1" t="s">
        <v>74</v>
      </c>
      <c r="BI68" s="1" t="s">
        <v>74</v>
      </c>
      <c r="BJ68" s="1" t="s">
        <v>74</v>
      </c>
      <c r="BK68" s="1" t="s">
        <v>74</v>
      </c>
      <c r="BL68" s="1" t="s">
        <v>74</v>
      </c>
      <c r="BM68" s="1" t="s">
        <v>74</v>
      </c>
      <c r="BN68" s="1">
        <v>26463687</v>
      </c>
      <c r="BO68" s="1" t="s">
        <v>74</v>
      </c>
      <c r="BP68" s="1" t="s">
        <v>74</v>
      </c>
      <c r="BQ68" s="1" t="s">
        <v>74</v>
      </c>
      <c r="BR68" s="1" t="s">
        <v>74</v>
      </c>
      <c r="BS68" s="1" t="s">
        <v>4672</v>
      </c>
      <c r="BT68" s="1" t="str">
        <f>HYPERLINK("https%3A%2F%2Fwww.webofscience.com%2Fwos%2Fwoscc%2Ffull-record%2FWOS:000368248600008","View Full Record in Web of Science")</f>
        <v>View Full Record in Web of Science</v>
      </c>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row>
    <row r="69" spans="1:314" s="2" customFormat="1" x14ac:dyDescent="0.4">
      <c r="A69" s="2" t="s">
        <v>72</v>
      </c>
      <c r="B69" s="2" t="s">
        <v>1614</v>
      </c>
      <c r="C69" s="2" t="s">
        <v>74</v>
      </c>
      <c r="D69" s="2" t="s">
        <v>74</v>
      </c>
      <c r="E69" s="2" t="s">
        <v>74</v>
      </c>
      <c r="F69" s="2" t="s">
        <v>1615</v>
      </c>
      <c r="G69" s="2" t="s">
        <v>74</v>
      </c>
      <c r="H69" s="2" t="s">
        <v>74</v>
      </c>
      <c r="I69" s="2" t="s">
        <v>8776</v>
      </c>
      <c r="J69" s="2" t="s">
        <v>333</v>
      </c>
      <c r="K69" s="2" t="s">
        <v>74</v>
      </c>
      <c r="L69" s="2" t="s">
        <v>74</v>
      </c>
      <c r="M69" s="2" t="s">
        <v>74</v>
      </c>
      <c r="N69" s="2" t="s">
        <v>74</v>
      </c>
      <c r="O69" s="2" t="s">
        <v>74</v>
      </c>
      <c r="P69" s="2" t="s">
        <v>74</v>
      </c>
      <c r="Q69" s="2" t="s">
        <v>74</v>
      </c>
      <c r="R69" s="2" t="s">
        <v>74</v>
      </c>
      <c r="S69" s="2" t="s">
        <v>74</v>
      </c>
      <c r="T69" s="2" t="s">
        <v>74</v>
      </c>
      <c r="U69" s="2" t="s">
        <v>74</v>
      </c>
      <c r="V69" s="5" t="s">
        <v>1617</v>
      </c>
      <c r="W69" s="2" t="s">
        <v>74</v>
      </c>
      <c r="X69" s="2" t="s">
        <v>74</v>
      </c>
      <c r="Y69" s="2" t="s">
        <v>74</v>
      </c>
      <c r="Z69" s="2" t="s">
        <v>74</v>
      </c>
      <c r="AA69" s="2" t="s">
        <v>1618</v>
      </c>
      <c r="AB69" s="2" t="s">
        <v>1619</v>
      </c>
      <c r="AC69" s="2" t="s">
        <v>74</v>
      </c>
      <c r="AD69" s="2" t="s">
        <v>74</v>
      </c>
      <c r="AE69" s="2" t="s">
        <v>74</v>
      </c>
      <c r="AF69" s="2" t="s">
        <v>74</v>
      </c>
      <c r="AG69" s="2" t="s">
        <v>74</v>
      </c>
      <c r="AH69" s="2" t="s">
        <v>74</v>
      </c>
      <c r="AI69" s="2" t="s">
        <v>74</v>
      </c>
      <c r="AJ69" s="2" t="s">
        <v>74</v>
      </c>
      <c r="AK69" s="2" t="s">
        <v>74</v>
      </c>
      <c r="AL69" s="2" t="s">
        <v>74</v>
      </c>
      <c r="AM69" s="2" t="s">
        <v>74</v>
      </c>
      <c r="AN69" s="2" t="s">
        <v>74</v>
      </c>
      <c r="AO69" s="2" t="s">
        <v>337</v>
      </c>
      <c r="AP69" s="2" t="s">
        <v>338</v>
      </c>
      <c r="AQ69" s="2" t="s">
        <v>74</v>
      </c>
      <c r="AR69" s="2" t="s">
        <v>74</v>
      </c>
      <c r="AS69" s="2" t="s">
        <v>74</v>
      </c>
      <c r="AT69" s="2" t="s">
        <v>1620</v>
      </c>
      <c r="AU69" s="2">
        <v>2024</v>
      </c>
      <c r="AV69" s="2">
        <v>35</v>
      </c>
      <c r="AW69" s="2">
        <v>4</v>
      </c>
      <c r="AX69" s="2" t="s">
        <v>74</v>
      </c>
      <c r="AY69" s="2" t="s">
        <v>74</v>
      </c>
      <c r="AZ69" s="2" t="s">
        <v>74</v>
      </c>
      <c r="BA69" s="2" t="s">
        <v>74</v>
      </c>
      <c r="BB69" s="2" t="s">
        <v>74</v>
      </c>
      <c r="BC69" s="2" t="s">
        <v>74</v>
      </c>
      <c r="BD69" s="2" t="s">
        <v>1621</v>
      </c>
      <c r="BE69" s="2" t="s">
        <v>1622</v>
      </c>
      <c r="BF69" s="2" t="str">
        <f>HYPERLINK("http://dx.doi.org/10.1093/beheco/arae045","http://dx.doi.org/10.1093/beheco/arae045")</f>
        <v>http://dx.doi.org/10.1093/beheco/arae045</v>
      </c>
      <c r="BG69" s="2" t="s">
        <v>74</v>
      </c>
      <c r="BH69" s="2" t="s">
        <v>74</v>
      </c>
      <c r="BI69" s="2" t="s">
        <v>74</v>
      </c>
      <c r="BJ69" s="2" t="s">
        <v>74</v>
      </c>
      <c r="BK69" s="2" t="s">
        <v>74</v>
      </c>
      <c r="BL69" s="2" t="s">
        <v>74</v>
      </c>
      <c r="BM69" s="2" t="s">
        <v>74</v>
      </c>
      <c r="BN69" s="2" t="s">
        <v>74</v>
      </c>
      <c r="BO69" s="2" t="s">
        <v>74</v>
      </c>
      <c r="BP69" s="2" t="s">
        <v>74</v>
      </c>
      <c r="BQ69" s="2" t="s">
        <v>74</v>
      </c>
      <c r="BR69" s="2" t="s">
        <v>74</v>
      </c>
      <c r="BS69" s="2" t="s">
        <v>1623</v>
      </c>
      <c r="BT69" s="2" t="str">
        <f>HYPERLINK("https%3A%2F%2Fwww.webofscience.com%2Fwos%2Fwoscc%2Ffull-record%2FWOS:001258741000002","View Full Record in Web of Science")</f>
        <v>View Full Record in Web of Science</v>
      </c>
    </row>
    <row r="70" spans="1:314" s="2" customFormat="1" x14ac:dyDescent="0.4">
      <c r="A70" s="2" t="s">
        <v>72</v>
      </c>
      <c r="B70" s="2" t="s">
        <v>6707</v>
      </c>
      <c r="C70" s="2" t="s">
        <v>74</v>
      </c>
      <c r="D70" s="2" t="s">
        <v>74</v>
      </c>
      <c r="E70" s="2" t="s">
        <v>74</v>
      </c>
      <c r="F70" s="2" t="s">
        <v>6708</v>
      </c>
      <c r="G70" s="2" t="s">
        <v>74</v>
      </c>
      <c r="H70" s="2" t="s">
        <v>74</v>
      </c>
      <c r="I70" s="2" t="s">
        <v>8768</v>
      </c>
      <c r="J70" s="2" t="s">
        <v>970</v>
      </c>
      <c r="K70" s="2" t="s">
        <v>74</v>
      </c>
      <c r="L70" s="2" t="s">
        <v>74</v>
      </c>
      <c r="M70" s="2" t="s">
        <v>74</v>
      </c>
      <c r="N70" s="2" t="s">
        <v>74</v>
      </c>
      <c r="O70" s="2" t="s">
        <v>74</v>
      </c>
      <c r="P70" s="2" t="s">
        <v>74</v>
      </c>
      <c r="Q70" s="2" t="s">
        <v>74</v>
      </c>
      <c r="R70" s="2" t="s">
        <v>74</v>
      </c>
      <c r="S70" s="2" t="s">
        <v>74</v>
      </c>
      <c r="T70" s="2" t="s">
        <v>74</v>
      </c>
      <c r="U70" s="2" t="s">
        <v>74</v>
      </c>
      <c r="V70" s="5" t="s">
        <v>6710</v>
      </c>
      <c r="W70" s="2" t="s">
        <v>74</v>
      </c>
      <c r="X70" s="2" t="s">
        <v>74</v>
      </c>
      <c r="Y70" s="2" t="s">
        <v>74</v>
      </c>
      <c r="Z70" s="2" t="s">
        <v>74</v>
      </c>
      <c r="AA70" s="2" t="s">
        <v>6711</v>
      </c>
      <c r="AB70" s="2" t="s">
        <v>6712</v>
      </c>
      <c r="AC70" s="2" t="s">
        <v>74</v>
      </c>
      <c r="AD70" s="2" t="s">
        <v>74</v>
      </c>
      <c r="AE70" s="2" t="s">
        <v>74</v>
      </c>
      <c r="AF70" s="2" t="s">
        <v>74</v>
      </c>
      <c r="AG70" s="2" t="s">
        <v>74</v>
      </c>
      <c r="AH70" s="2" t="s">
        <v>74</v>
      </c>
      <c r="AI70" s="2" t="s">
        <v>74</v>
      </c>
      <c r="AJ70" s="2" t="s">
        <v>74</v>
      </c>
      <c r="AK70" s="2" t="s">
        <v>74</v>
      </c>
      <c r="AL70" s="2" t="s">
        <v>74</v>
      </c>
      <c r="AM70" s="2" t="s">
        <v>74</v>
      </c>
      <c r="AN70" s="2" t="s">
        <v>74</v>
      </c>
      <c r="AO70" s="2" t="s">
        <v>974</v>
      </c>
      <c r="AP70" s="2" t="s">
        <v>975</v>
      </c>
      <c r="AQ70" s="2" t="s">
        <v>74</v>
      </c>
      <c r="AR70" s="2" t="s">
        <v>74</v>
      </c>
      <c r="AS70" s="2" t="s">
        <v>74</v>
      </c>
      <c r="AT70" s="2" t="s">
        <v>633</v>
      </c>
      <c r="AU70" s="2">
        <v>2023</v>
      </c>
      <c r="AV70" s="2">
        <v>164</v>
      </c>
      <c r="AW70" s="2">
        <v>2</v>
      </c>
      <c r="AX70" s="2" t="s">
        <v>74</v>
      </c>
      <c r="AY70" s="2" t="s">
        <v>74</v>
      </c>
      <c r="AZ70" s="2" t="s">
        <v>74</v>
      </c>
      <c r="BA70" s="2" t="s">
        <v>74</v>
      </c>
      <c r="BB70" s="2">
        <v>417</v>
      </c>
      <c r="BC70" s="2">
        <v>431</v>
      </c>
      <c r="BD70" s="2" t="s">
        <v>74</v>
      </c>
      <c r="BE70" s="2" t="s">
        <v>6713</v>
      </c>
      <c r="BF70" s="2" t="str">
        <f>HYPERLINK("http://dx.doi.org/10.1007/s10336-022-02035-7","http://dx.doi.org/10.1007/s10336-022-02035-7")</f>
        <v>http://dx.doi.org/10.1007/s10336-022-02035-7</v>
      </c>
      <c r="BG70" s="2" t="s">
        <v>74</v>
      </c>
      <c r="BH70" s="2" t="s">
        <v>2298</v>
      </c>
      <c r="BI70" s="2" t="s">
        <v>74</v>
      </c>
      <c r="BJ70" s="2" t="s">
        <v>74</v>
      </c>
      <c r="BK70" s="2" t="s">
        <v>74</v>
      </c>
      <c r="BL70" s="2" t="s">
        <v>74</v>
      </c>
      <c r="BM70" s="2" t="s">
        <v>74</v>
      </c>
      <c r="BN70" s="2" t="s">
        <v>74</v>
      </c>
      <c r="BO70" s="2" t="s">
        <v>74</v>
      </c>
      <c r="BP70" s="2" t="s">
        <v>74</v>
      </c>
      <c r="BQ70" s="2" t="s">
        <v>74</v>
      </c>
      <c r="BR70" s="2" t="s">
        <v>74</v>
      </c>
      <c r="BS70" s="2" t="s">
        <v>6714</v>
      </c>
      <c r="BT70" s="2" t="str">
        <f>HYPERLINK("https%3A%2F%2Fwww.webofscience.com%2Fwos%2Fwoscc%2Ffull-record%2FWOS:000890108600001","View Full Record in Web of Science")</f>
        <v>View Full Record in Web of Science</v>
      </c>
    </row>
    <row r="71" spans="1:314" s="2" customFormat="1" x14ac:dyDescent="0.4">
      <c r="A71" s="2" t="s">
        <v>72</v>
      </c>
      <c r="B71" s="2" t="s">
        <v>6961</v>
      </c>
      <c r="C71" s="2" t="s">
        <v>74</v>
      </c>
      <c r="D71" s="2" t="s">
        <v>74</v>
      </c>
      <c r="E71" s="2" t="s">
        <v>74</v>
      </c>
      <c r="F71" s="2" t="s">
        <v>6961</v>
      </c>
      <c r="G71" s="2" t="s">
        <v>74</v>
      </c>
      <c r="H71" s="2" t="s">
        <v>74</v>
      </c>
      <c r="I71" s="2" t="s">
        <v>8769</v>
      </c>
      <c r="J71" s="2" t="s">
        <v>5129</v>
      </c>
      <c r="K71" s="2" t="s">
        <v>74</v>
      </c>
      <c r="L71" s="2" t="s">
        <v>74</v>
      </c>
      <c r="M71" s="2" t="s">
        <v>74</v>
      </c>
      <c r="N71" s="2" t="s">
        <v>74</v>
      </c>
      <c r="O71" s="2" t="s">
        <v>74</v>
      </c>
      <c r="P71" s="2" t="s">
        <v>74</v>
      </c>
      <c r="Q71" s="2" t="s">
        <v>74</v>
      </c>
      <c r="R71" s="2" t="s">
        <v>74</v>
      </c>
      <c r="S71" s="2" t="s">
        <v>74</v>
      </c>
      <c r="T71" s="2" t="s">
        <v>74</v>
      </c>
      <c r="U71" s="2" t="s">
        <v>74</v>
      </c>
      <c r="V71" s="5" t="s">
        <v>6963</v>
      </c>
      <c r="W71" s="2" t="s">
        <v>74</v>
      </c>
      <c r="X71" s="2" t="s">
        <v>74</v>
      </c>
      <c r="Y71" s="2" t="s">
        <v>74</v>
      </c>
      <c r="Z71" s="2" t="s">
        <v>74</v>
      </c>
      <c r="AA71" s="2" t="s">
        <v>74</v>
      </c>
      <c r="AB71" s="2" t="s">
        <v>74</v>
      </c>
      <c r="AC71" s="2" t="s">
        <v>74</v>
      </c>
      <c r="AD71" s="2" t="s">
        <v>74</v>
      </c>
      <c r="AE71" s="2" t="s">
        <v>74</v>
      </c>
      <c r="AF71" s="2" t="s">
        <v>74</v>
      </c>
      <c r="AG71" s="2" t="s">
        <v>74</v>
      </c>
      <c r="AH71" s="2" t="s">
        <v>74</v>
      </c>
      <c r="AI71" s="2" t="s">
        <v>74</v>
      </c>
      <c r="AJ71" s="2" t="s">
        <v>74</v>
      </c>
      <c r="AK71" s="2" t="s">
        <v>74</v>
      </c>
      <c r="AL71" s="2" t="s">
        <v>74</v>
      </c>
      <c r="AM71" s="2" t="s">
        <v>74</v>
      </c>
      <c r="AN71" s="2" t="s">
        <v>74</v>
      </c>
      <c r="AO71" s="2" t="s">
        <v>5131</v>
      </c>
      <c r="AP71" s="2" t="s">
        <v>5132</v>
      </c>
      <c r="AQ71" s="2" t="s">
        <v>74</v>
      </c>
      <c r="AR71" s="2" t="s">
        <v>74</v>
      </c>
      <c r="AS71" s="2" t="s">
        <v>74</v>
      </c>
      <c r="AT71" s="2" t="s">
        <v>74</v>
      </c>
      <c r="AU71" s="2">
        <v>1979</v>
      </c>
      <c r="AV71" s="2">
        <v>67</v>
      </c>
      <c r="AW71" s="2" t="s">
        <v>548</v>
      </c>
      <c r="AX71" s="2" t="s">
        <v>74</v>
      </c>
      <c r="AY71" s="2" t="s">
        <v>74</v>
      </c>
      <c r="AZ71" s="2" t="s">
        <v>74</v>
      </c>
      <c r="BA71" s="2" t="s">
        <v>74</v>
      </c>
      <c r="BB71" s="2">
        <v>28</v>
      </c>
      <c r="BC71" s="2">
        <v>41</v>
      </c>
      <c r="BD71" s="2" t="s">
        <v>74</v>
      </c>
      <c r="BE71" s="2" t="s">
        <v>74</v>
      </c>
      <c r="BF71" s="2" t="s">
        <v>74</v>
      </c>
      <c r="BG71" s="2" t="s">
        <v>74</v>
      </c>
      <c r="BH71" s="2" t="s">
        <v>74</v>
      </c>
      <c r="BI71" s="2" t="s">
        <v>74</v>
      </c>
      <c r="BJ71" s="2" t="s">
        <v>74</v>
      </c>
      <c r="BK71" s="2" t="s">
        <v>74</v>
      </c>
      <c r="BL71" s="2" t="s">
        <v>74</v>
      </c>
      <c r="BM71" s="2" t="s">
        <v>74</v>
      </c>
      <c r="BN71" s="2" t="s">
        <v>74</v>
      </c>
      <c r="BO71" s="2" t="s">
        <v>74</v>
      </c>
      <c r="BP71" s="2" t="s">
        <v>74</v>
      </c>
      <c r="BQ71" s="2" t="s">
        <v>74</v>
      </c>
      <c r="BR71" s="2" t="s">
        <v>74</v>
      </c>
      <c r="BS71" s="2" t="s">
        <v>6964</v>
      </c>
      <c r="BT71" s="2" t="str">
        <f>HYPERLINK("https%3A%2F%2Fwww.webofscience.com%2Fwos%2Fwoscc%2Ffull-record%2FWOS:A1979JH79300004","View Full Record in Web of Science")</f>
        <v>View Full Record in Web of Science</v>
      </c>
    </row>
    <row r="72" spans="1:314" s="2" customFormat="1" x14ac:dyDescent="0.4">
      <c r="A72" s="2" t="s">
        <v>72</v>
      </c>
      <c r="B72" s="2" t="s">
        <v>4593</v>
      </c>
      <c r="C72" s="2" t="s">
        <v>74</v>
      </c>
      <c r="D72" s="2" t="s">
        <v>74</v>
      </c>
      <c r="E72" s="2" t="s">
        <v>74</v>
      </c>
      <c r="F72" s="2" t="s">
        <v>4594</v>
      </c>
      <c r="G72" s="2" t="s">
        <v>74</v>
      </c>
      <c r="H72" s="2" t="s">
        <v>74</v>
      </c>
      <c r="I72" s="2" t="s">
        <v>8770</v>
      </c>
      <c r="J72" s="2" t="s">
        <v>201</v>
      </c>
      <c r="K72" s="2" t="s">
        <v>74</v>
      </c>
      <c r="L72" s="2" t="s">
        <v>74</v>
      </c>
      <c r="M72" s="2" t="s">
        <v>74</v>
      </c>
      <c r="N72" s="2" t="s">
        <v>74</v>
      </c>
      <c r="O72" s="2" t="s">
        <v>74</v>
      </c>
      <c r="P72" s="2" t="s">
        <v>74</v>
      </c>
      <c r="Q72" s="2" t="s">
        <v>74</v>
      </c>
      <c r="R72" s="2" t="s">
        <v>74</v>
      </c>
      <c r="S72" s="2" t="s">
        <v>74</v>
      </c>
      <c r="T72" s="2" t="s">
        <v>74</v>
      </c>
      <c r="U72" s="2" t="s">
        <v>74</v>
      </c>
      <c r="V72" s="5" t="s">
        <v>4596</v>
      </c>
      <c r="W72" s="2" t="s">
        <v>74</v>
      </c>
      <c r="X72" s="2" t="s">
        <v>74</v>
      </c>
      <c r="Y72" s="2" t="s">
        <v>74</v>
      </c>
      <c r="Z72" s="2" t="s">
        <v>74</v>
      </c>
      <c r="AA72" s="2" t="s">
        <v>4597</v>
      </c>
      <c r="AB72" s="2" t="s">
        <v>4598</v>
      </c>
      <c r="AC72" s="2" t="s">
        <v>74</v>
      </c>
      <c r="AD72" s="2" t="s">
        <v>74</v>
      </c>
      <c r="AE72" s="2" t="s">
        <v>74</v>
      </c>
      <c r="AF72" s="2" t="s">
        <v>74</v>
      </c>
      <c r="AG72" s="2" t="s">
        <v>74</v>
      </c>
      <c r="AH72" s="2" t="s">
        <v>74</v>
      </c>
      <c r="AI72" s="2" t="s">
        <v>74</v>
      </c>
      <c r="AJ72" s="2" t="s">
        <v>74</v>
      </c>
      <c r="AK72" s="2" t="s">
        <v>74</v>
      </c>
      <c r="AL72" s="2" t="s">
        <v>74</v>
      </c>
      <c r="AM72" s="2" t="s">
        <v>74</v>
      </c>
      <c r="AN72" s="2" t="s">
        <v>74</v>
      </c>
      <c r="AO72" s="2" t="s">
        <v>203</v>
      </c>
      <c r="AP72" s="2" t="s">
        <v>1192</v>
      </c>
      <c r="AQ72" s="2" t="s">
        <v>74</v>
      </c>
      <c r="AR72" s="2" t="s">
        <v>74</v>
      </c>
      <c r="AS72" s="2" t="s">
        <v>74</v>
      </c>
      <c r="AT72" s="2" t="s">
        <v>134</v>
      </c>
      <c r="AU72" s="2">
        <v>2022</v>
      </c>
      <c r="AV72" s="2">
        <v>100</v>
      </c>
      <c r="AW72" s="2">
        <v>5</v>
      </c>
      <c r="AX72" s="2" t="s">
        <v>74</v>
      </c>
      <c r="AY72" s="2" t="s">
        <v>74</v>
      </c>
      <c r="AZ72" s="2" t="s">
        <v>74</v>
      </c>
      <c r="BA72" s="2" t="s">
        <v>74</v>
      </c>
      <c r="BB72" s="2">
        <v>1264</v>
      </c>
      <c r="BC72" s="2">
        <v>1271</v>
      </c>
      <c r="BD72" s="2" t="s">
        <v>74</v>
      </c>
      <c r="BE72" s="2" t="s">
        <v>4599</v>
      </c>
      <c r="BF72" s="2" t="str">
        <f>HYPERLINK("http://dx.doi.org/10.1111/jfb.15040","http://dx.doi.org/10.1111/jfb.15040")</f>
        <v>http://dx.doi.org/10.1111/jfb.15040</v>
      </c>
      <c r="BG72" s="2" t="s">
        <v>74</v>
      </c>
      <c r="BH72" s="2" t="s">
        <v>415</v>
      </c>
      <c r="BI72" s="2" t="s">
        <v>74</v>
      </c>
      <c r="BJ72" s="2" t="s">
        <v>74</v>
      </c>
      <c r="BK72" s="2" t="s">
        <v>74</v>
      </c>
      <c r="BL72" s="2" t="s">
        <v>74</v>
      </c>
      <c r="BM72" s="2" t="s">
        <v>74</v>
      </c>
      <c r="BN72" s="2">
        <v>35289932</v>
      </c>
      <c r="BO72" s="2" t="s">
        <v>74</v>
      </c>
      <c r="BP72" s="2" t="s">
        <v>74</v>
      </c>
      <c r="BQ72" s="2" t="s">
        <v>74</v>
      </c>
      <c r="BR72" s="2" t="s">
        <v>74</v>
      </c>
      <c r="BS72" s="2" t="s">
        <v>4600</v>
      </c>
      <c r="BT72" s="2" t="str">
        <f>HYPERLINK("https%3A%2F%2Fwww.webofscience.com%2Fwos%2Fwoscc%2Ffull-record%2FWOS:000774829300001","View Full Record in Web of Science")</f>
        <v>View Full Record in Web of Science</v>
      </c>
    </row>
    <row r="73" spans="1:314" s="2" customFormat="1" x14ac:dyDescent="0.4">
      <c r="A73" s="2" t="s">
        <v>72</v>
      </c>
      <c r="B73" s="2" t="s">
        <v>5652</v>
      </c>
      <c r="C73" s="2" t="s">
        <v>74</v>
      </c>
      <c r="D73" s="2" t="s">
        <v>74</v>
      </c>
      <c r="E73" s="2" t="s">
        <v>74</v>
      </c>
      <c r="F73" s="2" t="s">
        <v>5653</v>
      </c>
      <c r="G73" s="2" t="s">
        <v>74</v>
      </c>
      <c r="H73" s="2" t="s">
        <v>74</v>
      </c>
      <c r="I73" s="2" t="s">
        <v>5654</v>
      </c>
      <c r="J73" s="2" t="s">
        <v>5655</v>
      </c>
      <c r="K73" s="2" t="s">
        <v>74</v>
      </c>
      <c r="L73" s="2" t="s">
        <v>74</v>
      </c>
      <c r="M73" s="2" t="s">
        <v>74</v>
      </c>
      <c r="N73" s="2" t="s">
        <v>74</v>
      </c>
      <c r="O73" s="2" t="s">
        <v>74</v>
      </c>
      <c r="P73" s="2" t="s">
        <v>74</v>
      </c>
      <c r="Q73" s="2" t="s">
        <v>74</v>
      </c>
      <c r="R73" s="2" t="s">
        <v>74</v>
      </c>
      <c r="S73" s="2" t="s">
        <v>74</v>
      </c>
      <c r="T73" s="2" t="s">
        <v>74</v>
      </c>
      <c r="U73" s="2" t="s">
        <v>74</v>
      </c>
      <c r="V73" s="5" t="s">
        <v>5656</v>
      </c>
      <c r="W73" s="2" t="s">
        <v>74</v>
      </c>
      <c r="X73" s="2" t="s">
        <v>74</v>
      </c>
      <c r="Y73" s="2" t="s">
        <v>74</v>
      </c>
      <c r="Z73" s="2" t="s">
        <v>74</v>
      </c>
      <c r="AA73" s="2" t="s">
        <v>74</v>
      </c>
      <c r="AB73" s="2" t="s">
        <v>74</v>
      </c>
      <c r="AC73" s="2" t="s">
        <v>74</v>
      </c>
      <c r="AD73" s="2" t="s">
        <v>74</v>
      </c>
      <c r="AE73" s="2" t="s">
        <v>74</v>
      </c>
      <c r="AF73" s="2" t="s">
        <v>74</v>
      </c>
      <c r="AG73" s="2" t="s">
        <v>74</v>
      </c>
      <c r="AH73" s="2" t="s">
        <v>74</v>
      </c>
      <c r="AI73" s="2" t="s">
        <v>74</v>
      </c>
      <c r="AJ73" s="2" t="s">
        <v>74</v>
      </c>
      <c r="AK73" s="2" t="s">
        <v>74</v>
      </c>
      <c r="AL73" s="2" t="s">
        <v>74</v>
      </c>
      <c r="AM73" s="2" t="s">
        <v>74</v>
      </c>
      <c r="AN73" s="2" t="s">
        <v>74</v>
      </c>
      <c r="AO73" s="2" t="s">
        <v>5657</v>
      </c>
      <c r="AP73" s="2" t="s">
        <v>74</v>
      </c>
      <c r="AQ73" s="2" t="s">
        <v>74</v>
      </c>
      <c r="AR73" s="2" t="s">
        <v>74</v>
      </c>
      <c r="AS73" s="2" t="s">
        <v>74</v>
      </c>
      <c r="AT73" s="2" t="s">
        <v>74</v>
      </c>
      <c r="AU73" s="2">
        <v>2020</v>
      </c>
      <c r="AV73" s="2">
        <v>19</v>
      </c>
      <c r="AW73" s="2">
        <v>6</v>
      </c>
      <c r="AX73" s="2" t="s">
        <v>74</v>
      </c>
      <c r="AY73" s="2" t="s">
        <v>74</v>
      </c>
      <c r="AZ73" s="2" t="s">
        <v>74</v>
      </c>
      <c r="BA73" s="2" t="s">
        <v>74</v>
      </c>
      <c r="BB73" s="2">
        <v>2770</v>
      </c>
      <c r="BC73" s="2">
        <v>2789</v>
      </c>
      <c r="BD73" s="2" t="s">
        <v>74</v>
      </c>
      <c r="BE73" s="2" t="s">
        <v>5658</v>
      </c>
      <c r="BF73" s="2" t="str">
        <f>HYPERLINK("http://dx.doi.org/10.22092/ijfs.2020.122739","http://dx.doi.org/10.22092/ijfs.2020.122739")</f>
        <v>http://dx.doi.org/10.22092/ijfs.2020.122739</v>
      </c>
      <c r="BG73" s="2" t="s">
        <v>74</v>
      </c>
      <c r="BH73" s="2" t="s">
        <v>74</v>
      </c>
      <c r="BI73" s="2" t="s">
        <v>74</v>
      </c>
      <c r="BJ73" s="2" t="s">
        <v>74</v>
      </c>
      <c r="BK73" s="2" t="s">
        <v>74</v>
      </c>
      <c r="BL73" s="2" t="s">
        <v>74</v>
      </c>
      <c r="BM73" s="2" t="s">
        <v>74</v>
      </c>
      <c r="BN73" s="2" t="s">
        <v>74</v>
      </c>
      <c r="BO73" s="2" t="s">
        <v>74</v>
      </c>
      <c r="BP73" s="2" t="s">
        <v>74</v>
      </c>
      <c r="BQ73" s="2" t="s">
        <v>74</v>
      </c>
      <c r="BR73" s="2" t="s">
        <v>74</v>
      </c>
      <c r="BS73" s="2" t="s">
        <v>5659</v>
      </c>
      <c r="BT73" s="2" t="str">
        <f>HYPERLINK("https%3A%2F%2Fwww.webofscience.com%2Fwos%2Fwoscc%2Ffull-record%2FWOS:000600344000002","View Full Record in Web of Science")</f>
        <v>View Full Record in Web of Science</v>
      </c>
    </row>
    <row r="74" spans="1:314" s="2" customFormat="1" x14ac:dyDescent="0.4">
      <c r="A74" s="2" t="s">
        <v>72</v>
      </c>
      <c r="B74" s="2" t="s">
        <v>6129</v>
      </c>
      <c r="C74" s="2" t="s">
        <v>74</v>
      </c>
      <c r="D74" s="2" t="s">
        <v>74</v>
      </c>
      <c r="E74" s="2" t="s">
        <v>74</v>
      </c>
      <c r="F74" s="2" t="s">
        <v>6129</v>
      </c>
      <c r="G74" s="2" t="s">
        <v>74</v>
      </c>
      <c r="H74" s="2" t="s">
        <v>74</v>
      </c>
      <c r="I74" s="2" t="s">
        <v>6130</v>
      </c>
      <c r="J74" s="2" t="s">
        <v>129</v>
      </c>
      <c r="K74" s="2" t="s">
        <v>74</v>
      </c>
      <c r="L74" s="2" t="s">
        <v>74</v>
      </c>
      <c r="M74" s="2" t="s">
        <v>74</v>
      </c>
      <c r="N74" s="2" t="s">
        <v>74</v>
      </c>
      <c r="O74" s="2" t="s">
        <v>74</v>
      </c>
      <c r="P74" s="2" t="s">
        <v>74</v>
      </c>
      <c r="Q74" s="2" t="s">
        <v>74</v>
      </c>
      <c r="R74" s="2" t="s">
        <v>74</v>
      </c>
      <c r="S74" s="2" t="s">
        <v>74</v>
      </c>
      <c r="T74" s="2" t="s">
        <v>74</v>
      </c>
      <c r="U74" s="2" t="s">
        <v>74</v>
      </c>
      <c r="V74" s="5" t="s">
        <v>6131</v>
      </c>
      <c r="W74" s="2" t="s">
        <v>74</v>
      </c>
      <c r="X74" s="2" t="s">
        <v>74</v>
      </c>
      <c r="Y74" s="2" t="s">
        <v>74</v>
      </c>
      <c r="Z74" s="2" t="s">
        <v>74</v>
      </c>
      <c r="AA74" s="2" t="s">
        <v>74</v>
      </c>
      <c r="AB74" s="2" t="s">
        <v>74</v>
      </c>
      <c r="AC74" s="2" t="s">
        <v>74</v>
      </c>
      <c r="AD74" s="2" t="s">
        <v>74</v>
      </c>
      <c r="AE74" s="2" t="s">
        <v>74</v>
      </c>
      <c r="AF74" s="2" t="s">
        <v>74</v>
      </c>
      <c r="AG74" s="2" t="s">
        <v>74</v>
      </c>
      <c r="AH74" s="2" t="s">
        <v>74</v>
      </c>
      <c r="AI74" s="2" t="s">
        <v>74</v>
      </c>
      <c r="AJ74" s="2" t="s">
        <v>74</v>
      </c>
      <c r="AK74" s="2" t="s">
        <v>74</v>
      </c>
      <c r="AL74" s="2" t="s">
        <v>74</v>
      </c>
      <c r="AM74" s="2" t="s">
        <v>74</v>
      </c>
      <c r="AN74" s="2" t="s">
        <v>74</v>
      </c>
      <c r="AO74" s="2" t="s">
        <v>132</v>
      </c>
      <c r="AP74" s="2" t="s">
        <v>133</v>
      </c>
      <c r="AQ74" s="2" t="s">
        <v>74</v>
      </c>
      <c r="AR74" s="2" t="s">
        <v>74</v>
      </c>
      <c r="AS74" s="2" t="s">
        <v>74</v>
      </c>
      <c r="AT74" s="2" t="s">
        <v>74</v>
      </c>
      <c r="AU74" s="2">
        <v>1986</v>
      </c>
      <c r="AV74" s="2">
        <v>19</v>
      </c>
      <c r="AW74" s="2">
        <v>1</v>
      </c>
      <c r="AX74" s="2" t="s">
        <v>74</v>
      </c>
      <c r="AY74" s="2" t="s">
        <v>74</v>
      </c>
      <c r="AZ74" s="2" t="s">
        <v>74</v>
      </c>
      <c r="BA74" s="2" t="s">
        <v>74</v>
      </c>
      <c r="BB74" s="2">
        <v>1</v>
      </c>
      <c r="BC74" s="2">
        <v>8</v>
      </c>
      <c r="BD74" s="2" t="s">
        <v>74</v>
      </c>
      <c r="BE74" s="2" t="s">
        <v>6132</v>
      </c>
      <c r="BF74" s="2" t="str">
        <f>HYPERLINK("http://dx.doi.org/10.1007/BF00303836","http://dx.doi.org/10.1007/BF00303836")</f>
        <v>http://dx.doi.org/10.1007/BF00303836</v>
      </c>
      <c r="BG74" s="2" t="s">
        <v>74</v>
      </c>
      <c r="BH74" s="2" t="s">
        <v>74</v>
      </c>
      <c r="BI74" s="2" t="s">
        <v>74</v>
      </c>
      <c r="BJ74" s="2" t="s">
        <v>74</v>
      </c>
      <c r="BK74" s="2" t="s">
        <v>74</v>
      </c>
      <c r="BL74" s="2" t="s">
        <v>74</v>
      </c>
      <c r="BM74" s="2" t="s">
        <v>74</v>
      </c>
      <c r="BN74" s="2" t="s">
        <v>74</v>
      </c>
      <c r="BO74" s="2" t="s">
        <v>74</v>
      </c>
      <c r="BP74" s="2" t="s">
        <v>74</v>
      </c>
      <c r="BQ74" s="2" t="s">
        <v>74</v>
      </c>
      <c r="BR74" s="2" t="s">
        <v>74</v>
      </c>
      <c r="BS74" s="2" t="s">
        <v>6133</v>
      </c>
      <c r="BT74" s="2" t="str">
        <f>HYPERLINK("https%3A%2F%2Fwww.webofscience.com%2Fwos%2Fwoscc%2Ffull-record%2FWOS:A1986C822500001","View Full Record in Web of Science")</f>
        <v>View Full Record in Web of Science</v>
      </c>
    </row>
    <row r="75" spans="1:314" s="2" customFormat="1" x14ac:dyDescent="0.4">
      <c r="A75" s="2" t="s">
        <v>72</v>
      </c>
      <c r="B75" s="2" t="s">
        <v>3570</v>
      </c>
      <c r="C75" s="2" t="s">
        <v>74</v>
      </c>
      <c r="D75" s="2" t="s">
        <v>74</v>
      </c>
      <c r="E75" s="2" t="s">
        <v>74</v>
      </c>
      <c r="F75" s="2" t="s">
        <v>3571</v>
      </c>
      <c r="G75" s="2" t="s">
        <v>74</v>
      </c>
      <c r="H75" s="2" t="s">
        <v>74</v>
      </c>
      <c r="I75" s="2" t="s">
        <v>3572</v>
      </c>
      <c r="J75" s="2" t="s">
        <v>140</v>
      </c>
      <c r="K75" s="2" t="s">
        <v>74</v>
      </c>
      <c r="L75" s="2" t="s">
        <v>74</v>
      </c>
      <c r="M75" s="2" t="s">
        <v>74</v>
      </c>
      <c r="N75" s="2" t="s">
        <v>74</v>
      </c>
      <c r="O75" s="2" t="s">
        <v>74</v>
      </c>
      <c r="P75" s="2" t="s">
        <v>74</v>
      </c>
      <c r="Q75" s="2" t="s">
        <v>74</v>
      </c>
      <c r="R75" s="2" t="s">
        <v>74</v>
      </c>
      <c r="S75" s="2" t="s">
        <v>74</v>
      </c>
      <c r="T75" s="2" t="s">
        <v>74</v>
      </c>
      <c r="U75" s="2" t="s">
        <v>74</v>
      </c>
      <c r="V75" s="5" t="s">
        <v>3573</v>
      </c>
      <c r="W75" s="2" t="s">
        <v>74</v>
      </c>
      <c r="X75" s="2" t="s">
        <v>74</v>
      </c>
      <c r="Y75" s="2" t="s">
        <v>74</v>
      </c>
      <c r="Z75" s="2" t="s">
        <v>74</v>
      </c>
      <c r="AA75" s="2" t="s">
        <v>3574</v>
      </c>
      <c r="AB75" s="2" t="s">
        <v>3575</v>
      </c>
      <c r="AC75" s="2" t="s">
        <v>74</v>
      </c>
      <c r="AD75" s="2" t="s">
        <v>74</v>
      </c>
      <c r="AE75" s="2" t="s">
        <v>74</v>
      </c>
      <c r="AF75" s="2" t="s">
        <v>74</v>
      </c>
      <c r="AG75" s="2" t="s">
        <v>74</v>
      </c>
      <c r="AH75" s="2" t="s">
        <v>74</v>
      </c>
      <c r="AI75" s="2" t="s">
        <v>74</v>
      </c>
      <c r="AJ75" s="2" t="s">
        <v>74</v>
      </c>
      <c r="AK75" s="2" t="s">
        <v>74</v>
      </c>
      <c r="AL75" s="2" t="s">
        <v>74</v>
      </c>
      <c r="AM75" s="2" t="s">
        <v>74</v>
      </c>
      <c r="AN75" s="2" t="s">
        <v>74</v>
      </c>
      <c r="AO75" s="2" t="s">
        <v>143</v>
      </c>
      <c r="AP75" s="2" t="s">
        <v>144</v>
      </c>
      <c r="AQ75" s="2" t="s">
        <v>74</v>
      </c>
      <c r="AR75" s="2" t="s">
        <v>74</v>
      </c>
      <c r="AS75" s="2" t="s">
        <v>74</v>
      </c>
      <c r="AT75" s="2" t="s">
        <v>305</v>
      </c>
      <c r="AU75" s="2">
        <v>2021</v>
      </c>
      <c r="AV75" s="2">
        <v>182</v>
      </c>
      <c r="AW75" s="2" t="s">
        <v>74</v>
      </c>
      <c r="AX75" s="2" t="s">
        <v>74</v>
      </c>
      <c r="AY75" s="2" t="s">
        <v>74</v>
      </c>
      <c r="AZ75" s="2" t="s">
        <v>74</v>
      </c>
      <c r="BA75" s="2" t="s">
        <v>74</v>
      </c>
      <c r="BB75" s="2">
        <v>239</v>
      </c>
      <c r="BC75" s="2">
        <v>250</v>
      </c>
      <c r="BD75" s="2" t="s">
        <v>74</v>
      </c>
      <c r="BE75" s="2" t="s">
        <v>3576</v>
      </c>
      <c r="BF75" s="2" t="str">
        <f>HYPERLINK("http://dx.doi.org/10.1016/j.anbehav.2021.09.011","http://dx.doi.org/10.1016/j.anbehav.2021.09.011")</f>
        <v>http://dx.doi.org/10.1016/j.anbehav.2021.09.011</v>
      </c>
      <c r="BG75" s="2" t="s">
        <v>74</v>
      </c>
      <c r="BH75" s="2" t="s">
        <v>74</v>
      </c>
      <c r="BI75" s="2" t="s">
        <v>74</v>
      </c>
      <c r="BJ75" s="2" t="s">
        <v>74</v>
      </c>
      <c r="BK75" s="2" t="s">
        <v>74</v>
      </c>
      <c r="BL75" s="2" t="s">
        <v>74</v>
      </c>
      <c r="BM75" s="2" t="s">
        <v>74</v>
      </c>
      <c r="BN75" s="2" t="s">
        <v>74</v>
      </c>
      <c r="BO75" s="2" t="s">
        <v>74</v>
      </c>
      <c r="BP75" s="2" t="s">
        <v>74</v>
      </c>
      <c r="BQ75" s="2" t="s">
        <v>74</v>
      </c>
      <c r="BR75" s="2" t="s">
        <v>74</v>
      </c>
      <c r="BS75" s="2" t="s">
        <v>3577</v>
      </c>
      <c r="BT75" s="2" t="str">
        <f>HYPERLINK("https%3A%2F%2Fwww.webofscience.com%2Fwos%2Fwoscc%2Ffull-record%2FWOS:000907004000003","View Full Record in Web of Science")</f>
        <v>View Full Record in Web of Science</v>
      </c>
    </row>
    <row r="76" spans="1:314" s="1" customFormat="1" x14ac:dyDescent="0.4">
      <c r="A76" s="1" t="s">
        <v>72</v>
      </c>
      <c r="B76" s="1" t="s">
        <v>573</v>
      </c>
      <c r="C76" s="1" t="s">
        <v>74</v>
      </c>
      <c r="D76" s="1" t="s">
        <v>74</v>
      </c>
      <c r="E76" s="1" t="s">
        <v>74</v>
      </c>
      <c r="F76" s="1" t="s">
        <v>574</v>
      </c>
      <c r="G76" s="1" t="s">
        <v>74</v>
      </c>
      <c r="H76" s="1" t="s">
        <v>74</v>
      </c>
      <c r="I76" s="1" t="s">
        <v>575</v>
      </c>
      <c r="J76" s="1" t="s">
        <v>576</v>
      </c>
      <c r="K76" s="1" t="s">
        <v>74</v>
      </c>
      <c r="L76" s="1" t="s">
        <v>74</v>
      </c>
      <c r="M76" s="1" t="s">
        <v>74</v>
      </c>
      <c r="N76" s="1" t="s">
        <v>74</v>
      </c>
      <c r="O76" s="1" t="s">
        <v>74</v>
      </c>
      <c r="P76" s="1" t="s">
        <v>74</v>
      </c>
      <c r="Q76" s="1" t="s">
        <v>74</v>
      </c>
      <c r="R76" s="1" t="s">
        <v>74</v>
      </c>
      <c r="S76" s="1" t="s">
        <v>74</v>
      </c>
      <c r="T76" s="1" t="s">
        <v>74</v>
      </c>
      <c r="U76" s="1" t="s">
        <v>74</v>
      </c>
      <c r="V76" s="4" t="s">
        <v>577</v>
      </c>
      <c r="W76" s="1" t="s">
        <v>74</v>
      </c>
      <c r="X76" s="1" t="s">
        <v>74</v>
      </c>
      <c r="Y76" s="1" t="s">
        <v>74</v>
      </c>
      <c r="Z76" s="1" t="s">
        <v>74</v>
      </c>
      <c r="AA76" s="1" t="s">
        <v>74</v>
      </c>
      <c r="AB76" s="1" t="s">
        <v>578</v>
      </c>
      <c r="AC76" s="1" t="s">
        <v>74</v>
      </c>
      <c r="AD76" s="1" t="s">
        <v>74</v>
      </c>
      <c r="AE76" s="1" t="s">
        <v>74</v>
      </c>
      <c r="AF76" s="1" t="s">
        <v>74</v>
      </c>
      <c r="AG76" s="1" t="s">
        <v>74</v>
      </c>
      <c r="AH76" s="1" t="s">
        <v>74</v>
      </c>
      <c r="AI76" s="1" t="s">
        <v>74</v>
      </c>
      <c r="AJ76" s="1" t="s">
        <v>74</v>
      </c>
      <c r="AK76" s="1" t="s">
        <v>74</v>
      </c>
      <c r="AL76" s="1" t="s">
        <v>74</v>
      </c>
      <c r="AM76" s="1" t="s">
        <v>74</v>
      </c>
      <c r="AN76" s="1" t="s">
        <v>74</v>
      </c>
      <c r="AO76" s="1" t="s">
        <v>579</v>
      </c>
      <c r="AP76" s="1" t="s">
        <v>580</v>
      </c>
      <c r="AQ76" s="1" t="s">
        <v>74</v>
      </c>
      <c r="AR76" s="1" t="s">
        <v>74</v>
      </c>
      <c r="AS76" s="1" t="s">
        <v>74</v>
      </c>
      <c r="AT76" s="1" t="s">
        <v>581</v>
      </c>
      <c r="AU76" s="1">
        <v>2024</v>
      </c>
      <c r="AV76" s="1" t="s">
        <v>74</v>
      </c>
      <c r="AW76" s="1" t="s">
        <v>74</v>
      </c>
      <c r="AX76" s="1" t="s">
        <v>74</v>
      </c>
      <c r="AY76" s="1" t="s">
        <v>74</v>
      </c>
      <c r="AZ76" s="1" t="s">
        <v>74</v>
      </c>
      <c r="BA76" s="1" t="s">
        <v>74</v>
      </c>
      <c r="BB76" s="1" t="s">
        <v>74</v>
      </c>
      <c r="BC76" s="1" t="s">
        <v>74</v>
      </c>
      <c r="BD76" s="1" t="s">
        <v>74</v>
      </c>
      <c r="BE76" s="1" t="s">
        <v>582</v>
      </c>
      <c r="BF76" s="1" t="str">
        <f>HYPERLINK("http://dx.doi.org/10.1007/s10682-023-10285-x","http://dx.doi.org/10.1007/s10682-023-10285-x")</f>
        <v>http://dx.doi.org/10.1007/s10682-023-10285-x</v>
      </c>
      <c r="BG76" s="1" t="s">
        <v>74</v>
      </c>
      <c r="BH76" s="1" t="s">
        <v>583</v>
      </c>
      <c r="BI76" s="1" t="s">
        <v>74</v>
      </c>
      <c r="BJ76" s="1" t="s">
        <v>74</v>
      </c>
      <c r="BK76" s="1" t="s">
        <v>74</v>
      </c>
      <c r="BL76" s="1" t="s">
        <v>74</v>
      </c>
      <c r="BM76" s="1" t="s">
        <v>74</v>
      </c>
      <c r="BN76" s="1" t="s">
        <v>74</v>
      </c>
      <c r="BO76" s="1" t="s">
        <v>74</v>
      </c>
      <c r="BP76" s="1" t="s">
        <v>74</v>
      </c>
      <c r="BQ76" s="1" t="s">
        <v>74</v>
      </c>
      <c r="BR76" s="1" t="s">
        <v>74</v>
      </c>
      <c r="BS76" s="1" t="s">
        <v>584</v>
      </c>
      <c r="BT76" s="1" t="str">
        <f>HYPERLINK("https%3A%2F%2Fwww.webofscience.com%2Fwos%2Fwoscc%2Ffull-record%2FWOS:001150340400001","View Full Record in Web of Science")</f>
        <v>View Full Record in Web of Science</v>
      </c>
    </row>
    <row r="77" spans="1:314" s="2" customFormat="1" x14ac:dyDescent="0.4">
      <c r="A77" s="2" t="s">
        <v>72</v>
      </c>
      <c r="B77" s="2" t="s">
        <v>5902</v>
      </c>
      <c r="C77" s="2" t="s">
        <v>74</v>
      </c>
      <c r="D77" s="2" t="s">
        <v>74</v>
      </c>
      <c r="E77" s="2" t="s">
        <v>74</v>
      </c>
      <c r="F77" s="2" t="s">
        <v>5903</v>
      </c>
      <c r="G77" s="2" t="s">
        <v>74</v>
      </c>
      <c r="H77" s="2" t="s">
        <v>74</v>
      </c>
      <c r="I77" s="2" t="s">
        <v>8771</v>
      </c>
      <c r="J77" s="2" t="s">
        <v>775</v>
      </c>
      <c r="K77" s="2" t="s">
        <v>74</v>
      </c>
      <c r="L77" s="2" t="s">
        <v>74</v>
      </c>
      <c r="M77" s="2" t="s">
        <v>74</v>
      </c>
      <c r="N77" s="2" t="s">
        <v>74</v>
      </c>
      <c r="O77" s="2" t="s">
        <v>74</v>
      </c>
      <c r="P77" s="2" t="s">
        <v>74</v>
      </c>
      <c r="Q77" s="2" t="s">
        <v>74</v>
      </c>
      <c r="R77" s="2" t="s">
        <v>74</v>
      </c>
      <c r="S77" s="2" t="s">
        <v>74</v>
      </c>
      <c r="T77" s="2" t="s">
        <v>74</v>
      </c>
      <c r="U77" s="2" t="s">
        <v>74</v>
      </c>
      <c r="V77" s="5" t="s">
        <v>5905</v>
      </c>
      <c r="W77" s="2" t="s">
        <v>74</v>
      </c>
      <c r="X77" s="2" t="s">
        <v>74</v>
      </c>
      <c r="Y77" s="2" t="s">
        <v>74</v>
      </c>
      <c r="Z77" s="2" t="s">
        <v>74</v>
      </c>
      <c r="AA77" s="2" t="s">
        <v>5906</v>
      </c>
      <c r="AB77" s="2" t="s">
        <v>5907</v>
      </c>
      <c r="AC77" s="2" t="s">
        <v>74</v>
      </c>
      <c r="AD77" s="2" t="s">
        <v>74</v>
      </c>
      <c r="AE77" s="2" t="s">
        <v>74</v>
      </c>
      <c r="AF77" s="2" t="s">
        <v>74</v>
      </c>
      <c r="AG77" s="2" t="s">
        <v>74</v>
      </c>
      <c r="AH77" s="2" t="s">
        <v>74</v>
      </c>
      <c r="AI77" s="2" t="s">
        <v>74</v>
      </c>
      <c r="AJ77" s="2" t="s">
        <v>74</v>
      </c>
      <c r="AK77" s="2" t="s">
        <v>74</v>
      </c>
      <c r="AL77" s="2" t="s">
        <v>74</v>
      </c>
      <c r="AM77" s="2" t="s">
        <v>74</v>
      </c>
      <c r="AN77" s="2" t="s">
        <v>74</v>
      </c>
      <c r="AO77" s="2" t="s">
        <v>778</v>
      </c>
      <c r="AP77" s="2" t="s">
        <v>779</v>
      </c>
      <c r="AQ77" s="2" t="s">
        <v>74</v>
      </c>
      <c r="AR77" s="2" t="s">
        <v>74</v>
      </c>
      <c r="AS77" s="2" t="s">
        <v>74</v>
      </c>
      <c r="AT77" s="2" t="s">
        <v>2296</v>
      </c>
      <c r="AU77" s="2">
        <v>2024</v>
      </c>
      <c r="AV77" s="2">
        <v>70</v>
      </c>
      <c r="AW77" s="2">
        <v>1</v>
      </c>
      <c r="AX77" s="2" t="s">
        <v>74</v>
      </c>
      <c r="AY77" s="2" t="s">
        <v>74</v>
      </c>
      <c r="AZ77" s="2" t="s">
        <v>74</v>
      </c>
      <c r="BA77" s="2" t="s">
        <v>74</v>
      </c>
      <c r="BB77" s="2">
        <v>70</v>
      </c>
      <c r="BC77" s="2">
        <v>78</v>
      </c>
      <c r="BD77" s="2" t="s">
        <v>74</v>
      </c>
      <c r="BE77" s="2" t="s">
        <v>5908</v>
      </c>
      <c r="BF77" s="2" t="str">
        <f>HYPERLINK("http://dx.doi.org/10.1093/cz/zoac100","http://dx.doi.org/10.1093/cz/zoac100")</f>
        <v>http://dx.doi.org/10.1093/cz/zoac100</v>
      </c>
      <c r="BG77" s="2" t="s">
        <v>74</v>
      </c>
      <c r="BH77" s="2" t="s">
        <v>5909</v>
      </c>
      <c r="BI77" s="2" t="s">
        <v>74</v>
      </c>
      <c r="BJ77" s="2" t="s">
        <v>74</v>
      </c>
      <c r="BK77" s="2" t="s">
        <v>74</v>
      </c>
      <c r="BL77" s="2" t="s">
        <v>74</v>
      </c>
      <c r="BM77" s="2" t="s">
        <v>74</v>
      </c>
      <c r="BN77" s="2">
        <v>38476131</v>
      </c>
      <c r="BO77" s="2" t="s">
        <v>74</v>
      </c>
      <c r="BP77" s="2" t="s">
        <v>74</v>
      </c>
      <c r="BQ77" s="2" t="s">
        <v>74</v>
      </c>
      <c r="BR77" s="2" t="s">
        <v>74</v>
      </c>
      <c r="BS77" s="2" t="s">
        <v>5910</v>
      </c>
      <c r="BT77" s="2" t="str">
        <f>HYPERLINK("https%3A%2F%2Fwww.webofscience.com%2Fwos%2Fwoscc%2Ffull-record%2FWOS:000941795100001","View Full Record in Web of Science")</f>
        <v>View Full Record in Web of Science</v>
      </c>
    </row>
    <row r="78" spans="1:314" s="2" customFormat="1" x14ac:dyDescent="0.4">
      <c r="A78" s="2" t="s">
        <v>72</v>
      </c>
      <c r="B78" s="2" t="s">
        <v>7116</v>
      </c>
      <c r="C78" s="2" t="s">
        <v>74</v>
      </c>
      <c r="D78" s="2" t="s">
        <v>74</v>
      </c>
      <c r="E78" s="2" t="s">
        <v>74</v>
      </c>
      <c r="F78" s="2" t="s">
        <v>7117</v>
      </c>
      <c r="G78" s="2" t="s">
        <v>74</v>
      </c>
      <c r="H78" s="2" t="s">
        <v>74</v>
      </c>
      <c r="I78" s="2" t="s">
        <v>8772</v>
      </c>
      <c r="J78" s="2" t="s">
        <v>5577</v>
      </c>
      <c r="K78" s="2" t="s">
        <v>74</v>
      </c>
      <c r="L78" s="2" t="s">
        <v>74</v>
      </c>
      <c r="M78" s="2" t="s">
        <v>74</v>
      </c>
      <c r="N78" s="2" t="s">
        <v>74</v>
      </c>
      <c r="O78" s="2" t="s">
        <v>74</v>
      </c>
      <c r="P78" s="2" t="s">
        <v>74</v>
      </c>
      <c r="Q78" s="2" t="s">
        <v>74</v>
      </c>
      <c r="R78" s="2" t="s">
        <v>74</v>
      </c>
      <c r="S78" s="2" t="s">
        <v>74</v>
      </c>
      <c r="T78" s="2" t="s">
        <v>74</v>
      </c>
      <c r="U78" s="2" t="s">
        <v>74</v>
      </c>
      <c r="V78" s="5" t="s">
        <v>7119</v>
      </c>
      <c r="W78" s="2" t="s">
        <v>74</v>
      </c>
      <c r="X78" s="2" t="s">
        <v>74</v>
      </c>
      <c r="Y78" s="2" t="s">
        <v>74</v>
      </c>
      <c r="Z78" s="2" t="s">
        <v>74</v>
      </c>
      <c r="AA78" s="2" t="s">
        <v>74</v>
      </c>
      <c r="AB78" s="2" t="s">
        <v>74</v>
      </c>
      <c r="AC78" s="2" t="s">
        <v>74</v>
      </c>
      <c r="AD78" s="2" t="s">
        <v>74</v>
      </c>
      <c r="AE78" s="2" t="s">
        <v>74</v>
      </c>
      <c r="AF78" s="2" t="s">
        <v>74</v>
      </c>
      <c r="AG78" s="2" t="s">
        <v>74</v>
      </c>
      <c r="AH78" s="2" t="s">
        <v>74</v>
      </c>
      <c r="AI78" s="2" t="s">
        <v>74</v>
      </c>
      <c r="AJ78" s="2" t="s">
        <v>74</v>
      </c>
      <c r="AK78" s="2" t="s">
        <v>74</v>
      </c>
      <c r="AL78" s="2" t="s">
        <v>74</v>
      </c>
      <c r="AM78" s="2" t="s">
        <v>74</v>
      </c>
      <c r="AN78" s="2" t="s">
        <v>74</v>
      </c>
      <c r="AO78" s="2" t="s">
        <v>5579</v>
      </c>
      <c r="AP78" s="2" t="s">
        <v>74</v>
      </c>
      <c r="AQ78" s="2" t="s">
        <v>74</v>
      </c>
      <c r="AR78" s="2" t="s">
        <v>74</v>
      </c>
      <c r="AS78" s="2" t="s">
        <v>74</v>
      </c>
      <c r="AT78" s="2" t="s">
        <v>123</v>
      </c>
      <c r="AU78" s="2">
        <v>2022</v>
      </c>
      <c r="AV78" s="2">
        <v>101</v>
      </c>
      <c r="AW78" s="2">
        <v>3</v>
      </c>
      <c r="AX78" s="2" t="s">
        <v>74</v>
      </c>
      <c r="AY78" s="2" t="s">
        <v>74</v>
      </c>
      <c r="AZ78" s="2" t="s">
        <v>74</v>
      </c>
      <c r="BA78" s="2" t="s">
        <v>74</v>
      </c>
      <c r="BB78" s="2">
        <v>326</v>
      </c>
      <c r="BC78" s="2">
        <v>335</v>
      </c>
      <c r="BD78" s="2" t="s">
        <v>74</v>
      </c>
      <c r="BE78" s="2" t="s">
        <v>7120</v>
      </c>
      <c r="BF78" s="2" t="str">
        <f>HYPERLINK("http://dx.doi.org/10.31857/S0044513422010056","http://dx.doi.org/10.31857/S0044513422010056")</f>
        <v>http://dx.doi.org/10.31857/S0044513422010056</v>
      </c>
      <c r="BG78" s="2" t="s">
        <v>74</v>
      </c>
      <c r="BH78" s="2" t="s">
        <v>74</v>
      </c>
      <c r="BI78" s="2" t="s">
        <v>74</v>
      </c>
      <c r="BJ78" s="2" t="s">
        <v>74</v>
      </c>
      <c r="BK78" s="2" t="s">
        <v>74</v>
      </c>
      <c r="BL78" s="2" t="s">
        <v>74</v>
      </c>
      <c r="BM78" s="2" t="s">
        <v>74</v>
      </c>
      <c r="BN78" s="2" t="s">
        <v>74</v>
      </c>
      <c r="BO78" s="2" t="s">
        <v>74</v>
      </c>
      <c r="BP78" s="2" t="s">
        <v>74</v>
      </c>
      <c r="BQ78" s="2" t="s">
        <v>74</v>
      </c>
      <c r="BR78" s="2" t="s">
        <v>74</v>
      </c>
      <c r="BS78" s="2" t="s">
        <v>7121</v>
      </c>
      <c r="BT78" s="2" t="str">
        <f>HYPERLINK("https%3A%2F%2Fwww.webofscience.com%2Fwos%2Fwoscc%2Ffull-record%2FWOS:000851044400007","View Full Record in Web of Science")</f>
        <v>View Full Record in Web of Science</v>
      </c>
    </row>
    <row r="79" spans="1:314" s="1" customFormat="1" x14ac:dyDescent="0.4">
      <c r="A79" s="1" t="s">
        <v>72</v>
      </c>
      <c r="B79" s="1" t="s">
        <v>3892</v>
      </c>
      <c r="C79" s="1" t="s">
        <v>74</v>
      </c>
      <c r="D79" s="1" t="s">
        <v>74</v>
      </c>
      <c r="E79" s="1" t="s">
        <v>74</v>
      </c>
      <c r="F79" s="1" t="s">
        <v>3893</v>
      </c>
      <c r="G79" s="1" t="s">
        <v>74</v>
      </c>
      <c r="H79" s="1" t="s">
        <v>74</v>
      </c>
      <c r="I79" s="1" t="s">
        <v>3894</v>
      </c>
      <c r="J79" s="1" t="s">
        <v>140</v>
      </c>
      <c r="K79" s="1" t="s">
        <v>74</v>
      </c>
      <c r="L79" s="1" t="s">
        <v>74</v>
      </c>
      <c r="M79" s="1" t="s">
        <v>74</v>
      </c>
      <c r="N79" s="1" t="s">
        <v>74</v>
      </c>
      <c r="O79" s="1" t="s">
        <v>74</v>
      </c>
      <c r="P79" s="1" t="s">
        <v>74</v>
      </c>
      <c r="Q79" s="1" t="s">
        <v>74</v>
      </c>
      <c r="R79" s="1" t="s">
        <v>74</v>
      </c>
      <c r="S79" s="1" t="s">
        <v>74</v>
      </c>
      <c r="T79" s="1" t="s">
        <v>74</v>
      </c>
      <c r="U79" s="1" t="s">
        <v>74</v>
      </c>
      <c r="V79" s="4" t="s">
        <v>3895</v>
      </c>
      <c r="W79" s="1" t="s">
        <v>74</v>
      </c>
      <c r="X79" s="1" t="s">
        <v>74</v>
      </c>
      <c r="Y79" s="1" t="s">
        <v>74</v>
      </c>
      <c r="Z79" s="1" t="s">
        <v>74</v>
      </c>
      <c r="AA79" s="1" t="s">
        <v>3896</v>
      </c>
      <c r="AB79" s="1" t="s">
        <v>3897</v>
      </c>
      <c r="AC79" s="1" t="s">
        <v>74</v>
      </c>
      <c r="AD79" s="1" t="s">
        <v>74</v>
      </c>
      <c r="AE79" s="1" t="s">
        <v>74</v>
      </c>
      <c r="AF79" s="1" t="s">
        <v>74</v>
      </c>
      <c r="AG79" s="1" t="s">
        <v>74</v>
      </c>
      <c r="AH79" s="1" t="s">
        <v>74</v>
      </c>
      <c r="AI79" s="1" t="s">
        <v>74</v>
      </c>
      <c r="AJ79" s="1" t="s">
        <v>74</v>
      </c>
      <c r="AK79" s="1" t="s">
        <v>74</v>
      </c>
      <c r="AL79" s="1" t="s">
        <v>74</v>
      </c>
      <c r="AM79" s="1" t="s">
        <v>74</v>
      </c>
      <c r="AN79" s="1" t="s">
        <v>74</v>
      </c>
      <c r="AO79" s="1" t="s">
        <v>143</v>
      </c>
      <c r="AP79" s="1" t="s">
        <v>144</v>
      </c>
      <c r="AQ79" s="1" t="s">
        <v>74</v>
      </c>
      <c r="AR79" s="1" t="s">
        <v>74</v>
      </c>
      <c r="AS79" s="1" t="s">
        <v>74</v>
      </c>
      <c r="AT79" s="1" t="s">
        <v>305</v>
      </c>
      <c r="AU79" s="1">
        <v>2020</v>
      </c>
      <c r="AV79" s="1">
        <v>170</v>
      </c>
      <c r="AW79" s="1" t="s">
        <v>74</v>
      </c>
      <c r="AX79" s="1" t="s">
        <v>74</v>
      </c>
      <c r="AY79" s="1" t="s">
        <v>74</v>
      </c>
      <c r="AZ79" s="1" t="s">
        <v>74</v>
      </c>
      <c r="BA79" s="1" t="s">
        <v>74</v>
      </c>
      <c r="BB79" s="1">
        <v>167</v>
      </c>
      <c r="BC79" s="1">
        <v>176</v>
      </c>
      <c r="BD79" s="1" t="s">
        <v>74</v>
      </c>
      <c r="BE79" s="1" t="s">
        <v>3898</v>
      </c>
      <c r="BF79" s="1" t="str">
        <f>HYPERLINK("http://dx.doi.org/10.1016/j.anbehav.2020.10.014","http://dx.doi.org/10.1016/j.anbehav.2020.10.014")</f>
        <v>http://dx.doi.org/10.1016/j.anbehav.2020.10.014</v>
      </c>
      <c r="BG79" s="1" t="s">
        <v>74</v>
      </c>
      <c r="BH79" s="1" t="s">
        <v>74</v>
      </c>
      <c r="BI79" s="1" t="s">
        <v>74</v>
      </c>
      <c r="BJ79" s="1" t="s">
        <v>74</v>
      </c>
      <c r="BK79" s="1" t="s">
        <v>74</v>
      </c>
      <c r="BL79" s="1" t="s">
        <v>74</v>
      </c>
      <c r="BM79" s="1" t="s">
        <v>74</v>
      </c>
      <c r="BN79" s="1" t="s">
        <v>74</v>
      </c>
      <c r="BO79" s="1" t="s">
        <v>74</v>
      </c>
      <c r="BP79" s="1" t="s">
        <v>74</v>
      </c>
      <c r="BQ79" s="1" t="s">
        <v>74</v>
      </c>
      <c r="BR79" s="1" t="s">
        <v>74</v>
      </c>
      <c r="BS79" s="1" t="s">
        <v>3899</v>
      </c>
      <c r="BT79" s="1" t="str">
        <f>HYPERLINK("https%3A%2F%2Fwww.webofscience.com%2Fwos%2Fwoscc%2Ffull-record%2FWOS:000598905300016","View Full Record in Web of Science")</f>
        <v>View Full Record in Web of Science</v>
      </c>
    </row>
    <row r="80" spans="1:314" s="2" customFormat="1" x14ac:dyDescent="0.4">
      <c r="A80" s="2" t="s">
        <v>72</v>
      </c>
      <c r="B80" s="2" t="s">
        <v>8700</v>
      </c>
      <c r="C80" s="2" t="s">
        <v>74</v>
      </c>
      <c r="D80" s="2" t="s">
        <v>74</v>
      </c>
      <c r="E80" s="2" t="s">
        <v>74</v>
      </c>
      <c r="F80" s="2" t="s">
        <v>8701</v>
      </c>
      <c r="G80" s="2" t="s">
        <v>74</v>
      </c>
      <c r="H80" s="2" t="s">
        <v>74</v>
      </c>
      <c r="I80" s="2" t="s">
        <v>8773</v>
      </c>
      <c r="J80" s="2" t="s">
        <v>610</v>
      </c>
      <c r="K80" s="2" t="s">
        <v>74</v>
      </c>
      <c r="L80" s="2" t="s">
        <v>74</v>
      </c>
      <c r="M80" s="2" t="s">
        <v>74</v>
      </c>
      <c r="N80" s="2" t="s">
        <v>74</v>
      </c>
      <c r="O80" s="2" t="s">
        <v>74</v>
      </c>
      <c r="P80" s="2" t="s">
        <v>74</v>
      </c>
      <c r="Q80" s="2" t="s">
        <v>74</v>
      </c>
      <c r="R80" s="2" t="s">
        <v>74</v>
      </c>
      <c r="S80" s="2" t="s">
        <v>74</v>
      </c>
      <c r="T80" s="2" t="s">
        <v>74</v>
      </c>
      <c r="U80" s="2" t="s">
        <v>74</v>
      </c>
      <c r="V80" s="5" t="s">
        <v>8703</v>
      </c>
      <c r="W80" s="2" t="s">
        <v>74</v>
      </c>
      <c r="X80" s="2" t="s">
        <v>74</v>
      </c>
      <c r="Y80" s="2" t="s">
        <v>74</v>
      </c>
      <c r="Z80" s="2" t="s">
        <v>74</v>
      </c>
      <c r="AA80" s="2" t="s">
        <v>74</v>
      </c>
      <c r="AB80" s="2" t="s">
        <v>74</v>
      </c>
      <c r="AC80" s="2" t="s">
        <v>74</v>
      </c>
      <c r="AD80" s="2" t="s">
        <v>74</v>
      </c>
      <c r="AE80" s="2" t="s">
        <v>74</v>
      </c>
      <c r="AF80" s="2" t="s">
        <v>74</v>
      </c>
      <c r="AG80" s="2" t="s">
        <v>74</v>
      </c>
      <c r="AH80" s="2" t="s">
        <v>74</v>
      </c>
      <c r="AI80" s="2" t="s">
        <v>74</v>
      </c>
      <c r="AJ80" s="2" t="s">
        <v>74</v>
      </c>
      <c r="AK80" s="2" t="s">
        <v>74</v>
      </c>
      <c r="AL80" s="2" t="s">
        <v>74</v>
      </c>
      <c r="AM80" s="2" t="s">
        <v>74</v>
      </c>
      <c r="AN80" s="2" t="s">
        <v>74</v>
      </c>
      <c r="AO80" s="2" t="s">
        <v>614</v>
      </c>
      <c r="AP80" s="2" t="s">
        <v>615</v>
      </c>
      <c r="AQ80" s="2" t="s">
        <v>74</v>
      </c>
      <c r="AR80" s="2" t="s">
        <v>74</v>
      </c>
      <c r="AS80" s="2" t="s">
        <v>74</v>
      </c>
      <c r="AT80" s="2" t="s">
        <v>255</v>
      </c>
      <c r="AU80" s="2">
        <v>2024</v>
      </c>
      <c r="AV80" s="2">
        <v>130</v>
      </c>
      <c r="AW80" s="2">
        <v>1</v>
      </c>
      <c r="AX80" s="2" t="s">
        <v>74</v>
      </c>
      <c r="AY80" s="2" t="s">
        <v>74</v>
      </c>
      <c r="AZ80" s="2" t="s">
        <v>74</v>
      </c>
      <c r="BA80" s="2" t="s">
        <v>74</v>
      </c>
      <c r="BB80" s="2" t="s">
        <v>74</v>
      </c>
      <c r="BC80" s="2" t="s">
        <v>74</v>
      </c>
      <c r="BD80" s="2" t="s">
        <v>74</v>
      </c>
      <c r="BE80" s="2" t="s">
        <v>8704</v>
      </c>
      <c r="BF80" s="2" t="str">
        <f>HYPERLINK("http://dx.doi.org/10.1111/eth.13410","http://dx.doi.org/10.1111/eth.13410")</f>
        <v>http://dx.doi.org/10.1111/eth.13410</v>
      </c>
      <c r="BG80" s="2" t="s">
        <v>74</v>
      </c>
      <c r="BH80" s="2" t="s">
        <v>902</v>
      </c>
      <c r="BI80" s="2" t="s">
        <v>74</v>
      </c>
      <c r="BJ80" s="2" t="s">
        <v>74</v>
      </c>
      <c r="BK80" s="2" t="s">
        <v>74</v>
      </c>
      <c r="BL80" s="2" t="s">
        <v>74</v>
      </c>
      <c r="BM80" s="2" t="s">
        <v>74</v>
      </c>
      <c r="BN80" s="2" t="s">
        <v>74</v>
      </c>
      <c r="BO80" s="2" t="s">
        <v>74</v>
      </c>
      <c r="BP80" s="2" t="s">
        <v>74</v>
      </c>
      <c r="BQ80" s="2" t="s">
        <v>74</v>
      </c>
      <c r="BR80" s="2" t="s">
        <v>74</v>
      </c>
      <c r="BS80" s="2" t="s">
        <v>8705</v>
      </c>
      <c r="BT80" s="2" t="str">
        <f>HYPERLINK("https%3A%2F%2Fwww.webofscience.com%2Fwos%2Fwoscc%2Ffull-record%2FWOS:001084830100001","View Full Record in Web of Science")</f>
        <v>View Full Record in Web of Science</v>
      </c>
    </row>
    <row r="81" spans="1:72" s="2" customFormat="1" x14ac:dyDescent="0.4">
      <c r="A81" s="2" t="s">
        <v>72</v>
      </c>
      <c r="B81" s="2" t="s">
        <v>2108</v>
      </c>
      <c r="C81" s="2" t="s">
        <v>74</v>
      </c>
      <c r="D81" s="2" t="s">
        <v>74</v>
      </c>
      <c r="E81" s="2" t="s">
        <v>74</v>
      </c>
      <c r="F81" s="2" t="s">
        <v>2108</v>
      </c>
      <c r="G81" s="2" t="s">
        <v>74</v>
      </c>
      <c r="H81" s="2" t="s">
        <v>74</v>
      </c>
      <c r="I81" s="2" t="s">
        <v>8774</v>
      </c>
      <c r="J81" s="2" t="s">
        <v>2110</v>
      </c>
      <c r="K81" s="2" t="s">
        <v>74</v>
      </c>
      <c r="L81" s="2" t="s">
        <v>74</v>
      </c>
      <c r="M81" s="2" t="s">
        <v>74</v>
      </c>
      <c r="N81" s="2" t="s">
        <v>74</v>
      </c>
      <c r="O81" s="2" t="s">
        <v>74</v>
      </c>
      <c r="P81" s="2" t="s">
        <v>74</v>
      </c>
      <c r="Q81" s="2" t="s">
        <v>74</v>
      </c>
      <c r="R81" s="2" t="s">
        <v>74</v>
      </c>
      <c r="S81" s="2" t="s">
        <v>74</v>
      </c>
      <c r="T81" s="2" t="s">
        <v>74</v>
      </c>
      <c r="U81" s="2" t="s">
        <v>74</v>
      </c>
      <c r="V81" s="5" t="s">
        <v>2111</v>
      </c>
      <c r="W81" s="2" t="s">
        <v>74</v>
      </c>
      <c r="X81" s="2" t="s">
        <v>74</v>
      </c>
      <c r="Y81" s="2" t="s">
        <v>74</v>
      </c>
      <c r="Z81" s="2" t="s">
        <v>74</v>
      </c>
      <c r="AA81" s="2" t="s">
        <v>74</v>
      </c>
      <c r="AB81" s="2" t="s">
        <v>74</v>
      </c>
      <c r="AC81" s="2" t="s">
        <v>74</v>
      </c>
      <c r="AD81" s="2" t="s">
        <v>74</v>
      </c>
      <c r="AE81" s="2" t="s">
        <v>74</v>
      </c>
      <c r="AF81" s="2" t="s">
        <v>74</v>
      </c>
      <c r="AG81" s="2" t="s">
        <v>74</v>
      </c>
      <c r="AH81" s="2" t="s">
        <v>74</v>
      </c>
      <c r="AI81" s="2" t="s">
        <v>74</v>
      </c>
      <c r="AJ81" s="2" t="s">
        <v>74</v>
      </c>
      <c r="AK81" s="2" t="s">
        <v>74</v>
      </c>
      <c r="AL81" s="2" t="s">
        <v>74</v>
      </c>
      <c r="AM81" s="2" t="s">
        <v>74</v>
      </c>
      <c r="AN81" s="2" t="s">
        <v>74</v>
      </c>
      <c r="AO81" s="2" t="s">
        <v>2112</v>
      </c>
      <c r="AP81" s="2" t="s">
        <v>74</v>
      </c>
      <c r="AQ81" s="2" t="s">
        <v>74</v>
      </c>
      <c r="AR81" s="2" t="s">
        <v>74</v>
      </c>
      <c r="AS81" s="2" t="s">
        <v>74</v>
      </c>
      <c r="AT81" s="2" t="s">
        <v>74</v>
      </c>
      <c r="AU81" s="2">
        <v>1978</v>
      </c>
      <c r="AV81" s="2">
        <v>46</v>
      </c>
      <c r="AW81" s="2">
        <v>1</v>
      </c>
      <c r="AX81" s="2" t="s">
        <v>74</v>
      </c>
      <c r="AY81" s="2" t="s">
        <v>74</v>
      </c>
      <c r="AZ81" s="2" t="s">
        <v>74</v>
      </c>
      <c r="BA81" s="2" t="s">
        <v>74</v>
      </c>
      <c r="BB81" s="2">
        <v>43</v>
      </c>
      <c r="BC81" s="2">
        <v>57</v>
      </c>
      <c r="BD81" s="2" t="s">
        <v>74</v>
      </c>
      <c r="BE81" s="2" t="s">
        <v>74</v>
      </c>
      <c r="BF81" s="2" t="s">
        <v>74</v>
      </c>
      <c r="BG81" s="2" t="s">
        <v>74</v>
      </c>
      <c r="BH81" s="2" t="s">
        <v>74</v>
      </c>
      <c r="BI81" s="2" t="s">
        <v>74</v>
      </c>
      <c r="BJ81" s="2" t="s">
        <v>74</v>
      </c>
      <c r="BK81" s="2" t="s">
        <v>74</v>
      </c>
      <c r="BL81" s="2" t="s">
        <v>74</v>
      </c>
      <c r="BM81" s="2" t="s">
        <v>74</v>
      </c>
      <c r="BN81" s="2">
        <v>566001</v>
      </c>
      <c r="BO81" s="2" t="s">
        <v>74</v>
      </c>
      <c r="BP81" s="2" t="s">
        <v>74</v>
      </c>
      <c r="BQ81" s="2" t="s">
        <v>74</v>
      </c>
      <c r="BR81" s="2" t="s">
        <v>74</v>
      </c>
      <c r="BS81" s="2" t="s">
        <v>2113</v>
      </c>
      <c r="BT81" s="2" t="str">
        <f>HYPERLINK("https%3A%2F%2Fwww.webofscience.com%2Fwos%2Fwoscc%2Ffull-record%2FWOS:A1978ES06300004","View Full Record in Web of Science")</f>
        <v>View Full Record in Web of Science</v>
      </c>
    </row>
    <row r="82" spans="1:72" s="2" customFormat="1" x14ac:dyDescent="0.4">
      <c r="A82" s="2" t="s">
        <v>72</v>
      </c>
      <c r="B82" s="2" t="s">
        <v>3431</v>
      </c>
      <c r="C82" s="2" t="s">
        <v>74</v>
      </c>
      <c r="D82" s="2" t="s">
        <v>74</v>
      </c>
      <c r="E82" s="2" t="s">
        <v>74</v>
      </c>
      <c r="F82" s="2" t="s">
        <v>3432</v>
      </c>
      <c r="G82" s="2" t="s">
        <v>74</v>
      </c>
      <c r="H82" s="2" t="s">
        <v>74</v>
      </c>
      <c r="I82" s="2" t="s">
        <v>3433</v>
      </c>
      <c r="J82" s="2" t="s">
        <v>610</v>
      </c>
      <c r="K82" s="2" t="s">
        <v>74</v>
      </c>
      <c r="L82" s="2" t="s">
        <v>74</v>
      </c>
      <c r="M82" s="2" t="s">
        <v>74</v>
      </c>
      <c r="N82" s="2" t="s">
        <v>74</v>
      </c>
      <c r="O82" s="2" t="s">
        <v>74</v>
      </c>
      <c r="P82" s="2" t="s">
        <v>74</v>
      </c>
      <c r="Q82" s="2" t="s">
        <v>74</v>
      </c>
      <c r="R82" s="2" t="s">
        <v>74</v>
      </c>
      <c r="S82" s="2" t="s">
        <v>74</v>
      </c>
      <c r="T82" s="2" t="s">
        <v>74</v>
      </c>
      <c r="U82" s="2" t="s">
        <v>74</v>
      </c>
      <c r="V82" s="5" t="s">
        <v>3434</v>
      </c>
      <c r="W82" s="2" t="s">
        <v>74</v>
      </c>
      <c r="X82" s="2" t="s">
        <v>74</v>
      </c>
      <c r="Y82" s="2" t="s">
        <v>74</v>
      </c>
      <c r="Z82" s="2" t="s">
        <v>74</v>
      </c>
      <c r="AA82" s="2" t="s">
        <v>3435</v>
      </c>
      <c r="AB82" s="2" t="s">
        <v>3436</v>
      </c>
      <c r="AC82" s="2" t="s">
        <v>74</v>
      </c>
      <c r="AD82" s="2" t="s">
        <v>74</v>
      </c>
      <c r="AE82" s="2" t="s">
        <v>74</v>
      </c>
      <c r="AF82" s="2" t="s">
        <v>74</v>
      </c>
      <c r="AG82" s="2" t="s">
        <v>74</v>
      </c>
      <c r="AH82" s="2" t="s">
        <v>74</v>
      </c>
      <c r="AI82" s="2" t="s">
        <v>74</v>
      </c>
      <c r="AJ82" s="2" t="s">
        <v>74</v>
      </c>
      <c r="AK82" s="2" t="s">
        <v>74</v>
      </c>
      <c r="AL82" s="2" t="s">
        <v>74</v>
      </c>
      <c r="AM82" s="2" t="s">
        <v>74</v>
      </c>
      <c r="AN82" s="2" t="s">
        <v>74</v>
      </c>
      <c r="AO82" s="2" t="s">
        <v>614</v>
      </c>
      <c r="AP82" s="2" t="s">
        <v>615</v>
      </c>
      <c r="AQ82" s="2" t="s">
        <v>74</v>
      </c>
      <c r="AR82" s="2" t="s">
        <v>74</v>
      </c>
      <c r="AS82" s="2" t="s">
        <v>74</v>
      </c>
      <c r="AT82" s="2" t="s">
        <v>305</v>
      </c>
      <c r="AU82" s="2">
        <v>2021</v>
      </c>
      <c r="AV82" s="2">
        <v>127</v>
      </c>
      <c r="AW82" s="2">
        <v>12</v>
      </c>
      <c r="AX82" s="2" t="s">
        <v>74</v>
      </c>
      <c r="AY82" s="2" t="s">
        <v>74</v>
      </c>
      <c r="AZ82" s="2" t="s">
        <v>74</v>
      </c>
      <c r="BA82" s="2" t="s">
        <v>74</v>
      </c>
      <c r="BB82" s="2">
        <v>1053</v>
      </c>
      <c r="BC82" s="2">
        <v>1063</v>
      </c>
      <c r="BD82" s="2" t="s">
        <v>74</v>
      </c>
      <c r="BE82" s="2" t="s">
        <v>3437</v>
      </c>
      <c r="BF82" s="2" t="str">
        <f>HYPERLINK("http://dx.doi.org/10.1111/eth.13228","http://dx.doi.org/10.1111/eth.13228")</f>
        <v>http://dx.doi.org/10.1111/eth.13228</v>
      </c>
      <c r="BG82" s="2" t="s">
        <v>74</v>
      </c>
      <c r="BH82" s="2" t="s">
        <v>675</v>
      </c>
      <c r="BI82" s="2" t="s">
        <v>74</v>
      </c>
      <c r="BJ82" s="2" t="s">
        <v>74</v>
      </c>
      <c r="BK82" s="2" t="s">
        <v>74</v>
      </c>
      <c r="BL82" s="2" t="s">
        <v>74</v>
      </c>
      <c r="BM82" s="2" t="s">
        <v>74</v>
      </c>
      <c r="BN82" s="2" t="s">
        <v>74</v>
      </c>
      <c r="BO82" s="2" t="s">
        <v>74</v>
      </c>
      <c r="BP82" s="2" t="s">
        <v>74</v>
      </c>
      <c r="BQ82" s="2" t="s">
        <v>74</v>
      </c>
      <c r="BR82" s="2" t="s">
        <v>74</v>
      </c>
      <c r="BS82" s="2" t="s">
        <v>3438</v>
      </c>
      <c r="BT82" s="2" t="str">
        <f>HYPERLINK("https%3A%2F%2Fwww.webofscience.com%2Fwos%2Fwoscc%2Ffull-record%2FWOS:000692844500001","View Full Record in Web of Science")</f>
        <v>View Full Record in Web of Science</v>
      </c>
    </row>
    <row r="83" spans="1:72" s="2" customFormat="1" x14ac:dyDescent="0.4">
      <c r="A83" s="2" t="s">
        <v>72</v>
      </c>
      <c r="B83" s="2" t="s">
        <v>6520</v>
      </c>
      <c r="C83" s="2" t="s">
        <v>74</v>
      </c>
      <c r="D83" s="2" t="s">
        <v>74</v>
      </c>
      <c r="E83" s="2" t="s">
        <v>74</v>
      </c>
      <c r="F83" s="2" t="s">
        <v>6521</v>
      </c>
      <c r="G83" s="2" t="s">
        <v>74</v>
      </c>
      <c r="H83" s="2" t="s">
        <v>74</v>
      </c>
      <c r="I83" s="2" t="s">
        <v>6522</v>
      </c>
      <c r="J83" s="2" t="s">
        <v>129</v>
      </c>
      <c r="K83" s="2" t="s">
        <v>74</v>
      </c>
      <c r="L83" s="2" t="s">
        <v>74</v>
      </c>
      <c r="M83" s="2" t="s">
        <v>74</v>
      </c>
      <c r="N83" s="2" t="s">
        <v>74</v>
      </c>
      <c r="O83" s="2" t="s">
        <v>74</v>
      </c>
      <c r="P83" s="2" t="s">
        <v>74</v>
      </c>
      <c r="Q83" s="2" t="s">
        <v>74</v>
      </c>
      <c r="R83" s="2" t="s">
        <v>74</v>
      </c>
      <c r="S83" s="2" t="s">
        <v>74</v>
      </c>
      <c r="T83" s="2" t="s">
        <v>74</v>
      </c>
      <c r="U83" s="2" t="s">
        <v>74</v>
      </c>
      <c r="V83" s="5" t="s">
        <v>6523</v>
      </c>
      <c r="W83" s="2" t="s">
        <v>74</v>
      </c>
      <c r="X83" s="2" t="s">
        <v>74</v>
      </c>
      <c r="Y83" s="2" t="s">
        <v>74</v>
      </c>
      <c r="Z83" s="2" t="s">
        <v>74</v>
      </c>
      <c r="AA83" s="2" t="s">
        <v>6524</v>
      </c>
      <c r="AB83" s="2" t="s">
        <v>6525</v>
      </c>
      <c r="AC83" s="2" t="s">
        <v>74</v>
      </c>
      <c r="AD83" s="2" t="s">
        <v>74</v>
      </c>
      <c r="AE83" s="2" t="s">
        <v>74</v>
      </c>
      <c r="AF83" s="2" t="s">
        <v>74</v>
      </c>
      <c r="AG83" s="2" t="s">
        <v>74</v>
      </c>
      <c r="AH83" s="2" t="s">
        <v>74</v>
      </c>
      <c r="AI83" s="2" t="s">
        <v>74</v>
      </c>
      <c r="AJ83" s="2" t="s">
        <v>74</v>
      </c>
      <c r="AK83" s="2" t="s">
        <v>74</v>
      </c>
      <c r="AL83" s="2" t="s">
        <v>74</v>
      </c>
      <c r="AM83" s="2" t="s">
        <v>74</v>
      </c>
      <c r="AN83" s="2" t="s">
        <v>74</v>
      </c>
      <c r="AO83" s="2" t="s">
        <v>132</v>
      </c>
      <c r="AP83" s="2" t="s">
        <v>133</v>
      </c>
      <c r="AQ83" s="2" t="s">
        <v>74</v>
      </c>
      <c r="AR83" s="2" t="s">
        <v>74</v>
      </c>
      <c r="AS83" s="2" t="s">
        <v>74</v>
      </c>
      <c r="AT83" s="2" t="s">
        <v>6526</v>
      </c>
      <c r="AU83" s="2">
        <v>2020</v>
      </c>
      <c r="AV83" s="2">
        <v>74</v>
      </c>
      <c r="AW83" s="2">
        <v>11</v>
      </c>
      <c r="AX83" s="2" t="s">
        <v>74</v>
      </c>
      <c r="AY83" s="2" t="s">
        <v>74</v>
      </c>
      <c r="AZ83" s="2" t="s">
        <v>74</v>
      </c>
      <c r="BA83" s="2" t="s">
        <v>74</v>
      </c>
      <c r="BB83" s="2" t="s">
        <v>74</v>
      </c>
      <c r="BC83" s="2" t="s">
        <v>74</v>
      </c>
      <c r="BD83" s="2">
        <v>137</v>
      </c>
      <c r="BE83" s="2" t="s">
        <v>6527</v>
      </c>
      <c r="BF83" s="2" t="str">
        <f>HYPERLINK("http://dx.doi.org/10.1007/s00265-020-02920-2","http://dx.doi.org/10.1007/s00265-020-02920-2")</f>
        <v>http://dx.doi.org/10.1007/s00265-020-02920-2</v>
      </c>
      <c r="BG83" s="2" t="s">
        <v>74</v>
      </c>
      <c r="BH83" s="2" t="s">
        <v>74</v>
      </c>
      <c r="BI83" s="2" t="s">
        <v>74</v>
      </c>
      <c r="BJ83" s="2" t="s">
        <v>74</v>
      </c>
      <c r="BK83" s="2" t="s">
        <v>74</v>
      </c>
      <c r="BL83" s="2" t="s">
        <v>74</v>
      </c>
      <c r="BM83" s="2" t="s">
        <v>74</v>
      </c>
      <c r="BN83" s="2" t="s">
        <v>74</v>
      </c>
      <c r="BO83" s="2" t="s">
        <v>74</v>
      </c>
      <c r="BP83" s="2" t="s">
        <v>74</v>
      </c>
      <c r="BQ83" s="2" t="s">
        <v>74</v>
      </c>
      <c r="BR83" s="2" t="s">
        <v>74</v>
      </c>
      <c r="BS83" s="2" t="s">
        <v>6528</v>
      </c>
      <c r="BT83" s="2" t="str">
        <f>HYPERLINK("https%3A%2F%2Fwww.webofscience.com%2Fwos%2Fwoscc%2Ffull-record%2FWOS:000588357200001","View Full Record in Web of Science")</f>
        <v>View Full Record in Web of Science</v>
      </c>
    </row>
    <row r="84" spans="1:72" s="2" customFormat="1" x14ac:dyDescent="0.4">
      <c r="A84" s="2" t="s">
        <v>72</v>
      </c>
      <c r="B84" s="2" t="s">
        <v>1443</v>
      </c>
      <c r="C84" s="2" t="s">
        <v>74</v>
      </c>
      <c r="D84" s="2" t="s">
        <v>74</v>
      </c>
      <c r="E84" s="2" t="s">
        <v>74</v>
      </c>
      <c r="F84" s="2" t="s">
        <v>1444</v>
      </c>
      <c r="G84" s="2" t="s">
        <v>74</v>
      </c>
      <c r="H84" s="2" t="s">
        <v>74</v>
      </c>
      <c r="I84" s="2" t="s">
        <v>1445</v>
      </c>
      <c r="J84" s="2" t="s">
        <v>1446</v>
      </c>
      <c r="K84" s="2" t="s">
        <v>74</v>
      </c>
      <c r="L84" s="2" t="s">
        <v>74</v>
      </c>
      <c r="M84" s="2" t="s">
        <v>74</v>
      </c>
      <c r="N84" s="2" t="s">
        <v>74</v>
      </c>
      <c r="O84" s="2" t="s">
        <v>74</v>
      </c>
      <c r="P84" s="2" t="s">
        <v>74</v>
      </c>
      <c r="Q84" s="2" t="s">
        <v>74</v>
      </c>
      <c r="R84" s="2" t="s">
        <v>74</v>
      </c>
      <c r="S84" s="2" t="s">
        <v>74</v>
      </c>
      <c r="T84" s="2" t="s">
        <v>74</v>
      </c>
      <c r="U84" s="2" t="s">
        <v>74</v>
      </c>
      <c r="V84" s="5" t="s">
        <v>1447</v>
      </c>
      <c r="W84" s="2" t="s">
        <v>74</v>
      </c>
      <c r="X84" s="2" t="s">
        <v>74</v>
      </c>
      <c r="Y84" s="2" t="s">
        <v>74</v>
      </c>
      <c r="Z84" s="2" t="s">
        <v>74</v>
      </c>
      <c r="AA84" s="2" t="s">
        <v>74</v>
      </c>
      <c r="AB84" s="2" t="s">
        <v>1448</v>
      </c>
      <c r="AC84" s="2" t="s">
        <v>74</v>
      </c>
      <c r="AD84" s="2" t="s">
        <v>74</v>
      </c>
      <c r="AE84" s="2" t="s">
        <v>74</v>
      </c>
      <c r="AF84" s="2" t="s">
        <v>74</v>
      </c>
      <c r="AG84" s="2" t="s">
        <v>74</v>
      </c>
      <c r="AH84" s="2" t="s">
        <v>74</v>
      </c>
      <c r="AI84" s="2" t="s">
        <v>74</v>
      </c>
      <c r="AJ84" s="2" t="s">
        <v>74</v>
      </c>
      <c r="AK84" s="2" t="s">
        <v>74</v>
      </c>
      <c r="AL84" s="2" t="s">
        <v>74</v>
      </c>
      <c r="AM84" s="2" t="s">
        <v>74</v>
      </c>
      <c r="AN84" s="2" t="s">
        <v>74</v>
      </c>
      <c r="AO84" s="2" t="s">
        <v>74</v>
      </c>
      <c r="AP84" s="2" t="s">
        <v>1449</v>
      </c>
      <c r="AQ84" s="2" t="s">
        <v>74</v>
      </c>
      <c r="AR84" s="2" t="s">
        <v>74</v>
      </c>
      <c r="AS84" s="2" t="s">
        <v>74</v>
      </c>
      <c r="AT84" s="2" t="s">
        <v>361</v>
      </c>
      <c r="AU84" s="2">
        <v>2021</v>
      </c>
      <c r="AV84" s="2">
        <v>6</v>
      </c>
      <c r="AW84" s="2">
        <v>1</v>
      </c>
      <c r="AX84" s="2" t="s">
        <v>74</v>
      </c>
      <c r="AY84" s="2" t="s">
        <v>74</v>
      </c>
      <c r="AZ84" s="2" t="s">
        <v>74</v>
      </c>
      <c r="BA84" s="2" t="s">
        <v>74</v>
      </c>
      <c r="BB84" s="2" t="s">
        <v>74</v>
      </c>
      <c r="BC84" s="2" t="s">
        <v>74</v>
      </c>
      <c r="BD84" s="2">
        <v>9</v>
      </c>
      <c r="BE84" s="2" t="s">
        <v>1450</v>
      </c>
      <c r="BF84" s="2" t="str">
        <f>HYPERLINK("http://dx.doi.org/10.1186/s40850-021-00075-9","http://dx.doi.org/10.1186/s40850-021-00075-9")</f>
        <v>http://dx.doi.org/10.1186/s40850-021-00075-9</v>
      </c>
      <c r="BG84" s="2" t="s">
        <v>74</v>
      </c>
      <c r="BH84" s="2" t="s">
        <v>74</v>
      </c>
      <c r="BI84" s="2" t="s">
        <v>74</v>
      </c>
      <c r="BJ84" s="2" t="s">
        <v>74</v>
      </c>
      <c r="BK84" s="2" t="s">
        <v>74</v>
      </c>
      <c r="BL84" s="2" t="s">
        <v>74</v>
      </c>
      <c r="BM84" s="2" t="s">
        <v>74</v>
      </c>
      <c r="BN84" s="2">
        <v>37170176</v>
      </c>
      <c r="BO84" s="2" t="s">
        <v>74</v>
      </c>
      <c r="BP84" s="2" t="s">
        <v>74</v>
      </c>
      <c r="BQ84" s="2" t="s">
        <v>74</v>
      </c>
      <c r="BR84" s="2" t="s">
        <v>74</v>
      </c>
      <c r="BS84" s="2" t="s">
        <v>1451</v>
      </c>
      <c r="BT84" s="2" t="str">
        <f>HYPERLINK("https%3A%2F%2Fwww.webofscience.com%2Fwos%2Fwoscc%2Ffull-record%2FWOS:000646554600001","View Full Record in Web of Science")</f>
        <v>View Full Record in Web of Science</v>
      </c>
    </row>
    <row r="85" spans="1:72" s="1" customFormat="1" x14ac:dyDescent="0.4">
      <c r="A85" s="1" t="s">
        <v>72</v>
      </c>
      <c r="B85" s="1" t="s">
        <v>6889</v>
      </c>
      <c r="C85" s="1" t="s">
        <v>74</v>
      </c>
      <c r="D85" s="1" t="s">
        <v>74</v>
      </c>
      <c r="E85" s="1" t="s">
        <v>74</v>
      </c>
      <c r="F85" s="1" t="s">
        <v>6890</v>
      </c>
      <c r="G85" s="1" t="s">
        <v>74</v>
      </c>
      <c r="H85" s="1" t="s">
        <v>74</v>
      </c>
      <c r="I85" s="1" t="s">
        <v>6891</v>
      </c>
      <c r="J85" s="1" t="s">
        <v>129</v>
      </c>
      <c r="K85" s="1" t="s">
        <v>74</v>
      </c>
      <c r="L85" s="1" t="s">
        <v>74</v>
      </c>
      <c r="M85" s="1" t="s">
        <v>74</v>
      </c>
      <c r="N85" s="1" t="s">
        <v>74</v>
      </c>
      <c r="O85" s="1" t="s">
        <v>74</v>
      </c>
      <c r="P85" s="1" t="s">
        <v>74</v>
      </c>
      <c r="Q85" s="1" t="s">
        <v>74</v>
      </c>
      <c r="R85" s="1" t="s">
        <v>74</v>
      </c>
      <c r="S85" s="1" t="s">
        <v>74</v>
      </c>
      <c r="T85" s="1" t="s">
        <v>74</v>
      </c>
      <c r="U85" s="1" t="s">
        <v>74</v>
      </c>
      <c r="V85" s="4" t="s">
        <v>6892</v>
      </c>
      <c r="W85" s="1" t="s">
        <v>74</v>
      </c>
      <c r="X85" s="1" t="s">
        <v>74</v>
      </c>
      <c r="Y85" s="1" t="s">
        <v>74</v>
      </c>
      <c r="Z85" s="1" t="s">
        <v>74</v>
      </c>
      <c r="AA85" s="1" t="s">
        <v>6893</v>
      </c>
      <c r="AB85" s="1" t="s">
        <v>6894</v>
      </c>
      <c r="AC85" s="1" t="s">
        <v>74</v>
      </c>
      <c r="AD85" s="1" t="s">
        <v>74</v>
      </c>
      <c r="AE85" s="1" t="s">
        <v>74</v>
      </c>
      <c r="AF85" s="1" t="s">
        <v>74</v>
      </c>
      <c r="AG85" s="1" t="s">
        <v>74</v>
      </c>
      <c r="AH85" s="1" t="s">
        <v>74</v>
      </c>
      <c r="AI85" s="1" t="s">
        <v>74</v>
      </c>
      <c r="AJ85" s="1" t="s">
        <v>74</v>
      </c>
      <c r="AK85" s="1" t="s">
        <v>74</v>
      </c>
      <c r="AL85" s="1" t="s">
        <v>74</v>
      </c>
      <c r="AM85" s="1" t="s">
        <v>74</v>
      </c>
      <c r="AN85" s="1" t="s">
        <v>74</v>
      </c>
      <c r="AO85" s="1" t="s">
        <v>132</v>
      </c>
      <c r="AP85" s="1" t="s">
        <v>133</v>
      </c>
      <c r="AQ85" s="1" t="s">
        <v>74</v>
      </c>
      <c r="AR85" s="1" t="s">
        <v>74</v>
      </c>
      <c r="AS85" s="1" t="s">
        <v>74</v>
      </c>
      <c r="AT85" s="1" t="s">
        <v>633</v>
      </c>
      <c r="AU85" s="1">
        <v>2008</v>
      </c>
      <c r="AV85" s="1">
        <v>62</v>
      </c>
      <c r="AW85" s="1">
        <v>8</v>
      </c>
      <c r="AX85" s="1" t="s">
        <v>74</v>
      </c>
      <c r="AY85" s="1" t="s">
        <v>74</v>
      </c>
      <c r="AZ85" s="1" t="s">
        <v>74</v>
      </c>
      <c r="BA85" s="1" t="s">
        <v>74</v>
      </c>
      <c r="BB85" s="1">
        <v>1277</v>
      </c>
      <c r="BC85" s="1">
        <v>1288</v>
      </c>
      <c r="BD85" s="1" t="s">
        <v>74</v>
      </c>
      <c r="BE85" s="1" t="s">
        <v>6895</v>
      </c>
      <c r="BF85" s="1" t="str">
        <f>HYPERLINK("http://dx.doi.org/10.1007/s00265-008-0556-x","http://dx.doi.org/10.1007/s00265-008-0556-x")</f>
        <v>http://dx.doi.org/10.1007/s00265-008-0556-x</v>
      </c>
      <c r="BG85" s="1" t="s">
        <v>74</v>
      </c>
      <c r="BH85" s="1" t="s">
        <v>74</v>
      </c>
      <c r="BI85" s="1" t="s">
        <v>74</v>
      </c>
      <c r="BJ85" s="1" t="s">
        <v>74</v>
      </c>
      <c r="BK85" s="1" t="s">
        <v>74</v>
      </c>
      <c r="BL85" s="1" t="s">
        <v>74</v>
      </c>
      <c r="BM85" s="1" t="s">
        <v>74</v>
      </c>
      <c r="BN85" s="1" t="s">
        <v>74</v>
      </c>
      <c r="BO85" s="1" t="s">
        <v>74</v>
      </c>
      <c r="BP85" s="1" t="s">
        <v>74</v>
      </c>
      <c r="BQ85" s="1" t="s">
        <v>74</v>
      </c>
      <c r="BR85" s="1" t="s">
        <v>74</v>
      </c>
      <c r="BS85" s="1" t="s">
        <v>6896</v>
      </c>
      <c r="BT85" s="1" t="str">
        <f>HYPERLINK("https%3A%2F%2Fwww.webofscience.com%2Fwos%2Fwoscc%2Ffull-record%2FWOS:000255851400007","View Full Record in Web of Science")</f>
        <v>View Full Record in Web of Science</v>
      </c>
    </row>
    <row r="86" spans="1:72" s="2" customFormat="1" x14ac:dyDescent="0.4">
      <c r="A86" s="2" t="s">
        <v>72</v>
      </c>
      <c r="B86" s="2" t="s">
        <v>405</v>
      </c>
      <c r="C86" s="2" t="s">
        <v>74</v>
      </c>
      <c r="D86" s="2" t="s">
        <v>74</v>
      </c>
      <c r="E86" s="2" t="s">
        <v>74</v>
      </c>
      <c r="F86" s="2" t="s">
        <v>406</v>
      </c>
      <c r="G86" s="2" t="s">
        <v>74</v>
      </c>
      <c r="H86" s="2" t="s">
        <v>74</v>
      </c>
      <c r="I86" s="2" t="s">
        <v>407</v>
      </c>
      <c r="J86" s="2" t="s">
        <v>408</v>
      </c>
      <c r="K86" s="2" t="s">
        <v>74</v>
      </c>
      <c r="L86" s="2" t="s">
        <v>74</v>
      </c>
      <c r="M86" s="2" t="s">
        <v>74</v>
      </c>
      <c r="N86" s="2" t="s">
        <v>74</v>
      </c>
      <c r="O86" s="2" t="s">
        <v>74</v>
      </c>
      <c r="P86" s="2" t="s">
        <v>74</v>
      </c>
      <c r="Q86" s="2" t="s">
        <v>74</v>
      </c>
      <c r="R86" s="2" t="s">
        <v>74</v>
      </c>
      <c r="S86" s="2" t="s">
        <v>74</v>
      </c>
      <c r="T86" s="2" t="s">
        <v>74</v>
      </c>
      <c r="U86" s="2" t="s">
        <v>74</v>
      </c>
      <c r="V86" s="5" t="s">
        <v>409</v>
      </c>
      <c r="W86" s="2" t="s">
        <v>74</v>
      </c>
      <c r="X86" s="2" t="s">
        <v>74</v>
      </c>
      <c r="Y86" s="2" t="s">
        <v>74</v>
      </c>
      <c r="Z86" s="2" t="s">
        <v>74</v>
      </c>
      <c r="AA86" s="2" t="s">
        <v>410</v>
      </c>
      <c r="AB86" s="2" t="s">
        <v>411</v>
      </c>
      <c r="AC86" s="2" t="s">
        <v>74</v>
      </c>
      <c r="AD86" s="2" t="s">
        <v>74</v>
      </c>
      <c r="AE86" s="2" t="s">
        <v>74</v>
      </c>
      <c r="AF86" s="2" t="s">
        <v>74</v>
      </c>
      <c r="AG86" s="2" t="s">
        <v>74</v>
      </c>
      <c r="AH86" s="2" t="s">
        <v>74</v>
      </c>
      <c r="AI86" s="2" t="s">
        <v>74</v>
      </c>
      <c r="AJ86" s="2" t="s">
        <v>74</v>
      </c>
      <c r="AK86" s="2" t="s">
        <v>74</v>
      </c>
      <c r="AL86" s="2" t="s">
        <v>74</v>
      </c>
      <c r="AM86" s="2" t="s">
        <v>74</v>
      </c>
      <c r="AN86" s="2" t="s">
        <v>74</v>
      </c>
      <c r="AO86" s="2" t="s">
        <v>412</v>
      </c>
      <c r="AP86" s="2" t="s">
        <v>413</v>
      </c>
      <c r="AQ86" s="2" t="s">
        <v>74</v>
      </c>
      <c r="AR86" s="2" t="s">
        <v>74</v>
      </c>
      <c r="AS86" s="2" t="s">
        <v>74</v>
      </c>
      <c r="AT86" s="2" t="s">
        <v>275</v>
      </c>
      <c r="AU86" s="2">
        <v>2022</v>
      </c>
      <c r="AV86" s="2">
        <v>136</v>
      </c>
      <c r="AW86" s="2">
        <v>1</v>
      </c>
      <c r="AX86" s="2" t="s">
        <v>74</v>
      </c>
      <c r="AY86" s="2" t="s">
        <v>74</v>
      </c>
      <c r="AZ86" s="2" t="s">
        <v>74</v>
      </c>
      <c r="BA86" s="2" t="s">
        <v>74</v>
      </c>
      <c r="BB86" s="2">
        <v>111</v>
      </c>
      <c r="BC86" s="2">
        <v>119</v>
      </c>
      <c r="BD86" s="2" t="s">
        <v>74</v>
      </c>
      <c r="BE86" s="2" t="s">
        <v>414</v>
      </c>
      <c r="BF86" s="2" t="str">
        <f>HYPERLINK("http://dx.doi.org/10.1093/biolinnean/blac014","http://dx.doi.org/10.1093/biolinnean/blac014")</f>
        <v>http://dx.doi.org/10.1093/biolinnean/blac014</v>
      </c>
      <c r="BG86" s="2" t="s">
        <v>74</v>
      </c>
      <c r="BH86" s="2" t="s">
        <v>415</v>
      </c>
      <c r="BI86" s="2" t="s">
        <v>74</v>
      </c>
      <c r="BJ86" s="2" t="s">
        <v>74</v>
      </c>
      <c r="BK86" s="2" t="s">
        <v>74</v>
      </c>
      <c r="BL86" s="2" t="s">
        <v>74</v>
      </c>
      <c r="BM86" s="2" t="s">
        <v>74</v>
      </c>
      <c r="BN86" s="2" t="s">
        <v>74</v>
      </c>
      <c r="BO86" s="2" t="s">
        <v>74</v>
      </c>
      <c r="BP86" s="2" t="s">
        <v>74</v>
      </c>
      <c r="BQ86" s="2" t="s">
        <v>74</v>
      </c>
      <c r="BR86" s="2" t="s">
        <v>74</v>
      </c>
      <c r="BS86" s="2" t="s">
        <v>416</v>
      </c>
      <c r="BT86" s="2" t="str">
        <f>HYPERLINK("https%3A%2F%2Fwww.webofscience.com%2Fwos%2Fwoscc%2Ffull-record%2FWOS:000768465800001","View Full Record in Web of Science")</f>
        <v>View Full Record in Web of Science</v>
      </c>
    </row>
    <row r="87" spans="1:72" s="2" customFormat="1" x14ac:dyDescent="0.4">
      <c r="A87" s="2" t="s">
        <v>72</v>
      </c>
      <c r="B87" s="2" t="s">
        <v>3483</v>
      </c>
      <c r="C87" s="2" t="s">
        <v>74</v>
      </c>
      <c r="D87" s="2" t="s">
        <v>74</v>
      </c>
      <c r="E87" s="2" t="s">
        <v>74</v>
      </c>
      <c r="F87" s="2" t="s">
        <v>3484</v>
      </c>
      <c r="G87" s="2" t="s">
        <v>74</v>
      </c>
      <c r="H87" s="2" t="s">
        <v>74</v>
      </c>
      <c r="I87" s="2" t="s">
        <v>3485</v>
      </c>
      <c r="J87" s="2" t="s">
        <v>333</v>
      </c>
      <c r="K87" s="2" t="s">
        <v>74</v>
      </c>
      <c r="L87" s="2" t="s">
        <v>74</v>
      </c>
      <c r="M87" s="2" t="s">
        <v>74</v>
      </c>
      <c r="N87" s="2" t="s">
        <v>74</v>
      </c>
      <c r="O87" s="2" t="s">
        <v>74</v>
      </c>
      <c r="P87" s="2" t="s">
        <v>74</v>
      </c>
      <c r="Q87" s="2" t="s">
        <v>74</v>
      </c>
      <c r="R87" s="2" t="s">
        <v>74</v>
      </c>
      <c r="S87" s="2" t="s">
        <v>74</v>
      </c>
      <c r="T87" s="2" t="s">
        <v>74</v>
      </c>
      <c r="U87" s="2" t="s">
        <v>74</v>
      </c>
      <c r="V87" s="5" t="s">
        <v>3486</v>
      </c>
      <c r="W87" s="2" t="s">
        <v>74</v>
      </c>
      <c r="X87" s="2" t="s">
        <v>74</v>
      </c>
      <c r="Y87" s="2" t="s">
        <v>74</v>
      </c>
      <c r="Z87" s="2" t="s">
        <v>74</v>
      </c>
      <c r="AA87" s="2" t="s">
        <v>3487</v>
      </c>
      <c r="AB87" s="2" t="s">
        <v>3488</v>
      </c>
      <c r="AC87" s="2" t="s">
        <v>74</v>
      </c>
      <c r="AD87" s="2" t="s">
        <v>74</v>
      </c>
      <c r="AE87" s="2" t="s">
        <v>74</v>
      </c>
      <c r="AF87" s="2" t="s">
        <v>74</v>
      </c>
      <c r="AG87" s="2" t="s">
        <v>74</v>
      </c>
      <c r="AH87" s="2" t="s">
        <v>74</v>
      </c>
      <c r="AI87" s="2" t="s">
        <v>74</v>
      </c>
      <c r="AJ87" s="2" t="s">
        <v>74</v>
      </c>
      <c r="AK87" s="2" t="s">
        <v>74</v>
      </c>
      <c r="AL87" s="2" t="s">
        <v>74</v>
      </c>
      <c r="AM87" s="2" t="s">
        <v>74</v>
      </c>
      <c r="AN87" s="2" t="s">
        <v>74</v>
      </c>
      <c r="AO87" s="2" t="s">
        <v>337</v>
      </c>
      <c r="AP87" s="2" t="s">
        <v>338</v>
      </c>
      <c r="AQ87" s="2" t="s">
        <v>74</v>
      </c>
      <c r="AR87" s="2" t="s">
        <v>74</v>
      </c>
      <c r="AS87" s="2" t="s">
        <v>74</v>
      </c>
      <c r="AT87" s="2" t="s">
        <v>1130</v>
      </c>
      <c r="AU87" s="2">
        <v>2023</v>
      </c>
      <c r="AV87" s="2">
        <v>34</v>
      </c>
      <c r="AW87" s="2">
        <v>1</v>
      </c>
      <c r="AX87" s="2" t="s">
        <v>74</v>
      </c>
      <c r="AY87" s="2" t="s">
        <v>74</v>
      </c>
      <c r="AZ87" s="2" t="s">
        <v>74</v>
      </c>
      <c r="BA87" s="2" t="s">
        <v>74</v>
      </c>
      <c r="BB87" s="2">
        <v>19</v>
      </c>
      <c r="BC87" s="2">
        <v>32</v>
      </c>
      <c r="BD87" s="2" t="s">
        <v>74</v>
      </c>
      <c r="BE87" s="2" t="s">
        <v>3489</v>
      </c>
      <c r="BF87" s="2" t="str">
        <f>HYPERLINK("http://dx.doi.org/10.1093/beheco/arac089","http://dx.doi.org/10.1093/beheco/arac089")</f>
        <v>http://dx.doi.org/10.1093/beheco/arac089</v>
      </c>
      <c r="BG87" s="2" t="s">
        <v>74</v>
      </c>
      <c r="BH87" s="2" t="s">
        <v>2298</v>
      </c>
      <c r="BI87" s="2" t="s">
        <v>74</v>
      </c>
      <c r="BJ87" s="2" t="s">
        <v>74</v>
      </c>
      <c r="BK87" s="2" t="s">
        <v>74</v>
      </c>
      <c r="BL87" s="2" t="s">
        <v>74</v>
      </c>
      <c r="BM87" s="2" t="s">
        <v>74</v>
      </c>
      <c r="BN87" s="2">
        <v>36789393</v>
      </c>
      <c r="BO87" s="2" t="s">
        <v>74</v>
      </c>
      <c r="BP87" s="2" t="s">
        <v>74</v>
      </c>
      <c r="BQ87" s="2" t="s">
        <v>74</v>
      </c>
      <c r="BR87" s="2" t="s">
        <v>74</v>
      </c>
      <c r="BS87" s="2" t="s">
        <v>3490</v>
      </c>
      <c r="BT87" s="2" t="str">
        <f>HYPERLINK("https%3A%2F%2Fwww.webofscience.com%2Fwos%2Fwoscc%2Ffull-record%2FWOS:000876657000001","View Full Record in Web of Science")</f>
        <v>View Full Record in Web of Science</v>
      </c>
    </row>
    <row r="88" spans="1:72" s="2" customFormat="1" x14ac:dyDescent="0.4">
      <c r="A88" s="2" t="s">
        <v>72</v>
      </c>
      <c r="B88" s="2" t="s">
        <v>2972</v>
      </c>
      <c r="C88" s="2" t="s">
        <v>74</v>
      </c>
      <c r="D88" s="2" t="s">
        <v>74</v>
      </c>
      <c r="E88" s="2" t="s">
        <v>74</v>
      </c>
      <c r="F88" s="2" t="s">
        <v>2973</v>
      </c>
      <c r="G88" s="2" t="s">
        <v>74</v>
      </c>
      <c r="H88" s="2" t="s">
        <v>74</v>
      </c>
      <c r="I88" s="2" t="s">
        <v>2974</v>
      </c>
      <c r="J88" s="2" t="s">
        <v>201</v>
      </c>
      <c r="K88" s="2" t="s">
        <v>74</v>
      </c>
      <c r="L88" s="2" t="s">
        <v>74</v>
      </c>
      <c r="M88" s="2" t="s">
        <v>74</v>
      </c>
      <c r="N88" s="2" t="s">
        <v>74</v>
      </c>
      <c r="O88" s="2" t="s">
        <v>74</v>
      </c>
      <c r="P88" s="2" t="s">
        <v>74</v>
      </c>
      <c r="Q88" s="2" t="s">
        <v>74</v>
      </c>
      <c r="R88" s="2" t="s">
        <v>74</v>
      </c>
      <c r="S88" s="2" t="s">
        <v>74</v>
      </c>
      <c r="T88" s="2" t="s">
        <v>74</v>
      </c>
      <c r="U88" s="2" t="s">
        <v>74</v>
      </c>
      <c r="V88" s="5" t="s">
        <v>2975</v>
      </c>
      <c r="W88" s="2" t="s">
        <v>74</v>
      </c>
      <c r="X88" s="2" t="s">
        <v>74</v>
      </c>
      <c r="Y88" s="2" t="s">
        <v>74</v>
      </c>
      <c r="Z88" s="2" t="s">
        <v>74</v>
      </c>
      <c r="AA88" s="2" t="s">
        <v>74</v>
      </c>
      <c r="AB88" s="2" t="s">
        <v>2976</v>
      </c>
      <c r="AC88" s="2" t="s">
        <v>74</v>
      </c>
      <c r="AD88" s="2" t="s">
        <v>74</v>
      </c>
      <c r="AE88" s="2" t="s">
        <v>74</v>
      </c>
      <c r="AF88" s="2" t="s">
        <v>74</v>
      </c>
      <c r="AG88" s="2" t="s">
        <v>74</v>
      </c>
      <c r="AH88" s="2" t="s">
        <v>74</v>
      </c>
      <c r="AI88" s="2" t="s">
        <v>74</v>
      </c>
      <c r="AJ88" s="2" t="s">
        <v>74</v>
      </c>
      <c r="AK88" s="2" t="s">
        <v>74</v>
      </c>
      <c r="AL88" s="2" t="s">
        <v>74</v>
      </c>
      <c r="AM88" s="2" t="s">
        <v>74</v>
      </c>
      <c r="AN88" s="2" t="s">
        <v>74</v>
      </c>
      <c r="AO88" s="2" t="s">
        <v>203</v>
      </c>
      <c r="AP88" s="2" t="s">
        <v>1192</v>
      </c>
      <c r="AQ88" s="2" t="s">
        <v>74</v>
      </c>
      <c r="AR88" s="2" t="s">
        <v>74</v>
      </c>
      <c r="AS88" s="2" t="s">
        <v>74</v>
      </c>
      <c r="AT88" s="2" t="s">
        <v>633</v>
      </c>
      <c r="AU88" s="2">
        <v>2023</v>
      </c>
      <c r="AV88" s="2">
        <v>102</v>
      </c>
      <c r="AW88" s="2">
        <v>4</v>
      </c>
      <c r="AX88" s="2" t="s">
        <v>74</v>
      </c>
      <c r="AY88" s="2" t="s">
        <v>74</v>
      </c>
      <c r="AZ88" s="2" t="s">
        <v>74</v>
      </c>
      <c r="BA88" s="2" t="s">
        <v>74</v>
      </c>
      <c r="BB88" s="2">
        <v>794</v>
      </c>
      <c r="BC88" s="2">
        <v>802</v>
      </c>
      <c r="BD88" s="2" t="s">
        <v>74</v>
      </c>
      <c r="BE88" s="2" t="s">
        <v>2977</v>
      </c>
      <c r="BF88" s="2" t="str">
        <f>HYPERLINK("http://dx.doi.org/10.1111/jfb.15316","http://dx.doi.org/10.1111/jfb.15316")</f>
        <v>http://dx.doi.org/10.1111/jfb.15316</v>
      </c>
      <c r="BG88" s="2" t="s">
        <v>74</v>
      </c>
      <c r="BH88" s="2" t="s">
        <v>2392</v>
      </c>
      <c r="BI88" s="2" t="s">
        <v>74</v>
      </c>
      <c r="BJ88" s="2" t="s">
        <v>74</v>
      </c>
      <c r="BK88" s="2" t="s">
        <v>74</v>
      </c>
      <c r="BL88" s="2" t="s">
        <v>74</v>
      </c>
      <c r="BM88" s="2" t="s">
        <v>74</v>
      </c>
      <c r="BN88" s="2">
        <v>36648014</v>
      </c>
      <c r="BO88" s="2" t="s">
        <v>74</v>
      </c>
      <c r="BP88" s="2" t="s">
        <v>74</v>
      </c>
      <c r="BQ88" s="2" t="s">
        <v>74</v>
      </c>
      <c r="BR88" s="2" t="s">
        <v>74</v>
      </c>
      <c r="BS88" s="2" t="s">
        <v>2978</v>
      </c>
      <c r="BT88" s="2" t="str">
        <f>HYPERLINK("https%3A%2F%2Fwww.webofscience.com%2Fwos%2Fwoscc%2Ffull-record%2FWOS:000924339000001","View Full Record in Web of Science")</f>
        <v>View Full Record in Web of Science</v>
      </c>
    </row>
    <row r="89" spans="1:72" s="1" customFormat="1" x14ac:dyDescent="0.4">
      <c r="A89" s="1" t="s">
        <v>72</v>
      </c>
      <c r="B89" s="1" t="s">
        <v>2620</v>
      </c>
      <c r="C89" s="1" t="s">
        <v>74</v>
      </c>
      <c r="D89" s="1" t="s">
        <v>74</v>
      </c>
      <c r="E89" s="1" t="s">
        <v>74</v>
      </c>
      <c r="F89" s="1" t="s">
        <v>2621</v>
      </c>
      <c r="G89" s="1" t="s">
        <v>74</v>
      </c>
      <c r="H89" s="1" t="s">
        <v>74</v>
      </c>
      <c r="I89" s="1" t="s">
        <v>2622</v>
      </c>
      <c r="J89" s="1" t="s">
        <v>129</v>
      </c>
      <c r="K89" s="1" t="s">
        <v>74</v>
      </c>
      <c r="L89" s="1" t="s">
        <v>74</v>
      </c>
      <c r="M89" s="1" t="s">
        <v>74</v>
      </c>
      <c r="N89" s="1" t="s">
        <v>74</v>
      </c>
      <c r="O89" s="1" t="s">
        <v>74</v>
      </c>
      <c r="P89" s="1" t="s">
        <v>74</v>
      </c>
      <c r="Q89" s="1" t="s">
        <v>74</v>
      </c>
      <c r="R89" s="1" t="s">
        <v>74</v>
      </c>
      <c r="S89" s="1" t="s">
        <v>74</v>
      </c>
      <c r="T89" s="1" t="s">
        <v>74</v>
      </c>
      <c r="U89" s="1" t="s">
        <v>74</v>
      </c>
      <c r="V89" s="4" t="s">
        <v>2623</v>
      </c>
      <c r="W89" s="1" t="s">
        <v>74</v>
      </c>
      <c r="X89" s="1" t="s">
        <v>74</v>
      </c>
      <c r="Y89" s="1" t="s">
        <v>74</v>
      </c>
      <c r="Z89" s="1" t="s">
        <v>74</v>
      </c>
      <c r="AA89" s="1" t="s">
        <v>74</v>
      </c>
      <c r="AB89" s="1" t="s">
        <v>2624</v>
      </c>
      <c r="AC89" s="1" t="s">
        <v>74</v>
      </c>
      <c r="AD89" s="1" t="s">
        <v>74</v>
      </c>
      <c r="AE89" s="1" t="s">
        <v>74</v>
      </c>
      <c r="AF89" s="1" t="s">
        <v>74</v>
      </c>
      <c r="AG89" s="1" t="s">
        <v>74</v>
      </c>
      <c r="AH89" s="1" t="s">
        <v>74</v>
      </c>
      <c r="AI89" s="1" t="s">
        <v>74</v>
      </c>
      <c r="AJ89" s="1" t="s">
        <v>74</v>
      </c>
      <c r="AK89" s="1" t="s">
        <v>74</v>
      </c>
      <c r="AL89" s="1" t="s">
        <v>74</v>
      </c>
      <c r="AM89" s="1" t="s">
        <v>74</v>
      </c>
      <c r="AN89" s="1" t="s">
        <v>74</v>
      </c>
      <c r="AO89" s="1" t="s">
        <v>132</v>
      </c>
      <c r="AP89" s="1" t="s">
        <v>133</v>
      </c>
      <c r="AQ89" s="1" t="s">
        <v>74</v>
      </c>
      <c r="AR89" s="1" t="s">
        <v>74</v>
      </c>
      <c r="AS89" s="1" t="s">
        <v>74</v>
      </c>
      <c r="AT89" s="1" t="s">
        <v>175</v>
      </c>
      <c r="AU89" s="1">
        <v>2023</v>
      </c>
      <c r="AV89" s="1">
        <v>77</v>
      </c>
      <c r="AW89" s="1">
        <v>10</v>
      </c>
      <c r="AX89" s="1" t="s">
        <v>74</v>
      </c>
      <c r="AY89" s="1" t="s">
        <v>74</v>
      </c>
      <c r="AZ89" s="1" t="s">
        <v>74</v>
      </c>
      <c r="BA89" s="1" t="s">
        <v>74</v>
      </c>
      <c r="BB89" s="1" t="s">
        <v>74</v>
      </c>
      <c r="BC89" s="1" t="s">
        <v>74</v>
      </c>
      <c r="BD89" s="1">
        <v>116</v>
      </c>
      <c r="BE89" s="1" t="s">
        <v>2625</v>
      </c>
      <c r="BF89" s="1" t="str">
        <f>HYPERLINK("http://dx.doi.org/10.1007/s00265-023-03389-5","http://dx.doi.org/10.1007/s00265-023-03389-5")</f>
        <v>http://dx.doi.org/10.1007/s00265-023-03389-5</v>
      </c>
      <c r="BG89" s="1" t="s">
        <v>74</v>
      </c>
      <c r="BH89" s="1" t="s">
        <v>74</v>
      </c>
      <c r="BI89" s="1" t="s">
        <v>74</v>
      </c>
      <c r="BJ89" s="1" t="s">
        <v>74</v>
      </c>
      <c r="BK89" s="1" t="s">
        <v>74</v>
      </c>
      <c r="BL89" s="1" t="s">
        <v>74</v>
      </c>
      <c r="BM89" s="1" t="s">
        <v>74</v>
      </c>
      <c r="BN89" s="1" t="s">
        <v>74</v>
      </c>
      <c r="BO89" s="1" t="s">
        <v>74</v>
      </c>
      <c r="BP89" s="1" t="s">
        <v>74</v>
      </c>
      <c r="BQ89" s="1" t="s">
        <v>74</v>
      </c>
      <c r="BR89" s="1" t="s">
        <v>74</v>
      </c>
      <c r="BS89" s="1" t="s">
        <v>2626</v>
      </c>
      <c r="BT89" s="1" t="str">
        <f>HYPERLINK("https%3A%2F%2Fwww.webofscience.com%2Fwos%2Fwoscc%2Ffull-record%2FWOS:001100527400001","View Full Record in Web of Science")</f>
        <v>View Full Record in Web of Science</v>
      </c>
    </row>
    <row r="90" spans="1:72" s="2" customFormat="1" x14ac:dyDescent="0.4">
      <c r="A90" s="2" t="s">
        <v>72</v>
      </c>
      <c r="B90" s="2" t="s">
        <v>2826</v>
      </c>
      <c r="C90" s="2" t="s">
        <v>74</v>
      </c>
      <c r="D90" s="2" t="s">
        <v>74</v>
      </c>
      <c r="E90" s="2" t="s">
        <v>74</v>
      </c>
      <c r="F90" s="2" t="s">
        <v>2827</v>
      </c>
      <c r="G90" s="2" t="s">
        <v>74</v>
      </c>
      <c r="H90" s="2" t="s">
        <v>74</v>
      </c>
      <c r="I90" s="2" t="s">
        <v>2828</v>
      </c>
      <c r="J90" s="2" t="s">
        <v>140</v>
      </c>
      <c r="K90" s="2" t="s">
        <v>74</v>
      </c>
      <c r="L90" s="2" t="s">
        <v>74</v>
      </c>
      <c r="M90" s="2" t="s">
        <v>74</v>
      </c>
      <c r="N90" s="2" t="s">
        <v>74</v>
      </c>
      <c r="O90" s="2" t="s">
        <v>74</v>
      </c>
      <c r="P90" s="2" t="s">
        <v>74</v>
      </c>
      <c r="Q90" s="2" t="s">
        <v>74</v>
      </c>
      <c r="R90" s="2" t="s">
        <v>74</v>
      </c>
      <c r="S90" s="2" t="s">
        <v>74</v>
      </c>
      <c r="T90" s="2" t="s">
        <v>74</v>
      </c>
      <c r="U90" s="2" t="s">
        <v>74</v>
      </c>
      <c r="V90" s="5" t="s">
        <v>2829</v>
      </c>
      <c r="W90" s="2" t="s">
        <v>74</v>
      </c>
      <c r="X90" s="2" t="s">
        <v>74</v>
      </c>
      <c r="Y90" s="2" t="s">
        <v>74</v>
      </c>
      <c r="Z90" s="2" t="s">
        <v>74</v>
      </c>
      <c r="AA90" s="2" t="s">
        <v>74</v>
      </c>
      <c r="AB90" s="2" t="s">
        <v>2830</v>
      </c>
      <c r="AC90" s="2" t="s">
        <v>74</v>
      </c>
      <c r="AD90" s="2" t="s">
        <v>74</v>
      </c>
      <c r="AE90" s="2" t="s">
        <v>74</v>
      </c>
      <c r="AF90" s="2" t="s">
        <v>74</v>
      </c>
      <c r="AG90" s="2" t="s">
        <v>74</v>
      </c>
      <c r="AH90" s="2" t="s">
        <v>74</v>
      </c>
      <c r="AI90" s="2" t="s">
        <v>74</v>
      </c>
      <c r="AJ90" s="2" t="s">
        <v>74</v>
      </c>
      <c r="AK90" s="2" t="s">
        <v>74</v>
      </c>
      <c r="AL90" s="2" t="s">
        <v>74</v>
      </c>
      <c r="AM90" s="2" t="s">
        <v>74</v>
      </c>
      <c r="AN90" s="2" t="s">
        <v>74</v>
      </c>
      <c r="AO90" s="2" t="s">
        <v>143</v>
      </c>
      <c r="AP90" s="2" t="s">
        <v>144</v>
      </c>
      <c r="AQ90" s="2" t="s">
        <v>74</v>
      </c>
      <c r="AR90" s="2" t="s">
        <v>74</v>
      </c>
      <c r="AS90" s="2" t="s">
        <v>74</v>
      </c>
      <c r="AT90" s="2" t="s">
        <v>145</v>
      </c>
      <c r="AU90" s="2">
        <v>2022</v>
      </c>
      <c r="AV90" s="2">
        <v>190</v>
      </c>
      <c r="AW90" s="2" t="s">
        <v>74</v>
      </c>
      <c r="AX90" s="2" t="s">
        <v>74</v>
      </c>
      <c r="AY90" s="2" t="s">
        <v>74</v>
      </c>
      <c r="AZ90" s="2" t="s">
        <v>74</v>
      </c>
      <c r="BA90" s="2" t="s">
        <v>74</v>
      </c>
      <c r="BB90" s="2">
        <v>233</v>
      </c>
      <c r="BC90" s="2">
        <v>240</v>
      </c>
      <c r="BD90" s="2" t="s">
        <v>74</v>
      </c>
      <c r="BE90" s="2" t="s">
        <v>2831</v>
      </c>
      <c r="BF90" s="2" t="str">
        <f>HYPERLINK("http://dx.doi.org/10.1016/j.anbehav.2022.05.018","http://dx.doi.org/10.1016/j.anbehav.2022.05.018")</f>
        <v>http://dx.doi.org/10.1016/j.anbehav.2022.05.018</v>
      </c>
      <c r="BG90" s="2" t="s">
        <v>74</v>
      </c>
      <c r="BH90" s="2" t="s">
        <v>2832</v>
      </c>
      <c r="BI90" s="2" t="s">
        <v>74</v>
      </c>
      <c r="BJ90" s="2" t="s">
        <v>74</v>
      </c>
      <c r="BK90" s="2" t="s">
        <v>74</v>
      </c>
      <c r="BL90" s="2" t="s">
        <v>74</v>
      </c>
      <c r="BM90" s="2" t="s">
        <v>74</v>
      </c>
      <c r="BN90" s="2" t="s">
        <v>74</v>
      </c>
      <c r="BO90" s="2" t="s">
        <v>74</v>
      </c>
      <c r="BP90" s="2" t="s">
        <v>74</v>
      </c>
      <c r="BQ90" s="2" t="s">
        <v>74</v>
      </c>
      <c r="BR90" s="2" t="s">
        <v>74</v>
      </c>
      <c r="BS90" s="2" t="s">
        <v>2833</v>
      </c>
      <c r="BT90" s="2" t="str">
        <f>HYPERLINK("https%3A%2F%2Fwww.webofscience.com%2Fwos%2Fwoscc%2Ffull-record%2FWOS:000863984000003","View Full Record in Web of Science")</f>
        <v>View Full Record in Web of Science</v>
      </c>
    </row>
    <row r="91" spans="1:72" s="1" customFormat="1" x14ac:dyDescent="0.4">
      <c r="A91" s="1" t="s">
        <v>72</v>
      </c>
      <c r="B91" s="1" t="s">
        <v>859</v>
      </c>
      <c r="C91" s="1" t="s">
        <v>74</v>
      </c>
      <c r="D91" s="1" t="s">
        <v>74</v>
      </c>
      <c r="E91" s="1" t="s">
        <v>74</v>
      </c>
      <c r="F91" s="8" t="s">
        <v>860</v>
      </c>
      <c r="G91" s="1" t="s">
        <v>74</v>
      </c>
      <c r="H91" s="1" t="s">
        <v>74</v>
      </c>
      <c r="I91" s="1" t="s">
        <v>861</v>
      </c>
      <c r="J91" s="1" t="s">
        <v>862</v>
      </c>
      <c r="K91" s="1" t="s">
        <v>74</v>
      </c>
      <c r="L91" s="1" t="s">
        <v>74</v>
      </c>
      <c r="M91" s="1" t="s">
        <v>74</v>
      </c>
      <c r="N91" s="1" t="s">
        <v>74</v>
      </c>
      <c r="O91" s="1" t="s">
        <v>74</v>
      </c>
      <c r="P91" s="1" t="s">
        <v>74</v>
      </c>
      <c r="Q91" s="1" t="s">
        <v>74</v>
      </c>
      <c r="R91" s="1" t="s">
        <v>74</v>
      </c>
      <c r="S91" s="1" t="s">
        <v>74</v>
      </c>
      <c r="T91" s="1" t="s">
        <v>74</v>
      </c>
      <c r="U91" s="1" t="s">
        <v>74</v>
      </c>
      <c r="V91" s="4" t="s">
        <v>863</v>
      </c>
      <c r="W91" s="1" t="s">
        <v>74</v>
      </c>
      <c r="X91" s="1" t="s">
        <v>74</v>
      </c>
      <c r="Y91" s="1" t="s">
        <v>74</v>
      </c>
      <c r="Z91" s="1" t="s">
        <v>74</v>
      </c>
      <c r="AA91" s="1" t="s">
        <v>74</v>
      </c>
      <c r="AB91" s="1" t="s">
        <v>864</v>
      </c>
      <c r="AC91" s="1" t="s">
        <v>74</v>
      </c>
      <c r="AD91" s="1" t="s">
        <v>74</v>
      </c>
      <c r="AE91" s="1" t="s">
        <v>74</v>
      </c>
      <c r="AF91" s="1" t="s">
        <v>74</v>
      </c>
      <c r="AG91" s="1" t="s">
        <v>74</v>
      </c>
      <c r="AH91" s="1" t="s">
        <v>74</v>
      </c>
      <c r="AI91" s="1" t="s">
        <v>74</v>
      </c>
      <c r="AJ91" s="1" t="s">
        <v>74</v>
      </c>
      <c r="AK91" s="1" t="s">
        <v>74</v>
      </c>
      <c r="AL91" s="1" t="s">
        <v>74</v>
      </c>
      <c r="AM91" s="1" t="s">
        <v>74</v>
      </c>
      <c r="AN91" s="1" t="s">
        <v>74</v>
      </c>
      <c r="AO91" s="1" t="s">
        <v>865</v>
      </c>
      <c r="AP91" s="1" t="s">
        <v>866</v>
      </c>
      <c r="AQ91" s="1" t="s">
        <v>74</v>
      </c>
      <c r="AR91" s="1" t="s">
        <v>74</v>
      </c>
      <c r="AS91" s="1" t="s">
        <v>74</v>
      </c>
      <c r="AT91" s="1" t="s">
        <v>867</v>
      </c>
      <c r="AU91" s="1">
        <v>2024</v>
      </c>
      <c r="AV91" s="1" t="s">
        <v>74</v>
      </c>
      <c r="AW91" s="1" t="s">
        <v>74</v>
      </c>
      <c r="AX91" s="1" t="s">
        <v>74</v>
      </c>
      <c r="AY91" s="1" t="s">
        <v>74</v>
      </c>
      <c r="AZ91" s="1" t="s">
        <v>74</v>
      </c>
      <c r="BA91" s="1" t="s">
        <v>74</v>
      </c>
      <c r="BB91" s="1" t="s">
        <v>74</v>
      </c>
      <c r="BC91" s="1" t="s">
        <v>74</v>
      </c>
      <c r="BD91" s="1" t="s">
        <v>74</v>
      </c>
      <c r="BE91" s="1" t="s">
        <v>868</v>
      </c>
      <c r="BF91" s="1" t="str">
        <f>HYPERLINK("http://dx.doi.org/10.1007/s10211-024-00444-w","http://dx.doi.org/10.1007/s10211-024-00444-w")</f>
        <v>http://dx.doi.org/10.1007/s10211-024-00444-w</v>
      </c>
      <c r="BG91" s="1" t="s">
        <v>74</v>
      </c>
      <c r="BH91" s="1" t="s">
        <v>869</v>
      </c>
      <c r="BI91" s="1" t="s">
        <v>74</v>
      </c>
      <c r="BJ91" s="1" t="s">
        <v>74</v>
      </c>
      <c r="BK91" s="1" t="s">
        <v>74</v>
      </c>
      <c r="BL91" s="1" t="s">
        <v>74</v>
      </c>
      <c r="BM91" s="1" t="s">
        <v>74</v>
      </c>
      <c r="BN91" s="1" t="s">
        <v>74</v>
      </c>
      <c r="BO91" s="1" t="s">
        <v>74</v>
      </c>
      <c r="BP91" s="1" t="s">
        <v>74</v>
      </c>
      <c r="BQ91" s="1" t="s">
        <v>74</v>
      </c>
      <c r="BR91" s="1" t="s">
        <v>74</v>
      </c>
      <c r="BS91" s="1" t="s">
        <v>870</v>
      </c>
      <c r="BT91" s="1" t="str">
        <f>HYPERLINK("https%3A%2F%2Fwww.webofscience.com%2Fwos%2Fwoscc%2Ffull-record%2FWOS:001274807200001","View Full Record in Web of Science")</f>
        <v>View Full Record in Web of Science</v>
      </c>
    </row>
    <row r="92" spans="1:72" s="2" customFormat="1" x14ac:dyDescent="0.4">
      <c r="A92" s="2" t="s">
        <v>72</v>
      </c>
      <c r="B92" s="2" t="s">
        <v>4315</v>
      </c>
      <c r="C92" s="2" t="s">
        <v>74</v>
      </c>
      <c r="D92" s="2" t="s">
        <v>74</v>
      </c>
      <c r="E92" s="2" t="s">
        <v>74</v>
      </c>
      <c r="F92" s="2" t="s">
        <v>4316</v>
      </c>
      <c r="G92" s="2" t="s">
        <v>74</v>
      </c>
      <c r="H92" s="2" t="s">
        <v>74</v>
      </c>
      <c r="I92" s="2" t="s">
        <v>4317</v>
      </c>
      <c r="J92" s="2" t="s">
        <v>4318</v>
      </c>
      <c r="K92" s="2" t="s">
        <v>74</v>
      </c>
      <c r="L92" s="2" t="s">
        <v>74</v>
      </c>
      <c r="M92" s="2" t="s">
        <v>74</v>
      </c>
      <c r="N92" s="2" t="s">
        <v>74</v>
      </c>
      <c r="O92" s="2" t="s">
        <v>74</v>
      </c>
      <c r="P92" s="2" t="s">
        <v>74</v>
      </c>
      <c r="Q92" s="2" t="s">
        <v>74</v>
      </c>
      <c r="R92" s="2" t="s">
        <v>74</v>
      </c>
      <c r="S92" s="2" t="s">
        <v>74</v>
      </c>
      <c r="T92" s="2" t="s">
        <v>74</v>
      </c>
      <c r="U92" s="2" t="s">
        <v>74</v>
      </c>
      <c r="V92" s="5" t="s">
        <v>4319</v>
      </c>
      <c r="W92" s="2" t="s">
        <v>74</v>
      </c>
      <c r="X92" s="2" t="s">
        <v>74</v>
      </c>
      <c r="Y92" s="2" t="s">
        <v>74</v>
      </c>
      <c r="Z92" s="2" t="s">
        <v>74</v>
      </c>
      <c r="AA92" s="2" t="s">
        <v>74</v>
      </c>
      <c r="AB92" s="2" t="s">
        <v>4320</v>
      </c>
      <c r="AC92" s="2" t="s">
        <v>74</v>
      </c>
      <c r="AD92" s="2" t="s">
        <v>74</v>
      </c>
      <c r="AE92" s="2" t="s">
        <v>74</v>
      </c>
      <c r="AF92" s="2" t="s">
        <v>74</v>
      </c>
      <c r="AG92" s="2" t="s">
        <v>74</v>
      </c>
      <c r="AH92" s="2" t="s">
        <v>74</v>
      </c>
      <c r="AI92" s="2" t="s">
        <v>74</v>
      </c>
      <c r="AJ92" s="2" t="s">
        <v>74</v>
      </c>
      <c r="AK92" s="2" t="s">
        <v>74</v>
      </c>
      <c r="AL92" s="2" t="s">
        <v>74</v>
      </c>
      <c r="AM92" s="2" t="s">
        <v>74</v>
      </c>
      <c r="AN92" s="2" t="s">
        <v>74</v>
      </c>
      <c r="AO92" s="2" t="s">
        <v>4321</v>
      </c>
      <c r="AP92" s="2" t="s">
        <v>4322</v>
      </c>
      <c r="AQ92" s="2" t="s">
        <v>74</v>
      </c>
      <c r="AR92" s="2" t="s">
        <v>74</v>
      </c>
      <c r="AS92" s="2" t="s">
        <v>74</v>
      </c>
      <c r="AT92" s="2" t="s">
        <v>204</v>
      </c>
      <c r="AU92" s="2">
        <v>2022</v>
      </c>
      <c r="AV92" s="2">
        <v>110</v>
      </c>
      <c r="AW92" s="2">
        <v>2</v>
      </c>
      <c r="AX92" s="2" t="s">
        <v>74</v>
      </c>
      <c r="AY92" s="2" t="s">
        <v>74</v>
      </c>
      <c r="AZ92" s="2" t="s">
        <v>74</v>
      </c>
      <c r="BA92" s="2" t="s">
        <v>74</v>
      </c>
      <c r="BB92" s="2">
        <v>340</v>
      </c>
      <c r="BC92" s="2">
        <v>349</v>
      </c>
      <c r="BD92" s="2" t="s">
        <v>74</v>
      </c>
      <c r="BE92" s="2" t="s">
        <v>4323</v>
      </c>
      <c r="BF92" s="2" t="str">
        <f>HYPERLINK("http://dx.doi.org/10.1643/h2021025","http://dx.doi.org/10.1643/h2021025")</f>
        <v>http://dx.doi.org/10.1643/h2021025</v>
      </c>
      <c r="BG92" s="2" t="s">
        <v>74</v>
      </c>
      <c r="BH92" s="2" t="s">
        <v>74</v>
      </c>
      <c r="BI92" s="2" t="s">
        <v>74</v>
      </c>
      <c r="BJ92" s="2" t="s">
        <v>74</v>
      </c>
      <c r="BK92" s="2" t="s">
        <v>74</v>
      </c>
      <c r="BL92" s="2" t="s">
        <v>74</v>
      </c>
      <c r="BM92" s="2" t="s">
        <v>74</v>
      </c>
      <c r="BN92" s="2" t="s">
        <v>74</v>
      </c>
      <c r="BO92" s="2" t="s">
        <v>74</v>
      </c>
      <c r="BP92" s="2" t="s">
        <v>74</v>
      </c>
      <c r="BQ92" s="2" t="s">
        <v>74</v>
      </c>
      <c r="BR92" s="2" t="s">
        <v>74</v>
      </c>
      <c r="BS92" s="2" t="s">
        <v>4324</v>
      </c>
      <c r="BT92" s="2" t="str">
        <f>HYPERLINK("https%3A%2F%2Fwww.webofscience.com%2Fwos%2Fwoscc%2Ffull-record%2FWOS:000836735000011","View Full Record in Web of Science")</f>
        <v>View Full Record in Web of Science</v>
      </c>
    </row>
    <row r="93" spans="1:72" s="2" customFormat="1" x14ac:dyDescent="0.4">
      <c r="A93" s="2" t="s">
        <v>72</v>
      </c>
      <c r="B93" s="2" t="s">
        <v>1671</v>
      </c>
      <c r="C93" s="2" t="s">
        <v>74</v>
      </c>
      <c r="D93" s="2" t="s">
        <v>74</v>
      </c>
      <c r="E93" s="2" t="s">
        <v>74</v>
      </c>
      <c r="F93" s="2" t="s">
        <v>1671</v>
      </c>
      <c r="G93" s="2" t="s">
        <v>74</v>
      </c>
      <c r="H93" s="2" t="s">
        <v>74</v>
      </c>
      <c r="I93" s="2" t="s">
        <v>1672</v>
      </c>
      <c r="J93" s="2" t="s">
        <v>1673</v>
      </c>
      <c r="K93" s="2" t="s">
        <v>74</v>
      </c>
      <c r="L93" s="2" t="s">
        <v>74</v>
      </c>
      <c r="M93" s="2" t="s">
        <v>74</v>
      </c>
      <c r="N93" s="2" t="s">
        <v>74</v>
      </c>
      <c r="O93" s="2" t="s">
        <v>74</v>
      </c>
      <c r="P93" s="2" t="s">
        <v>74</v>
      </c>
      <c r="Q93" s="2" t="s">
        <v>74</v>
      </c>
      <c r="R93" s="2" t="s">
        <v>74</v>
      </c>
      <c r="S93" s="2" t="s">
        <v>74</v>
      </c>
      <c r="T93" s="2" t="s">
        <v>74</v>
      </c>
      <c r="U93" s="2" t="s">
        <v>74</v>
      </c>
      <c r="V93" s="5" t="s">
        <v>1674</v>
      </c>
      <c r="W93" s="2" t="s">
        <v>74</v>
      </c>
      <c r="X93" s="2" t="s">
        <v>74</v>
      </c>
      <c r="Y93" s="2" t="s">
        <v>74</v>
      </c>
      <c r="Z93" s="2" t="s">
        <v>74</v>
      </c>
      <c r="AA93" s="2" t="s">
        <v>74</v>
      </c>
      <c r="AB93" s="2" t="s">
        <v>74</v>
      </c>
      <c r="AC93" s="2" t="s">
        <v>74</v>
      </c>
      <c r="AD93" s="2" t="s">
        <v>74</v>
      </c>
      <c r="AE93" s="2" t="s">
        <v>74</v>
      </c>
      <c r="AF93" s="2" t="s">
        <v>74</v>
      </c>
      <c r="AG93" s="2" t="s">
        <v>74</v>
      </c>
      <c r="AH93" s="2" t="s">
        <v>74</v>
      </c>
      <c r="AI93" s="2" t="s">
        <v>74</v>
      </c>
      <c r="AJ93" s="2" t="s">
        <v>74</v>
      </c>
      <c r="AK93" s="2" t="s">
        <v>74</v>
      </c>
      <c r="AL93" s="2" t="s">
        <v>74</v>
      </c>
      <c r="AM93" s="2" t="s">
        <v>74</v>
      </c>
      <c r="AN93" s="2" t="s">
        <v>74</v>
      </c>
      <c r="AO93" s="2" t="s">
        <v>1239</v>
      </c>
      <c r="AP93" s="2" t="s">
        <v>1675</v>
      </c>
      <c r="AQ93" s="2" t="s">
        <v>74</v>
      </c>
      <c r="AR93" s="2" t="s">
        <v>74</v>
      </c>
      <c r="AS93" s="2" t="s">
        <v>74</v>
      </c>
      <c r="AT93" s="2" t="s">
        <v>74</v>
      </c>
      <c r="AU93" s="2">
        <v>1984</v>
      </c>
      <c r="AV93" s="2">
        <v>62</v>
      </c>
      <c r="AW93" s="2">
        <v>6</v>
      </c>
      <c r="AX93" s="2" t="s">
        <v>74</v>
      </c>
      <c r="AY93" s="2" t="s">
        <v>74</v>
      </c>
      <c r="AZ93" s="2" t="s">
        <v>74</v>
      </c>
      <c r="BA93" s="2" t="s">
        <v>74</v>
      </c>
      <c r="BB93" s="2">
        <v>999</v>
      </c>
      <c r="BC93" s="2">
        <v>1004</v>
      </c>
      <c r="BD93" s="2" t="s">
        <v>74</v>
      </c>
      <c r="BE93" s="2" t="s">
        <v>1676</v>
      </c>
      <c r="BF93" s="2" t="str">
        <f>HYPERLINK("http://dx.doi.org/10.1139/z84-141","http://dx.doi.org/10.1139/z84-141")</f>
        <v>http://dx.doi.org/10.1139/z84-141</v>
      </c>
      <c r="BG93" s="2" t="s">
        <v>74</v>
      </c>
      <c r="BH93" s="2" t="s">
        <v>74</v>
      </c>
      <c r="BI93" s="2" t="s">
        <v>74</v>
      </c>
      <c r="BJ93" s="2" t="s">
        <v>74</v>
      </c>
      <c r="BK93" s="2" t="s">
        <v>74</v>
      </c>
      <c r="BL93" s="2" t="s">
        <v>74</v>
      </c>
      <c r="BM93" s="2" t="s">
        <v>74</v>
      </c>
      <c r="BN93" s="2" t="s">
        <v>74</v>
      </c>
      <c r="BO93" s="2" t="s">
        <v>74</v>
      </c>
      <c r="BP93" s="2" t="s">
        <v>74</v>
      </c>
      <c r="BQ93" s="2" t="s">
        <v>74</v>
      </c>
      <c r="BR93" s="2" t="s">
        <v>74</v>
      </c>
      <c r="BS93" s="2" t="s">
        <v>1677</v>
      </c>
      <c r="BT93" s="2" t="str">
        <f>HYPERLINK("https%3A%2F%2Fwww.webofscience.com%2Fwos%2Fwoscc%2Ffull-record%2FWOS:A1984TE15700001","View Full Record in Web of Science")</f>
        <v>View Full Record in Web of Science</v>
      </c>
    </row>
    <row r="94" spans="1:72" s="2" customFormat="1" x14ac:dyDescent="0.4">
      <c r="A94" s="2" t="s">
        <v>72</v>
      </c>
      <c r="B94" s="2" t="s">
        <v>3086</v>
      </c>
      <c r="C94" s="2" t="s">
        <v>74</v>
      </c>
      <c r="D94" s="2" t="s">
        <v>74</v>
      </c>
      <c r="E94" s="2" t="s">
        <v>74</v>
      </c>
      <c r="F94" s="2" t="s">
        <v>3087</v>
      </c>
      <c r="G94" s="2" t="s">
        <v>74</v>
      </c>
      <c r="H94" s="2" t="s">
        <v>74</v>
      </c>
      <c r="I94" s="2" t="s">
        <v>8775</v>
      </c>
      <c r="J94" s="2" t="s">
        <v>3089</v>
      </c>
      <c r="K94" s="2" t="s">
        <v>74</v>
      </c>
      <c r="L94" s="2" t="s">
        <v>74</v>
      </c>
      <c r="M94" s="2" t="s">
        <v>74</v>
      </c>
      <c r="N94" s="2" t="s">
        <v>74</v>
      </c>
      <c r="O94" s="2" t="s">
        <v>74</v>
      </c>
      <c r="P94" s="2" t="s">
        <v>74</v>
      </c>
      <c r="Q94" s="2" t="s">
        <v>74</v>
      </c>
      <c r="R94" s="2" t="s">
        <v>74</v>
      </c>
      <c r="S94" s="2" t="s">
        <v>74</v>
      </c>
      <c r="T94" s="2" t="s">
        <v>74</v>
      </c>
      <c r="U94" s="2" t="s">
        <v>74</v>
      </c>
      <c r="V94" s="5" t="s">
        <v>3090</v>
      </c>
      <c r="W94" s="2" t="s">
        <v>74</v>
      </c>
      <c r="X94" s="2" t="s">
        <v>74</v>
      </c>
      <c r="Y94" s="2" t="s">
        <v>74</v>
      </c>
      <c r="Z94" s="2" t="s">
        <v>74</v>
      </c>
      <c r="AA94" s="2" t="s">
        <v>3091</v>
      </c>
      <c r="AB94" s="2" t="s">
        <v>3092</v>
      </c>
      <c r="AC94" s="2" t="s">
        <v>74</v>
      </c>
      <c r="AD94" s="2" t="s">
        <v>74</v>
      </c>
      <c r="AE94" s="2" t="s">
        <v>74</v>
      </c>
      <c r="AF94" s="2" t="s">
        <v>74</v>
      </c>
      <c r="AG94" s="2" t="s">
        <v>74</v>
      </c>
      <c r="AH94" s="2" t="s">
        <v>74</v>
      </c>
      <c r="AI94" s="2" t="s">
        <v>74</v>
      </c>
      <c r="AJ94" s="2" t="s">
        <v>74</v>
      </c>
      <c r="AK94" s="2" t="s">
        <v>74</v>
      </c>
      <c r="AL94" s="2" t="s">
        <v>74</v>
      </c>
      <c r="AM94" s="2" t="s">
        <v>74</v>
      </c>
      <c r="AN94" s="2" t="s">
        <v>74</v>
      </c>
      <c r="AO94" s="2" t="s">
        <v>3093</v>
      </c>
      <c r="AP94" s="2" t="s">
        <v>3094</v>
      </c>
      <c r="AQ94" s="2" t="s">
        <v>74</v>
      </c>
      <c r="AR94" s="2" t="s">
        <v>74</v>
      </c>
      <c r="AS94" s="2" t="s">
        <v>74</v>
      </c>
      <c r="AT94" s="2" t="s">
        <v>134</v>
      </c>
      <c r="AU94" s="2">
        <v>2021</v>
      </c>
      <c r="AV94" s="2">
        <v>39</v>
      </c>
      <c r="AW94" s="2">
        <v>2</v>
      </c>
      <c r="AX94" s="2" t="s">
        <v>74</v>
      </c>
      <c r="AY94" s="2" t="s">
        <v>74</v>
      </c>
      <c r="AZ94" s="2" t="s">
        <v>74</v>
      </c>
      <c r="BA94" s="2" t="s">
        <v>74</v>
      </c>
      <c r="BB94" s="2">
        <v>179</v>
      </c>
      <c r="BC94" s="2">
        <v>189</v>
      </c>
      <c r="BD94" s="2" t="s">
        <v>74</v>
      </c>
      <c r="BE94" s="2" t="s">
        <v>3095</v>
      </c>
      <c r="BF94" s="2" t="str">
        <f>HYPERLINK("http://dx.doi.org/10.1007/s10164-021-00690-6","http://dx.doi.org/10.1007/s10164-021-00690-6")</f>
        <v>http://dx.doi.org/10.1007/s10164-021-00690-6</v>
      </c>
      <c r="BG94" s="2" t="s">
        <v>74</v>
      </c>
      <c r="BH94" s="2" t="s">
        <v>2411</v>
      </c>
      <c r="BI94" s="2" t="s">
        <v>74</v>
      </c>
      <c r="BJ94" s="2" t="s">
        <v>74</v>
      </c>
      <c r="BK94" s="2" t="s">
        <v>74</v>
      </c>
      <c r="BL94" s="2" t="s">
        <v>74</v>
      </c>
      <c r="BM94" s="2" t="s">
        <v>74</v>
      </c>
      <c r="BN94" s="2" t="s">
        <v>74</v>
      </c>
      <c r="BO94" s="2" t="s">
        <v>74</v>
      </c>
      <c r="BP94" s="2" t="s">
        <v>74</v>
      </c>
      <c r="BQ94" s="2" t="s">
        <v>74</v>
      </c>
      <c r="BR94" s="2" t="s">
        <v>74</v>
      </c>
      <c r="BS94" s="2" t="s">
        <v>3096</v>
      </c>
      <c r="BT94" s="2" t="str">
        <f>HYPERLINK("https%3A%2F%2Fwww.webofscience.com%2Fwos%2Fwoscc%2Ffull-record%2FWOS:000614674500001","View Full Record in Web of Science")</f>
        <v>View Full Record in Web of Science</v>
      </c>
    </row>
    <row r="95" spans="1:72" s="2" customFormat="1" x14ac:dyDescent="0.4">
      <c r="A95" s="2" t="s">
        <v>72</v>
      </c>
      <c r="B95" s="2" t="s">
        <v>226</v>
      </c>
      <c r="C95" s="2" t="s">
        <v>74</v>
      </c>
      <c r="D95" s="2" t="s">
        <v>74</v>
      </c>
      <c r="E95" s="2" t="s">
        <v>74</v>
      </c>
      <c r="F95" s="2" t="s">
        <v>227</v>
      </c>
      <c r="G95" s="2" t="s">
        <v>74</v>
      </c>
      <c r="H95" s="2" t="s">
        <v>74</v>
      </c>
      <c r="I95" s="2" t="s">
        <v>228</v>
      </c>
      <c r="J95" s="2" t="s">
        <v>229</v>
      </c>
      <c r="K95" s="2" t="s">
        <v>74</v>
      </c>
      <c r="L95" s="2" t="s">
        <v>74</v>
      </c>
      <c r="M95" s="2" t="s">
        <v>74</v>
      </c>
      <c r="N95" s="2" t="s">
        <v>74</v>
      </c>
      <c r="O95" s="2" t="s">
        <v>74</v>
      </c>
      <c r="P95" s="2" t="s">
        <v>74</v>
      </c>
      <c r="Q95" s="2" t="s">
        <v>74</v>
      </c>
      <c r="R95" s="2" t="s">
        <v>74</v>
      </c>
      <c r="S95" s="2" t="s">
        <v>74</v>
      </c>
      <c r="T95" s="2" t="s">
        <v>74</v>
      </c>
      <c r="U95" s="2" t="s">
        <v>74</v>
      </c>
      <c r="V95" s="5" t="s">
        <v>230</v>
      </c>
      <c r="W95" s="2" t="s">
        <v>74</v>
      </c>
      <c r="X95" s="2" t="s">
        <v>74</v>
      </c>
      <c r="Y95" s="2" t="s">
        <v>74</v>
      </c>
      <c r="Z95" s="2" t="s">
        <v>74</v>
      </c>
      <c r="AA95" s="2" t="s">
        <v>231</v>
      </c>
      <c r="AB95" s="2" t="s">
        <v>232</v>
      </c>
      <c r="AC95" s="2" t="s">
        <v>74</v>
      </c>
      <c r="AD95" s="2" t="s">
        <v>74</v>
      </c>
      <c r="AE95" s="2" t="s">
        <v>74</v>
      </c>
      <c r="AF95" s="2" t="s">
        <v>74</v>
      </c>
      <c r="AG95" s="2" t="s">
        <v>74</v>
      </c>
      <c r="AH95" s="2" t="s">
        <v>74</v>
      </c>
      <c r="AI95" s="2" t="s">
        <v>74</v>
      </c>
      <c r="AJ95" s="2" t="s">
        <v>74</v>
      </c>
      <c r="AK95" s="2" t="s">
        <v>74</v>
      </c>
      <c r="AL95" s="2" t="s">
        <v>74</v>
      </c>
      <c r="AM95" s="2" t="s">
        <v>74</v>
      </c>
      <c r="AN95" s="2" t="s">
        <v>74</v>
      </c>
      <c r="AO95" s="2" t="s">
        <v>233</v>
      </c>
      <c r="AP95" s="2" t="s">
        <v>234</v>
      </c>
      <c r="AQ95" s="2" t="s">
        <v>74</v>
      </c>
      <c r="AR95" s="2" t="s">
        <v>74</v>
      </c>
      <c r="AS95" s="2" t="s">
        <v>74</v>
      </c>
      <c r="AT95" s="2" t="s">
        <v>204</v>
      </c>
      <c r="AU95" s="2">
        <v>2021</v>
      </c>
      <c r="AV95" s="2">
        <v>47</v>
      </c>
      <c r="AW95" s="2">
        <v>4</v>
      </c>
      <c r="AX95" s="2" t="s">
        <v>74</v>
      </c>
      <c r="AY95" s="2" t="s">
        <v>74</v>
      </c>
      <c r="AZ95" s="2" t="s">
        <v>74</v>
      </c>
      <c r="BA95" s="2" t="s">
        <v>74</v>
      </c>
      <c r="BB95" s="2">
        <v>430</v>
      </c>
      <c r="BC95" s="2">
        <v>438</v>
      </c>
      <c r="BD95" s="2" t="s">
        <v>74</v>
      </c>
      <c r="BE95" s="2" t="s">
        <v>235</v>
      </c>
      <c r="BF95" s="2" t="str">
        <f>HYPERLINK("http://dx.doi.org/10.1002/ab.21961","http://dx.doi.org/10.1002/ab.21961")</f>
        <v>http://dx.doi.org/10.1002/ab.21961</v>
      </c>
      <c r="BG95" s="2" t="s">
        <v>74</v>
      </c>
      <c r="BH95" s="2" t="s">
        <v>236</v>
      </c>
      <c r="BI95" s="2" t="s">
        <v>74</v>
      </c>
      <c r="BJ95" s="2" t="s">
        <v>74</v>
      </c>
      <c r="BK95" s="2" t="s">
        <v>74</v>
      </c>
      <c r="BL95" s="2" t="s">
        <v>74</v>
      </c>
      <c r="BM95" s="2" t="s">
        <v>74</v>
      </c>
      <c r="BN95" s="2">
        <v>33682154</v>
      </c>
      <c r="BO95" s="2" t="s">
        <v>74</v>
      </c>
      <c r="BP95" s="2" t="s">
        <v>74</v>
      </c>
      <c r="BQ95" s="2" t="s">
        <v>74</v>
      </c>
      <c r="BR95" s="2" t="s">
        <v>74</v>
      </c>
      <c r="BS95" s="2" t="s">
        <v>237</v>
      </c>
      <c r="BT95" s="2" t="str">
        <f>HYPERLINK("https%3A%2F%2Fwww.webofscience.com%2Fwos%2Fwoscc%2Ffull-record%2FWOS:000625980800001","View Full Record in Web of Science")</f>
        <v>View Full Record in Web of Science</v>
      </c>
    </row>
    <row r="96" spans="1:72" s="2" customFormat="1" x14ac:dyDescent="0.4">
      <c r="A96" s="2" t="s">
        <v>72</v>
      </c>
      <c r="B96" s="2" t="s">
        <v>6676</v>
      </c>
      <c r="C96" s="2" t="s">
        <v>74</v>
      </c>
      <c r="D96" s="2" t="s">
        <v>74</v>
      </c>
      <c r="E96" s="2" t="s">
        <v>74</v>
      </c>
      <c r="F96" s="2" t="s">
        <v>6677</v>
      </c>
      <c r="G96" s="2" t="s">
        <v>74</v>
      </c>
      <c r="H96" s="2" t="s">
        <v>74</v>
      </c>
      <c r="I96" s="2" t="s">
        <v>6678</v>
      </c>
      <c r="J96" s="2" t="s">
        <v>140</v>
      </c>
      <c r="K96" s="2" t="s">
        <v>74</v>
      </c>
      <c r="L96" s="2" t="s">
        <v>74</v>
      </c>
      <c r="M96" s="2" t="s">
        <v>74</v>
      </c>
      <c r="N96" s="2" t="s">
        <v>74</v>
      </c>
      <c r="O96" s="2" t="s">
        <v>74</v>
      </c>
      <c r="P96" s="2" t="s">
        <v>74</v>
      </c>
      <c r="Q96" s="2" t="s">
        <v>74</v>
      </c>
      <c r="R96" s="2" t="s">
        <v>74</v>
      </c>
      <c r="S96" s="2" t="s">
        <v>74</v>
      </c>
      <c r="T96" s="2" t="s">
        <v>74</v>
      </c>
      <c r="U96" s="2" t="s">
        <v>74</v>
      </c>
      <c r="V96" s="5" t="s">
        <v>6679</v>
      </c>
      <c r="W96" s="2" t="s">
        <v>74</v>
      </c>
      <c r="X96" s="2" t="s">
        <v>74</v>
      </c>
      <c r="Y96" s="2" t="s">
        <v>74</v>
      </c>
      <c r="Z96" s="2" t="s">
        <v>74</v>
      </c>
      <c r="AA96" s="2" t="s">
        <v>6680</v>
      </c>
      <c r="AB96" s="2" t="s">
        <v>6681</v>
      </c>
      <c r="AC96" s="2" t="s">
        <v>74</v>
      </c>
      <c r="AD96" s="2" t="s">
        <v>74</v>
      </c>
      <c r="AE96" s="2" t="s">
        <v>74</v>
      </c>
      <c r="AF96" s="2" t="s">
        <v>74</v>
      </c>
      <c r="AG96" s="2" t="s">
        <v>74</v>
      </c>
      <c r="AH96" s="2" t="s">
        <v>74</v>
      </c>
      <c r="AI96" s="2" t="s">
        <v>74</v>
      </c>
      <c r="AJ96" s="2" t="s">
        <v>74</v>
      </c>
      <c r="AK96" s="2" t="s">
        <v>74</v>
      </c>
      <c r="AL96" s="2" t="s">
        <v>74</v>
      </c>
      <c r="AM96" s="2" t="s">
        <v>74</v>
      </c>
      <c r="AN96" s="2" t="s">
        <v>74</v>
      </c>
      <c r="AO96" s="2" t="s">
        <v>143</v>
      </c>
      <c r="AP96" s="2" t="s">
        <v>144</v>
      </c>
      <c r="AQ96" s="2" t="s">
        <v>74</v>
      </c>
      <c r="AR96" s="2" t="s">
        <v>74</v>
      </c>
      <c r="AS96" s="2" t="s">
        <v>74</v>
      </c>
      <c r="AT96" s="2" t="s">
        <v>204</v>
      </c>
      <c r="AU96" s="2">
        <v>2015</v>
      </c>
      <c r="AV96" s="2">
        <v>105</v>
      </c>
      <c r="AW96" s="2" t="s">
        <v>74</v>
      </c>
      <c r="AX96" s="2" t="s">
        <v>74</v>
      </c>
      <c r="AY96" s="2" t="s">
        <v>74</v>
      </c>
      <c r="AZ96" s="2" t="s">
        <v>74</v>
      </c>
      <c r="BA96" s="2" t="s">
        <v>74</v>
      </c>
      <c r="BB96" s="2">
        <v>201</v>
      </c>
      <c r="BC96" s="2">
        <v>209</v>
      </c>
      <c r="BD96" s="2" t="s">
        <v>74</v>
      </c>
      <c r="BE96" s="2" t="s">
        <v>6682</v>
      </c>
      <c r="BF96" s="2" t="str">
        <f>HYPERLINK("http://dx.doi.org/10.1016/j.anbehav.2015.04.024","http://dx.doi.org/10.1016/j.anbehav.2015.04.024")</f>
        <v>http://dx.doi.org/10.1016/j.anbehav.2015.04.024</v>
      </c>
      <c r="BG96" s="2" t="s">
        <v>74</v>
      </c>
      <c r="BH96" s="2" t="s">
        <v>74</v>
      </c>
      <c r="BI96" s="2" t="s">
        <v>74</v>
      </c>
      <c r="BJ96" s="2" t="s">
        <v>74</v>
      </c>
      <c r="BK96" s="2" t="s">
        <v>74</v>
      </c>
      <c r="BL96" s="2" t="s">
        <v>74</v>
      </c>
      <c r="BM96" s="2" t="s">
        <v>74</v>
      </c>
      <c r="BN96" s="2" t="s">
        <v>74</v>
      </c>
      <c r="BO96" s="2" t="s">
        <v>74</v>
      </c>
      <c r="BP96" s="2" t="s">
        <v>74</v>
      </c>
      <c r="BQ96" s="2" t="s">
        <v>74</v>
      </c>
      <c r="BR96" s="2" t="s">
        <v>74</v>
      </c>
      <c r="BS96" s="2" t="s">
        <v>6683</v>
      </c>
      <c r="BT96" s="2" t="str">
        <f>HYPERLINK("https%3A%2F%2Fwww.webofscience.com%2Fwos%2Fwoscc%2Ffull-record%2FWOS:000356611200022","View Full Record in Web of Science")</f>
        <v>View Full Record in Web of Science</v>
      </c>
    </row>
    <row r="97" spans="1:314" s="2" customFormat="1" x14ac:dyDescent="0.4">
      <c r="A97" s="2" t="s">
        <v>72</v>
      </c>
      <c r="B97" s="2" t="s">
        <v>2948</v>
      </c>
      <c r="C97" s="2" t="s">
        <v>74</v>
      </c>
      <c r="D97" s="2" t="s">
        <v>74</v>
      </c>
      <c r="E97" s="2" t="s">
        <v>74</v>
      </c>
      <c r="F97" s="2" t="s">
        <v>2948</v>
      </c>
      <c r="G97" s="2" t="s">
        <v>74</v>
      </c>
      <c r="H97" s="2" t="s">
        <v>74</v>
      </c>
      <c r="I97" s="2" t="s">
        <v>2949</v>
      </c>
      <c r="J97" s="2" t="s">
        <v>140</v>
      </c>
      <c r="K97" s="2" t="s">
        <v>74</v>
      </c>
      <c r="L97" s="2" t="s">
        <v>74</v>
      </c>
      <c r="M97" s="2" t="s">
        <v>74</v>
      </c>
      <c r="N97" s="2" t="s">
        <v>74</v>
      </c>
      <c r="O97" s="2" t="s">
        <v>74</v>
      </c>
      <c r="P97" s="2" t="s">
        <v>74</v>
      </c>
      <c r="Q97" s="2" t="s">
        <v>74</v>
      </c>
      <c r="R97" s="2" t="s">
        <v>74</v>
      </c>
      <c r="S97" s="2" t="s">
        <v>74</v>
      </c>
      <c r="T97" s="2" t="s">
        <v>74</v>
      </c>
      <c r="U97" s="2" t="s">
        <v>74</v>
      </c>
      <c r="V97" s="5" t="s">
        <v>2950</v>
      </c>
      <c r="W97" s="2" t="s">
        <v>74</v>
      </c>
      <c r="X97" s="2" t="s">
        <v>74</v>
      </c>
      <c r="Y97" s="2" t="s">
        <v>74</v>
      </c>
      <c r="Z97" s="2" t="s">
        <v>74</v>
      </c>
      <c r="AA97" s="2" t="s">
        <v>2951</v>
      </c>
      <c r="AB97" s="2" t="s">
        <v>2952</v>
      </c>
      <c r="AC97" s="2" t="s">
        <v>74</v>
      </c>
      <c r="AD97" s="2" t="s">
        <v>74</v>
      </c>
      <c r="AE97" s="2" t="s">
        <v>74</v>
      </c>
      <c r="AF97" s="2" t="s">
        <v>74</v>
      </c>
      <c r="AG97" s="2" t="s">
        <v>74</v>
      </c>
      <c r="AH97" s="2" t="s">
        <v>74</v>
      </c>
      <c r="AI97" s="2" t="s">
        <v>74</v>
      </c>
      <c r="AJ97" s="2" t="s">
        <v>74</v>
      </c>
      <c r="AK97" s="2" t="s">
        <v>74</v>
      </c>
      <c r="AL97" s="2" t="s">
        <v>74</v>
      </c>
      <c r="AM97" s="2" t="s">
        <v>74</v>
      </c>
      <c r="AN97" s="2" t="s">
        <v>74</v>
      </c>
      <c r="AO97" s="2" t="s">
        <v>143</v>
      </c>
      <c r="AP97" s="2" t="s">
        <v>74</v>
      </c>
      <c r="AQ97" s="2" t="s">
        <v>74</v>
      </c>
      <c r="AR97" s="2" t="s">
        <v>74</v>
      </c>
      <c r="AS97" s="2" t="s">
        <v>74</v>
      </c>
      <c r="AT97" s="2" t="s">
        <v>145</v>
      </c>
      <c r="AU97" s="2">
        <v>2004</v>
      </c>
      <c r="AV97" s="2">
        <v>68</v>
      </c>
      <c r="AW97" s="2" t="s">
        <v>74</v>
      </c>
      <c r="AX97" s="2">
        <v>2</v>
      </c>
      <c r="AY97" s="2" t="s">
        <v>74</v>
      </c>
      <c r="AZ97" s="2" t="s">
        <v>74</v>
      </c>
      <c r="BA97" s="2" t="s">
        <v>74</v>
      </c>
      <c r="BB97" s="2">
        <v>273</v>
      </c>
      <c r="BC97" s="2">
        <v>282</v>
      </c>
      <c r="BD97" s="2" t="s">
        <v>74</v>
      </c>
      <c r="BE97" s="2" t="s">
        <v>2953</v>
      </c>
      <c r="BF97" s="2" t="str">
        <f>HYPERLINK("http://dx.doi.org/10.1016/j.anbehav.2003.11.010","http://dx.doi.org/10.1016/j.anbehav.2003.11.010")</f>
        <v>http://dx.doi.org/10.1016/j.anbehav.2003.11.010</v>
      </c>
      <c r="BG97" s="2" t="s">
        <v>74</v>
      </c>
      <c r="BH97" s="2" t="s">
        <v>74</v>
      </c>
      <c r="BI97" s="2" t="s">
        <v>74</v>
      </c>
      <c r="BJ97" s="2" t="s">
        <v>74</v>
      </c>
      <c r="BK97" s="2" t="s">
        <v>74</v>
      </c>
      <c r="BL97" s="2" t="s">
        <v>74</v>
      </c>
      <c r="BM97" s="2" t="s">
        <v>74</v>
      </c>
      <c r="BN97" s="2" t="s">
        <v>74</v>
      </c>
      <c r="BO97" s="2" t="s">
        <v>74</v>
      </c>
      <c r="BP97" s="2" t="s">
        <v>74</v>
      </c>
      <c r="BQ97" s="2" t="s">
        <v>74</v>
      </c>
      <c r="BR97" s="2" t="s">
        <v>74</v>
      </c>
      <c r="BS97" s="2" t="s">
        <v>2954</v>
      </c>
      <c r="BT97" s="2" t="str">
        <f>HYPERLINK("https%3A%2F%2Fwww.webofscience.com%2Fwos%2Fwoscc%2Ffull-record%2FWOS:000223614300006","View Full Record in Web of Science")</f>
        <v>View Full Record in Web of Science</v>
      </c>
    </row>
    <row r="98" spans="1:314" s="2" customFormat="1" x14ac:dyDescent="0.4">
      <c r="A98" s="2" t="s">
        <v>72</v>
      </c>
      <c r="B98" s="2" t="s">
        <v>4227</v>
      </c>
      <c r="C98" s="2" t="s">
        <v>74</v>
      </c>
      <c r="D98" s="2" t="s">
        <v>74</v>
      </c>
      <c r="E98" s="2" t="s">
        <v>74</v>
      </c>
      <c r="F98" s="2" t="s">
        <v>4227</v>
      </c>
      <c r="G98" s="2" t="s">
        <v>74</v>
      </c>
      <c r="H98" s="2" t="s">
        <v>74</v>
      </c>
      <c r="I98" s="2" t="s">
        <v>4228</v>
      </c>
      <c r="J98" s="2" t="s">
        <v>77</v>
      </c>
      <c r="K98" s="2" t="s">
        <v>74</v>
      </c>
      <c r="L98" s="2" t="s">
        <v>74</v>
      </c>
      <c r="M98" s="2" t="s">
        <v>74</v>
      </c>
      <c r="N98" s="2" t="s">
        <v>74</v>
      </c>
      <c r="O98" s="2" t="s">
        <v>74</v>
      </c>
      <c r="P98" s="2" t="s">
        <v>74</v>
      </c>
      <c r="Q98" s="2" t="s">
        <v>74</v>
      </c>
      <c r="R98" s="2" t="s">
        <v>74</v>
      </c>
      <c r="S98" s="2" t="s">
        <v>74</v>
      </c>
      <c r="T98" s="2" t="s">
        <v>74</v>
      </c>
      <c r="U98" s="2" t="s">
        <v>74</v>
      </c>
      <c r="V98" s="5" t="s">
        <v>4229</v>
      </c>
      <c r="W98" s="2" t="s">
        <v>74</v>
      </c>
      <c r="X98" s="2" t="s">
        <v>74</v>
      </c>
      <c r="Y98" s="2" t="s">
        <v>74</v>
      </c>
      <c r="Z98" s="2" t="s">
        <v>74</v>
      </c>
      <c r="AA98" s="2" t="s">
        <v>74</v>
      </c>
      <c r="AB98" s="2" t="s">
        <v>74</v>
      </c>
      <c r="AC98" s="2" t="s">
        <v>74</v>
      </c>
      <c r="AD98" s="2" t="s">
        <v>74</v>
      </c>
      <c r="AE98" s="2" t="s">
        <v>74</v>
      </c>
      <c r="AF98" s="2" t="s">
        <v>74</v>
      </c>
      <c r="AG98" s="2" t="s">
        <v>74</v>
      </c>
      <c r="AH98" s="2" t="s">
        <v>74</v>
      </c>
      <c r="AI98" s="2" t="s">
        <v>74</v>
      </c>
      <c r="AJ98" s="2" t="s">
        <v>74</v>
      </c>
      <c r="AK98" s="2" t="s">
        <v>74</v>
      </c>
      <c r="AL98" s="2" t="s">
        <v>74</v>
      </c>
      <c r="AM98" s="2" t="s">
        <v>74</v>
      </c>
      <c r="AN98" s="2" t="s">
        <v>74</v>
      </c>
      <c r="AO98" s="2" t="s">
        <v>81</v>
      </c>
      <c r="AP98" s="2" t="s">
        <v>82</v>
      </c>
      <c r="AQ98" s="2" t="s">
        <v>74</v>
      </c>
      <c r="AR98" s="2" t="s">
        <v>74</v>
      </c>
      <c r="AS98" s="2" t="s">
        <v>74</v>
      </c>
      <c r="AT98" s="2" t="s">
        <v>74</v>
      </c>
      <c r="AU98" s="2">
        <v>1978</v>
      </c>
      <c r="AV98" s="2">
        <v>64</v>
      </c>
      <c r="AW98" s="2" t="s">
        <v>74</v>
      </c>
      <c r="AX98" s="2" t="s">
        <v>1276</v>
      </c>
      <c r="AY98" s="2" t="s">
        <v>74</v>
      </c>
      <c r="AZ98" s="2" t="s">
        <v>74</v>
      </c>
      <c r="BA98" s="2" t="s">
        <v>74</v>
      </c>
      <c r="BB98" s="2">
        <v>271</v>
      </c>
      <c r="BC98" s="2">
        <v>297</v>
      </c>
      <c r="BD98" s="2" t="s">
        <v>74</v>
      </c>
      <c r="BE98" s="2" t="s">
        <v>4230</v>
      </c>
      <c r="BF98" s="2" t="str">
        <f>HYPERLINK("http://dx.doi.org/10.1163/156853978X00062","http://dx.doi.org/10.1163/156853978X00062")</f>
        <v>http://dx.doi.org/10.1163/156853978X00062</v>
      </c>
      <c r="BG98" s="2" t="s">
        <v>74</v>
      </c>
      <c r="BH98" s="2" t="s">
        <v>74</v>
      </c>
      <c r="BI98" s="2" t="s">
        <v>74</v>
      </c>
      <c r="BJ98" s="2" t="s">
        <v>74</v>
      </c>
      <c r="BK98" s="2" t="s">
        <v>74</v>
      </c>
      <c r="BL98" s="2" t="s">
        <v>74</v>
      </c>
      <c r="BM98" s="2" t="s">
        <v>74</v>
      </c>
      <c r="BN98" s="2">
        <v>566542</v>
      </c>
      <c r="BO98" s="2" t="s">
        <v>74</v>
      </c>
      <c r="BP98" s="2" t="s">
        <v>74</v>
      </c>
      <c r="BQ98" s="2" t="s">
        <v>74</v>
      </c>
      <c r="BR98" s="2" t="s">
        <v>74</v>
      </c>
      <c r="BS98" s="2" t="s">
        <v>4231</v>
      </c>
      <c r="BT98" s="2" t="str">
        <f>HYPERLINK("https%3A%2F%2Fwww.webofscience.com%2Fwos%2Fwoscc%2Ffull-record%2FWOS:A1978EY03400006","View Full Record in Web of Science")</f>
        <v>View Full Record in Web of Science</v>
      </c>
    </row>
    <row r="99" spans="1:314" s="2" customFormat="1" x14ac:dyDescent="0.4">
      <c r="A99" s="2" t="s">
        <v>72</v>
      </c>
      <c r="B99" s="2" t="s">
        <v>6117</v>
      </c>
      <c r="C99" s="2" t="s">
        <v>74</v>
      </c>
      <c r="D99" s="2" t="s">
        <v>74</v>
      </c>
      <c r="E99" s="2" t="s">
        <v>74</v>
      </c>
      <c r="F99" s="2" t="s">
        <v>6117</v>
      </c>
      <c r="G99" s="2" t="s">
        <v>74</v>
      </c>
      <c r="H99" s="2" t="s">
        <v>74</v>
      </c>
      <c r="I99" s="2" t="s">
        <v>6118</v>
      </c>
      <c r="J99" s="2" t="s">
        <v>431</v>
      </c>
      <c r="K99" s="2" t="s">
        <v>74</v>
      </c>
      <c r="L99" s="2" t="s">
        <v>74</v>
      </c>
      <c r="M99" s="2" t="s">
        <v>74</v>
      </c>
      <c r="N99" s="2" t="s">
        <v>74</v>
      </c>
      <c r="O99" s="2" t="s">
        <v>74</v>
      </c>
      <c r="P99" s="2" t="s">
        <v>74</v>
      </c>
      <c r="Q99" s="2" t="s">
        <v>74</v>
      </c>
      <c r="R99" s="2" t="s">
        <v>74</v>
      </c>
      <c r="S99" s="2" t="s">
        <v>74</v>
      </c>
      <c r="T99" s="2" t="s">
        <v>74</v>
      </c>
      <c r="U99" s="2" t="s">
        <v>74</v>
      </c>
      <c r="V99" s="5" t="s">
        <v>6119</v>
      </c>
      <c r="W99" s="2" t="s">
        <v>74</v>
      </c>
      <c r="X99" s="2" t="s">
        <v>74</v>
      </c>
      <c r="Y99" s="2" t="s">
        <v>74</v>
      </c>
      <c r="Z99" s="2" t="s">
        <v>74</v>
      </c>
      <c r="AA99" s="2" t="s">
        <v>74</v>
      </c>
      <c r="AB99" s="2" t="s">
        <v>74</v>
      </c>
      <c r="AC99" s="2" t="s">
        <v>74</v>
      </c>
      <c r="AD99" s="2" t="s">
        <v>74</v>
      </c>
      <c r="AE99" s="2" t="s">
        <v>74</v>
      </c>
      <c r="AF99" s="2" t="s">
        <v>74</v>
      </c>
      <c r="AG99" s="2" t="s">
        <v>74</v>
      </c>
      <c r="AH99" s="2" t="s">
        <v>74</v>
      </c>
      <c r="AI99" s="2" t="s">
        <v>74</v>
      </c>
      <c r="AJ99" s="2" t="s">
        <v>74</v>
      </c>
      <c r="AK99" s="2" t="s">
        <v>74</v>
      </c>
      <c r="AL99" s="2" t="s">
        <v>74</v>
      </c>
      <c r="AM99" s="2" t="s">
        <v>74</v>
      </c>
      <c r="AN99" s="2" t="s">
        <v>74</v>
      </c>
      <c r="AO99" s="2" t="s">
        <v>74</v>
      </c>
      <c r="AP99" s="2" t="s">
        <v>435</v>
      </c>
      <c r="AQ99" s="2" t="s">
        <v>74</v>
      </c>
      <c r="AR99" s="2" t="s">
        <v>74</v>
      </c>
      <c r="AS99" s="2" t="s">
        <v>74</v>
      </c>
      <c r="AT99" s="2" t="s">
        <v>175</v>
      </c>
      <c r="AU99" s="2">
        <v>1987</v>
      </c>
      <c r="AV99" s="2">
        <v>104</v>
      </c>
      <c r="AW99" s="2">
        <v>4</v>
      </c>
      <c r="AX99" s="2" t="s">
        <v>74</v>
      </c>
      <c r="AY99" s="2" t="s">
        <v>74</v>
      </c>
      <c r="AZ99" s="2" t="s">
        <v>74</v>
      </c>
      <c r="BA99" s="2" t="s">
        <v>74</v>
      </c>
      <c r="BB99" s="2">
        <v>717</v>
      </c>
      <c r="BC99" s="2">
        <v>723</v>
      </c>
      <c r="BD99" s="2" t="s">
        <v>74</v>
      </c>
      <c r="BE99" s="2" t="s">
        <v>6120</v>
      </c>
      <c r="BF99" s="2" t="str">
        <f>HYPERLINK("http://dx.doi.org/10.1093/auk/104.4.717","http://dx.doi.org/10.1093/auk/104.4.717")</f>
        <v>http://dx.doi.org/10.1093/auk/104.4.717</v>
      </c>
      <c r="BG99" s="2" t="s">
        <v>74</v>
      </c>
      <c r="BH99" s="2" t="s">
        <v>74</v>
      </c>
      <c r="BI99" s="2" t="s">
        <v>74</v>
      </c>
      <c r="BJ99" s="2" t="s">
        <v>74</v>
      </c>
      <c r="BK99" s="2" t="s">
        <v>74</v>
      </c>
      <c r="BL99" s="2" t="s">
        <v>74</v>
      </c>
      <c r="BM99" s="2" t="s">
        <v>74</v>
      </c>
      <c r="BN99" s="2" t="s">
        <v>74</v>
      </c>
      <c r="BO99" s="2" t="s">
        <v>74</v>
      </c>
      <c r="BP99" s="2" t="s">
        <v>74</v>
      </c>
      <c r="BQ99" s="2" t="s">
        <v>74</v>
      </c>
      <c r="BR99" s="2" t="s">
        <v>74</v>
      </c>
      <c r="BS99" s="2" t="s">
        <v>6121</v>
      </c>
      <c r="BT99" s="2" t="str">
        <f>HYPERLINK("https%3A%2F%2Fwww.webofscience.com%2Fwos%2Fwoscc%2Ffull-record%2FWOS:A1987K764400015","View Full Record in Web of Science")</f>
        <v>View Full Record in Web of Science</v>
      </c>
    </row>
    <row r="100" spans="1:314" s="2" customFormat="1" x14ac:dyDescent="0.4">
      <c r="A100" s="2" t="s">
        <v>72</v>
      </c>
      <c r="B100" s="2" t="s">
        <v>6276</v>
      </c>
      <c r="C100" s="2" t="s">
        <v>74</v>
      </c>
      <c r="D100" s="2" t="s">
        <v>74</v>
      </c>
      <c r="E100" s="2" t="s">
        <v>74</v>
      </c>
      <c r="F100" s="2" t="s">
        <v>6276</v>
      </c>
      <c r="G100" s="2" t="s">
        <v>74</v>
      </c>
      <c r="H100" s="2" t="s">
        <v>74</v>
      </c>
      <c r="I100" s="2" t="s">
        <v>6277</v>
      </c>
      <c r="J100" s="2" t="s">
        <v>6278</v>
      </c>
      <c r="K100" s="2" t="s">
        <v>74</v>
      </c>
      <c r="L100" s="2" t="s">
        <v>74</v>
      </c>
      <c r="M100" s="2" t="s">
        <v>74</v>
      </c>
      <c r="N100" s="2" t="s">
        <v>74</v>
      </c>
      <c r="O100" s="2" t="s">
        <v>74</v>
      </c>
      <c r="P100" s="2" t="s">
        <v>74</v>
      </c>
      <c r="Q100" s="2" t="s">
        <v>74</v>
      </c>
      <c r="R100" s="2" t="s">
        <v>74</v>
      </c>
      <c r="S100" s="2" t="s">
        <v>74</v>
      </c>
      <c r="T100" s="2" t="s">
        <v>74</v>
      </c>
      <c r="U100" s="2" t="s">
        <v>74</v>
      </c>
      <c r="V100" s="5" t="s">
        <v>6279</v>
      </c>
      <c r="W100" s="2" t="s">
        <v>74</v>
      </c>
      <c r="X100" s="2" t="s">
        <v>74</v>
      </c>
      <c r="Y100" s="2" t="s">
        <v>74</v>
      </c>
      <c r="Z100" s="2" t="s">
        <v>74</v>
      </c>
      <c r="AA100" s="2" t="s">
        <v>74</v>
      </c>
      <c r="AB100" s="2" t="s">
        <v>74</v>
      </c>
      <c r="AC100" s="2" t="s">
        <v>74</v>
      </c>
      <c r="AD100" s="2" t="s">
        <v>74</v>
      </c>
      <c r="AE100" s="2" t="s">
        <v>74</v>
      </c>
      <c r="AF100" s="2" t="s">
        <v>74</v>
      </c>
      <c r="AG100" s="2" t="s">
        <v>74</v>
      </c>
      <c r="AH100" s="2" t="s">
        <v>74</v>
      </c>
      <c r="AI100" s="2" t="s">
        <v>74</v>
      </c>
      <c r="AJ100" s="2" t="s">
        <v>74</v>
      </c>
      <c r="AK100" s="2" t="s">
        <v>74</v>
      </c>
      <c r="AL100" s="2" t="s">
        <v>74</v>
      </c>
      <c r="AM100" s="2" t="s">
        <v>74</v>
      </c>
      <c r="AN100" s="2" t="s">
        <v>74</v>
      </c>
      <c r="AO100" s="2" t="s">
        <v>6280</v>
      </c>
      <c r="AP100" s="2" t="s">
        <v>6281</v>
      </c>
      <c r="AQ100" s="2" t="s">
        <v>74</v>
      </c>
      <c r="AR100" s="2" t="s">
        <v>74</v>
      </c>
      <c r="AS100" s="2" t="s">
        <v>74</v>
      </c>
      <c r="AT100" s="2" t="s">
        <v>145</v>
      </c>
      <c r="AU100" s="2">
        <v>1989</v>
      </c>
      <c r="AV100" s="2">
        <v>46</v>
      </c>
      <c r="AW100" s="2">
        <v>8</v>
      </c>
      <c r="AX100" s="2" t="s">
        <v>74</v>
      </c>
      <c r="AY100" s="2" t="s">
        <v>74</v>
      </c>
      <c r="AZ100" s="2" t="s">
        <v>74</v>
      </c>
      <c r="BA100" s="2" t="s">
        <v>74</v>
      </c>
      <c r="BB100" s="2">
        <v>1406</v>
      </c>
      <c r="BC100" s="2">
        <v>1414</v>
      </c>
      <c r="BD100" s="2" t="s">
        <v>74</v>
      </c>
      <c r="BE100" s="2" t="s">
        <v>6282</v>
      </c>
      <c r="BF100" s="2" t="str">
        <f>HYPERLINK("http://dx.doi.org/10.1139/f89-180","http://dx.doi.org/10.1139/f89-180")</f>
        <v>http://dx.doi.org/10.1139/f89-180</v>
      </c>
      <c r="BG100" s="2" t="s">
        <v>74</v>
      </c>
      <c r="BH100" s="2" t="s">
        <v>74</v>
      </c>
      <c r="BI100" s="2" t="s">
        <v>74</v>
      </c>
      <c r="BJ100" s="2" t="s">
        <v>74</v>
      </c>
      <c r="BK100" s="2" t="s">
        <v>74</v>
      </c>
      <c r="BL100" s="2" t="s">
        <v>74</v>
      </c>
      <c r="BM100" s="2" t="s">
        <v>74</v>
      </c>
      <c r="BN100" s="2" t="s">
        <v>74</v>
      </c>
      <c r="BO100" s="2" t="s">
        <v>74</v>
      </c>
      <c r="BP100" s="2" t="s">
        <v>74</v>
      </c>
      <c r="BQ100" s="2" t="s">
        <v>74</v>
      </c>
      <c r="BR100" s="2" t="s">
        <v>74</v>
      </c>
      <c r="BS100" s="2" t="s">
        <v>6283</v>
      </c>
      <c r="BT100" s="2" t="str">
        <f>HYPERLINK("https%3A%2F%2Fwww.webofscience.com%2Fwos%2Fwoscc%2Ffull-record%2FWOS:A1989AJ57000018","View Full Record in Web of Science")</f>
        <v>View Full Record in Web of Science</v>
      </c>
    </row>
    <row r="101" spans="1:314" s="2" customFormat="1" x14ac:dyDescent="0.4">
      <c r="A101" s="2" t="s">
        <v>72</v>
      </c>
      <c r="B101" s="2" t="s">
        <v>515</v>
      </c>
      <c r="C101" s="2" t="s">
        <v>74</v>
      </c>
      <c r="D101" s="2" t="s">
        <v>74</v>
      </c>
      <c r="E101" s="2" t="s">
        <v>74</v>
      </c>
      <c r="F101" s="2" t="s">
        <v>515</v>
      </c>
      <c r="G101" s="2" t="s">
        <v>74</v>
      </c>
      <c r="H101" s="2" t="s">
        <v>74</v>
      </c>
      <c r="I101" s="2" t="s">
        <v>516</v>
      </c>
      <c r="J101" s="2" t="s">
        <v>517</v>
      </c>
      <c r="K101" s="2" t="s">
        <v>74</v>
      </c>
      <c r="L101" s="2" t="s">
        <v>74</v>
      </c>
      <c r="M101" s="2" t="s">
        <v>74</v>
      </c>
      <c r="N101" s="2" t="s">
        <v>74</v>
      </c>
      <c r="O101" s="2" t="s">
        <v>518</v>
      </c>
      <c r="P101" s="2" t="s">
        <v>519</v>
      </c>
      <c r="Q101" s="2" t="s">
        <v>520</v>
      </c>
      <c r="R101" s="2" t="s">
        <v>521</v>
      </c>
      <c r="S101" s="2" t="s">
        <v>74</v>
      </c>
      <c r="T101" s="2" t="s">
        <v>74</v>
      </c>
      <c r="U101" s="2" t="s">
        <v>74</v>
      </c>
      <c r="V101" s="5" t="s">
        <v>522</v>
      </c>
      <c r="W101" s="2" t="s">
        <v>74</v>
      </c>
      <c r="X101" s="2" t="s">
        <v>74</v>
      </c>
      <c r="Y101" s="2" t="s">
        <v>74</v>
      </c>
      <c r="Z101" s="2" t="s">
        <v>74</v>
      </c>
      <c r="AA101" s="2" t="s">
        <v>523</v>
      </c>
      <c r="AB101" s="2" t="s">
        <v>524</v>
      </c>
      <c r="AC101" s="2" t="s">
        <v>74</v>
      </c>
      <c r="AD101" s="2" t="s">
        <v>74</v>
      </c>
      <c r="AE101" s="2" t="s">
        <v>74</v>
      </c>
      <c r="AF101" s="2" t="s">
        <v>74</v>
      </c>
      <c r="AG101" s="2" t="s">
        <v>74</v>
      </c>
      <c r="AH101" s="2" t="s">
        <v>74</v>
      </c>
      <c r="AI101" s="2" t="s">
        <v>74</v>
      </c>
      <c r="AJ101" s="2" t="s">
        <v>74</v>
      </c>
      <c r="AK101" s="2" t="s">
        <v>74</v>
      </c>
      <c r="AL101" s="2" t="s">
        <v>74</v>
      </c>
      <c r="AM101" s="2" t="s">
        <v>74</v>
      </c>
      <c r="AN101" s="2" t="s">
        <v>74</v>
      </c>
      <c r="AO101" s="2" t="s">
        <v>525</v>
      </c>
      <c r="AP101" s="2" t="s">
        <v>74</v>
      </c>
      <c r="AQ101" s="2" t="s">
        <v>74</v>
      </c>
      <c r="AR101" s="2" t="s">
        <v>74</v>
      </c>
      <c r="AS101" s="2" t="s">
        <v>74</v>
      </c>
      <c r="AT101" s="2" t="s">
        <v>305</v>
      </c>
      <c r="AU101" s="2">
        <v>2003</v>
      </c>
      <c r="AV101" s="2">
        <v>36</v>
      </c>
      <c r="AW101" s="2">
        <v>12</v>
      </c>
      <c r="AX101" s="2" t="s">
        <v>74</v>
      </c>
      <c r="AY101" s="2" t="s">
        <v>74</v>
      </c>
      <c r="AZ101" s="2" t="s">
        <v>74</v>
      </c>
      <c r="BA101" s="2" t="s">
        <v>74</v>
      </c>
      <c r="BB101" s="2">
        <v>1659</v>
      </c>
      <c r="BC101" s="2">
        <v>1663</v>
      </c>
      <c r="BD101" s="2" t="s">
        <v>74</v>
      </c>
      <c r="BE101" s="2" t="s">
        <v>526</v>
      </c>
      <c r="BF101" s="2" t="str">
        <f>HYPERLINK("http://dx.doi.org/10.1590/S0100-879X2003001200007","http://dx.doi.org/10.1590/S0100-879X2003001200007")</f>
        <v>http://dx.doi.org/10.1590/S0100-879X2003001200007</v>
      </c>
      <c r="BG101" s="2" t="s">
        <v>74</v>
      </c>
      <c r="BH101" s="2" t="s">
        <v>74</v>
      </c>
      <c r="BI101" s="2" t="s">
        <v>74</v>
      </c>
      <c r="BJ101" s="2" t="s">
        <v>74</v>
      </c>
      <c r="BK101" s="2" t="s">
        <v>74</v>
      </c>
      <c r="BL101" s="2" t="s">
        <v>74</v>
      </c>
      <c r="BM101" s="2" t="s">
        <v>74</v>
      </c>
      <c r="BN101" s="2">
        <v>14666250</v>
      </c>
      <c r="BO101" s="2" t="s">
        <v>74</v>
      </c>
      <c r="BP101" s="2" t="s">
        <v>74</v>
      </c>
      <c r="BQ101" s="2" t="s">
        <v>74</v>
      </c>
      <c r="BR101" s="2" t="s">
        <v>74</v>
      </c>
      <c r="BS101" s="2" t="s">
        <v>527</v>
      </c>
      <c r="BT101" s="2" t="str">
        <f>HYPERLINK("https%3A%2F%2Fwww.webofscience.com%2Fwos%2Fwoscc%2Ffull-record%2FWOS:000187175000007","View Full Record in Web of Science")</f>
        <v>View Full Record in Web of Science</v>
      </c>
    </row>
    <row r="102" spans="1:314" s="2" customFormat="1" x14ac:dyDescent="0.4">
      <c r="A102" s="2" t="s">
        <v>72</v>
      </c>
      <c r="B102" s="2" t="s">
        <v>1734</v>
      </c>
      <c r="C102" s="2" t="s">
        <v>74</v>
      </c>
      <c r="D102" s="2" t="s">
        <v>74</v>
      </c>
      <c r="E102" s="2" t="s">
        <v>74</v>
      </c>
      <c r="F102" s="2" t="s">
        <v>1735</v>
      </c>
      <c r="G102" s="2" t="s">
        <v>74</v>
      </c>
      <c r="H102" s="2" t="s">
        <v>74</v>
      </c>
      <c r="I102" s="2" t="s">
        <v>1736</v>
      </c>
      <c r="J102" s="2" t="s">
        <v>610</v>
      </c>
      <c r="K102" s="2" t="s">
        <v>74</v>
      </c>
      <c r="L102" s="2" t="s">
        <v>74</v>
      </c>
      <c r="M102" s="2" t="s">
        <v>74</v>
      </c>
      <c r="N102" s="2" t="s">
        <v>74</v>
      </c>
      <c r="O102" s="2" t="s">
        <v>74</v>
      </c>
      <c r="P102" s="2" t="s">
        <v>74</v>
      </c>
      <c r="Q102" s="2" t="s">
        <v>74</v>
      </c>
      <c r="R102" s="2" t="s">
        <v>74</v>
      </c>
      <c r="S102" s="2" t="s">
        <v>74</v>
      </c>
      <c r="T102" s="2" t="s">
        <v>74</v>
      </c>
      <c r="U102" s="2" t="s">
        <v>74</v>
      </c>
      <c r="V102" s="5" t="s">
        <v>1737</v>
      </c>
      <c r="W102" s="2" t="s">
        <v>74</v>
      </c>
      <c r="X102" s="2" t="s">
        <v>74</v>
      </c>
      <c r="Y102" s="2" t="s">
        <v>74</v>
      </c>
      <c r="Z102" s="2" t="s">
        <v>74</v>
      </c>
      <c r="AA102" s="2" t="s">
        <v>589</v>
      </c>
      <c r="AB102" s="2" t="s">
        <v>590</v>
      </c>
      <c r="AC102" s="2" t="s">
        <v>74</v>
      </c>
      <c r="AD102" s="2" t="s">
        <v>74</v>
      </c>
      <c r="AE102" s="2" t="s">
        <v>74</v>
      </c>
      <c r="AF102" s="2" t="s">
        <v>74</v>
      </c>
      <c r="AG102" s="2" t="s">
        <v>74</v>
      </c>
      <c r="AH102" s="2" t="s">
        <v>74</v>
      </c>
      <c r="AI102" s="2" t="s">
        <v>74</v>
      </c>
      <c r="AJ102" s="2" t="s">
        <v>74</v>
      </c>
      <c r="AK102" s="2" t="s">
        <v>74</v>
      </c>
      <c r="AL102" s="2" t="s">
        <v>74</v>
      </c>
      <c r="AM102" s="2" t="s">
        <v>74</v>
      </c>
      <c r="AN102" s="2" t="s">
        <v>74</v>
      </c>
      <c r="AO102" s="2" t="s">
        <v>614</v>
      </c>
      <c r="AP102" s="2" t="s">
        <v>615</v>
      </c>
      <c r="AQ102" s="2" t="s">
        <v>74</v>
      </c>
      <c r="AR102" s="2" t="s">
        <v>74</v>
      </c>
      <c r="AS102" s="2" t="s">
        <v>74</v>
      </c>
      <c r="AT102" s="2" t="s">
        <v>305</v>
      </c>
      <c r="AU102" s="2">
        <v>2020</v>
      </c>
      <c r="AV102" s="2">
        <v>126</v>
      </c>
      <c r="AW102" s="2">
        <v>12</v>
      </c>
      <c r="AX102" s="2" t="s">
        <v>74</v>
      </c>
      <c r="AY102" s="2" t="s">
        <v>74</v>
      </c>
      <c r="AZ102" s="2" t="s">
        <v>74</v>
      </c>
      <c r="BA102" s="2" t="s">
        <v>74</v>
      </c>
      <c r="BB102" s="2">
        <v>1131</v>
      </c>
      <c r="BC102" s="2">
        <v>1140</v>
      </c>
      <c r="BD102" s="2" t="s">
        <v>74</v>
      </c>
      <c r="BE102" s="2" t="s">
        <v>1738</v>
      </c>
      <c r="BF102" s="2" t="str">
        <f>HYPERLINK("http://dx.doi.org/10.1111/eth.13093","http://dx.doi.org/10.1111/eth.13093")</f>
        <v>http://dx.doi.org/10.1111/eth.13093</v>
      </c>
      <c r="BG102" s="2" t="s">
        <v>74</v>
      </c>
      <c r="BH102" s="2" t="s">
        <v>1067</v>
      </c>
      <c r="BI102" s="2" t="s">
        <v>74</v>
      </c>
      <c r="BJ102" s="2" t="s">
        <v>74</v>
      </c>
      <c r="BK102" s="2" t="s">
        <v>74</v>
      </c>
      <c r="BL102" s="2" t="s">
        <v>74</v>
      </c>
      <c r="BM102" s="2" t="s">
        <v>74</v>
      </c>
      <c r="BN102" s="2" t="s">
        <v>74</v>
      </c>
      <c r="BO102" s="2" t="s">
        <v>74</v>
      </c>
      <c r="BP102" s="2" t="s">
        <v>74</v>
      </c>
      <c r="BQ102" s="2" t="s">
        <v>74</v>
      </c>
      <c r="BR102" s="2" t="s">
        <v>74</v>
      </c>
      <c r="BS102" s="2" t="s">
        <v>1739</v>
      </c>
      <c r="BT102" s="2" t="str">
        <f>HYPERLINK("https%3A%2F%2Fwww.webofscience.com%2Fwos%2Fwoscc%2Ffull-record%2FWOS:000572325900001","View Full Record in Web of Science")</f>
        <v>View Full Record in Web of Science</v>
      </c>
    </row>
    <row r="103" spans="1:314" s="2" customFormat="1" x14ac:dyDescent="0.4">
      <c r="A103" s="2" t="s">
        <v>72</v>
      </c>
      <c r="B103" s="2" t="s">
        <v>3562</v>
      </c>
      <c r="C103" s="2" t="s">
        <v>74</v>
      </c>
      <c r="D103" s="2" t="s">
        <v>74</v>
      </c>
      <c r="E103" s="2" t="s">
        <v>74</v>
      </c>
      <c r="F103" s="2" t="s">
        <v>3563</v>
      </c>
      <c r="G103" s="2" t="s">
        <v>74</v>
      </c>
      <c r="H103" s="2" t="s">
        <v>74</v>
      </c>
      <c r="I103" s="2" t="s">
        <v>3564</v>
      </c>
      <c r="J103" s="2" t="s">
        <v>129</v>
      </c>
      <c r="K103" s="2" t="s">
        <v>74</v>
      </c>
      <c r="L103" s="2" t="s">
        <v>74</v>
      </c>
      <c r="M103" s="2" t="s">
        <v>74</v>
      </c>
      <c r="N103" s="2" t="s">
        <v>74</v>
      </c>
      <c r="O103" s="2" t="s">
        <v>74</v>
      </c>
      <c r="P103" s="2" t="s">
        <v>74</v>
      </c>
      <c r="Q103" s="2" t="s">
        <v>74</v>
      </c>
      <c r="R103" s="2" t="s">
        <v>74</v>
      </c>
      <c r="S103" s="2" t="s">
        <v>74</v>
      </c>
      <c r="T103" s="2" t="s">
        <v>74</v>
      </c>
      <c r="U103" s="2" t="s">
        <v>74</v>
      </c>
      <c r="V103" s="5" t="s">
        <v>3565</v>
      </c>
      <c r="W103" s="2" t="s">
        <v>74</v>
      </c>
      <c r="X103" s="2" t="s">
        <v>74</v>
      </c>
      <c r="Y103" s="2" t="s">
        <v>74</v>
      </c>
      <c r="Z103" s="2" t="s">
        <v>74</v>
      </c>
      <c r="AA103" s="2" t="s">
        <v>3566</v>
      </c>
      <c r="AB103" s="2" t="s">
        <v>3567</v>
      </c>
      <c r="AC103" s="2" t="s">
        <v>74</v>
      </c>
      <c r="AD103" s="2" t="s">
        <v>74</v>
      </c>
      <c r="AE103" s="2" t="s">
        <v>74</v>
      </c>
      <c r="AF103" s="2" t="s">
        <v>74</v>
      </c>
      <c r="AG103" s="2" t="s">
        <v>74</v>
      </c>
      <c r="AH103" s="2" t="s">
        <v>74</v>
      </c>
      <c r="AI103" s="2" t="s">
        <v>74</v>
      </c>
      <c r="AJ103" s="2" t="s">
        <v>74</v>
      </c>
      <c r="AK103" s="2" t="s">
        <v>74</v>
      </c>
      <c r="AL103" s="2" t="s">
        <v>74</v>
      </c>
      <c r="AM103" s="2" t="s">
        <v>74</v>
      </c>
      <c r="AN103" s="2" t="s">
        <v>74</v>
      </c>
      <c r="AO103" s="2" t="s">
        <v>132</v>
      </c>
      <c r="AP103" s="2" t="s">
        <v>133</v>
      </c>
      <c r="AQ103" s="2" t="s">
        <v>74</v>
      </c>
      <c r="AR103" s="2" t="s">
        <v>74</v>
      </c>
      <c r="AS103" s="2" t="s">
        <v>74</v>
      </c>
      <c r="AT103" s="2" t="s">
        <v>204</v>
      </c>
      <c r="AU103" s="2">
        <v>2018</v>
      </c>
      <c r="AV103" s="2">
        <v>72</v>
      </c>
      <c r="AW103" s="2">
        <v>7</v>
      </c>
      <c r="AX103" s="2" t="s">
        <v>74</v>
      </c>
      <c r="AY103" s="2" t="s">
        <v>74</v>
      </c>
      <c r="AZ103" s="2" t="s">
        <v>74</v>
      </c>
      <c r="BA103" s="2" t="s">
        <v>74</v>
      </c>
      <c r="BB103" s="2" t="s">
        <v>74</v>
      </c>
      <c r="BC103" s="2" t="s">
        <v>74</v>
      </c>
      <c r="BD103" s="2">
        <v>122</v>
      </c>
      <c r="BE103" s="2" t="s">
        <v>3568</v>
      </c>
      <c r="BF103" s="2" t="str">
        <f>HYPERLINK("http://dx.doi.org/10.1007/s00265-018-2537-z","http://dx.doi.org/10.1007/s00265-018-2537-z")</f>
        <v>http://dx.doi.org/10.1007/s00265-018-2537-z</v>
      </c>
      <c r="BG103" s="2" t="s">
        <v>74</v>
      </c>
      <c r="BH103" s="2" t="s">
        <v>74</v>
      </c>
      <c r="BI103" s="2" t="s">
        <v>74</v>
      </c>
      <c r="BJ103" s="2" t="s">
        <v>74</v>
      </c>
      <c r="BK103" s="2" t="s">
        <v>74</v>
      </c>
      <c r="BL103" s="2" t="s">
        <v>74</v>
      </c>
      <c r="BM103" s="2" t="s">
        <v>74</v>
      </c>
      <c r="BN103" s="2" t="s">
        <v>74</v>
      </c>
      <c r="BO103" s="2" t="s">
        <v>74</v>
      </c>
      <c r="BP103" s="2" t="s">
        <v>74</v>
      </c>
      <c r="BQ103" s="2" t="s">
        <v>74</v>
      </c>
      <c r="BR103" s="2" t="s">
        <v>74</v>
      </c>
      <c r="BS103" s="2" t="s">
        <v>3569</v>
      </c>
      <c r="BT103" s="2" t="str">
        <f>HYPERLINK("https%3A%2F%2Fwww.webofscience.com%2Fwos%2Fwoscc%2Ffull-record%2FWOS:000437169600001","View Full Record in Web of Science")</f>
        <v>View Full Record in Web of Science</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row>
    <row r="104" spans="1:314" s="2" customFormat="1" x14ac:dyDescent="0.4">
      <c r="A104" s="2" t="s">
        <v>72</v>
      </c>
      <c r="B104" s="2" t="s">
        <v>5798</v>
      </c>
      <c r="C104" s="2" t="s">
        <v>74</v>
      </c>
      <c r="D104" s="2" t="s">
        <v>74</v>
      </c>
      <c r="E104" s="2" t="s">
        <v>74</v>
      </c>
      <c r="F104" s="2" t="s">
        <v>5799</v>
      </c>
      <c r="G104" s="2" t="s">
        <v>74</v>
      </c>
      <c r="H104" s="2" t="s">
        <v>74</v>
      </c>
      <c r="I104" s="2" t="s">
        <v>5800</v>
      </c>
      <c r="J104" s="2" t="s">
        <v>763</v>
      </c>
      <c r="K104" s="2" t="s">
        <v>74</v>
      </c>
      <c r="L104" s="2" t="s">
        <v>74</v>
      </c>
      <c r="M104" s="2" t="s">
        <v>74</v>
      </c>
      <c r="N104" s="2" t="s">
        <v>74</v>
      </c>
      <c r="O104" s="2" t="s">
        <v>74</v>
      </c>
      <c r="P104" s="2" t="s">
        <v>74</v>
      </c>
      <c r="Q104" s="2" t="s">
        <v>74</v>
      </c>
      <c r="R104" s="2" t="s">
        <v>74</v>
      </c>
      <c r="S104" s="2" t="s">
        <v>74</v>
      </c>
      <c r="T104" s="2" t="s">
        <v>74</v>
      </c>
      <c r="U104" s="2" t="s">
        <v>74</v>
      </c>
      <c r="V104" s="5" t="s">
        <v>5801</v>
      </c>
      <c r="W104" s="2" t="s">
        <v>74</v>
      </c>
      <c r="X104" s="2" t="s">
        <v>74</v>
      </c>
      <c r="Y104" s="2" t="s">
        <v>74</v>
      </c>
      <c r="Z104" s="2" t="s">
        <v>74</v>
      </c>
      <c r="AA104" s="2" t="s">
        <v>74</v>
      </c>
      <c r="AB104" s="2" t="s">
        <v>5802</v>
      </c>
      <c r="AC104" s="2" t="s">
        <v>74</v>
      </c>
      <c r="AD104" s="2" t="s">
        <v>74</v>
      </c>
      <c r="AE104" s="2" t="s">
        <v>74</v>
      </c>
      <c r="AF104" s="2" t="s">
        <v>74</v>
      </c>
      <c r="AG104" s="2" t="s">
        <v>74</v>
      </c>
      <c r="AH104" s="2" t="s">
        <v>74</v>
      </c>
      <c r="AI104" s="2" t="s">
        <v>74</v>
      </c>
      <c r="AJ104" s="2" t="s">
        <v>74</v>
      </c>
      <c r="AK104" s="2" t="s">
        <v>74</v>
      </c>
      <c r="AL104" s="2" t="s">
        <v>74</v>
      </c>
      <c r="AM104" s="2" t="s">
        <v>74</v>
      </c>
      <c r="AN104" s="2" t="s">
        <v>74</v>
      </c>
      <c r="AO104" s="2" t="s">
        <v>767</v>
      </c>
      <c r="AP104" s="2" t="s">
        <v>768</v>
      </c>
      <c r="AQ104" s="2" t="s">
        <v>74</v>
      </c>
      <c r="AR104" s="2" t="s">
        <v>74</v>
      </c>
      <c r="AS104" s="2" t="s">
        <v>74</v>
      </c>
      <c r="AT104" s="2" t="s">
        <v>145</v>
      </c>
      <c r="AU104" s="2">
        <v>2019</v>
      </c>
      <c r="AV104" s="2">
        <v>222</v>
      </c>
      <c r="AW104" s="2">
        <v>16</v>
      </c>
      <c r="AX104" s="2" t="s">
        <v>74</v>
      </c>
      <c r="AY104" s="2" t="s">
        <v>74</v>
      </c>
      <c r="AZ104" s="2" t="s">
        <v>74</v>
      </c>
      <c r="BA104" s="2" t="s">
        <v>74</v>
      </c>
      <c r="BB104" s="2" t="s">
        <v>74</v>
      </c>
      <c r="BC104" s="2" t="s">
        <v>74</v>
      </c>
      <c r="BD104" s="2" t="s">
        <v>5803</v>
      </c>
      <c r="BE104" s="2" t="s">
        <v>5804</v>
      </c>
      <c r="BF104" s="2" t="str">
        <f>HYPERLINK("http://dx.doi.org/10.1242/jeb.203414","http://dx.doi.org/10.1242/jeb.203414")</f>
        <v>http://dx.doi.org/10.1242/jeb.203414</v>
      </c>
      <c r="BG104" s="2" t="s">
        <v>74</v>
      </c>
      <c r="BH104" s="2" t="s">
        <v>74</v>
      </c>
      <c r="BI104" s="2" t="s">
        <v>74</v>
      </c>
      <c r="BJ104" s="2" t="s">
        <v>74</v>
      </c>
      <c r="BK104" s="2" t="s">
        <v>74</v>
      </c>
      <c r="BL104" s="2" t="s">
        <v>74</v>
      </c>
      <c r="BM104" s="2" t="s">
        <v>74</v>
      </c>
      <c r="BN104" s="2">
        <v>31315932</v>
      </c>
      <c r="BO104" s="2" t="s">
        <v>74</v>
      </c>
      <c r="BP104" s="2" t="s">
        <v>74</v>
      </c>
      <c r="BQ104" s="2" t="s">
        <v>74</v>
      </c>
      <c r="BR104" s="2" t="s">
        <v>74</v>
      </c>
      <c r="BS104" s="2" t="s">
        <v>5805</v>
      </c>
      <c r="BT104" s="2" t="str">
        <f>HYPERLINK("https%3A%2F%2Fwww.webofscience.com%2Fwos%2Fwoscc%2Ffull-record%2FWOS:000484368200006","View Full Record in Web of Science")</f>
        <v>View Full Record in Web of Science</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row>
    <row r="105" spans="1:314" s="2" customFormat="1" x14ac:dyDescent="0.4">
      <c r="A105" s="2" t="s">
        <v>72</v>
      </c>
      <c r="B105" s="2" t="s">
        <v>6731</v>
      </c>
      <c r="C105" s="2" t="s">
        <v>74</v>
      </c>
      <c r="D105" s="2" t="s">
        <v>74</v>
      </c>
      <c r="E105" s="2" t="s">
        <v>74</v>
      </c>
      <c r="F105" s="2" t="s">
        <v>6732</v>
      </c>
      <c r="G105" s="2" t="s">
        <v>74</v>
      </c>
      <c r="H105" s="2" t="s">
        <v>74</v>
      </c>
      <c r="I105" s="2" t="s">
        <v>6733</v>
      </c>
      <c r="J105" s="2" t="s">
        <v>1656</v>
      </c>
      <c r="K105" s="2" t="s">
        <v>74</v>
      </c>
      <c r="L105" s="2" t="s">
        <v>74</v>
      </c>
      <c r="M105" s="2" t="s">
        <v>74</v>
      </c>
      <c r="N105" s="2" t="s">
        <v>74</v>
      </c>
      <c r="O105" s="2" t="s">
        <v>74</v>
      </c>
      <c r="P105" s="2" t="s">
        <v>74</v>
      </c>
      <c r="Q105" s="2" t="s">
        <v>74</v>
      </c>
      <c r="R105" s="2" t="s">
        <v>74</v>
      </c>
      <c r="S105" s="2" t="s">
        <v>74</v>
      </c>
      <c r="T105" s="2" t="s">
        <v>74</v>
      </c>
      <c r="U105" s="2" t="s">
        <v>74</v>
      </c>
      <c r="V105" s="5" t="s">
        <v>6734</v>
      </c>
      <c r="W105" s="2" t="s">
        <v>74</v>
      </c>
      <c r="X105" s="2" t="s">
        <v>74</v>
      </c>
      <c r="Y105" s="2" t="s">
        <v>74</v>
      </c>
      <c r="Z105" s="2" t="s">
        <v>74</v>
      </c>
      <c r="AA105" s="2" t="s">
        <v>6735</v>
      </c>
      <c r="AB105" s="2" t="s">
        <v>6736</v>
      </c>
      <c r="AC105" s="2" t="s">
        <v>74</v>
      </c>
      <c r="AD105" s="2" t="s">
        <v>74</v>
      </c>
      <c r="AE105" s="2" t="s">
        <v>74</v>
      </c>
      <c r="AF105" s="2" t="s">
        <v>74</v>
      </c>
      <c r="AG105" s="2" t="s">
        <v>74</v>
      </c>
      <c r="AH105" s="2" t="s">
        <v>74</v>
      </c>
      <c r="AI105" s="2" t="s">
        <v>74</v>
      </c>
      <c r="AJ105" s="2" t="s">
        <v>74</v>
      </c>
      <c r="AK105" s="2" t="s">
        <v>74</v>
      </c>
      <c r="AL105" s="2" t="s">
        <v>74</v>
      </c>
      <c r="AM105" s="2" t="s">
        <v>74</v>
      </c>
      <c r="AN105" s="2" t="s">
        <v>74</v>
      </c>
      <c r="AO105" s="2" t="s">
        <v>1658</v>
      </c>
      <c r="AP105" s="2" t="s">
        <v>1659</v>
      </c>
      <c r="AQ105" s="2" t="s">
        <v>74</v>
      </c>
      <c r="AR105" s="2" t="s">
        <v>74</v>
      </c>
      <c r="AS105" s="2" t="s">
        <v>74</v>
      </c>
      <c r="AT105" s="2" t="s">
        <v>4744</v>
      </c>
      <c r="AU105" s="2">
        <v>2017</v>
      </c>
      <c r="AV105" s="2">
        <v>4317</v>
      </c>
      <c r="AW105" s="2">
        <v>1</v>
      </c>
      <c r="AX105" s="2" t="s">
        <v>74</v>
      </c>
      <c r="AY105" s="2" t="s">
        <v>74</v>
      </c>
      <c r="AZ105" s="2" t="s">
        <v>74</v>
      </c>
      <c r="BA105" s="2" t="s">
        <v>74</v>
      </c>
      <c r="BB105" s="2">
        <v>1</v>
      </c>
      <c r="BC105" s="2">
        <v>44</v>
      </c>
      <c r="BD105" s="2" t="s">
        <v>74</v>
      </c>
      <c r="BE105" s="2" t="s">
        <v>6737</v>
      </c>
      <c r="BF105" s="2" t="str">
        <f>HYPERLINK("http://dx.doi.org/10.11646/zootaxa.4317.1.1","http://dx.doi.org/10.11646/zootaxa.4317.1.1")</f>
        <v>http://dx.doi.org/10.11646/zootaxa.4317.1.1</v>
      </c>
      <c r="BG105" s="2" t="s">
        <v>74</v>
      </c>
      <c r="BH105" s="2" t="s">
        <v>74</v>
      </c>
      <c r="BI105" s="2" t="s">
        <v>74</v>
      </c>
      <c r="BJ105" s="2" t="s">
        <v>74</v>
      </c>
      <c r="BK105" s="2" t="s">
        <v>74</v>
      </c>
      <c r="BL105" s="2" t="s">
        <v>74</v>
      </c>
      <c r="BM105" s="2" t="s">
        <v>74</v>
      </c>
      <c r="BN105" s="2" t="s">
        <v>74</v>
      </c>
      <c r="BO105" s="2" t="s">
        <v>74</v>
      </c>
      <c r="BP105" s="2" t="s">
        <v>74</v>
      </c>
      <c r="BQ105" s="2" t="s">
        <v>74</v>
      </c>
      <c r="BR105" s="2" t="s">
        <v>74</v>
      </c>
      <c r="BS105" s="2" t="s">
        <v>6738</v>
      </c>
      <c r="BT105" s="2" t="str">
        <f>HYPERLINK("https%3A%2F%2Fwww.webofscience.com%2Fwos%2Fwoscc%2Ffull-record%2FWOS:000408796800001","View Full Record in Web of Science")</f>
        <v>View Full Record in Web of Science</v>
      </c>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row>
    <row r="106" spans="1:314" s="2" customFormat="1" x14ac:dyDescent="0.4">
      <c r="A106" s="2" t="s">
        <v>72</v>
      </c>
      <c r="B106" s="2" t="s">
        <v>2386</v>
      </c>
      <c r="C106" s="2" t="s">
        <v>74</v>
      </c>
      <c r="D106" s="2" t="s">
        <v>74</v>
      </c>
      <c r="E106" s="2" t="s">
        <v>74</v>
      </c>
      <c r="F106" s="2" t="s">
        <v>2387</v>
      </c>
      <c r="G106" s="2" t="s">
        <v>74</v>
      </c>
      <c r="H106" s="2" t="s">
        <v>74</v>
      </c>
      <c r="I106" s="2" t="s">
        <v>2388</v>
      </c>
      <c r="J106" s="2" t="s">
        <v>1755</v>
      </c>
      <c r="K106" s="2" t="s">
        <v>74</v>
      </c>
      <c r="L106" s="2" t="s">
        <v>74</v>
      </c>
      <c r="M106" s="2" t="s">
        <v>74</v>
      </c>
      <c r="N106" s="2" t="s">
        <v>74</v>
      </c>
      <c r="O106" s="2" t="s">
        <v>74</v>
      </c>
      <c r="P106" s="2" t="s">
        <v>74</v>
      </c>
      <c r="Q106" s="2" t="s">
        <v>74</v>
      </c>
      <c r="R106" s="2" t="s">
        <v>74</v>
      </c>
      <c r="S106" s="2" t="s">
        <v>74</v>
      </c>
      <c r="T106" s="2" t="s">
        <v>74</v>
      </c>
      <c r="U106" s="2" t="s">
        <v>74</v>
      </c>
      <c r="V106" s="5" t="s">
        <v>2389</v>
      </c>
      <c r="W106" s="2" t="s">
        <v>74</v>
      </c>
      <c r="X106" s="2" t="s">
        <v>74</v>
      </c>
      <c r="Y106" s="2" t="s">
        <v>74</v>
      </c>
      <c r="Z106" s="2" t="s">
        <v>74</v>
      </c>
      <c r="AA106" s="2" t="s">
        <v>74</v>
      </c>
      <c r="AB106" s="2" t="s">
        <v>2390</v>
      </c>
      <c r="AC106" s="2" t="s">
        <v>74</v>
      </c>
      <c r="AD106" s="2" t="s">
        <v>74</v>
      </c>
      <c r="AE106" s="2" t="s">
        <v>74</v>
      </c>
      <c r="AF106" s="2" t="s">
        <v>74</v>
      </c>
      <c r="AG106" s="2" t="s">
        <v>74</v>
      </c>
      <c r="AH106" s="2" t="s">
        <v>74</v>
      </c>
      <c r="AI106" s="2" t="s">
        <v>74</v>
      </c>
      <c r="AJ106" s="2" t="s">
        <v>74</v>
      </c>
      <c r="AK106" s="2" t="s">
        <v>74</v>
      </c>
      <c r="AL106" s="2" t="s">
        <v>74</v>
      </c>
      <c r="AM106" s="2" t="s">
        <v>74</v>
      </c>
      <c r="AN106" s="2" t="s">
        <v>74</v>
      </c>
      <c r="AO106" s="2" t="s">
        <v>1759</v>
      </c>
      <c r="AP106" s="2" t="s">
        <v>1760</v>
      </c>
      <c r="AQ106" s="2" t="s">
        <v>74</v>
      </c>
      <c r="AR106" s="2" t="s">
        <v>74</v>
      </c>
      <c r="AS106" s="2" t="s">
        <v>74</v>
      </c>
      <c r="AT106" s="2" t="s">
        <v>123</v>
      </c>
      <c r="AU106" s="2">
        <v>2023</v>
      </c>
      <c r="AV106" s="2">
        <v>36</v>
      </c>
      <c r="AW106" s="2">
        <v>1</v>
      </c>
      <c r="AX106" s="2" t="s">
        <v>74</v>
      </c>
      <c r="AY106" s="2" t="s">
        <v>74</v>
      </c>
      <c r="AZ106" s="2" t="s">
        <v>74</v>
      </c>
      <c r="BA106" s="2" t="s">
        <v>74</v>
      </c>
      <c r="BB106" s="2">
        <v>33</v>
      </c>
      <c r="BC106" s="2">
        <v>44</v>
      </c>
      <c r="BD106" s="2" t="s">
        <v>74</v>
      </c>
      <c r="BE106" s="2" t="s">
        <v>2391</v>
      </c>
      <c r="BF106" s="2" t="str">
        <f>HYPERLINK("http://dx.doi.org/10.1007/s10905-023-09817-8","http://dx.doi.org/10.1007/s10905-023-09817-8")</f>
        <v>http://dx.doi.org/10.1007/s10905-023-09817-8</v>
      </c>
      <c r="BG106" s="2" t="s">
        <v>74</v>
      </c>
      <c r="BH106" s="2" t="s">
        <v>2392</v>
      </c>
      <c r="BI106" s="2" t="s">
        <v>74</v>
      </c>
      <c r="BJ106" s="2" t="s">
        <v>74</v>
      </c>
      <c r="BK106" s="2" t="s">
        <v>74</v>
      </c>
      <c r="BL106" s="2" t="s">
        <v>74</v>
      </c>
      <c r="BM106" s="2" t="s">
        <v>74</v>
      </c>
      <c r="BN106" s="2" t="s">
        <v>74</v>
      </c>
      <c r="BO106" s="2" t="s">
        <v>74</v>
      </c>
      <c r="BP106" s="2" t="s">
        <v>74</v>
      </c>
      <c r="BQ106" s="2" t="s">
        <v>74</v>
      </c>
      <c r="BR106" s="2" t="s">
        <v>74</v>
      </c>
      <c r="BS106" s="2" t="s">
        <v>2393</v>
      </c>
      <c r="BT106" s="2" t="str">
        <f>HYPERLINK("https%3A%2F%2Fwww.webofscience.com%2Fwos%2Fwoscc%2Ffull-record%2FWOS:000922274000001","View Full Record in Web of Science")</f>
        <v>View Full Record in Web of Science</v>
      </c>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row>
    <row r="107" spans="1:314" s="2" customFormat="1" x14ac:dyDescent="0.4">
      <c r="A107" s="2" t="s">
        <v>72</v>
      </c>
      <c r="B107" s="2" t="s">
        <v>3866</v>
      </c>
      <c r="C107" s="2" t="s">
        <v>74</v>
      </c>
      <c r="D107" s="2" t="s">
        <v>74</v>
      </c>
      <c r="E107" s="2" t="s">
        <v>74</v>
      </c>
      <c r="F107" s="2" t="s">
        <v>3867</v>
      </c>
      <c r="G107" s="2" t="s">
        <v>74</v>
      </c>
      <c r="H107" s="2" t="s">
        <v>74</v>
      </c>
      <c r="I107" s="2" t="s">
        <v>3868</v>
      </c>
      <c r="J107" s="2" t="s">
        <v>129</v>
      </c>
      <c r="K107" s="2" t="s">
        <v>74</v>
      </c>
      <c r="L107" s="2" t="s">
        <v>74</v>
      </c>
      <c r="M107" s="2" t="s">
        <v>74</v>
      </c>
      <c r="N107" s="2" t="s">
        <v>74</v>
      </c>
      <c r="O107" s="2" t="s">
        <v>74</v>
      </c>
      <c r="P107" s="2" t="s">
        <v>74</v>
      </c>
      <c r="Q107" s="2" t="s">
        <v>74</v>
      </c>
      <c r="R107" s="2" t="s">
        <v>74</v>
      </c>
      <c r="S107" s="2" t="s">
        <v>74</v>
      </c>
      <c r="T107" s="2" t="s">
        <v>74</v>
      </c>
      <c r="U107" s="2" t="s">
        <v>74</v>
      </c>
      <c r="V107" s="5" t="s">
        <v>3869</v>
      </c>
      <c r="W107" s="2" t="s">
        <v>74</v>
      </c>
      <c r="X107" s="2" t="s">
        <v>74</v>
      </c>
      <c r="Y107" s="2" t="s">
        <v>74</v>
      </c>
      <c r="Z107" s="2" t="s">
        <v>74</v>
      </c>
      <c r="AA107" s="2" t="s">
        <v>3870</v>
      </c>
      <c r="AB107" s="2" t="s">
        <v>3871</v>
      </c>
      <c r="AC107" s="2" t="s">
        <v>74</v>
      </c>
      <c r="AD107" s="2" t="s">
        <v>74</v>
      </c>
      <c r="AE107" s="2" t="s">
        <v>74</v>
      </c>
      <c r="AF107" s="2" t="s">
        <v>74</v>
      </c>
      <c r="AG107" s="2" t="s">
        <v>74</v>
      </c>
      <c r="AH107" s="2" t="s">
        <v>74</v>
      </c>
      <c r="AI107" s="2" t="s">
        <v>74</v>
      </c>
      <c r="AJ107" s="2" t="s">
        <v>74</v>
      </c>
      <c r="AK107" s="2" t="s">
        <v>74</v>
      </c>
      <c r="AL107" s="2" t="s">
        <v>74</v>
      </c>
      <c r="AM107" s="2" t="s">
        <v>74</v>
      </c>
      <c r="AN107" s="2" t="s">
        <v>74</v>
      </c>
      <c r="AO107" s="2" t="s">
        <v>132</v>
      </c>
      <c r="AP107" s="2" t="s">
        <v>133</v>
      </c>
      <c r="AQ107" s="2" t="s">
        <v>74</v>
      </c>
      <c r="AR107" s="2" t="s">
        <v>74</v>
      </c>
      <c r="AS107" s="2" t="s">
        <v>74</v>
      </c>
      <c r="AT107" s="2" t="s">
        <v>134</v>
      </c>
      <c r="AU107" s="2">
        <v>2023</v>
      </c>
      <c r="AV107" s="2">
        <v>77</v>
      </c>
      <c r="AW107" s="2">
        <v>5</v>
      </c>
      <c r="AX107" s="2" t="s">
        <v>74</v>
      </c>
      <c r="AY107" s="2" t="s">
        <v>74</v>
      </c>
      <c r="AZ107" s="2" t="s">
        <v>74</v>
      </c>
      <c r="BA107" s="2" t="s">
        <v>74</v>
      </c>
      <c r="BB107" s="2" t="s">
        <v>74</v>
      </c>
      <c r="BC107" s="2" t="s">
        <v>74</v>
      </c>
      <c r="BD107" s="2">
        <v>57</v>
      </c>
      <c r="BE107" s="2" t="s">
        <v>3872</v>
      </c>
      <c r="BF107" s="2" t="str">
        <f>HYPERLINK("http://dx.doi.org/10.1007/s00265-023-03336-4","http://dx.doi.org/10.1007/s00265-023-03336-4")</f>
        <v>http://dx.doi.org/10.1007/s00265-023-03336-4</v>
      </c>
      <c r="BG107" s="2" t="s">
        <v>74</v>
      </c>
      <c r="BH107" s="2" t="s">
        <v>74</v>
      </c>
      <c r="BI107" s="2" t="s">
        <v>74</v>
      </c>
      <c r="BJ107" s="2" t="s">
        <v>74</v>
      </c>
      <c r="BK107" s="2" t="s">
        <v>74</v>
      </c>
      <c r="BL107" s="2" t="s">
        <v>74</v>
      </c>
      <c r="BM107" s="2" t="s">
        <v>74</v>
      </c>
      <c r="BN107" s="2" t="s">
        <v>74</v>
      </c>
      <c r="BO107" s="2" t="s">
        <v>74</v>
      </c>
      <c r="BP107" s="2" t="s">
        <v>74</v>
      </c>
      <c r="BQ107" s="2" t="s">
        <v>74</v>
      </c>
      <c r="BR107" s="2" t="s">
        <v>74</v>
      </c>
      <c r="BS107" s="2" t="s">
        <v>3873</v>
      </c>
      <c r="BT107" s="2" t="str">
        <f>HYPERLINK("https%3A%2F%2Fwww.webofscience.com%2Fwos%2Fwoscc%2Ffull-record%2FWOS:000993946500002","View Full Record in Web of Science")</f>
        <v>View Full Record in Web of Science</v>
      </c>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row>
    <row r="108" spans="1:314" s="7" customFormat="1" x14ac:dyDescent="0.4">
      <c r="A108" s="2" t="s">
        <v>72</v>
      </c>
      <c r="B108" s="2" t="s">
        <v>5314</v>
      </c>
      <c r="C108" s="2" t="s">
        <v>74</v>
      </c>
      <c r="D108" s="2" t="s">
        <v>74</v>
      </c>
      <c r="E108" s="2" t="s">
        <v>74</v>
      </c>
      <c r="F108" s="2" t="s">
        <v>5314</v>
      </c>
      <c r="G108" s="2" t="s">
        <v>74</v>
      </c>
      <c r="H108" s="2" t="s">
        <v>74</v>
      </c>
      <c r="I108" s="2" t="s">
        <v>5315</v>
      </c>
      <c r="J108" s="2" t="s">
        <v>108</v>
      </c>
      <c r="K108" s="2" t="s">
        <v>74</v>
      </c>
      <c r="L108" s="2" t="s">
        <v>74</v>
      </c>
      <c r="M108" s="2" t="s">
        <v>74</v>
      </c>
      <c r="N108" s="2" t="s">
        <v>74</v>
      </c>
      <c r="O108" s="2" t="s">
        <v>74</v>
      </c>
      <c r="P108" s="2" t="s">
        <v>74</v>
      </c>
      <c r="Q108" s="2" t="s">
        <v>74</v>
      </c>
      <c r="R108" s="2" t="s">
        <v>74</v>
      </c>
      <c r="S108" s="2" t="s">
        <v>74</v>
      </c>
      <c r="T108" s="2" t="s">
        <v>74</v>
      </c>
      <c r="U108" s="2" t="s">
        <v>74</v>
      </c>
      <c r="V108" s="5" t="s">
        <v>5316</v>
      </c>
      <c r="W108" s="2" t="s">
        <v>74</v>
      </c>
      <c r="X108" s="2" t="s">
        <v>74</v>
      </c>
      <c r="Y108" s="2" t="s">
        <v>74</v>
      </c>
      <c r="Z108" s="2" t="s">
        <v>74</v>
      </c>
      <c r="AA108" s="2" t="s">
        <v>5317</v>
      </c>
      <c r="AB108" s="2" t="s">
        <v>5318</v>
      </c>
      <c r="AC108" s="2" t="s">
        <v>74</v>
      </c>
      <c r="AD108" s="2" t="s">
        <v>74</v>
      </c>
      <c r="AE108" s="2" t="s">
        <v>74</v>
      </c>
      <c r="AF108" s="2" t="s">
        <v>74</v>
      </c>
      <c r="AG108" s="2" t="s">
        <v>74</v>
      </c>
      <c r="AH108" s="2" t="s">
        <v>74</v>
      </c>
      <c r="AI108" s="2" t="s">
        <v>74</v>
      </c>
      <c r="AJ108" s="2" t="s">
        <v>74</v>
      </c>
      <c r="AK108" s="2" t="s">
        <v>74</v>
      </c>
      <c r="AL108" s="2" t="s">
        <v>74</v>
      </c>
      <c r="AM108" s="2" t="s">
        <v>74</v>
      </c>
      <c r="AN108" s="2" t="s">
        <v>74</v>
      </c>
      <c r="AO108" s="2" t="s">
        <v>111</v>
      </c>
      <c r="AP108" s="2" t="s">
        <v>74</v>
      </c>
      <c r="AQ108" s="2" t="s">
        <v>74</v>
      </c>
      <c r="AR108" s="2" t="s">
        <v>74</v>
      </c>
      <c r="AS108" s="2" t="s">
        <v>74</v>
      </c>
      <c r="AT108" s="2" t="s">
        <v>5319</v>
      </c>
      <c r="AU108" s="2">
        <v>1994</v>
      </c>
      <c r="AV108" s="2">
        <v>256</v>
      </c>
      <c r="AW108" s="2">
        <v>1346</v>
      </c>
      <c r="AX108" s="2" t="s">
        <v>74</v>
      </c>
      <c r="AY108" s="2" t="s">
        <v>74</v>
      </c>
      <c r="AZ108" s="2" t="s">
        <v>74</v>
      </c>
      <c r="BA108" s="2" t="s">
        <v>74</v>
      </c>
      <c r="BB108" s="2">
        <v>113</v>
      </c>
      <c r="BC108" s="2">
        <v>118</v>
      </c>
      <c r="BD108" s="2" t="s">
        <v>74</v>
      </c>
      <c r="BE108" s="2" t="s">
        <v>5320</v>
      </c>
      <c r="BF108" s="2" t="str">
        <f>HYPERLINK("http://dx.doi.org/10.1098/rspb.1994.0057","http://dx.doi.org/10.1098/rspb.1994.0057")</f>
        <v>http://dx.doi.org/10.1098/rspb.1994.0057</v>
      </c>
      <c r="BG108" s="2" t="s">
        <v>74</v>
      </c>
      <c r="BH108" s="2" t="s">
        <v>74</v>
      </c>
      <c r="BI108" s="2" t="s">
        <v>74</v>
      </c>
      <c r="BJ108" s="2" t="s">
        <v>74</v>
      </c>
      <c r="BK108" s="2" t="s">
        <v>74</v>
      </c>
      <c r="BL108" s="2" t="s">
        <v>74</v>
      </c>
      <c r="BM108" s="2" t="s">
        <v>74</v>
      </c>
      <c r="BN108" s="2" t="s">
        <v>74</v>
      </c>
      <c r="BO108" s="2" t="s">
        <v>74</v>
      </c>
      <c r="BP108" s="2" t="s">
        <v>74</v>
      </c>
      <c r="BQ108" s="2" t="s">
        <v>74</v>
      </c>
      <c r="BR108" s="2" t="s">
        <v>74</v>
      </c>
      <c r="BS108" s="2" t="s">
        <v>5321</v>
      </c>
      <c r="BT108" s="2" t="str">
        <f>HYPERLINK("https%3A%2F%2Fwww.webofscience.com%2Fwos%2Fwoscc%2Ffull-record%2FWOS:A1994NN67200002","View Full Record in Web of Science")</f>
        <v>View Full Record in Web of Science</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row>
    <row r="109" spans="1:314" s="2" customFormat="1" x14ac:dyDescent="0.4">
      <c r="A109" s="2" t="s">
        <v>72</v>
      </c>
      <c r="B109" s="2" t="s">
        <v>3645</v>
      </c>
      <c r="C109" s="2" t="s">
        <v>74</v>
      </c>
      <c r="D109" s="2" t="s">
        <v>74</v>
      </c>
      <c r="E109" s="2" t="s">
        <v>74</v>
      </c>
      <c r="F109" s="2" t="s">
        <v>3646</v>
      </c>
      <c r="G109" s="2" t="s">
        <v>74</v>
      </c>
      <c r="H109" s="2" t="s">
        <v>74</v>
      </c>
      <c r="I109" s="2" t="s">
        <v>3647</v>
      </c>
      <c r="J109" s="2" t="s">
        <v>140</v>
      </c>
      <c r="K109" s="2" t="s">
        <v>74</v>
      </c>
      <c r="L109" s="2" t="s">
        <v>74</v>
      </c>
      <c r="M109" s="2" t="s">
        <v>74</v>
      </c>
      <c r="N109" s="2" t="s">
        <v>74</v>
      </c>
      <c r="O109" s="2" t="s">
        <v>74</v>
      </c>
      <c r="P109" s="2" t="s">
        <v>74</v>
      </c>
      <c r="Q109" s="2" t="s">
        <v>74</v>
      </c>
      <c r="R109" s="2" t="s">
        <v>74</v>
      </c>
      <c r="S109" s="2" t="s">
        <v>74</v>
      </c>
      <c r="T109" s="2" t="s">
        <v>74</v>
      </c>
      <c r="U109" s="2" t="s">
        <v>74</v>
      </c>
      <c r="V109" s="5" t="s">
        <v>3648</v>
      </c>
      <c r="W109" s="2" t="s">
        <v>74</v>
      </c>
      <c r="X109" s="2" t="s">
        <v>74</v>
      </c>
      <c r="Y109" s="2" t="s">
        <v>74</v>
      </c>
      <c r="Z109" s="2" t="s">
        <v>74</v>
      </c>
      <c r="AA109" s="2" t="s">
        <v>74</v>
      </c>
      <c r="AB109" s="2" t="s">
        <v>3649</v>
      </c>
      <c r="AC109" s="2" t="s">
        <v>74</v>
      </c>
      <c r="AD109" s="2" t="s">
        <v>74</v>
      </c>
      <c r="AE109" s="2" t="s">
        <v>74</v>
      </c>
      <c r="AF109" s="2" t="s">
        <v>74</v>
      </c>
      <c r="AG109" s="2" t="s">
        <v>74</v>
      </c>
      <c r="AH109" s="2" t="s">
        <v>74</v>
      </c>
      <c r="AI109" s="2" t="s">
        <v>74</v>
      </c>
      <c r="AJ109" s="2" t="s">
        <v>74</v>
      </c>
      <c r="AK109" s="2" t="s">
        <v>74</v>
      </c>
      <c r="AL109" s="2" t="s">
        <v>74</v>
      </c>
      <c r="AM109" s="2" t="s">
        <v>74</v>
      </c>
      <c r="AN109" s="2" t="s">
        <v>74</v>
      </c>
      <c r="AO109" s="2" t="s">
        <v>143</v>
      </c>
      <c r="AP109" s="2" t="s">
        <v>144</v>
      </c>
      <c r="AQ109" s="2" t="s">
        <v>74</v>
      </c>
      <c r="AR109" s="2" t="s">
        <v>74</v>
      </c>
      <c r="AS109" s="2" t="s">
        <v>74</v>
      </c>
      <c r="AT109" s="2" t="s">
        <v>352</v>
      </c>
      <c r="AU109" s="2">
        <v>2022</v>
      </c>
      <c r="AV109" s="2">
        <v>191</v>
      </c>
      <c r="AW109" s="2" t="s">
        <v>74</v>
      </c>
      <c r="AX109" s="2" t="s">
        <v>74</v>
      </c>
      <c r="AY109" s="2" t="s">
        <v>74</v>
      </c>
      <c r="AZ109" s="2" t="s">
        <v>74</v>
      </c>
      <c r="BA109" s="2" t="s">
        <v>74</v>
      </c>
      <c r="BB109" s="2">
        <v>1</v>
      </c>
      <c r="BC109" s="2">
        <v>13</v>
      </c>
      <c r="BD109" s="2" t="s">
        <v>74</v>
      </c>
      <c r="BE109" s="2" t="s">
        <v>3650</v>
      </c>
      <c r="BF109" s="2" t="str">
        <f>HYPERLINK("http://dx.doi.org/10.1016/j.anbehav.2022.06.013","http://dx.doi.org/10.1016/j.anbehav.2022.06.013")</f>
        <v>http://dx.doi.org/10.1016/j.anbehav.2022.06.013</v>
      </c>
      <c r="BG109" s="2" t="s">
        <v>74</v>
      </c>
      <c r="BH109" s="2" t="s">
        <v>2832</v>
      </c>
      <c r="BI109" s="2" t="s">
        <v>74</v>
      </c>
      <c r="BJ109" s="2" t="s">
        <v>74</v>
      </c>
      <c r="BK109" s="2" t="s">
        <v>74</v>
      </c>
      <c r="BL109" s="2" t="s">
        <v>74</v>
      </c>
      <c r="BM109" s="2" t="s">
        <v>74</v>
      </c>
      <c r="BN109" s="2" t="s">
        <v>74</v>
      </c>
      <c r="BO109" s="2" t="s">
        <v>74</v>
      </c>
      <c r="BP109" s="2" t="s">
        <v>74</v>
      </c>
      <c r="BQ109" s="2" t="s">
        <v>74</v>
      </c>
      <c r="BR109" s="2" t="s">
        <v>74</v>
      </c>
      <c r="BS109" s="2" t="s">
        <v>3651</v>
      </c>
      <c r="BT109" s="2" t="str">
        <f>HYPERLINK("https%3A%2F%2Fwww.webofscience.com%2Fwos%2Fwoscc%2Ffull-record%2FWOS:000860712600001","View Full Record in Web of Science")</f>
        <v>View Full Record in Web of Science</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row>
    <row r="110" spans="1:314" s="2" customFormat="1" x14ac:dyDescent="0.4">
      <c r="A110" s="2" t="s">
        <v>72</v>
      </c>
      <c r="B110" s="2" t="s">
        <v>2740</v>
      </c>
      <c r="C110" s="2" t="s">
        <v>74</v>
      </c>
      <c r="D110" s="2" t="s">
        <v>74</v>
      </c>
      <c r="E110" s="2" t="s">
        <v>74</v>
      </c>
      <c r="F110" s="2" t="s">
        <v>2741</v>
      </c>
      <c r="G110" s="2" t="s">
        <v>74</v>
      </c>
      <c r="H110" s="2" t="s">
        <v>74</v>
      </c>
      <c r="I110" s="2" t="s">
        <v>2742</v>
      </c>
      <c r="J110" s="2" t="s">
        <v>408</v>
      </c>
      <c r="K110" s="2" t="s">
        <v>74</v>
      </c>
      <c r="L110" s="2" t="s">
        <v>74</v>
      </c>
      <c r="M110" s="2" t="s">
        <v>74</v>
      </c>
      <c r="N110" s="2" t="s">
        <v>74</v>
      </c>
      <c r="O110" s="2" t="s">
        <v>74</v>
      </c>
      <c r="P110" s="2" t="s">
        <v>74</v>
      </c>
      <c r="Q110" s="2" t="s">
        <v>74</v>
      </c>
      <c r="R110" s="2" t="s">
        <v>74</v>
      </c>
      <c r="S110" s="2" t="s">
        <v>74</v>
      </c>
      <c r="T110" s="2" t="s">
        <v>74</v>
      </c>
      <c r="U110" s="2" t="s">
        <v>74</v>
      </c>
      <c r="V110" s="5" t="s">
        <v>2743</v>
      </c>
      <c r="W110" s="2" t="s">
        <v>74</v>
      </c>
      <c r="X110" s="2" t="s">
        <v>74</v>
      </c>
      <c r="Y110" s="2" t="s">
        <v>74</v>
      </c>
      <c r="Z110" s="2" t="s">
        <v>74</v>
      </c>
      <c r="AA110" s="2" t="s">
        <v>2744</v>
      </c>
      <c r="AB110" s="2" t="s">
        <v>2745</v>
      </c>
      <c r="AC110" s="2" t="s">
        <v>74</v>
      </c>
      <c r="AD110" s="2" t="s">
        <v>74</v>
      </c>
      <c r="AE110" s="2" t="s">
        <v>74</v>
      </c>
      <c r="AF110" s="2" t="s">
        <v>74</v>
      </c>
      <c r="AG110" s="2" t="s">
        <v>74</v>
      </c>
      <c r="AH110" s="2" t="s">
        <v>74</v>
      </c>
      <c r="AI110" s="2" t="s">
        <v>74</v>
      </c>
      <c r="AJ110" s="2" t="s">
        <v>74</v>
      </c>
      <c r="AK110" s="2" t="s">
        <v>74</v>
      </c>
      <c r="AL110" s="2" t="s">
        <v>74</v>
      </c>
      <c r="AM110" s="2" t="s">
        <v>74</v>
      </c>
      <c r="AN110" s="2" t="s">
        <v>74</v>
      </c>
      <c r="AO110" s="2" t="s">
        <v>412</v>
      </c>
      <c r="AP110" s="2" t="s">
        <v>413</v>
      </c>
      <c r="AQ110" s="2" t="s">
        <v>74</v>
      </c>
      <c r="AR110" s="2" t="s">
        <v>74</v>
      </c>
      <c r="AS110" s="2" t="s">
        <v>74</v>
      </c>
      <c r="AT110" s="2" t="s">
        <v>134</v>
      </c>
      <c r="AU110" s="2">
        <v>2007</v>
      </c>
      <c r="AV110" s="2">
        <v>91</v>
      </c>
      <c r="AW110" s="2">
        <v>1</v>
      </c>
      <c r="AX110" s="2" t="s">
        <v>74</v>
      </c>
      <c r="AY110" s="2" t="s">
        <v>74</v>
      </c>
      <c r="AZ110" s="2" t="s">
        <v>74</v>
      </c>
      <c r="BA110" s="2" t="s">
        <v>74</v>
      </c>
      <c r="BB110" s="2">
        <v>37</v>
      </c>
      <c r="BC110" s="2">
        <v>48</v>
      </c>
      <c r="BD110" s="2" t="s">
        <v>74</v>
      </c>
      <c r="BE110" s="2" t="s">
        <v>2746</v>
      </c>
      <c r="BF110" s="2" t="str">
        <f>HYPERLINK("http://dx.doi.org/10.1111/j.1095-8312.2007.00777.x","http://dx.doi.org/10.1111/j.1095-8312.2007.00777.x")</f>
        <v>http://dx.doi.org/10.1111/j.1095-8312.2007.00777.x</v>
      </c>
      <c r="BG110" s="2" t="s">
        <v>74</v>
      </c>
      <c r="BH110" s="2" t="s">
        <v>74</v>
      </c>
      <c r="BI110" s="2" t="s">
        <v>74</v>
      </c>
      <c r="BJ110" s="2" t="s">
        <v>74</v>
      </c>
      <c r="BK110" s="2" t="s">
        <v>74</v>
      </c>
      <c r="BL110" s="2" t="s">
        <v>74</v>
      </c>
      <c r="BM110" s="2" t="s">
        <v>74</v>
      </c>
      <c r="BN110" s="2" t="s">
        <v>74</v>
      </c>
      <c r="BO110" s="2" t="s">
        <v>74</v>
      </c>
      <c r="BP110" s="2" t="s">
        <v>74</v>
      </c>
      <c r="BQ110" s="2" t="s">
        <v>74</v>
      </c>
      <c r="BR110" s="2" t="s">
        <v>74</v>
      </c>
      <c r="BS110" s="2" t="s">
        <v>2747</v>
      </c>
      <c r="BT110" s="2" t="str">
        <f>HYPERLINK("https%3A%2F%2Fwww.webofscience.com%2Fwos%2Fwoscc%2Ffull-record%2FWOS:000245938100004","View Full Record in Web of Science")</f>
        <v>View Full Record in Web of Science</v>
      </c>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row>
    <row r="111" spans="1:314" s="2" customFormat="1" x14ac:dyDescent="0.4">
      <c r="A111" s="2" t="s">
        <v>72</v>
      </c>
      <c r="B111" s="2" t="s">
        <v>7390</v>
      </c>
      <c r="C111" s="2" t="s">
        <v>74</v>
      </c>
      <c r="D111" s="2" t="s">
        <v>74</v>
      </c>
      <c r="E111" s="2" t="s">
        <v>74</v>
      </c>
      <c r="F111" s="2" t="s">
        <v>7391</v>
      </c>
      <c r="G111" s="2" t="s">
        <v>74</v>
      </c>
      <c r="H111" s="2" t="s">
        <v>74</v>
      </c>
      <c r="I111" s="2" t="s">
        <v>7392</v>
      </c>
      <c r="J111" s="2" t="s">
        <v>7393</v>
      </c>
      <c r="K111" s="2" t="s">
        <v>74</v>
      </c>
      <c r="L111" s="2" t="s">
        <v>74</v>
      </c>
      <c r="M111" s="2" t="s">
        <v>74</v>
      </c>
      <c r="N111" s="2" t="s">
        <v>74</v>
      </c>
      <c r="O111" s="2" t="s">
        <v>74</v>
      </c>
      <c r="P111" s="2" t="s">
        <v>74</v>
      </c>
      <c r="Q111" s="2" t="s">
        <v>74</v>
      </c>
      <c r="R111" s="2" t="s">
        <v>74</v>
      </c>
      <c r="S111" s="2" t="s">
        <v>74</v>
      </c>
      <c r="T111" s="2" t="s">
        <v>74</v>
      </c>
      <c r="U111" s="2" t="s">
        <v>74</v>
      </c>
      <c r="V111" s="5" t="s">
        <v>7394</v>
      </c>
      <c r="W111" s="2" t="s">
        <v>74</v>
      </c>
      <c r="X111" s="2" t="s">
        <v>74</v>
      </c>
      <c r="Y111" s="2" t="s">
        <v>74</v>
      </c>
      <c r="Z111" s="2" t="s">
        <v>74</v>
      </c>
      <c r="AA111" s="2" t="s">
        <v>7395</v>
      </c>
      <c r="AB111" s="2" t="s">
        <v>7396</v>
      </c>
      <c r="AC111" s="2" t="s">
        <v>74</v>
      </c>
      <c r="AD111" s="2" t="s">
        <v>74</v>
      </c>
      <c r="AE111" s="2" t="s">
        <v>74</v>
      </c>
      <c r="AF111" s="2" t="s">
        <v>74</v>
      </c>
      <c r="AG111" s="2" t="s">
        <v>74</v>
      </c>
      <c r="AH111" s="2" t="s">
        <v>74</v>
      </c>
      <c r="AI111" s="2" t="s">
        <v>74</v>
      </c>
      <c r="AJ111" s="2" t="s">
        <v>74</v>
      </c>
      <c r="AK111" s="2" t="s">
        <v>74</v>
      </c>
      <c r="AL111" s="2" t="s">
        <v>74</v>
      </c>
      <c r="AM111" s="2" t="s">
        <v>74</v>
      </c>
      <c r="AN111" s="2" t="s">
        <v>74</v>
      </c>
      <c r="AO111" s="2" t="s">
        <v>7397</v>
      </c>
      <c r="AP111" s="2" t="s">
        <v>7398</v>
      </c>
      <c r="AQ111" s="2" t="s">
        <v>74</v>
      </c>
      <c r="AR111" s="2" t="s">
        <v>74</v>
      </c>
      <c r="AS111" s="2" t="s">
        <v>74</v>
      </c>
      <c r="AT111" s="2" t="s">
        <v>352</v>
      </c>
      <c r="AU111" s="2">
        <v>2019</v>
      </c>
      <c r="AV111" s="2">
        <v>107</v>
      </c>
      <c r="AW111" s="2">
        <v>5</v>
      </c>
      <c r="AX111" s="2" t="s">
        <v>74</v>
      </c>
      <c r="AY111" s="2" t="s">
        <v>74</v>
      </c>
      <c r="AZ111" s="2" t="s">
        <v>74</v>
      </c>
      <c r="BA111" s="2" t="s">
        <v>74</v>
      </c>
      <c r="BB111" s="2">
        <v>2167</v>
      </c>
      <c r="BC111" s="2">
        <v>2181</v>
      </c>
      <c r="BD111" s="2" t="s">
        <v>74</v>
      </c>
      <c r="BE111" s="2" t="s">
        <v>7399</v>
      </c>
      <c r="BF111" s="2" t="str">
        <f>HYPERLINK("http://dx.doi.org/10.1111/1365-2745.13183","http://dx.doi.org/10.1111/1365-2745.13183")</f>
        <v>http://dx.doi.org/10.1111/1365-2745.13183</v>
      </c>
      <c r="BG111" s="2" t="s">
        <v>74</v>
      </c>
      <c r="BH111" s="2" t="s">
        <v>74</v>
      </c>
      <c r="BI111" s="2" t="s">
        <v>74</v>
      </c>
      <c r="BJ111" s="2" t="s">
        <v>74</v>
      </c>
      <c r="BK111" s="2" t="s">
        <v>74</v>
      </c>
      <c r="BL111" s="2" t="s">
        <v>74</v>
      </c>
      <c r="BM111" s="2" t="s">
        <v>74</v>
      </c>
      <c r="BN111" s="2" t="s">
        <v>74</v>
      </c>
      <c r="BO111" s="2" t="s">
        <v>74</v>
      </c>
      <c r="BP111" s="2" t="s">
        <v>74</v>
      </c>
      <c r="BQ111" s="2" t="s">
        <v>74</v>
      </c>
      <c r="BR111" s="2" t="s">
        <v>74</v>
      </c>
      <c r="BS111" s="2" t="s">
        <v>7400</v>
      </c>
      <c r="BT111" s="2" t="str">
        <f>HYPERLINK("https%3A%2F%2Fwww.webofscience.com%2Fwos%2Fwoscc%2Ffull-record%2FWOS:000484311000012","View Full Record in Web of Science")</f>
        <v>View Full Record in Web of Science</v>
      </c>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row>
    <row r="112" spans="1:314" s="2" customFormat="1" x14ac:dyDescent="0.4">
      <c r="A112" s="2" t="s">
        <v>72</v>
      </c>
      <c r="B112" s="2" t="s">
        <v>4653</v>
      </c>
      <c r="C112" s="2" t="s">
        <v>74</v>
      </c>
      <c r="D112" s="2" t="s">
        <v>74</v>
      </c>
      <c r="E112" s="2" t="s">
        <v>74</v>
      </c>
      <c r="F112" s="2" t="s">
        <v>4653</v>
      </c>
      <c r="G112" s="2" t="s">
        <v>74</v>
      </c>
      <c r="H112" s="2" t="s">
        <v>74</v>
      </c>
      <c r="I112" s="2" t="s">
        <v>4654</v>
      </c>
      <c r="J112" s="2" t="s">
        <v>4655</v>
      </c>
      <c r="K112" s="2" t="s">
        <v>74</v>
      </c>
      <c r="L112" s="2" t="s">
        <v>74</v>
      </c>
      <c r="M112" s="2" t="s">
        <v>74</v>
      </c>
      <c r="N112" s="2" t="s">
        <v>74</v>
      </c>
      <c r="O112" s="2" t="s">
        <v>74</v>
      </c>
      <c r="P112" s="2" t="s">
        <v>74</v>
      </c>
      <c r="Q112" s="2" t="s">
        <v>74</v>
      </c>
      <c r="R112" s="2" t="s">
        <v>74</v>
      </c>
      <c r="S112" s="2" t="s">
        <v>74</v>
      </c>
      <c r="T112" s="2" t="s">
        <v>74</v>
      </c>
      <c r="U112" s="2" t="s">
        <v>74</v>
      </c>
      <c r="V112" s="5" t="s">
        <v>4656</v>
      </c>
      <c r="W112" s="2" t="s">
        <v>74</v>
      </c>
      <c r="X112" s="2" t="s">
        <v>74</v>
      </c>
      <c r="Y112" s="2" t="s">
        <v>74</v>
      </c>
      <c r="Z112" s="2" t="s">
        <v>74</v>
      </c>
      <c r="AA112" s="2" t="s">
        <v>74</v>
      </c>
      <c r="AB112" s="2" t="s">
        <v>74</v>
      </c>
      <c r="AC112" s="2" t="s">
        <v>74</v>
      </c>
      <c r="AD112" s="2" t="s">
        <v>74</v>
      </c>
      <c r="AE112" s="2" t="s">
        <v>74</v>
      </c>
      <c r="AF112" s="2" t="s">
        <v>74</v>
      </c>
      <c r="AG112" s="2" t="s">
        <v>74</v>
      </c>
      <c r="AH112" s="2" t="s">
        <v>74</v>
      </c>
      <c r="AI112" s="2" t="s">
        <v>74</v>
      </c>
      <c r="AJ112" s="2" t="s">
        <v>74</v>
      </c>
      <c r="AK112" s="2" t="s">
        <v>74</v>
      </c>
      <c r="AL112" s="2" t="s">
        <v>74</v>
      </c>
      <c r="AM112" s="2" t="s">
        <v>74</v>
      </c>
      <c r="AN112" s="2" t="s">
        <v>74</v>
      </c>
      <c r="AO112" s="2" t="s">
        <v>4657</v>
      </c>
      <c r="AP112" s="2" t="s">
        <v>74</v>
      </c>
      <c r="AQ112" s="2" t="s">
        <v>74</v>
      </c>
      <c r="AR112" s="2" t="s">
        <v>74</v>
      </c>
      <c r="AS112" s="2" t="s">
        <v>74</v>
      </c>
      <c r="AT112" s="2" t="s">
        <v>74</v>
      </c>
      <c r="AU112" s="2">
        <v>1984</v>
      </c>
      <c r="AV112" s="2">
        <v>96</v>
      </c>
      <c r="AW112" s="2">
        <v>4</v>
      </c>
      <c r="AX112" s="2" t="s">
        <v>74</v>
      </c>
      <c r="AY112" s="2" t="s">
        <v>74</v>
      </c>
      <c r="AZ112" s="2" t="s">
        <v>74</v>
      </c>
      <c r="BA112" s="2" t="s">
        <v>74</v>
      </c>
      <c r="BB112" s="2">
        <v>603</v>
      </c>
      <c r="BC112" s="2">
        <v>618</v>
      </c>
      <c r="BD112" s="2" t="s">
        <v>74</v>
      </c>
      <c r="BE112" s="2" t="s">
        <v>74</v>
      </c>
      <c r="BF112" s="2" t="s">
        <v>74</v>
      </c>
      <c r="BG112" s="2" t="s">
        <v>74</v>
      </c>
      <c r="BH112" s="2" t="s">
        <v>74</v>
      </c>
      <c r="BI112" s="2" t="s">
        <v>74</v>
      </c>
      <c r="BJ112" s="2" t="s">
        <v>74</v>
      </c>
      <c r="BK112" s="2" t="s">
        <v>74</v>
      </c>
      <c r="BL112" s="2" t="s">
        <v>74</v>
      </c>
      <c r="BM112" s="2" t="s">
        <v>74</v>
      </c>
      <c r="BN112" s="2" t="s">
        <v>74</v>
      </c>
      <c r="BO112" s="2" t="s">
        <v>74</v>
      </c>
      <c r="BP112" s="2" t="s">
        <v>74</v>
      </c>
      <c r="BQ112" s="2" t="s">
        <v>74</v>
      </c>
      <c r="BR112" s="2" t="s">
        <v>74</v>
      </c>
      <c r="BS112" s="2" t="s">
        <v>4658</v>
      </c>
      <c r="BT112" s="2" t="str">
        <f>HYPERLINK("https%3A%2F%2Fwww.webofscience.com%2Fwos%2Fwoscc%2Ffull-record%2FWOS:A1984ACX3700007","View Full Record in Web of Science")</f>
        <v>View Full Record in Web of Science</v>
      </c>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row>
    <row r="113" spans="1:314" s="2" customFormat="1" x14ac:dyDescent="0.4">
      <c r="A113" s="2" t="s">
        <v>72</v>
      </c>
      <c r="B113" s="2" t="s">
        <v>5607</v>
      </c>
      <c r="C113" s="2" t="s">
        <v>74</v>
      </c>
      <c r="D113" s="2" t="s">
        <v>74</v>
      </c>
      <c r="E113" s="2" t="s">
        <v>74</v>
      </c>
      <c r="F113" s="2" t="s">
        <v>5608</v>
      </c>
      <c r="G113" s="2" t="s">
        <v>74</v>
      </c>
      <c r="H113" s="2" t="s">
        <v>74</v>
      </c>
      <c r="I113" s="2" t="s">
        <v>5609</v>
      </c>
      <c r="J113" s="2" t="s">
        <v>140</v>
      </c>
      <c r="K113" s="2" t="s">
        <v>74</v>
      </c>
      <c r="L113" s="2" t="s">
        <v>74</v>
      </c>
      <c r="M113" s="2" t="s">
        <v>74</v>
      </c>
      <c r="N113" s="2" t="s">
        <v>74</v>
      </c>
      <c r="O113" s="2" t="s">
        <v>74</v>
      </c>
      <c r="P113" s="2" t="s">
        <v>74</v>
      </c>
      <c r="Q113" s="2" t="s">
        <v>74</v>
      </c>
      <c r="R113" s="2" t="s">
        <v>74</v>
      </c>
      <c r="S113" s="2" t="s">
        <v>74</v>
      </c>
      <c r="T113" s="2" t="s">
        <v>74</v>
      </c>
      <c r="U113" s="2" t="s">
        <v>74</v>
      </c>
      <c r="V113" s="5" t="s">
        <v>5610</v>
      </c>
      <c r="W113" s="2" t="s">
        <v>74</v>
      </c>
      <c r="X113" s="2" t="s">
        <v>74</v>
      </c>
      <c r="Y113" s="2" t="s">
        <v>74</v>
      </c>
      <c r="Z113" s="2" t="s">
        <v>74</v>
      </c>
      <c r="AA113" s="2" t="s">
        <v>74</v>
      </c>
      <c r="AB113" s="2" t="s">
        <v>5611</v>
      </c>
      <c r="AC113" s="2" t="s">
        <v>74</v>
      </c>
      <c r="AD113" s="2" t="s">
        <v>74</v>
      </c>
      <c r="AE113" s="2" t="s">
        <v>74</v>
      </c>
      <c r="AF113" s="2" t="s">
        <v>74</v>
      </c>
      <c r="AG113" s="2" t="s">
        <v>74</v>
      </c>
      <c r="AH113" s="2" t="s">
        <v>74</v>
      </c>
      <c r="AI113" s="2" t="s">
        <v>74</v>
      </c>
      <c r="AJ113" s="2" t="s">
        <v>74</v>
      </c>
      <c r="AK113" s="2" t="s">
        <v>74</v>
      </c>
      <c r="AL113" s="2" t="s">
        <v>74</v>
      </c>
      <c r="AM113" s="2" t="s">
        <v>74</v>
      </c>
      <c r="AN113" s="2" t="s">
        <v>74</v>
      </c>
      <c r="AO113" s="2" t="s">
        <v>143</v>
      </c>
      <c r="AP113" s="2" t="s">
        <v>144</v>
      </c>
      <c r="AQ113" s="2" t="s">
        <v>74</v>
      </c>
      <c r="AR113" s="2" t="s">
        <v>74</v>
      </c>
      <c r="AS113" s="2" t="s">
        <v>74</v>
      </c>
      <c r="AT113" s="2" t="s">
        <v>175</v>
      </c>
      <c r="AU113" s="2">
        <v>2021</v>
      </c>
      <c r="AV113" s="2">
        <v>180</v>
      </c>
      <c r="AW113" s="2" t="s">
        <v>74</v>
      </c>
      <c r="AX113" s="2" t="s">
        <v>74</v>
      </c>
      <c r="AY113" s="2" t="s">
        <v>74</v>
      </c>
      <c r="AZ113" s="2" t="s">
        <v>74</v>
      </c>
      <c r="BA113" s="2" t="s">
        <v>74</v>
      </c>
      <c r="BB113" s="2">
        <v>337</v>
      </c>
      <c r="BC113" s="2">
        <v>361</v>
      </c>
      <c r="BD113" s="2" t="s">
        <v>74</v>
      </c>
      <c r="BE113" s="2" t="s">
        <v>5612</v>
      </c>
      <c r="BF113" s="2" t="str">
        <f>HYPERLINK("http://dx.doi.org/10.1016/j.anbehav.2021.08.018","http://dx.doi.org/10.1016/j.anbehav.2021.08.018")</f>
        <v>http://dx.doi.org/10.1016/j.anbehav.2021.08.018</v>
      </c>
      <c r="BG113" s="2" t="s">
        <v>74</v>
      </c>
      <c r="BH113" s="2" t="s">
        <v>675</v>
      </c>
      <c r="BI113" s="2" t="s">
        <v>74</v>
      </c>
      <c r="BJ113" s="2" t="s">
        <v>74</v>
      </c>
      <c r="BK113" s="2" t="s">
        <v>74</v>
      </c>
      <c r="BL113" s="2" t="s">
        <v>74</v>
      </c>
      <c r="BM113" s="2" t="s">
        <v>74</v>
      </c>
      <c r="BN113" s="2" t="s">
        <v>74</v>
      </c>
      <c r="BO113" s="2" t="s">
        <v>74</v>
      </c>
      <c r="BP113" s="2" t="s">
        <v>74</v>
      </c>
      <c r="BQ113" s="2" t="s">
        <v>74</v>
      </c>
      <c r="BR113" s="2" t="s">
        <v>74</v>
      </c>
      <c r="BS113" s="2" t="s">
        <v>5613</v>
      </c>
      <c r="BT113" s="2" t="str">
        <f>HYPERLINK("https%3A%2F%2Fwww.webofscience.com%2Fwos%2Fwoscc%2Ffull-record%2FWOS:000707744600009","View Full Record in Web of Science")</f>
        <v>View Full Record in Web of Science</v>
      </c>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row>
    <row r="114" spans="1:314" s="2" customFormat="1" x14ac:dyDescent="0.4">
      <c r="A114" s="2" t="s">
        <v>72</v>
      </c>
      <c r="B114" s="2" t="s">
        <v>6318</v>
      </c>
      <c r="C114" s="2" t="s">
        <v>74</v>
      </c>
      <c r="D114" s="2" t="s">
        <v>74</v>
      </c>
      <c r="E114" s="2" t="s">
        <v>74</v>
      </c>
      <c r="F114" s="2" t="s">
        <v>6319</v>
      </c>
      <c r="G114" s="2" t="s">
        <v>74</v>
      </c>
      <c r="H114" s="2" t="s">
        <v>74</v>
      </c>
      <c r="I114" s="2" t="s">
        <v>6320</v>
      </c>
      <c r="J114" s="2" t="s">
        <v>2207</v>
      </c>
      <c r="K114" s="2" t="s">
        <v>74</v>
      </c>
      <c r="L114" s="2" t="s">
        <v>74</v>
      </c>
      <c r="M114" s="2" t="s">
        <v>74</v>
      </c>
      <c r="N114" s="2" t="s">
        <v>74</v>
      </c>
      <c r="O114" s="2" t="s">
        <v>74</v>
      </c>
      <c r="P114" s="2" t="s">
        <v>74</v>
      </c>
      <c r="Q114" s="2" t="s">
        <v>74</v>
      </c>
      <c r="R114" s="2" t="s">
        <v>74</v>
      </c>
      <c r="S114" s="2" t="s">
        <v>74</v>
      </c>
      <c r="T114" s="2" t="s">
        <v>74</v>
      </c>
      <c r="U114" s="2" t="s">
        <v>74</v>
      </c>
      <c r="V114" s="5" t="s">
        <v>6321</v>
      </c>
      <c r="W114" s="2" t="s">
        <v>74</v>
      </c>
      <c r="X114" s="2" t="s">
        <v>74</v>
      </c>
      <c r="Y114" s="2" t="s">
        <v>74</v>
      </c>
      <c r="Z114" s="2" t="s">
        <v>74</v>
      </c>
      <c r="AA114" s="2" t="s">
        <v>6322</v>
      </c>
      <c r="AB114" s="2" t="s">
        <v>6323</v>
      </c>
      <c r="AC114" s="2" t="s">
        <v>74</v>
      </c>
      <c r="AD114" s="2" t="s">
        <v>74</v>
      </c>
      <c r="AE114" s="2" t="s">
        <v>74</v>
      </c>
      <c r="AF114" s="2" t="s">
        <v>74</v>
      </c>
      <c r="AG114" s="2" t="s">
        <v>74</v>
      </c>
      <c r="AH114" s="2" t="s">
        <v>74</v>
      </c>
      <c r="AI114" s="2" t="s">
        <v>74</v>
      </c>
      <c r="AJ114" s="2" t="s">
        <v>74</v>
      </c>
      <c r="AK114" s="2" t="s">
        <v>74</v>
      </c>
      <c r="AL114" s="2" t="s">
        <v>74</v>
      </c>
      <c r="AM114" s="2" t="s">
        <v>74</v>
      </c>
      <c r="AN114" s="2" t="s">
        <v>74</v>
      </c>
      <c r="AO114" s="2" t="s">
        <v>2211</v>
      </c>
      <c r="AP114" s="2" t="s">
        <v>2461</v>
      </c>
      <c r="AQ114" s="2" t="s">
        <v>74</v>
      </c>
      <c r="AR114" s="2" t="s">
        <v>74</v>
      </c>
      <c r="AS114" s="2" t="s">
        <v>74</v>
      </c>
      <c r="AT114" s="2" t="s">
        <v>255</v>
      </c>
      <c r="AU114" s="2">
        <v>2018</v>
      </c>
      <c r="AV114" s="2">
        <v>49</v>
      </c>
      <c r="AW114" s="2">
        <v>1</v>
      </c>
      <c r="AX114" s="2" t="s">
        <v>74</v>
      </c>
      <c r="AY114" s="2" t="s">
        <v>74</v>
      </c>
      <c r="AZ114" s="2" t="s">
        <v>74</v>
      </c>
      <c r="BA114" s="2" t="s">
        <v>74</v>
      </c>
      <c r="BB114" s="2" t="s">
        <v>74</v>
      </c>
      <c r="BC114" s="2" t="s">
        <v>74</v>
      </c>
      <c r="BD114" s="2" t="s">
        <v>6324</v>
      </c>
      <c r="BE114" s="2" t="s">
        <v>6325</v>
      </c>
      <c r="BF114" s="2" t="str">
        <f>HYPERLINK("http://dx.doi.org/10.1111/jav.01467","http://dx.doi.org/10.1111/jav.01467")</f>
        <v>http://dx.doi.org/10.1111/jav.01467</v>
      </c>
      <c r="BG114" s="2" t="s">
        <v>74</v>
      </c>
      <c r="BH114" s="2" t="s">
        <v>74</v>
      </c>
      <c r="BI114" s="2" t="s">
        <v>74</v>
      </c>
      <c r="BJ114" s="2" t="s">
        <v>74</v>
      </c>
      <c r="BK114" s="2" t="s">
        <v>74</v>
      </c>
      <c r="BL114" s="2" t="s">
        <v>74</v>
      </c>
      <c r="BM114" s="2" t="s">
        <v>74</v>
      </c>
      <c r="BN114" s="2" t="s">
        <v>74</v>
      </c>
      <c r="BO114" s="2" t="s">
        <v>74</v>
      </c>
      <c r="BP114" s="2" t="s">
        <v>74</v>
      </c>
      <c r="BQ114" s="2" t="s">
        <v>74</v>
      </c>
      <c r="BR114" s="2" t="s">
        <v>74</v>
      </c>
      <c r="BS114" s="2" t="s">
        <v>6326</v>
      </c>
      <c r="BT114" s="2" t="str">
        <f>HYPERLINK("https%3A%2F%2Fwww.webofscience.com%2Fwos%2Fwoscc%2Ffull-record%2FWOS:000425085000003","View Full Record in Web of Science")</f>
        <v>View Full Record in Web of Science</v>
      </c>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row>
    <row r="115" spans="1:314" s="2" customFormat="1" x14ac:dyDescent="0.4">
      <c r="A115" s="2" t="s">
        <v>72</v>
      </c>
      <c r="B115" s="2" t="s">
        <v>4111</v>
      </c>
      <c r="C115" s="2" t="s">
        <v>74</v>
      </c>
      <c r="D115" s="2" t="s">
        <v>74</v>
      </c>
      <c r="E115" s="2" t="s">
        <v>74</v>
      </c>
      <c r="F115" s="2" t="s">
        <v>4112</v>
      </c>
      <c r="G115" s="2" t="s">
        <v>74</v>
      </c>
      <c r="H115" s="2" t="s">
        <v>74</v>
      </c>
      <c r="I115" s="2" t="s">
        <v>4113</v>
      </c>
      <c r="J115" s="2" t="s">
        <v>4114</v>
      </c>
      <c r="K115" s="2" t="s">
        <v>74</v>
      </c>
      <c r="L115" s="2" t="s">
        <v>74</v>
      </c>
      <c r="M115" s="2" t="s">
        <v>74</v>
      </c>
      <c r="N115" s="2" t="s">
        <v>74</v>
      </c>
      <c r="O115" s="2" t="s">
        <v>74</v>
      </c>
      <c r="P115" s="2" t="s">
        <v>74</v>
      </c>
      <c r="Q115" s="2" t="s">
        <v>74</v>
      </c>
      <c r="R115" s="2" t="s">
        <v>74</v>
      </c>
      <c r="S115" s="2" t="s">
        <v>74</v>
      </c>
      <c r="T115" s="2" t="s">
        <v>74</v>
      </c>
      <c r="U115" s="2" t="s">
        <v>74</v>
      </c>
      <c r="V115" s="5" t="s">
        <v>4115</v>
      </c>
      <c r="W115" s="2" t="s">
        <v>74</v>
      </c>
      <c r="X115" s="2" t="s">
        <v>74</v>
      </c>
      <c r="Y115" s="2" t="s">
        <v>74</v>
      </c>
      <c r="Z115" s="2" t="s">
        <v>74</v>
      </c>
      <c r="AA115" s="2" t="s">
        <v>74</v>
      </c>
      <c r="AB115" s="2" t="s">
        <v>74</v>
      </c>
      <c r="AC115" s="2" t="s">
        <v>74</v>
      </c>
      <c r="AD115" s="2" t="s">
        <v>74</v>
      </c>
      <c r="AE115" s="2" t="s">
        <v>74</v>
      </c>
      <c r="AF115" s="2" t="s">
        <v>74</v>
      </c>
      <c r="AG115" s="2" t="s">
        <v>74</v>
      </c>
      <c r="AH115" s="2" t="s">
        <v>74</v>
      </c>
      <c r="AI115" s="2" t="s">
        <v>74</v>
      </c>
      <c r="AJ115" s="2" t="s">
        <v>74</v>
      </c>
      <c r="AK115" s="2" t="s">
        <v>74</v>
      </c>
      <c r="AL115" s="2" t="s">
        <v>74</v>
      </c>
      <c r="AM115" s="2" t="s">
        <v>74</v>
      </c>
      <c r="AN115" s="2" t="s">
        <v>74</v>
      </c>
      <c r="AO115" s="2" t="s">
        <v>4116</v>
      </c>
      <c r="AP115" s="2" t="s">
        <v>4117</v>
      </c>
      <c r="AQ115" s="2" t="s">
        <v>74</v>
      </c>
      <c r="AR115" s="2" t="s">
        <v>74</v>
      </c>
      <c r="AS115" s="2" t="s">
        <v>74</v>
      </c>
      <c r="AT115" s="2" t="s">
        <v>633</v>
      </c>
      <c r="AU115" s="2">
        <v>2022</v>
      </c>
      <c r="AV115" s="2">
        <v>47</v>
      </c>
      <c r="AW115" s="2">
        <v>2</v>
      </c>
      <c r="AX115" s="2" t="s">
        <v>74</v>
      </c>
      <c r="AY115" s="2" t="s">
        <v>74</v>
      </c>
      <c r="AZ115" s="2" t="s">
        <v>74</v>
      </c>
      <c r="BA115" s="2" t="s">
        <v>74</v>
      </c>
      <c r="BB115" s="2">
        <v>158</v>
      </c>
      <c r="BC115" s="2">
        <v>169</v>
      </c>
      <c r="BD115" s="2" t="s">
        <v>74</v>
      </c>
      <c r="BE115" s="2" t="s">
        <v>4118</v>
      </c>
      <c r="BF115" s="2" t="str">
        <f>HYPERLINK("http://dx.doi.org/10.1111/een.13098","http://dx.doi.org/10.1111/een.13098")</f>
        <v>http://dx.doi.org/10.1111/een.13098</v>
      </c>
      <c r="BG115" s="2" t="s">
        <v>74</v>
      </c>
      <c r="BH115" s="2" t="s">
        <v>4119</v>
      </c>
      <c r="BI115" s="2" t="s">
        <v>74</v>
      </c>
      <c r="BJ115" s="2" t="s">
        <v>74</v>
      </c>
      <c r="BK115" s="2" t="s">
        <v>74</v>
      </c>
      <c r="BL115" s="2" t="s">
        <v>74</v>
      </c>
      <c r="BM115" s="2" t="s">
        <v>74</v>
      </c>
      <c r="BN115" s="2" t="s">
        <v>74</v>
      </c>
      <c r="BO115" s="2" t="s">
        <v>74</v>
      </c>
      <c r="BP115" s="2" t="s">
        <v>74</v>
      </c>
      <c r="BQ115" s="2" t="s">
        <v>74</v>
      </c>
      <c r="BR115" s="2" t="s">
        <v>74</v>
      </c>
      <c r="BS115" s="2" t="s">
        <v>4120</v>
      </c>
      <c r="BT115" s="2" t="str">
        <f>HYPERLINK("https%3A%2F%2Fwww.webofscience.com%2Fwos%2Fwoscc%2Ffull-record%2FWOS:000711895800001","View Full Record in Web of Science")</f>
        <v>View Full Record in Web of Science</v>
      </c>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row>
    <row r="116" spans="1:314" s="1" customFormat="1" x14ac:dyDescent="0.4">
      <c r="A116" s="2" t="s">
        <v>72</v>
      </c>
      <c r="B116" s="2" t="s">
        <v>5521</v>
      </c>
      <c r="C116" s="2" t="s">
        <v>74</v>
      </c>
      <c r="D116" s="2" t="s">
        <v>74</v>
      </c>
      <c r="E116" s="2" t="s">
        <v>74</v>
      </c>
      <c r="F116" s="2" t="s">
        <v>5522</v>
      </c>
      <c r="G116" s="2" t="s">
        <v>74</v>
      </c>
      <c r="H116" s="2" t="s">
        <v>74</v>
      </c>
      <c r="I116" s="2" t="s">
        <v>5523</v>
      </c>
      <c r="J116" s="2" t="s">
        <v>218</v>
      </c>
      <c r="K116" s="2" t="s">
        <v>74</v>
      </c>
      <c r="L116" s="2" t="s">
        <v>74</v>
      </c>
      <c r="M116" s="2" t="s">
        <v>74</v>
      </c>
      <c r="N116" s="2" t="s">
        <v>74</v>
      </c>
      <c r="O116" s="2" t="s">
        <v>74</v>
      </c>
      <c r="P116" s="2" t="s">
        <v>74</v>
      </c>
      <c r="Q116" s="2" t="s">
        <v>74</v>
      </c>
      <c r="R116" s="2" t="s">
        <v>74</v>
      </c>
      <c r="S116" s="2" t="s">
        <v>74</v>
      </c>
      <c r="T116" s="2" t="s">
        <v>74</v>
      </c>
      <c r="U116" s="2" t="s">
        <v>74</v>
      </c>
      <c r="V116" s="5" t="s">
        <v>5524</v>
      </c>
      <c r="W116" s="2" t="s">
        <v>74</v>
      </c>
      <c r="X116" s="2" t="s">
        <v>74</v>
      </c>
      <c r="Y116" s="2" t="s">
        <v>74</v>
      </c>
      <c r="Z116" s="2" t="s">
        <v>74</v>
      </c>
      <c r="AA116" s="2" t="s">
        <v>5525</v>
      </c>
      <c r="AB116" s="2" t="s">
        <v>5526</v>
      </c>
      <c r="AC116" s="2" t="s">
        <v>74</v>
      </c>
      <c r="AD116" s="2" t="s">
        <v>74</v>
      </c>
      <c r="AE116" s="2" t="s">
        <v>74</v>
      </c>
      <c r="AF116" s="2" t="s">
        <v>74</v>
      </c>
      <c r="AG116" s="2" t="s">
        <v>74</v>
      </c>
      <c r="AH116" s="2" t="s">
        <v>74</v>
      </c>
      <c r="AI116" s="2" t="s">
        <v>74</v>
      </c>
      <c r="AJ116" s="2" t="s">
        <v>74</v>
      </c>
      <c r="AK116" s="2" t="s">
        <v>74</v>
      </c>
      <c r="AL116" s="2" t="s">
        <v>74</v>
      </c>
      <c r="AM116" s="2" t="s">
        <v>74</v>
      </c>
      <c r="AN116" s="2" t="s">
        <v>74</v>
      </c>
      <c r="AO116" s="2" t="s">
        <v>221</v>
      </c>
      <c r="AP116" s="2" t="s">
        <v>222</v>
      </c>
      <c r="AQ116" s="2" t="s">
        <v>74</v>
      </c>
      <c r="AR116" s="2" t="s">
        <v>74</v>
      </c>
      <c r="AS116" s="2" t="s">
        <v>74</v>
      </c>
      <c r="AT116" s="2" t="s">
        <v>213</v>
      </c>
      <c r="AU116" s="2">
        <v>2008</v>
      </c>
      <c r="AV116" s="2">
        <v>21</v>
      </c>
      <c r="AW116" s="2">
        <v>6</v>
      </c>
      <c r="AX116" s="2" t="s">
        <v>74</v>
      </c>
      <c r="AY116" s="2" t="s">
        <v>74</v>
      </c>
      <c r="AZ116" s="2" t="s">
        <v>74</v>
      </c>
      <c r="BA116" s="2" t="s">
        <v>74</v>
      </c>
      <c r="BB116" s="2">
        <v>1789</v>
      </c>
      <c r="BC116" s="2">
        <v>1797</v>
      </c>
      <c r="BD116" s="2" t="s">
        <v>74</v>
      </c>
      <c r="BE116" s="2" t="s">
        <v>5527</v>
      </c>
      <c r="BF116" s="2" t="str">
        <f>HYPERLINK("http://dx.doi.org/10.1111/j.1420-9101.2008.01591.x","http://dx.doi.org/10.1111/j.1420-9101.2008.01591.x")</f>
        <v>http://dx.doi.org/10.1111/j.1420-9101.2008.01591.x</v>
      </c>
      <c r="BG116" s="2" t="s">
        <v>74</v>
      </c>
      <c r="BH116" s="2" t="s">
        <v>74</v>
      </c>
      <c r="BI116" s="2" t="s">
        <v>74</v>
      </c>
      <c r="BJ116" s="2" t="s">
        <v>74</v>
      </c>
      <c r="BK116" s="2" t="s">
        <v>74</v>
      </c>
      <c r="BL116" s="2" t="s">
        <v>74</v>
      </c>
      <c r="BM116" s="2" t="s">
        <v>74</v>
      </c>
      <c r="BN116" s="2">
        <v>18713241</v>
      </c>
      <c r="BO116" s="2" t="s">
        <v>74</v>
      </c>
      <c r="BP116" s="2" t="s">
        <v>74</v>
      </c>
      <c r="BQ116" s="2" t="s">
        <v>74</v>
      </c>
      <c r="BR116" s="2" t="s">
        <v>74</v>
      </c>
      <c r="BS116" s="2" t="s">
        <v>5528</v>
      </c>
      <c r="BT116" s="2" t="str">
        <f>HYPERLINK("https%3A%2F%2Fwww.webofscience.com%2Fwos%2Fwoscc%2Ffull-record%2FWOS:000260108900032","View Full Record in Web of Science")</f>
        <v>View Full Record in Web of Science</v>
      </c>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row>
    <row r="117" spans="1:314" s="2" customFormat="1" x14ac:dyDescent="0.4">
      <c r="A117" s="2" t="s">
        <v>72</v>
      </c>
      <c r="B117" s="2" t="s">
        <v>2128</v>
      </c>
      <c r="C117" s="2" t="s">
        <v>74</v>
      </c>
      <c r="D117" s="2" t="s">
        <v>74</v>
      </c>
      <c r="E117" s="2" t="s">
        <v>74</v>
      </c>
      <c r="F117" s="2" t="s">
        <v>2128</v>
      </c>
      <c r="G117" s="2" t="s">
        <v>74</v>
      </c>
      <c r="H117" s="2" t="s">
        <v>74</v>
      </c>
      <c r="I117" s="2" t="s">
        <v>2129</v>
      </c>
      <c r="J117" s="2" t="s">
        <v>1526</v>
      </c>
      <c r="K117" s="2" t="s">
        <v>74</v>
      </c>
      <c r="L117" s="2" t="s">
        <v>74</v>
      </c>
      <c r="M117" s="2" t="s">
        <v>74</v>
      </c>
      <c r="N117" s="2" t="s">
        <v>74</v>
      </c>
      <c r="O117" s="2" t="s">
        <v>74</v>
      </c>
      <c r="P117" s="2" t="s">
        <v>74</v>
      </c>
      <c r="Q117" s="2" t="s">
        <v>74</v>
      </c>
      <c r="R117" s="2" t="s">
        <v>74</v>
      </c>
      <c r="S117" s="2" t="s">
        <v>74</v>
      </c>
      <c r="T117" s="2" t="s">
        <v>74</v>
      </c>
      <c r="U117" s="2" t="s">
        <v>74</v>
      </c>
      <c r="V117" s="5" t="s">
        <v>2130</v>
      </c>
      <c r="W117" s="2" t="s">
        <v>74</v>
      </c>
      <c r="X117" s="2" t="s">
        <v>74</v>
      </c>
      <c r="Y117" s="2" t="s">
        <v>74</v>
      </c>
      <c r="Z117" s="2" t="s">
        <v>74</v>
      </c>
      <c r="AA117" s="2" t="s">
        <v>74</v>
      </c>
      <c r="AB117" s="2" t="s">
        <v>74</v>
      </c>
      <c r="AC117" s="2" t="s">
        <v>74</v>
      </c>
      <c r="AD117" s="2" t="s">
        <v>74</v>
      </c>
      <c r="AE117" s="2" t="s">
        <v>74</v>
      </c>
      <c r="AF117" s="2" t="s">
        <v>74</v>
      </c>
      <c r="AG117" s="2" t="s">
        <v>74</v>
      </c>
      <c r="AH117" s="2" t="s">
        <v>74</v>
      </c>
      <c r="AI117" s="2" t="s">
        <v>74</v>
      </c>
      <c r="AJ117" s="2" t="s">
        <v>74</v>
      </c>
      <c r="AK117" s="2" t="s">
        <v>74</v>
      </c>
      <c r="AL117" s="2" t="s">
        <v>74</v>
      </c>
      <c r="AM117" s="2" t="s">
        <v>74</v>
      </c>
      <c r="AN117" s="2" t="s">
        <v>74</v>
      </c>
      <c r="AO117" s="2" t="s">
        <v>1528</v>
      </c>
      <c r="AP117" s="2" t="s">
        <v>2131</v>
      </c>
      <c r="AQ117" s="2" t="s">
        <v>74</v>
      </c>
      <c r="AR117" s="2" t="s">
        <v>74</v>
      </c>
      <c r="AS117" s="2" t="s">
        <v>74</v>
      </c>
      <c r="AT117" s="2" t="s">
        <v>145</v>
      </c>
      <c r="AU117" s="2">
        <v>2000</v>
      </c>
      <c r="AV117" s="2">
        <v>102</v>
      </c>
      <c r="AW117" s="2">
        <v>3</v>
      </c>
      <c r="AX117" s="2" t="s">
        <v>74</v>
      </c>
      <c r="AY117" s="2" t="s">
        <v>74</v>
      </c>
      <c r="AZ117" s="2" t="s">
        <v>74</v>
      </c>
      <c r="BA117" s="2" t="s">
        <v>74</v>
      </c>
      <c r="BB117" s="2">
        <v>708</v>
      </c>
      <c r="BC117" s="2">
        <v>712</v>
      </c>
      <c r="BD117" s="2" t="s">
        <v>74</v>
      </c>
      <c r="BE117" s="2" t="s">
        <v>2132</v>
      </c>
      <c r="BF117" s="2" t="str">
        <f>HYPERLINK("http://dx.doi.org/10.1650/0010-5422(2000)102[0708:RBTCPA]2.0.CO;2","http://dx.doi.org/10.1650/0010-5422(2000)102[0708:RBTCPA]2.0.CO;2")</f>
        <v>http://dx.doi.org/10.1650/0010-5422(2000)102[0708:RBTCPA]2.0.CO;2</v>
      </c>
      <c r="BG117" s="2" t="s">
        <v>74</v>
      </c>
      <c r="BH117" s="2" t="s">
        <v>74</v>
      </c>
      <c r="BI117" s="2" t="s">
        <v>74</v>
      </c>
      <c r="BJ117" s="2" t="s">
        <v>74</v>
      </c>
      <c r="BK117" s="2" t="s">
        <v>74</v>
      </c>
      <c r="BL117" s="2" t="s">
        <v>74</v>
      </c>
      <c r="BM117" s="2" t="s">
        <v>74</v>
      </c>
      <c r="BN117" s="2" t="s">
        <v>74</v>
      </c>
      <c r="BO117" s="2" t="s">
        <v>74</v>
      </c>
      <c r="BP117" s="2" t="s">
        <v>74</v>
      </c>
      <c r="BQ117" s="2" t="s">
        <v>74</v>
      </c>
      <c r="BR117" s="2" t="s">
        <v>74</v>
      </c>
      <c r="BS117" s="2" t="s">
        <v>2133</v>
      </c>
      <c r="BT117" s="2" t="str">
        <f>HYPERLINK("https%3A%2F%2Fwww.webofscience.com%2Fwos%2Fwoscc%2Ffull-record%2FWOS:000088716300031","View Full Record in Web of Science")</f>
        <v>View Full Record in Web of Science</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row>
    <row r="118" spans="1:314" s="2" customFormat="1" x14ac:dyDescent="0.4">
      <c r="A118" s="2" t="s">
        <v>72</v>
      </c>
      <c r="B118" s="2" t="s">
        <v>1963</v>
      </c>
      <c r="C118" s="2" t="s">
        <v>74</v>
      </c>
      <c r="D118" s="2" t="s">
        <v>74</v>
      </c>
      <c r="E118" s="2" t="s">
        <v>74</v>
      </c>
      <c r="F118" s="2" t="s">
        <v>1964</v>
      </c>
      <c r="G118" s="2" t="s">
        <v>74</v>
      </c>
      <c r="H118" s="2" t="s">
        <v>74</v>
      </c>
      <c r="I118" s="2" t="s">
        <v>1965</v>
      </c>
      <c r="J118" s="2" t="s">
        <v>803</v>
      </c>
      <c r="K118" s="2" t="s">
        <v>74</v>
      </c>
      <c r="L118" s="2" t="s">
        <v>74</v>
      </c>
      <c r="M118" s="2" t="s">
        <v>74</v>
      </c>
      <c r="N118" s="2" t="s">
        <v>74</v>
      </c>
      <c r="O118" s="2" t="s">
        <v>74</v>
      </c>
      <c r="P118" s="2" t="s">
        <v>74</v>
      </c>
      <c r="Q118" s="2" t="s">
        <v>74</v>
      </c>
      <c r="R118" s="2" t="s">
        <v>74</v>
      </c>
      <c r="S118" s="2" t="s">
        <v>74</v>
      </c>
      <c r="T118" s="2" t="s">
        <v>74</v>
      </c>
      <c r="U118" s="2" t="s">
        <v>74</v>
      </c>
      <c r="V118" s="5" t="s">
        <v>1966</v>
      </c>
      <c r="W118" s="2" t="s">
        <v>74</v>
      </c>
      <c r="X118" s="2" t="s">
        <v>74</v>
      </c>
      <c r="Y118" s="2" t="s">
        <v>74</v>
      </c>
      <c r="Z118" s="2" t="s">
        <v>74</v>
      </c>
      <c r="AA118" s="2" t="s">
        <v>1967</v>
      </c>
      <c r="AB118" s="2" t="s">
        <v>1968</v>
      </c>
      <c r="AC118" s="2" t="s">
        <v>74</v>
      </c>
      <c r="AD118" s="2" t="s">
        <v>74</v>
      </c>
      <c r="AE118" s="2" t="s">
        <v>74</v>
      </c>
      <c r="AF118" s="2" t="s">
        <v>74</v>
      </c>
      <c r="AG118" s="2" t="s">
        <v>74</v>
      </c>
      <c r="AH118" s="2" t="s">
        <v>74</v>
      </c>
      <c r="AI118" s="2" t="s">
        <v>74</v>
      </c>
      <c r="AJ118" s="2" t="s">
        <v>74</v>
      </c>
      <c r="AK118" s="2" t="s">
        <v>74</v>
      </c>
      <c r="AL118" s="2" t="s">
        <v>74</v>
      </c>
      <c r="AM118" s="2" t="s">
        <v>74</v>
      </c>
      <c r="AN118" s="2" t="s">
        <v>74</v>
      </c>
      <c r="AO118" s="2" t="s">
        <v>806</v>
      </c>
      <c r="AP118" s="2" t="s">
        <v>807</v>
      </c>
      <c r="AQ118" s="2" t="s">
        <v>74</v>
      </c>
      <c r="AR118" s="2" t="s">
        <v>74</v>
      </c>
      <c r="AS118" s="2" t="s">
        <v>74</v>
      </c>
      <c r="AT118" s="2" t="s">
        <v>808</v>
      </c>
      <c r="AU118" s="2">
        <v>2009</v>
      </c>
      <c r="AV118" s="2">
        <v>4</v>
      </c>
      <c r="AW118" s="2">
        <v>3</v>
      </c>
      <c r="AX118" s="2" t="s">
        <v>74</v>
      </c>
      <c r="AY118" s="2" t="s">
        <v>74</v>
      </c>
      <c r="AZ118" s="2" t="s">
        <v>74</v>
      </c>
      <c r="BA118" s="2" t="s">
        <v>74</v>
      </c>
      <c r="BB118" s="2">
        <v>111</v>
      </c>
      <c r="BC118" s="2">
        <v>117</v>
      </c>
      <c r="BD118" s="2" t="s">
        <v>74</v>
      </c>
      <c r="BE118" s="2" t="s">
        <v>1969</v>
      </c>
      <c r="BF118" s="2" t="str">
        <f>HYPERLINK("http://dx.doi.org/10.1016/j.jveb.2008.08.010","http://dx.doi.org/10.1016/j.jveb.2008.08.010")</f>
        <v>http://dx.doi.org/10.1016/j.jveb.2008.08.010</v>
      </c>
      <c r="BG118" s="2" t="s">
        <v>74</v>
      </c>
      <c r="BH118" s="2" t="s">
        <v>74</v>
      </c>
      <c r="BI118" s="2" t="s">
        <v>74</v>
      </c>
      <c r="BJ118" s="2" t="s">
        <v>74</v>
      </c>
      <c r="BK118" s="2" t="s">
        <v>74</v>
      </c>
      <c r="BL118" s="2" t="s">
        <v>74</v>
      </c>
      <c r="BM118" s="2" t="s">
        <v>74</v>
      </c>
      <c r="BN118" s="2" t="s">
        <v>74</v>
      </c>
      <c r="BO118" s="2" t="s">
        <v>74</v>
      </c>
      <c r="BP118" s="2" t="s">
        <v>74</v>
      </c>
      <c r="BQ118" s="2" t="s">
        <v>74</v>
      </c>
      <c r="BR118" s="2" t="s">
        <v>74</v>
      </c>
      <c r="BS118" s="2" t="s">
        <v>1970</v>
      </c>
      <c r="BT118" s="2" t="str">
        <f>HYPERLINK("https%3A%2F%2Fwww.webofscience.com%2Fwos%2Fwoscc%2Ffull-record%2FWOS:000266574100002","View Full Record in Web of Science")</f>
        <v>View Full Record in Web of Science</v>
      </c>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row>
    <row r="119" spans="1:314" s="2" customFormat="1" x14ac:dyDescent="0.4">
      <c r="A119" s="2" t="s">
        <v>72</v>
      </c>
      <c r="B119" s="2" t="s">
        <v>1565</v>
      </c>
      <c r="C119" s="2" t="s">
        <v>74</v>
      </c>
      <c r="D119" s="2" t="s">
        <v>74</v>
      </c>
      <c r="E119" s="2" t="s">
        <v>74</v>
      </c>
      <c r="F119" s="2" t="s">
        <v>1566</v>
      </c>
      <c r="G119" s="2" t="s">
        <v>74</v>
      </c>
      <c r="H119" s="2" t="s">
        <v>74</v>
      </c>
      <c r="I119" s="2" t="s">
        <v>1567</v>
      </c>
      <c r="J119" s="2" t="s">
        <v>88</v>
      </c>
      <c r="K119" s="2" t="s">
        <v>74</v>
      </c>
      <c r="L119" s="2" t="s">
        <v>74</v>
      </c>
      <c r="M119" s="2" t="s">
        <v>74</v>
      </c>
      <c r="N119" s="2" t="s">
        <v>74</v>
      </c>
      <c r="O119" s="2" t="s">
        <v>74</v>
      </c>
      <c r="P119" s="2" t="s">
        <v>74</v>
      </c>
      <c r="Q119" s="2" t="s">
        <v>74</v>
      </c>
      <c r="R119" s="2" t="s">
        <v>74</v>
      </c>
      <c r="S119" s="2" t="s">
        <v>74</v>
      </c>
      <c r="T119" s="2" t="s">
        <v>74</v>
      </c>
      <c r="U119" s="2" t="s">
        <v>74</v>
      </c>
      <c r="V119" s="5" t="s">
        <v>1568</v>
      </c>
      <c r="W119" s="2" t="s">
        <v>74</v>
      </c>
      <c r="X119" s="2" t="s">
        <v>74</v>
      </c>
      <c r="Y119" s="2" t="s">
        <v>74</v>
      </c>
      <c r="Z119" s="2" t="s">
        <v>74</v>
      </c>
      <c r="AA119" s="2" t="s">
        <v>74</v>
      </c>
      <c r="AB119" s="2" t="s">
        <v>1569</v>
      </c>
      <c r="AC119" s="2" t="s">
        <v>74</v>
      </c>
      <c r="AD119" s="2" t="s">
        <v>74</v>
      </c>
      <c r="AE119" s="2" t="s">
        <v>74</v>
      </c>
      <c r="AF119" s="2" t="s">
        <v>74</v>
      </c>
      <c r="AG119" s="2" t="s">
        <v>74</v>
      </c>
      <c r="AH119" s="2" t="s">
        <v>74</v>
      </c>
      <c r="AI119" s="2" t="s">
        <v>74</v>
      </c>
      <c r="AJ119" s="2" t="s">
        <v>74</v>
      </c>
      <c r="AK119" s="2" t="s">
        <v>74</v>
      </c>
      <c r="AL119" s="2" t="s">
        <v>74</v>
      </c>
      <c r="AM119" s="2" t="s">
        <v>74</v>
      </c>
      <c r="AN119" s="2" t="s">
        <v>74</v>
      </c>
      <c r="AO119" s="2" t="s">
        <v>91</v>
      </c>
      <c r="AP119" s="2" t="s">
        <v>92</v>
      </c>
      <c r="AQ119" s="2" t="s">
        <v>74</v>
      </c>
      <c r="AR119" s="2" t="s">
        <v>74</v>
      </c>
      <c r="AS119" s="2" t="s">
        <v>74</v>
      </c>
      <c r="AT119" s="2" t="s">
        <v>361</v>
      </c>
      <c r="AU119" s="2">
        <v>2019</v>
      </c>
      <c r="AV119" s="2">
        <v>15</v>
      </c>
      <c r="AW119" s="2">
        <v>5</v>
      </c>
      <c r="AX119" s="2" t="s">
        <v>74</v>
      </c>
      <c r="AY119" s="2" t="s">
        <v>74</v>
      </c>
      <c r="AZ119" s="2" t="s">
        <v>74</v>
      </c>
      <c r="BA119" s="2" t="s">
        <v>74</v>
      </c>
      <c r="BB119" s="2" t="s">
        <v>74</v>
      </c>
      <c r="BC119" s="2" t="s">
        <v>74</v>
      </c>
      <c r="BD119" s="2">
        <v>20190207</v>
      </c>
      <c r="BE119" s="2" t="s">
        <v>1570</v>
      </c>
      <c r="BF119" s="2" t="str">
        <f>HYPERLINK("http://dx.doi.org/10.1098/rsbl.2019.0207","http://dx.doi.org/10.1098/rsbl.2019.0207")</f>
        <v>http://dx.doi.org/10.1098/rsbl.2019.0207</v>
      </c>
      <c r="BG119" s="2" t="s">
        <v>74</v>
      </c>
      <c r="BH119" s="2" t="s">
        <v>74</v>
      </c>
      <c r="BI119" s="2" t="s">
        <v>74</v>
      </c>
      <c r="BJ119" s="2" t="s">
        <v>74</v>
      </c>
      <c r="BK119" s="2" t="s">
        <v>74</v>
      </c>
      <c r="BL119" s="2" t="s">
        <v>74</v>
      </c>
      <c r="BM119" s="2" t="s">
        <v>74</v>
      </c>
      <c r="BN119" s="2">
        <v>31088284</v>
      </c>
      <c r="BO119" s="2" t="s">
        <v>74</v>
      </c>
      <c r="BP119" s="2" t="s">
        <v>74</v>
      </c>
      <c r="BQ119" s="2" t="s">
        <v>74</v>
      </c>
      <c r="BR119" s="2" t="s">
        <v>74</v>
      </c>
      <c r="BS119" s="2" t="s">
        <v>1571</v>
      </c>
      <c r="BT119" s="2" t="str">
        <f>HYPERLINK("https%3A%2F%2Fwww.webofscience.com%2Fwos%2Fwoscc%2Ffull-record%2FWOS:000470116400022","View Full Record in Web of Science")</f>
        <v>View Full Record in Web of Science</v>
      </c>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row>
    <row r="120" spans="1:314" s="2" customFormat="1" x14ac:dyDescent="0.4">
      <c r="A120" s="2" t="s">
        <v>72</v>
      </c>
      <c r="B120" s="2" t="s">
        <v>1565</v>
      </c>
      <c r="C120" s="2" t="s">
        <v>74</v>
      </c>
      <c r="D120" s="2" t="s">
        <v>74</v>
      </c>
      <c r="E120" s="2" t="s">
        <v>74</v>
      </c>
      <c r="F120" s="2" t="s">
        <v>1566</v>
      </c>
      <c r="G120" s="2" t="s">
        <v>74</v>
      </c>
      <c r="H120" s="2" t="s">
        <v>74</v>
      </c>
      <c r="I120" s="2" t="s">
        <v>1694</v>
      </c>
      <c r="J120" s="2" t="s">
        <v>509</v>
      </c>
      <c r="K120" s="2" t="s">
        <v>74</v>
      </c>
      <c r="L120" s="2" t="s">
        <v>74</v>
      </c>
      <c r="M120" s="2" t="s">
        <v>74</v>
      </c>
      <c r="N120" s="2" t="s">
        <v>74</v>
      </c>
      <c r="O120" s="2" t="s">
        <v>74</v>
      </c>
      <c r="P120" s="2" t="s">
        <v>74</v>
      </c>
      <c r="Q120" s="2" t="s">
        <v>74</v>
      </c>
      <c r="R120" s="2" t="s">
        <v>74</v>
      </c>
      <c r="S120" s="2" t="s">
        <v>74</v>
      </c>
      <c r="T120" s="2" t="s">
        <v>74</v>
      </c>
      <c r="U120" s="2" t="s">
        <v>74</v>
      </c>
      <c r="V120" s="5" t="s">
        <v>1695</v>
      </c>
      <c r="W120" s="2" t="s">
        <v>74</v>
      </c>
      <c r="X120" s="2" t="s">
        <v>74</v>
      </c>
      <c r="Y120" s="2" t="s">
        <v>74</v>
      </c>
      <c r="Z120" s="2" t="s">
        <v>74</v>
      </c>
      <c r="AA120" s="2" t="s">
        <v>74</v>
      </c>
      <c r="AB120" s="2" t="s">
        <v>1696</v>
      </c>
      <c r="AC120" s="2" t="s">
        <v>74</v>
      </c>
      <c r="AD120" s="2" t="s">
        <v>74</v>
      </c>
      <c r="AE120" s="2" t="s">
        <v>74</v>
      </c>
      <c r="AF120" s="2" t="s">
        <v>74</v>
      </c>
      <c r="AG120" s="2" t="s">
        <v>74</v>
      </c>
      <c r="AH120" s="2" t="s">
        <v>74</v>
      </c>
      <c r="AI120" s="2" t="s">
        <v>74</v>
      </c>
      <c r="AJ120" s="2" t="s">
        <v>74</v>
      </c>
      <c r="AK120" s="2" t="s">
        <v>74</v>
      </c>
      <c r="AL120" s="2" t="s">
        <v>74</v>
      </c>
      <c r="AM120" s="2" t="s">
        <v>74</v>
      </c>
      <c r="AN120" s="2" t="s">
        <v>74</v>
      </c>
      <c r="AO120" s="2" t="s">
        <v>511</v>
      </c>
      <c r="AP120" s="2" t="s">
        <v>512</v>
      </c>
      <c r="AQ120" s="2" t="s">
        <v>74</v>
      </c>
      <c r="AR120" s="2" t="s">
        <v>74</v>
      </c>
      <c r="AS120" s="2" t="s">
        <v>74</v>
      </c>
      <c r="AT120" s="2" t="s">
        <v>145</v>
      </c>
      <c r="AU120" s="2">
        <v>2022</v>
      </c>
      <c r="AV120" s="2">
        <v>144</v>
      </c>
      <c r="AW120" s="2" t="s">
        <v>74</v>
      </c>
      <c r="AX120" s="2" t="s">
        <v>74</v>
      </c>
      <c r="AY120" s="2" t="s">
        <v>74</v>
      </c>
      <c r="AZ120" s="2" t="s">
        <v>74</v>
      </c>
      <c r="BA120" s="2" t="s">
        <v>74</v>
      </c>
      <c r="BB120" s="2" t="s">
        <v>74</v>
      </c>
      <c r="BC120" s="2" t="s">
        <v>74</v>
      </c>
      <c r="BD120" s="2">
        <v>105214</v>
      </c>
      <c r="BE120" s="2" t="s">
        <v>1697</v>
      </c>
      <c r="BF120" s="2" t="str">
        <f>HYPERLINK("http://dx.doi.org/10.1016/j.yhbeh.2022.105214","http://dx.doi.org/10.1016/j.yhbeh.2022.105214")</f>
        <v>http://dx.doi.org/10.1016/j.yhbeh.2022.105214</v>
      </c>
      <c r="BG120" s="2" t="s">
        <v>74</v>
      </c>
      <c r="BH120" s="2" t="s">
        <v>1698</v>
      </c>
      <c r="BI120" s="2" t="s">
        <v>74</v>
      </c>
      <c r="BJ120" s="2" t="s">
        <v>74</v>
      </c>
      <c r="BK120" s="2" t="s">
        <v>74</v>
      </c>
      <c r="BL120" s="2" t="s">
        <v>74</v>
      </c>
      <c r="BM120" s="2" t="s">
        <v>74</v>
      </c>
      <c r="BN120" s="2">
        <v>35696781</v>
      </c>
      <c r="BO120" s="2" t="s">
        <v>74</v>
      </c>
      <c r="BP120" s="2" t="s">
        <v>74</v>
      </c>
      <c r="BQ120" s="2" t="s">
        <v>74</v>
      </c>
      <c r="BR120" s="2" t="s">
        <v>74</v>
      </c>
      <c r="BS120" s="2" t="s">
        <v>1699</v>
      </c>
      <c r="BT120" s="2" t="str">
        <f>HYPERLINK("https%3A%2F%2Fwww.webofscience.com%2Fwos%2Fwoscc%2Ffull-record%2FWOS:000815736500002","View Full Record in Web of Science")</f>
        <v>View Full Record in Web of Science</v>
      </c>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row>
    <row r="121" spans="1:314" s="2" customFormat="1" x14ac:dyDescent="0.4">
      <c r="A121" s="2" t="s">
        <v>72</v>
      </c>
      <c r="B121" s="2" t="s">
        <v>7495</v>
      </c>
      <c r="C121" s="2" t="s">
        <v>74</v>
      </c>
      <c r="D121" s="2" t="s">
        <v>74</v>
      </c>
      <c r="E121" s="2" t="s">
        <v>74</v>
      </c>
      <c r="F121" s="2" t="s">
        <v>7496</v>
      </c>
      <c r="G121" s="2" t="s">
        <v>74</v>
      </c>
      <c r="H121" s="2" t="s">
        <v>74</v>
      </c>
      <c r="I121" s="2" t="s">
        <v>7497</v>
      </c>
      <c r="J121" s="2" t="s">
        <v>775</v>
      </c>
      <c r="K121" s="2" t="s">
        <v>74</v>
      </c>
      <c r="L121" s="2" t="s">
        <v>74</v>
      </c>
      <c r="M121" s="2" t="s">
        <v>74</v>
      </c>
      <c r="N121" s="2" t="s">
        <v>74</v>
      </c>
      <c r="O121" s="2" t="s">
        <v>74</v>
      </c>
      <c r="P121" s="2" t="s">
        <v>74</v>
      </c>
      <c r="Q121" s="2" t="s">
        <v>74</v>
      </c>
      <c r="R121" s="2" t="s">
        <v>74</v>
      </c>
      <c r="S121" s="2" t="s">
        <v>74</v>
      </c>
      <c r="T121" s="2" t="s">
        <v>74</v>
      </c>
      <c r="U121" s="2" t="s">
        <v>74</v>
      </c>
      <c r="V121" s="5" t="s">
        <v>7498</v>
      </c>
      <c r="W121" s="2" t="s">
        <v>74</v>
      </c>
      <c r="X121" s="2" t="s">
        <v>74</v>
      </c>
      <c r="Y121" s="2" t="s">
        <v>74</v>
      </c>
      <c r="Z121" s="2" t="s">
        <v>74</v>
      </c>
      <c r="AA121" s="2" t="s">
        <v>74</v>
      </c>
      <c r="AB121" s="2" t="s">
        <v>7499</v>
      </c>
      <c r="AC121" s="2" t="s">
        <v>74</v>
      </c>
      <c r="AD121" s="2" t="s">
        <v>74</v>
      </c>
      <c r="AE121" s="2" t="s">
        <v>74</v>
      </c>
      <c r="AF121" s="2" t="s">
        <v>74</v>
      </c>
      <c r="AG121" s="2" t="s">
        <v>74</v>
      </c>
      <c r="AH121" s="2" t="s">
        <v>74</v>
      </c>
      <c r="AI121" s="2" t="s">
        <v>74</v>
      </c>
      <c r="AJ121" s="2" t="s">
        <v>74</v>
      </c>
      <c r="AK121" s="2" t="s">
        <v>74</v>
      </c>
      <c r="AL121" s="2" t="s">
        <v>74</v>
      </c>
      <c r="AM121" s="2" t="s">
        <v>74</v>
      </c>
      <c r="AN121" s="2" t="s">
        <v>74</v>
      </c>
      <c r="AO121" s="2" t="s">
        <v>778</v>
      </c>
      <c r="AP121" s="2" t="s">
        <v>779</v>
      </c>
      <c r="AQ121" s="2" t="s">
        <v>74</v>
      </c>
      <c r="AR121" s="2" t="s">
        <v>74</v>
      </c>
      <c r="AS121" s="2" t="s">
        <v>74</v>
      </c>
      <c r="AT121" s="2" t="s">
        <v>102</v>
      </c>
      <c r="AU121" s="2">
        <v>2018</v>
      </c>
      <c r="AV121" s="2">
        <v>64</v>
      </c>
      <c r="AW121" s="2">
        <v>3</v>
      </c>
      <c r="AX121" s="2" t="s">
        <v>74</v>
      </c>
      <c r="AY121" s="2" t="s">
        <v>74</v>
      </c>
      <c r="AZ121" s="2" t="s">
        <v>74</v>
      </c>
      <c r="BA121" s="2" t="s">
        <v>74</v>
      </c>
      <c r="BB121" s="2">
        <v>363</v>
      </c>
      <c r="BC121" s="2">
        <v>392</v>
      </c>
      <c r="BD121" s="2" t="s">
        <v>74</v>
      </c>
      <c r="BE121" s="2" t="s">
        <v>7500</v>
      </c>
      <c r="BF121" s="2" t="str">
        <f>HYPERLINK("http://dx.doi.org/10.1093/cz/zoy036","http://dx.doi.org/10.1093/cz/zoy036")</f>
        <v>http://dx.doi.org/10.1093/cz/zoy036</v>
      </c>
      <c r="BG121" s="2" t="s">
        <v>74</v>
      </c>
      <c r="BH121" s="2" t="s">
        <v>74</v>
      </c>
      <c r="BI121" s="2" t="s">
        <v>74</v>
      </c>
      <c r="BJ121" s="2" t="s">
        <v>74</v>
      </c>
      <c r="BK121" s="2" t="s">
        <v>74</v>
      </c>
      <c r="BL121" s="2" t="s">
        <v>74</v>
      </c>
      <c r="BM121" s="2" t="s">
        <v>74</v>
      </c>
      <c r="BN121" s="2">
        <v>30402079</v>
      </c>
      <c r="BO121" s="2" t="s">
        <v>74</v>
      </c>
      <c r="BP121" s="2" t="s">
        <v>74</v>
      </c>
      <c r="BQ121" s="2" t="s">
        <v>74</v>
      </c>
      <c r="BR121" s="2" t="s">
        <v>74</v>
      </c>
      <c r="BS121" s="2" t="s">
        <v>7501</v>
      </c>
      <c r="BT121" s="2" t="str">
        <f>HYPERLINK("https%3A%2F%2Fwww.webofscience.com%2Fwos%2Fwoscc%2Ffull-record%2FWOS:000436421000013","View Full Record in Web of Science")</f>
        <v>View Full Record in Web of Science</v>
      </c>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row>
    <row r="122" spans="1:314" s="2" customFormat="1" x14ac:dyDescent="0.4">
      <c r="A122" s="2" t="s">
        <v>72</v>
      </c>
      <c r="B122" s="2" t="s">
        <v>126</v>
      </c>
      <c r="C122" s="2" t="s">
        <v>74</v>
      </c>
      <c r="D122" s="2" t="s">
        <v>74</v>
      </c>
      <c r="E122" s="2" t="s">
        <v>74</v>
      </c>
      <c r="F122" s="2" t="s">
        <v>127</v>
      </c>
      <c r="G122" s="2" t="s">
        <v>74</v>
      </c>
      <c r="H122" s="2" t="s">
        <v>74</v>
      </c>
      <c r="I122" s="2" t="s">
        <v>128</v>
      </c>
      <c r="J122" s="2" t="s">
        <v>129</v>
      </c>
      <c r="K122" s="2" t="s">
        <v>74</v>
      </c>
      <c r="L122" s="2" t="s">
        <v>74</v>
      </c>
      <c r="M122" s="2" t="s">
        <v>74</v>
      </c>
      <c r="N122" s="2" t="s">
        <v>74</v>
      </c>
      <c r="O122" s="2" t="s">
        <v>74</v>
      </c>
      <c r="P122" s="2" t="s">
        <v>74</v>
      </c>
      <c r="Q122" s="2" t="s">
        <v>74</v>
      </c>
      <c r="R122" s="2" t="s">
        <v>74</v>
      </c>
      <c r="S122" s="2" t="s">
        <v>74</v>
      </c>
      <c r="T122" s="2" t="s">
        <v>74</v>
      </c>
      <c r="U122" s="2" t="s">
        <v>74</v>
      </c>
      <c r="V122" s="5" t="s">
        <v>130</v>
      </c>
      <c r="W122" s="2" t="s">
        <v>74</v>
      </c>
      <c r="X122" s="2" t="s">
        <v>74</v>
      </c>
      <c r="Y122" s="2" t="s">
        <v>74</v>
      </c>
      <c r="Z122" s="2" t="s">
        <v>74</v>
      </c>
      <c r="AA122" s="2" t="s">
        <v>74</v>
      </c>
      <c r="AB122" s="2" t="s">
        <v>131</v>
      </c>
      <c r="AC122" s="2" t="s">
        <v>74</v>
      </c>
      <c r="AD122" s="2" t="s">
        <v>74</v>
      </c>
      <c r="AE122" s="2" t="s">
        <v>74</v>
      </c>
      <c r="AF122" s="2" t="s">
        <v>74</v>
      </c>
      <c r="AG122" s="2" t="s">
        <v>74</v>
      </c>
      <c r="AH122" s="2" t="s">
        <v>74</v>
      </c>
      <c r="AI122" s="2" t="s">
        <v>74</v>
      </c>
      <c r="AJ122" s="2" t="s">
        <v>74</v>
      </c>
      <c r="AK122" s="2" t="s">
        <v>74</v>
      </c>
      <c r="AL122" s="2" t="s">
        <v>74</v>
      </c>
      <c r="AM122" s="2" t="s">
        <v>74</v>
      </c>
      <c r="AN122" s="2" t="s">
        <v>74</v>
      </c>
      <c r="AO122" s="2" t="s">
        <v>132</v>
      </c>
      <c r="AP122" s="2" t="s">
        <v>133</v>
      </c>
      <c r="AQ122" s="2" t="s">
        <v>74</v>
      </c>
      <c r="AR122" s="2" t="s">
        <v>74</v>
      </c>
      <c r="AS122" s="2" t="s">
        <v>74</v>
      </c>
      <c r="AT122" s="2" t="s">
        <v>134</v>
      </c>
      <c r="AU122" s="2">
        <v>2016</v>
      </c>
      <c r="AV122" s="2">
        <v>70</v>
      </c>
      <c r="AW122" s="2">
        <v>5</v>
      </c>
      <c r="AX122" s="2" t="s">
        <v>74</v>
      </c>
      <c r="AY122" s="2" t="s">
        <v>74</v>
      </c>
      <c r="AZ122" s="2" t="s">
        <v>74</v>
      </c>
      <c r="BA122" s="2" t="s">
        <v>74</v>
      </c>
      <c r="BB122" s="2">
        <v>647</v>
      </c>
      <c r="BC122" s="2">
        <v>657</v>
      </c>
      <c r="BD122" s="2" t="s">
        <v>74</v>
      </c>
      <c r="BE122" s="2" t="s">
        <v>135</v>
      </c>
      <c r="BF122" s="2" t="str">
        <f>HYPERLINK("http://dx.doi.org/10.1007/s00265-016-2085-3","http://dx.doi.org/10.1007/s00265-016-2085-3")</f>
        <v>http://dx.doi.org/10.1007/s00265-016-2085-3</v>
      </c>
      <c r="BG122" s="2" t="s">
        <v>74</v>
      </c>
      <c r="BH122" s="2" t="s">
        <v>74</v>
      </c>
      <c r="BI122" s="2" t="s">
        <v>74</v>
      </c>
      <c r="BJ122" s="2" t="s">
        <v>74</v>
      </c>
      <c r="BK122" s="2" t="s">
        <v>74</v>
      </c>
      <c r="BL122" s="2" t="s">
        <v>74</v>
      </c>
      <c r="BM122" s="2" t="s">
        <v>74</v>
      </c>
      <c r="BN122" s="2" t="s">
        <v>74</v>
      </c>
      <c r="BO122" s="2" t="s">
        <v>74</v>
      </c>
      <c r="BP122" s="2" t="s">
        <v>74</v>
      </c>
      <c r="BQ122" s="2" t="s">
        <v>74</v>
      </c>
      <c r="BR122" s="2" t="s">
        <v>74</v>
      </c>
      <c r="BS122" s="2" t="s">
        <v>136</v>
      </c>
      <c r="BT122" s="2" t="str">
        <f>HYPERLINK("https%3A%2F%2Fwww.webofscience.com%2Fwos%2Fwoscc%2Ffull-record%2FWOS:000374563600001","View Full Record in Web of Science")</f>
        <v>View Full Record in Web of Science</v>
      </c>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row>
    <row r="123" spans="1:314" s="2" customFormat="1" x14ac:dyDescent="0.4">
      <c r="A123" s="2" t="s">
        <v>72</v>
      </c>
      <c r="B123" s="2" t="s">
        <v>7325</v>
      </c>
      <c r="C123" s="2" t="s">
        <v>74</v>
      </c>
      <c r="D123" s="2" t="s">
        <v>74</v>
      </c>
      <c r="E123" s="2" t="s">
        <v>74</v>
      </c>
      <c r="F123" s="2" t="s">
        <v>7326</v>
      </c>
      <c r="G123" s="2" t="s">
        <v>74</v>
      </c>
      <c r="H123" s="2" t="s">
        <v>74</v>
      </c>
      <c r="I123" s="2" t="s">
        <v>7327</v>
      </c>
      <c r="J123" s="2" t="s">
        <v>129</v>
      </c>
      <c r="K123" s="2" t="s">
        <v>74</v>
      </c>
      <c r="L123" s="2" t="s">
        <v>74</v>
      </c>
      <c r="M123" s="2" t="s">
        <v>74</v>
      </c>
      <c r="N123" s="2" t="s">
        <v>74</v>
      </c>
      <c r="O123" s="2" t="s">
        <v>74</v>
      </c>
      <c r="P123" s="2" t="s">
        <v>74</v>
      </c>
      <c r="Q123" s="2" t="s">
        <v>74</v>
      </c>
      <c r="R123" s="2" t="s">
        <v>74</v>
      </c>
      <c r="S123" s="2" t="s">
        <v>74</v>
      </c>
      <c r="T123" s="2" t="s">
        <v>74</v>
      </c>
      <c r="U123" s="2" t="s">
        <v>74</v>
      </c>
      <c r="V123" s="5" t="s">
        <v>7328</v>
      </c>
      <c r="W123" s="2" t="s">
        <v>74</v>
      </c>
      <c r="X123" s="2" t="s">
        <v>74</v>
      </c>
      <c r="Y123" s="2" t="s">
        <v>74</v>
      </c>
      <c r="Z123" s="2" t="s">
        <v>74</v>
      </c>
      <c r="AA123" s="2" t="s">
        <v>74</v>
      </c>
      <c r="AB123" s="2" t="s">
        <v>7329</v>
      </c>
      <c r="AC123" s="2" t="s">
        <v>74</v>
      </c>
      <c r="AD123" s="2" t="s">
        <v>74</v>
      </c>
      <c r="AE123" s="2" t="s">
        <v>74</v>
      </c>
      <c r="AF123" s="2" t="s">
        <v>74</v>
      </c>
      <c r="AG123" s="2" t="s">
        <v>74</v>
      </c>
      <c r="AH123" s="2" t="s">
        <v>74</v>
      </c>
      <c r="AI123" s="2" t="s">
        <v>74</v>
      </c>
      <c r="AJ123" s="2" t="s">
        <v>74</v>
      </c>
      <c r="AK123" s="2" t="s">
        <v>74</v>
      </c>
      <c r="AL123" s="2" t="s">
        <v>74</v>
      </c>
      <c r="AM123" s="2" t="s">
        <v>74</v>
      </c>
      <c r="AN123" s="2" t="s">
        <v>74</v>
      </c>
      <c r="AO123" s="2" t="s">
        <v>132</v>
      </c>
      <c r="AP123" s="2" t="s">
        <v>133</v>
      </c>
      <c r="AQ123" s="2" t="s">
        <v>74</v>
      </c>
      <c r="AR123" s="2" t="s">
        <v>74</v>
      </c>
      <c r="AS123" s="2" t="s">
        <v>74</v>
      </c>
      <c r="AT123" s="2" t="s">
        <v>213</v>
      </c>
      <c r="AU123" s="2">
        <v>2022</v>
      </c>
      <c r="AV123" s="2">
        <v>76</v>
      </c>
      <c r="AW123" s="2">
        <v>11</v>
      </c>
      <c r="AX123" s="2" t="s">
        <v>74</v>
      </c>
      <c r="AY123" s="2" t="s">
        <v>74</v>
      </c>
      <c r="AZ123" s="2" t="s">
        <v>74</v>
      </c>
      <c r="BA123" s="2" t="s">
        <v>74</v>
      </c>
      <c r="BB123" s="2" t="s">
        <v>74</v>
      </c>
      <c r="BC123" s="2" t="s">
        <v>74</v>
      </c>
      <c r="BD123" s="2">
        <v>153</v>
      </c>
      <c r="BE123" s="2" t="s">
        <v>7330</v>
      </c>
      <c r="BF123" s="2" t="str">
        <f>HYPERLINK("http://dx.doi.org/10.1007/s00265-022-03256-9","http://dx.doi.org/10.1007/s00265-022-03256-9")</f>
        <v>http://dx.doi.org/10.1007/s00265-022-03256-9</v>
      </c>
      <c r="BG123" s="2" t="s">
        <v>74</v>
      </c>
      <c r="BH123" s="2" t="s">
        <v>74</v>
      </c>
      <c r="BI123" s="2" t="s">
        <v>74</v>
      </c>
      <c r="BJ123" s="2" t="s">
        <v>74</v>
      </c>
      <c r="BK123" s="2" t="s">
        <v>74</v>
      </c>
      <c r="BL123" s="2" t="s">
        <v>74</v>
      </c>
      <c r="BM123" s="2" t="s">
        <v>74</v>
      </c>
      <c r="BN123" s="2" t="s">
        <v>74</v>
      </c>
      <c r="BO123" s="2" t="s">
        <v>74</v>
      </c>
      <c r="BP123" s="2" t="s">
        <v>74</v>
      </c>
      <c r="BQ123" s="2" t="s">
        <v>74</v>
      </c>
      <c r="BR123" s="2" t="s">
        <v>74</v>
      </c>
      <c r="BS123" s="2" t="s">
        <v>7331</v>
      </c>
      <c r="BT123" s="2" t="str">
        <f>HYPERLINK("https%3A%2F%2Fwww.webofscience.com%2Fwos%2Fwoscc%2Ffull-record%2FWOS:000878648300001","View Full Record in Web of Science")</f>
        <v>View Full Record in Web of Science</v>
      </c>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row>
    <row r="124" spans="1:314" s="1" customFormat="1" x14ac:dyDescent="0.4">
      <c r="A124" s="2" t="s">
        <v>72</v>
      </c>
      <c r="B124" s="2" t="s">
        <v>935</v>
      </c>
      <c r="C124" s="2" t="s">
        <v>74</v>
      </c>
      <c r="D124" s="2" t="s">
        <v>74</v>
      </c>
      <c r="E124" s="2" t="s">
        <v>74</v>
      </c>
      <c r="F124" s="2" t="s">
        <v>936</v>
      </c>
      <c r="G124" s="2" t="s">
        <v>74</v>
      </c>
      <c r="H124" s="2" t="s">
        <v>74</v>
      </c>
      <c r="I124" s="2" t="s">
        <v>937</v>
      </c>
      <c r="J124" s="2" t="s">
        <v>108</v>
      </c>
      <c r="K124" s="2" t="s">
        <v>74</v>
      </c>
      <c r="L124" s="2" t="s">
        <v>74</v>
      </c>
      <c r="M124" s="2" t="s">
        <v>74</v>
      </c>
      <c r="N124" s="2" t="s">
        <v>74</v>
      </c>
      <c r="O124" s="2" t="s">
        <v>74</v>
      </c>
      <c r="P124" s="2" t="s">
        <v>74</v>
      </c>
      <c r="Q124" s="2" t="s">
        <v>74</v>
      </c>
      <c r="R124" s="2" t="s">
        <v>74</v>
      </c>
      <c r="S124" s="2" t="s">
        <v>74</v>
      </c>
      <c r="T124" s="2" t="s">
        <v>74</v>
      </c>
      <c r="U124" s="2" t="s">
        <v>74</v>
      </c>
      <c r="V124" s="5" t="s">
        <v>938</v>
      </c>
      <c r="W124" s="2" t="s">
        <v>74</v>
      </c>
      <c r="X124" s="2" t="s">
        <v>74</v>
      </c>
      <c r="Y124" s="2" t="s">
        <v>74</v>
      </c>
      <c r="Z124" s="2" t="s">
        <v>74</v>
      </c>
      <c r="AA124" s="2" t="s">
        <v>623</v>
      </c>
      <c r="AB124" s="2" t="s">
        <v>624</v>
      </c>
      <c r="AC124" s="2" t="s">
        <v>74</v>
      </c>
      <c r="AD124" s="2" t="s">
        <v>74</v>
      </c>
      <c r="AE124" s="2" t="s">
        <v>74</v>
      </c>
      <c r="AF124" s="2" t="s">
        <v>74</v>
      </c>
      <c r="AG124" s="2" t="s">
        <v>74</v>
      </c>
      <c r="AH124" s="2" t="s">
        <v>74</v>
      </c>
      <c r="AI124" s="2" t="s">
        <v>74</v>
      </c>
      <c r="AJ124" s="2" t="s">
        <v>74</v>
      </c>
      <c r="AK124" s="2" t="s">
        <v>74</v>
      </c>
      <c r="AL124" s="2" t="s">
        <v>74</v>
      </c>
      <c r="AM124" s="2" t="s">
        <v>74</v>
      </c>
      <c r="AN124" s="2" t="s">
        <v>74</v>
      </c>
      <c r="AO124" s="2" t="s">
        <v>111</v>
      </c>
      <c r="AP124" s="2" t="s">
        <v>112</v>
      </c>
      <c r="AQ124" s="2" t="s">
        <v>74</v>
      </c>
      <c r="AR124" s="2" t="s">
        <v>74</v>
      </c>
      <c r="AS124" s="2" t="s">
        <v>74</v>
      </c>
      <c r="AT124" s="2" t="s">
        <v>939</v>
      </c>
      <c r="AU124" s="2">
        <v>2010</v>
      </c>
      <c r="AV124" s="2">
        <v>277</v>
      </c>
      <c r="AW124" s="2">
        <v>1700</v>
      </c>
      <c r="AX124" s="2" t="s">
        <v>74</v>
      </c>
      <c r="AY124" s="2" t="s">
        <v>74</v>
      </c>
      <c r="AZ124" s="2" t="s">
        <v>74</v>
      </c>
      <c r="BA124" s="2" t="s">
        <v>74</v>
      </c>
      <c r="BB124" s="2">
        <v>3669</v>
      </c>
      <c r="BC124" s="2">
        <v>3675</v>
      </c>
      <c r="BD124" s="2" t="s">
        <v>74</v>
      </c>
      <c r="BE124" s="2" t="s">
        <v>940</v>
      </c>
      <c r="BF124" s="2" t="str">
        <f>HYPERLINK("http://dx.doi.org/10.1098/rspb.2010.0935","http://dx.doi.org/10.1098/rspb.2010.0935")</f>
        <v>http://dx.doi.org/10.1098/rspb.2010.0935</v>
      </c>
      <c r="BG124" s="2" t="s">
        <v>74</v>
      </c>
      <c r="BH124" s="2" t="s">
        <v>74</v>
      </c>
      <c r="BI124" s="2" t="s">
        <v>74</v>
      </c>
      <c r="BJ124" s="2" t="s">
        <v>74</v>
      </c>
      <c r="BK124" s="2" t="s">
        <v>74</v>
      </c>
      <c r="BL124" s="2" t="s">
        <v>74</v>
      </c>
      <c r="BM124" s="2" t="s">
        <v>74</v>
      </c>
      <c r="BN124" s="2">
        <v>20591870</v>
      </c>
      <c r="BO124" s="2" t="s">
        <v>74</v>
      </c>
      <c r="BP124" s="2" t="s">
        <v>74</v>
      </c>
      <c r="BQ124" s="2" t="s">
        <v>74</v>
      </c>
      <c r="BR124" s="2" t="s">
        <v>74</v>
      </c>
      <c r="BS124" s="2" t="s">
        <v>941</v>
      </c>
      <c r="BT124" s="2" t="str">
        <f>HYPERLINK("https%3A%2F%2Fwww.webofscience.com%2Fwos%2Fwoscc%2Ffull-record%2FWOS:000283450100017","View Full Record in Web of Science")</f>
        <v>View Full Record in Web of Science</v>
      </c>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row>
    <row r="125" spans="1:314" s="2" customFormat="1" x14ac:dyDescent="0.4">
      <c r="A125" s="2" t="s">
        <v>72</v>
      </c>
      <c r="B125" s="2" t="s">
        <v>1539</v>
      </c>
      <c r="C125" s="2" t="s">
        <v>74</v>
      </c>
      <c r="D125" s="2" t="s">
        <v>74</v>
      </c>
      <c r="E125" s="2" t="s">
        <v>74</v>
      </c>
      <c r="F125" s="2" t="s">
        <v>1539</v>
      </c>
      <c r="G125" s="2" t="s">
        <v>74</v>
      </c>
      <c r="H125" s="2" t="s">
        <v>74</v>
      </c>
      <c r="I125" s="2" t="s">
        <v>1540</v>
      </c>
      <c r="J125" s="2" t="s">
        <v>1541</v>
      </c>
      <c r="K125" s="2" t="s">
        <v>74</v>
      </c>
      <c r="L125" s="2" t="s">
        <v>74</v>
      </c>
      <c r="M125" s="2" t="s">
        <v>74</v>
      </c>
      <c r="N125" s="2" t="s">
        <v>74</v>
      </c>
      <c r="O125" s="2" t="s">
        <v>74</v>
      </c>
      <c r="P125" s="2" t="s">
        <v>74</v>
      </c>
      <c r="Q125" s="2" t="s">
        <v>74</v>
      </c>
      <c r="R125" s="2" t="s">
        <v>74</v>
      </c>
      <c r="S125" s="2" t="s">
        <v>74</v>
      </c>
      <c r="T125" s="2" t="s">
        <v>74</v>
      </c>
      <c r="U125" s="2" t="s">
        <v>74</v>
      </c>
      <c r="V125" s="5" t="s">
        <v>1542</v>
      </c>
      <c r="W125" s="2" t="s">
        <v>74</v>
      </c>
      <c r="X125" s="2" t="s">
        <v>74</v>
      </c>
      <c r="Y125" s="2" t="s">
        <v>74</v>
      </c>
      <c r="Z125" s="2" t="s">
        <v>74</v>
      </c>
      <c r="AA125" s="2" t="s">
        <v>74</v>
      </c>
      <c r="AB125" s="2" t="s">
        <v>74</v>
      </c>
      <c r="AC125" s="2" t="s">
        <v>74</v>
      </c>
      <c r="AD125" s="2" t="s">
        <v>74</v>
      </c>
      <c r="AE125" s="2" t="s">
        <v>74</v>
      </c>
      <c r="AF125" s="2" t="s">
        <v>74</v>
      </c>
      <c r="AG125" s="2" t="s">
        <v>74</v>
      </c>
      <c r="AH125" s="2" t="s">
        <v>74</v>
      </c>
      <c r="AI125" s="2" t="s">
        <v>74</v>
      </c>
      <c r="AJ125" s="2" t="s">
        <v>74</v>
      </c>
      <c r="AK125" s="2" t="s">
        <v>74</v>
      </c>
      <c r="AL125" s="2" t="s">
        <v>74</v>
      </c>
      <c r="AM125" s="2" t="s">
        <v>74</v>
      </c>
      <c r="AN125" s="2" t="s">
        <v>74</v>
      </c>
      <c r="AO125" s="2" t="s">
        <v>1543</v>
      </c>
      <c r="AP125" s="2" t="s">
        <v>1544</v>
      </c>
      <c r="AQ125" s="2" t="s">
        <v>74</v>
      </c>
      <c r="AR125" s="2" t="s">
        <v>74</v>
      </c>
      <c r="AS125" s="2" t="s">
        <v>74</v>
      </c>
      <c r="AT125" s="2" t="s">
        <v>134</v>
      </c>
      <c r="AU125" s="2">
        <v>2001</v>
      </c>
      <c r="AV125" s="2">
        <v>82</v>
      </c>
      <c r="AW125" s="2">
        <v>5</v>
      </c>
      <c r="AX125" s="2" t="s">
        <v>74</v>
      </c>
      <c r="AY125" s="2" t="s">
        <v>74</v>
      </c>
      <c r="AZ125" s="2" t="s">
        <v>74</v>
      </c>
      <c r="BA125" s="2" t="s">
        <v>74</v>
      </c>
      <c r="BB125" s="2">
        <v>1433</v>
      </c>
      <c r="BC125" s="2">
        <v>1442</v>
      </c>
      <c r="BD125" s="2" t="s">
        <v>74</v>
      </c>
      <c r="BE125" s="2" t="s">
        <v>1545</v>
      </c>
      <c r="BF125" s="2" t="str">
        <f>HYPERLINK("http://dx.doi.org/10.1890/0012-9658(2001)082[1433:PFANTR]2.0.CO;2","http://dx.doi.org/10.1890/0012-9658(2001)082[1433:PFANTR]2.0.CO;2")</f>
        <v>http://dx.doi.org/10.1890/0012-9658(2001)082[1433:PFANTR]2.0.CO;2</v>
      </c>
      <c r="BG125" s="2" t="s">
        <v>74</v>
      </c>
      <c r="BH125" s="2" t="s">
        <v>74</v>
      </c>
      <c r="BI125" s="2" t="s">
        <v>74</v>
      </c>
      <c r="BJ125" s="2" t="s">
        <v>74</v>
      </c>
      <c r="BK125" s="2" t="s">
        <v>74</v>
      </c>
      <c r="BL125" s="2" t="s">
        <v>74</v>
      </c>
      <c r="BM125" s="2" t="s">
        <v>74</v>
      </c>
      <c r="BN125" s="2" t="s">
        <v>74</v>
      </c>
      <c r="BO125" s="2" t="s">
        <v>74</v>
      </c>
      <c r="BP125" s="2" t="s">
        <v>74</v>
      </c>
      <c r="BQ125" s="2" t="s">
        <v>74</v>
      </c>
      <c r="BR125" s="2" t="s">
        <v>74</v>
      </c>
      <c r="BS125" s="2" t="s">
        <v>1546</v>
      </c>
      <c r="BT125" s="2" t="str">
        <f>HYPERLINK("https%3A%2F%2Fwww.webofscience.com%2Fwos%2Fwoscc%2Ffull-record%2FWOS:000168844200018","View Full Record in Web of Science")</f>
        <v>View Full Record in Web of Science</v>
      </c>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row>
    <row r="126" spans="1:314" s="2" customFormat="1" x14ac:dyDescent="0.4">
      <c r="A126" s="2" t="s">
        <v>72</v>
      </c>
      <c r="B126" s="2" t="s">
        <v>4561</v>
      </c>
      <c r="C126" s="2" t="s">
        <v>74</v>
      </c>
      <c r="D126" s="2" t="s">
        <v>74</v>
      </c>
      <c r="E126" s="2" t="s">
        <v>74</v>
      </c>
      <c r="F126" s="2" t="s">
        <v>4562</v>
      </c>
      <c r="G126" s="2" t="s">
        <v>74</v>
      </c>
      <c r="H126" s="2" t="s">
        <v>74</v>
      </c>
      <c r="I126" s="2" t="s">
        <v>4563</v>
      </c>
      <c r="J126" s="2" t="s">
        <v>129</v>
      </c>
      <c r="K126" s="2" t="s">
        <v>74</v>
      </c>
      <c r="L126" s="2" t="s">
        <v>74</v>
      </c>
      <c r="M126" s="2" t="s">
        <v>74</v>
      </c>
      <c r="N126" s="2" t="s">
        <v>74</v>
      </c>
      <c r="O126" s="2" t="s">
        <v>74</v>
      </c>
      <c r="P126" s="2" t="s">
        <v>74</v>
      </c>
      <c r="Q126" s="2" t="s">
        <v>74</v>
      </c>
      <c r="R126" s="2" t="s">
        <v>74</v>
      </c>
      <c r="S126" s="2" t="s">
        <v>74</v>
      </c>
      <c r="T126" s="2" t="s">
        <v>74</v>
      </c>
      <c r="U126" s="2" t="s">
        <v>74</v>
      </c>
      <c r="V126" s="5" t="s">
        <v>4564</v>
      </c>
      <c r="W126" s="2" t="s">
        <v>74</v>
      </c>
      <c r="X126" s="2" t="s">
        <v>74</v>
      </c>
      <c r="Y126" s="2" t="s">
        <v>74</v>
      </c>
      <c r="Z126" s="2" t="s">
        <v>74</v>
      </c>
      <c r="AA126" s="2" t="s">
        <v>74</v>
      </c>
      <c r="AB126" s="2" t="s">
        <v>74</v>
      </c>
      <c r="AC126" s="2" t="s">
        <v>74</v>
      </c>
      <c r="AD126" s="2" t="s">
        <v>74</v>
      </c>
      <c r="AE126" s="2" t="s">
        <v>74</v>
      </c>
      <c r="AF126" s="2" t="s">
        <v>74</v>
      </c>
      <c r="AG126" s="2" t="s">
        <v>74</v>
      </c>
      <c r="AH126" s="2" t="s">
        <v>74</v>
      </c>
      <c r="AI126" s="2" t="s">
        <v>74</v>
      </c>
      <c r="AJ126" s="2" t="s">
        <v>74</v>
      </c>
      <c r="AK126" s="2" t="s">
        <v>74</v>
      </c>
      <c r="AL126" s="2" t="s">
        <v>74</v>
      </c>
      <c r="AM126" s="2" t="s">
        <v>74</v>
      </c>
      <c r="AN126" s="2" t="s">
        <v>74</v>
      </c>
      <c r="AO126" s="2" t="s">
        <v>132</v>
      </c>
      <c r="AP126" s="2" t="s">
        <v>133</v>
      </c>
      <c r="AQ126" s="2" t="s">
        <v>74</v>
      </c>
      <c r="AR126" s="2" t="s">
        <v>74</v>
      </c>
      <c r="AS126" s="2" t="s">
        <v>74</v>
      </c>
      <c r="AT126" s="2" t="s">
        <v>633</v>
      </c>
      <c r="AU126" s="2">
        <v>2015</v>
      </c>
      <c r="AV126" s="2">
        <v>69</v>
      </c>
      <c r="AW126" s="2">
        <v>4</v>
      </c>
      <c r="AX126" s="2" t="s">
        <v>74</v>
      </c>
      <c r="AY126" s="2" t="s">
        <v>74</v>
      </c>
      <c r="AZ126" s="2" t="s">
        <v>74</v>
      </c>
      <c r="BA126" s="2" t="s">
        <v>74</v>
      </c>
      <c r="BB126" s="2">
        <v>571</v>
      </c>
      <c r="BC126" s="2">
        <v>581</v>
      </c>
      <c r="BD126" s="2" t="s">
        <v>74</v>
      </c>
      <c r="BE126" s="2" t="s">
        <v>4565</v>
      </c>
      <c r="BF126" s="2" t="str">
        <f>HYPERLINK("http://dx.doi.org/10.1007/s00265-014-1868-7","http://dx.doi.org/10.1007/s00265-014-1868-7")</f>
        <v>http://dx.doi.org/10.1007/s00265-014-1868-7</v>
      </c>
      <c r="BG126" s="2" t="s">
        <v>74</v>
      </c>
      <c r="BH126" s="2" t="s">
        <v>74</v>
      </c>
      <c r="BI126" s="2" t="s">
        <v>74</v>
      </c>
      <c r="BJ126" s="2" t="s">
        <v>74</v>
      </c>
      <c r="BK126" s="2" t="s">
        <v>74</v>
      </c>
      <c r="BL126" s="2" t="s">
        <v>74</v>
      </c>
      <c r="BM126" s="2" t="s">
        <v>74</v>
      </c>
      <c r="BN126" s="2" t="s">
        <v>74</v>
      </c>
      <c r="BO126" s="2" t="s">
        <v>74</v>
      </c>
      <c r="BP126" s="2" t="s">
        <v>74</v>
      </c>
      <c r="BQ126" s="2" t="s">
        <v>74</v>
      </c>
      <c r="BR126" s="2" t="s">
        <v>74</v>
      </c>
      <c r="BS126" s="2" t="s">
        <v>4566</v>
      </c>
      <c r="BT126" s="2" t="str">
        <f>HYPERLINK("https%3A%2F%2Fwww.webofscience.com%2Fwos%2Fwoscc%2Ffull-record%2FWOS:000351235100007","View Full Record in Web of Science")</f>
        <v>View Full Record in Web of Science</v>
      </c>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row>
    <row r="127" spans="1:314" s="2" customFormat="1" x14ac:dyDescent="0.4">
      <c r="A127" s="2" t="s">
        <v>72</v>
      </c>
      <c r="B127" s="2" t="s">
        <v>1435</v>
      </c>
      <c r="C127" s="2" t="s">
        <v>74</v>
      </c>
      <c r="D127" s="2" t="s">
        <v>74</v>
      </c>
      <c r="E127" s="2" t="s">
        <v>74</v>
      </c>
      <c r="F127" s="2" t="s">
        <v>1435</v>
      </c>
      <c r="G127" s="2" t="s">
        <v>74</v>
      </c>
      <c r="H127" s="2" t="s">
        <v>74</v>
      </c>
      <c r="I127" s="2" t="s">
        <v>1436</v>
      </c>
      <c r="J127" s="2" t="s">
        <v>1437</v>
      </c>
      <c r="K127" s="2" t="s">
        <v>74</v>
      </c>
      <c r="L127" s="2" t="s">
        <v>74</v>
      </c>
      <c r="M127" s="2" t="s">
        <v>74</v>
      </c>
      <c r="N127" s="2" t="s">
        <v>74</v>
      </c>
      <c r="O127" s="2" t="s">
        <v>74</v>
      </c>
      <c r="P127" s="2" t="s">
        <v>74</v>
      </c>
      <c r="Q127" s="2" t="s">
        <v>74</v>
      </c>
      <c r="R127" s="2" t="s">
        <v>74</v>
      </c>
      <c r="S127" s="2" t="s">
        <v>74</v>
      </c>
      <c r="T127" s="2" t="s">
        <v>74</v>
      </c>
      <c r="U127" s="2" t="s">
        <v>74</v>
      </c>
      <c r="V127" s="5" t="s">
        <v>1438</v>
      </c>
      <c r="W127" s="2" t="s">
        <v>74</v>
      </c>
      <c r="X127" s="2" t="s">
        <v>74</v>
      </c>
      <c r="Y127" s="2" t="s">
        <v>74</v>
      </c>
      <c r="Z127" s="2" t="s">
        <v>74</v>
      </c>
      <c r="AA127" s="2" t="s">
        <v>1439</v>
      </c>
      <c r="AB127" s="2" t="s">
        <v>74</v>
      </c>
      <c r="AC127" s="2" t="s">
        <v>74</v>
      </c>
      <c r="AD127" s="2" t="s">
        <v>74</v>
      </c>
      <c r="AE127" s="2" t="s">
        <v>74</v>
      </c>
      <c r="AF127" s="2" t="s">
        <v>74</v>
      </c>
      <c r="AG127" s="2" t="s">
        <v>74</v>
      </c>
      <c r="AH127" s="2" t="s">
        <v>74</v>
      </c>
      <c r="AI127" s="2" t="s">
        <v>74</v>
      </c>
      <c r="AJ127" s="2" t="s">
        <v>74</v>
      </c>
      <c r="AK127" s="2" t="s">
        <v>74</v>
      </c>
      <c r="AL127" s="2" t="s">
        <v>74</v>
      </c>
      <c r="AM127" s="2" t="s">
        <v>74</v>
      </c>
      <c r="AN127" s="2" t="s">
        <v>74</v>
      </c>
      <c r="AO127" s="2" t="s">
        <v>1440</v>
      </c>
      <c r="AP127" s="2" t="s">
        <v>74</v>
      </c>
      <c r="AQ127" s="2" t="s">
        <v>74</v>
      </c>
      <c r="AR127" s="2" t="s">
        <v>74</v>
      </c>
      <c r="AS127" s="2" t="s">
        <v>74</v>
      </c>
      <c r="AT127" s="2" t="s">
        <v>123</v>
      </c>
      <c r="AU127" s="2">
        <v>1999</v>
      </c>
      <c r="AV127" s="2">
        <v>82</v>
      </c>
      <c r="AW127" s="2" t="s">
        <v>74</v>
      </c>
      <c r="AX127" s="2">
        <v>3</v>
      </c>
      <c r="AY127" s="2" t="s">
        <v>74</v>
      </c>
      <c r="AZ127" s="2" t="s">
        <v>74</v>
      </c>
      <c r="BA127" s="2" t="s">
        <v>74</v>
      </c>
      <c r="BB127" s="2">
        <v>328</v>
      </c>
      <c r="BC127" s="2">
        <v>335</v>
      </c>
      <c r="BD127" s="2" t="s">
        <v>74</v>
      </c>
      <c r="BE127" s="2" t="s">
        <v>1441</v>
      </c>
      <c r="BF127" s="2" t="str">
        <f>HYPERLINK("http://dx.doi.org/10.1038/sj.hdy.6884930","http://dx.doi.org/10.1038/sj.hdy.6884930")</f>
        <v>http://dx.doi.org/10.1038/sj.hdy.6884930</v>
      </c>
      <c r="BG127" s="2" t="s">
        <v>74</v>
      </c>
      <c r="BH127" s="2" t="s">
        <v>74</v>
      </c>
      <c r="BI127" s="2" t="s">
        <v>74</v>
      </c>
      <c r="BJ127" s="2" t="s">
        <v>74</v>
      </c>
      <c r="BK127" s="2" t="s">
        <v>74</v>
      </c>
      <c r="BL127" s="2" t="s">
        <v>74</v>
      </c>
      <c r="BM127" s="2" t="s">
        <v>74</v>
      </c>
      <c r="BN127" s="2">
        <v>10336708</v>
      </c>
      <c r="BO127" s="2" t="s">
        <v>74</v>
      </c>
      <c r="BP127" s="2" t="s">
        <v>74</v>
      </c>
      <c r="BQ127" s="2" t="s">
        <v>74</v>
      </c>
      <c r="BR127" s="2" t="s">
        <v>74</v>
      </c>
      <c r="BS127" s="2" t="s">
        <v>1442</v>
      </c>
      <c r="BT127" s="2" t="str">
        <f>HYPERLINK("https%3A%2F%2Fwww.webofscience.com%2Fwos%2Fwoscc%2Ffull-record%2FWOS:000080078300013","View Full Record in Web of Science")</f>
        <v>View Full Record in Web of Science</v>
      </c>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row>
    <row r="128" spans="1:314" s="2" customFormat="1" x14ac:dyDescent="0.4">
      <c r="A128" s="2" t="s">
        <v>72</v>
      </c>
      <c r="B128" s="2" t="s">
        <v>2993</v>
      </c>
      <c r="C128" s="2" t="s">
        <v>74</v>
      </c>
      <c r="D128" s="2" t="s">
        <v>74</v>
      </c>
      <c r="E128" s="2" t="s">
        <v>74</v>
      </c>
      <c r="F128" s="2" t="s">
        <v>2993</v>
      </c>
      <c r="G128" s="2" t="s">
        <v>74</v>
      </c>
      <c r="H128" s="2" t="s">
        <v>74</v>
      </c>
      <c r="I128" s="2" t="s">
        <v>2994</v>
      </c>
      <c r="J128" s="2" t="s">
        <v>2995</v>
      </c>
      <c r="K128" s="2" t="s">
        <v>74</v>
      </c>
      <c r="L128" s="2" t="s">
        <v>74</v>
      </c>
      <c r="M128" s="2" t="s">
        <v>74</v>
      </c>
      <c r="N128" s="2" t="s">
        <v>74</v>
      </c>
      <c r="O128" s="2" t="s">
        <v>74</v>
      </c>
      <c r="P128" s="2" t="s">
        <v>74</v>
      </c>
      <c r="Q128" s="2" t="s">
        <v>74</v>
      </c>
      <c r="R128" s="2" t="s">
        <v>74</v>
      </c>
      <c r="S128" s="2" t="s">
        <v>74</v>
      </c>
      <c r="T128" s="2" t="s">
        <v>74</v>
      </c>
      <c r="U128" s="2" t="s">
        <v>74</v>
      </c>
      <c r="V128" s="5" t="s">
        <v>2996</v>
      </c>
      <c r="W128" s="2" t="s">
        <v>74</v>
      </c>
      <c r="X128" s="2" t="s">
        <v>74</v>
      </c>
      <c r="Y128" s="2" t="s">
        <v>74</v>
      </c>
      <c r="Z128" s="2" t="s">
        <v>74</v>
      </c>
      <c r="AA128" s="2" t="s">
        <v>74</v>
      </c>
      <c r="AB128" s="2" t="s">
        <v>74</v>
      </c>
      <c r="AC128" s="2" t="s">
        <v>74</v>
      </c>
      <c r="AD128" s="2" t="s">
        <v>74</v>
      </c>
      <c r="AE128" s="2" t="s">
        <v>74</v>
      </c>
      <c r="AF128" s="2" t="s">
        <v>74</v>
      </c>
      <c r="AG128" s="2" t="s">
        <v>74</v>
      </c>
      <c r="AH128" s="2" t="s">
        <v>74</v>
      </c>
      <c r="AI128" s="2" t="s">
        <v>74</v>
      </c>
      <c r="AJ128" s="2" t="s">
        <v>74</v>
      </c>
      <c r="AK128" s="2" t="s">
        <v>74</v>
      </c>
      <c r="AL128" s="2" t="s">
        <v>74</v>
      </c>
      <c r="AM128" s="2" t="s">
        <v>74</v>
      </c>
      <c r="AN128" s="2" t="s">
        <v>74</v>
      </c>
      <c r="AO128" s="2" t="s">
        <v>2997</v>
      </c>
      <c r="AP128" s="2" t="s">
        <v>2998</v>
      </c>
      <c r="AQ128" s="2" t="s">
        <v>74</v>
      </c>
      <c r="AR128" s="2" t="s">
        <v>74</v>
      </c>
      <c r="AS128" s="2" t="s">
        <v>74</v>
      </c>
      <c r="AT128" s="2" t="s">
        <v>305</v>
      </c>
      <c r="AU128" s="2">
        <v>1990</v>
      </c>
      <c r="AV128" s="2">
        <v>120</v>
      </c>
      <c r="AW128" s="2">
        <v>2</v>
      </c>
      <c r="AX128" s="2" t="s">
        <v>74</v>
      </c>
      <c r="AY128" s="2" t="s">
        <v>74</v>
      </c>
      <c r="AZ128" s="2" t="s">
        <v>74</v>
      </c>
      <c r="BA128" s="2" t="s">
        <v>74</v>
      </c>
      <c r="BB128" s="2">
        <v>165</v>
      </c>
      <c r="BC128" s="2">
        <v>193</v>
      </c>
      <c r="BD128" s="2" t="s">
        <v>74</v>
      </c>
      <c r="BE128" s="2" t="s">
        <v>74</v>
      </c>
      <c r="BF128" s="2" t="s">
        <v>74</v>
      </c>
      <c r="BG128" s="2" t="s">
        <v>74</v>
      </c>
      <c r="BH128" s="2" t="s">
        <v>74</v>
      </c>
      <c r="BI128" s="2" t="s">
        <v>74</v>
      </c>
      <c r="BJ128" s="2" t="s">
        <v>74</v>
      </c>
      <c r="BK128" s="2" t="s">
        <v>74</v>
      </c>
      <c r="BL128" s="2" t="s">
        <v>74</v>
      </c>
      <c r="BM128" s="2" t="s">
        <v>74</v>
      </c>
      <c r="BN128" s="2" t="s">
        <v>74</v>
      </c>
      <c r="BO128" s="2" t="s">
        <v>74</v>
      </c>
      <c r="BP128" s="2" t="s">
        <v>74</v>
      </c>
      <c r="BQ128" s="2" t="s">
        <v>74</v>
      </c>
      <c r="BR128" s="2" t="s">
        <v>74</v>
      </c>
      <c r="BS128" s="2" t="s">
        <v>2999</v>
      </c>
      <c r="BT128" s="2" t="str">
        <f>HYPERLINK("https%3A%2F%2Fwww.webofscience.com%2Fwos%2Fwoscc%2Ffull-record%2FWOS:A1990EQ64700004","View Full Record in Web of Science")</f>
        <v>View Full Record in Web of Science</v>
      </c>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row>
    <row r="129" spans="1:314" s="2" customFormat="1" x14ac:dyDescent="0.4">
      <c r="A129" s="2" t="s">
        <v>72</v>
      </c>
      <c r="B129" s="2" t="s">
        <v>3517</v>
      </c>
      <c r="C129" s="2" t="s">
        <v>74</v>
      </c>
      <c r="D129" s="2" t="s">
        <v>74</v>
      </c>
      <c r="E129" s="2" t="s">
        <v>74</v>
      </c>
      <c r="F129" s="2" t="s">
        <v>3518</v>
      </c>
      <c r="G129" s="2" t="s">
        <v>74</v>
      </c>
      <c r="H129" s="2" t="s">
        <v>74</v>
      </c>
      <c r="I129" s="2" t="s">
        <v>3519</v>
      </c>
      <c r="J129" s="2" t="s">
        <v>610</v>
      </c>
      <c r="K129" s="2" t="s">
        <v>74</v>
      </c>
      <c r="L129" s="2" t="s">
        <v>74</v>
      </c>
      <c r="M129" s="2" t="s">
        <v>74</v>
      </c>
      <c r="N129" s="2" t="s">
        <v>74</v>
      </c>
      <c r="O129" s="2" t="s">
        <v>74</v>
      </c>
      <c r="P129" s="2" t="s">
        <v>74</v>
      </c>
      <c r="Q129" s="2" t="s">
        <v>74</v>
      </c>
      <c r="R129" s="2" t="s">
        <v>74</v>
      </c>
      <c r="S129" s="2" t="s">
        <v>74</v>
      </c>
      <c r="T129" s="2" t="s">
        <v>74</v>
      </c>
      <c r="U129" s="2" t="s">
        <v>74</v>
      </c>
      <c r="V129" s="5" t="s">
        <v>3520</v>
      </c>
      <c r="W129" s="2" t="s">
        <v>74</v>
      </c>
      <c r="X129" s="2" t="s">
        <v>74</v>
      </c>
      <c r="Y129" s="2" t="s">
        <v>74</v>
      </c>
      <c r="Z129" s="2" t="s">
        <v>74</v>
      </c>
      <c r="AA129" s="2" t="s">
        <v>3521</v>
      </c>
      <c r="AB129" s="2" t="s">
        <v>3522</v>
      </c>
      <c r="AC129" s="2" t="s">
        <v>74</v>
      </c>
      <c r="AD129" s="2" t="s">
        <v>74</v>
      </c>
      <c r="AE129" s="2" t="s">
        <v>74</v>
      </c>
      <c r="AF129" s="2" t="s">
        <v>74</v>
      </c>
      <c r="AG129" s="2" t="s">
        <v>74</v>
      </c>
      <c r="AH129" s="2" t="s">
        <v>74</v>
      </c>
      <c r="AI129" s="2" t="s">
        <v>74</v>
      </c>
      <c r="AJ129" s="2" t="s">
        <v>74</v>
      </c>
      <c r="AK129" s="2" t="s">
        <v>74</v>
      </c>
      <c r="AL129" s="2" t="s">
        <v>74</v>
      </c>
      <c r="AM129" s="2" t="s">
        <v>74</v>
      </c>
      <c r="AN129" s="2" t="s">
        <v>74</v>
      </c>
      <c r="AO129" s="2" t="s">
        <v>614</v>
      </c>
      <c r="AP129" s="2" t="s">
        <v>74</v>
      </c>
      <c r="AQ129" s="2" t="s">
        <v>74</v>
      </c>
      <c r="AR129" s="2" t="s">
        <v>74</v>
      </c>
      <c r="AS129" s="2" t="s">
        <v>74</v>
      </c>
      <c r="AT129" s="2" t="s">
        <v>305</v>
      </c>
      <c r="AU129" s="2">
        <v>2011</v>
      </c>
      <c r="AV129" s="2">
        <v>117</v>
      </c>
      <c r="AW129" s="2">
        <v>12</v>
      </c>
      <c r="AX129" s="2" t="s">
        <v>74</v>
      </c>
      <c r="AY129" s="2" t="s">
        <v>74</v>
      </c>
      <c r="AZ129" s="2" t="s">
        <v>74</v>
      </c>
      <c r="BA129" s="2" t="s">
        <v>74</v>
      </c>
      <c r="BB129" s="2">
        <v>1128</v>
      </c>
      <c r="BC129" s="2">
        <v>1137</v>
      </c>
      <c r="BD129" s="2" t="s">
        <v>74</v>
      </c>
      <c r="BE129" s="2" t="s">
        <v>3523</v>
      </c>
      <c r="BF129" s="2" t="str">
        <f>HYPERLINK("http://dx.doi.org/10.1111/j.1439-0310.2011.01969.x","http://dx.doi.org/10.1111/j.1439-0310.2011.01969.x")</f>
        <v>http://dx.doi.org/10.1111/j.1439-0310.2011.01969.x</v>
      </c>
      <c r="BG129" s="2" t="s">
        <v>74</v>
      </c>
      <c r="BH129" s="2" t="s">
        <v>74</v>
      </c>
      <c r="BI129" s="2" t="s">
        <v>74</v>
      </c>
      <c r="BJ129" s="2" t="s">
        <v>74</v>
      </c>
      <c r="BK129" s="2" t="s">
        <v>74</v>
      </c>
      <c r="BL129" s="2" t="s">
        <v>74</v>
      </c>
      <c r="BM129" s="2" t="s">
        <v>74</v>
      </c>
      <c r="BN129" s="2" t="s">
        <v>74</v>
      </c>
      <c r="BO129" s="2" t="s">
        <v>74</v>
      </c>
      <c r="BP129" s="2" t="s">
        <v>74</v>
      </c>
      <c r="BQ129" s="2" t="s">
        <v>74</v>
      </c>
      <c r="BR129" s="2" t="s">
        <v>74</v>
      </c>
      <c r="BS129" s="2" t="s">
        <v>3524</v>
      </c>
      <c r="BT129" s="2" t="str">
        <f>HYPERLINK("https%3A%2F%2Fwww.webofscience.com%2Fwos%2Fwoscc%2Ffull-record%2FWOS:000297151600008","View Full Record in Web of Science")</f>
        <v>View Full Record in Web of Science</v>
      </c>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row>
    <row r="130" spans="1:314" s="2" customFormat="1" x14ac:dyDescent="0.4">
      <c r="A130" s="2" t="s">
        <v>72</v>
      </c>
      <c r="B130" s="2" t="s">
        <v>4158</v>
      </c>
      <c r="C130" s="2" t="s">
        <v>74</v>
      </c>
      <c r="D130" s="2" t="s">
        <v>74</v>
      </c>
      <c r="E130" s="2" t="s">
        <v>74</v>
      </c>
      <c r="F130" s="2" t="s">
        <v>4159</v>
      </c>
      <c r="G130" s="2" t="s">
        <v>74</v>
      </c>
      <c r="H130" s="2" t="s">
        <v>74</v>
      </c>
      <c r="I130" s="2" t="s">
        <v>4160</v>
      </c>
      <c r="J130" s="2" t="s">
        <v>1375</v>
      </c>
      <c r="K130" s="2" t="s">
        <v>74</v>
      </c>
      <c r="L130" s="2" t="s">
        <v>74</v>
      </c>
      <c r="M130" s="2" t="s">
        <v>74</v>
      </c>
      <c r="N130" s="2" t="s">
        <v>74</v>
      </c>
      <c r="O130" s="2" t="s">
        <v>74</v>
      </c>
      <c r="P130" s="2" t="s">
        <v>74</v>
      </c>
      <c r="Q130" s="2" t="s">
        <v>74</v>
      </c>
      <c r="R130" s="2" t="s">
        <v>74</v>
      </c>
      <c r="S130" s="2" t="s">
        <v>74</v>
      </c>
      <c r="T130" s="2" t="s">
        <v>74</v>
      </c>
      <c r="U130" s="2" t="s">
        <v>74</v>
      </c>
      <c r="V130" s="5" t="s">
        <v>4161</v>
      </c>
      <c r="W130" s="2" t="s">
        <v>74</v>
      </c>
      <c r="X130" s="2" t="s">
        <v>74</v>
      </c>
      <c r="Y130" s="2" t="s">
        <v>74</v>
      </c>
      <c r="Z130" s="2" t="s">
        <v>74</v>
      </c>
      <c r="AA130" s="2" t="s">
        <v>4162</v>
      </c>
      <c r="AB130" s="2" t="s">
        <v>4163</v>
      </c>
      <c r="AC130" s="2" t="s">
        <v>74</v>
      </c>
      <c r="AD130" s="2" t="s">
        <v>74</v>
      </c>
      <c r="AE130" s="2" t="s">
        <v>74</v>
      </c>
      <c r="AF130" s="2" t="s">
        <v>74</v>
      </c>
      <c r="AG130" s="2" t="s">
        <v>74</v>
      </c>
      <c r="AH130" s="2" t="s">
        <v>74</v>
      </c>
      <c r="AI130" s="2" t="s">
        <v>74</v>
      </c>
      <c r="AJ130" s="2" t="s">
        <v>74</v>
      </c>
      <c r="AK130" s="2" t="s">
        <v>74</v>
      </c>
      <c r="AL130" s="2" t="s">
        <v>74</v>
      </c>
      <c r="AM130" s="2" t="s">
        <v>74</v>
      </c>
      <c r="AN130" s="2" t="s">
        <v>74</v>
      </c>
      <c r="AO130" s="2" t="s">
        <v>1378</v>
      </c>
      <c r="AP130" s="2" t="s">
        <v>74</v>
      </c>
      <c r="AQ130" s="2" t="s">
        <v>74</v>
      </c>
      <c r="AR130" s="2" t="s">
        <v>74</v>
      </c>
      <c r="AS130" s="2" t="s">
        <v>74</v>
      </c>
      <c r="AT130" s="2" t="s">
        <v>4164</v>
      </c>
      <c r="AU130" s="2">
        <v>2021</v>
      </c>
      <c r="AV130" s="2">
        <v>12</v>
      </c>
      <c r="AW130" s="2">
        <v>1</v>
      </c>
      <c r="AX130" s="2" t="s">
        <v>74</v>
      </c>
      <c r="AY130" s="2" t="s">
        <v>74</v>
      </c>
      <c r="AZ130" s="2" t="s">
        <v>74</v>
      </c>
      <c r="BA130" s="2" t="s">
        <v>74</v>
      </c>
      <c r="BB130" s="2" t="s">
        <v>74</v>
      </c>
      <c r="BC130" s="2" t="s">
        <v>74</v>
      </c>
      <c r="BD130" s="2">
        <v>45</v>
      </c>
      <c r="BE130" s="2" t="s">
        <v>4165</v>
      </c>
      <c r="BF130" s="2" t="str">
        <f>HYPERLINK("http://dx.doi.org/10.1186/s40657-021-00280-7","http://dx.doi.org/10.1186/s40657-021-00280-7")</f>
        <v>http://dx.doi.org/10.1186/s40657-021-00280-7</v>
      </c>
      <c r="BG130" s="2" t="s">
        <v>74</v>
      </c>
      <c r="BH130" s="2" t="s">
        <v>74</v>
      </c>
      <c r="BI130" s="2" t="s">
        <v>74</v>
      </c>
      <c r="BJ130" s="2" t="s">
        <v>74</v>
      </c>
      <c r="BK130" s="2" t="s">
        <v>74</v>
      </c>
      <c r="BL130" s="2" t="s">
        <v>74</v>
      </c>
      <c r="BM130" s="2" t="s">
        <v>74</v>
      </c>
      <c r="BN130" s="2" t="s">
        <v>74</v>
      </c>
      <c r="BO130" s="2" t="s">
        <v>74</v>
      </c>
      <c r="BP130" s="2" t="s">
        <v>74</v>
      </c>
      <c r="BQ130" s="2" t="s">
        <v>74</v>
      </c>
      <c r="BR130" s="2" t="s">
        <v>74</v>
      </c>
      <c r="BS130" s="2" t="s">
        <v>4166</v>
      </c>
      <c r="BT130" s="2" t="str">
        <f>HYPERLINK("https%3A%2F%2Fwww.webofscience.com%2Fwos%2Fwoscc%2Ffull-record%2FWOS:000695827100001","View Full Record in Web of Science")</f>
        <v>View Full Record in Web of Science</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row>
    <row r="131" spans="1:314" s="2" customFormat="1" x14ac:dyDescent="0.4">
      <c r="A131" s="2" t="s">
        <v>72</v>
      </c>
      <c r="B131" s="2" t="s">
        <v>6550</v>
      </c>
      <c r="C131" s="2" t="s">
        <v>74</v>
      </c>
      <c r="D131" s="2" t="s">
        <v>74</v>
      </c>
      <c r="E131" s="2" t="s">
        <v>74</v>
      </c>
      <c r="F131" s="2" t="s">
        <v>6551</v>
      </c>
      <c r="G131" s="2" t="s">
        <v>74</v>
      </c>
      <c r="H131" s="2" t="s">
        <v>74</v>
      </c>
      <c r="I131" s="2" t="s">
        <v>6552</v>
      </c>
      <c r="J131" s="2" t="s">
        <v>6553</v>
      </c>
      <c r="K131" s="2" t="s">
        <v>74</v>
      </c>
      <c r="L131" s="2" t="s">
        <v>74</v>
      </c>
      <c r="M131" s="2" t="s">
        <v>74</v>
      </c>
      <c r="N131" s="2" t="s">
        <v>74</v>
      </c>
      <c r="O131" s="2" t="s">
        <v>74</v>
      </c>
      <c r="P131" s="2" t="s">
        <v>74</v>
      </c>
      <c r="Q131" s="2" t="s">
        <v>74</v>
      </c>
      <c r="R131" s="2" t="s">
        <v>74</v>
      </c>
      <c r="S131" s="2" t="s">
        <v>74</v>
      </c>
      <c r="T131" s="2" t="s">
        <v>74</v>
      </c>
      <c r="U131" s="2" t="s">
        <v>74</v>
      </c>
      <c r="V131" s="5" t="s">
        <v>6554</v>
      </c>
      <c r="W131" s="2" t="s">
        <v>74</v>
      </c>
      <c r="X131" s="2" t="s">
        <v>74</v>
      </c>
      <c r="Y131" s="2" t="s">
        <v>74</v>
      </c>
      <c r="Z131" s="2" t="s">
        <v>74</v>
      </c>
      <c r="AA131" s="2" t="s">
        <v>74</v>
      </c>
      <c r="AB131" s="2" t="s">
        <v>74</v>
      </c>
      <c r="AC131" s="2" t="s">
        <v>74</v>
      </c>
      <c r="AD131" s="2" t="s">
        <v>74</v>
      </c>
      <c r="AE131" s="2" t="s">
        <v>74</v>
      </c>
      <c r="AF131" s="2" t="s">
        <v>74</v>
      </c>
      <c r="AG131" s="2" t="s">
        <v>74</v>
      </c>
      <c r="AH131" s="2" t="s">
        <v>74</v>
      </c>
      <c r="AI131" s="2" t="s">
        <v>74</v>
      </c>
      <c r="AJ131" s="2" t="s">
        <v>74</v>
      </c>
      <c r="AK131" s="2" t="s">
        <v>74</v>
      </c>
      <c r="AL131" s="2" t="s">
        <v>74</v>
      </c>
      <c r="AM131" s="2" t="s">
        <v>74</v>
      </c>
      <c r="AN131" s="2" t="s">
        <v>74</v>
      </c>
      <c r="AO131" s="2" t="s">
        <v>6555</v>
      </c>
      <c r="AP131" s="2" t="s">
        <v>6556</v>
      </c>
      <c r="AQ131" s="2" t="s">
        <v>74</v>
      </c>
      <c r="AR131" s="2" t="s">
        <v>74</v>
      </c>
      <c r="AS131" s="2" t="s">
        <v>74</v>
      </c>
      <c r="AT131" s="2" t="s">
        <v>74</v>
      </c>
      <c r="AU131" s="2">
        <v>2024</v>
      </c>
      <c r="AV131" s="2">
        <v>35</v>
      </c>
      <c r="AW131" s="2">
        <v>2</v>
      </c>
      <c r="AX131" s="2" t="s">
        <v>74</v>
      </c>
      <c r="AY131" s="2" t="s">
        <v>74</v>
      </c>
      <c r="AZ131" s="2" t="s">
        <v>74</v>
      </c>
      <c r="BA131" s="2" t="s">
        <v>74</v>
      </c>
      <c r="BB131" s="2" t="s">
        <v>74</v>
      </c>
      <c r="BC131" s="2" t="s">
        <v>74</v>
      </c>
      <c r="BD131" s="2" t="s">
        <v>74</v>
      </c>
      <c r="BE131" s="2" t="s">
        <v>6557</v>
      </c>
      <c r="BF131" s="2" t="str">
        <f>HYPERLINK("http://dx.doi.org/10.21315/tlsr2024.35.2.15","http://dx.doi.org/10.21315/tlsr2024.35.2.15")</f>
        <v>http://dx.doi.org/10.21315/tlsr2024.35.2.15</v>
      </c>
      <c r="BG131" s="2" t="s">
        <v>74</v>
      </c>
      <c r="BH131" s="2" t="s">
        <v>74</v>
      </c>
      <c r="BI131" s="2" t="s">
        <v>74</v>
      </c>
      <c r="BJ131" s="2" t="s">
        <v>74</v>
      </c>
      <c r="BK131" s="2" t="s">
        <v>74</v>
      </c>
      <c r="BL131" s="2" t="s">
        <v>74</v>
      </c>
      <c r="BM131" s="2" t="s">
        <v>74</v>
      </c>
      <c r="BN131" s="2" t="s">
        <v>74</v>
      </c>
      <c r="BO131" s="2" t="s">
        <v>74</v>
      </c>
      <c r="BP131" s="2" t="s">
        <v>74</v>
      </c>
      <c r="BQ131" s="2" t="s">
        <v>74</v>
      </c>
      <c r="BR131" s="2" t="s">
        <v>74</v>
      </c>
      <c r="BS131" s="2" t="s">
        <v>6558</v>
      </c>
      <c r="BT131" s="2" t="str">
        <f>HYPERLINK("https%3A%2F%2Fwww.webofscience.com%2Fwos%2Fwoscc%2Ffull-record%2FWOS:001292721100013","View Full Record in Web of Science")</f>
        <v>View Full Record in Web of Science</v>
      </c>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row>
    <row r="132" spans="1:314" s="2" customFormat="1" x14ac:dyDescent="0.4">
      <c r="A132" s="2" t="s">
        <v>72</v>
      </c>
      <c r="B132" s="2" t="s">
        <v>506</v>
      </c>
      <c r="C132" s="2" t="s">
        <v>74</v>
      </c>
      <c r="D132" s="2" t="s">
        <v>74</v>
      </c>
      <c r="E132" s="2" t="s">
        <v>74</v>
      </c>
      <c r="F132" s="2" t="s">
        <v>507</v>
      </c>
      <c r="G132" s="2" t="s">
        <v>74</v>
      </c>
      <c r="H132" s="2" t="s">
        <v>74</v>
      </c>
      <c r="I132" s="2" t="s">
        <v>508</v>
      </c>
      <c r="J132" s="2" t="s">
        <v>509</v>
      </c>
      <c r="K132" s="2" t="s">
        <v>74</v>
      </c>
      <c r="L132" s="2" t="s">
        <v>74</v>
      </c>
      <c r="M132" s="2" t="s">
        <v>74</v>
      </c>
      <c r="N132" s="2" t="s">
        <v>74</v>
      </c>
      <c r="O132" s="2" t="s">
        <v>74</v>
      </c>
      <c r="P132" s="2" t="s">
        <v>74</v>
      </c>
      <c r="Q132" s="2" t="s">
        <v>74</v>
      </c>
      <c r="R132" s="2" t="s">
        <v>74</v>
      </c>
      <c r="S132" s="2" t="s">
        <v>74</v>
      </c>
      <c r="T132" s="2" t="s">
        <v>74</v>
      </c>
      <c r="U132" s="2" t="s">
        <v>74</v>
      </c>
      <c r="V132" s="5" t="s">
        <v>510</v>
      </c>
      <c r="W132" s="2" t="s">
        <v>74</v>
      </c>
      <c r="X132" s="2" t="s">
        <v>74</v>
      </c>
      <c r="Y132" s="2" t="s">
        <v>74</v>
      </c>
      <c r="Z132" s="2" t="s">
        <v>74</v>
      </c>
      <c r="AA132" s="2" t="s">
        <v>74</v>
      </c>
      <c r="AB132" s="2" t="s">
        <v>74</v>
      </c>
      <c r="AC132" s="2" t="s">
        <v>74</v>
      </c>
      <c r="AD132" s="2" t="s">
        <v>74</v>
      </c>
      <c r="AE132" s="2" t="s">
        <v>74</v>
      </c>
      <c r="AF132" s="2" t="s">
        <v>74</v>
      </c>
      <c r="AG132" s="2" t="s">
        <v>74</v>
      </c>
      <c r="AH132" s="2" t="s">
        <v>74</v>
      </c>
      <c r="AI132" s="2" t="s">
        <v>74</v>
      </c>
      <c r="AJ132" s="2" t="s">
        <v>74</v>
      </c>
      <c r="AK132" s="2" t="s">
        <v>74</v>
      </c>
      <c r="AL132" s="2" t="s">
        <v>74</v>
      </c>
      <c r="AM132" s="2" t="s">
        <v>74</v>
      </c>
      <c r="AN132" s="2" t="s">
        <v>74</v>
      </c>
      <c r="AO132" s="2" t="s">
        <v>511</v>
      </c>
      <c r="AP132" s="2" t="s">
        <v>512</v>
      </c>
      <c r="AQ132" s="2" t="s">
        <v>74</v>
      </c>
      <c r="AR132" s="2" t="s">
        <v>74</v>
      </c>
      <c r="AS132" s="2" t="s">
        <v>74</v>
      </c>
      <c r="AT132" s="2" t="s">
        <v>145</v>
      </c>
      <c r="AU132" s="2">
        <v>2010</v>
      </c>
      <c r="AV132" s="2">
        <v>58</v>
      </c>
      <c r="AW132" s="2">
        <v>3</v>
      </c>
      <c r="AX132" s="2" t="s">
        <v>74</v>
      </c>
      <c r="AY132" s="2" t="s">
        <v>74</v>
      </c>
      <c r="AZ132" s="2" t="s">
        <v>74</v>
      </c>
      <c r="BA132" s="2" t="s">
        <v>74</v>
      </c>
      <c r="BB132" s="2">
        <v>526</v>
      </c>
      <c r="BC132" s="2">
        <v>532</v>
      </c>
      <c r="BD132" s="2" t="s">
        <v>74</v>
      </c>
      <c r="BE132" s="2" t="s">
        <v>513</v>
      </c>
      <c r="BF132" s="2" t="str">
        <f>HYPERLINK("http://dx.doi.org/10.1016/j.yhbeh.2010.04.004","http://dx.doi.org/10.1016/j.yhbeh.2010.04.004")</f>
        <v>http://dx.doi.org/10.1016/j.yhbeh.2010.04.004</v>
      </c>
      <c r="BG132" s="2" t="s">
        <v>74</v>
      </c>
      <c r="BH132" s="2" t="s">
        <v>74</v>
      </c>
      <c r="BI132" s="2" t="s">
        <v>74</v>
      </c>
      <c r="BJ132" s="2" t="s">
        <v>74</v>
      </c>
      <c r="BK132" s="2" t="s">
        <v>74</v>
      </c>
      <c r="BL132" s="2" t="s">
        <v>74</v>
      </c>
      <c r="BM132" s="2" t="s">
        <v>74</v>
      </c>
      <c r="BN132" s="2">
        <v>20406643</v>
      </c>
      <c r="BO132" s="2" t="s">
        <v>74</v>
      </c>
      <c r="BP132" s="2" t="s">
        <v>74</v>
      </c>
      <c r="BQ132" s="2" t="s">
        <v>74</v>
      </c>
      <c r="BR132" s="2" t="s">
        <v>74</v>
      </c>
      <c r="BS132" s="2" t="s">
        <v>514</v>
      </c>
      <c r="BT132" s="2" t="str">
        <f>HYPERLINK("https%3A%2F%2Fwww.webofscience.com%2Fwos%2Fwoscc%2Ffull-record%2FWOS:000280933600025","View Full Record in Web of Science")</f>
        <v>View Full Record in Web of Science</v>
      </c>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row>
    <row r="133" spans="1:314" s="2" customFormat="1" x14ac:dyDescent="0.4">
      <c r="A133" s="2" t="s">
        <v>72</v>
      </c>
      <c r="B133" s="2" t="s">
        <v>3619</v>
      </c>
      <c r="C133" s="2" t="s">
        <v>74</v>
      </c>
      <c r="D133" s="2" t="s">
        <v>74</v>
      </c>
      <c r="E133" s="2" t="s">
        <v>74</v>
      </c>
      <c r="F133" s="2" t="s">
        <v>3620</v>
      </c>
      <c r="G133" s="2" t="s">
        <v>74</v>
      </c>
      <c r="H133" s="2" t="s">
        <v>74</v>
      </c>
      <c r="I133" s="2" t="s">
        <v>3621</v>
      </c>
      <c r="J133" s="2" t="s">
        <v>763</v>
      </c>
      <c r="K133" s="2" t="s">
        <v>74</v>
      </c>
      <c r="L133" s="2" t="s">
        <v>74</v>
      </c>
      <c r="M133" s="2" t="s">
        <v>74</v>
      </c>
      <c r="N133" s="2" t="s">
        <v>74</v>
      </c>
      <c r="O133" s="2" t="s">
        <v>74</v>
      </c>
      <c r="P133" s="2" t="s">
        <v>74</v>
      </c>
      <c r="Q133" s="2" t="s">
        <v>74</v>
      </c>
      <c r="R133" s="2" t="s">
        <v>74</v>
      </c>
      <c r="S133" s="2" t="s">
        <v>74</v>
      </c>
      <c r="T133" s="2" t="s">
        <v>74</v>
      </c>
      <c r="U133" s="2" t="s">
        <v>74</v>
      </c>
      <c r="V133" s="5" t="s">
        <v>3622</v>
      </c>
      <c r="W133" s="2" t="s">
        <v>74</v>
      </c>
      <c r="X133" s="2" t="s">
        <v>74</v>
      </c>
      <c r="Y133" s="2" t="s">
        <v>74</v>
      </c>
      <c r="Z133" s="2" t="s">
        <v>74</v>
      </c>
      <c r="AA133" s="2" t="s">
        <v>74</v>
      </c>
      <c r="AB133" s="2" t="s">
        <v>3623</v>
      </c>
      <c r="AC133" s="2" t="s">
        <v>74</v>
      </c>
      <c r="AD133" s="2" t="s">
        <v>74</v>
      </c>
      <c r="AE133" s="2" t="s">
        <v>74</v>
      </c>
      <c r="AF133" s="2" t="s">
        <v>74</v>
      </c>
      <c r="AG133" s="2" t="s">
        <v>74</v>
      </c>
      <c r="AH133" s="2" t="s">
        <v>74</v>
      </c>
      <c r="AI133" s="2" t="s">
        <v>74</v>
      </c>
      <c r="AJ133" s="2" t="s">
        <v>74</v>
      </c>
      <c r="AK133" s="2" t="s">
        <v>74</v>
      </c>
      <c r="AL133" s="2" t="s">
        <v>74</v>
      </c>
      <c r="AM133" s="2" t="s">
        <v>74</v>
      </c>
      <c r="AN133" s="2" t="s">
        <v>74</v>
      </c>
      <c r="AO133" s="2" t="s">
        <v>767</v>
      </c>
      <c r="AP133" s="2" t="s">
        <v>768</v>
      </c>
      <c r="AQ133" s="2" t="s">
        <v>74</v>
      </c>
      <c r="AR133" s="2" t="s">
        <v>74</v>
      </c>
      <c r="AS133" s="2" t="s">
        <v>74</v>
      </c>
      <c r="AT133" s="2" t="s">
        <v>123</v>
      </c>
      <c r="AU133" s="2">
        <v>2019</v>
      </c>
      <c r="AV133" s="2">
        <v>222</v>
      </c>
      <c r="AW133" s="2">
        <v>5</v>
      </c>
      <c r="AX133" s="2" t="s">
        <v>74</v>
      </c>
      <c r="AY133" s="2" t="s">
        <v>74</v>
      </c>
      <c r="AZ133" s="2" t="s">
        <v>74</v>
      </c>
      <c r="BA133" s="2" t="s">
        <v>74</v>
      </c>
      <c r="BB133" s="2" t="s">
        <v>74</v>
      </c>
      <c r="BC133" s="2" t="s">
        <v>74</v>
      </c>
      <c r="BD133" s="2" t="s">
        <v>3624</v>
      </c>
      <c r="BE133" s="2" t="s">
        <v>3625</v>
      </c>
      <c r="BF133" s="2" t="str">
        <f>HYPERLINK("http://dx.doi.org/10.1242/jeb.191544","http://dx.doi.org/10.1242/jeb.191544")</f>
        <v>http://dx.doi.org/10.1242/jeb.191544</v>
      </c>
      <c r="BG133" s="2" t="s">
        <v>74</v>
      </c>
      <c r="BH133" s="2" t="s">
        <v>74</v>
      </c>
      <c r="BI133" s="2" t="s">
        <v>74</v>
      </c>
      <c r="BJ133" s="2" t="s">
        <v>74</v>
      </c>
      <c r="BK133" s="2" t="s">
        <v>74</v>
      </c>
      <c r="BL133" s="2" t="s">
        <v>74</v>
      </c>
      <c r="BM133" s="2" t="s">
        <v>74</v>
      </c>
      <c r="BN133" s="2">
        <v>30659081</v>
      </c>
      <c r="BO133" s="2" t="s">
        <v>74</v>
      </c>
      <c r="BP133" s="2" t="s">
        <v>74</v>
      </c>
      <c r="BQ133" s="2" t="s">
        <v>74</v>
      </c>
      <c r="BR133" s="2" t="s">
        <v>74</v>
      </c>
      <c r="BS133" s="2" t="s">
        <v>3626</v>
      </c>
      <c r="BT133" s="2" t="str">
        <f>HYPERLINK("https%3A%2F%2Fwww.webofscience.com%2Fwos%2Fwoscc%2Ffull-record%2FWOS:000461414600010","View Full Record in Web of Science")</f>
        <v>View Full Record in Web of Science</v>
      </c>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row>
    <row r="134" spans="1:314" s="2" customFormat="1" x14ac:dyDescent="0.4">
      <c r="A134" s="2" t="s">
        <v>72</v>
      </c>
      <c r="B134" s="2" t="s">
        <v>7888</v>
      </c>
      <c r="C134" s="2" t="s">
        <v>74</v>
      </c>
      <c r="D134" s="2" t="s">
        <v>74</v>
      </c>
      <c r="E134" s="2" t="s">
        <v>74</v>
      </c>
      <c r="F134" s="2" t="s">
        <v>7889</v>
      </c>
      <c r="G134" s="2" t="s">
        <v>74</v>
      </c>
      <c r="H134" s="2" t="s">
        <v>74</v>
      </c>
      <c r="I134" s="2" t="s">
        <v>7890</v>
      </c>
      <c r="J134" s="2" t="s">
        <v>814</v>
      </c>
      <c r="K134" s="2" t="s">
        <v>74</v>
      </c>
      <c r="L134" s="2" t="s">
        <v>74</v>
      </c>
      <c r="M134" s="2" t="s">
        <v>74</v>
      </c>
      <c r="N134" s="2" t="s">
        <v>74</v>
      </c>
      <c r="O134" s="2" t="s">
        <v>74</v>
      </c>
      <c r="P134" s="2" t="s">
        <v>74</v>
      </c>
      <c r="Q134" s="2" t="s">
        <v>74</v>
      </c>
      <c r="R134" s="2" t="s">
        <v>74</v>
      </c>
      <c r="S134" s="2" t="s">
        <v>74</v>
      </c>
      <c r="T134" s="2" t="s">
        <v>74</v>
      </c>
      <c r="U134" s="2" t="s">
        <v>74</v>
      </c>
      <c r="V134" s="5" t="s">
        <v>7891</v>
      </c>
      <c r="W134" s="2" t="s">
        <v>74</v>
      </c>
      <c r="X134" s="2" t="s">
        <v>74</v>
      </c>
      <c r="Y134" s="2" t="s">
        <v>74</v>
      </c>
      <c r="Z134" s="2" t="s">
        <v>74</v>
      </c>
      <c r="AA134" s="2" t="s">
        <v>7892</v>
      </c>
      <c r="AB134" s="2" t="s">
        <v>7893</v>
      </c>
      <c r="AC134" s="2" t="s">
        <v>74</v>
      </c>
      <c r="AD134" s="2" t="s">
        <v>74</v>
      </c>
      <c r="AE134" s="2" t="s">
        <v>74</v>
      </c>
      <c r="AF134" s="2" t="s">
        <v>74</v>
      </c>
      <c r="AG134" s="2" t="s">
        <v>74</v>
      </c>
      <c r="AH134" s="2" t="s">
        <v>74</v>
      </c>
      <c r="AI134" s="2" t="s">
        <v>74</v>
      </c>
      <c r="AJ134" s="2" t="s">
        <v>74</v>
      </c>
      <c r="AK134" s="2" t="s">
        <v>74</v>
      </c>
      <c r="AL134" s="2" t="s">
        <v>74</v>
      </c>
      <c r="AM134" s="2" t="s">
        <v>74</v>
      </c>
      <c r="AN134" s="2" t="s">
        <v>74</v>
      </c>
      <c r="AO134" s="2" t="s">
        <v>818</v>
      </c>
      <c r="AP134" s="2" t="s">
        <v>1505</v>
      </c>
      <c r="AQ134" s="2" t="s">
        <v>74</v>
      </c>
      <c r="AR134" s="2" t="s">
        <v>74</v>
      </c>
      <c r="AS134" s="2" t="s">
        <v>74</v>
      </c>
      <c r="AT134" s="2" t="s">
        <v>633</v>
      </c>
      <c r="AU134" s="2">
        <v>2022</v>
      </c>
      <c r="AV134" s="2">
        <v>151</v>
      </c>
      <c r="AW134" s="2" t="s">
        <v>74</v>
      </c>
      <c r="AX134" s="2" t="s">
        <v>74</v>
      </c>
      <c r="AY134" s="2" t="s">
        <v>74</v>
      </c>
      <c r="AZ134" s="2" t="s">
        <v>74</v>
      </c>
      <c r="BA134" s="2" t="s">
        <v>74</v>
      </c>
      <c r="BB134" s="2" t="s">
        <v>74</v>
      </c>
      <c r="BC134" s="2" t="s">
        <v>74</v>
      </c>
      <c r="BD134" s="2">
        <v>125992</v>
      </c>
      <c r="BE134" s="2" t="s">
        <v>7894</v>
      </c>
      <c r="BF134" s="2" t="str">
        <f>HYPERLINK("http://dx.doi.org/10.1016/j.zool.2021.125992","http://dx.doi.org/10.1016/j.zool.2021.125992")</f>
        <v>http://dx.doi.org/10.1016/j.zool.2021.125992</v>
      </c>
      <c r="BG134" s="2" t="s">
        <v>74</v>
      </c>
      <c r="BH134" s="2" t="s">
        <v>7438</v>
      </c>
      <c r="BI134" s="2" t="s">
        <v>74</v>
      </c>
      <c r="BJ134" s="2" t="s">
        <v>74</v>
      </c>
      <c r="BK134" s="2" t="s">
        <v>74</v>
      </c>
      <c r="BL134" s="2" t="s">
        <v>74</v>
      </c>
      <c r="BM134" s="2" t="s">
        <v>74</v>
      </c>
      <c r="BN134" s="2">
        <v>35228128</v>
      </c>
      <c r="BO134" s="2" t="s">
        <v>74</v>
      </c>
      <c r="BP134" s="2" t="s">
        <v>74</v>
      </c>
      <c r="BQ134" s="2" t="s">
        <v>74</v>
      </c>
      <c r="BR134" s="2" t="s">
        <v>74</v>
      </c>
      <c r="BS134" s="2" t="s">
        <v>7895</v>
      </c>
      <c r="BT134" s="2" t="str">
        <f>HYPERLINK("https%3A%2F%2Fwww.webofscience.com%2Fwos%2Fwoscc%2Ffull-record%2FWOS:000776690400002","View Full Record in Web of Science")</f>
        <v>View Full Record in Web of Science</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row>
    <row r="135" spans="1:314" s="2" customFormat="1" x14ac:dyDescent="0.4">
      <c r="A135" s="2" t="s">
        <v>72</v>
      </c>
      <c r="B135" s="2" t="s">
        <v>8421</v>
      </c>
      <c r="C135" s="2" t="s">
        <v>74</v>
      </c>
      <c r="D135" s="2" t="s">
        <v>74</v>
      </c>
      <c r="E135" s="2" t="s">
        <v>74</v>
      </c>
      <c r="F135" s="2" t="s">
        <v>8421</v>
      </c>
      <c r="G135" s="2" t="s">
        <v>74</v>
      </c>
      <c r="H135" s="2" t="s">
        <v>74</v>
      </c>
      <c r="I135" s="2" t="s">
        <v>8422</v>
      </c>
      <c r="J135" s="2" t="s">
        <v>1878</v>
      </c>
      <c r="K135" s="2" t="s">
        <v>74</v>
      </c>
      <c r="L135" s="2" t="s">
        <v>74</v>
      </c>
      <c r="M135" s="2" t="s">
        <v>74</v>
      </c>
      <c r="N135" s="2" t="s">
        <v>74</v>
      </c>
      <c r="O135" s="2" t="s">
        <v>74</v>
      </c>
      <c r="P135" s="2" t="s">
        <v>74</v>
      </c>
      <c r="Q135" s="2" t="s">
        <v>74</v>
      </c>
      <c r="R135" s="2" t="s">
        <v>74</v>
      </c>
      <c r="S135" s="2" t="s">
        <v>74</v>
      </c>
      <c r="T135" s="2" t="s">
        <v>74</v>
      </c>
      <c r="U135" s="2" t="s">
        <v>74</v>
      </c>
      <c r="V135" s="5" t="s">
        <v>8423</v>
      </c>
      <c r="W135" s="2" t="s">
        <v>74</v>
      </c>
      <c r="X135" s="2" t="s">
        <v>74</v>
      </c>
      <c r="Y135" s="2" t="s">
        <v>74</v>
      </c>
      <c r="Z135" s="2" t="s">
        <v>74</v>
      </c>
      <c r="AA135" s="2" t="s">
        <v>8424</v>
      </c>
      <c r="AB135" s="2" t="s">
        <v>8425</v>
      </c>
      <c r="AC135" s="2" t="s">
        <v>74</v>
      </c>
      <c r="AD135" s="2" t="s">
        <v>74</v>
      </c>
      <c r="AE135" s="2" t="s">
        <v>74</v>
      </c>
      <c r="AF135" s="2" t="s">
        <v>74</v>
      </c>
      <c r="AG135" s="2" t="s">
        <v>74</v>
      </c>
      <c r="AH135" s="2" t="s">
        <v>74</v>
      </c>
      <c r="AI135" s="2" t="s">
        <v>74</v>
      </c>
      <c r="AJ135" s="2" t="s">
        <v>74</v>
      </c>
      <c r="AK135" s="2" t="s">
        <v>74</v>
      </c>
      <c r="AL135" s="2" t="s">
        <v>74</v>
      </c>
      <c r="AM135" s="2" t="s">
        <v>74</v>
      </c>
      <c r="AN135" s="2" t="s">
        <v>74</v>
      </c>
      <c r="AO135" s="2" t="s">
        <v>1882</v>
      </c>
      <c r="AP135" s="2" t="s">
        <v>74</v>
      </c>
      <c r="AQ135" s="2" t="s">
        <v>74</v>
      </c>
      <c r="AR135" s="2" t="s">
        <v>74</v>
      </c>
      <c r="AS135" s="2" t="s">
        <v>74</v>
      </c>
      <c r="AT135" s="2" t="s">
        <v>964</v>
      </c>
      <c r="AU135" s="2">
        <v>2000</v>
      </c>
      <c r="AV135" s="2">
        <v>65</v>
      </c>
      <c r="AW135" s="2">
        <v>2</v>
      </c>
      <c r="AX135" s="2" t="s">
        <v>74</v>
      </c>
      <c r="AY135" s="2" t="s">
        <v>74</v>
      </c>
      <c r="AZ135" s="2" t="s">
        <v>74</v>
      </c>
      <c r="BA135" s="2" t="s">
        <v>74</v>
      </c>
      <c r="BB135" s="2">
        <v>327</v>
      </c>
      <c r="BC135" s="2">
        <v>332</v>
      </c>
      <c r="BD135" s="2" t="s">
        <v>74</v>
      </c>
      <c r="BE135" s="2" t="s">
        <v>8426</v>
      </c>
      <c r="BF135" s="2" t="str">
        <f>HYPERLINK("http://dx.doi.org/10.1016/S0091-3057(99)00189-6","http://dx.doi.org/10.1016/S0091-3057(99)00189-6")</f>
        <v>http://dx.doi.org/10.1016/S0091-3057(99)00189-6</v>
      </c>
      <c r="BG135" s="2" t="s">
        <v>74</v>
      </c>
      <c r="BH135" s="2" t="s">
        <v>74</v>
      </c>
      <c r="BI135" s="2" t="s">
        <v>74</v>
      </c>
      <c r="BJ135" s="2" t="s">
        <v>74</v>
      </c>
      <c r="BK135" s="2" t="s">
        <v>74</v>
      </c>
      <c r="BL135" s="2" t="s">
        <v>74</v>
      </c>
      <c r="BM135" s="2" t="s">
        <v>74</v>
      </c>
      <c r="BN135" s="2">
        <v>10672986</v>
      </c>
      <c r="BO135" s="2" t="s">
        <v>74</v>
      </c>
      <c r="BP135" s="2" t="s">
        <v>74</v>
      </c>
      <c r="BQ135" s="2" t="s">
        <v>74</v>
      </c>
      <c r="BR135" s="2" t="s">
        <v>74</v>
      </c>
      <c r="BS135" s="2" t="s">
        <v>8427</v>
      </c>
      <c r="BT135" s="2" t="str">
        <f>HYPERLINK("https%3A%2F%2Fwww.webofscience.com%2Fwos%2Fwoscc%2Ffull-record%2FWOS:000084842500018","View Full Record in Web of Science")</f>
        <v>View Full Record in Web of Science</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row>
    <row r="136" spans="1:314" s="2" customFormat="1" x14ac:dyDescent="0.4">
      <c r="A136" s="2" t="s">
        <v>72</v>
      </c>
      <c r="B136" s="2" t="s">
        <v>5452</v>
      </c>
      <c r="C136" s="2" t="s">
        <v>74</v>
      </c>
      <c r="D136" s="2" t="s">
        <v>74</v>
      </c>
      <c r="E136" s="2" t="s">
        <v>74</v>
      </c>
      <c r="F136" s="2" t="s">
        <v>5452</v>
      </c>
      <c r="G136" s="2" t="s">
        <v>74</v>
      </c>
      <c r="H136" s="2" t="s">
        <v>74</v>
      </c>
      <c r="I136" s="2" t="s">
        <v>5453</v>
      </c>
      <c r="J136" s="2" t="s">
        <v>5454</v>
      </c>
      <c r="K136" s="2" t="s">
        <v>74</v>
      </c>
      <c r="L136" s="2" t="s">
        <v>74</v>
      </c>
      <c r="M136" s="2" t="s">
        <v>74</v>
      </c>
      <c r="N136" s="2" t="s">
        <v>74</v>
      </c>
      <c r="O136" s="2" t="s">
        <v>74</v>
      </c>
      <c r="P136" s="2" t="s">
        <v>74</v>
      </c>
      <c r="Q136" s="2" t="s">
        <v>74</v>
      </c>
      <c r="R136" s="2" t="s">
        <v>74</v>
      </c>
      <c r="S136" s="2" t="s">
        <v>74</v>
      </c>
      <c r="T136" s="2" t="s">
        <v>74</v>
      </c>
      <c r="U136" s="2" t="s">
        <v>74</v>
      </c>
      <c r="V136" s="5" t="s">
        <v>5455</v>
      </c>
      <c r="W136" s="2" t="s">
        <v>74</v>
      </c>
      <c r="X136" s="2" t="s">
        <v>74</v>
      </c>
      <c r="Y136" s="2" t="s">
        <v>74</v>
      </c>
      <c r="Z136" s="2" t="s">
        <v>74</v>
      </c>
      <c r="AA136" s="2" t="s">
        <v>5456</v>
      </c>
      <c r="AB136" s="2" t="s">
        <v>5457</v>
      </c>
      <c r="AC136" s="2" t="s">
        <v>74</v>
      </c>
      <c r="AD136" s="2" t="s">
        <v>74</v>
      </c>
      <c r="AE136" s="2" t="s">
        <v>74</v>
      </c>
      <c r="AF136" s="2" t="s">
        <v>74</v>
      </c>
      <c r="AG136" s="2" t="s">
        <v>74</v>
      </c>
      <c r="AH136" s="2" t="s">
        <v>74</v>
      </c>
      <c r="AI136" s="2" t="s">
        <v>74</v>
      </c>
      <c r="AJ136" s="2" t="s">
        <v>74</v>
      </c>
      <c r="AK136" s="2" t="s">
        <v>74</v>
      </c>
      <c r="AL136" s="2" t="s">
        <v>74</v>
      </c>
      <c r="AM136" s="2" t="s">
        <v>74</v>
      </c>
      <c r="AN136" s="2" t="s">
        <v>74</v>
      </c>
      <c r="AO136" s="2" t="s">
        <v>5458</v>
      </c>
      <c r="AP136" s="2" t="s">
        <v>74</v>
      </c>
      <c r="AQ136" s="2" t="s">
        <v>74</v>
      </c>
      <c r="AR136" s="2" t="s">
        <v>74</v>
      </c>
      <c r="AS136" s="2" t="s">
        <v>74</v>
      </c>
      <c r="AT136" s="2" t="s">
        <v>74</v>
      </c>
      <c r="AU136" s="2">
        <v>1991</v>
      </c>
      <c r="AV136" s="2">
        <v>19</v>
      </c>
      <c r="AW136" s="2">
        <v>4</v>
      </c>
      <c r="AX136" s="2" t="s">
        <v>74</v>
      </c>
      <c r="AY136" s="2" t="s">
        <v>74</v>
      </c>
      <c r="AZ136" s="2" t="s">
        <v>74</v>
      </c>
      <c r="BA136" s="2" t="s">
        <v>74</v>
      </c>
      <c r="BB136" s="2">
        <v>271</v>
      </c>
      <c r="BC136" s="2">
        <v>276</v>
      </c>
      <c r="BD136" s="2" t="s">
        <v>74</v>
      </c>
      <c r="BE136" s="2" t="s">
        <v>5459</v>
      </c>
      <c r="BF136" s="2" t="str">
        <f>HYPERLINK("http://dx.doi.org/10.1016/0305-1978(91)90014-Q","http://dx.doi.org/10.1016/0305-1978(91)90014-Q")</f>
        <v>http://dx.doi.org/10.1016/0305-1978(91)90014-Q</v>
      </c>
      <c r="BG136" s="2" t="s">
        <v>74</v>
      </c>
      <c r="BH136" s="2" t="s">
        <v>74</v>
      </c>
      <c r="BI136" s="2" t="s">
        <v>74</v>
      </c>
      <c r="BJ136" s="2" t="s">
        <v>74</v>
      </c>
      <c r="BK136" s="2" t="s">
        <v>74</v>
      </c>
      <c r="BL136" s="2" t="s">
        <v>74</v>
      </c>
      <c r="BM136" s="2" t="s">
        <v>74</v>
      </c>
      <c r="BN136" s="2" t="s">
        <v>74</v>
      </c>
      <c r="BO136" s="2" t="s">
        <v>74</v>
      </c>
      <c r="BP136" s="2" t="s">
        <v>74</v>
      </c>
      <c r="BQ136" s="2" t="s">
        <v>74</v>
      </c>
      <c r="BR136" s="2" t="s">
        <v>74</v>
      </c>
      <c r="BS136" s="2" t="s">
        <v>5460</v>
      </c>
      <c r="BT136" s="2" t="str">
        <f>HYPERLINK("https%3A%2F%2Fwww.webofscience.com%2Fwos%2Fwoscc%2Ffull-record%2FWOS:A1991HA68300002","View Full Record in Web of Science")</f>
        <v>View Full Record in Web of Science</v>
      </c>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row>
    <row r="137" spans="1:314" s="2" customFormat="1" x14ac:dyDescent="0.4">
      <c r="A137" s="2" t="s">
        <v>72</v>
      </c>
      <c r="B137" s="2" t="s">
        <v>7761</v>
      </c>
      <c r="C137" s="2" t="s">
        <v>74</v>
      </c>
      <c r="D137" s="2" t="s">
        <v>74</v>
      </c>
      <c r="E137" s="2" t="s">
        <v>74</v>
      </c>
      <c r="F137" s="2" t="s">
        <v>7762</v>
      </c>
      <c r="G137" s="2" t="s">
        <v>74</v>
      </c>
      <c r="H137" s="2" t="s">
        <v>74</v>
      </c>
      <c r="I137" s="2" t="s">
        <v>7763</v>
      </c>
      <c r="J137" s="2" t="s">
        <v>129</v>
      </c>
      <c r="K137" s="2" t="s">
        <v>74</v>
      </c>
      <c r="L137" s="2" t="s">
        <v>74</v>
      </c>
      <c r="M137" s="2" t="s">
        <v>74</v>
      </c>
      <c r="N137" s="2" t="s">
        <v>74</v>
      </c>
      <c r="O137" s="2" t="s">
        <v>74</v>
      </c>
      <c r="P137" s="2" t="s">
        <v>74</v>
      </c>
      <c r="Q137" s="2" t="s">
        <v>74</v>
      </c>
      <c r="R137" s="2" t="s">
        <v>74</v>
      </c>
      <c r="S137" s="2" t="s">
        <v>74</v>
      </c>
      <c r="T137" s="2" t="s">
        <v>74</v>
      </c>
      <c r="U137" s="2" t="s">
        <v>74</v>
      </c>
      <c r="V137" s="5" t="s">
        <v>7764</v>
      </c>
      <c r="W137" s="2" t="s">
        <v>74</v>
      </c>
      <c r="X137" s="2" t="s">
        <v>74</v>
      </c>
      <c r="Y137" s="2" t="s">
        <v>74</v>
      </c>
      <c r="Z137" s="2" t="s">
        <v>74</v>
      </c>
      <c r="AA137" s="2" t="s">
        <v>74</v>
      </c>
      <c r="AB137" s="2" t="s">
        <v>7765</v>
      </c>
      <c r="AC137" s="2" t="s">
        <v>74</v>
      </c>
      <c r="AD137" s="2" t="s">
        <v>74</v>
      </c>
      <c r="AE137" s="2" t="s">
        <v>74</v>
      </c>
      <c r="AF137" s="2" t="s">
        <v>74</v>
      </c>
      <c r="AG137" s="2" t="s">
        <v>74</v>
      </c>
      <c r="AH137" s="2" t="s">
        <v>74</v>
      </c>
      <c r="AI137" s="2" t="s">
        <v>74</v>
      </c>
      <c r="AJ137" s="2" t="s">
        <v>74</v>
      </c>
      <c r="AK137" s="2" t="s">
        <v>74</v>
      </c>
      <c r="AL137" s="2" t="s">
        <v>74</v>
      </c>
      <c r="AM137" s="2" t="s">
        <v>74</v>
      </c>
      <c r="AN137" s="2" t="s">
        <v>74</v>
      </c>
      <c r="AO137" s="2" t="s">
        <v>132</v>
      </c>
      <c r="AP137" s="2" t="s">
        <v>133</v>
      </c>
      <c r="AQ137" s="2" t="s">
        <v>74</v>
      </c>
      <c r="AR137" s="2" t="s">
        <v>74</v>
      </c>
      <c r="AS137" s="2" t="s">
        <v>74</v>
      </c>
      <c r="AT137" s="2" t="s">
        <v>213</v>
      </c>
      <c r="AU137" s="2">
        <v>2022</v>
      </c>
      <c r="AV137" s="2">
        <v>76</v>
      </c>
      <c r="AW137" s="2">
        <v>11</v>
      </c>
      <c r="AX137" s="2" t="s">
        <v>74</v>
      </c>
      <c r="AY137" s="2" t="s">
        <v>74</v>
      </c>
      <c r="AZ137" s="2" t="s">
        <v>74</v>
      </c>
      <c r="BA137" s="2" t="s">
        <v>74</v>
      </c>
      <c r="BB137" s="2" t="s">
        <v>74</v>
      </c>
      <c r="BC137" s="2" t="s">
        <v>74</v>
      </c>
      <c r="BD137" s="2">
        <v>147</v>
      </c>
      <c r="BE137" s="2" t="s">
        <v>7766</v>
      </c>
      <c r="BF137" s="2" t="str">
        <f>HYPERLINK("http://dx.doi.org/10.1007/s00265-022-03253-y","http://dx.doi.org/10.1007/s00265-022-03253-y")</f>
        <v>http://dx.doi.org/10.1007/s00265-022-03253-y</v>
      </c>
      <c r="BG137" s="2" t="s">
        <v>74</v>
      </c>
      <c r="BH137" s="2" t="s">
        <v>74</v>
      </c>
      <c r="BI137" s="2" t="s">
        <v>74</v>
      </c>
      <c r="BJ137" s="2" t="s">
        <v>74</v>
      </c>
      <c r="BK137" s="2" t="s">
        <v>74</v>
      </c>
      <c r="BL137" s="2" t="s">
        <v>74</v>
      </c>
      <c r="BM137" s="2" t="s">
        <v>74</v>
      </c>
      <c r="BN137" s="2" t="s">
        <v>74</v>
      </c>
      <c r="BO137" s="2" t="s">
        <v>74</v>
      </c>
      <c r="BP137" s="2" t="s">
        <v>74</v>
      </c>
      <c r="BQ137" s="2" t="s">
        <v>74</v>
      </c>
      <c r="BR137" s="2" t="s">
        <v>74</v>
      </c>
      <c r="BS137" s="2" t="s">
        <v>7767</v>
      </c>
      <c r="BT137" s="2" t="str">
        <f>HYPERLINK("https%3A%2F%2Fwww.webofscience.com%2Fwos%2Fwoscc%2Ffull-record%2FWOS:000867664700001","View Full Record in Web of Science")</f>
        <v>View Full Record in Web of Science</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row>
    <row r="138" spans="1:314" s="2" customFormat="1" x14ac:dyDescent="0.4">
      <c r="A138" s="2" t="s">
        <v>72</v>
      </c>
      <c r="B138" s="2" t="s">
        <v>7587</v>
      </c>
      <c r="C138" s="2" t="s">
        <v>74</v>
      </c>
      <c r="D138" s="2" t="s">
        <v>74</v>
      </c>
      <c r="E138" s="2" t="s">
        <v>74</v>
      </c>
      <c r="F138" s="2" t="s">
        <v>7587</v>
      </c>
      <c r="G138" s="2" t="s">
        <v>74</v>
      </c>
      <c r="H138" s="2" t="s">
        <v>74</v>
      </c>
      <c r="I138" s="2" t="s">
        <v>7588</v>
      </c>
      <c r="J138" s="2" t="s">
        <v>140</v>
      </c>
      <c r="K138" s="2" t="s">
        <v>74</v>
      </c>
      <c r="L138" s="2" t="s">
        <v>74</v>
      </c>
      <c r="M138" s="2" t="s">
        <v>74</v>
      </c>
      <c r="N138" s="2" t="s">
        <v>74</v>
      </c>
      <c r="O138" s="2" t="s">
        <v>74</v>
      </c>
      <c r="P138" s="2" t="s">
        <v>74</v>
      </c>
      <c r="Q138" s="2" t="s">
        <v>74</v>
      </c>
      <c r="R138" s="2" t="s">
        <v>74</v>
      </c>
      <c r="S138" s="2" t="s">
        <v>74</v>
      </c>
      <c r="T138" s="2" t="s">
        <v>74</v>
      </c>
      <c r="U138" s="2" t="s">
        <v>74</v>
      </c>
      <c r="V138" s="5" t="s">
        <v>7589</v>
      </c>
      <c r="W138" s="2" t="s">
        <v>74</v>
      </c>
      <c r="X138" s="2" t="s">
        <v>74</v>
      </c>
      <c r="Y138" s="2" t="s">
        <v>74</v>
      </c>
      <c r="Z138" s="2" t="s">
        <v>74</v>
      </c>
      <c r="AA138" s="2" t="s">
        <v>74</v>
      </c>
      <c r="AB138" s="2" t="s">
        <v>74</v>
      </c>
      <c r="AC138" s="2" t="s">
        <v>74</v>
      </c>
      <c r="AD138" s="2" t="s">
        <v>74</v>
      </c>
      <c r="AE138" s="2" t="s">
        <v>74</v>
      </c>
      <c r="AF138" s="2" t="s">
        <v>74</v>
      </c>
      <c r="AG138" s="2" t="s">
        <v>74</v>
      </c>
      <c r="AH138" s="2" t="s">
        <v>74</v>
      </c>
      <c r="AI138" s="2" t="s">
        <v>74</v>
      </c>
      <c r="AJ138" s="2" t="s">
        <v>74</v>
      </c>
      <c r="AK138" s="2" t="s">
        <v>74</v>
      </c>
      <c r="AL138" s="2" t="s">
        <v>74</v>
      </c>
      <c r="AM138" s="2" t="s">
        <v>74</v>
      </c>
      <c r="AN138" s="2" t="s">
        <v>74</v>
      </c>
      <c r="AO138" s="2" t="s">
        <v>143</v>
      </c>
      <c r="AP138" s="2" t="s">
        <v>144</v>
      </c>
      <c r="AQ138" s="2" t="s">
        <v>74</v>
      </c>
      <c r="AR138" s="2" t="s">
        <v>74</v>
      </c>
      <c r="AS138" s="2" t="s">
        <v>74</v>
      </c>
      <c r="AT138" s="2" t="s">
        <v>102</v>
      </c>
      <c r="AU138" s="2">
        <v>2004</v>
      </c>
      <c r="AV138" s="2">
        <v>67</v>
      </c>
      <c r="AW138" s="2" t="s">
        <v>74</v>
      </c>
      <c r="AX138" s="2">
        <v>6</v>
      </c>
      <c r="AY138" s="2" t="s">
        <v>74</v>
      </c>
      <c r="AZ138" s="2" t="s">
        <v>74</v>
      </c>
      <c r="BA138" s="2" t="s">
        <v>74</v>
      </c>
      <c r="BB138" s="2">
        <v>1127</v>
      </c>
      <c r="BC138" s="2">
        <v>1132</v>
      </c>
      <c r="BD138" s="2" t="s">
        <v>74</v>
      </c>
      <c r="BE138" s="2" t="s">
        <v>7590</v>
      </c>
      <c r="BF138" s="2" t="str">
        <f>HYPERLINK("http://dx.doi.org/10.1016/j.anbehav.2003.06.021","http://dx.doi.org/10.1016/j.anbehav.2003.06.021")</f>
        <v>http://dx.doi.org/10.1016/j.anbehav.2003.06.021</v>
      </c>
      <c r="BG138" s="2" t="s">
        <v>74</v>
      </c>
      <c r="BH138" s="2" t="s">
        <v>74</v>
      </c>
      <c r="BI138" s="2" t="s">
        <v>74</v>
      </c>
      <c r="BJ138" s="2" t="s">
        <v>74</v>
      </c>
      <c r="BK138" s="2" t="s">
        <v>74</v>
      </c>
      <c r="BL138" s="2" t="s">
        <v>74</v>
      </c>
      <c r="BM138" s="2" t="s">
        <v>74</v>
      </c>
      <c r="BN138" s="2" t="s">
        <v>74</v>
      </c>
      <c r="BO138" s="2" t="s">
        <v>74</v>
      </c>
      <c r="BP138" s="2" t="s">
        <v>74</v>
      </c>
      <c r="BQ138" s="2" t="s">
        <v>74</v>
      </c>
      <c r="BR138" s="2" t="s">
        <v>74</v>
      </c>
      <c r="BS138" s="2" t="s">
        <v>7591</v>
      </c>
      <c r="BT138" s="2" t="str">
        <f>HYPERLINK("https%3A%2F%2Fwww.webofscience.com%2Fwos%2Fwoscc%2Ffull-record%2FWOS:000222591300017","View Full Record in Web of Science")</f>
        <v>View Full Record in Web of Science</v>
      </c>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row>
    <row r="139" spans="1:314" s="1" customFormat="1" x14ac:dyDescent="0.4">
      <c r="A139" s="2" t="s">
        <v>72</v>
      </c>
      <c r="B139" s="2" t="s">
        <v>6476</v>
      </c>
      <c r="C139" s="2" t="s">
        <v>74</v>
      </c>
      <c r="D139" s="2" t="s">
        <v>74</v>
      </c>
      <c r="E139" s="2" t="s">
        <v>74</v>
      </c>
      <c r="F139" s="2" t="s">
        <v>6477</v>
      </c>
      <c r="G139" s="2" t="s">
        <v>74</v>
      </c>
      <c r="H139" s="2" t="s">
        <v>74</v>
      </c>
      <c r="I139" s="2" t="s">
        <v>6478</v>
      </c>
      <c r="J139" s="2" t="s">
        <v>140</v>
      </c>
      <c r="K139" s="2" t="s">
        <v>74</v>
      </c>
      <c r="L139" s="2" t="s">
        <v>74</v>
      </c>
      <c r="M139" s="2" t="s">
        <v>74</v>
      </c>
      <c r="N139" s="2" t="s">
        <v>74</v>
      </c>
      <c r="O139" s="2" t="s">
        <v>74</v>
      </c>
      <c r="P139" s="2" t="s">
        <v>74</v>
      </c>
      <c r="Q139" s="2" t="s">
        <v>74</v>
      </c>
      <c r="R139" s="2" t="s">
        <v>74</v>
      </c>
      <c r="S139" s="2" t="s">
        <v>74</v>
      </c>
      <c r="T139" s="2" t="s">
        <v>74</v>
      </c>
      <c r="U139" s="2" t="s">
        <v>74</v>
      </c>
      <c r="V139" s="5" t="s">
        <v>6479</v>
      </c>
      <c r="W139" s="2" t="s">
        <v>74</v>
      </c>
      <c r="X139" s="2" t="s">
        <v>74</v>
      </c>
      <c r="Y139" s="2" t="s">
        <v>74</v>
      </c>
      <c r="Z139" s="2" t="s">
        <v>74</v>
      </c>
      <c r="AA139" s="2" t="s">
        <v>6480</v>
      </c>
      <c r="AB139" s="2" t="s">
        <v>6481</v>
      </c>
      <c r="AC139" s="2" t="s">
        <v>74</v>
      </c>
      <c r="AD139" s="2" t="s">
        <v>74</v>
      </c>
      <c r="AE139" s="2" t="s">
        <v>74</v>
      </c>
      <c r="AF139" s="2" t="s">
        <v>74</v>
      </c>
      <c r="AG139" s="2" t="s">
        <v>74</v>
      </c>
      <c r="AH139" s="2" t="s">
        <v>74</v>
      </c>
      <c r="AI139" s="2" t="s">
        <v>74</v>
      </c>
      <c r="AJ139" s="2" t="s">
        <v>74</v>
      </c>
      <c r="AK139" s="2" t="s">
        <v>74</v>
      </c>
      <c r="AL139" s="2" t="s">
        <v>74</v>
      </c>
      <c r="AM139" s="2" t="s">
        <v>74</v>
      </c>
      <c r="AN139" s="2" t="s">
        <v>74</v>
      </c>
      <c r="AO139" s="2" t="s">
        <v>143</v>
      </c>
      <c r="AP139" s="2" t="s">
        <v>144</v>
      </c>
      <c r="AQ139" s="2" t="s">
        <v>74</v>
      </c>
      <c r="AR139" s="2" t="s">
        <v>74</v>
      </c>
      <c r="AS139" s="2" t="s">
        <v>74</v>
      </c>
      <c r="AT139" s="2" t="s">
        <v>255</v>
      </c>
      <c r="AU139" s="2">
        <v>2018</v>
      </c>
      <c r="AV139" s="2">
        <v>135</v>
      </c>
      <c r="AW139" s="2" t="s">
        <v>74</v>
      </c>
      <c r="AX139" s="2" t="s">
        <v>74</v>
      </c>
      <c r="AY139" s="2" t="s">
        <v>74</v>
      </c>
      <c r="AZ139" s="2" t="s">
        <v>74</v>
      </c>
      <c r="BA139" s="2" t="s">
        <v>74</v>
      </c>
      <c r="BB139" s="2">
        <v>209</v>
      </c>
      <c r="BC139" s="2">
        <v>214</v>
      </c>
      <c r="BD139" s="2" t="s">
        <v>74</v>
      </c>
      <c r="BE139" s="2" t="s">
        <v>6482</v>
      </c>
      <c r="BF139" s="2" t="str">
        <f>HYPERLINK("http://dx.doi.org/10.1016/j.anbehav.2017.11.022","http://dx.doi.org/10.1016/j.anbehav.2017.11.022")</f>
        <v>http://dx.doi.org/10.1016/j.anbehav.2017.11.022</v>
      </c>
      <c r="BG139" s="2" t="s">
        <v>74</v>
      </c>
      <c r="BH139" s="2" t="s">
        <v>74</v>
      </c>
      <c r="BI139" s="2" t="s">
        <v>74</v>
      </c>
      <c r="BJ139" s="2" t="s">
        <v>74</v>
      </c>
      <c r="BK139" s="2" t="s">
        <v>74</v>
      </c>
      <c r="BL139" s="2" t="s">
        <v>74</v>
      </c>
      <c r="BM139" s="2" t="s">
        <v>74</v>
      </c>
      <c r="BN139" s="2" t="s">
        <v>74</v>
      </c>
      <c r="BO139" s="2" t="s">
        <v>74</v>
      </c>
      <c r="BP139" s="2" t="s">
        <v>74</v>
      </c>
      <c r="BQ139" s="2" t="s">
        <v>74</v>
      </c>
      <c r="BR139" s="2" t="s">
        <v>74</v>
      </c>
      <c r="BS139" s="2" t="s">
        <v>6483</v>
      </c>
      <c r="BT139" s="2" t="str">
        <f>HYPERLINK("https%3A%2F%2Fwww.webofscience.com%2Fwos%2Fwoscc%2Ffull-record%2FWOS:000419600500022","View Full Record in Web of Science")</f>
        <v>View Full Record in Web of Science</v>
      </c>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row>
    <row r="140" spans="1:314" s="2" customFormat="1" x14ac:dyDescent="0.4">
      <c r="A140" s="2" t="s">
        <v>72</v>
      </c>
      <c r="B140" s="2" t="s">
        <v>7930</v>
      </c>
      <c r="C140" s="2" t="s">
        <v>74</v>
      </c>
      <c r="D140" s="2" t="s">
        <v>74</v>
      </c>
      <c r="E140" s="2" t="s">
        <v>74</v>
      </c>
      <c r="F140" s="2" t="s">
        <v>7931</v>
      </c>
      <c r="G140" s="2" t="s">
        <v>74</v>
      </c>
      <c r="H140" s="2" t="s">
        <v>74</v>
      </c>
      <c r="I140" s="2" t="s">
        <v>7932</v>
      </c>
      <c r="J140" s="2" t="s">
        <v>1112</v>
      </c>
      <c r="K140" s="2" t="s">
        <v>74</v>
      </c>
      <c r="L140" s="2" t="s">
        <v>74</v>
      </c>
      <c r="M140" s="2" t="s">
        <v>74</v>
      </c>
      <c r="N140" s="2" t="s">
        <v>74</v>
      </c>
      <c r="O140" s="2" t="s">
        <v>74</v>
      </c>
      <c r="P140" s="2" t="s">
        <v>74</v>
      </c>
      <c r="Q140" s="2" t="s">
        <v>74</v>
      </c>
      <c r="R140" s="2" t="s">
        <v>74</v>
      </c>
      <c r="S140" s="2" t="s">
        <v>74</v>
      </c>
      <c r="T140" s="2" t="s">
        <v>74</v>
      </c>
      <c r="U140" s="2" t="s">
        <v>74</v>
      </c>
      <c r="V140" s="5" t="s">
        <v>7933</v>
      </c>
      <c r="W140" s="2" t="s">
        <v>74</v>
      </c>
      <c r="X140" s="2" t="s">
        <v>74</v>
      </c>
      <c r="Y140" s="2" t="s">
        <v>74</v>
      </c>
      <c r="Z140" s="2" t="s">
        <v>74</v>
      </c>
      <c r="AA140" s="2" t="s">
        <v>74</v>
      </c>
      <c r="AB140" s="2" t="s">
        <v>7934</v>
      </c>
      <c r="AC140" s="2" t="s">
        <v>74</v>
      </c>
      <c r="AD140" s="2" t="s">
        <v>74</v>
      </c>
      <c r="AE140" s="2" t="s">
        <v>74</v>
      </c>
      <c r="AF140" s="2" t="s">
        <v>74</v>
      </c>
      <c r="AG140" s="2" t="s">
        <v>74</v>
      </c>
      <c r="AH140" s="2" t="s">
        <v>74</v>
      </c>
      <c r="AI140" s="2" t="s">
        <v>74</v>
      </c>
      <c r="AJ140" s="2" t="s">
        <v>74</v>
      </c>
      <c r="AK140" s="2" t="s">
        <v>74</v>
      </c>
      <c r="AL140" s="2" t="s">
        <v>74</v>
      </c>
      <c r="AM140" s="2" t="s">
        <v>74</v>
      </c>
      <c r="AN140" s="2" t="s">
        <v>74</v>
      </c>
      <c r="AO140" s="2" t="s">
        <v>1114</v>
      </c>
      <c r="AP140" s="2" t="s">
        <v>1115</v>
      </c>
      <c r="AQ140" s="2" t="s">
        <v>74</v>
      </c>
      <c r="AR140" s="2" t="s">
        <v>74</v>
      </c>
      <c r="AS140" s="2" t="s">
        <v>74</v>
      </c>
      <c r="AT140" s="2" t="s">
        <v>352</v>
      </c>
      <c r="AU140" s="2">
        <v>2017</v>
      </c>
      <c r="AV140" s="2">
        <v>194</v>
      </c>
      <c r="AW140" s="2" t="s">
        <v>74</v>
      </c>
      <c r="AX140" s="2" t="s">
        <v>74</v>
      </c>
      <c r="AY140" s="2" t="s">
        <v>74</v>
      </c>
      <c r="AZ140" s="2" t="s">
        <v>74</v>
      </c>
      <c r="BA140" s="2" t="s">
        <v>74</v>
      </c>
      <c r="BB140" s="2">
        <v>112</v>
      </c>
      <c r="BC140" s="2">
        <v>119</v>
      </c>
      <c r="BD140" s="2" t="s">
        <v>74</v>
      </c>
      <c r="BE140" s="2" t="s">
        <v>7935</v>
      </c>
      <c r="BF140" s="2" t="str">
        <f>HYPERLINK("http://dx.doi.org/10.1016/j.applanim.2017.05.008","http://dx.doi.org/10.1016/j.applanim.2017.05.008")</f>
        <v>http://dx.doi.org/10.1016/j.applanim.2017.05.008</v>
      </c>
      <c r="BG140" s="2" t="s">
        <v>74</v>
      </c>
      <c r="BH140" s="2" t="s">
        <v>74</v>
      </c>
      <c r="BI140" s="2" t="s">
        <v>74</v>
      </c>
      <c r="BJ140" s="2" t="s">
        <v>74</v>
      </c>
      <c r="BK140" s="2" t="s">
        <v>74</v>
      </c>
      <c r="BL140" s="2" t="s">
        <v>74</v>
      </c>
      <c r="BM140" s="2" t="s">
        <v>74</v>
      </c>
      <c r="BN140" s="2" t="s">
        <v>74</v>
      </c>
      <c r="BO140" s="2" t="s">
        <v>74</v>
      </c>
      <c r="BP140" s="2" t="s">
        <v>74</v>
      </c>
      <c r="BQ140" s="2" t="s">
        <v>74</v>
      </c>
      <c r="BR140" s="2" t="s">
        <v>74</v>
      </c>
      <c r="BS140" s="2" t="s">
        <v>7936</v>
      </c>
      <c r="BT140" s="2" t="str">
        <f>HYPERLINK("https%3A%2F%2Fwww.webofscience.com%2Fwos%2Fwoscc%2Ffull-record%2FWOS:000408179000015","View Full Record in Web of Science")</f>
        <v>View Full Record in Web of Science</v>
      </c>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row>
    <row r="141" spans="1:314" s="2" customFormat="1" x14ac:dyDescent="0.4">
      <c r="A141" s="2" t="s">
        <v>72</v>
      </c>
      <c r="B141" s="2" t="s">
        <v>8614</v>
      </c>
      <c r="C141" s="2" t="s">
        <v>74</v>
      </c>
      <c r="D141" s="2" t="s">
        <v>74</v>
      </c>
      <c r="E141" s="2" t="s">
        <v>74</v>
      </c>
      <c r="F141" s="2" t="s">
        <v>8614</v>
      </c>
      <c r="G141" s="2" t="s">
        <v>74</v>
      </c>
      <c r="H141" s="2" t="s">
        <v>74</v>
      </c>
      <c r="I141" s="2" t="s">
        <v>8615</v>
      </c>
      <c r="J141" s="2" t="s">
        <v>140</v>
      </c>
      <c r="K141" s="2" t="s">
        <v>74</v>
      </c>
      <c r="L141" s="2" t="s">
        <v>74</v>
      </c>
      <c r="M141" s="2" t="s">
        <v>74</v>
      </c>
      <c r="N141" s="2" t="s">
        <v>74</v>
      </c>
      <c r="O141" s="2" t="s">
        <v>74</v>
      </c>
      <c r="P141" s="2" t="s">
        <v>74</v>
      </c>
      <c r="Q141" s="2" t="s">
        <v>74</v>
      </c>
      <c r="R141" s="2" t="s">
        <v>74</v>
      </c>
      <c r="S141" s="2" t="s">
        <v>74</v>
      </c>
      <c r="T141" s="2" t="s">
        <v>74</v>
      </c>
      <c r="U141" s="2" t="s">
        <v>74</v>
      </c>
      <c r="V141" s="5" t="s">
        <v>8616</v>
      </c>
      <c r="W141" s="2" t="s">
        <v>74</v>
      </c>
      <c r="X141" s="2" t="s">
        <v>74</v>
      </c>
      <c r="Y141" s="2" t="s">
        <v>74</v>
      </c>
      <c r="Z141" s="2" t="s">
        <v>74</v>
      </c>
      <c r="AA141" s="2" t="s">
        <v>8617</v>
      </c>
      <c r="AB141" s="2" t="s">
        <v>74</v>
      </c>
      <c r="AC141" s="2" t="s">
        <v>74</v>
      </c>
      <c r="AD141" s="2" t="s">
        <v>74</v>
      </c>
      <c r="AE141" s="2" t="s">
        <v>74</v>
      </c>
      <c r="AF141" s="2" t="s">
        <v>74</v>
      </c>
      <c r="AG141" s="2" t="s">
        <v>74</v>
      </c>
      <c r="AH141" s="2" t="s">
        <v>74</v>
      </c>
      <c r="AI141" s="2" t="s">
        <v>74</v>
      </c>
      <c r="AJ141" s="2" t="s">
        <v>74</v>
      </c>
      <c r="AK141" s="2" t="s">
        <v>74</v>
      </c>
      <c r="AL141" s="2" t="s">
        <v>74</v>
      </c>
      <c r="AM141" s="2" t="s">
        <v>74</v>
      </c>
      <c r="AN141" s="2" t="s">
        <v>74</v>
      </c>
      <c r="AO141" s="2" t="s">
        <v>143</v>
      </c>
      <c r="AP141" s="2" t="s">
        <v>144</v>
      </c>
      <c r="AQ141" s="2" t="s">
        <v>74</v>
      </c>
      <c r="AR141" s="2" t="s">
        <v>74</v>
      </c>
      <c r="AS141" s="2" t="s">
        <v>74</v>
      </c>
      <c r="AT141" s="2" t="s">
        <v>102</v>
      </c>
      <c r="AU141" s="2">
        <v>1996</v>
      </c>
      <c r="AV141" s="2">
        <v>51</v>
      </c>
      <c r="AW141" s="2" t="s">
        <v>74</v>
      </c>
      <c r="AX141" s="2">
        <v>6</v>
      </c>
      <c r="AY141" s="2" t="s">
        <v>74</v>
      </c>
      <c r="AZ141" s="2" t="s">
        <v>74</v>
      </c>
      <c r="BA141" s="2" t="s">
        <v>74</v>
      </c>
      <c r="BB141" s="2">
        <v>1233</v>
      </c>
      <c r="BC141" s="2">
        <v>1245</v>
      </c>
      <c r="BD141" s="2" t="s">
        <v>74</v>
      </c>
      <c r="BE141" s="2" t="s">
        <v>8618</v>
      </c>
      <c r="BF141" s="2" t="str">
        <f>HYPERLINK("http://dx.doi.org/10.1006/anbe.1996.0128","http://dx.doi.org/10.1006/anbe.1996.0128")</f>
        <v>http://dx.doi.org/10.1006/anbe.1996.0128</v>
      </c>
      <c r="BG141" s="2" t="s">
        <v>74</v>
      </c>
      <c r="BH141" s="2" t="s">
        <v>74</v>
      </c>
      <c r="BI141" s="2" t="s">
        <v>74</v>
      </c>
      <c r="BJ141" s="2" t="s">
        <v>74</v>
      </c>
      <c r="BK141" s="2" t="s">
        <v>74</v>
      </c>
      <c r="BL141" s="2" t="s">
        <v>74</v>
      </c>
      <c r="BM141" s="2" t="s">
        <v>74</v>
      </c>
      <c r="BN141" s="2" t="s">
        <v>74</v>
      </c>
      <c r="BO141" s="2" t="s">
        <v>74</v>
      </c>
      <c r="BP141" s="2" t="s">
        <v>74</v>
      </c>
      <c r="BQ141" s="2" t="s">
        <v>74</v>
      </c>
      <c r="BR141" s="2" t="s">
        <v>74</v>
      </c>
      <c r="BS141" s="2" t="s">
        <v>8619</v>
      </c>
      <c r="BT141" s="2" t="str">
        <f>HYPERLINK("https%3A%2F%2Fwww.webofscience.com%2Fwos%2Fwoscc%2Ffull-record%2FWOS:A1996UX10100004","View Full Record in Web of Science")</f>
        <v>View Full Record in Web of Science</v>
      </c>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row>
    <row r="142" spans="1:314" s="1" customFormat="1" x14ac:dyDescent="0.4">
      <c r="A142" s="2" t="s">
        <v>72</v>
      </c>
      <c r="B142" s="2" t="s">
        <v>2076</v>
      </c>
      <c r="C142" s="2" t="s">
        <v>74</v>
      </c>
      <c r="D142" s="2" t="s">
        <v>74</v>
      </c>
      <c r="E142" s="2" t="s">
        <v>74</v>
      </c>
      <c r="F142" s="2" t="s">
        <v>2077</v>
      </c>
      <c r="G142" s="2" t="s">
        <v>74</v>
      </c>
      <c r="H142" s="2" t="s">
        <v>74</v>
      </c>
      <c r="I142" s="2" t="s">
        <v>2078</v>
      </c>
      <c r="J142" s="2" t="s">
        <v>140</v>
      </c>
      <c r="K142" s="2" t="s">
        <v>74</v>
      </c>
      <c r="L142" s="2" t="s">
        <v>74</v>
      </c>
      <c r="M142" s="2" t="s">
        <v>74</v>
      </c>
      <c r="N142" s="2" t="s">
        <v>74</v>
      </c>
      <c r="O142" s="2" t="s">
        <v>74</v>
      </c>
      <c r="P142" s="2" t="s">
        <v>74</v>
      </c>
      <c r="Q142" s="2" t="s">
        <v>74</v>
      </c>
      <c r="R142" s="2" t="s">
        <v>74</v>
      </c>
      <c r="S142" s="2" t="s">
        <v>74</v>
      </c>
      <c r="T142" s="2" t="s">
        <v>74</v>
      </c>
      <c r="U142" s="2" t="s">
        <v>74</v>
      </c>
      <c r="V142" s="5" t="s">
        <v>2079</v>
      </c>
      <c r="W142" s="2" t="s">
        <v>74</v>
      </c>
      <c r="X142" s="2" t="s">
        <v>74</v>
      </c>
      <c r="Y142" s="2" t="s">
        <v>74</v>
      </c>
      <c r="Z142" s="2" t="s">
        <v>74</v>
      </c>
      <c r="AA142" s="2" t="s">
        <v>2080</v>
      </c>
      <c r="AB142" s="2" t="s">
        <v>2081</v>
      </c>
      <c r="AC142" s="2" t="s">
        <v>74</v>
      </c>
      <c r="AD142" s="2" t="s">
        <v>74</v>
      </c>
      <c r="AE142" s="2" t="s">
        <v>74</v>
      </c>
      <c r="AF142" s="2" t="s">
        <v>74</v>
      </c>
      <c r="AG142" s="2" t="s">
        <v>74</v>
      </c>
      <c r="AH142" s="2" t="s">
        <v>74</v>
      </c>
      <c r="AI142" s="2" t="s">
        <v>74</v>
      </c>
      <c r="AJ142" s="2" t="s">
        <v>74</v>
      </c>
      <c r="AK142" s="2" t="s">
        <v>74</v>
      </c>
      <c r="AL142" s="2" t="s">
        <v>74</v>
      </c>
      <c r="AM142" s="2" t="s">
        <v>74</v>
      </c>
      <c r="AN142" s="2" t="s">
        <v>74</v>
      </c>
      <c r="AO142" s="2" t="s">
        <v>143</v>
      </c>
      <c r="AP142" s="2" t="s">
        <v>144</v>
      </c>
      <c r="AQ142" s="2" t="s">
        <v>74</v>
      </c>
      <c r="AR142" s="2" t="s">
        <v>74</v>
      </c>
      <c r="AS142" s="2" t="s">
        <v>74</v>
      </c>
      <c r="AT142" s="2" t="s">
        <v>145</v>
      </c>
      <c r="AU142" s="2">
        <v>2020</v>
      </c>
      <c r="AV142" s="2">
        <v>166</v>
      </c>
      <c r="AW142" s="2" t="s">
        <v>74</v>
      </c>
      <c r="AX142" s="2" t="s">
        <v>74</v>
      </c>
      <c r="AY142" s="2" t="s">
        <v>74</v>
      </c>
      <c r="AZ142" s="2" t="s">
        <v>74</v>
      </c>
      <c r="BA142" s="2" t="s">
        <v>74</v>
      </c>
      <c r="BB142" s="2">
        <v>33</v>
      </c>
      <c r="BC142" s="2">
        <v>39</v>
      </c>
      <c r="BD142" s="2" t="s">
        <v>74</v>
      </c>
      <c r="BE142" s="2" t="s">
        <v>2082</v>
      </c>
      <c r="BF142" s="2" t="str">
        <f>HYPERLINK("http://dx.doi.org/10.1016/j.anbehav.2020.05.017","http://dx.doi.org/10.1016/j.anbehav.2020.05.017")</f>
        <v>http://dx.doi.org/10.1016/j.anbehav.2020.05.017</v>
      </c>
      <c r="BG142" s="2" t="s">
        <v>74</v>
      </c>
      <c r="BH142" s="2" t="s">
        <v>74</v>
      </c>
      <c r="BI142" s="2" t="s">
        <v>74</v>
      </c>
      <c r="BJ142" s="2" t="s">
        <v>74</v>
      </c>
      <c r="BK142" s="2" t="s">
        <v>74</v>
      </c>
      <c r="BL142" s="2" t="s">
        <v>74</v>
      </c>
      <c r="BM142" s="2" t="s">
        <v>74</v>
      </c>
      <c r="BN142" s="2" t="s">
        <v>74</v>
      </c>
      <c r="BO142" s="2" t="s">
        <v>74</v>
      </c>
      <c r="BP142" s="2" t="s">
        <v>74</v>
      </c>
      <c r="BQ142" s="2" t="s">
        <v>74</v>
      </c>
      <c r="BR142" s="2" t="s">
        <v>74</v>
      </c>
      <c r="BS142" s="2" t="s">
        <v>2083</v>
      </c>
      <c r="BT142" s="2" t="str">
        <f>HYPERLINK("https%3A%2F%2Fwww.webofscience.com%2Fwos%2Fwoscc%2Ffull-record%2FWOS:000555887500004","View Full Record in Web of Science")</f>
        <v>View Full Record in Web of Science</v>
      </c>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row>
    <row r="143" spans="1:314" s="2" customFormat="1" x14ac:dyDescent="0.4">
      <c r="A143" s="2" t="s">
        <v>72</v>
      </c>
      <c r="B143" s="2" t="s">
        <v>2263</v>
      </c>
      <c r="C143" s="2" t="s">
        <v>74</v>
      </c>
      <c r="D143" s="2" t="s">
        <v>74</v>
      </c>
      <c r="E143" s="2" t="s">
        <v>74</v>
      </c>
      <c r="F143" s="2" t="s">
        <v>2263</v>
      </c>
      <c r="G143" s="2" t="s">
        <v>74</v>
      </c>
      <c r="H143" s="2" t="s">
        <v>74</v>
      </c>
      <c r="I143" s="2" t="s">
        <v>2264</v>
      </c>
      <c r="J143" s="2" t="s">
        <v>2265</v>
      </c>
      <c r="K143" s="2" t="s">
        <v>74</v>
      </c>
      <c r="L143" s="2" t="s">
        <v>74</v>
      </c>
      <c r="M143" s="2" t="s">
        <v>74</v>
      </c>
      <c r="N143" s="2" t="s">
        <v>74</v>
      </c>
      <c r="O143" s="2" t="s">
        <v>74</v>
      </c>
      <c r="P143" s="2" t="s">
        <v>74</v>
      </c>
      <c r="Q143" s="2" t="s">
        <v>74</v>
      </c>
      <c r="R143" s="2" t="s">
        <v>74</v>
      </c>
      <c r="S143" s="2" t="s">
        <v>74</v>
      </c>
      <c r="T143" s="2" t="s">
        <v>74</v>
      </c>
      <c r="U143" s="2" t="s">
        <v>74</v>
      </c>
      <c r="V143" s="5" t="s">
        <v>2266</v>
      </c>
      <c r="W143" s="2" t="s">
        <v>74</v>
      </c>
      <c r="X143" s="2" t="s">
        <v>74</v>
      </c>
      <c r="Y143" s="2" t="s">
        <v>74</v>
      </c>
      <c r="Z143" s="2" t="s">
        <v>74</v>
      </c>
      <c r="AA143" s="2" t="s">
        <v>2267</v>
      </c>
      <c r="AB143" s="2" t="s">
        <v>2268</v>
      </c>
      <c r="AC143" s="2" t="s">
        <v>74</v>
      </c>
      <c r="AD143" s="2" t="s">
        <v>74</v>
      </c>
      <c r="AE143" s="2" t="s">
        <v>74</v>
      </c>
      <c r="AF143" s="2" t="s">
        <v>74</v>
      </c>
      <c r="AG143" s="2" t="s">
        <v>74</v>
      </c>
      <c r="AH143" s="2" t="s">
        <v>74</v>
      </c>
      <c r="AI143" s="2" t="s">
        <v>74</v>
      </c>
      <c r="AJ143" s="2" t="s">
        <v>74</v>
      </c>
      <c r="AK143" s="2" t="s">
        <v>74</v>
      </c>
      <c r="AL143" s="2" t="s">
        <v>74</v>
      </c>
      <c r="AM143" s="2" t="s">
        <v>74</v>
      </c>
      <c r="AN143" s="2" t="s">
        <v>74</v>
      </c>
      <c r="AO143" s="2" t="s">
        <v>2269</v>
      </c>
      <c r="AP143" s="2" t="s">
        <v>2270</v>
      </c>
      <c r="AQ143" s="2" t="s">
        <v>74</v>
      </c>
      <c r="AR143" s="2" t="s">
        <v>74</v>
      </c>
      <c r="AS143" s="2" t="s">
        <v>74</v>
      </c>
      <c r="AT143" s="2" t="s">
        <v>74</v>
      </c>
      <c r="AU143" s="2">
        <v>2004</v>
      </c>
      <c r="AV143" s="2">
        <v>28</v>
      </c>
      <c r="AW143" s="2">
        <v>1</v>
      </c>
      <c r="AX143" s="2" t="s">
        <v>74</v>
      </c>
      <c r="AY143" s="2" t="s">
        <v>74</v>
      </c>
      <c r="AZ143" s="2" t="s">
        <v>74</v>
      </c>
      <c r="BA143" s="2" t="s">
        <v>74</v>
      </c>
      <c r="BB143" s="2">
        <v>93</v>
      </c>
      <c r="BC143" s="2">
        <v>103</v>
      </c>
      <c r="BD143" s="2" t="s">
        <v>74</v>
      </c>
      <c r="BE143" s="2" t="s">
        <v>74</v>
      </c>
      <c r="BF143" s="2" t="s">
        <v>74</v>
      </c>
      <c r="BG143" s="2" t="s">
        <v>74</v>
      </c>
      <c r="BH143" s="2" t="s">
        <v>74</v>
      </c>
      <c r="BI143" s="2" t="s">
        <v>74</v>
      </c>
      <c r="BJ143" s="2" t="s">
        <v>74</v>
      </c>
      <c r="BK143" s="2" t="s">
        <v>74</v>
      </c>
      <c r="BL143" s="2" t="s">
        <v>74</v>
      </c>
      <c r="BM143" s="2" t="s">
        <v>74</v>
      </c>
      <c r="BN143" s="2" t="s">
        <v>74</v>
      </c>
      <c r="BO143" s="2" t="s">
        <v>74</v>
      </c>
      <c r="BP143" s="2" t="s">
        <v>74</v>
      </c>
      <c r="BQ143" s="2" t="s">
        <v>74</v>
      </c>
      <c r="BR143" s="2" t="s">
        <v>74</v>
      </c>
      <c r="BS143" s="2" t="s">
        <v>2271</v>
      </c>
      <c r="BT143" s="2" t="str">
        <f>HYPERLINK("https%3A%2F%2Fwww.webofscience.com%2Fwos%2Fwoscc%2Ffull-record%2FWOS:000223581700009","View Full Record in Web of Science")</f>
        <v>View Full Record in Web of Science</v>
      </c>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row>
    <row r="144" spans="1:314" s="2" customFormat="1" x14ac:dyDescent="0.4">
      <c r="A144" s="2" t="s">
        <v>72</v>
      </c>
      <c r="B144" s="2" t="s">
        <v>3775</v>
      </c>
      <c r="C144" s="2" t="s">
        <v>74</v>
      </c>
      <c r="D144" s="2" t="s">
        <v>74</v>
      </c>
      <c r="E144" s="2" t="s">
        <v>74</v>
      </c>
      <c r="F144" s="2" t="s">
        <v>3776</v>
      </c>
      <c r="G144" s="2" t="s">
        <v>74</v>
      </c>
      <c r="H144" s="2" t="s">
        <v>74</v>
      </c>
      <c r="I144" s="2" t="s">
        <v>3777</v>
      </c>
      <c r="J144" s="2" t="s">
        <v>691</v>
      </c>
      <c r="K144" s="2" t="s">
        <v>74</v>
      </c>
      <c r="L144" s="2" t="s">
        <v>74</v>
      </c>
      <c r="M144" s="2" t="s">
        <v>74</v>
      </c>
      <c r="N144" s="2" t="s">
        <v>74</v>
      </c>
      <c r="O144" s="2" t="s">
        <v>74</v>
      </c>
      <c r="P144" s="2" t="s">
        <v>74</v>
      </c>
      <c r="Q144" s="2" t="s">
        <v>74</v>
      </c>
      <c r="R144" s="2" t="s">
        <v>74</v>
      </c>
      <c r="S144" s="2" t="s">
        <v>74</v>
      </c>
      <c r="T144" s="2" t="s">
        <v>74</v>
      </c>
      <c r="U144" s="2" t="s">
        <v>74</v>
      </c>
      <c r="V144" s="5" t="s">
        <v>3778</v>
      </c>
      <c r="W144" s="2" t="s">
        <v>74</v>
      </c>
      <c r="X144" s="2" t="s">
        <v>74</v>
      </c>
      <c r="Y144" s="2" t="s">
        <v>74</v>
      </c>
      <c r="Z144" s="2" t="s">
        <v>74</v>
      </c>
      <c r="AA144" s="2" t="s">
        <v>3779</v>
      </c>
      <c r="AB144" s="2" t="s">
        <v>3780</v>
      </c>
      <c r="AC144" s="2" t="s">
        <v>74</v>
      </c>
      <c r="AD144" s="2" t="s">
        <v>74</v>
      </c>
      <c r="AE144" s="2" t="s">
        <v>74</v>
      </c>
      <c r="AF144" s="2" t="s">
        <v>74</v>
      </c>
      <c r="AG144" s="2" t="s">
        <v>74</v>
      </c>
      <c r="AH144" s="2" t="s">
        <v>74</v>
      </c>
      <c r="AI144" s="2" t="s">
        <v>74</v>
      </c>
      <c r="AJ144" s="2" t="s">
        <v>74</v>
      </c>
      <c r="AK144" s="2" t="s">
        <v>74</v>
      </c>
      <c r="AL144" s="2" t="s">
        <v>74</v>
      </c>
      <c r="AM144" s="2" t="s">
        <v>74</v>
      </c>
      <c r="AN144" s="2" t="s">
        <v>74</v>
      </c>
      <c r="AO144" s="2" t="s">
        <v>695</v>
      </c>
      <c r="AP144" s="2" t="s">
        <v>74</v>
      </c>
      <c r="AQ144" s="2" t="s">
        <v>74</v>
      </c>
      <c r="AR144" s="2" t="s">
        <v>74</v>
      </c>
      <c r="AS144" s="2" t="s">
        <v>74</v>
      </c>
      <c r="AT144" s="2" t="s">
        <v>255</v>
      </c>
      <c r="AU144" s="2">
        <v>2015</v>
      </c>
      <c r="AV144" s="2">
        <v>138</v>
      </c>
      <c r="AW144" s="2" t="s">
        <v>74</v>
      </c>
      <c r="AX144" s="2" t="s">
        <v>74</v>
      </c>
      <c r="AY144" s="2" t="s">
        <v>74</v>
      </c>
      <c r="AZ144" s="2" t="s">
        <v>74</v>
      </c>
      <c r="BA144" s="2" t="s">
        <v>74</v>
      </c>
      <c r="BB144" s="2">
        <v>52</v>
      </c>
      <c r="BC144" s="2">
        <v>57</v>
      </c>
      <c r="BD144" s="2" t="s">
        <v>74</v>
      </c>
      <c r="BE144" s="2" t="s">
        <v>3781</v>
      </c>
      <c r="BF144" s="2" t="str">
        <f>HYPERLINK("http://dx.doi.org/10.1016/j.physbeh.2014.10.003","http://dx.doi.org/10.1016/j.physbeh.2014.10.003")</f>
        <v>http://dx.doi.org/10.1016/j.physbeh.2014.10.003</v>
      </c>
      <c r="BG144" s="2" t="s">
        <v>74</v>
      </c>
      <c r="BH144" s="2" t="s">
        <v>74</v>
      </c>
      <c r="BI144" s="2" t="s">
        <v>74</v>
      </c>
      <c r="BJ144" s="2" t="s">
        <v>74</v>
      </c>
      <c r="BK144" s="2" t="s">
        <v>74</v>
      </c>
      <c r="BL144" s="2" t="s">
        <v>74</v>
      </c>
      <c r="BM144" s="2" t="s">
        <v>74</v>
      </c>
      <c r="BN144" s="2">
        <v>25447479</v>
      </c>
      <c r="BO144" s="2" t="s">
        <v>74</v>
      </c>
      <c r="BP144" s="2" t="s">
        <v>74</v>
      </c>
      <c r="BQ144" s="2" t="s">
        <v>74</v>
      </c>
      <c r="BR144" s="2" t="s">
        <v>74</v>
      </c>
      <c r="BS144" s="2" t="s">
        <v>3782</v>
      </c>
      <c r="BT144" s="2" t="str">
        <f>HYPERLINK("https%3A%2F%2Fwww.webofscience.com%2Fwos%2Fwoscc%2Ffull-record%2FWOS:000348882900007","View Full Record in Web of Science")</f>
        <v>View Full Record in Web of Science</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row>
    <row r="145" spans="1:314" s="2" customFormat="1" x14ac:dyDescent="0.4">
      <c r="A145" s="2" t="s">
        <v>72</v>
      </c>
      <c r="B145" s="2" t="s">
        <v>3544</v>
      </c>
      <c r="C145" s="2" t="s">
        <v>74</v>
      </c>
      <c r="D145" s="2" t="s">
        <v>74</v>
      </c>
      <c r="E145" s="2" t="s">
        <v>74</v>
      </c>
      <c r="F145" s="2" t="s">
        <v>3545</v>
      </c>
      <c r="G145" s="2" t="s">
        <v>74</v>
      </c>
      <c r="H145" s="2" t="s">
        <v>74</v>
      </c>
      <c r="I145" s="2" t="s">
        <v>3546</v>
      </c>
      <c r="J145" s="2" t="s">
        <v>731</v>
      </c>
      <c r="K145" s="2" t="s">
        <v>74</v>
      </c>
      <c r="L145" s="2" t="s">
        <v>74</v>
      </c>
      <c r="M145" s="2" t="s">
        <v>74</v>
      </c>
      <c r="N145" s="2" t="s">
        <v>74</v>
      </c>
      <c r="O145" s="2" t="s">
        <v>74</v>
      </c>
      <c r="P145" s="2" t="s">
        <v>74</v>
      </c>
      <c r="Q145" s="2" t="s">
        <v>74</v>
      </c>
      <c r="R145" s="2" t="s">
        <v>74</v>
      </c>
      <c r="S145" s="2" t="s">
        <v>74</v>
      </c>
      <c r="T145" s="2" t="s">
        <v>74</v>
      </c>
      <c r="U145" s="2" t="s">
        <v>74</v>
      </c>
      <c r="V145" s="5" t="s">
        <v>3547</v>
      </c>
      <c r="W145" s="2" t="s">
        <v>74</v>
      </c>
      <c r="X145" s="2" t="s">
        <v>74</v>
      </c>
      <c r="Y145" s="2" t="s">
        <v>74</v>
      </c>
      <c r="Z145" s="2" t="s">
        <v>74</v>
      </c>
      <c r="AA145" s="2" t="s">
        <v>3548</v>
      </c>
      <c r="AB145" s="2" t="s">
        <v>3549</v>
      </c>
      <c r="AC145" s="2" t="s">
        <v>74</v>
      </c>
      <c r="AD145" s="2" t="s">
        <v>74</v>
      </c>
      <c r="AE145" s="2" t="s">
        <v>74</v>
      </c>
      <c r="AF145" s="2" t="s">
        <v>74</v>
      </c>
      <c r="AG145" s="2" t="s">
        <v>74</v>
      </c>
      <c r="AH145" s="2" t="s">
        <v>74</v>
      </c>
      <c r="AI145" s="2" t="s">
        <v>74</v>
      </c>
      <c r="AJ145" s="2" t="s">
        <v>74</v>
      </c>
      <c r="AK145" s="2" t="s">
        <v>74</v>
      </c>
      <c r="AL145" s="2" t="s">
        <v>74</v>
      </c>
      <c r="AM145" s="2" t="s">
        <v>74</v>
      </c>
      <c r="AN145" s="2" t="s">
        <v>74</v>
      </c>
      <c r="AO145" s="2" t="s">
        <v>733</v>
      </c>
      <c r="AP145" s="2" t="s">
        <v>734</v>
      </c>
      <c r="AQ145" s="2" t="s">
        <v>74</v>
      </c>
      <c r="AR145" s="2" t="s">
        <v>74</v>
      </c>
      <c r="AS145" s="2" t="s">
        <v>74</v>
      </c>
      <c r="AT145" s="2" t="s">
        <v>3445</v>
      </c>
      <c r="AU145" s="2">
        <v>2015</v>
      </c>
      <c r="AV145" s="2">
        <v>291</v>
      </c>
      <c r="AW145" s="2" t="s">
        <v>74</v>
      </c>
      <c r="AX145" s="2" t="s">
        <v>74</v>
      </c>
      <c r="AY145" s="2" t="s">
        <v>74</v>
      </c>
      <c r="AZ145" s="2" t="s">
        <v>74</v>
      </c>
      <c r="BA145" s="2" t="s">
        <v>74</v>
      </c>
      <c r="BB145" s="2">
        <v>103</v>
      </c>
      <c r="BC145" s="2">
        <v>107</v>
      </c>
      <c r="BD145" s="2" t="s">
        <v>74</v>
      </c>
      <c r="BE145" s="2" t="s">
        <v>3550</v>
      </c>
      <c r="BF145" s="2" t="str">
        <f>HYPERLINK("http://dx.doi.org/10.1016/j.bbr.2015.05.011","http://dx.doi.org/10.1016/j.bbr.2015.05.011")</f>
        <v>http://dx.doi.org/10.1016/j.bbr.2015.05.011</v>
      </c>
      <c r="BG145" s="2" t="s">
        <v>74</v>
      </c>
      <c r="BH145" s="2" t="s">
        <v>74</v>
      </c>
      <c r="BI145" s="2" t="s">
        <v>74</v>
      </c>
      <c r="BJ145" s="2" t="s">
        <v>74</v>
      </c>
      <c r="BK145" s="2" t="s">
        <v>74</v>
      </c>
      <c r="BL145" s="2" t="s">
        <v>74</v>
      </c>
      <c r="BM145" s="2" t="s">
        <v>74</v>
      </c>
      <c r="BN145" s="2">
        <v>25997582</v>
      </c>
      <c r="BO145" s="2" t="s">
        <v>74</v>
      </c>
      <c r="BP145" s="2" t="s">
        <v>74</v>
      </c>
      <c r="BQ145" s="2" t="s">
        <v>74</v>
      </c>
      <c r="BR145" s="2" t="s">
        <v>74</v>
      </c>
      <c r="BS145" s="2" t="s">
        <v>3551</v>
      </c>
      <c r="BT145" s="2" t="str">
        <f>HYPERLINK("https%3A%2F%2Fwww.webofscience.com%2Fwos%2Fwoscc%2Ffull-record%2FWOS:000358454800012","View Full Record in Web of Science")</f>
        <v>View Full Record in Web of Science</v>
      </c>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row>
    <row r="146" spans="1:314" s="2" customFormat="1" x14ac:dyDescent="0.4">
      <c r="A146" s="2" t="s">
        <v>72</v>
      </c>
      <c r="B146" s="2" t="s">
        <v>289</v>
      </c>
      <c r="C146" s="2" t="s">
        <v>74</v>
      </c>
      <c r="D146" s="2" t="s">
        <v>74</v>
      </c>
      <c r="E146" s="2" t="s">
        <v>74</v>
      </c>
      <c r="F146" s="2" t="s">
        <v>290</v>
      </c>
      <c r="G146" s="2" t="s">
        <v>74</v>
      </c>
      <c r="H146" s="2" t="s">
        <v>74</v>
      </c>
      <c r="I146" s="2" t="s">
        <v>291</v>
      </c>
      <c r="J146" s="2" t="s">
        <v>140</v>
      </c>
      <c r="K146" s="2" t="s">
        <v>74</v>
      </c>
      <c r="L146" s="2" t="s">
        <v>74</v>
      </c>
      <c r="M146" s="2" t="s">
        <v>74</v>
      </c>
      <c r="N146" s="2" t="s">
        <v>74</v>
      </c>
      <c r="O146" s="2" t="s">
        <v>74</v>
      </c>
      <c r="P146" s="2" t="s">
        <v>74</v>
      </c>
      <c r="Q146" s="2" t="s">
        <v>74</v>
      </c>
      <c r="R146" s="2" t="s">
        <v>74</v>
      </c>
      <c r="S146" s="2" t="s">
        <v>74</v>
      </c>
      <c r="T146" s="2" t="s">
        <v>74</v>
      </c>
      <c r="U146" s="2" t="s">
        <v>74</v>
      </c>
      <c r="V146" s="5" t="s">
        <v>292</v>
      </c>
      <c r="W146" s="2" t="s">
        <v>74</v>
      </c>
      <c r="X146" s="2" t="s">
        <v>74</v>
      </c>
      <c r="Y146" s="2" t="s">
        <v>74</v>
      </c>
      <c r="Z146" s="2" t="s">
        <v>74</v>
      </c>
      <c r="AA146" s="2" t="s">
        <v>74</v>
      </c>
      <c r="AB146" s="2" t="s">
        <v>293</v>
      </c>
      <c r="AC146" s="2" t="s">
        <v>74</v>
      </c>
      <c r="AD146" s="2" t="s">
        <v>74</v>
      </c>
      <c r="AE146" s="2" t="s">
        <v>74</v>
      </c>
      <c r="AF146" s="2" t="s">
        <v>74</v>
      </c>
      <c r="AG146" s="2" t="s">
        <v>74</v>
      </c>
      <c r="AH146" s="2" t="s">
        <v>74</v>
      </c>
      <c r="AI146" s="2" t="s">
        <v>74</v>
      </c>
      <c r="AJ146" s="2" t="s">
        <v>74</v>
      </c>
      <c r="AK146" s="2" t="s">
        <v>74</v>
      </c>
      <c r="AL146" s="2" t="s">
        <v>74</v>
      </c>
      <c r="AM146" s="2" t="s">
        <v>74</v>
      </c>
      <c r="AN146" s="2" t="s">
        <v>74</v>
      </c>
      <c r="AO146" s="2" t="s">
        <v>143</v>
      </c>
      <c r="AP146" s="2" t="s">
        <v>144</v>
      </c>
      <c r="AQ146" s="2" t="s">
        <v>74</v>
      </c>
      <c r="AR146" s="2" t="s">
        <v>74</v>
      </c>
      <c r="AS146" s="2" t="s">
        <v>74</v>
      </c>
      <c r="AT146" s="2" t="s">
        <v>175</v>
      </c>
      <c r="AU146" s="2">
        <v>2015</v>
      </c>
      <c r="AV146" s="2">
        <v>108</v>
      </c>
      <c r="AW146" s="2" t="s">
        <v>74</v>
      </c>
      <c r="AX146" s="2" t="s">
        <v>74</v>
      </c>
      <c r="AY146" s="2" t="s">
        <v>74</v>
      </c>
      <c r="AZ146" s="2" t="s">
        <v>74</v>
      </c>
      <c r="BA146" s="2" t="s">
        <v>74</v>
      </c>
      <c r="BB146" s="2">
        <v>199</v>
      </c>
      <c r="BC146" s="2">
        <v>206</v>
      </c>
      <c r="BD146" s="2" t="s">
        <v>74</v>
      </c>
      <c r="BE146" s="2" t="s">
        <v>294</v>
      </c>
      <c r="BF146" s="2" t="str">
        <f>HYPERLINK("http://dx.doi.org/10.1016/j.anbehav.2015.07.026","http://dx.doi.org/10.1016/j.anbehav.2015.07.026")</f>
        <v>http://dx.doi.org/10.1016/j.anbehav.2015.07.026</v>
      </c>
      <c r="BG146" s="2" t="s">
        <v>74</v>
      </c>
      <c r="BH146" s="2" t="s">
        <v>74</v>
      </c>
      <c r="BI146" s="2" t="s">
        <v>74</v>
      </c>
      <c r="BJ146" s="2" t="s">
        <v>74</v>
      </c>
      <c r="BK146" s="2" t="s">
        <v>74</v>
      </c>
      <c r="BL146" s="2" t="s">
        <v>74</v>
      </c>
      <c r="BM146" s="2" t="s">
        <v>74</v>
      </c>
      <c r="BN146" s="2">
        <v>29657330</v>
      </c>
      <c r="BO146" s="2" t="s">
        <v>74</v>
      </c>
      <c r="BP146" s="2" t="s">
        <v>74</v>
      </c>
      <c r="BQ146" s="2" t="s">
        <v>74</v>
      </c>
      <c r="BR146" s="2" t="s">
        <v>74</v>
      </c>
      <c r="BS146" s="2" t="s">
        <v>295</v>
      </c>
      <c r="BT146" s="2" t="str">
        <f>HYPERLINK("https%3A%2F%2Fwww.webofscience.com%2Fwos%2Fwoscc%2Ffull-record%2FWOS:000361570000024","View Full Record in Web of Science")</f>
        <v>View Full Record in Web of Science</v>
      </c>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row>
    <row r="147" spans="1:314" s="2" customFormat="1" x14ac:dyDescent="0.4">
      <c r="A147" s="2" t="s">
        <v>72</v>
      </c>
      <c r="B147" s="2" t="s">
        <v>5991</v>
      </c>
      <c r="C147" s="2" t="s">
        <v>74</v>
      </c>
      <c r="D147" s="2" t="s">
        <v>74</v>
      </c>
      <c r="E147" s="2" t="s">
        <v>74</v>
      </c>
      <c r="F147" s="2" t="s">
        <v>5992</v>
      </c>
      <c r="G147" s="2" t="s">
        <v>74</v>
      </c>
      <c r="H147" s="2" t="s">
        <v>74</v>
      </c>
      <c r="I147" s="2" t="s">
        <v>5993</v>
      </c>
      <c r="J147" s="2" t="s">
        <v>5994</v>
      </c>
      <c r="K147" s="2" t="s">
        <v>74</v>
      </c>
      <c r="L147" s="2" t="s">
        <v>74</v>
      </c>
      <c r="M147" s="2" t="s">
        <v>74</v>
      </c>
      <c r="N147" s="2" t="s">
        <v>74</v>
      </c>
      <c r="O147" s="2" t="s">
        <v>74</v>
      </c>
      <c r="P147" s="2" t="s">
        <v>74</v>
      </c>
      <c r="Q147" s="2" t="s">
        <v>74</v>
      </c>
      <c r="R147" s="2" t="s">
        <v>74</v>
      </c>
      <c r="S147" s="2" t="s">
        <v>74</v>
      </c>
      <c r="T147" s="2" t="s">
        <v>74</v>
      </c>
      <c r="U147" s="2" t="s">
        <v>74</v>
      </c>
      <c r="V147" s="5" t="s">
        <v>5995</v>
      </c>
      <c r="W147" s="2" t="s">
        <v>74</v>
      </c>
      <c r="X147" s="2" t="s">
        <v>74</v>
      </c>
      <c r="Y147" s="2" t="s">
        <v>74</v>
      </c>
      <c r="Z147" s="2" t="s">
        <v>74</v>
      </c>
      <c r="AA147" s="2" t="s">
        <v>74</v>
      </c>
      <c r="AB147" s="2" t="s">
        <v>74</v>
      </c>
      <c r="AC147" s="2" t="s">
        <v>74</v>
      </c>
      <c r="AD147" s="2" t="s">
        <v>74</v>
      </c>
      <c r="AE147" s="2" t="s">
        <v>74</v>
      </c>
      <c r="AF147" s="2" t="s">
        <v>74</v>
      </c>
      <c r="AG147" s="2" t="s">
        <v>74</v>
      </c>
      <c r="AH147" s="2" t="s">
        <v>74</v>
      </c>
      <c r="AI147" s="2" t="s">
        <v>74</v>
      </c>
      <c r="AJ147" s="2" t="s">
        <v>74</v>
      </c>
      <c r="AK147" s="2" t="s">
        <v>74</v>
      </c>
      <c r="AL147" s="2" t="s">
        <v>74</v>
      </c>
      <c r="AM147" s="2" t="s">
        <v>74</v>
      </c>
      <c r="AN147" s="2" t="s">
        <v>74</v>
      </c>
      <c r="AO147" s="2" t="s">
        <v>5996</v>
      </c>
      <c r="AP147" s="2" t="s">
        <v>5997</v>
      </c>
      <c r="AQ147" s="2" t="s">
        <v>74</v>
      </c>
      <c r="AR147" s="2" t="s">
        <v>74</v>
      </c>
      <c r="AS147" s="2" t="s">
        <v>74</v>
      </c>
      <c r="AT147" s="2" t="s">
        <v>305</v>
      </c>
      <c r="AU147" s="2">
        <v>2022</v>
      </c>
      <c r="AV147" s="2">
        <v>45</v>
      </c>
      <c r="AW147" s="2">
        <v>4</v>
      </c>
      <c r="AX147" s="2" t="s">
        <v>74</v>
      </c>
      <c r="AY147" s="2" t="s">
        <v>74</v>
      </c>
      <c r="AZ147" s="2" t="s">
        <v>74</v>
      </c>
      <c r="BA147" s="2" t="s">
        <v>74</v>
      </c>
      <c r="BB147" s="2">
        <v>461</v>
      </c>
      <c r="BC147" s="2">
        <v>466</v>
      </c>
      <c r="BD147" s="2" t="s">
        <v>74</v>
      </c>
      <c r="BE147" s="2" t="s">
        <v>5998</v>
      </c>
      <c r="BF147" s="2" t="str">
        <f>HYPERLINK("http://dx.doi.org/10.1675/063.045.0410","http://dx.doi.org/10.1675/063.045.0410")</f>
        <v>http://dx.doi.org/10.1675/063.045.0410</v>
      </c>
      <c r="BG147" s="2" t="s">
        <v>74</v>
      </c>
      <c r="BH147" s="2" t="s">
        <v>74</v>
      </c>
      <c r="BI147" s="2" t="s">
        <v>74</v>
      </c>
      <c r="BJ147" s="2" t="s">
        <v>74</v>
      </c>
      <c r="BK147" s="2" t="s">
        <v>74</v>
      </c>
      <c r="BL147" s="2" t="s">
        <v>74</v>
      </c>
      <c r="BM147" s="2" t="s">
        <v>74</v>
      </c>
      <c r="BN147" s="2" t="s">
        <v>74</v>
      </c>
      <c r="BO147" s="2" t="s">
        <v>74</v>
      </c>
      <c r="BP147" s="2" t="s">
        <v>74</v>
      </c>
      <c r="BQ147" s="2" t="s">
        <v>74</v>
      </c>
      <c r="BR147" s="2" t="s">
        <v>74</v>
      </c>
      <c r="BS147" s="2" t="s">
        <v>5999</v>
      </c>
      <c r="BT147" s="2" t="str">
        <f>HYPERLINK("https%3A%2F%2Fwww.webofscience.com%2Fwos%2Fwoscc%2Ffull-record%2FWOS:001075551200010","View Full Record in Web of Science")</f>
        <v>View Full Record in Web of Science</v>
      </c>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row>
    <row r="148" spans="1:314" s="2" customFormat="1" x14ac:dyDescent="0.4">
      <c r="A148" s="2" t="s">
        <v>72</v>
      </c>
      <c r="B148" s="2" t="s">
        <v>4386</v>
      </c>
      <c r="C148" s="2" t="s">
        <v>74</v>
      </c>
      <c r="D148" s="2" t="s">
        <v>74</v>
      </c>
      <c r="E148" s="2" t="s">
        <v>74</v>
      </c>
      <c r="F148" s="2" t="s">
        <v>4386</v>
      </c>
      <c r="G148" s="2" t="s">
        <v>74</v>
      </c>
      <c r="H148" s="2" t="s">
        <v>74</v>
      </c>
      <c r="I148" s="2" t="s">
        <v>4387</v>
      </c>
      <c r="J148" s="2" t="s">
        <v>333</v>
      </c>
      <c r="K148" s="2" t="s">
        <v>74</v>
      </c>
      <c r="L148" s="2" t="s">
        <v>74</v>
      </c>
      <c r="M148" s="2" t="s">
        <v>74</v>
      </c>
      <c r="N148" s="2" t="s">
        <v>74</v>
      </c>
      <c r="O148" s="2" t="s">
        <v>74</v>
      </c>
      <c r="P148" s="2" t="s">
        <v>74</v>
      </c>
      <c r="Q148" s="2" t="s">
        <v>74</v>
      </c>
      <c r="R148" s="2" t="s">
        <v>74</v>
      </c>
      <c r="S148" s="2" t="s">
        <v>74</v>
      </c>
      <c r="T148" s="2" t="s">
        <v>74</v>
      </c>
      <c r="U148" s="2" t="s">
        <v>74</v>
      </c>
      <c r="V148" s="5" t="s">
        <v>4388</v>
      </c>
      <c r="W148" s="2" t="s">
        <v>74</v>
      </c>
      <c r="X148" s="2" t="s">
        <v>74</v>
      </c>
      <c r="Y148" s="2" t="s">
        <v>74</v>
      </c>
      <c r="Z148" s="2" t="s">
        <v>74</v>
      </c>
      <c r="AA148" s="2" t="s">
        <v>74</v>
      </c>
      <c r="AB148" s="2" t="s">
        <v>74</v>
      </c>
      <c r="AC148" s="2" t="s">
        <v>74</v>
      </c>
      <c r="AD148" s="2" t="s">
        <v>74</v>
      </c>
      <c r="AE148" s="2" t="s">
        <v>74</v>
      </c>
      <c r="AF148" s="2" t="s">
        <v>74</v>
      </c>
      <c r="AG148" s="2" t="s">
        <v>74</v>
      </c>
      <c r="AH148" s="2" t="s">
        <v>74</v>
      </c>
      <c r="AI148" s="2" t="s">
        <v>74</v>
      </c>
      <c r="AJ148" s="2" t="s">
        <v>74</v>
      </c>
      <c r="AK148" s="2" t="s">
        <v>74</v>
      </c>
      <c r="AL148" s="2" t="s">
        <v>74</v>
      </c>
      <c r="AM148" s="2" t="s">
        <v>74</v>
      </c>
      <c r="AN148" s="2" t="s">
        <v>74</v>
      </c>
      <c r="AO148" s="2" t="s">
        <v>337</v>
      </c>
      <c r="AP148" s="2" t="s">
        <v>338</v>
      </c>
      <c r="AQ148" s="2" t="s">
        <v>74</v>
      </c>
      <c r="AR148" s="2" t="s">
        <v>74</v>
      </c>
      <c r="AS148" s="2" t="s">
        <v>74</v>
      </c>
      <c r="AT148" s="2" t="s">
        <v>1013</v>
      </c>
      <c r="AU148" s="2">
        <v>1997</v>
      </c>
      <c r="AV148" s="2">
        <v>8</v>
      </c>
      <c r="AW148" s="2">
        <v>5</v>
      </c>
      <c r="AX148" s="2" t="s">
        <v>74</v>
      </c>
      <c r="AY148" s="2" t="s">
        <v>74</v>
      </c>
      <c r="AZ148" s="2" t="s">
        <v>74</v>
      </c>
      <c r="BA148" s="2" t="s">
        <v>74</v>
      </c>
      <c r="BB148" s="2">
        <v>506</v>
      </c>
      <c r="BC148" s="2">
        <v>517</v>
      </c>
      <c r="BD148" s="2" t="s">
        <v>74</v>
      </c>
      <c r="BE148" s="2" t="s">
        <v>4389</v>
      </c>
      <c r="BF148" s="2" t="str">
        <f>HYPERLINK("http://dx.doi.org/10.1093/beheco/8.5.506","http://dx.doi.org/10.1093/beheco/8.5.506")</f>
        <v>http://dx.doi.org/10.1093/beheco/8.5.506</v>
      </c>
      <c r="BG148" s="2" t="s">
        <v>74</v>
      </c>
      <c r="BH148" s="2" t="s">
        <v>74</v>
      </c>
      <c r="BI148" s="2" t="s">
        <v>74</v>
      </c>
      <c r="BJ148" s="2" t="s">
        <v>74</v>
      </c>
      <c r="BK148" s="2" t="s">
        <v>74</v>
      </c>
      <c r="BL148" s="2" t="s">
        <v>74</v>
      </c>
      <c r="BM148" s="2" t="s">
        <v>74</v>
      </c>
      <c r="BN148" s="2" t="s">
        <v>74</v>
      </c>
      <c r="BO148" s="2" t="s">
        <v>74</v>
      </c>
      <c r="BP148" s="2" t="s">
        <v>74</v>
      </c>
      <c r="BQ148" s="2" t="s">
        <v>74</v>
      </c>
      <c r="BR148" s="2" t="s">
        <v>74</v>
      </c>
      <c r="BS148" s="2" t="s">
        <v>4390</v>
      </c>
      <c r="BT148" s="2" t="str">
        <f>HYPERLINK("https%3A%2F%2Fwww.webofscience.com%2Fwos%2Fwoscc%2Ffull-record%2FWOS:A1997XX33800006","View Full Record in Web of Science")</f>
        <v>View Full Record in Web of Science</v>
      </c>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row>
    <row r="149" spans="1:314" s="2" customFormat="1" x14ac:dyDescent="0.4">
      <c r="A149" s="2" t="s">
        <v>72</v>
      </c>
      <c r="B149" s="2" t="s">
        <v>5001</v>
      </c>
      <c r="C149" s="2" t="s">
        <v>74</v>
      </c>
      <c r="D149" s="2" t="s">
        <v>74</v>
      </c>
      <c r="E149" s="2" t="s">
        <v>74</v>
      </c>
      <c r="F149" s="2" t="s">
        <v>5001</v>
      </c>
      <c r="G149" s="2" t="s">
        <v>74</v>
      </c>
      <c r="H149" s="2" t="s">
        <v>74</v>
      </c>
      <c r="I149" s="2" t="s">
        <v>5002</v>
      </c>
      <c r="J149" s="2" t="s">
        <v>1673</v>
      </c>
      <c r="K149" s="2" t="s">
        <v>74</v>
      </c>
      <c r="L149" s="2" t="s">
        <v>74</v>
      </c>
      <c r="M149" s="2" t="s">
        <v>74</v>
      </c>
      <c r="N149" s="2" t="s">
        <v>74</v>
      </c>
      <c r="O149" s="2" t="s">
        <v>74</v>
      </c>
      <c r="P149" s="2" t="s">
        <v>74</v>
      </c>
      <c r="Q149" s="2" t="s">
        <v>74</v>
      </c>
      <c r="R149" s="2" t="s">
        <v>74</v>
      </c>
      <c r="S149" s="2" t="s">
        <v>74</v>
      </c>
      <c r="T149" s="2" t="s">
        <v>74</v>
      </c>
      <c r="U149" s="2" t="s">
        <v>74</v>
      </c>
      <c r="V149" s="5" t="s">
        <v>5003</v>
      </c>
      <c r="W149" s="2" t="s">
        <v>74</v>
      </c>
      <c r="X149" s="2" t="s">
        <v>74</v>
      </c>
      <c r="Y149" s="2" t="s">
        <v>74</v>
      </c>
      <c r="Z149" s="2" t="s">
        <v>74</v>
      </c>
      <c r="AA149" s="2" t="s">
        <v>5004</v>
      </c>
      <c r="AB149" s="2" t="s">
        <v>5005</v>
      </c>
      <c r="AC149" s="2" t="s">
        <v>74</v>
      </c>
      <c r="AD149" s="2" t="s">
        <v>74</v>
      </c>
      <c r="AE149" s="2" t="s">
        <v>74</v>
      </c>
      <c r="AF149" s="2" t="s">
        <v>74</v>
      </c>
      <c r="AG149" s="2" t="s">
        <v>74</v>
      </c>
      <c r="AH149" s="2" t="s">
        <v>74</v>
      </c>
      <c r="AI149" s="2" t="s">
        <v>74</v>
      </c>
      <c r="AJ149" s="2" t="s">
        <v>74</v>
      </c>
      <c r="AK149" s="2" t="s">
        <v>74</v>
      </c>
      <c r="AL149" s="2" t="s">
        <v>74</v>
      </c>
      <c r="AM149" s="2" t="s">
        <v>74</v>
      </c>
      <c r="AN149" s="2" t="s">
        <v>74</v>
      </c>
      <c r="AO149" s="2" t="s">
        <v>1239</v>
      </c>
      <c r="AP149" s="2" t="s">
        <v>1675</v>
      </c>
      <c r="AQ149" s="2" t="s">
        <v>74</v>
      </c>
      <c r="AR149" s="2" t="s">
        <v>74</v>
      </c>
      <c r="AS149" s="2" t="s">
        <v>74</v>
      </c>
      <c r="AT149" s="2" t="s">
        <v>213</v>
      </c>
      <c r="AU149" s="2">
        <v>2003</v>
      </c>
      <c r="AV149" s="2">
        <v>81</v>
      </c>
      <c r="AW149" s="2">
        <v>11</v>
      </c>
      <c r="AX149" s="2" t="s">
        <v>74</v>
      </c>
      <c r="AY149" s="2" t="s">
        <v>74</v>
      </c>
      <c r="AZ149" s="2" t="s">
        <v>74</v>
      </c>
      <c r="BA149" s="2" t="s">
        <v>74</v>
      </c>
      <c r="BB149" s="2">
        <v>1781</v>
      </c>
      <c r="BC149" s="2">
        <v>1790</v>
      </c>
      <c r="BD149" s="2" t="s">
        <v>74</v>
      </c>
      <c r="BE149" s="2" t="s">
        <v>5006</v>
      </c>
      <c r="BF149" s="2" t="str">
        <f>HYPERLINK("http://dx.doi.org/10.1139/Z03-178","http://dx.doi.org/10.1139/Z03-178")</f>
        <v>http://dx.doi.org/10.1139/Z03-178</v>
      </c>
      <c r="BG149" s="2" t="s">
        <v>74</v>
      </c>
      <c r="BH149" s="2" t="s">
        <v>74</v>
      </c>
      <c r="BI149" s="2" t="s">
        <v>74</v>
      </c>
      <c r="BJ149" s="2" t="s">
        <v>74</v>
      </c>
      <c r="BK149" s="2" t="s">
        <v>74</v>
      </c>
      <c r="BL149" s="2" t="s">
        <v>74</v>
      </c>
      <c r="BM149" s="2" t="s">
        <v>74</v>
      </c>
      <c r="BN149" s="2" t="s">
        <v>74</v>
      </c>
      <c r="BO149" s="2" t="s">
        <v>74</v>
      </c>
      <c r="BP149" s="2" t="s">
        <v>74</v>
      </c>
      <c r="BQ149" s="2" t="s">
        <v>74</v>
      </c>
      <c r="BR149" s="2" t="s">
        <v>74</v>
      </c>
      <c r="BS149" s="2" t="s">
        <v>5007</v>
      </c>
      <c r="BT149" s="2" t="str">
        <f>HYPERLINK("https%3A%2F%2Fwww.webofscience.com%2Fwos%2Fwoscc%2Ffull-record%2FWOS:000188730300001","View Full Record in Web of Science")</f>
        <v>View Full Record in Web of Science</v>
      </c>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row>
    <row r="150" spans="1:314" s="2" customFormat="1" x14ac:dyDescent="0.4">
      <c r="A150" s="2" t="s">
        <v>72</v>
      </c>
      <c r="B150" s="2" t="s">
        <v>6990</v>
      </c>
      <c r="C150" s="2" t="s">
        <v>74</v>
      </c>
      <c r="D150" s="2" t="s">
        <v>74</v>
      </c>
      <c r="E150" s="2" t="s">
        <v>74</v>
      </c>
      <c r="F150" s="2" t="s">
        <v>6991</v>
      </c>
      <c r="G150" s="2" t="s">
        <v>74</v>
      </c>
      <c r="H150" s="2" t="s">
        <v>74</v>
      </c>
      <c r="I150" s="2" t="s">
        <v>6992</v>
      </c>
      <c r="J150" s="2" t="s">
        <v>408</v>
      </c>
      <c r="K150" s="2" t="s">
        <v>74</v>
      </c>
      <c r="L150" s="2" t="s">
        <v>74</v>
      </c>
      <c r="M150" s="2" t="s">
        <v>74</v>
      </c>
      <c r="N150" s="2" t="s">
        <v>74</v>
      </c>
      <c r="O150" s="2" t="s">
        <v>74</v>
      </c>
      <c r="P150" s="2" t="s">
        <v>74</v>
      </c>
      <c r="Q150" s="2" t="s">
        <v>74</v>
      </c>
      <c r="R150" s="2" t="s">
        <v>74</v>
      </c>
      <c r="S150" s="2" t="s">
        <v>74</v>
      </c>
      <c r="T150" s="2" t="s">
        <v>74</v>
      </c>
      <c r="U150" s="2" t="s">
        <v>74</v>
      </c>
      <c r="V150" s="5" t="s">
        <v>6993</v>
      </c>
      <c r="W150" s="2" t="s">
        <v>74</v>
      </c>
      <c r="X150" s="2" t="s">
        <v>74</v>
      </c>
      <c r="Y150" s="2" t="s">
        <v>74</v>
      </c>
      <c r="Z150" s="2" t="s">
        <v>74</v>
      </c>
      <c r="AA150" s="2" t="s">
        <v>74</v>
      </c>
      <c r="AB150" s="2" t="s">
        <v>74</v>
      </c>
      <c r="AC150" s="2" t="s">
        <v>74</v>
      </c>
      <c r="AD150" s="2" t="s">
        <v>74</v>
      </c>
      <c r="AE150" s="2" t="s">
        <v>74</v>
      </c>
      <c r="AF150" s="2" t="s">
        <v>74</v>
      </c>
      <c r="AG150" s="2" t="s">
        <v>74</v>
      </c>
      <c r="AH150" s="2" t="s">
        <v>74</v>
      </c>
      <c r="AI150" s="2" t="s">
        <v>74</v>
      </c>
      <c r="AJ150" s="2" t="s">
        <v>74</v>
      </c>
      <c r="AK150" s="2" t="s">
        <v>74</v>
      </c>
      <c r="AL150" s="2" t="s">
        <v>74</v>
      </c>
      <c r="AM150" s="2" t="s">
        <v>74</v>
      </c>
      <c r="AN150" s="2" t="s">
        <v>74</v>
      </c>
      <c r="AO150" s="2" t="s">
        <v>412</v>
      </c>
      <c r="AP150" s="2" t="s">
        <v>413</v>
      </c>
      <c r="AQ150" s="2" t="s">
        <v>74</v>
      </c>
      <c r="AR150" s="2" t="s">
        <v>74</v>
      </c>
      <c r="AS150" s="2" t="s">
        <v>74</v>
      </c>
      <c r="AT150" s="2" t="s">
        <v>123</v>
      </c>
      <c r="AU150" s="2">
        <v>2013</v>
      </c>
      <c r="AV150" s="2">
        <v>108</v>
      </c>
      <c r="AW150" s="2">
        <v>3</v>
      </c>
      <c r="AX150" s="2" t="s">
        <v>74</v>
      </c>
      <c r="AY150" s="2" t="s">
        <v>74</v>
      </c>
      <c r="AZ150" s="2" t="s">
        <v>74</v>
      </c>
      <c r="BA150" s="2" t="s">
        <v>74</v>
      </c>
      <c r="BB150" s="2">
        <v>636</v>
      </c>
      <c r="BC150" s="2">
        <v>646</v>
      </c>
      <c r="BD150" s="2" t="s">
        <v>74</v>
      </c>
      <c r="BE150" s="2" t="s">
        <v>6994</v>
      </c>
      <c r="BF150" s="2" t="str">
        <f>HYPERLINK("http://dx.doi.org/10.1111/bij.12003","http://dx.doi.org/10.1111/bij.12003")</f>
        <v>http://dx.doi.org/10.1111/bij.12003</v>
      </c>
      <c r="BG150" s="2" t="s">
        <v>74</v>
      </c>
      <c r="BH150" s="2" t="s">
        <v>74</v>
      </c>
      <c r="BI150" s="2" t="s">
        <v>74</v>
      </c>
      <c r="BJ150" s="2" t="s">
        <v>74</v>
      </c>
      <c r="BK150" s="2" t="s">
        <v>74</v>
      </c>
      <c r="BL150" s="2" t="s">
        <v>74</v>
      </c>
      <c r="BM150" s="2" t="s">
        <v>74</v>
      </c>
      <c r="BN150" s="2" t="s">
        <v>74</v>
      </c>
      <c r="BO150" s="2" t="s">
        <v>74</v>
      </c>
      <c r="BP150" s="2" t="s">
        <v>74</v>
      </c>
      <c r="BQ150" s="2" t="s">
        <v>74</v>
      </c>
      <c r="BR150" s="2" t="s">
        <v>74</v>
      </c>
      <c r="BS150" s="2" t="s">
        <v>6995</v>
      </c>
      <c r="BT150" s="2" t="str">
        <f>HYPERLINK("https%3A%2F%2Fwww.webofscience.com%2Fwos%2Fwoscc%2Ffull-record%2FWOS:000315120300013","View Full Record in Web of Science")</f>
        <v>View Full Record in Web of Science</v>
      </c>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row>
    <row r="151" spans="1:314" s="2" customFormat="1" x14ac:dyDescent="0.4">
      <c r="A151" s="2" t="s">
        <v>72</v>
      </c>
      <c r="B151" s="2" t="s">
        <v>3525</v>
      </c>
      <c r="C151" s="2" t="s">
        <v>74</v>
      </c>
      <c r="D151" s="2" t="s">
        <v>74</v>
      </c>
      <c r="E151" s="2" t="s">
        <v>74</v>
      </c>
      <c r="F151" s="2" t="s">
        <v>3526</v>
      </c>
      <c r="G151" s="2" t="s">
        <v>74</v>
      </c>
      <c r="H151" s="2" t="s">
        <v>74</v>
      </c>
      <c r="I151" s="2" t="s">
        <v>3527</v>
      </c>
      <c r="J151" s="2" t="s">
        <v>1198</v>
      </c>
      <c r="K151" s="2" t="s">
        <v>74</v>
      </c>
      <c r="L151" s="2" t="s">
        <v>74</v>
      </c>
      <c r="M151" s="2" t="s">
        <v>74</v>
      </c>
      <c r="N151" s="2" t="s">
        <v>74</v>
      </c>
      <c r="O151" s="2" t="s">
        <v>74</v>
      </c>
      <c r="P151" s="2" t="s">
        <v>74</v>
      </c>
      <c r="Q151" s="2" t="s">
        <v>74</v>
      </c>
      <c r="R151" s="2" t="s">
        <v>74</v>
      </c>
      <c r="S151" s="2" t="s">
        <v>74</v>
      </c>
      <c r="T151" s="2" t="s">
        <v>74</v>
      </c>
      <c r="U151" s="2" t="s">
        <v>74</v>
      </c>
      <c r="V151" s="5" t="s">
        <v>3528</v>
      </c>
      <c r="W151" s="2" t="s">
        <v>74</v>
      </c>
      <c r="X151" s="2" t="s">
        <v>74</v>
      </c>
      <c r="Y151" s="2" t="s">
        <v>74</v>
      </c>
      <c r="Z151" s="2" t="s">
        <v>74</v>
      </c>
      <c r="AA151" s="2" t="s">
        <v>74</v>
      </c>
      <c r="AB151" s="2" t="s">
        <v>74</v>
      </c>
      <c r="AC151" s="2" t="s">
        <v>74</v>
      </c>
      <c r="AD151" s="2" t="s">
        <v>74</v>
      </c>
      <c r="AE151" s="2" t="s">
        <v>74</v>
      </c>
      <c r="AF151" s="2" t="s">
        <v>74</v>
      </c>
      <c r="AG151" s="2" t="s">
        <v>74</v>
      </c>
      <c r="AH151" s="2" t="s">
        <v>74</v>
      </c>
      <c r="AI151" s="2" t="s">
        <v>74</v>
      </c>
      <c r="AJ151" s="2" t="s">
        <v>74</v>
      </c>
      <c r="AK151" s="2" t="s">
        <v>74</v>
      </c>
      <c r="AL151" s="2" t="s">
        <v>74</v>
      </c>
      <c r="AM151" s="2" t="s">
        <v>74</v>
      </c>
      <c r="AN151" s="2" t="s">
        <v>74</v>
      </c>
      <c r="AO151" s="2" t="s">
        <v>1202</v>
      </c>
      <c r="AP151" s="2" t="s">
        <v>1203</v>
      </c>
      <c r="AQ151" s="2" t="s">
        <v>74</v>
      </c>
      <c r="AR151" s="2" t="s">
        <v>74</v>
      </c>
      <c r="AS151" s="2" t="s">
        <v>74</v>
      </c>
      <c r="AT151" s="2" t="s">
        <v>305</v>
      </c>
      <c r="AU151" s="2">
        <v>2013</v>
      </c>
      <c r="AV151" s="2">
        <v>69</v>
      </c>
      <c r="AW151" s="2">
        <v>4</v>
      </c>
      <c r="AX151" s="2" t="s">
        <v>74</v>
      </c>
      <c r="AY151" s="2" t="s">
        <v>74</v>
      </c>
      <c r="AZ151" s="2" t="s">
        <v>74</v>
      </c>
      <c r="BA151" s="2" t="s">
        <v>74</v>
      </c>
      <c r="BB151" s="2">
        <v>436</v>
      </c>
      <c r="BC151" s="2">
        <v>444</v>
      </c>
      <c r="BD151" s="2" t="s">
        <v>74</v>
      </c>
      <c r="BE151" s="2" t="s">
        <v>74</v>
      </c>
      <c r="BF151" s="2" t="s">
        <v>74</v>
      </c>
      <c r="BG151" s="2" t="s">
        <v>74</v>
      </c>
      <c r="BH151" s="2" t="s">
        <v>74</v>
      </c>
      <c r="BI151" s="2" t="s">
        <v>74</v>
      </c>
      <c r="BJ151" s="2" t="s">
        <v>74</v>
      </c>
      <c r="BK151" s="2" t="s">
        <v>74</v>
      </c>
      <c r="BL151" s="2" t="s">
        <v>74</v>
      </c>
      <c r="BM151" s="2" t="s">
        <v>74</v>
      </c>
      <c r="BN151" s="2" t="s">
        <v>74</v>
      </c>
      <c r="BO151" s="2" t="s">
        <v>74</v>
      </c>
      <c r="BP151" s="2" t="s">
        <v>74</v>
      </c>
      <c r="BQ151" s="2" t="s">
        <v>74</v>
      </c>
      <c r="BR151" s="2" t="s">
        <v>74</v>
      </c>
      <c r="BS151" s="2" t="s">
        <v>3529</v>
      </c>
      <c r="BT151" s="2" t="str">
        <f>HYPERLINK("https%3A%2F%2Fwww.webofscience.com%2Fwos%2Fwoscc%2Ffull-record%2FWOS:000328539300005","View Full Record in Web of Science")</f>
        <v>View Full Record in Web of Science</v>
      </c>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row>
    <row r="152" spans="1:314" s="2" customFormat="1" x14ac:dyDescent="0.4">
      <c r="A152" s="2" t="s">
        <v>72</v>
      </c>
      <c r="B152" s="2" t="s">
        <v>7502</v>
      </c>
      <c r="C152" s="2" t="s">
        <v>74</v>
      </c>
      <c r="D152" s="2" t="s">
        <v>74</v>
      </c>
      <c r="E152" s="2" t="s">
        <v>74</v>
      </c>
      <c r="F152" s="2" t="s">
        <v>7503</v>
      </c>
      <c r="G152" s="2" t="s">
        <v>74</v>
      </c>
      <c r="H152" s="2" t="s">
        <v>74</v>
      </c>
      <c r="I152" s="2" t="s">
        <v>7504</v>
      </c>
      <c r="J152" s="2" t="s">
        <v>1755</v>
      </c>
      <c r="K152" s="2" t="s">
        <v>74</v>
      </c>
      <c r="L152" s="2" t="s">
        <v>74</v>
      </c>
      <c r="M152" s="2" t="s">
        <v>74</v>
      </c>
      <c r="N152" s="2" t="s">
        <v>74</v>
      </c>
      <c r="O152" s="2" t="s">
        <v>74</v>
      </c>
      <c r="P152" s="2" t="s">
        <v>74</v>
      </c>
      <c r="Q152" s="2" t="s">
        <v>74</v>
      </c>
      <c r="R152" s="2" t="s">
        <v>74</v>
      </c>
      <c r="S152" s="2" t="s">
        <v>74</v>
      </c>
      <c r="T152" s="2" t="s">
        <v>74</v>
      </c>
      <c r="U152" s="2" t="s">
        <v>74</v>
      </c>
      <c r="V152" s="5" t="s">
        <v>7505</v>
      </c>
      <c r="W152" s="2" t="s">
        <v>74</v>
      </c>
      <c r="X152" s="2" t="s">
        <v>74</v>
      </c>
      <c r="Y152" s="2" t="s">
        <v>74</v>
      </c>
      <c r="Z152" s="2" t="s">
        <v>74</v>
      </c>
      <c r="AA152" s="2" t="s">
        <v>7506</v>
      </c>
      <c r="AB152" s="2" t="s">
        <v>7507</v>
      </c>
      <c r="AC152" s="2" t="s">
        <v>74</v>
      </c>
      <c r="AD152" s="2" t="s">
        <v>74</v>
      </c>
      <c r="AE152" s="2" t="s">
        <v>74</v>
      </c>
      <c r="AF152" s="2" t="s">
        <v>74</v>
      </c>
      <c r="AG152" s="2" t="s">
        <v>74</v>
      </c>
      <c r="AH152" s="2" t="s">
        <v>74</v>
      </c>
      <c r="AI152" s="2" t="s">
        <v>74</v>
      </c>
      <c r="AJ152" s="2" t="s">
        <v>74</v>
      </c>
      <c r="AK152" s="2" t="s">
        <v>74</v>
      </c>
      <c r="AL152" s="2" t="s">
        <v>74</v>
      </c>
      <c r="AM152" s="2" t="s">
        <v>74</v>
      </c>
      <c r="AN152" s="2" t="s">
        <v>74</v>
      </c>
      <c r="AO152" s="2" t="s">
        <v>1759</v>
      </c>
      <c r="AP152" s="2" t="s">
        <v>1760</v>
      </c>
      <c r="AQ152" s="2" t="s">
        <v>74</v>
      </c>
      <c r="AR152" s="2" t="s">
        <v>74</v>
      </c>
      <c r="AS152" s="2" t="s">
        <v>74</v>
      </c>
      <c r="AT152" s="2" t="s">
        <v>255</v>
      </c>
      <c r="AU152" s="2">
        <v>2007</v>
      </c>
      <c r="AV152" s="2">
        <v>20</v>
      </c>
      <c r="AW152" s="2">
        <v>1</v>
      </c>
      <c r="AX152" s="2" t="s">
        <v>74</v>
      </c>
      <c r="AY152" s="2" t="s">
        <v>74</v>
      </c>
      <c r="AZ152" s="2" t="s">
        <v>74</v>
      </c>
      <c r="BA152" s="2" t="s">
        <v>74</v>
      </c>
      <c r="BB152" s="2">
        <v>87</v>
      </c>
      <c r="BC152" s="2">
        <v>98</v>
      </c>
      <c r="BD152" s="2" t="s">
        <v>74</v>
      </c>
      <c r="BE152" s="2" t="s">
        <v>7508</v>
      </c>
      <c r="BF152" s="2" t="str">
        <f>HYPERLINK("http://dx.doi.org/10.1007/s10905-006-9065-9","http://dx.doi.org/10.1007/s10905-006-9065-9")</f>
        <v>http://dx.doi.org/10.1007/s10905-006-9065-9</v>
      </c>
      <c r="BG152" s="2" t="s">
        <v>74</v>
      </c>
      <c r="BH152" s="2" t="s">
        <v>74</v>
      </c>
      <c r="BI152" s="2" t="s">
        <v>74</v>
      </c>
      <c r="BJ152" s="2" t="s">
        <v>74</v>
      </c>
      <c r="BK152" s="2" t="s">
        <v>74</v>
      </c>
      <c r="BL152" s="2" t="s">
        <v>74</v>
      </c>
      <c r="BM152" s="2" t="s">
        <v>74</v>
      </c>
      <c r="BN152" s="2" t="s">
        <v>74</v>
      </c>
      <c r="BO152" s="2" t="s">
        <v>74</v>
      </c>
      <c r="BP152" s="2" t="s">
        <v>74</v>
      </c>
      <c r="BQ152" s="2" t="s">
        <v>74</v>
      </c>
      <c r="BR152" s="2" t="s">
        <v>74</v>
      </c>
      <c r="BS152" s="2" t="s">
        <v>7509</v>
      </c>
      <c r="BT152" s="2" t="str">
        <f>HYPERLINK("https%3A%2F%2Fwww.webofscience.com%2Fwos%2Fwoscc%2Ffull-record%2FWOS:000243906500008","View Full Record in Web of Science")</f>
        <v>View Full Record in Web of Science</v>
      </c>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row>
    <row r="153" spans="1:314" s="2" customFormat="1" x14ac:dyDescent="0.4">
      <c r="A153" s="2" t="s">
        <v>72</v>
      </c>
      <c r="B153" s="2" t="s">
        <v>6952</v>
      </c>
      <c r="C153" s="2" t="s">
        <v>74</v>
      </c>
      <c r="D153" s="2" t="s">
        <v>74</v>
      </c>
      <c r="E153" s="2" t="s">
        <v>74</v>
      </c>
      <c r="F153" s="2" t="s">
        <v>6953</v>
      </c>
      <c r="G153" s="2" t="s">
        <v>74</v>
      </c>
      <c r="H153" s="2" t="s">
        <v>74</v>
      </c>
      <c r="I153" s="2" t="s">
        <v>6954</v>
      </c>
      <c r="J153" s="2" t="s">
        <v>1396</v>
      </c>
      <c r="K153" s="2" t="s">
        <v>74</v>
      </c>
      <c r="L153" s="2" t="s">
        <v>74</v>
      </c>
      <c r="M153" s="2" t="s">
        <v>74</v>
      </c>
      <c r="N153" s="2" t="s">
        <v>74</v>
      </c>
      <c r="O153" s="2" t="s">
        <v>74</v>
      </c>
      <c r="P153" s="2" t="s">
        <v>74</v>
      </c>
      <c r="Q153" s="2" t="s">
        <v>74</v>
      </c>
      <c r="R153" s="2" t="s">
        <v>74</v>
      </c>
      <c r="S153" s="2" t="s">
        <v>74</v>
      </c>
      <c r="T153" s="2" t="s">
        <v>74</v>
      </c>
      <c r="U153" s="2" t="s">
        <v>74</v>
      </c>
      <c r="V153" s="5" t="s">
        <v>6955</v>
      </c>
      <c r="W153" s="2" t="s">
        <v>74</v>
      </c>
      <c r="X153" s="2" t="s">
        <v>74</v>
      </c>
      <c r="Y153" s="2" t="s">
        <v>74</v>
      </c>
      <c r="Z153" s="2" t="s">
        <v>74</v>
      </c>
      <c r="AA153" s="2" t="s">
        <v>6956</v>
      </c>
      <c r="AB153" s="2" t="s">
        <v>6957</v>
      </c>
      <c r="AC153" s="2" t="s">
        <v>74</v>
      </c>
      <c r="AD153" s="2" t="s">
        <v>74</v>
      </c>
      <c r="AE153" s="2" t="s">
        <v>74</v>
      </c>
      <c r="AF153" s="2" t="s">
        <v>74</v>
      </c>
      <c r="AG153" s="2" t="s">
        <v>74</v>
      </c>
      <c r="AH153" s="2" t="s">
        <v>74</v>
      </c>
      <c r="AI153" s="2" t="s">
        <v>74</v>
      </c>
      <c r="AJ153" s="2" t="s">
        <v>74</v>
      </c>
      <c r="AK153" s="2" t="s">
        <v>74</v>
      </c>
      <c r="AL153" s="2" t="s">
        <v>74</v>
      </c>
      <c r="AM153" s="2" t="s">
        <v>74</v>
      </c>
      <c r="AN153" s="2" t="s">
        <v>74</v>
      </c>
      <c r="AO153" s="2" t="s">
        <v>1400</v>
      </c>
      <c r="AP153" s="2" t="s">
        <v>5422</v>
      </c>
      <c r="AQ153" s="2" t="s">
        <v>74</v>
      </c>
      <c r="AR153" s="2" t="s">
        <v>74</v>
      </c>
      <c r="AS153" s="2" t="s">
        <v>74</v>
      </c>
      <c r="AT153" s="2" t="s">
        <v>6958</v>
      </c>
      <c r="AU153" s="2">
        <v>2022</v>
      </c>
      <c r="AV153" s="2">
        <v>2022</v>
      </c>
      <c r="AW153" s="2" t="s">
        <v>74</v>
      </c>
      <c r="AX153" s="2" t="s">
        <v>74</v>
      </c>
      <c r="AY153" s="2" t="s">
        <v>74</v>
      </c>
      <c r="AZ153" s="2" t="s">
        <v>74</v>
      </c>
      <c r="BA153" s="2" t="s">
        <v>74</v>
      </c>
      <c r="BB153" s="2" t="s">
        <v>74</v>
      </c>
      <c r="BC153" s="2" t="s">
        <v>74</v>
      </c>
      <c r="BD153" s="2">
        <v>8378483</v>
      </c>
      <c r="BE153" s="2" t="s">
        <v>6959</v>
      </c>
      <c r="BF153" s="2" t="str">
        <f>HYPERLINK("http://dx.doi.org/10.1155/2022/8378483","http://dx.doi.org/10.1155/2022/8378483")</f>
        <v>http://dx.doi.org/10.1155/2022/8378483</v>
      </c>
      <c r="BG153" s="2" t="s">
        <v>74</v>
      </c>
      <c r="BH153" s="2" t="s">
        <v>74</v>
      </c>
      <c r="BI153" s="2" t="s">
        <v>74</v>
      </c>
      <c r="BJ153" s="2" t="s">
        <v>74</v>
      </c>
      <c r="BK153" s="2" t="s">
        <v>74</v>
      </c>
      <c r="BL153" s="2" t="s">
        <v>74</v>
      </c>
      <c r="BM153" s="2" t="s">
        <v>74</v>
      </c>
      <c r="BN153" s="2" t="s">
        <v>74</v>
      </c>
      <c r="BO153" s="2" t="s">
        <v>74</v>
      </c>
      <c r="BP153" s="2" t="s">
        <v>74</v>
      </c>
      <c r="BQ153" s="2" t="s">
        <v>74</v>
      </c>
      <c r="BR153" s="2" t="s">
        <v>74</v>
      </c>
      <c r="BS153" s="2" t="s">
        <v>6960</v>
      </c>
      <c r="BT153" s="2" t="str">
        <f>HYPERLINK("https%3A%2F%2Fwww.webofscience.com%2Fwos%2Fwoscc%2Ffull-record%2FWOS:000903811100001","View Full Record in Web of Science")</f>
        <v>View Full Record in Web of Science</v>
      </c>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row>
    <row r="154" spans="1:314" s="2" customFormat="1" x14ac:dyDescent="0.4">
      <c r="A154" s="2" t="s">
        <v>72</v>
      </c>
      <c r="B154" s="2" t="s">
        <v>7738</v>
      </c>
      <c r="C154" s="2" t="s">
        <v>74</v>
      </c>
      <c r="D154" s="2" t="s">
        <v>74</v>
      </c>
      <c r="E154" s="2" t="s">
        <v>74</v>
      </c>
      <c r="F154" s="2" t="s">
        <v>7739</v>
      </c>
      <c r="G154" s="2" t="s">
        <v>74</v>
      </c>
      <c r="H154" s="2" t="s">
        <v>74</v>
      </c>
      <c r="I154" s="2" t="s">
        <v>7740</v>
      </c>
      <c r="J154" s="2" t="s">
        <v>1541</v>
      </c>
      <c r="K154" s="2" t="s">
        <v>74</v>
      </c>
      <c r="L154" s="2" t="s">
        <v>74</v>
      </c>
      <c r="M154" s="2" t="s">
        <v>74</v>
      </c>
      <c r="N154" s="2" t="s">
        <v>74</v>
      </c>
      <c r="O154" s="2" t="s">
        <v>74</v>
      </c>
      <c r="P154" s="2" t="s">
        <v>74</v>
      </c>
      <c r="Q154" s="2" t="s">
        <v>74</v>
      </c>
      <c r="R154" s="2" t="s">
        <v>74</v>
      </c>
      <c r="S154" s="2" t="s">
        <v>74</v>
      </c>
      <c r="T154" s="2" t="s">
        <v>74</v>
      </c>
      <c r="U154" s="2" t="s">
        <v>74</v>
      </c>
      <c r="V154" s="5" t="s">
        <v>7741</v>
      </c>
      <c r="W154" s="2" t="s">
        <v>74</v>
      </c>
      <c r="X154" s="2" t="s">
        <v>74</v>
      </c>
      <c r="Y154" s="2" t="s">
        <v>74</v>
      </c>
      <c r="Z154" s="2" t="s">
        <v>74</v>
      </c>
      <c r="AA154" s="2" t="s">
        <v>7742</v>
      </c>
      <c r="AB154" s="2" t="s">
        <v>7743</v>
      </c>
      <c r="AC154" s="2" t="s">
        <v>74</v>
      </c>
      <c r="AD154" s="2" t="s">
        <v>74</v>
      </c>
      <c r="AE154" s="2" t="s">
        <v>74</v>
      </c>
      <c r="AF154" s="2" t="s">
        <v>74</v>
      </c>
      <c r="AG154" s="2" t="s">
        <v>74</v>
      </c>
      <c r="AH154" s="2" t="s">
        <v>74</v>
      </c>
      <c r="AI154" s="2" t="s">
        <v>74</v>
      </c>
      <c r="AJ154" s="2" t="s">
        <v>74</v>
      </c>
      <c r="AK154" s="2" t="s">
        <v>74</v>
      </c>
      <c r="AL154" s="2" t="s">
        <v>74</v>
      </c>
      <c r="AM154" s="2" t="s">
        <v>74</v>
      </c>
      <c r="AN154" s="2" t="s">
        <v>74</v>
      </c>
      <c r="AO154" s="2" t="s">
        <v>1543</v>
      </c>
      <c r="AP154" s="2" t="s">
        <v>1544</v>
      </c>
      <c r="AQ154" s="2" t="s">
        <v>74</v>
      </c>
      <c r="AR154" s="2" t="s">
        <v>74</v>
      </c>
      <c r="AS154" s="2" t="s">
        <v>74</v>
      </c>
      <c r="AT154" s="2" t="s">
        <v>305</v>
      </c>
      <c r="AU154" s="2">
        <v>2009</v>
      </c>
      <c r="AV154" s="2">
        <v>90</v>
      </c>
      <c r="AW154" s="2">
        <v>12</v>
      </c>
      <c r="AX154" s="2" t="s">
        <v>74</v>
      </c>
      <c r="AY154" s="2" t="s">
        <v>74</v>
      </c>
      <c r="AZ154" s="2" t="s">
        <v>74</v>
      </c>
      <c r="BA154" s="2" t="s">
        <v>74</v>
      </c>
      <c r="BB154" s="2">
        <v>3367</v>
      </c>
      <c r="BC154" s="2">
        <v>3378</v>
      </c>
      <c r="BD154" s="2" t="s">
        <v>74</v>
      </c>
      <c r="BE154" s="2" t="s">
        <v>7744</v>
      </c>
      <c r="BF154" s="2" t="str">
        <f>HYPERLINK("http://dx.doi.org/10.1890/08-2291.1","http://dx.doi.org/10.1890/08-2291.1")</f>
        <v>http://dx.doi.org/10.1890/08-2291.1</v>
      </c>
      <c r="BG154" s="2" t="s">
        <v>74</v>
      </c>
      <c r="BH154" s="2" t="s">
        <v>74</v>
      </c>
      <c r="BI154" s="2" t="s">
        <v>74</v>
      </c>
      <c r="BJ154" s="2" t="s">
        <v>74</v>
      </c>
      <c r="BK154" s="2" t="s">
        <v>74</v>
      </c>
      <c r="BL154" s="2" t="s">
        <v>74</v>
      </c>
      <c r="BM154" s="2" t="s">
        <v>74</v>
      </c>
      <c r="BN154" s="2">
        <v>20120806</v>
      </c>
      <c r="BO154" s="2" t="s">
        <v>74</v>
      </c>
      <c r="BP154" s="2" t="s">
        <v>74</v>
      </c>
      <c r="BQ154" s="2" t="s">
        <v>74</v>
      </c>
      <c r="BR154" s="2" t="s">
        <v>74</v>
      </c>
      <c r="BS154" s="2" t="s">
        <v>7745</v>
      </c>
      <c r="BT154" s="2" t="str">
        <f>HYPERLINK("https%3A%2F%2Fwww.webofscience.com%2Fwos%2Fwoscc%2Ffull-record%2FWOS:000272700800009","View Full Record in Web of Science")</f>
        <v>View Full Record in Web of Science</v>
      </c>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row>
    <row r="155" spans="1:314" s="2" customFormat="1" x14ac:dyDescent="0.4">
      <c r="A155" s="2" t="s">
        <v>72</v>
      </c>
      <c r="B155" s="2" t="s">
        <v>2402</v>
      </c>
      <c r="C155" s="2" t="s">
        <v>74</v>
      </c>
      <c r="D155" s="2" t="s">
        <v>74</v>
      </c>
      <c r="E155" s="2" t="s">
        <v>74</v>
      </c>
      <c r="F155" s="2" t="s">
        <v>2403</v>
      </c>
      <c r="G155" s="2" t="s">
        <v>74</v>
      </c>
      <c r="H155" s="2" t="s">
        <v>74</v>
      </c>
      <c r="I155" s="2" t="s">
        <v>2404</v>
      </c>
      <c r="J155" s="2" t="s">
        <v>2405</v>
      </c>
      <c r="K155" s="2" t="s">
        <v>74</v>
      </c>
      <c r="L155" s="2" t="s">
        <v>74</v>
      </c>
      <c r="M155" s="2" t="s">
        <v>74</v>
      </c>
      <c r="N155" s="2" t="s">
        <v>74</v>
      </c>
      <c r="O155" s="2" t="s">
        <v>74</v>
      </c>
      <c r="P155" s="2" t="s">
        <v>74</v>
      </c>
      <c r="Q155" s="2" t="s">
        <v>74</v>
      </c>
      <c r="R155" s="2" t="s">
        <v>74</v>
      </c>
      <c r="S155" s="2" t="s">
        <v>74</v>
      </c>
      <c r="T155" s="2" t="s">
        <v>74</v>
      </c>
      <c r="U155" s="2" t="s">
        <v>74</v>
      </c>
      <c r="V155" s="5" t="s">
        <v>2406</v>
      </c>
      <c r="W155" s="2" t="s">
        <v>74</v>
      </c>
      <c r="X155" s="2" t="s">
        <v>74</v>
      </c>
      <c r="Y155" s="2" t="s">
        <v>74</v>
      </c>
      <c r="Z155" s="2" t="s">
        <v>74</v>
      </c>
      <c r="AA155" s="2" t="s">
        <v>2407</v>
      </c>
      <c r="AB155" s="2" t="s">
        <v>74</v>
      </c>
      <c r="AC155" s="2" t="s">
        <v>74</v>
      </c>
      <c r="AD155" s="2" t="s">
        <v>74</v>
      </c>
      <c r="AE155" s="2" t="s">
        <v>74</v>
      </c>
      <c r="AF155" s="2" t="s">
        <v>74</v>
      </c>
      <c r="AG155" s="2" t="s">
        <v>74</v>
      </c>
      <c r="AH155" s="2" t="s">
        <v>74</v>
      </c>
      <c r="AI155" s="2" t="s">
        <v>74</v>
      </c>
      <c r="AJ155" s="2" t="s">
        <v>74</v>
      </c>
      <c r="AK155" s="2" t="s">
        <v>74</v>
      </c>
      <c r="AL155" s="2" t="s">
        <v>74</v>
      </c>
      <c r="AM155" s="2" t="s">
        <v>74</v>
      </c>
      <c r="AN155" s="2" t="s">
        <v>74</v>
      </c>
      <c r="AO155" s="2" t="s">
        <v>2408</v>
      </c>
      <c r="AP155" s="2" t="s">
        <v>2409</v>
      </c>
      <c r="AQ155" s="2" t="s">
        <v>74</v>
      </c>
      <c r="AR155" s="2" t="s">
        <v>74</v>
      </c>
      <c r="AS155" s="2" t="s">
        <v>74</v>
      </c>
      <c r="AT155" s="2" t="s">
        <v>123</v>
      </c>
      <c r="AU155" s="2">
        <v>2021</v>
      </c>
      <c r="AV155" s="2">
        <v>40</v>
      </c>
      <c r="AW155" s="2">
        <v>2</v>
      </c>
      <c r="AX155" s="2" t="s">
        <v>74</v>
      </c>
      <c r="AY155" s="2" t="s">
        <v>74</v>
      </c>
      <c r="AZ155" s="2" t="s">
        <v>74</v>
      </c>
      <c r="BA155" s="2" t="s">
        <v>74</v>
      </c>
      <c r="BB155" s="2">
        <v>160</v>
      </c>
      <c r="BC155" s="2">
        <v>168</v>
      </c>
      <c r="BD155" s="2" t="s">
        <v>74</v>
      </c>
      <c r="BE155" s="2" t="s">
        <v>2410</v>
      </c>
      <c r="BF155" s="2" t="str">
        <f>HYPERLINK("http://dx.doi.org/10.1002/zoo.21583","http://dx.doi.org/10.1002/zoo.21583")</f>
        <v>http://dx.doi.org/10.1002/zoo.21583</v>
      </c>
      <c r="BG155" s="2" t="s">
        <v>74</v>
      </c>
      <c r="BH155" s="2" t="s">
        <v>2411</v>
      </c>
      <c r="BI155" s="2" t="s">
        <v>74</v>
      </c>
      <c r="BJ155" s="2" t="s">
        <v>74</v>
      </c>
      <c r="BK155" s="2" t="s">
        <v>74</v>
      </c>
      <c r="BL155" s="2" t="s">
        <v>74</v>
      </c>
      <c r="BM155" s="2" t="s">
        <v>74</v>
      </c>
      <c r="BN155" s="2">
        <v>33544907</v>
      </c>
      <c r="BO155" s="2" t="s">
        <v>74</v>
      </c>
      <c r="BP155" s="2" t="s">
        <v>74</v>
      </c>
      <c r="BQ155" s="2" t="s">
        <v>74</v>
      </c>
      <c r="BR155" s="2" t="s">
        <v>74</v>
      </c>
      <c r="BS155" s="2" t="s">
        <v>2412</v>
      </c>
      <c r="BT155" s="2" t="str">
        <f>HYPERLINK("https%3A%2F%2Fwww.webofscience.com%2Fwos%2Fwoscc%2Ffull-record%2FWOS:000614925000001","View Full Record in Web of Science")</f>
        <v>View Full Record in Web of Science</v>
      </c>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row>
    <row r="156" spans="1:314" s="2" customFormat="1" x14ac:dyDescent="0.4">
      <c r="A156" s="2" t="s">
        <v>72</v>
      </c>
      <c r="B156" s="2" t="s">
        <v>8620</v>
      </c>
      <c r="C156" s="2" t="s">
        <v>74</v>
      </c>
      <c r="D156" s="2" t="s">
        <v>74</v>
      </c>
      <c r="E156" s="2" t="s">
        <v>74</v>
      </c>
      <c r="F156" s="2" t="s">
        <v>8621</v>
      </c>
      <c r="G156" s="2" t="s">
        <v>74</v>
      </c>
      <c r="H156" s="2" t="s">
        <v>74</v>
      </c>
      <c r="I156" s="2" t="s">
        <v>8622</v>
      </c>
      <c r="J156" s="2" t="s">
        <v>763</v>
      </c>
      <c r="K156" s="2" t="s">
        <v>74</v>
      </c>
      <c r="L156" s="2" t="s">
        <v>74</v>
      </c>
      <c r="M156" s="2" t="s">
        <v>74</v>
      </c>
      <c r="N156" s="2" t="s">
        <v>74</v>
      </c>
      <c r="O156" s="2" t="s">
        <v>74</v>
      </c>
      <c r="P156" s="2" t="s">
        <v>74</v>
      </c>
      <c r="Q156" s="2" t="s">
        <v>74</v>
      </c>
      <c r="R156" s="2" t="s">
        <v>74</v>
      </c>
      <c r="S156" s="2" t="s">
        <v>74</v>
      </c>
      <c r="T156" s="2" t="s">
        <v>74</v>
      </c>
      <c r="U156" s="2" t="s">
        <v>74</v>
      </c>
      <c r="V156" s="5" t="s">
        <v>8623</v>
      </c>
      <c r="W156" s="2" t="s">
        <v>74</v>
      </c>
      <c r="X156" s="2" t="s">
        <v>74</v>
      </c>
      <c r="Y156" s="2" t="s">
        <v>74</v>
      </c>
      <c r="Z156" s="2" t="s">
        <v>74</v>
      </c>
      <c r="AA156" s="2" t="s">
        <v>8624</v>
      </c>
      <c r="AB156" s="2" t="s">
        <v>8625</v>
      </c>
      <c r="AC156" s="2" t="s">
        <v>74</v>
      </c>
      <c r="AD156" s="2" t="s">
        <v>74</v>
      </c>
      <c r="AE156" s="2" t="s">
        <v>74</v>
      </c>
      <c r="AF156" s="2" t="s">
        <v>74</v>
      </c>
      <c r="AG156" s="2" t="s">
        <v>74</v>
      </c>
      <c r="AH156" s="2" t="s">
        <v>74</v>
      </c>
      <c r="AI156" s="2" t="s">
        <v>74</v>
      </c>
      <c r="AJ156" s="2" t="s">
        <v>74</v>
      </c>
      <c r="AK156" s="2" t="s">
        <v>74</v>
      </c>
      <c r="AL156" s="2" t="s">
        <v>74</v>
      </c>
      <c r="AM156" s="2" t="s">
        <v>74</v>
      </c>
      <c r="AN156" s="2" t="s">
        <v>74</v>
      </c>
      <c r="AO156" s="2" t="s">
        <v>767</v>
      </c>
      <c r="AP156" s="2" t="s">
        <v>768</v>
      </c>
      <c r="AQ156" s="2" t="s">
        <v>74</v>
      </c>
      <c r="AR156" s="2" t="s">
        <v>74</v>
      </c>
      <c r="AS156" s="2" t="s">
        <v>74</v>
      </c>
      <c r="AT156" s="2" t="s">
        <v>175</v>
      </c>
      <c r="AU156" s="2">
        <v>2021</v>
      </c>
      <c r="AV156" s="2">
        <v>224</v>
      </c>
      <c r="AW156" s="2">
        <v>20</v>
      </c>
      <c r="AX156" s="2" t="s">
        <v>74</v>
      </c>
      <c r="AY156" s="2" t="s">
        <v>74</v>
      </c>
      <c r="AZ156" s="2" t="s">
        <v>74</v>
      </c>
      <c r="BA156" s="2" t="s">
        <v>74</v>
      </c>
      <c r="BB156" s="2" t="s">
        <v>74</v>
      </c>
      <c r="BC156" s="2" t="s">
        <v>74</v>
      </c>
      <c r="BD156" s="2" t="s">
        <v>8626</v>
      </c>
      <c r="BE156" s="2" t="s">
        <v>8627</v>
      </c>
      <c r="BF156" s="2" t="str">
        <f>HYPERLINK("http://dx.doi.org/10.1242/jeb.242784","http://dx.doi.org/10.1242/jeb.242784")</f>
        <v>http://dx.doi.org/10.1242/jeb.242784</v>
      </c>
      <c r="BG156" s="2" t="s">
        <v>74</v>
      </c>
      <c r="BH156" s="2" t="s">
        <v>74</v>
      </c>
      <c r="BI156" s="2" t="s">
        <v>74</v>
      </c>
      <c r="BJ156" s="2" t="s">
        <v>74</v>
      </c>
      <c r="BK156" s="2" t="s">
        <v>74</v>
      </c>
      <c r="BL156" s="2" t="s">
        <v>74</v>
      </c>
      <c r="BM156" s="2" t="s">
        <v>74</v>
      </c>
      <c r="BN156" s="2">
        <v>34605911</v>
      </c>
      <c r="BO156" s="2" t="s">
        <v>74</v>
      </c>
      <c r="BP156" s="2" t="s">
        <v>74</v>
      </c>
      <c r="BQ156" s="2" t="s">
        <v>74</v>
      </c>
      <c r="BR156" s="2" t="s">
        <v>74</v>
      </c>
      <c r="BS156" s="2" t="s">
        <v>8628</v>
      </c>
      <c r="BT156" s="2" t="str">
        <f>HYPERLINK("https%3A%2F%2Fwww.webofscience.com%2Fwos%2Fwoscc%2Ffull-record%2FWOS:000715883300008","View Full Record in Web of Science")</f>
        <v>View Full Record in Web of Science</v>
      </c>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row>
    <row r="157" spans="1:314" s="2" customFormat="1" x14ac:dyDescent="0.4">
      <c r="A157" s="2" t="s">
        <v>72</v>
      </c>
      <c r="B157" s="2" t="s">
        <v>1403</v>
      </c>
      <c r="C157" s="2" t="s">
        <v>74</v>
      </c>
      <c r="D157" s="2" t="s">
        <v>74</v>
      </c>
      <c r="E157" s="2" t="s">
        <v>74</v>
      </c>
      <c r="F157" s="2" t="s">
        <v>1404</v>
      </c>
      <c r="G157" s="2" t="s">
        <v>74</v>
      </c>
      <c r="H157" s="2" t="s">
        <v>74</v>
      </c>
      <c r="I157" s="2" t="s">
        <v>1405</v>
      </c>
      <c r="J157" s="2" t="s">
        <v>397</v>
      </c>
      <c r="K157" s="2" t="s">
        <v>74</v>
      </c>
      <c r="L157" s="2" t="s">
        <v>74</v>
      </c>
      <c r="M157" s="2" t="s">
        <v>74</v>
      </c>
      <c r="N157" s="2" t="s">
        <v>74</v>
      </c>
      <c r="O157" s="2" t="s">
        <v>74</v>
      </c>
      <c r="P157" s="2" t="s">
        <v>74</v>
      </c>
      <c r="Q157" s="2" t="s">
        <v>74</v>
      </c>
      <c r="R157" s="2" t="s">
        <v>74</v>
      </c>
      <c r="S157" s="2" t="s">
        <v>74</v>
      </c>
      <c r="T157" s="2" t="s">
        <v>74</v>
      </c>
      <c r="U157" s="2" t="s">
        <v>74</v>
      </c>
      <c r="V157" s="5" t="s">
        <v>1406</v>
      </c>
      <c r="W157" s="2" t="s">
        <v>74</v>
      </c>
      <c r="X157" s="2" t="s">
        <v>74</v>
      </c>
      <c r="Y157" s="2" t="s">
        <v>74</v>
      </c>
      <c r="Z157" s="2" t="s">
        <v>74</v>
      </c>
      <c r="AA157" s="2" t="s">
        <v>74</v>
      </c>
      <c r="AB157" s="2" t="s">
        <v>1407</v>
      </c>
      <c r="AC157" s="2" t="s">
        <v>74</v>
      </c>
      <c r="AD157" s="2" t="s">
        <v>74</v>
      </c>
      <c r="AE157" s="2" t="s">
        <v>74</v>
      </c>
      <c r="AF157" s="2" t="s">
        <v>74</v>
      </c>
      <c r="AG157" s="2" t="s">
        <v>74</v>
      </c>
      <c r="AH157" s="2" t="s">
        <v>74</v>
      </c>
      <c r="AI157" s="2" t="s">
        <v>74</v>
      </c>
      <c r="AJ157" s="2" t="s">
        <v>74</v>
      </c>
      <c r="AK157" s="2" t="s">
        <v>74</v>
      </c>
      <c r="AL157" s="2" t="s">
        <v>74</v>
      </c>
      <c r="AM157" s="2" t="s">
        <v>74</v>
      </c>
      <c r="AN157" s="2" t="s">
        <v>74</v>
      </c>
      <c r="AO157" s="2" t="s">
        <v>401</v>
      </c>
      <c r="AP157" s="2" t="s">
        <v>402</v>
      </c>
      <c r="AQ157" s="2" t="s">
        <v>74</v>
      </c>
      <c r="AR157" s="2" t="s">
        <v>74</v>
      </c>
      <c r="AS157" s="2" t="s">
        <v>74</v>
      </c>
      <c r="AT157" s="2" t="s">
        <v>204</v>
      </c>
      <c r="AU157" s="2">
        <v>2020</v>
      </c>
      <c r="AV157" s="2">
        <v>19</v>
      </c>
      <c r="AW157" s="2">
        <v>6</v>
      </c>
      <c r="AX157" s="2" t="s">
        <v>74</v>
      </c>
      <c r="AY157" s="2" t="s">
        <v>74</v>
      </c>
      <c r="AZ157" s="2" t="s">
        <v>74</v>
      </c>
      <c r="BA157" s="2" t="s">
        <v>74</v>
      </c>
      <c r="BB157" s="2" t="s">
        <v>74</v>
      </c>
      <c r="BC157" s="2" t="s">
        <v>74</v>
      </c>
      <c r="BD157" s="2" t="s">
        <v>1408</v>
      </c>
      <c r="BE157" s="2" t="s">
        <v>1409</v>
      </c>
      <c r="BF157" s="2" t="str">
        <f>HYPERLINK("http://dx.doi.org/10.1111/gbb.12657","http://dx.doi.org/10.1111/gbb.12657")</f>
        <v>http://dx.doi.org/10.1111/gbb.12657</v>
      </c>
      <c r="BG157" s="2" t="s">
        <v>74</v>
      </c>
      <c r="BH157" s="2" t="s">
        <v>1410</v>
      </c>
      <c r="BI157" s="2" t="s">
        <v>74</v>
      </c>
      <c r="BJ157" s="2" t="s">
        <v>74</v>
      </c>
      <c r="BK157" s="2" t="s">
        <v>74</v>
      </c>
      <c r="BL157" s="2" t="s">
        <v>74</v>
      </c>
      <c r="BM157" s="2" t="s">
        <v>74</v>
      </c>
      <c r="BN157" s="2">
        <v>32323443</v>
      </c>
      <c r="BO157" s="2" t="s">
        <v>74</v>
      </c>
      <c r="BP157" s="2" t="s">
        <v>74</v>
      </c>
      <c r="BQ157" s="2" t="s">
        <v>74</v>
      </c>
      <c r="BR157" s="2" t="s">
        <v>74</v>
      </c>
      <c r="BS157" s="2" t="s">
        <v>1411</v>
      </c>
      <c r="BT157" s="2" t="str">
        <f>HYPERLINK("https%3A%2F%2Fwww.webofscience.com%2Fwos%2Fwoscc%2Ffull-record%2FWOS:000530887300001","View Full Record in Web of Science")</f>
        <v>View Full Record in Web of Science</v>
      </c>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row>
    <row r="158" spans="1:314" s="2" customFormat="1" x14ac:dyDescent="0.4">
      <c r="A158" s="2" t="s">
        <v>72</v>
      </c>
      <c r="B158" s="2" t="s">
        <v>8390</v>
      </c>
      <c r="C158" s="2" t="s">
        <v>74</v>
      </c>
      <c r="D158" s="2" t="s">
        <v>74</v>
      </c>
      <c r="E158" s="2" t="s">
        <v>74</v>
      </c>
      <c r="F158" s="2" t="s">
        <v>8391</v>
      </c>
      <c r="G158" s="2" t="s">
        <v>74</v>
      </c>
      <c r="H158" s="2" t="s">
        <v>74</v>
      </c>
      <c r="I158" s="2" t="s">
        <v>8392</v>
      </c>
      <c r="J158" s="2" t="s">
        <v>140</v>
      </c>
      <c r="K158" s="2" t="s">
        <v>74</v>
      </c>
      <c r="L158" s="2" t="s">
        <v>74</v>
      </c>
      <c r="M158" s="2" t="s">
        <v>74</v>
      </c>
      <c r="N158" s="2" t="s">
        <v>74</v>
      </c>
      <c r="O158" s="2" t="s">
        <v>74</v>
      </c>
      <c r="P158" s="2" t="s">
        <v>74</v>
      </c>
      <c r="Q158" s="2" t="s">
        <v>74</v>
      </c>
      <c r="R158" s="2" t="s">
        <v>74</v>
      </c>
      <c r="S158" s="2" t="s">
        <v>74</v>
      </c>
      <c r="T158" s="2" t="s">
        <v>74</v>
      </c>
      <c r="U158" s="2" t="s">
        <v>74</v>
      </c>
      <c r="V158" s="5" t="s">
        <v>8393</v>
      </c>
      <c r="W158" s="2" t="s">
        <v>74</v>
      </c>
      <c r="X158" s="2" t="s">
        <v>74</v>
      </c>
      <c r="Y158" s="2" t="s">
        <v>74</v>
      </c>
      <c r="Z158" s="2" t="s">
        <v>74</v>
      </c>
      <c r="AA158" s="2" t="s">
        <v>8394</v>
      </c>
      <c r="AB158" s="2" t="s">
        <v>8395</v>
      </c>
      <c r="AC158" s="2" t="s">
        <v>74</v>
      </c>
      <c r="AD158" s="2" t="s">
        <v>74</v>
      </c>
      <c r="AE158" s="2" t="s">
        <v>74</v>
      </c>
      <c r="AF158" s="2" t="s">
        <v>74</v>
      </c>
      <c r="AG158" s="2" t="s">
        <v>74</v>
      </c>
      <c r="AH158" s="2" t="s">
        <v>74</v>
      </c>
      <c r="AI158" s="2" t="s">
        <v>74</v>
      </c>
      <c r="AJ158" s="2" t="s">
        <v>74</v>
      </c>
      <c r="AK158" s="2" t="s">
        <v>74</v>
      </c>
      <c r="AL158" s="2" t="s">
        <v>74</v>
      </c>
      <c r="AM158" s="2" t="s">
        <v>74</v>
      </c>
      <c r="AN158" s="2" t="s">
        <v>74</v>
      </c>
      <c r="AO158" s="2" t="s">
        <v>143</v>
      </c>
      <c r="AP158" s="2" t="s">
        <v>144</v>
      </c>
      <c r="AQ158" s="2" t="s">
        <v>74</v>
      </c>
      <c r="AR158" s="2" t="s">
        <v>74</v>
      </c>
      <c r="AS158" s="2" t="s">
        <v>74</v>
      </c>
      <c r="AT158" s="2" t="s">
        <v>102</v>
      </c>
      <c r="AU158" s="2">
        <v>2020</v>
      </c>
      <c r="AV158" s="2">
        <v>164</v>
      </c>
      <c r="AW158" s="2" t="s">
        <v>74</v>
      </c>
      <c r="AX158" s="2" t="s">
        <v>74</v>
      </c>
      <c r="AY158" s="2" t="s">
        <v>74</v>
      </c>
      <c r="AZ158" s="2" t="s">
        <v>74</v>
      </c>
      <c r="BA158" s="2" t="s">
        <v>74</v>
      </c>
      <c r="BB158" s="2">
        <v>91</v>
      </c>
      <c r="BC158" s="2">
        <v>98</v>
      </c>
      <c r="BD158" s="2" t="s">
        <v>74</v>
      </c>
      <c r="BE158" s="2" t="s">
        <v>8396</v>
      </c>
      <c r="BF158" s="2" t="str">
        <f>HYPERLINK("http://dx.doi.org/10.1016/j.anbehav.2020.04.002","http://dx.doi.org/10.1016/j.anbehav.2020.04.002")</f>
        <v>http://dx.doi.org/10.1016/j.anbehav.2020.04.002</v>
      </c>
      <c r="BG158" s="2" t="s">
        <v>74</v>
      </c>
      <c r="BH158" s="2" t="s">
        <v>74</v>
      </c>
      <c r="BI158" s="2" t="s">
        <v>74</v>
      </c>
      <c r="BJ158" s="2" t="s">
        <v>74</v>
      </c>
      <c r="BK158" s="2" t="s">
        <v>74</v>
      </c>
      <c r="BL158" s="2" t="s">
        <v>74</v>
      </c>
      <c r="BM158" s="2" t="s">
        <v>74</v>
      </c>
      <c r="BN158" s="2" t="s">
        <v>74</v>
      </c>
      <c r="BO158" s="2" t="s">
        <v>74</v>
      </c>
      <c r="BP158" s="2" t="s">
        <v>74</v>
      </c>
      <c r="BQ158" s="2" t="s">
        <v>74</v>
      </c>
      <c r="BR158" s="2" t="s">
        <v>74</v>
      </c>
      <c r="BS158" s="2" t="s">
        <v>8397</v>
      </c>
      <c r="BT158" s="2" t="str">
        <f>HYPERLINK("https%3A%2F%2Fwww.webofscience.com%2Fwos%2Fwoscc%2Ffull-record%2FWOS:000539211900009","View Full Record in Web of Science")</f>
        <v>View Full Record in Web of Science</v>
      </c>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row>
    <row r="159" spans="1:314" s="2" customFormat="1" x14ac:dyDescent="0.4">
      <c r="A159" s="2" t="s">
        <v>72</v>
      </c>
      <c r="B159" s="2" t="s">
        <v>4137</v>
      </c>
      <c r="C159" s="2" t="s">
        <v>74</v>
      </c>
      <c r="D159" s="2" t="s">
        <v>74</v>
      </c>
      <c r="E159" s="2" t="s">
        <v>74</v>
      </c>
      <c r="F159" s="2" t="s">
        <v>4137</v>
      </c>
      <c r="G159" s="2" t="s">
        <v>74</v>
      </c>
      <c r="H159" s="2" t="s">
        <v>74</v>
      </c>
      <c r="I159" s="2" t="s">
        <v>4138</v>
      </c>
      <c r="J159" s="2" t="s">
        <v>4139</v>
      </c>
      <c r="K159" s="2" t="s">
        <v>74</v>
      </c>
      <c r="L159" s="2" t="s">
        <v>74</v>
      </c>
      <c r="M159" s="2" t="s">
        <v>74</v>
      </c>
      <c r="N159" s="2" t="s">
        <v>74</v>
      </c>
      <c r="O159" s="2" t="s">
        <v>74</v>
      </c>
      <c r="P159" s="2" t="s">
        <v>74</v>
      </c>
      <c r="Q159" s="2" t="s">
        <v>74</v>
      </c>
      <c r="R159" s="2" t="s">
        <v>74</v>
      </c>
      <c r="S159" s="2" t="s">
        <v>74</v>
      </c>
      <c r="T159" s="2" t="s">
        <v>74</v>
      </c>
      <c r="U159" s="2" t="s">
        <v>74</v>
      </c>
      <c r="V159" s="5" t="s">
        <v>4140</v>
      </c>
      <c r="W159" s="2" t="s">
        <v>74</v>
      </c>
      <c r="X159" s="2" t="s">
        <v>74</v>
      </c>
      <c r="Y159" s="2" t="s">
        <v>74</v>
      </c>
      <c r="Z159" s="2" t="s">
        <v>74</v>
      </c>
      <c r="AA159" s="2" t="s">
        <v>74</v>
      </c>
      <c r="AB159" s="2" t="s">
        <v>74</v>
      </c>
      <c r="AC159" s="2" t="s">
        <v>74</v>
      </c>
      <c r="AD159" s="2" t="s">
        <v>74</v>
      </c>
      <c r="AE159" s="2" t="s">
        <v>74</v>
      </c>
      <c r="AF159" s="2" t="s">
        <v>74</v>
      </c>
      <c r="AG159" s="2" t="s">
        <v>74</v>
      </c>
      <c r="AH159" s="2" t="s">
        <v>74</v>
      </c>
      <c r="AI159" s="2" t="s">
        <v>74</v>
      </c>
      <c r="AJ159" s="2" t="s">
        <v>74</v>
      </c>
      <c r="AK159" s="2" t="s">
        <v>74</v>
      </c>
      <c r="AL159" s="2" t="s">
        <v>74</v>
      </c>
      <c r="AM159" s="2" t="s">
        <v>74</v>
      </c>
      <c r="AN159" s="2" t="s">
        <v>74</v>
      </c>
      <c r="AO159" s="2" t="s">
        <v>4141</v>
      </c>
      <c r="AP159" s="2" t="s">
        <v>74</v>
      </c>
      <c r="AQ159" s="2" t="s">
        <v>74</v>
      </c>
      <c r="AR159" s="2" t="s">
        <v>74</v>
      </c>
      <c r="AS159" s="2" t="s">
        <v>74</v>
      </c>
      <c r="AT159" s="2" t="s">
        <v>74</v>
      </c>
      <c r="AU159" s="2">
        <v>1992</v>
      </c>
      <c r="AV159" s="2">
        <v>32</v>
      </c>
      <c r="AW159" s="2">
        <v>1</v>
      </c>
      <c r="AX159" s="2" t="s">
        <v>74</v>
      </c>
      <c r="AY159" s="2" t="s">
        <v>74</v>
      </c>
      <c r="AZ159" s="2" t="s">
        <v>74</v>
      </c>
      <c r="BA159" s="2" t="s">
        <v>74</v>
      </c>
      <c r="BB159" s="2">
        <v>91</v>
      </c>
      <c r="BC159" s="2">
        <v>99</v>
      </c>
      <c r="BD159" s="2" t="s">
        <v>74</v>
      </c>
      <c r="BE159" s="2" t="s">
        <v>74</v>
      </c>
      <c r="BF159" s="2" t="s">
        <v>74</v>
      </c>
      <c r="BG159" s="2" t="s">
        <v>74</v>
      </c>
      <c r="BH159" s="2" t="s">
        <v>74</v>
      </c>
      <c r="BI159" s="2" t="s">
        <v>74</v>
      </c>
      <c r="BJ159" s="2" t="s">
        <v>74</v>
      </c>
      <c r="BK159" s="2" t="s">
        <v>74</v>
      </c>
      <c r="BL159" s="2" t="s">
        <v>74</v>
      </c>
      <c r="BM159" s="2" t="s">
        <v>74</v>
      </c>
      <c r="BN159" s="2" t="s">
        <v>74</v>
      </c>
      <c r="BO159" s="2" t="s">
        <v>74</v>
      </c>
      <c r="BP159" s="2" t="s">
        <v>74</v>
      </c>
      <c r="BQ159" s="2" t="s">
        <v>74</v>
      </c>
      <c r="BR159" s="2" t="s">
        <v>74</v>
      </c>
      <c r="BS159" s="2" t="s">
        <v>4142</v>
      </c>
      <c r="BT159" s="2" t="str">
        <f>HYPERLINK("https%3A%2F%2Fwww.webofscience.com%2Fwos%2Fwoscc%2Ffull-record%2FWOS:A1992JK51200010","View Full Record in Web of Science")</f>
        <v>View Full Record in Web of Science</v>
      </c>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row>
    <row r="160" spans="1:314" s="2" customFormat="1" x14ac:dyDescent="0.4">
      <c r="A160" s="2" t="s">
        <v>72</v>
      </c>
      <c r="B160" s="2" t="s">
        <v>4137</v>
      </c>
      <c r="C160" s="2" t="s">
        <v>74</v>
      </c>
      <c r="D160" s="2" t="s">
        <v>74</v>
      </c>
      <c r="E160" s="2" t="s">
        <v>74</v>
      </c>
      <c r="F160" s="2" t="s">
        <v>4137</v>
      </c>
      <c r="G160" s="2" t="s">
        <v>74</v>
      </c>
      <c r="H160" s="2" t="s">
        <v>74</v>
      </c>
      <c r="I160" s="2" t="s">
        <v>7408</v>
      </c>
      <c r="J160" s="2" t="s">
        <v>344</v>
      </c>
      <c r="K160" s="2" t="s">
        <v>74</v>
      </c>
      <c r="L160" s="2" t="s">
        <v>74</v>
      </c>
      <c r="M160" s="2" t="s">
        <v>74</v>
      </c>
      <c r="N160" s="2" t="s">
        <v>74</v>
      </c>
      <c r="O160" s="2" t="s">
        <v>74</v>
      </c>
      <c r="P160" s="2" t="s">
        <v>74</v>
      </c>
      <c r="Q160" s="2" t="s">
        <v>74</v>
      </c>
      <c r="R160" s="2" t="s">
        <v>74</v>
      </c>
      <c r="S160" s="2" t="s">
        <v>74</v>
      </c>
      <c r="T160" s="2" t="s">
        <v>74</v>
      </c>
      <c r="U160" s="2" t="s">
        <v>74</v>
      </c>
      <c r="V160" s="5" t="s">
        <v>7409</v>
      </c>
      <c r="W160" s="2" t="s">
        <v>74</v>
      </c>
      <c r="X160" s="2" t="s">
        <v>74</v>
      </c>
      <c r="Y160" s="2" t="s">
        <v>74</v>
      </c>
      <c r="Z160" s="2" t="s">
        <v>74</v>
      </c>
      <c r="AA160" s="2" t="s">
        <v>74</v>
      </c>
      <c r="AB160" s="2" t="s">
        <v>74</v>
      </c>
      <c r="AC160" s="2" t="s">
        <v>74</v>
      </c>
      <c r="AD160" s="2" t="s">
        <v>74</v>
      </c>
      <c r="AE160" s="2" t="s">
        <v>74</v>
      </c>
      <c r="AF160" s="2" t="s">
        <v>74</v>
      </c>
      <c r="AG160" s="2" t="s">
        <v>74</v>
      </c>
      <c r="AH160" s="2" t="s">
        <v>74</v>
      </c>
      <c r="AI160" s="2" t="s">
        <v>74</v>
      </c>
      <c r="AJ160" s="2" t="s">
        <v>74</v>
      </c>
      <c r="AK160" s="2" t="s">
        <v>74</v>
      </c>
      <c r="AL160" s="2" t="s">
        <v>74</v>
      </c>
      <c r="AM160" s="2" t="s">
        <v>74</v>
      </c>
      <c r="AN160" s="2" t="s">
        <v>74</v>
      </c>
      <c r="AO160" s="2" t="s">
        <v>346</v>
      </c>
      <c r="AP160" s="2" t="s">
        <v>6569</v>
      </c>
      <c r="AQ160" s="2" t="s">
        <v>74</v>
      </c>
      <c r="AR160" s="2" t="s">
        <v>74</v>
      </c>
      <c r="AS160" s="2" t="s">
        <v>74</v>
      </c>
      <c r="AT160" s="2" t="s">
        <v>213</v>
      </c>
      <c r="AU160" s="2">
        <v>1987</v>
      </c>
      <c r="AV160" s="2">
        <v>20</v>
      </c>
      <c r="AW160" s="2">
        <v>3</v>
      </c>
      <c r="AX160" s="2" t="s">
        <v>74</v>
      </c>
      <c r="AY160" s="2" t="s">
        <v>74</v>
      </c>
      <c r="AZ160" s="2" t="s">
        <v>74</v>
      </c>
      <c r="BA160" s="2" t="s">
        <v>74</v>
      </c>
      <c r="BB160" s="2">
        <v>183</v>
      </c>
      <c r="BC160" s="2">
        <v>194</v>
      </c>
      <c r="BD160" s="2" t="s">
        <v>74</v>
      </c>
      <c r="BE160" s="2" t="s">
        <v>7410</v>
      </c>
      <c r="BF160" s="2" t="str">
        <f>HYPERLINK("http://dx.doi.org/10.1007/BF00004953","http://dx.doi.org/10.1007/BF00004953")</f>
        <v>http://dx.doi.org/10.1007/BF00004953</v>
      </c>
      <c r="BG160" s="2" t="s">
        <v>74</v>
      </c>
      <c r="BH160" s="2" t="s">
        <v>74</v>
      </c>
      <c r="BI160" s="2" t="s">
        <v>74</v>
      </c>
      <c r="BJ160" s="2" t="s">
        <v>74</v>
      </c>
      <c r="BK160" s="2" t="s">
        <v>74</v>
      </c>
      <c r="BL160" s="2" t="s">
        <v>74</v>
      </c>
      <c r="BM160" s="2" t="s">
        <v>74</v>
      </c>
      <c r="BN160" s="2" t="s">
        <v>74</v>
      </c>
      <c r="BO160" s="2" t="s">
        <v>74</v>
      </c>
      <c r="BP160" s="2" t="s">
        <v>74</v>
      </c>
      <c r="BQ160" s="2" t="s">
        <v>74</v>
      </c>
      <c r="BR160" s="2" t="s">
        <v>74</v>
      </c>
      <c r="BS160" s="2" t="s">
        <v>7411</v>
      </c>
      <c r="BT160" s="2" t="str">
        <f>HYPERLINK("https%3A%2F%2Fwww.webofscience.com%2Fwos%2Fwoscc%2Ffull-record%2FWOS:A1987K628700003","View Full Record in Web of Science")</f>
        <v>View Full Record in Web of Science</v>
      </c>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row>
    <row r="161" spans="1:314" s="2" customFormat="1" x14ac:dyDescent="0.4">
      <c r="A161" s="2" t="s">
        <v>72</v>
      </c>
      <c r="B161" s="2" t="s">
        <v>2808</v>
      </c>
      <c r="C161" s="2" t="s">
        <v>74</v>
      </c>
      <c r="D161" s="2" t="s">
        <v>74</v>
      </c>
      <c r="E161" s="2" t="s">
        <v>74</v>
      </c>
      <c r="F161" s="2" t="s">
        <v>2808</v>
      </c>
      <c r="G161" s="2" t="s">
        <v>74</v>
      </c>
      <c r="H161" s="2" t="s">
        <v>74</v>
      </c>
      <c r="I161" s="2" t="s">
        <v>2809</v>
      </c>
      <c r="J161" s="2" t="s">
        <v>77</v>
      </c>
      <c r="K161" s="2" t="s">
        <v>74</v>
      </c>
      <c r="L161" s="2" t="s">
        <v>74</v>
      </c>
      <c r="M161" s="2" t="s">
        <v>74</v>
      </c>
      <c r="N161" s="2" t="s">
        <v>74</v>
      </c>
      <c r="O161" s="2" t="s">
        <v>74</v>
      </c>
      <c r="P161" s="2" t="s">
        <v>74</v>
      </c>
      <c r="Q161" s="2" t="s">
        <v>74</v>
      </c>
      <c r="R161" s="2" t="s">
        <v>74</v>
      </c>
      <c r="S161" s="2" t="s">
        <v>74</v>
      </c>
      <c r="T161" s="2" t="s">
        <v>74</v>
      </c>
      <c r="U161" s="2" t="s">
        <v>74</v>
      </c>
      <c r="V161" s="5" t="s">
        <v>74</v>
      </c>
      <c r="W161" s="2" t="s">
        <v>74</v>
      </c>
      <c r="X161" s="2" t="s">
        <v>74</v>
      </c>
      <c r="Y161" s="2" t="s">
        <v>74</v>
      </c>
      <c r="Z161" s="2" t="s">
        <v>74</v>
      </c>
      <c r="AA161" s="2" t="s">
        <v>74</v>
      </c>
      <c r="AB161" s="2" t="s">
        <v>74</v>
      </c>
      <c r="AC161" s="2" t="s">
        <v>74</v>
      </c>
      <c r="AD161" s="2" t="s">
        <v>74</v>
      </c>
      <c r="AE161" s="2" t="s">
        <v>74</v>
      </c>
      <c r="AF161" s="2" t="s">
        <v>74</v>
      </c>
      <c r="AG161" s="2" t="s">
        <v>74</v>
      </c>
      <c r="AH161" s="2" t="s">
        <v>74</v>
      </c>
      <c r="AI161" s="2" t="s">
        <v>74</v>
      </c>
      <c r="AJ161" s="2" t="s">
        <v>74</v>
      </c>
      <c r="AK161" s="2" t="s">
        <v>74</v>
      </c>
      <c r="AL161" s="2" t="s">
        <v>74</v>
      </c>
      <c r="AM161" s="2" t="s">
        <v>74</v>
      </c>
      <c r="AN161" s="2" t="s">
        <v>74</v>
      </c>
      <c r="AO161" s="2" t="s">
        <v>81</v>
      </c>
      <c r="AP161" s="2" t="s">
        <v>74</v>
      </c>
      <c r="AQ161" s="2" t="s">
        <v>74</v>
      </c>
      <c r="AR161" s="2" t="s">
        <v>74</v>
      </c>
      <c r="AS161" s="2" t="s">
        <v>74</v>
      </c>
      <c r="AT161" s="2" t="s">
        <v>74</v>
      </c>
      <c r="AU161" s="2">
        <v>1975</v>
      </c>
      <c r="AV161" s="2">
        <v>54</v>
      </c>
      <c r="AW161" s="2" t="s">
        <v>74</v>
      </c>
      <c r="AX161" s="2" t="s">
        <v>74</v>
      </c>
      <c r="AY161" s="2" t="s">
        <v>74</v>
      </c>
      <c r="AZ161" s="2" t="s">
        <v>74</v>
      </c>
      <c r="BA161" s="2" t="s">
        <v>74</v>
      </c>
      <c r="BB161" s="2">
        <v>72</v>
      </c>
      <c r="BC161" s="2">
        <v>96</v>
      </c>
      <c r="BD161" s="2" t="s">
        <v>74</v>
      </c>
      <c r="BE161" s="2" t="s">
        <v>2810</v>
      </c>
      <c r="BF161" s="2" t="str">
        <f>HYPERLINK("http://dx.doi.org/10.1163/156853975X00344","http://dx.doi.org/10.1163/156853975X00344")</f>
        <v>http://dx.doi.org/10.1163/156853975X00344</v>
      </c>
      <c r="BG161" s="2" t="s">
        <v>74</v>
      </c>
      <c r="BH161" s="2" t="s">
        <v>74</v>
      </c>
      <c r="BI161" s="2" t="s">
        <v>74</v>
      </c>
      <c r="BJ161" s="2" t="s">
        <v>74</v>
      </c>
      <c r="BK161" s="2" t="s">
        <v>74</v>
      </c>
      <c r="BL161" s="2" t="s">
        <v>74</v>
      </c>
      <c r="BM161" s="2" t="s">
        <v>74</v>
      </c>
      <c r="BN161" s="2" t="s">
        <v>74</v>
      </c>
      <c r="BO161" s="2" t="s">
        <v>74</v>
      </c>
      <c r="BP161" s="2" t="s">
        <v>74</v>
      </c>
      <c r="BQ161" s="2" t="s">
        <v>74</v>
      </c>
      <c r="BR161" s="2" t="s">
        <v>74</v>
      </c>
      <c r="BS161" s="2" t="s">
        <v>2811</v>
      </c>
      <c r="BT161" s="2" t="str">
        <f>HYPERLINK("https%3A%2F%2Fwww.webofscience.com%2Fwos%2Fwoscc%2Ffull-record%2FWOS:A1975AN77800005","View Full Record in Web of Science")</f>
        <v>View Full Record in Web of Science</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row>
    <row r="162" spans="1:314" s="2" customFormat="1" x14ac:dyDescent="0.4">
      <c r="A162" s="2" t="s">
        <v>72</v>
      </c>
      <c r="B162" s="2" t="s">
        <v>1316</v>
      </c>
      <c r="C162" s="2" t="s">
        <v>74</v>
      </c>
      <c r="D162" s="2" t="s">
        <v>74</v>
      </c>
      <c r="E162" s="2" t="s">
        <v>74</v>
      </c>
      <c r="F162" s="2" t="s">
        <v>1316</v>
      </c>
      <c r="G162" s="2" t="s">
        <v>74</v>
      </c>
      <c r="H162" s="2" t="s">
        <v>74</v>
      </c>
      <c r="I162" s="2" t="s">
        <v>1317</v>
      </c>
      <c r="J162" s="2" t="s">
        <v>77</v>
      </c>
      <c r="K162" s="2" t="s">
        <v>74</v>
      </c>
      <c r="L162" s="2" t="s">
        <v>74</v>
      </c>
      <c r="M162" s="2" t="s">
        <v>74</v>
      </c>
      <c r="N162" s="2" t="s">
        <v>74</v>
      </c>
      <c r="O162" s="2" t="s">
        <v>74</v>
      </c>
      <c r="P162" s="2" t="s">
        <v>74</v>
      </c>
      <c r="Q162" s="2" t="s">
        <v>74</v>
      </c>
      <c r="R162" s="2" t="s">
        <v>74</v>
      </c>
      <c r="S162" s="2" t="s">
        <v>74</v>
      </c>
      <c r="T162" s="2" t="s">
        <v>74</v>
      </c>
      <c r="U162" s="2" t="s">
        <v>74</v>
      </c>
      <c r="V162" s="5" t="s">
        <v>1318</v>
      </c>
      <c r="W162" s="2" t="s">
        <v>74</v>
      </c>
      <c r="X162" s="2" t="s">
        <v>74</v>
      </c>
      <c r="Y162" s="2" t="s">
        <v>74</v>
      </c>
      <c r="Z162" s="2" t="s">
        <v>74</v>
      </c>
      <c r="AA162" s="2" t="s">
        <v>74</v>
      </c>
      <c r="AB162" s="2" t="s">
        <v>74</v>
      </c>
      <c r="AC162" s="2" t="s">
        <v>74</v>
      </c>
      <c r="AD162" s="2" t="s">
        <v>74</v>
      </c>
      <c r="AE162" s="2" t="s">
        <v>74</v>
      </c>
      <c r="AF162" s="2" t="s">
        <v>74</v>
      </c>
      <c r="AG162" s="2" t="s">
        <v>74</v>
      </c>
      <c r="AH162" s="2" t="s">
        <v>74</v>
      </c>
      <c r="AI162" s="2" t="s">
        <v>74</v>
      </c>
      <c r="AJ162" s="2" t="s">
        <v>74</v>
      </c>
      <c r="AK162" s="2" t="s">
        <v>74</v>
      </c>
      <c r="AL162" s="2" t="s">
        <v>74</v>
      </c>
      <c r="AM162" s="2" t="s">
        <v>74</v>
      </c>
      <c r="AN162" s="2" t="s">
        <v>74</v>
      </c>
      <c r="AO162" s="2" t="s">
        <v>81</v>
      </c>
      <c r="AP162" s="2" t="s">
        <v>82</v>
      </c>
      <c r="AQ162" s="2" t="s">
        <v>74</v>
      </c>
      <c r="AR162" s="2" t="s">
        <v>74</v>
      </c>
      <c r="AS162" s="2" t="s">
        <v>74</v>
      </c>
      <c r="AT162" s="2" t="s">
        <v>74</v>
      </c>
      <c r="AU162" s="2">
        <v>1982</v>
      </c>
      <c r="AV162" s="2">
        <v>80</v>
      </c>
      <c r="AW162" s="2" t="s">
        <v>74</v>
      </c>
      <c r="AX162" s="2" t="s">
        <v>1276</v>
      </c>
      <c r="AY162" s="2" t="s">
        <v>74</v>
      </c>
      <c r="AZ162" s="2" t="s">
        <v>74</v>
      </c>
      <c r="BA162" s="2" t="s">
        <v>74</v>
      </c>
      <c r="BB162" s="2">
        <v>127</v>
      </c>
      <c r="BC162" s="2">
        <v>142</v>
      </c>
      <c r="BD162" s="2" t="s">
        <v>74</v>
      </c>
      <c r="BE162" s="2" t="s">
        <v>1319</v>
      </c>
      <c r="BF162" s="2" t="str">
        <f>HYPERLINK("http://dx.doi.org/10.1163/156853982X00328","http://dx.doi.org/10.1163/156853982X00328")</f>
        <v>http://dx.doi.org/10.1163/156853982X00328</v>
      </c>
      <c r="BG162" s="2" t="s">
        <v>74</v>
      </c>
      <c r="BH162" s="2" t="s">
        <v>74</v>
      </c>
      <c r="BI162" s="2" t="s">
        <v>74</v>
      </c>
      <c r="BJ162" s="2" t="s">
        <v>74</v>
      </c>
      <c r="BK162" s="2" t="s">
        <v>74</v>
      </c>
      <c r="BL162" s="2" t="s">
        <v>74</v>
      </c>
      <c r="BM162" s="2" t="s">
        <v>74</v>
      </c>
      <c r="BN162" s="2" t="s">
        <v>74</v>
      </c>
      <c r="BO162" s="2" t="s">
        <v>74</v>
      </c>
      <c r="BP162" s="2" t="s">
        <v>74</v>
      </c>
      <c r="BQ162" s="2" t="s">
        <v>74</v>
      </c>
      <c r="BR162" s="2" t="s">
        <v>74</v>
      </c>
      <c r="BS162" s="2" t="s">
        <v>1320</v>
      </c>
      <c r="BT162" s="2" t="str">
        <f>HYPERLINK("https%3A%2F%2Fwww.webofscience.com%2Fwos%2Fwoscc%2Ffull-record%2FWOS:A1982PH83900001","View Full Record in Web of Science")</f>
        <v>View Full Record in Web of Science</v>
      </c>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row>
    <row r="163" spans="1:314" s="2" customFormat="1" x14ac:dyDescent="0.4">
      <c r="A163" s="2" t="s">
        <v>72</v>
      </c>
      <c r="B163" s="2" t="s">
        <v>4331</v>
      </c>
      <c r="C163" s="2" t="s">
        <v>74</v>
      </c>
      <c r="D163" s="2" t="s">
        <v>74</v>
      </c>
      <c r="E163" s="2" t="s">
        <v>74</v>
      </c>
      <c r="F163" s="2" t="s">
        <v>4331</v>
      </c>
      <c r="G163" s="2" t="s">
        <v>74</v>
      </c>
      <c r="H163" s="2" t="s">
        <v>74</v>
      </c>
      <c r="I163" s="2" t="s">
        <v>4332</v>
      </c>
      <c r="J163" s="2" t="s">
        <v>4333</v>
      </c>
      <c r="K163" s="2" t="s">
        <v>74</v>
      </c>
      <c r="L163" s="2" t="s">
        <v>74</v>
      </c>
      <c r="M163" s="2" t="s">
        <v>74</v>
      </c>
      <c r="N163" s="2" t="s">
        <v>74</v>
      </c>
      <c r="O163" s="2" t="s">
        <v>74</v>
      </c>
      <c r="P163" s="2" t="s">
        <v>74</v>
      </c>
      <c r="Q163" s="2" t="s">
        <v>74</v>
      </c>
      <c r="R163" s="2" t="s">
        <v>74</v>
      </c>
      <c r="S163" s="2" t="s">
        <v>74</v>
      </c>
      <c r="T163" s="2" t="s">
        <v>74</v>
      </c>
      <c r="U163" s="2" t="s">
        <v>74</v>
      </c>
      <c r="V163" s="5" t="s">
        <v>4334</v>
      </c>
      <c r="W163" s="2" t="s">
        <v>74</v>
      </c>
      <c r="X163" s="2" t="s">
        <v>74</v>
      </c>
      <c r="Y163" s="2" t="s">
        <v>74</v>
      </c>
      <c r="Z163" s="2" t="s">
        <v>74</v>
      </c>
      <c r="AA163" s="2" t="s">
        <v>74</v>
      </c>
      <c r="AB163" s="2" t="s">
        <v>74</v>
      </c>
      <c r="AC163" s="2" t="s">
        <v>74</v>
      </c>
      <c r="AD163" s="2" t="s">
        <v>74</v>
      </c>
      <c r="AE163" s="2" t="s">
        <v>74</v>
      </c>
      <c r="AF163" s="2" t="s">
        <v>74</v>
      </c>
      <c r="AG163" s="2" t="s">
        <v>74</v>
      </c>
      <c r="AH163" s="2" t="s">
        <v>74</v>
      </c>
      <c r="AI163" s="2" t="s">
        <v>74</v>
      </c>
      <c r="AJ163" s="2" t="s">
        <v>74</v>
      </c>
      <c r="AK163" s="2" t="s">
        <v>74</v>
      </c>
      <c r="AL163" s="2" t="s">
        <v>74</v>
      </c>
      <c r="AM163" s="2" t="s">
        <v>74</v>
      </c>
      <c r="AN163" s="2" t="s">
        <v>74</v>
      </c>
      <c r="AO163" s="2" t="s">
        <v>4335</v>
      </c>
      <c r="AP163" s="2" t="s">
        <v>74</v>
      </c>
      <c r="AQ163" s="2" t="s">
        <v>74</v>
      </c>
      <c r="AR163" s="2" t="s">
        <v>74</v>
      </c>
      <c r="AS163" s="2" t="s">
        <v>74</v>
      </c>
      <c r="AT163" s="2" t="s">
        <v>74</v>
      </c>
      <c r="AU163" s="2">
        <v>1984</v>
      </c>
      <c r="AV163" s="2">
        <v>9</v>
      </c>
      <c r="AW163" s="2">
        <v>2</v>
      </c>
      <c r="AX163" s="2" t="s">
        <v>74</v>
      </c>
      <c r="AY163" s="2" t="s">
        <v>74</v>
      </c>
      <c r="AZ163" s="2" t="s">
        <v>74</v>
      </c>
      <c r="BA163" s="2" t="s">
        <v>74</v>
      </c>
      <c r="BB163" s="2">
        <v>115</v>
      </c>
      <c r="BC163" s="2">
        <v>130</v>
      </c>
      <c r="BD163" s="2" t="s">
        <v>74</v>
      </c>
      <c r="BE163" s="2" t="s">
        <v>74</v>
      </c>
      <c r="BF163" s="2" t="s">
        <v>74</v>
      </c>
      <c r="BG163" s="2" t="s">
        <v>74</v>
      </c>
      <c r="BH163" s="2" t="s">
        <v>74</v>
      </c>
      <c r="BI163" s="2" t="s">
        <v>74</v>
      </c>
      <c r="BJ163" s="2" t="s">
        <v>74</v>
      </c>
      <c r="BK163" s="2" t="s">
        <v>74</v>
      </c>
      <c r="BL163" s="2" t="s">
        <v>74</v>
      </c>
      <c r="BM163" s="2" t="s">
        <v>74</v>
      </c>
      <c r="BN163" s="2" t="s">
        <v>74</v>
      </c>
      <c r="BO163" s="2" t="s">
        <v>74</v>
      </c>
      <c r="BP163" s="2" t="s">
        <v>74</v>
      </c>
      <c r="BQ163" s="2" t="s">
        <v>74</v>
      </c>
      <c r="BR163" s="2" t="s">
        <v>74</v>
      </c>
      <c r="BS163" s="2" t="s">
        <v>4336</v>
      </c>
      <c r="BT163" s="2" t="str">
        <f>HYPERLINK("https%3A%2F%2Fwww.webofscience.com%2Fwos%2Fwoscc%2Ffull-record%2FWOS:A1984SS90700002","View Full Record in Web of Science")</f>
        <v>View Full Record in Web of Science</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row>
    <row r="164" spans="1:314" s="2" customFormat="1" x14ac:dyDescent="0.4">
      <c r="A164" s="2" t="s">
        <v>72</v>
      </c>
      <c r="B164" s="2" t="s">
        <v>325</v>
      </c>
      <c r="C164" s="2" t="s">
        <v>74</v>
      </c>
      <c r="D164" s="2" t="s">
        <v>74</v>
      </c>
      <c r="E164" s="2" t="s">
        <v>74</v>
      </c>
      <c r="F164" s="2" t="s">
        <v>325</v>
      </c>
      <c r="G164" s="2" t="s">
        <v>74</v>
      </c>
      <c r="H164" s="2" t="s">
        <v>74</v>
      </c>
      <c r="I164" s="2" t="s">
        <v>326</v>
      </c>
      <c r="J164" s="2" t="s">
        <v>140</v>
      </c>
      <c r="K164" s="2" t="s">
        <v>74</v>
      </c>
      <c r="L164" s="2" t="s">
        <v>74</v>
      </c>
      <c r="M164" s="2" t="s">
        <v>74</v>
      </c>
      <c r="N164" s="2" t="s">
        <v>74</v>
      </c>
      <c r="O164" s="2" t="s">
        <v>74</v>
      </c>
      <c r="P164" s="2" t="s">
        <v>74</v>
      </c>
      <c r="Q164" s="2" t="s">
        <v>74</v>
      </c>
      <c r="R164" s="2" t="s">
        <v>74</v>
      </c>
      <c r="S164" s="2" t="s">
        <v>74</v>
      </c>
      <c r="T164" s="2" t="s">
        <v>74</v>
      </c>
      <c r="U164" s="2" t="s">
        <v>74</v>
      </c>
      <c r="V164" s="5" t="s">
        <v>327</v>
      </c>
      <c r="W164" s="2" t="s">
        <v>74</v>
      </c>
      <c r="X164" s="2" t="s">
        <v>74</v>
      </c>
      <c r="Y164" s="2" t="s">
        <v>74</v>
      </c>
      <c r="Z164" s="2" t="s">
        <v>74</v>
      </c>
      <c r="AA164" s="2" t="s">
        <v>74</v>
      </c>
      <c r="AB164" s="2" t="s">
        <v>74</v>
      </c>
      <c r="AC164" s="2" t="s">
        <v>74</v>
      </c>
      <c r="AD164" s="2" t="s">
        <v>74</v>
      </c>
      <c r="AE164" s="2" t="s">
        <v>74</v>
      </c>
      <c r="AF164" s="2" t="s">
        <v>74</v>
      </c>
      <c r="AG164" s="2" t="s">
        <v>74</v>
      </c>
      <c r="AH164" s="2" t="s">
        <v>74</v>
      </c>
      <c r="AI164" s="2" t="s">
        <v>74</v>
      </c>
      <c r="AJ164" s="2" t="s">
        <v>74</v>
      </c>
      <c r="AK164" s="2" t="s">
        <v>74</v>
      </c>
      <c r="AL164" s="2" t="s">
        <v>74</v>
      </c>
      <c r="AM164" s="2" t="s">
        <v>74</v>
      </c>
      <c r="AN164" s="2" t="s">
        <v>74</v>
      </c>
      <c r="AO164" s="2" t="s">
        <v>143</v>
      </c>
      <c r="AP164" s="2" t="s">
        <v>144</v>
      </c>
      <c r="AQ164" s="2" t="s">
        <v>74</v>
      </c>
      <c r="AR164" s="2" t="s">
        <v>74</v>
      </c>
      <c r="AS164" s="2" t="s">
        <v>74</v>
      </c>
      <c r="AT164" s="2" t="s">
        <v>74</v>
      </c>
      <c r="AU164" s="2">
        <v>1976</v>
      </c>
      <c r="AV164" s="2">
        <v>24</v>
      </c>
      <c r="AW164" s="2" t="s">
        <v>213</v>
      </c>
      <c r="AX164" s="2" t="s">
        <v>74</v>
      </c>
      <c r="AY164" s="2" t="s">
        <v>74</v>
      </c>
      <c r="AZ164" s="2" t="s">
        <v>74</v>
      </c>
      <c r="BA164" s="2" t="s">
        <v>74</v>
      </c>
      <c r="BB164" s="2">
        <v>814</v>
      </c>
      <c r="BC164" s="2">
        <v>817</v>
      </c>
      <c r="BD164" s="2" t="s">
        <v>74</v>
      </c>
      <c r="BE164" s="2" t="s">
        <v>328</v>
      </c>
      <c r="BF164" s="2" t="str">
        <f>HYPERLINK("http://dx.doi.org/10.1016/S0003-3472(76)80011-5","http://dx.doi.org/10.1016/S0003-3472(76)80011-5")</f>
        <v>http://dx.doi.org/10.1016/S0003-3472(76)80011-5</v>
      </c>
      <c r="BG164" s="2" t="s">
        <v>74</v>
      </c>
      <c r="BH164" s="2" t="s">
        <v>74</v>
      </c>
      <c r="BI164" s="2" t="s">
        <v>74</v>
      </c>
      <c r="BJ164" s="2" t="s">
        <v>74</v>
      </c>
      <c r="BK164" s="2" t="s">
        <v>74</v>
      </c>
      <c r="BL164" s="2" t="s">
        <v>74</v>
      </c>
      <c r="BM164" s="2" t="s">
        <v>74</v>
      </c>
      <c r="BN164" s="2" t="s">
        <v>74</v>
      </c>
      <c r="BO164" s="2" t="s">
        <v>74</v>
      </c>
      <c r="BP164" s="2" t="s">
        <v>74</v>
      </c>
      <c r="BQ164" s="2" t="s">
        <v>74</v>
      </c>
      <c r="BR164" s="2" t="s">
        <v>74</v>
      </c>
      <c r="BS164" s="2" t="s">
        <v>329</v>
      </c>
      <c r="BT164" s="2" t="str">
        <f>HYPERLINK("https%3A%2F%2Fwww.webofscience.com%2Fwos%2Fwoscc%2Ffull-record%2FWOS:A1976CN83700010","View Full Record in Web of Science")</f>
        <v>View Full Record in Web of Science</v>
      </c>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row>
    <row r="165" spans="1:314" s="2" customFormat="1" x14ac:dyDescent="0.4">
      <c r="A165" s="2" t="s">
        <v>72</v>
      </c>
      <c r="B165" s="2" t="s">
        <v>7190</v>
      </c>
      <c r="C165" s="2" t="s">
        <v>74</v>
      </c>
      <c r="D165" s="2" t="s">
        <v>74</v>
      </c>
      <c r="E165" s="2" t="s">
        <v>74</v>
      </c>
      <c r="F165" s="2" t="s">
        <v>7191</v>
      </c>
      <c r="G165" s="2" t="s">
        <v>74</v>
      </c>
      <c r="H165" s="2" t="s">
        <v>74</v>
      </c>
      <c r="I165" s="2" t="s">
        <v>7192</v>
      </c>
      <c r="J165" s="2" t="s">
        <v>4661</v>
      </c>
      <c r="K165" s="2" t="s">
        <v>74</v>
      </c>
      <c r="L165" s="2" t="s">
        <v>74</v>
      </c>
      <c r="M165" s="2" t="s">
        <v>74</v>
      </c>
      <c r="N165" s="2" t="s">
        <v>74</v>
      </c>
      <c r="O165" s="2" t="s">
        <v>74</v>
      </c>
      <c r="P165" s="2" t="s">
        <v>74</v>
      </c>
      <c r="Q165" s="2" t="s">
        <v>74</v>
      </c>
      <c r="R165" s="2" t="s">
        <v>74</v>
      </c>
      <c r="S165" s="2" t="s">
        <v>74</v>
      </c>
      <c r="T165" s="2" t="s">
        <v>74</v>
      </c>
      <c r="U165" s="2" t="s">
        <v>74</v>
      </c>
      <c r="V165" s="5" t="s">
        <v>7193</v>
      </c>
      <c r="W165" s="2" t="s">
        <v>74</v>
      </c>
      <c r="X165" s="2" t="s">
        <v>74</v>
      </c>
      <c r="Y165" s="2" t="s">
        <v>74</v>
      </c>
      <c r="Z165" s="2" t="s">
        <v>74</v>
      </c>
      <c r="AA165" s="2" t="s">
        <v>74</v>
      </c>
      <c r="AB165" s="2" t="s">
        <v>74</v>
      </c>
      <c r="AC165" s="2" t="s">
        <v>74</v>
      </c>
      <c r="AD165" s="2" t="s">
        <v>74</v>
      </c>
      <c r="AE165" s="2" t="s">
        <v>74</v>
      </c>
      <c r="AF165" s="2" t="s">
        <v>74</v>
      </c>
      <c r="AG165" s="2" t="s">
        <v>74</v>
      </c>
      <c r="AH165" s="2" t="s">
        <v>74</v>
      </c>
      <c r="AI165" s="2" t="s">
        <v>74</v>
      </c>
      <c r="AJ165" s="2" t="s">
        <v>74</v>
      </c>
      <c r="AK165" s="2" t="s">
        <v>74</v>
      </c>
      <c r="AL165" s="2" t="s">
        <v>74</v>
      </c>
      <c r="AM165" s="2" t="s">
        <v>74</v>
      </c>
      <c r="AN165" s="2" t="s">
        <v>74</v>
      </c>
      <c r="AO165" s="2" t="s">
        <v>4663</v>
      </c>
      <c r="AP165" s="2" t="s">
        <v>74</v>
      </c>
      <c r="AQ165" s="2" t="s">
        <v>74</v>
      </c>
      <c r="AR165" s="2" t="s">
        <v>74</v>
      </c>
      <c r="AS165" s="2" t="s">
        <v>74</v>
      </c>
      <c r="AT165" s="2" t="s">
        <v>74</v>
      </c>
      <c r="AU165" s="2">
        <v>2010</v>
      </c>
      <c r="AV165" s="2">
        <v>38</v>
      </c>
      <c r="AW165" s="2">
        <v>3</v>
      </c>
      <c r="AX165" s="2" t="s">
        <v>74</v>
      </c>
      <c r="AY165" s="2" t="s">
        <v>74</v>
      </c>
      <c r="AZ165" s="2" t="s">
        <v>74</v>
      </c>
      <c r="BA165" s="2" t="s">
        <v>74</v>
      </c>
      <c r="BB165" s="2">
        <v>485</v>
      </c>
      <c r="BC165" s="2">
        <v>494</v>
      </c>
      <c r="BD165" s="2" t="s">
        <v>74</v>
      </c>
      <c r="BE165" s="2" t="s">
        <v>7194</v>
      </c>
      <c r="BF165" s="2" t="str">
        <f>HYPERLINK("http://dx.doi.org/10.1636/B10-05.1","http://dx.doi.org/10.1636/B10-05.1")</f>
        <v>http://dx.doi.org/10.1636/B10-05.1</v>
      </c>
      <c r="BG165" s="2" t="s">
        <v>74</v>
      </c>
      <c r="BH165" s="2" t="s">
        <v>74</v>
      </c>
      <c r="BI165" s="2" t="s">
        <v>74</v>
      </c>
      <c r="BJ165" s="2" t="s">
        <v>74</v>
      </c>
      <c r="BK165" s="2" t="s">
        <v>74</v>
      </c>
      <c r="BL165" s="2" t="s">
        <v>74</v>
      </c>
      <c r="BM165" s="2" t="s">
        <v>74</v>
      </c>
      <c r="BN165" s="2" t="s">
        <v>74</v>
      </c>
      <c r="BO165" s="2" t="s">
        <v>74</v>
      </c>
      <c r="BP165" s="2" t="s">
        <v>74</v>
      </c>
      <c r="BQ165" s="2" t="s">
        <v>74</v>
      </c>
      <c r="BR165" s="2" t="s">
        <v>74</v>
      </c>
      <c r="BS165" s="2" t="s">
        <v>7195</v>
      </c>
      <c r="BT165" s="2" t="str">
        <f>HYPERLINK("https%3A%2F%2Fwww.webofscience.com%2Fwos%2Fwoscc%2Ffull-record%2FWOS:000297386000013","View Full Record in Web of Science")</f>
        <v>View Full Record in Web of Science</v>
      </c>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row>
    <row r="166" spans="1:314" s="2" customFormat="1" x14ac:dyDescent="0.4">
      <c r="A166" s="2" t="s">
        <v>72</v>
      </c>
      <c r="B166" s="2" t="s">
        <v>4976</v>
      </c>
      <c r="C166" s="2" t="s">
        <v>74</v>
      </c>
      <c r="D166" s="2" t="s">
        <v>74</v>
      </c>
      <c r="E166" s="2" t="s">
        <v>74</v>
      </c>
      <c r="F166" s="2" t="s">
        <v>4977</v>
      </c>
      <c r="G166" s="2" t="s">
        <v>74</v>
      </c>
      <c r="H166" s="2" t="s">
        <v>74</v>
      </c>
      <c r="I166" s="2" t="s">
        <v>4978</v>
      </c>
      <c r="J166" s="2" t="s">
        <v>970</v>
      </c>
      <c r="K166" s="2" t="s">
        <v>74</v>
      </c>
      <c r="L166" s="2" t="s">
        <v>74</v>
      </c>
      <c r="M166" s="2" t="s">
        <v>74</v>
      </c>
      <c r="N166" s="2" t="s">
        <v>74</v>
      </c>
      <c r="O166" s="2" t="s">
        <v>74</v>
      </c>
      <c r="P166" s="2" t="s">
        <v>74</v>
      </c>
      <c r="Q166" s="2" t="s">
        <v>74</v>
      </c>
      <c r="R166" s="2" t="s">
        <v>74</v>
      </c>
      <c r="S166" s="2" t="s">
        <v>74</v>
      </c>
      <c r="T166" s="2" t="s">
        <v>74</v>
      </c>
      <c r="U166" s="2" t="s">
        <v>74</v>
      </c>
      <c r="V166" s="5" t="s">
        <v>4979</v>
      </c>
      <c r="W166" s="2" t="s">
        <v>74</v>
      </c>
      <c r="X166" s="2" t="s">
        <v>74</v>
      </c>
      <c r="Y166" s="2" t="s">
        <v>74</v>
      </c>
      <c r="Z166" s="2" t="s">
        <v>74</v>
      </c>
      <c r="AA166" s="2" t="s">
        <v>74</v>
      </c>
      <c r="AB166" s="2" t="s">
        <v>4980</v>
      </c>
      <c r="AC166" s="2" t="s">
        <v>74</v>
      </c>
      <c r="AD166" s="2" t="s">
        <v>74</v>
      </c>
      <c r="AE166" s="2" t="s">
        <v>74</v>
      </c>
      <c r="AF166" s="2" t="s">
        <v>74</v>
      </c>
      <c r="AG166" s="2" t="s">
        <v>74</v>
      </c>
      <c r="AH166" s="2" t="s">
        <v>74</v>
      </c>
      <c r="AI166" s="2" t="s">
        <v>74</v>
      </c>
      <c r="AJ166" s="2" t="s">
        <v>74</v>
      </c>
      <c r="AK166" s="2" t="s">
        <v>74</v>
      </c>
      <c r="AL166" s="2" t="s">
        <v>74</v>
      </c>
      <c r="AM166" s="2" t="s">
        <v>74</v>
      </c>
      <c r="AN166" s="2" t="s">
        <v>74</v>
      </c>
      <c r="AO166" s="2" t="s">
        <v>974</v>
      </c>
      <c r="AP166" s="2" t="s">
        <v>975</v>
      </c>
      <c r="AQ166" s="2" t="s">
        <v>74</v>
      </c>
      <c r="AR166" s="2" t="s">
        <v>74</v>
      </c>
      <c r="AS166" s="2" t="s">
        <v>74</v>
      </c>
      <c r="AT166" s="2" t="s">
        <v>204</v>
      </c>
      <c r="AU166" s="2">
        <v>2021</v>
      </c>
      <c r="AV166" s="2">
        <v>162</v>
      </c>
      <c r="AW166" s="2">
        <v>3</v>
      </c>
      <c r="AX166" s="2" t="s">
        <v>74</v>
      </c>
      <c r="AY166" s="2" t="s">
        <v>74</v>
      </c>
      <c r="AZ166" s="2" t="s">
        <v>74</v>
      </c>
      <c r="BA166" s="2" t="s">
        <v>74</v>
      </c>
      <c r="BB166" s="2">
        <v>737</v>
      </c>
      <c r="BC166" s="2">
        <v>748</v>
      </c>
      <c r="BD166" s="2" t="s">
        <v>74</v>
      </c>
      <c r="BE166" s="2" t="s">
        <v>4981</v>
      </c>
      <c r="BF166" s="2" t="str">
        <f>HYPERLINK("http://dx.doi.org/10.1007/s10336-021-01864-2","http://dx.doi.org/10.1007/s10336-021-01864-2")</f>
        <v>http://dx.doi.org/10.1007/s10336-021-01864-2</v>
      </c>
      <c r="BG166" s="2" t="s">
        <v>74</v>
      </c>
      <c r="BH166" s="2" t="s">
        <v>2411</v>
      </c>
      <c r="BI166" s="2" t="s">
        <v>74</v>
      </c>
      <c r="BJ166" s="2" t="s">
        <v>74</v>
      </c>
      <c r="BK166" s="2" t="s">
        <v>74</v>
      </c>
      <c r="BL166" s="2" t="s">
        <v>74</v>
      </c>
      <c r="BM166" s="2" t="s">
        <v>74</v>
      </c>
      <c r="BN166" s="2" t="s">
        <v>74</v>
      </c>
      <c r="BO166" s="2" t="s">
        <v>74</v>
      </c>
      <c r="BP166" s="2" t="s">
        <v>74</v>
      </c>
      <c r="BQ166" s="2" t="s">
        <v>74</v>
      </c>
      <c r="BR166" s="2" t="s">
        <v>74</v>
      </c>
      <c r="BS166" s="2" t="s">
        <v>4982</v>
      </c>
      <c r="BT166" s="2" t="str">
        <f>HYPERLINK("https%3A%2F%2Fwww.webofscience.com%2Fwos%2Fwoscc%2Ffull-record%2FWOS:000619907200001","View Full Record in Web of Science")</f>
        <v>View Full Record in Web of Science</v>
      </c>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row>
    <row r="167" spans="1:314" s="2" customFormat="1" x14ac:dyDescent="0.4">
      <c r="A167" s="2" t="s">
        <v>72</v>
      </c>
      <c r="B167" s="2" t="s">
        <v>5056</v>
      </c>
      <c r="C167" s="2" t="s">
        <v>74</v>
      </c>
      <c r="D167" s="2" t="s">
        <v>74</v>
      </c>
      <c r="E167" s="2" t="s">
        <v>74</v>
      </c>
      <c r="F167" s="2" t="s">
        <v>5057</v>
      </c>
      <c r="G167" s="2" t="s">
        <v>74</v>
      </c>
      <c r="H167" s="2" t="s">
        <v>74</v>
      </c>
      <c r="I167" s="2" t="s">
        <v>5058</v>
      </c>
      <c r="J167" s="2" t="s">
        <v>431</v>
      </c>
      <c r="K167" s="2" t="s">
        <v>74</v>
      </c>
      <c r="L167" s="2" t="s">
        <v>74</v>
      </c>
      <c r="M167" s="2" t="s">
        <v>74</v>
      </c>
      <c r="N167" s="2" t="s">
        <v>74</v>
      </c>
      <c r="O167" s="2" t="s">
        <v>74</v>
      </c>
      <c r="P167" s="2" t="s">
        <v>74</v>
      </c>
      <c r="Q167" s="2" t="s">
        <v>74</v>
      </c>
      <c r="R167" s="2" t="s">
        <v>74</v>
      </c>
      <c r="S167" s="2" t="s">
        <v>74</v>
      </c>
      <c r="T167" s="2" t="s">
        <v>74</v>
      </c>
      <c r="U167" s="2" t="s">
        <v>74</v>
      </c>
      <c r="V167" s="5" t="s">
        <v>5059</v>
      </c>
      <c r="W167" s="2" t="s">
        <v>74</v>
      </c>
      <c r="X167" s="2" t="s">
        <v>74</v>
      </c>
      <c r="Y167" s="2" t="s">
        <v>74</v>
      </c>
      <c r="Z167" s="2" t="s">
        <v>74</v>
      </c>
      <c r="AA167" s="2" t="s">
        <v>74</v>
      </c>
      <c r="AB167" s="2" t="s">
        <v>5060</v>
      </c>
      <c r="AC167" s="2" t="s">
        <v>74</v>
      </c>
      <c r="AD167" s="2" t="s">
        <v>74</v>
      </c>
      <c r="AE167" s="2" t="s">
        <v>74</v>
      </c>
      <c r="AF167" s="2" t="s">
        <v>74</v>
      </c>
      <c r="AG167" s="2" t="s">
        <v>74</v>
      </c>
      <c r="AH167" s="2" t="s">
        <v>74</v>
      </c>
      <c r="AI167" s="2" t="s">
        <v>74</v>
      </c>
      <c r="AJ167" s="2" t="s">
        <v>74</v>
      </c>
      <c r="AK167" s="2" t="s">
        <v>74</v>
      </c>
      <c r="AL167" s="2" t="s">
        <v>74</v>
      </c>
      <c r="AM167" s="2" t="s">
        <v>74</v>
      </c>
      <c r="AN167" s="2" t="s">
        <v>74</v>
      </c>
      <c r="AO167" s="2" t="s">
        <v>74</v>
      </c>
      <c r="AP167" s="2" t="s">
        <v>435</v>
      </c>
      <c r="AQ167" s="2" t="s">
        <v>74</v>
      </c>
      <c r="AR167" s="2" t="s">
        <v>74</v>
      </c>
      <c r="AS167" s="2" t="s">
        <v>74</v>
      </c>
      <c r="AT167" s="2" t="s">
        <v>204</v>
      </c>
      <c r="AU167" s="2">
        <v>2016</v>
      </c>
      <c r="AV167" s="2">
        <v>133</v>
      </c>
      <c r="AW167" s="2">
        <v>3</v>
      </c>
      <c r="AX167" s="2" t="s">
        <v>74</v>
      </c>
      <c r="AY167" s="2" t="s">
        <v>74</v>
      </c>
      <c r="AZ167" s="2" t="s">
        <v>74</v>
      </c>
      <c r="BA167" s="2" t="s">
        <v>74</v>
      </c>
      <c r="BB167" s="2">
        <v>530</v>
      </c>
      <c r="BC167" s="2">
        <v>543</v>
      </c>
      <c r="BD167" s="2" t="s">
        <v>74</v>
      </c>
      <c r="BE167" s="2" t="s">
        <v>5061</v>
      </c>
      <c r="BF167" s="2" t="str">
        <f>HYPERLINK("http://dx.doi.org/10.1642/AUK-15-170.1","http://dx.doi.org/10.1642/AUK-15-170.1")</f>
        <v>http://dx.doi.org/10.1642/AUK-15-170.1</v>
      </c>
      <c r="BG167" s="2" t="s">
        <v>74</v>
      </c>
      <c r="BH167" s="2" t="s">
        <v>74</v>
      </c>
      <c r="BI167" s="2" t="s">
        <v>74</v>
      </c>
      <c r="BJ167" s="2" t="s">
        <v>74</v>
      </c>
      <c r="BK167" s="2" t="s">
        <v>74</v>
      </c>
      <c r="BL167" s="2" t="s">
        <v>74</v>
      </c>
      <c r="BM167" s="2" t="s">
        <v>74</v>
      </c>
      <c r="BN167" s="2" t="s">
        <v>74</v>
      </c>
      <c r="BO167" s="2" t="s">
        <v>74</v>
      </c>
      <c r="BP167" s="2" t="s">
        <v>74</v>
      </c>
      <c r="BQ167" s="2" t="s">
        <v>74</v>
      </c>
      <c r="BR167" s="2" t="s">
        <v>74</v>
      </c>
      <c r="BS167" s="2" t="s">
        <v>5062</v>
      </c>
      <c r="BT167" s="2" t="str">
        <f>HYPERLINK("https%3A%2F%2Fwww.webofscience.com%2Fwos%2Fwoscc%2Ffull-record%2FWOS:000379663400017","View Full Record in Web of Science")</f>
        <v>View Full Record in Web of Science</v>
      </c>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row>
    <row r="168" spans="1:314" s="2" customFormat="1" x14ac:dyDescent="0.4">
      <c r="A168" s="2" t="s">
        <v>72</v>
      </c>
      <c r="B168" s="2" t="s">
        <v>4286</v>
      </c>
      <c r="C168" s="2" t="s">
        <v>74</v>
      </c>
      <c r="D168" s="2" t="s">
        <v>74</v>
      </c>
      <c r="E168" s="2" t="s">
        <v>74</v>
      </c>
      <c r="F168" s="2" t="s">
        <v>4287</v>
      </c>
      <c r="G168" s="2" t="s">
        <v>74</v>
      </c>
      <c r="H168" s="2" t="s">
        <v>74</v>
      </c>
      <c r="I168" s="2" t="s">
        <v>4288</v>
      </c>
      <c r="J168" s="2" t="s">
        <v>814</v>
      </c>
      <c r="K168" s="2" t="s">
        <v>74</v>
      </c>
      <c r="L168" s="2" t="s">
        <v>74</v>
      </c>
      <c r="M168" s="2" t="s">
        <v>74</v>
      </c>
      <c r="N168" s="2" t="s">
        <v>74</v>
      </c>
      <c r="O168" s="2" t="s">
        <v>74</v>
      </c>
      <c r="P168" s="2" t="s">
        <v>74</v>
      </c>
      <c r="Q168" s="2" t="s">
        <v>74</v>
      </c>
      <c r="R168" s="2" t="s">
        <v>74</v>
      </c>
      <c r="S168" s="2" t="s">
        <v>74</v>
      </c>
      <c r="T168" s="2" t="s">
        <v>74</v>
      </c>
      <c r="U168" s="2" t="s">
        <v>74</v>
      </c>
      <c r="V168" s="5" t="s">
        <v>4289</v>
      </c>
      <c r="W168" s="2" t="s">
        <v>74</v>
      </c>
      <c r="X168" s="2" t="s">
        <v>74</v>
      </c>
      <c r="Y168" s="2" t="s">
        <v>74</v>
      </c>
      <c r="Z168" s="2" t="s">
        <v>74</v>
      </c>
      <c r="AA168" s="2" t="s">
        <v>4290</v>
      </c>
      <c r="AB168" s="2" t="s">
        <v>4291</v>
      </c>
      <c r="AC168" s="2" t="s">
        <v>74</v>
      </c>
      <c r="AD168" s="2" t="s">
        <v>74</v>
      </c>
      <c r="AE168" s="2" t="s">
        <v>74</v>
      </c>
      <c r="AF168" s="2" t="s">
        <v>74</v>
      </c>
      <c r="AG168" s="2" t="s">
        <v>74</v>
      </c>
      <c r="AH168" s="2" t="s">
        <v>74</v>
      </c>
      <c r="AI168" s="2" t="s">
        <v>74</v>
      </c>
      <c r="AJ168" s="2" t="s">
        <v>74</v>
      </c>
      <c r="AK168" s="2" t="s">
        <v>74</v>
      </c>
      <c r="AL168" s="2" t="s">
        <v>74</v>
      </c>
      <c r="AM168" s="2" t="s">
        <v>74</v>
      </c>
      <c r="AN168" s="2" t="s">
        <v>74</v>
      </c>
      <c r="AO168" s="2" t="s">
        <v>818</v>
      </c>
      <c r="AP168" s="2" t="s">
        <v>74</v>
      </c>
      <c r="AQ168" s="2" t="s">
        <v>74</v>
      </c>
      <c r="AR168" s="2" t="s">
        <v>74</v>
      </c>
      <c r="AS168" s="2" t="s">
        <v>74</v>
      </c>
      <c r="AT168" s="2" t="s">
        <v>964</v>
      </c>
      <c r="AU168" s="2">
        <v>2011</v>
      </c>
      <c r="AV168" s="2">
        <v>114</v>
      </c>
      <c r="AW168" s="2">
        <v>1</v>
      </c>
      <c r="AX168" s="2" t="s">
        <v>74</v>
      </c>
      <c r="AY168" s="2" t="s">
        <v>74</v>
      </c>
      <c r="AZ168" s="2" t="s">
        <v>74</v>
      </c>
      <c r="BA168" s="2" t="s">
        <v>74</v>
      </c>
      <c r="BB168" s="2">
        <v>53</v>
      </c>
      <c r="BC168" s="2">
        <v>57</v>
      </c>
      <c r="BD168" s="2" t="s">
        <v>74</v>
      </c>
      <c r="BE168" s="2" t="s">
        <v>4292</v>
      </c>
      <c r="BF168" s="2" t="str">
        <f>HYPERLINK("http://dx.doi.org/10.1016/j.zool.2010.09.001","http://dx.doi.org/10.1016/j.zool.2010.09.001")</f>
        <v>http://dx.doi.org/10.1016/j.zool.2010.09.001</v>
      </c>
      <c r="BG168" s="2" t="s">
        <v>74</v>
      </c>
      <c r="BH168" s="2" t="s">
        <v>74</v>
      </c>
      <c r="BI168" s="2" t="s">
        <v>74</v>
      </c>
      <c r="BJ168" s="2" t="s">
        <v>74</v>
      </c>
      <c r="BK168" s="2" t="s">
        <v>74</v>
      </c>
      <c r="BL168" s="2" t="s">
        <v>74</v>
      </c>
      <c r="BM168" s="2" t="s">
        <v>74</v>
      </c>
      <c r="BN168" s="2">
        <v>21196103</v>
      </c>
      <c r="BO168" s="2" t="s">
        <v>74</v>
      </c>
      <c r="BP168" s="2" t="s">
        <v>74</v>
      </c>
      <c r="BQ168" s="2" t="s">
        <v>74</v>
      </c>
      <c r="BR168" s="2" t="s">
        <v>74</v>
      </c>
      <c r="BS168" s="2" t="s">
        <v>4293</v>
      </c>
      <c r="BT168" s="2" t="str">
        <f>HYPERLINK("https%3A%2F%2Fwww.webofscience.com%2Fwos%2Fwoscc%2Ffull-record%2FWOS:000289139000007","View Full Record in Web of Science")</f>
        <v>View Full Record in Web of Science</v>
      </c>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row>
    <row r="169" spans="1:314" s="1" customFormat="1" x14ac:dyDescent="0.4">
      <c r="A169" s="2" t="s">
        <v>72</v>
      </c>
      <c r="B169" s="2" t="s">
        <v>1800</v>
      </c>
      <c r="C169" s="2" t="s">
        <v>74</v>
      </c>
      <c r="D169" s="2" t="s">
        <v>74</v>
      </c>
      <c r="E169" s="2" t="s">
        <v>74</v>
      </c>
      <c r="F169" s="2" t="s">
        <v>1801</v>
      </c>
      <c r="G169" s="2" t="s">
        <v>74</v>
      </c>
      <c r="H169" s="2" t="s">
        <v>74</v>
      </c>
      <c r="I169" s="2" t="s">
        <v>1802</v>
      </c>
      <c r="J169" s="2" t="s">
        <v>1803</v>
      </c>
      <c r="K169" s="2" t="s">
        <v>74</v>
      </c>
      <c r="L169" s="2" t="s">
        <v>74</v>
      </c>
      <c r="M169" s="2" t="s">
        <v>74</v>
      </c>
      <c r="N169" s="2" t="s">
        <v>74</v>
      </c>
      <c r="O169" s="2" t="s">
        <v>74</v>
      </c>
      <c r="P169" s="2" t="s">
        <v>74</v>
      </c>
      <c r="Q169" s="2" t="s">
        <v>74</v>
      </c>
      <c r="R169" s="2" t="s">
        <v>74</v>
      </c>
      <c r="S169" s="2" t="s">
        <v>74</v>
      </c>
      <c r="T169" s="2" t="s">
        <v>74</v>
      </c>
      <c r="U169" s="2" t="s">
        <v>74</v>
      </c>
      <c r="V169" s="5" t="s">
        <v>1804</v>
      </c>
      <c r="W169" s="2" t="s">
        <v>74</v>
      </c>
      <c r="X169" s="2" t="s">
        <v>74</v>
      </c>
      <c r="Y169" s="2" t="s">
        <v>74</v>
      </c>
      <c r="Z169" s="2" t="s">
        <v>74</v>
      </c>
      <c r="AA169" s="2" t="s">
        <v>1805</v>
      </c>
      <c r="AB169" s="2" t="s">
        <v>1806</v>
      </c>
      <c r="AC169" s="2" t="s">
        <v>74</v>
      </c>
      <c r="AD169" s="2" t="s">
        <v>74</v>
      </c>
      <c r="AE169" s="2" t="s">
        <v>74</v>
      </c>
      <c r="AF169" s="2" t="s">
        <v>74</v>
      </c>
      <c r="AG169" s="2" t="s">
        <v>74</v>
      </c>
      <c r="AH169" s="2" t="s">
        <v>74</v>
      </c>
      <c r="AI169" s="2" t="s">
        <v>74</v>
      </c>
      <c r="AJ169" s="2" t="s">
        <v>74</v>
      </c>
      <c r="AK169" s="2" t="s">
        <v>74</v>
      </c>
      <c r="AL169" s="2" t="s">
        <v>74</v>
      </c>
      <c r="AM169" s="2" t="s">
        <v>74</v>
      </c>
      <c r="AN169" s="2" t="s">
        <v>74</v>
      </c>
      <c r="AO169" s="2" t="s">
        <v>1807</v>
      </c>
      <c r="AP169" s="2" t="s">
        <v>1808</v>
      </c>
      <c r="AQ169" s="2" t="s">
        <v>74</v>
      </c>
      <c r="AR169" s="2" t="s">
        <v>74</v>
      </c>
      <c r="AS169" s="2" t="s">
        <v>74</v>
      </c>
      <c r="AT169" s="2" t="s">
        <v>633</v>
      </c>
      <c r="AU169" s="2">
        <v>2015</v>
      </c>
      <c r="AV169" s="2">
        <v>29</v>
      </c>
      <c r="AW169" s="2">
        <v>4</v>
      </c>
      <c r="AX169" s="2" t="s">
        <v>74</v>
      </c>
      <c r="AY169" s="2" t="s">
        <v>74</v>
      </c>
      <c r="AZ169" s="2" t="s">
        <v>74</v>
      </c>
      <c r="BA169" s="2" t="s">
        <v>74</v>
      </c>
      <c r="BB169" s="2">
        <v>531</v>
      </c>
      <c r="BC169" s="2">
        <v>539</v>
      </c>
      <c r="BD169" s="2" t="s">
        <v>74</v>
      </c>
      <c r="BE169" s="2" t="s">
        <v>1809</v>
      </c>
      <c r="BF169" s="2" t="str">
        <f>HYPERLINK("http://dx.doi.org/10.1111/1365-2435.12363","http://dx.doi.org/10.1111/1365-2435.12363")</f>
        <v>http://dx.doi.org/10.1111/1365-2435.12363</v>
      </c>
      <c r="BG169" s="2" t="s">
        <v>74</v>
      </c>
      <c r="BH169" s="2" t="s">
        <v>74</v>
      </c>
      <c r="BI169" s="2" t="s">
        <v>74</v>
      </c>
      <c r="BJ169" s="2" t="s">
        <v>74</v>
      </c>
      <c r="BK169" s="2" t="s">
        <v>74</v>
      </c>
      <c r="BL169" s="2" t="s">
        <v>74</v>
      </c>
      <c r="BM169" s="2" t="s">
        <v>74</v>
      </c>
      <c r="BN169" s="2" t="s">
        <v>74</v>
      </c>
      <c r="BO169" s="2" t="s">
        <v>74</v>
      </c>
      <c r="BP169" s="2" t="s">
        <v>74</v>
      </c>
      <c r="BQ169" s="2" t="s">
        <v>74</v>
      </c>
      <c r="BR169" s="2" t="s">
        <v>74</v>
      </c>
      <c r="BS169" s="2" t="s">
        <v>1810</v>
      </c>
      <c r="BT169" s="2" t="str">
        <f>HYPERLINK("https%3A%2F%2Fwww.webofscience.com%2Fwos%2Fwoscc%2Ffull-record%2FWOS:000353684800011","View Full Record in Web of Science")</f>
        <v>View Full Record in Web of Science</v>
      </c>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row>
    <row r="170" spans="1:314" s="2" customFormat="1" x14ac:dyDescent="0.4">
      <c r="A170" s="2" t="s">
        <v>72</v>
      </c>
      <c r="B170" s="2" t="s">
        <v>2979</v>
      </c>
      <c r="C170" s="2" t="s">
        <v>74</v>
      </c>
      <c r="D170" s="2" t="s">
        <v>74</v>
      </c>
      <c r="E170" s="2" t="s">
        <v>74</v>
      </c>
      <c r="F170" s="2" t="s">
        <v>2979</v>
      </c>
      <c r="G170" s="2" t="s">
        <v>74</v>
      </c>
      <c r="H170" s="2" t="s">
        <v>74</v>
      </c>
      <c r="I170" s="2" t="s">
        <v>2980</v>
      </c>
      <c r="J170" s="2" t="s">
        <v>344</v>
      </c>
      <c r="K170" s="2" t="s">
        <v>74</v>
      </c>
      <c r="L170" s="2" t="s">
        <v>74</v>
      </c>
      <c r="M170" s="2" t="s">
        <v>74</v>
      </c>
      <c r="N170" s="2" t="s">
        <v>74</v>
      </c>
      <c r="O170" s="2" t="s">
        <v>74</v>
      </c>
      <c r="P170" s="2" t="s">
        <v>74</v>
      </c>
      <c r="Q170" s="2" t="s">
        <v>74</v>
      </c>
      <c r="R170" s="2" t="s">
        <v>74</v>
      </c>
      <c r="S170" s="2" t="s">
        <v>74</v>
      </c>
      <c r="T170" s="2" t="s">
        <v>74</v>
      </c>
      <c r="U170" s="2" t="s">
        <v>74</v>
      </c>
      <c r="V170" s="5" t="s">
        <v>2981</v>
      </c>
      <c r="W170" s="2" t="s">
        <v>74</v>
      </c>
      <c r="X170" s="2" t="s">
        <v>74</v>
      </c>
      <c r="Y170" s="2" t="s">
        <v>74</v>
      </c>
      <c r="Z170" s="2" t="s">
        <v>74</v>
      </c>
      <c r="AA170" s="2" t="s">
        <v>2982</v>
      </c>
      <c r="AB170" s="2" t="s">
        <v>74</v>
      </c>
      <c r="AC170" s="2" t="s">
        <v>74</v>
      </c>
      <c r="AD170" s="2" t="s">
        <v>74</v>
      </c>
      <c r="AE170" s="2" t="s">
        <v>74</v>
      </c>
      <c r="AF170" s="2" t="s">
        <v>74</v>
      </c>
      <c r="AG170" s="2" t="s">
        <v>74</v>
      </c>
      <c r="AH170" s="2" t="s">
        <v>74</v>
      </c>
      <c r="AI170" s="2" t="s">
        <v>74</v>
      </c>
      <c r="AJ170" s="2" t="s">
        <v>74</v>
      </c>
      <c r="AK170" s="2" t="s">
        <v>74</v>
      </c>
      <c r="AL170" s="2" t="s">
        <v>74</v>
      </c>
      <c r="AM170" s="2" t="s">
        <v>74</v>
      </c>
      <c r="AN170" s="2" t="s">
        <v>74</v>
      </c>
      <c r="AO170" s="2" t="s">
        <v>346</v>
      </c>
      <c r="AP170" s="2" t="s">
        <v>74</v>
      </c>
      <c r="AQ170" s="2" t="s">
        <v>74</v>
      </c>
      <c r="AR170" s="2" t="s">
        <v>74</v>
      </c>
      <c r="AS170" s="2" t="s">
        <v>74</v>
      </c>
      <c r="AT170" s="2" t="s">
        <v>305</v>
      </c>
      <c r="AU170" s="2">
        <v>1999</v>
      </c>
      <c r="AV170" s="2">
        <v>56</v>
      </c>
      <c r="AW170" s="2">
        <v>4</v>
      </c>
      <c r="AX170" s="2" t="s">
        <v>74</v>
      </c>
      <c r="AY170" s="2" t="s">
        <v>74</v>
      </c>
      <c r="AZ170" s="2" t="s">
        <v>74</v>
      </c>
      <c r="BA170" s="2" t="s">
        <v>74</v>
      </c>
      <c r="BB170" s="2">
        <v>429</v>
      </c>
      <c r="BC170" s="2">
        <v>442</v>
      </c>
      <c r="BD170" s="2" t="s">
        <v>74</v>
      </c>
      <c r="BE170" s="2" t="s">
        <v>2983</v>
      </c>
      <c r="BF170" s="2" t="str">
        <f>HYPERLINK("http://dx.doi.org/10.1023/A:1007556112449","http://dx.doi.org/10.1023/A:1007556112449")</f>
        <v>http://dx.doi.org/10.1023/A:1007556112449</v>
      </c>
      <c r="BG170" s="2" t="s">
        <v>74</v>
      </c>
      <c r="BH170" s="2" t="s">
        <v>74</v>
      </c>
      <c r="BI170" s="2" t="s">
        <v>74</v>
      </c>
      <c r="BJ170" s="2" t="s">
        <v>74</v>
      </c>
      <c r="BK170" s="2" t="s">
        <v>74</v>
      </c>
      <c r="BL170" s="2" t="s">
        <v>74</v>
      </c>
      <c r="BM170" s="2" t="s">
        <v>74</v>
      </c>
      <c r="BN170" s="2" t="s">
        <v>74</v>
      </c>
      <c r="BO170" s="2" t="s">
        <v>74</v>
      </c>
      <c r="BP170" s="2" t="s">
        <v>74</v>
      </c>
      <c r="BQ170" s="2" t="s">
        <v>74</v>
      </c>
      <c r="BR170" s="2" t="s">
        <v>74</v>
      </c>
      <c r="BS170" s="2" t="s">
        <v>2984</v>
      </c>
      <c r="BT170" s="2" t="str">
        <f>HYPERLINK("https%3A%2F%2Fwww.webofscience.com%2Fwos%2Fwoscc%2Ffull-record%2FWOS:000084346500010","View Full Record in Web of Science")</f>
        <v>View Full Record in Web of Science</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row>
    <row r="171" spans="1:314" s="2" customFormat="1" x14ac:dyDescent="0.4">
      <c r="A171" s="2" t="s">
        <v>72</v>
      </c>
      <c r="B171" s="2" t="s">
        <v>3592</v>
      </c>
      <c r="C171" s="2" t="s">
        <v>74</v>
      </c>
      <c r="D171" s="2" t="s">
        <v>74</v>
      </c>
      <c r="E171" s="2" t="s">
        <v>74</v>
      </c>
      <c r="F171" s="2" t="s">
        <v>3593</v>
      </c>
      <c r="G171" s="2" t="s">
        <v>74</v>
      </c>
      <c r="H171" s="2" t="s">
        <v>74</v>
      </c>
      <c r="I171" s="2" t="s">
        <v>3594</v>
      </c>
      <c r="J171" s="2" t="s">
        <v>3595</v>
      </c>
      <c r="K171" s="2" t="s">
        <v>74</v>
      </c>
      <c r="L171" s="2" t="s">
        <v>74</v>
      </c>
      <c r="M171" s="2" t="s">
        <v>74</v>
      </c>
      <c r="N171" s="2" t="s">
        <v>74</v>
      </c>
      <c r="O171" s="2" t="s">
        <v>74</v>
      </c>
      <c r="P171" s="2" t="s">
        <v>74</v>
      </c>
      <c r="Q171" s="2" t="s">
        <v>74</v>
      </c>
      <c r="R171" s="2" t="s">
        <v>74</v>
      </c>
      <c r="S171" s="2" t="s">
        <v>74</v>
      </c>
      <c r="T171" s="2" t="s">
        <v>74</v>
      </c>
      <c r="U171" s="2" t="s">
        <v>74</v>
      </c>
      <c r="V171" s="5" t="s">
        <v>3596</v>
      </c>
      <c r="W171" s="2" t="s">
        <v>74</v>
      </c>
      <c r="X171" s="2" t="s">
        <v>74</v>
      </c>
      <c r="Y171" s="2" t="s">
        <v>74</v>
      </c>
      <c r="Z171" s="2" t="s">
        <v>74</v>
      </c>
      <c r="AA171" s="2" t="s">
        <v>3597</v>
      </c>
      <c r="AB171" s="2" t="s">
        <v>3598</v>
      </c>
      <c r="AC171" s="2" t="s">
        <v>74</v>
      </c>
      <c r="AD171" s="2" t="s">
        <v>74</v>
      </c>
      <c r="AE171" s="2" t="s">
        <v>74</v>
      </c>
      <c r="AF171" s="2" t="s">
        <v>74</v>
      </c>
      <c r="AG171" s="2" t="s">
        <v>74</v>
      </c>
      <c r="AH171" s="2" t="s">
        <v>74</v>
      </c>
      <c r="AI171" s="2" t="s">
        <v>74</v>
      </c>
      <c r="AJ171" s="2" t="s">
        <v>74</v>
      </c>
      <c r="AK171" s="2" t="s">
        <v>74</v>
      </c>
      <c r="AL171" s="2" t="s">
        <v>74</v>
      </c>
      <c r="AM171" s="2" t="s">
        <v>74</v>
      </c>
      <c r="AN171" s="2" t="s">
        <v>74</v>
      </c>
      <c r="AO171" s="2" t="s">
        <v>3599</v>
      </c>
      <c r="AP171" s="2" t="s">
        <v>3600</v>
      </c>
      <c r="AQ171" s="2" t="s">
        <v>74</v>
      </c>
      <c r="AR171" s="2" t="s">
        <v>74</v>
      </c>
      <c r="AS171" s="2" t="s">
        <v>74</v>
      </c>
      <c r="AT171" s="2" t="s">
        <v>255</v>
      </c>
      <c r="AU171" s="2">
        <v>2009</v>
      </c>
      <c r="AV171" s="2">
        <v>138</v>
      </c>
      <c r="AW171" s="2">
        <v>1</v>
      </c>
      <c r="AX171" s="2" t="s">
        <v>74</v>
      </c>
      <c r="AY171" s="2" t="s">
        <v>74</v>
      </c>
      <c r="AZ171" s="2" t="s">
        <v>74</v>
      </c>
      <c r="BA171" s="2" t="s">
        <v>74</v>
      </c>
      <c r="BB171" s="2">
        <v>1</v>
      </c>
      <c r="BC171" s="2">
        <v>10</v>
      </c>
      <c r="BD171" s="2" t="s">
        <v>74</v>
      </c>
      <c r="BE171" s="2" t="s">
        <v>3601</v>
      </c>
      <c r="BF171" s="2" t="str">
        <f>HYPERLINK("http://dx.doi.org/10.1002/ajpa.20868","http://dx.doi.org/10.1002/ajpa.20868")</f>
        <v>http://dx.doi.org/10.1002/ajpa.20868</v>
      </c>
      <c r="BG171" s="2" t="s">
        <v>74</v>
      </c>
      <c r="BH171" s="2" t="s">
        <v>74</v>
      </c>
      <c r="BI171" s="2" t="s">
        <v>74</v>
      </c>
      <c r="BJ171" s="2" t="s">
        <v>74</v>
      </c>
      <c r="BK171" s="2" t="s">
        <v>74</v>
      </c>
      <c r="BL171" s="2" t="s">
        <v>74</v>
      </c>
      <c r="BM171" s="2" t="s">
        <v>74</v>
      </c>
      <c r="BN171" s="2">
        <v>18615575</v>
      </c>
      <c r="BO171" s="2" t="s">
        <v>74</v>
      </c>
      <c r="BP171" s="2" t="s">
        <v>74</v>
      </c>
      <c r="BQ171" s="2" t="s">
        <v>74</v>
      </c>
      <c r="BR171" s="2" t="s">
        <v>74</v>
      </c>
      <c r="BS171" s="2" t="s">
        <v>3602</v>
      </c>
      <c r="BT171" s="2" t="str">
        <f>HYPERLINK("https%3A%2F%2Fwww.webofscience.com%2Fwos%2Fwoscc%2Ffull-record%2FWOS:000261759100001","View Full Record in Web of Science")</f>
        <v>View Full Record in Web of Science</v>
      </c>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row>
    <row r="172" spans="1:314" s="2" customFormat="1" x14ac:dyDescent="0.4">
      <c r="A172" s="2" t="s">
        <v>72</v>
      </c>
      <c r="B172" s="2" t="s">
        <v>330</v>
      </c>
      <c r="C172" s="2" t="s">
        <v>74</v>
      </c>
      <c r="D172" s="2" t="s">
        <v>74</v>
      </c>
      <c r="E172" s="2" t="s">
        <v>74</v>
      </c>
      <c r="F172" s="2" t="s">
        <v>331</v>
      </c>
      <c r="G172" s="2" t="s">
        <v>74</v>
      </c>
      <c r="H172" s="2" t="s">
        <v>74</v>
      </c>
      <c r="I172" s="2" t="s">
        <v>332</v>
      </c>
      <c r="J172" s="2" t="s">
        <v>333</v>
      </c>
      <c r="K172" s="2" t="s">
        <v>74</v>
      </c>
      <c r="L172" s="2" t="s">
        <v>74</v>
      </c>
      <c r="M172" s="2" t="s">
        <v>74</v>
      </c>
      <c r="N172" s="2" t="s">
        <v>74</v>
      </c>
      <c r="O172" s="2" t="s">
        <v>74</v>
      </c>
      <c r="P172" s="2" t="s">
        <v>74</v>
      </c>
      <c r="Q172" s="2" t="s">
        <v>74</v>
      </c>
      <c r="R172" s="2" t="s">
        <v>74</v>
      </c>
      <c r="S172" s="2" t="s">
        <v>74</v>
      </c>
      <c r="T172" s="2" t="s">
        <v>74</v>
      </c>
      <c r="U172" s="2" t="s">
        <v>74</v>
      </c>
      <c r="V172" s="5" t="s">
        <v>334</v>
      </c>
      <c r="W172" s="2" t="s">
        <v>74</v>
      </c>
      <c r="X172" s="2" t="s">
        <v>74</v>
      </c>
      <c r="Y172" s="2" t="s">
        <v>74</v>
      </c>
      <c r="Z172" s="2" t="s">
        <v>74</v>
      </c>
      <c r="AA172" s="2" t="s">
        <v>335</v>
      </c>
      <c r="AB172" s="2" t="s">
        <v>336</v>
      </c>
      <c r="AC172" s="2" t="s">
        <v>74</v>
      </c>
      <c r="AD172" s="2" t="s">
        <v>74</v>
      </c>
      <c r="AE172" s="2" t="s">
        <v>74</v>
      </c>
      <c r="AF172" s="2" t="s">
        <v>74</v>
      </c>
      <c r="AG172" s="2" t="s">
        <v>74</v>
      </c>
      <c r="AH172" s="2" t="s">
        <v>74</v>
      </c>
      <c r="AI172" s="2" t="s">
        <v>74</v>
      </c>
      <c r="AJ172" s="2" t="s">
        <v>74</v>
      </c>
      <c r="AK172" s="2" t="s">
        <v>74</v>
      </c>
      <c r="AL172" s="2" t="s">
        <v>74</v>
      </c>
      <c r="AM172" s="2" t="s">
        <v>74</v>
      </c>
      <c r="AN172" s="2" t="s">
        <v>74</v>
      </c>
      <c r="AO172" s="2" t="s">
        <v>337</v>
      </c>
      <c r="AP172" s="2" t="s">
        <v>338</v>
      </c>
      <c r="AQ172" s="2" t="s">
        <v>74</v>
      </c>
      <c r="AR172" s="2" t="s">
        <v>74</v>
      </c>
      <c r="AS172" s="2" t="s">
        <v>74</v>
      </c>
      <c r="AT172" s="2" t="s">
        <v>339</v>
      </c>
      <c r="AU172" s="2">
        <v>2013</v>
      </c>
      <c r="AV172" s="2">
        <v>24</v>
      </c>
      <c r="AW172" s="2">
        <v>4</v>
      </c>
      <c r="AX172" s="2" t="s">
        <v>74</v>
      </c>
      <c r="AY172" s="2" t="s">
        <v>74</v>
      </c>
      <c r="AZ172" s="2" t="s">
        <v>74</v>
      </c>
      <c r="BA172" s="2" t="s">
        <v>74</v>
      </c>
      <c r="BB172" s="2">
        <v>968</v>
      </c>
      <c r="BC172" s="2">
        <v>981</v>
      </c>
      <c r="BD172" s="2" t="s">
        <v>74</v>
      </c>
      <c r="BE172" s="2" t="s">
        <v>340</v>
      </c>
      <c r="BF172" s="2" t="str">
        <f>HYPERLINK("http://dx.doi.org/10.1093/beheco/art010","http://dx.doi.org/10.1093/beheco/art010")</f>
        <v>http://dx.doi.org/10.1093/beheco/art010</v>
      </c>
      <c r="BG172" s="2" t="s">
        <v>74</v>
      </c>
      <c r="BH172" s="2" t="s">
        <v>74</v>
      </c>
      <c r="BI172" s="2" t="s">
        <v>74</v>
      </c>
      <c r="BJ172" s="2" t="s">
        <v>74</v>
      </c>
      <c r="BK172" s="2" t="s">
        <v>74</v>
      </c>
      <c r="BL172" s="2" t="s">
        <v>74</v>
      </c>
      <c r="BM172" s="2" t="s">
        <v>74</v>
      </c>
      <c r="BN172" s="2" t="s">
        <v>74</v>
      </c>
      <c r="BO172" s="2" t="s">
        <v>74</v>
      </c>
      <c r="BP172" s="2" t="s">
        <v>74</v>
      </c>
      <c r="BQ172" s="2" t="s">
        <v>74</v>
      </c>
      <c r="BR172" s="2" t="s">
        <v>74</v>
      </c>
      <c r="BS172" s="2" t="s">
        <v>341</v>
      </c>
      <c r="BT172" s="2" t="str">
        <f>HYPERLINK("https%3A%2F%2Fwww.webofscience.com%2Fwos%2Fwoscc%2Ffull-record%2FWOS:000320409900028","View Full Record in Web of Science")</f>
        <v>View Full Record in Web of Science</v>
      </c>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row>
    <row r="173" spans="1:314" s="2" customFormat="1" x14ac:dyDescent="0.4">
      <c r="A173" s="2" t="s">
        <v>72</v>
      </c>
      <c r="B173" s="2" t="s">
        <v>791</v>
      </c>
      <c r="C173" s="2" t="s">
        <v>74</v>
      </c>
      <c r="D173" s="2" t="s">
        <v>74</v>
      </c>
      <c r="E173" s="2" t="s">
        <v>74</v>
      </c>
      <c r="F173" s="2" t="s">
        <v>792</v>
      </c>
      <c r="G173" s="2" t="s">
        <v>74</v>
      </c>
      <c r="H173" s="2" t="s">
        <v>74</v>
      </c>
      <c r="I173" s="2" t="s">
        <v>793</v>
      </c>
      <c r="J173" s="2" t="s">
        <v>763</v>
      </c>
      <c r="K173" s="2" t="s">
        <v>74</v>
      </c>
      <c r="L173" s="2" t="s">
        <v>74</v>
      </c>
      <c r="M173" s="2" t="s">
        <v>74</v>
      </c>
      <c r="N173" s="2" t="s">
        <v>74</v>
      </c>
      <c r="O173" s="2" t="s">
        <v>74</v>
      </c>
      <c r="P173" s="2" t="s">
        <v>74</v>
      </c>
      <c r="Q173" s="2" t="s">
        <v>74</v>
      </c>
      <c r="R173" s="2" t="s">
        <v>74</v>
      </c>
      <c r="S173" s="2" t="s">
        <v>74</v>
      </c>
      <c r="T173" s="2" t="s">
        <v>74</v>
      </c>
      <c r="U173" s="2" t="s">
        <v>74</v>
      </c>
      <c r="V173" s="5" t="s">
        <v>794</v>
      </c>
      <c r="W173" s="2" t="s">
        <v>74</v>
      </c>
      <c r="X173" s="2" t="s">
        <v>74</v>
      </c>
      <c r="Y173" s="2" t="s">
        <v>74</v>
      </c>
      <c r="Z173" s="2" t="s">
        <v>74</v>
      </c>
      <c r="AA173" s="2" t="s">
        <v>795</v>
      </c>
      <c r="AB173" s="2" t="s">
        <v>796</v>
      </c>
      <c r="AC173" s="2" t="s">
        <v>74</v>
      </c>
      <c r="AD173" s="2" t="s">
        <v>74</v>
      </c>
      <c r="AE173" s="2" t="s">
        <v>74</v>
      </c>
      <c r="AF173" s="2" t="s">
        <v>74</v>
      </c>
      <c r="AG173" s="2" t="s">
        <v>74</v>
      </c>
      <c r="AH173" s="2" t="s">
        <v>74</v>
      </c>
      <c r="AI173" s="2" t="s">
        <v>74</v>
      </c>
      <c r="AJ173" s="2" t="s">
        <v>74</v>
      </c>
      <c r="AK173" s="2" t="s">
        <v>74</v>
      </c>
      <c r="AL173" s="2" t="s">
        <v>74</v>
      </c>
      <c r="AM173" s="2" t="s">
        <v>74</v>
      </c>
      <c r="AN173" s="2" t="s">
        <v>74</v>
      </c>
      <c r="AO173" s="2" t="s">
        <v>767</v>
      </c>
      <c r="AP173" s="2" t="s">
        <v>768</v>
      </c>
      <c r="AQ173" s="2" t="s">
        <v>74</v>
      </c>
      <c r="AR173" s="2" t="s">
        <v>74</v>
      </c>
      <c r="AS173" s="2" t="s">
        <v>74</v>
      </c>
      <c r="AT173" s="2" t="s">
        <v>123</v>
      </c>
      <c r="AU173" s="2">
        <v>2018</v>
      </c>
      <c r="AV173" s="2">
        <v>221</v>
      </c>
      <c r="AW173" s="2">
        <v>5</v>
      </c>
      <c r="AX173" s="2" t="s">
        <v>74</v>
      </c>
      <c r="AY173" s="2" t="s">
        <v>74</v>
      </c>
      <c r="AZ173" s="2" t="s">
        <v>74</v>
      </c>
      <c r="BA173" s="2" t="s">
        <v>74</v>
      </c>
      <c r="BB173" s="2" t="s">
        <v>74</v>
      </c>
      <c r="BC173" s="2" t="s">
        <v>74</v>
      </c>
      <c r="BD173" s="2" t="s">
        <v>797</v>
      </c>
      <c r="BE173" s="2" t="s">
        <v>798</v>
      </c>
      <c r="BF173" s="2" t="str">
        <f>HYPERLINK("http://dx.doi.org/10.1242/jeb.173252","http://dx.doi.org/10.1242/jeb.173252")</f>
        <v>http://dx.doi.org/10.1242/jeb.173252</v>
      </c>
      <c r="BG173" s="2" t="s">
        <v>74</v>
      </c>
      <c r="BH173" s="2" t="s">
        <v>74</v>
      </c>
      <c r="BI173" s="2" t="s">
        <v>74</v>
      </c>
      <c r="BJ173" s="2" t="s">
        <v>74</v>
      </c>
      <c r="BK173" s="2" t="s">
        <v>74</v>
      </c>
      <c r="BL173" s="2" t="s">
        <v>74</v>
      </c>
      <c r="BM173" s="2" t="s">
        <v>74</v>
      </c>
      <c r="BN173" s="2">
        <v>29361602</v>
      </c>
      <c r="BO173" s="2" t="s">
        <v>74</v>
      </c>
      <c r="BP173" s="2" t="s">
        <v>74</v>
      </c>
      <c r="BQ173" s="2" t="s">
        <v>74</v>
      </c>
      <c r="BR173" s="2" t="s">
        <v>74</v>
      </c>
      <c r="BS173" s="2" t="s">
        <v>799</v>
      </c>
      <c r="BT173" s="2" t="str">
        <f>HYPERLINK("https%3A%2F%2Fwww.webofscience.com%2Fwos%2Fwoscc%2Ffull-record%2FWOS:000427353100021","View Full Record in Web of Science")</f>
        <v>View Full Record in Web of Science</v>
      </c>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row>
    <row r="174" spans="1:314" s="2" customFormat="1" x14ac:dyDescent="0.4">
      <c r="A174" s="2" t="s">
        <v>72</v>
      </c>
      <c r="B174" s="2" t="s">
        <v>791</v>
      </c>
      <c r="C174" s="2" t="s">
        <v>74</v>
      </c>
      <c r="D174" s="2" t="s">
        <v>74</v>
      </c>
      <c r="E174" s="2" t="s">
        <v>74</v>
      </c>
      <c r="F174" s="2" t="s">
        <v>792</v>
      </c>
      <c r="G174" s="2" t="s">
        <v>74</v>
      </c>
      <c r="H174" s="2" t="s">
        <v>74</v>
      </c>
      <c r="I174" s="2" t="s">
        <v>1172</v>
      </c>
      <c r="J174" s="2" t="s">
        <v>140</v>
      </c>
      <c r="K174" s="2" t="s">
        <v>74</v>
      </c>
      <c r="L174" s="2" t="s">
        <v>74</v>
      </c>
      <c r="M174" s="2" t="s">
        <v>74</v>
      </c>
      <c r="N174" s="2" t="s">
        <v>74</v>
      </c>
      <c r="O174" s="2" t="s">
        <v>74</v>
      </c>
      <c r="P174" s="2" t="s">
        <v>74</v>
      </c>
      <c r="Q174" s="2" t="s">
        <v>74</v>
      </c>
      <c r="R174" s="2" t="s">
        <v>74</v>
      </c>
      <c r="S174" s="2" t="s">
        <v>74</v>
      </c>
      <c r="T174" s="2" t="s">
        <v>74</v>
      </c>
      <c r="U174" s="2" t="s">
        <v>74</v>
      </c>
      <c r="V174" s="5" t="s">
        <v>1173</v>
      </c>
      <c r="W174" s="2" t="s">
        <v>74</v>
      </c>
      <c r="X174" s="2" t="s">
        <v>74</v>
      </c>
      <c r="Y174" s="2" t="s">
        <v>74</v>
      </c>
      <c r="Z174" s="2" t="s">
        <v>74</v>
      </c>
      <c r="AA174" s="2" t="s">
        <v>795</v>
      </c>
      <c r="AB174" s="2" t="s">
        <v>796</v>
      </c>
      <c r="AC174" s="2" t="s">
        <v>74</v>
      </c>
      <c r="AD174" s="2" t="s">
        <v>74</v>
      </c>
      <c r="AE174" s="2" t="s">
        <v>74</v>
      </c>
      <c r="AF174" s="2" t="s">
        <v>74</v>
      </c>
      <c r="AG174" s="2" t="s">
        <v>74</v>
      </c>
      <c r="AH174" s="2" t="s">
        <v>74</v>
      </c>
      <c r="AI174" s="2" t="s">
        <v>74</v>
      </c>
      <c r="AJ174" s="2" t="s">
        <v>74</v>
      </c>
      <c r="AK174" s="2" t="s">
        <v>74</v>
      </c>
      <c r="AL174" s="2" t="s">
        <v>74</v>
      </c>
      <c r="AM174" s="2" t="s">
        <v>74</v>
      </c>
      <c r="AN174" s="2" t="s">
        <v>74</v>
      </c>
      <c r="AO174" s="2" t="s">
        <v>143</v>
      </c>
      <c r="AP174" s="2" t="s">
        <v>144</v>
      </c>
      <c r="AQ174" s="2" t="s">
        <v>74</v>
      </c>
      <c r="AR174" s="2" t="s">
        <v>74</v>
      </c>
      <c r="AS174" s="2" t="s">
        <v>74</v>
      </c>
      <c r="AT174" s="2" t="s">
        <v>204</v>
      </c>
      <c r="AU174" s="2">
        <v>2017</v>
      </c>
      <c r="AV174" s="2">
        <v>129</v>
      </c>
      <c r="AW174" s="2" t="s">
        <v>74</v>
      </c>
      <c r="AX174" s="2" t="s">
        <v>74</v>
      </c>
      <c r="AY174" s="2" t="s">
        <v>74</v>
      </c>
      <c r="AZ174" s="2" t="s">
        <v>74</v>
      </c>
      <c r="BA174" s="2" t="s">
        <v>74</v>
      </c>
      <c r="BB174" s="2">
        <v>229</v>
      </c>
      <c r="BC174" s="2">
        <v>236</v>
      </c>
      <c r="BD174" s="2" t="s">
        <v>74</v>
      </c>
      <c r="BE174" s="2" t="s">
        <v>1174</v>
      </c>
      <c r="BF174" s="2" t="str">
        <f>HYPERLINK("http://dx.doi.org/10.1016/j.anbehav.2017.05.018","http://dx.doi.org/10.1016/j.anbehav.2017.05.018")</f>
        <v>http://dx.doi.org/10.1016/j.anbehav.2017.05.018</v>
      </c>
      <c r="BG174" s="2" t="s">
        <v>74</v>
      </c>
      <c r="BH174" s="2" t="s">
        <v>74</v>
      </c>
      <c r="BI174" s="2" t="s">
        <v>74</v>
      </c>
      <c r="BJ174" s="2" t="s">
        <v>74</v>
      </c>
      <c r="BK174" s="2" t="s">
        <v>74</v>
      </c>
      <c r="BL174" s="2" t="s">
        <v>74</v>
      </c>
      <c r="BM174" s="2" t="s">
        <v>74</v>
      </c>
      <c r="BN174" s="2" t="s">
        <v>74</v>
      </c>
      <c r="BO174" s="2" t="s">
        <v>74</v>
      </c>
      <c r="BP174" s="2" t="s">
        <v>74</v>
      </c>
      <c r="BQ174" s="2" t="s">
        <v>74</v>
      </c>
      <c r="BR174" s="2" t="s">
        <v>74</v>
      </c>
      <c r="BS174" s="2" t="s">
        <v>1175</v>
      </c>
      <c r="BT174" s="2" t="str">
        <f>HYPERLINK("https%3A%2F%2Fwww.webofscience.com%2Fwos%2Fwoscc%2Ffull-record%2FWOS:000405821200025","View Full Record in Web of Science")</f>
        <v>View Full Record in Web of Science</v>
      </c>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row>
    <row r="175" spans="1:314" s="2" customFormat="1" x14ac:dyDescent="0.4">
      <c r="A175" s="2" t="s">
        <v>72</v>
      </c>
      <c r="B175" s="2" t="s">
        <v>7974</v>
      </c>
      <c r="C175" s="2" t="s">
        <v>74</v>
      </c>
      <c r="D175" s="2" t="s">
        <v>74</v>
      </c>
      <c r="E175" s="2" t="s">
        <v>74</v>
      </c>
      <c r="F175" s="2" t="s">
        <v>7975</v>
      </c>
      <c r="G175" s="2" t="s">
        <v>74</v>
      </c>
      <c r="H175" s="2" t="s">
        <v>74</v>
      </c>
      <c r="I175" s="2" t="s">
        <v>7976</v>
      </c>
      <c r="J175" s="2" t="s">
        <v>6427</v>
      </c>
      <c r="K175" s="2" t="s">
        <v>74</v>
      </c>
      <c r="L175" s="2" t="s">
        <v>74</v>
      </c>
      <c r="M175" s="2" t="s">
        <v>74</v>
      </c>
      <c r="N175" s="2" t="s">
        <v>74</v>
      </c>
      <c r="O175" s="2" t="s">
        <v>74</v>
      </c>
      <c r="P175" s="2" t="s">
        <v>74</v>
      </c>
      <c r="Q175" s="2" t="s">
        <v>74</v>
      </c>
      <c r="R175" s="2" t="s">
        <v>74</v>
      </c>
      <c r="S175" s="2" t="s">
        <v>74</v>
      </c>
      <c r="T175" s="2" t="s">
        <v>74</v>
      </c>
      <c r="U175" s="2" t="s">
        <v>74</v>
      </c>
      <c r="V175" s="5" t="s">
        <v>7977</v>
      </c>
      <c r="W175" s="2" t="s">
        <v>74</v>
      </c>
      <c r="X175" s="2" t="s">
        <v>74</v>
      </c>
      <c r="Y175" s="2" t="s">
        <v>74</v>
      </c>
      <c r="Z175" s="2" t="s">
        <v>74</v>
      </c>
      <c r="AA175" s="2" t="s">
        <v>7978</v>
      </c>
      <c r="AB175" s="2" t="s">
        <v>7979</v>
      </c>
      <c r="AC175" s="2" t="s">
        <v>74</v>
      </c>
      <c r="AD175" s="2" t="s">
        <v>74</v>
      </c>
      <c r="AE175" s="2" t="s">
        <v>74</v>
      </c>
      <c r="AF175" s="2" t="s">
        <v>74</v>
      </c>
      <c r="AG175" s="2" t="s">
        <v>74</v>
      </c>
      <c r="AH175" s="2" t="s">
        <v>74</v>
      </c>
      <c r="AI175" s="2" t="s">
        <v>74</v>
      </c>
      <c r="AJ175" s="2" t="s">
        <v>74</v>
      </c>
      <c r="AK175" s="2" t="s">
        <v>74</v>
      </c>
      <c r="AL175" s="2" t="s">
        <v>74</v>
      </c>
      <c r="AM175" s="2" t="s">
        <v>74</v>
      </c>
      <c r="AN175" s="2" t="s">
        <v>74</v>
      </c>
      <c r="AO175" s="2" t="s">
        <v>6431</v>
      </c>
      <c r="AP175" s="2" t="s">
        <v>74</v>
      </c>
      <c r="AQ175" s="2" t="s">
        <v>74</v>
      </c>
      <c r="AR175" s="2" t="s">
        <v>74</v>
      </c>
      <c r="AS175" s="2" t="s">
        <v>74</v>
      </c>
      <c r="AT175" s="2" t="s">
        <v>7980</v>
      </c>
      <c r="AU175" s="2">
        <v>2014</v>
      </c>
      <c r="AV175" s="2">
        <v>50</v>
      </c>
      <c r="AW175" s="2">
        <v>3</v>
      </c>
      <c r="AX175" s="2" t="s">
        <v>74</v>
      </c>
      <c r="AY175" s="2" t="s">
        <v>74</v>
      </c>
      <c r="AZ175" s="2" t="s">
        <v>74</v>
      </c>
      <c r="BA175" s="2" t="s">
        <v>74</v>
      </c>
      <c r="BB175" s="2">
        <v>155</v>
      </c>
      <c r="BC175" s="2">
        <v>171</v>
      </c>
      <c r="BD175" s="2" t="s">
        <v>74</v>
      </c>
      <c r="BE175" s="2" t="s">
        <v>74</v>
      </c>
      <c r="BF175" s="2" t="s">
        <v>74</v>
      </c>
      <c r="BG175" s="2" t="s">
        <v>74</v>
      </c>
      <c r="BH175" s="2" t="s">
        <v>74</v>
      </c>
      <c r="BI175" s="2" t="s">
        <v>74</v>
      </c>
      <c r="BJ175" s="2" t="s">
        <v>74</v>
      </c>
      <c r="BK175" s="2" t="s">
        <v>74</v>
      </c>
      <c r="BL175" s="2" t="s">
        <v>74</v>
      </c>
      <c r="BM175" s="2" t="s">
        <v>74</v>
      </c>
      <c r="BN175" s="2" t="s">
        <v>74</v>
      </c>
      <c r="BO175" s="2" t="s">
        <v>74</v>
      </c>
      <c r="BP175" s="2" t="s">
        <v>74</v>
      </c>
      <c r="BQ175" s="2" t="s">
        <v>74</v>
      </c>
      <c r="BR175" s="2" t="s">
        <v>74</v>
      </c>
      <c r="BS175" s="2" t="s">
        <v>7981</v>
      </c>
      <c r="BT175" s="2" t="str">
        <f>HYPERLINK("https%3A%2F%2Fwww.webofscience.com%2Fwos%2Fwoscc%2Ffull-record%2FWOS:000344312600005","View Full Record in Web of Science")</f>
        <v>View Full Record in Web of Science</v>
      </c>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row>
    <row r="176" spans="1:314" s="2" customFormat="1" x14ac:dyDescent="0.4">
      <c r="A176" s="2" t="s">
        <v>72</v>
      </c>
      <c r="B176" s="2" t="s">
        <v>4626</v>
      </c>
      <c r="C176" s="2" t="s">
        <v>74</v>
      </c>
      <c r="D176" s="2" t="s">
        <v>74</v>
      </c>
      <c r="E176" s="2" t="s">
        <v>74</v>
      </c>
      <c r="F176" s="2" t="s">
        <v>4627</v>
      </c>
      <c r="G176" s="2" t="s">
        <v>74</v>
      </c>
      <c r="H176" s="2" t="s">
        <v>74</v>
      </c>
      <c r="I176" s="2" t="s">
        <v>4628</v>
      </c>
      <c r="J176" s="2" t="s">
        <v>119</v>
      </c>
      <c r="K176" s="2" t="s">
        <v>74</v>
      </c>
      <c r="L176" s="2" t="s">
        <v>74</v>
      </c>
      <c r="M176" s="2" t="s">
        <v>74</v>
      </c>
      <c r="N176" s="2" t="s">
        <v>74</v>
      </c>
      <c r="O176" s="2" t="s">
        <v>74</v>
      </c>
      <c r="P176" s="2" t="s">
        <v>74</v>
      </c>
      <c r="Q176" s="2" t="s">
        <v>74</v>
      </c>
      <c r="R176" s="2" t="s">
        <v>74</v>
      </c>
      <c r="S176" s="2" t="s">
        <v>74</v>
      </c>
      <c r="T176" s="2" t="s">
        <v>74</v>
      </c>
      <c r="U176" s="2" t="s">
        <v>74</v>
      </c>
      <c r="V176" s="5" t="s">
        <v>4629</v>
      </c>
      <c r="W176" s="2" t="s">
        <v>74</v>
      </c>
      <c r="X176" s="2" t="s">
        <v>74</v>
      </c>
      <c r="Y176" s="2" t="s">
        <v>74</v>
      </c>
      <c r="Z176" s="2" t="s">
        <v>74</v>
      </c>
      <c r="AA176" s="2" t="s">
        <v>4630</v>
      </c>
      <c r="AB176" s="2" t="s">
        <v>4631</v>
      </c>
      <c r="AC176" s="2" t="s">
        <v>74</v>
      </c>
      <c r="AD176" s="2" t="s">
        <v>74</v>
      </c>
      <c r="AE176" s="2" t="s">
        <v>74</v>
      </c>
      <c r="AF176" s="2" t="s">
        <v>74</v>
      </c>
      <c r="AG176" s="2" t="s">
        <v>74</v>
      </c>
      <c r="AH176" s="2" t="s">
        <v>74</v>
      </c>
      <c r="AI176" s="2" t="s">
        <v>74</v>
      </c>
      <c r="AJ176" s="2" t="s">
        <v>74</v>
      </c>
      <c r="AK176" s="2" t="s">
        <v>74</v>
      </c>
      <c r="AL176" s="2" t="s">
        <v>74</v>
      </c>
      <c r="AM176" s="2" t="s">
        <v>74</v>
      </c>
      <c r="AN176" s="2" t="s">
        <v>74</v>
      </c>
      <c r="AO176" s="2" t="s">
        <v>121</v>
      </c>
      <c r="AP176" s="2" t="s">
        <v>122</v>
      </c>
      <c r="AQ176" s="2" t="s">
        <v>74</v>
      </c>
      <c r="AR176" s="2" t="s">
        <v>74</v>
      </c>
      <c r="AS176" s="2" t="s">
        <v>74</v>
      </c>
      <c r="AT176" s="2" t="s">
        <v>134</v>
      </c>
      <c r="AU176" s="2">
        <v>2017</v>
      </c>
      <c r="AV176" s="2">
        <v>138</v>
      </c>
      <c r="AW176" s="2" t="s">
        <v>74</v>
      </c>
      <c r="AX176" s="2" t="s">
        <v>74</v>
      </c>
      <c r="AY176" s="2" t="s">
        <v>74</v>
      </c>
      <c r="AZ176" s="2" t="s">
        <v>74</v>
      </c>
      <c r="BA176" s="2" t="s">
        <v>74</v>
      </c>
      <c r="BB176" s="2">
        <v>123</v>
      </c>
      <c r="BC176" s="2">
        <v>126</v>
      </c>
      <c r="BD176" s="2" t="s">
        <v>74</v>
      </c>
      <c r="BE176" s="2" t="s">
        <v>4632</v>
      </c>
      <c r="BF176" s="2" t="str">
        <f>HYPERLINK("http://dx.doi.org/10.1016/j.beproc.2017.03.001","http://dx.doi.org/10.1016/j.beproc.2017.03.001")</f>
        <v>http://dx.doi.org/10.1016/j.beproc.2017.03.001</v>
      </c>
      <c r="BG176" s="2" t="s">
        <v>74</v>
      </c>
      <c r="BH176" s="2" t="s">
        <v>74</v>
      </c>
      <c r="BI176" s="2" t="s">
        <v>74</v>
      </c>
      <c r="BJ176" s="2" t="s">
        <v>74</v>
      </c>
      <c r="BK176" s="2" t="s">
        <v>74</v>
      </c>
      <c r="BL176" s="2" t="s">
        <v>74</v>
      </c>
      <c r="BM176" s="2" t="s">
        <v>74</v>
      </c>
      <c r="BN176" s="2">
        <v>28274764</v>
      </c>
      <c r="BO176" s="2" t="s">
        <v>74</v>
      </c>
      <c r="BP176" s="2" t="s">
        <v>74</v>
      </c>
      <c r="BQ176" s="2" t="s">
        <v>74</v>
      </c>
      <c r="BR176" s="2" t="s">
        <v>74</v>
      </c>
      <c r="BS176" s="2" t="s">
        <v>4633</v>
      </c>
      <c r="BT176" s="2" t="str">
        <f>HYPERLINK("https%3A%2F%2Fwww.webofscience.com%2Fwos%2Fwoscc%2Ffull-record%2FWOS:000400878800016","View Full Record in Web of Science")</f>
        <v>View Full Record in Web of Science</v>
      </c>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row>
    <row r="177" spans="1:314" s="2" customFormat="1" x14ac:dyDescent="0.4">
      <c r="A177" s="2" t="s">
        <v>72</v>
      </c>
      <c r="B177" s="2" t="s">
        <v>6399</v>
      </c>
      <c r="C177" s="2" t="s">
        <v>74</v>
      </c>
      <c r="D177" s="2" t="s">
        <v>74</v>
      </c>
      <c r="E177" s="2" t="s">
        <v>74</v>
      </c>
      <c r="F177" s="2" t="s">
        <v>6400</v>
      </c>
      <c r="G177" s="2" t="s">
        <v>74</v>
      </c>
      <c r="H177" s="2" t="s">
        <v>74</v>
      </c>
      <c r="I177" s="2" t="s">
        <v>6401</v>
      </c>
      <c r="J177" s="2" t="s">
        <v>6402</v>
      </c>
      <c r="K177" s="2" t="s">
        <v>74</v>
      </c>
      <c r="L177" s="2" t="s">
        <v>74</v>
      </c>
      <c r="M177" s="2" t="s">
        <v>74</v>
      </c>
      <c r="N177" s="2" t="s">
        <v>74</v>
      </c>
      <c r="O177" s="2" t="s">
        <v>74</v>
      </c>
      <c r="P177" s="2" t="s">
        <v>74</v>
      </c>
      <c r="Q177" s="2" t="s">
        <v>74</v>
      </c>
      <c r="R177" s="2" t="s">
        <v>74</v>
      </c>
      <c r="S177" s="2" t="s">
        <v>74</v>
      </c>
      <c r="T177" s="2" t="s">
        <v>74</v>
      </c>
      <c r="U177" s="2" t="s">
        <v>74</v>
      </c>
      <c r="V177" s="5" t="s">
        <v>6403</v>
      </c>
      <c r="W177" s="2" t="s">
        <v>74</v>
      </c>
      <c r="X177" s="2" t="s">
        <v>74</v>
      </c>
      <c r="Y177" s="2" t="s">
        <v>74</v>
      </c>
      <c r="Z177" s="2" t="s">
        <v>74</v>
      </c>
      <c r="AA177" s="2" t="s">
        <v>6404</v>
      </c>
      <c r="AB177" s="2" t="s">
        <v>6405</v>
      </c>
      <c r="AC177" s="2" t="s">
        <v>74</v>
      </c>
      <c r="AD177" s="2" t="s">
        <v>74</v>
      </c>
      <c r="AE177" s="2" t="s">
        <v>74</v>
      </c>
      <c r="AF177" s="2" t="s">
        <v>74</v>
      </c>
      <c r="AG177" s="2" t="s">
        <v>74</v>
      </c>
      <c r="AH177" s="2" t="s">
        <v>74</v>
      </c>
      <c r="AI177" s="2" t="s">
        <v>74</v>
      </c>
      <c r="AJ177" s="2" t="s">
        <v>74</v>
      </c>
      <c r="AK177" s="2" t="s">
        <v>74</v>
      </c>
      <c r="AL177" s="2" t="s">
        <v>74</v>
      </c>
      <c r="AM177" s="2" t="s">
        <v>74</v>
      </c>
      <c r="AN177" s="2" t="s">
        <v>74</v>
      </c>
      <c r="AO177" s="2" t="s">
        <v>6406</v>
      </c>
      <c r="AP177" s="2" t="s">
        <v>6407</v>
      </c>
      <c r="AQ177" s="2" t="s">
        <v>74</v>
      </c>
      <c r="AR177" s="2" t="s">
        <v>74</v>
      </c>
      <c r="AS177" s="2" t="s">
        <v>74</v>
      </c>
      <c r="AT177" s="2" t="s">
        <v>123</v>
      </c>
      <c r="AU177" s="2">
        <v>2014</v>
      </c>
      <c r="AV177" s="2">
        <v>169</v>
      </c>
      <c r="AW177" s="2" t="s">
        <v>74</v>
      </c>
      <c r="AX177" s="2" t="s">
        <v>74</v>
      </c>
      <c r="AY177" s="2" t="s">
        <v>74</v>
      </c>
      <c r="AZ177" s="2" t="s">
        <v>74</v>
      </c>
      <c r="BA177" s="2" t="s">
        <v>74</v>
      </c>
      <c r="BB177" s="2">
        <v>25</v>
      </c>
      <c r="BC177" s="2">
        <v>32</v>
      </c>
      <c r="BD177" s="2" t="s">
        <v>74</v>
      </c>
      <c r="BE177" s="2" t="s">
        <v>6408</v>
      </c>
      <c r="BF177" s="2" t="str">
        <f>HYPERLINK("http://dx.doi.org/10.1016/j.cbpa.2013.12.001","http://dx.doi.org/10.1016/j.cbpa.2013.12.001")</f>
        <v>http://dx.doi.org/10.1016/j.cbpa.2013.12.001</v>
      </c>
      <c r="BG177" s="2" t="s">
        <v>74</v>
      </c>
      <c r="BH177" s="2" t="s">
        <v>74</v>
      </c>
      <c r="BI177" s="2" t="s">
        <v>74</v>
      </c>
      <c r="BJ177" s="2" t="s">
        <v>74</v>
      </c>
      <c r="BK177" s="2" t="s">
        <v>74</v>
      </c>
      <c r="BL177" s="2" t="s">
        <v>74</v>
      </c>
      <c r="BM177" s="2" t="s">
        <v>74</v>
      </c>
      <c r="BN177" s="2">
        <v>24326244</v>
      </c>
      <c r="BO177" s="2" t="s">
        <v>74</v>
      </c>
      <c r="BP177" s="2" t="s">
        <v>74</v>
      </c>
      <c r="BQ177" s="2" t="s">
        <v>74</v>
      </c>
      <c r="BR177" s="2" t="s">
        <v>74</v>
      </c>
      <c r="BS177" s="2" t="s">
        <v>6409</v>
      </c>
      <c r="BT177" s="2" t="str">
        <f>HYPERLINK("https%3A%2F%2Fwww.webofscience.com%2Fwos%2Fwoscc%2Ffull-record%2FWOS:000331428700005","View Full Record in Web of Science")</f>
        <v>View Full Record in Web of Science</v>
      </c>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row>
    <row r="178" spans="1:314" s="2" customFormat="1" x14ac:dyDescent="0.4">
      <c r="A178" s="2" t="s">
        <v>72</v>
      </c>
      <c r="B178" s="2" t="s">
        <v>2188</v>
      </c>
      <c r="C178" s="2" t="s">
        <v>74</v>
      </c>
      <c r="D178" s="2" t="s">
        <v>74</v>
      </c>
      <c r="E178" s="2" t="s">
        <v>74</v>
      </c>
      <c r="F178" s="2" t="s">
        <v>2189</v>
      </c>
      <c r="G178" s="2" t="s">
        <v>74</v>
      </c>
      <c r="H178" s="2" t="s">
        <v>74</v>
      </c>
      <c r="I178" s="2" t="s">
        <v>2190</v>
      </c>
      <c r="J178" s="2" t="s">
        <v>2191</v>
      </c>
      <c r="K178" s="2" t="s">
        <v>74</v>
      </c>
      <c r="L178" s="2" t="s">
        <v>74</v>
      </c>
      <c r="M178" s="2" t="s">
        <v>74</v>
      </c>
      <c r="N178" s="2" t="s">
        <v>74</v>
      </c>
      <c r="O178" s="2" t="s">
        <v>74</v>
      </c>
      <c r="P178" s="2" t="s">
        <v>74</v>
      </c>
      <c r="Q178" s="2" t="s">
        <v>74</v>
      </c>
      <c r="R178" s="2" t="s">
        <v>74</v>
      </c>
      <c r="S178" s="2" t="s">
        <v>74</v>
      </c>
      <c r="T178" s="2" t="s">
        <v>74</v>
      </c>
      <c r="U178" s="2" t="s">
        <v>74</v>
      </c>
      <c r="V178" s="5" t="s">
        <v>2192</v>
      </c>
      <c r="W178" s="2" t="s">
        <v>74</v>
      </c>
      <c r="X178" s="2" t="s">
        <v>74</v>
      </c>
      <c r="Y178" s="2" t="s">
        <v>74</v>
      </c>
      <c r="Z178" s="2" t="s">
        <v>74</v>
      </c>
      <c r="AA178" s="2" t="s">
        <v>74</v>
      </c>
      <c r="AB178" s="2" t="s">
        <v>74</v>
      </c>
      <c r="AC178" s="2" t="s">
        <v>74</v>
      </c>
      <c r="AD178" s="2" t="s">
        <v>74</v>
      </c>
      <c r="AE178" s="2" t="s">
        <v>74</v>
      </c>
      <c r="AF178" s="2" t="s">
        <v>74</v>
      </c>
      <c r="AG178" s="2" t="s">
        <v>74</v>
      </c>
      <c r="AH178" s="2" t="s">
        <v>74</v>
      </c>
      <c r="AI178" s="2" t="s">
        <v>74</v>
      </c>
      <c r="AJ178" s="2" t="s">
        <v>74</v>
      </c>
      <c r="AK178" s="2" t="s">
        <v>74</v>
      </c>
      <c r="AL178" s="2" t="s">
        <v>74</v>
      </c>
      <c r="AM178" s="2" t="s">
        <v>74</v>
      </c>
      <c r="AN178" s="2" t="s">
        <v>74</v>
      </c>
      <c r="AO178" s="2" t="s">
        <v>2193</v>
      </c>
      <c r="AP178" s="2" t="s">
        <v>2194</v>
      </c>
      <c r="AQ178" s="2" t="s">
        <v>74</v>
      </c>
      <c r="AR178" s="2" t="s">
        <v>74</v>
      </c>
      <c r="AS178" s="2" t="s">
        <v>74</v>
      </c>
      <c r="AT178" s="2" t="s">
        <v>352</v>
      </c>
      <c r="AU178" s="2">
        <v>2014</v>
      </c>
      <c r="AV178" s="2">
        <v>62</v>
      </c>
      <c r="AW178" s="2" t="s">
        <v>74</v>
      </c>
      <c r="AX178" s="2" t="s">
        <v>74</v>
      </c>
      <c r="AY178" s="2" t="s">
        <v>74</v>
      </c>
      <c r="AZ178" s="2" t="s">
        <v>74</v>
      </c>
      <c r="BA178" s="2" t="s">
        <v>74</v>
      </c>
      <c r="BB178" s="2">
        <v>49</v>
      </c>
      <c r="BC178" s="2">
        <v>53</v>
      </c>
      <c r="BD178" s="2" t="s">
        <v>74</v>
      </c>
      <c r="BE178" s="2" t="s">
        <v>2195</v>
      </c>
      <c r="BF178" s="2" t="str">
        <f>HYPERLINK("http://dx.doi.org/10.1016/j.aquaeng.2014.06.004","http://dx.doi.org/10.1016/j.aquaeng.2014.06.004")</f>
        <v>http://dx.doi.org/10.1016/j.aquaeng.2014.06.004</v>
      </c>
      <c r="BG178" s="2" t="s">
        <v>74</v>
      </c>
      <c r="BH178" s="2" t="s">
        <v>74</v>
      </c>
      <c r="BI178" s="2" t="s">
        <v>74</v>
      </c>
      <c r="BJ178" s="2" t="s">
        <v>74</v>
      </c>
      <c r="BK178" s="2" t="s">
        <v>74</v>
      </c>
      <c r="BL178" s="2" t="s">
        <v>74</v>
      </c>
      <c r="BM178" s="2" t="s">
        <v>74</v>
      </c>
      <c r="BN178" s="2" t="s">
        <v>74</v>
      </c>
      <c r="BO178" s="2" t="s">
        <v>74</v>
      </c>
      <c r="BP178" s="2" t="s">
        <v>74</v>
      </c>
      <c r="BQ178" s="2" t="s">
        <v>74</v>
      </c>
      <c r="BR178" s="2" t="s">
        <v>74</v>
      </c>
      <c r="BS178" s="2" t="s">
        <v>2196</v>
      </c>
      <c r="BT178" s="2" t="str">
        <f>HYPERLINK("https%3A%2F%2Fwww.webofscience.com%2Fwos%2Fwoscc%2Ffull-record%2FWOS:000342263700007","View Full Record in Web of Science")</f>
        <v>View Full Record in Web of Science</v>
      </c>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row>
    <row r="179" spans="1:314" s="2" customFormat="1" x14ac:dyDescent="0.4">
      <c r="A179" s="2" t="s">
        <v>72</v>
      </c>
      <c r="B179" s="2" t="s">
        <v>2188</v>
      </c>
      <c r="C179" s="2" t="s">
        <v>74</v>
      </c>
      <c r="D179" s="2" t="s">
        <v>74</v>
      </c>
      <c r="E179" s="2" t="s">
        <v>74</v>
      </c>
      <c r="F179" s="2" t="s">
        <v>2189</v>
      </c>
      <c r="G179" s="2" t="s">
        <v>74</v>
      </c>
      <c r="H179" s="2" t="s">
        <v>74</v>
      </c>
      <c r="I179" s="2" t="s">
        <v>8563</v>
      </c>
      <c r="J179" s="2" t="s">
        <v>4551</v>
      </c>
      <c r="K179" s="2" t="s">
        <v>74</v>
      </c>
      <c r="L179" s="2" t="s">
        <v>74</v>
      </c>
      <c r="M179" s="2" t="s">
        <v>74</v>
      </c>
      <c r="N179" s="2" t="s">
        <v>74</v>
      </c>
      <c r="O179" s="2" t="s">
        <v>74</v>
      </c>
      <c r="P179" s="2" t="s">
        <v>74</v>
      </c>
      <c r="Q179" s="2" t="s">
        <v>74</v>
      </c>
      <c r="R179" s="2" t="s">
        <v>74</v>
      </c>
      <c r="S179" s="2" t="s">
        <v>74</v>
      </c>
      <c r="T179" s="2" t="s">
        <v>74</v>
      </c>
      <c r="U179" s="2" t="s">
        <v>74</v>
      </c>
      <c r="V179" s="5" t="s">
        <v>8564</v>
      </c>
      <c r="W179" s="2" t="s">
        <v>74</v>
      </c>
      <c r="X179" s="2" t="s">
        <v>74</v>
      </c>
      <c r="Y179" s="2" t="s">
        <v>74</v>
      </c>
      <c r="Z179" s="2" t="s">
        <v>74</v>
      </c>
      <c r="AA179" s="2" t="s">
        <v>74</v>
      </c>
      <c r="AB179" s="2" t="s">
        <v>74</v>
      </c>
      <c r="AC179" s="2" t="s">
        <v>74</v>
      </c>
      <c r="AD179" s="2" t="s">
        <v>74</v>
      </c>
      <c r="AE179" s="2" t="s">
        <v>74</v>
      </c>
      <c r="AF179" s="2" t="s">
        <v>74</v>
      </c>
      <c r="AG179" s="2" t="s">
        <v>74</v>
      </c>
      <c r="AH179" s="2" t="s">
        <v>74</v>
      </c>
      <c r="AI179" s="2" t="s">
        <v>74</v>
      </c>
      <c r="AJ179" s="2" t="s">
        <v>74</v>
      </c>
      <c r="AK179" s="2" t="s">
        <v>74</v>
      </c>
      <c r="AL179" s="2" t="s">
        <v>74</v>
      </c>
      <c r="AM179" s="2" t="s">
        <v>74</v>
      </c>
      <c r="AN179" s="2" t="s">
        <v>74</v>
      </c>
      <c r="AO179" s="2" t="s">
        <v>4555</v>
      </c>
      <c r="AP179" s="2" t="s">
        <v>4556</v>
      </c>
      <c r="AQ179" s="2" t="s">
        <v>74</v>
      </c>
      <c r="AR179" s="2" t="s">
        <v>74</v>
      </c>
      <c r="AS179" s="2" t="s">
        <v>74</v>
      </c>
      <c r="AT179" s="2" t="s">
        <v>8565</v>
      </c>
      <c r="AU179" s="2">
        <v>2012</v>
      </c>
      <c r="AV179" s="2">
        <v>370</v>
      </c>
      <c r="AW179" s="2" t="s">
        <v>74</v>
      </c>
      <c r="AX179" s="2" t="s">
        <v>74</v>
      </c>
      <c r="AY179" s="2" t="s">
        <v>74</v>
      </c>
      <c r="AZ179" s="2" t="s">
        <v>74</v>
      </c>
      <c r="BA179" s="2" t="s">
        <v>74</v>
      </c>
      <c r="BB179" s="2">
        <v>54</v>
      </c>
      <c r="BC179" s="2">
        <v>60</v>
      </c>
      <c r="BD179" s="2" t="s">
        <v>74</v>
      </c>
      <c r="BE179" s="2" t="s">
        <v>8566</v>
      </c>
      <c r="BF179" s="2" t="str">
        <f>HYPERLINK("http://dx.doi.org/10.1016/j.aquaculture.2012.10.005","http://dx.doi.org/10.1016/j.aquaculture.2012.10.005")</f>
        <v>http://dx.doi.org/10.1016/j.aquaculture.2012.10.005</v>
      </c>
      <c r="BG179" s="2" t="s">
        <v>74</v>
      </c>
      <c r="BH179" s="2" t="s">
        <v>74</v>
      </c>
      <c r="BI179" s="2" t="s">
        <v>74</v>
      </c>
      <c r="BJ179" s="2" t="s">
        <v>74</v>
      </c>
      <c r="BK179" s="2" t="s">
        <v>74</v>
      </c>
      <c r="BL179" s="2" t="s">
        <v>74</v>
      </c>
      <c r="BM179" s="2" t="s">
        <v>74</v>
      </c>
      <c r="BN179" s="2" t="s">
        <v>74</v>
      </c>
      <c r="BO179" s="2" t="s">
        <v>74</v>
      </c>
      <c r="BP179" s="2" t="s">
        <v>74</v>
      </c>
      <c r="BQ179" s="2" t="s">
        <v>74</v>
      </c>
      <c r="BR179" s="2" t="s">
        <v>74</v>
      </c>
      <c r="BS179" s="2" t="s">
        <v>8567</v>
      </c>
      <c r="BT179" s="2" t="str">
        <f>HYPERLINK("https%3A%2F%2Fwww.webofscience.com%2Fwos%2Fwoscc%2Ffull-record%2FWOS:000311215700008","View Full Record in Web of Science")</f>
        <v>View Full Record in Web of Science</v>
      </c>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row>
    <row r="180" spans="1:314" s="2" customFormat="1" x14ac:dyDescent="0.4">
      <c r="A180" s="2" t="s">
        <v>72</v>
      </c>
      <c r="B180" s="2" t="s">
        <v>4103</v>
      </c>
      <c r="C180" s="2" t="s">
        <v>74</v>
      </c>
      <c r="D180" s="2" t="s">
        <v>74</v>
      </c>
      <c r="E180" s="2" t="s">
        <v>74</v>
      </c>
      <c r="F180" s="2" t="s">
        <v>4104</v>
      </c>
      <c r="G180" s="2" t="s">
        <v>74</v>
      </c>
      <c r="H180" s="2" t="s">
        <v>74</v>
      </c>
      <c r="I180" s="2" t="s">
        <v>4105</v>
      </c>
      <c r="J180" s="2" t="s">
        <v>108</v>
      </c>
      <c r="K180" s="2" t="s">
        <v>74</v>
      </c>
      <c r="L180" s="2" t="s">
        <v>74</v>
      </c>
      <c r="M180" s="2" t="s">
        <v>74</v>
      </c>
      <c r="N180" s="2" t="s">
        <v>74</v>
      </c>
      <c r="O180" s="2" t="s">
        <v>74</v>
      </c>
      <c r="P180" s="2" t="s">
        <v>74</v>
      </c>
      <c r="Q180" s="2" t="s">
        <v>74</v>
      </c>
      <c r="R180" s="2" t="s">
        <v>74</v>
      </c>
      <c r="S180" s="2" t="s">
        <v>74</v>
      </c>
      <c r="T180" s="2" t="s">
        <v>74</v>
      </c>
      <c r="U180" s="2" t="s">
        <v>74</v>
      </c>
      <c r="V180" s="5" t="s">
        <v>4106</v>
      </c>
      <c r="W180" s="2" t="s">
        <v>74</v>
      </c>
      <c r="X180" s="2" t="s">
        <v>74</v>
      </c>
      <c r="Y180" s="2" t="s">
        <v>74</v>
      </c>
      <c r="Z180" s="2" t="s">
        <v>74</v>
      </c>
      <c r="AA180" s="2" t="s">
        <v>4107</v>
      </c>
      <c r="AB180" s="2" t="s">
        <v>4108</v>
      </c>
      <c r="AC180" s="2" t="s">
        <v>74</v>
      </c>
      <c r="AD180" s="2" t="s">
        <v>74</v>
      </c>
      <c r="AE180" s="2" t="s">
        <v>74</v>
      </c>
      <c r="AF180" s="2" t="s">
        <v>74</v>
      </c>
      <c r="AG180" s="2" t="s">
        <v>74</v>
      </c>
      <c r="AH180" s="2" t="s">
        <v>74</v>
      </c>
      <c r="AI180" s="2" t="s">
        <v>74</v>
      </c>
      <c r="AJ180" s="2" t="s">
        <v>74</v>
      </c>
      <c r="AK180" s="2" t="s">
        <v>74</v>
      </c>
      <c r="AL180" s="2" t="s">
        <v>74</v>
      </c>
      <c r="AM180" s="2" t="s">
        <v>74</v>
      </c>
      <c r="AN180" s="2" t="s">
        <v>74</v>
      </c>
      <c r="AO180" s="2" t="s">
        <v>111</v>
      </c>
      <c r="AP180" s="2" t="s">
        <v>112</v>
      </c>
      <c r="AQ180" s="2" t="s">
        <v>74</v>
      </c>
      <c r="AR180" s="2" t="s">
        <v>74</v>
      </c>
      <c r="AS180" s="2" t="s">
        <v>74</v>
      </c>
      <c r="AT180" s="2" t="s">
        <v>165</v>
      </c>
      <c r="AU180" s="2">
        <v>2011</v>
      </c>
      <c r="AV180" s="2">
        <v>278</v>
      </c>
      <c r="AW180" s="2">
        <v>1719</v>
      </c>
      <c r="AX180" s="2" t="s">
        <v>74</v>
      </c>
      <c r="AY180" s="2" t="s">
        <v>74</v>
      </c>
      <c r="AZ180" s="2" t="s">
        <v>74</v>
      </c>
      <c r="BA180" s="2" t="s">
        <v>74</v>
      </c>
      <c r="BB180" s="2">
        <v>2806</v>
      </c>
      <c r="BC180" s="2">
        <v>2813</v>
      </c>
      <c r="BD180" s="2" t="s">
        <v>74</v>
      </c>
      <c r="BE180" s="2" t="s">
        <v>4109</v>
      </c>
      <c r="BF180" s="2" t="str">
        <f>HYPERLINK("http://dx.doi.org/10.1098/rspb.2010.2659","http://dx.doi.org/10.1098/rspb.2010.2659")</f>
        <v>http://dx.doi.org/10.1098/rspb.2010.2659</v>
      </c>
      <c r="BG180" s="2" t="s">
        <v>74</v>
      </c>
      <c r="BH180" s="2" t="s">
        <v>74</v>
      </c>
      <c r="BI180" s="2" t="s">
        <v>74</v>
      </c>
      <c r="BJ180" s="2" t="s">
        <v>74</v>
      </c>
      <c r="BK180" s="2" t="s">
        <v>74</v>
      </c>
      <c r="BL180" s="2" t="s">
        <v>74</v>
      </c>
      <c r="BM180" s="2" t="s">
        <v>74</v>
      </c>
      <c r="BN180" s="2">
        <v>21288951</v>
      </c>
      <c r="BO180" s="2" t="s">
        <v>74</v>
      </c>
      <c r="BP180" s="2" t="s">
        <v>74</v>
      </c>
      <c r="BQ180" s="2" t="s">
        <v>74</v>
      </c>
      <c r="BR180" s="2" t="s">
        <v>74</v>
      </c>
      <c r="BS180" s="2" t="s">
        <v>4110</v>
      </c>
      <c r="BT180" s="2" t="str">
        <f>HYPERLINK("https%3A%2F%2Fwww.webofscience.com%2Fwos%2Fwoscc%2Ffull-record%2FWOS:000293733600015","View Full Record in Web of Science")</f>
        <v>View Full Record in Web of Science</v>
      </c>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row>
    <row r="181" spans="1:314" s="2" customFormat="1" x14ac:dyDescent="0.4">
      <c r="A181" s="2" t="s">
        <v>72</v>
      </c>
      <c r="B181" s="2" t="s">
        <v>7085</v>
      </c>
      <c r="C181" s="2" t="s">
        <v>74</v>
      </c>
      <c r="D181" s="2" t="s">
        <v>74</v>
      </c>
      <c r="E181" s="2" t="s">
        <v>74</v>
      </c>
      <c r="F181" s="2" t="s">
        <v>7086</v>
      </c>
      <c r="G181" s="2" t="s">
        <v>74</v>
      </c>
      <c r="H181" s="2" t="s">
        <v>74</v>
      </c>
      <c r="I181" s="2" t="s">
        <v>7087</v>
      </c>
      <c r="J181" s="2" t="s">
        <v>7088</v>
      </c>
      <c r="K181" s="2" t="s">
        <v>74</v>
      </c>
      <c r="L181" s="2" t="s">
        <v>74</v>
      </c>
      <c r="M181" s="2" t="s">
        <v>74</v>
      </c>
      <c r="N181" s="2" t="s">
        <v>74</v>
      </c>
      <c r="O181" s="2" t="s">
        <v>74</v>
      </c>
      <c r="P181" s="2" t="s">
        <v>74</v>
      </c>
      <c r="Q181" s="2" t="s">
        <v>74</v>
      </c>
      <c r="R181" s="2" t="s">
        <v>74</v>
      </c>
      <c r="S181" s="2" t="s">
        <v>74</v>
      </c>
      <c r="T181" s="2" t="s">
        <v>74</v>
      </c>
      <c r="U181" s="2" t="s">
        <v>74</v>
      </c>
      <c r="V181" s="5" t="s">
        <v>7089</v>
      </c>
      <c r="W181" s="2" t="s">
        <v>74</v>
      </c>
      <c r="X181" s="2" t="s">
        <v>74</v>
      </c>
      <c r="Y181" s="2" t="s">
        <v>74</v>
      </c>
      <c r="Z181" s="2" t="s">
        <v>74</v>
      </c>
      <c r="AA181" s="2" t="s">
        <v>74</v>
      </c>
      <c r="AB181" s="2" t="s">
        <v>74</v>
      </c>
      <c r="AC181" s="2" t="s">
        <v>74</v>
      </c>
      <c r="AD181" s="2" t="s">
        <v>74</v>
      </c>
      <c r="AE181" s="2" t="s">
        <v>74</v>
      </c>
      <c r="AF181" s="2" t="s">
        <v>74</v>
      </c>
      <c r="AG181" s="2" t="s">
        <v>74</v>
      </c>
      <c r="AH181" s="2" t="s">
        <v>74</v>
      </c>
      <c r="AI181" s="2" t="s">
        <v>74</v>
      </c>
      <c r="AJ181" s="2" t="s">
        <v>74</v>
      </c>
      <c r="AK181" s="2" t="s">
        <v>74</v>
      </c>
      <c r="AL181" s="2" t="s">
        <v>74</v>
      </c>
      <c r="AM181" s="2" t="s">
        <v>74</v>
      </c>
      <c r="AN181" s="2" t="s">
        <v>74</v>
      </c>
      <c r="AO181" s="2" t="s">
        <v>7090</v>
      </c>
      <c r="AP181" s="2" t="s">
        <v>74</v>
      </c>
      <c r="AQ181" s="2" t="s">
        <v>74</v>
      </c>
      <c r="AR181" s="2" t="s">
        <v>74</v>
      </c>
      <c r="AS181" s="2" t="s">
        <v>74</v>
      </c>
      <c r="AT181" s="2" t="s">
        <v>74</v>
      </c>
      <c r="AU181" s="2">
        <v>2020</v>
      </c>
      <c r="AV181" s="2">
        <v>14</v>
      </c>
      <c r="AW181" s="2">
        <v>3</v>
      </c>
      <c r="AX181" s="2" t="s">
        <v>74</v>
      </c>
      <c r="AY181" s="2" t="s">
        <v>74</v>
      </c>
      <c r="AZ181" s="2" t="s">
        <v>74</v>
      </c>
      <c r="BA181" s="2" t="s">
        <v>74</v>
      </c>
      <c r="BB181" s="2">
        <v>231</v>
      </c>
      <c r="BC181" s="2">
        <v>250</v>
      </c>
      <c r="BD181" s="2" t="s">
        <v>7091</v>
      </c>
      <c r="BE181" s="2" t="s">
        <v>74</v>
      </c>
      <c r="BF181" s="2" t="s">
        <v>74</v>
      </c>
      <c r="BG181" s="2" t="s">
        <v>74</v>
      </c>
      <c r="BH181" s="2" t="s">
        <v>74</v>
      </c>
      <c r="BI181" s="2" t="s">
        <v>74</v>
      </c>
      <c r="BJ181" s="2" t="s">
        <v>74</v>
      </c>
      <c r="BK181" s="2" t="s">
        <v>74</v>
      </c>
      <c r="BL181" s="2" t="s">
        <v>74</v>
      </c>
      <c r="BM181" s="2" t="s">
        <v>74</v>
      </c>
      <c r="BN181" s="2" t="s">
        <v>74</v>
      </c>
      <c r="BO181" s="2" t="s">
        <v>74</v>
      </c>
      <c r="BP181" s="2" t="s">
        <v>74</v>
      </c>
      <c r="BQ181" s="2" t="s">
        <v>74</v>
      </c>
      <c r="BR181" s="2" t="s">
        <v>74</v>
      </c>
      <c r="BS181" s="2" t="s">
        <v>7092</v>
      </c>
      <c r="BT181" s="2" t="str">
        <f>HYPERLINK("https%3A%2F%2Fwww.webofscience.com%2Fwos%2Fwoscc%2Ffull-record%2FWOS:000620656500007","View Full Record in Web of Science")</f>
        <v>View Full Record in Web of Science</v>
      </c>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row>
    <row r="182" spans="1:314" s="1" customFormat="1" x14ac:dyDescent="0.4">
      <c r="A182" s="2" t="s">
        <v>72</v>
      </c>
      <c r="B182" s="2" t="s">
        <v>2495</v>
      </c>
      <c r="C182" s="2" t="s">
        <v>74</v>
      </c>
      <c r="D182" s="2" t="s">
        <v>74</v>
      </c>
      <c r="E182" s="2" t="s">
        <v>74</v>
      </c>
      <c r="F182" s="2" t="s">
        <v>2495</v>
      </c>
      <c r="G182" s="2" t="s">
        <v>74</v>
      </c>
      <c r="H182" s="2" t="s">
        <v>74</v>
      </c>
      <c r="I182" s="2" t="s">
        <v>2496</v>
      </c>
      <c r="J182" s="2" t="s">
        <v>77</v>
      </c>
      <c r="K182" s="2" t="s">
        <v>74</v>
      </c>
      <c r="L182" s="2" t="s">
        <v>74</v>
      </c>
      <c r="M182" s="2" t="s">
        <v>74</v>
      </c>
      <c r="N182" s="2" t="s">
        <v>74</v>
      </c>
      <c r="O182" s="2" t="s">
        <v>74</v>
      </c>
      <c r="P182" s="2" t="s">
        <v>74</v>
      </c>
      <c r="Q182" s="2" t="s">
        <v>74</v>
      </c>
      <c r="R182" s="2" t="s">
        <v>74</v>
      </c>
      <c r="S182" s="2" t="s">
        <v>74</v>
      </c>
      <c r="T182" s="2" t="s">
        <v>74</v>
      </c>
      <c r="U182" s="2" t="s">
        <v>74</v>
      </c>
      <c r="V182" s="5" t="s">
        <v>2497</v>
      </c>
      <c r="W182" s="2" t="s">
        <v>74</v>
      </c>
      <c r="X182" s="2" t="s">
        <v>74</v>
      </c>
      <c r="Y182" s="2" t="s">
        <v>74</v>
      </c>
      <c r="Z182" s="2" t="s">
        <v>74</v>
      </c>
      <c r="AA182" s="2" t="s">
        <v>74</v>
      </c>
      <c r="AB182" s="2" t="s">
        <v>74</v>
      </c>
      <c r="AC182" s="2" t="s">
        <v>74</v>
      </c>
      <c r="AD182" s="2" t="s">
        <v>74</v>
      </c>
      <c r="AE182" s="2" t="s">
        <v>74</v>
      </c>
      <c r="AF182" s="2" t="s">
        <v>74</v>
      </c>
      <c r="AG182" s="2" t="s">
        <v>74</v>
      </c>
      <c r="AH182" s="2" t="s">
        <v>74</v>
      </c>
      <c r="AI182" s="2" t="s">
        <v>74</v>
      </c>
      <c r="AJ182" s="2" t="s">
        <v>74</v>
      </c>
      <c r="AK182" s="2" t="s">
        <v>74</v>
      </c>
      <c r="AL182" s="2" t="s">
        <v>74</v>
      </c>
      <c r="AM182" s="2" t="s">
        <v>74</v>
      </c>
      <c r="AN182" s="2" t="s">
        <v>74</v>
      </c>
      <c r="AO182" s="2" t="s">
        <v>81</v>
      </c>
      <c r="AP182" s="2" t="s">
        <v>74</v>
      </c>
      <c r="AQ182" s="2" t="s">
        <v>74</v>
      </c>
      <c r="AR182" s="2" t="s">
        <v>74</v>
      </c>
      <c r="AS182" s="2" t="s">
        <v>74</v>
      </c>
      <c r="AT182" s="2" t="s">
        <v>305</v>
      </c>
      <c r="AU182" s="2">
        <v>1994</v>
      </c>
      <c r="AV182" s="2">
        <v>131</v>
      </c>
      <c r="AW182" s="2" t="s">
        <v>74</v>
      </c>
      <c r="AX182" s="2" t="s">
        <v>1276</v>
      </c>
      <c r="AY182" s="2" t="s">
        <v>74</v>
      </c>
      <c r="AZ182" s="2" t="s">
        <v>74</v>
      </c>
      <c r="BA182" s="2" t="s">
        <v>74</v>
      </c>
      <c r="BB182" s="2">
        <v>207</v>
      </c>
      <c r="BC182" s="2">
        <v>224</v>
      </c>
      <c r="BD182" s="2" t="s">
        <v>74</v>
      </c>
      <c r="BE182" s="2" t="s">
        <v>2498</v>
      </c>
      <c r="BF182" s="2" t="str">
        <f>HYPERLINK("http://dx.doi.org/10.1163/156853994X00442","http://dx.doi.org/10.1163/156853994X00442")</f>
        <v>http://dx.doi.org/10.1163/156853994X00442</v>
      </c>
      <c r="BG182" s="2" t="s">
        <v>74</v>
      </c>
      <c r="BH182" s="2" t="s">
        <v>74</v>
      </c>
      <c r="BI182" s="2" t="s">
        <v>74</v>
      </c>
      <c r="BJ182" s="2" t="s">
        <v>74</v>
      </c>
      <c r="BK182" s="2" t="s">
        <v>74</v>
      </c>
      <c r="BL182" s="2" t="s">
        <v>74</v>
      </c>
      <c r="BM182" s="2" t="s">
        <v>74</v>
      </c>
      <c r="BN182" s="2" t="s">
        <v>74</v>
      </c>
      <c r="BO182" s="2" t="s">
        <v>74</v>
      </c>
      <c r="BP182" s="2" t="s">
        <v>74</v>
      </c>
      <c r="BQ182" s="2" t="s">
        <v>74</v>
      </c>
      <c r="BR182" s="2" t="s">
        <v>74</v>
      </c>
      <c r="BS182" s="2" t="s">
        <v>2499</v>
      </c>
      <c r="BT182" s="2" t="str">
        <f>HYPERLINK("https%3A%2F%2Fwww.webofscience.com%2Fwos%2Fwoscc%2Ffull-record%2FWOS:A1994QT85100005","View Full Record in Web of Science")</f>
        <v>View Full Record in Web of Science</v>
      </c>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row>
    <row r="183" spans="1:314" s="2" customFormat="1" x14ac:dyDescent="0.4">
      <c r="A183" s="2" t="s">
        <v>72</v>
      </c>
      <c r="B183" s="2" t="s">
        <v>199</v>
      </c>
      <c r="C183" s="2" t="s">
        <v>74</v>
      </c>
      <c r="D183" s="2" t="s">
        <v>74</v>
      </c>
      <c r="E183" s="2" t="s">
        <v>74</v>
      </c>
      <c r="F183" s="2" t="s">
        <v>199</v>
      </c>
      <c r="G183" s="2" t="s">
        <v>74</v>
      </c>
      <c r="H183" s="2" t="s">
        <v>74</v>
      </c>
      <c r="I183" s="2" t="s">
        <v>200</v>
      </c>
      <c r="J183" s="2" t="s">
        <v>201</v>
      </c>
      <c r="K183" s="2" t="s">
        <v>74</v>
      </c>
      <c r="L183" s="2" t="s">
        <v>74</v>
      </c>
      <c r="M183" s="2" t="s">
        <v>74</v>
      </c>
      <c r="N183" s="2" t="s">
        <v>74</v>
      </c>
      <c r="O183" s="2" t="s">
        <v>74</v>
      </c>
      <c r="P183" s="2" t="s">
        <v>74</v>
      </c>
      <c r="Q183" s="2" t="s">
        <v>74</v>
      </c>
      <c r="R183" s="2" t="s">
        <v>74</v>
      </c>
      <c r="S183" s="2" t="s">
        <v>74</v>
      </c>
      <c r="T183" s="2" t="s">
        <v>74</v>
      </c>
      <c r="U183" s="2" t="s">
        <v>74</v>
      </c>
      <c r="V183" s="5" t="s">
        <v>202</v>
      </c>
      <c r="W183" s="2" t="s">
        <v>74</v>
      </c>
      <c r="X183" s="2" t="s">
        <v>74</v>
      </c>
      <c r="Y183" s="2" t="s">
        <v>74</v>
      </c>
      <c r="Z183" s="2" t="s">
        <v>74</v>
      </c>
      <c r="AA183" s="2" t="s">
        <v>74</v>
      </c>
      <c r="AB183" s="2" t="s">
        <v>74</v>
      </c>
      <c r="AC183" s="2" t="s">
        <v>74</v>
      </c>
      <c r="AD183" s="2" t="s">
        <v>74</v>
      </c>
      <c r="AE183" s="2" t="s">
        <v>74</v>
      </c>
      <c r="AF183" s="2" t="s">
        <v>74</v>
      </c>
      <c r="AG183" s="2" t="s">
        <v>74</v>
      </c>
      <c r="AH183" s="2" t="s">
        <v>74</v>
      </c>
      <c r="AI183" s="2" t="s">
        <v>74</v>
      </c>
      <c r="AJ183" s="2" t="s">
        <v>74</v>
      </c>
      <c r="AK183" s="2" t="s">
        <v>74</v>
      </c>
      <c r="AL183" s="2" t="s">
        <v>74</v>
      </c>
      <c r="AM183" s="2" t="s">
        <v>74</v>
      </c>
      <c r="AN183" s="2" t="s">
        <v>74</v>
      </c>
      <c r="AO183" s="2" t="s">
        <v>203</v>
      </c>
      <c r="AP183" s="2" t="s">
        <v>74</v>
      </c>
      <c r="AQ183" s="2" t="s">
        <v>74</v>
      </c>
      <c r="AR183" s="2" t="s">
        <v>74</v>
      </c>
      <c r="AS183" s="2" t="s">
        <v>74</v>
      </c>
      <c r="AT183" s="2" t="s">
        <v>204</v>
      </c>
      <c r="AU183" s="2">
        <v>1995</v>
      </c>
      <c r="AV183" s="2">
        <v>47</v>
      </c>
      <c r="AW183" s="2">
        <v>1</v>
      </c>
      <c r="AX183" s="2" t="s">
        <v>74</v>
      </c>
      <c r="AY183" s="2" t="s">
        <v>74</v>
      </c>
      <c r="AZ183" s="2" t="s">
        <v>74</v>
      </c>
      <c r="BA183" s="2" t="s">
        <v>74</v>
      </c>
      <c r="BB183" s="2">
        <v>50</v>
      </c>
      <c r="BC183" s="2">
        <v>58</v>
      </c>
      <c r="BD183" s="2" t="s">
        <v>74</v>
      </c>
      <c r="BE183" s="2" t="s">
        <v>205</v>
      </c>
      <c r="BF183" s="2" t="str">
        <f>HYPERLINK("http://dx.doi.org/10.1111/j.1095-8649.1995.tb01872.x","http://dx.doi.org/10.1111/j.1095-8649.1995.tb01872.x")</f>
        <v>http://dx.doi.org/10.1111/j.1095-8649.1995.tb01872.x</v>
      </c>
      <c r="BG183" s="2" t="s">
        <v>74</v>
      </c>
      <c r="BH183" s="2" t="s">
        <v>74</v>
      </c>
      <c r="BI183" s="2" t="s">
        <v>74</v>
      </c>
      <c r="BJ183" s="2" t="s">
        <v>74</v>
      </c>
      <c r="BK183" s="2" t="s">
        <v>74</v>
      </c>
      <c r="BL183" s="2" t="s">
        <v>74</v>
      </c>
      <c r="BM183" s="2" t="s">
        <v>74</v>
      </c>
      <c r="BN183" s="2" t="s">
        <v>74</v>
      </c>
      <c r="BO183" s="2" t="s">
        <v>74</v>
      </c>
      <c r="BP183" s="2" t="s">
        <v>74</v>
      </c>
      <c r="BQ183" s="2" t="s">
        <v>74</v>
      </c>
      <c r="BR183" s="2" t="s">
        <v>74</v>
      </c>
      <c r="BS183" s="2" t="s">
        <v>206</v>
      </c>
      <c r="BT183" s="2" t="str">
        <f>HYPERLINK("https%3A%2F%2Fwww.webofscience.com%2Fwos%2Fwoscc%2Ffull-record%2FWOS:A1995RK16500006","View Full Record in Web of Science")</f>
        <v>View Full Record in Web of Science</v>
      </c>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row>
    <row r="184" spans="1:314" s="2" customFormat="1" x14ac:dyDescent="0.4">
      <c r="A184" s="2" t="s">
        <v>72</v>
      </c>
      <c r="B184" s="2" t="s">
        <v>2039</v>
      </c>
      <c r="C184" s="2" t="s">
        <v>74</v>
      </c>
      <c r="D184" s="2" t="s">
        <v>74</v>
      </c>
      <c r="E184" s="2" t="s">
        <v>74</v>
      </c>
      <c r="F184" s="2" t="s">
        <v>2040</v>
      </c>
      <c r="G184" s="2" t="s">
        <v>74</v>
      </c>
      <c r="H184" s="2" t="s">
        <v>74</v>
      </c>
      <c r="I184" s="2" t="s">
        <v>2041</v>
      </c>
      <c r="J184" s="2" t="s">
        <v>2042</v>
      </c>
      <c r="K184" s="2" t="s">
        <v>74</v>
      </c>
      <c r="L184" s="2" t="s">
        <v>74</v>
      </c>
      <c r="M184" s="2" t="s">
        <v>74</v>
      </c>
      <c r="N184" s="2" t="s">
        <v>74</v>
      </c>
      <c r="O184" s="2" t="s">
        <v>74</v>
      </c>
      <c r="P184" s="2" t="s">
        <v>74</v>
      </c>
      <c r="Q184" s="2" t="s">
        <v>74</v>
      </c>
      <c r="R184" s="2" t="s">
        <v>74</v>
      </c>
      <c r="S184" s="2" t="s">
        <v>74</v>
      </c>
      <c r="T184" s="2" t="s">
        <v>74</v>
      </c>
      <c r="U184" s="2" t="s">
        <v>74</v>
      </c>
      <c r="V184" s="5" t="s">
        <v>2043</v>
      </c>
      <c r="W184" s="2" t="s">
        <v>74</v>
      </c>
      <c r="X184" s="2" t="s">
        <v>74</v>
      </c>
      <c r="Y184" s="2" t="s">
        <v>74</v>
      </c>
      <c r="Z184" s="2" t="s">
        <v>74</v>
      </c>
      <c r="AA184" s="2" t="s">
        <v>74</v>
      </c>
      <c r="AB184" s="2" t="s">
        <v>2044</v>
      </c>
      <c r="AC184" s="2" t="s">
        <v>74</v>
      </c>
      <c r="AD184" s="2" t="s">
        <v>74</v>
      </c>
      <c r="AE184" s="2" t="s">
        <v>74</v>
      </c>
      <c r="AF184" s="2" t="s">
        <v>74</v>
      </c>
      <c r="AG184" s="2" t="s">
        <v>74</v>
      </c>
      <c r="AH184" s="2" t="s">
        <v>74</v>
      </c>
      <c r="AI184" s="2" t="s">
        <v>74</v>
      </c>
      <c r="AJ184" s="2" t="s">
        <v>74</v>
      </c>
      <c r="AK184" s="2" t="s">
        <v>74</v>
      </c>
      <c r="AL184" s="2" t="s">
        <v>74</v>
      </c>
      <c r="AM184" s="2" t="s">
        <v>74</v>
      </c>
      <c r="AN184" s="2" t="s">
        <v>74</v>
      </c>
      <c r="AO184" s="2" t="s">
        <v>2045</v>
      </c>
      <c r="AP184" s="2" t="s">
        <v>2046</v>
      </c>
      <c r="AQ184" s="2" t="s">
        <v>74</v>
      </c>
      <c r="AR184" s="2" t="s">
        <v>74</v>
      </c>
      <c r="AS184" s="2" t="s">
        <v>74</v>
      </c>
      <c r="AT184" s="2" t="s">
        <v>204</v>
      </c>
      <c r="AU184" s="2">
        <v>2017</v>
      </c>
      <c r="AV184" s="2">
        <v>64</v>
      </c>
      <c r="AW184" s="2">
        <v>3</v>
      </c>
      <c r="AX184" s="2" t="s">
        <v>74</v>
      </c>
      <c r="AY184" s="2" t="s">
        <v>74</v>
      </c>
      <c r="AZ184" s="2" t="s">
        <v>74</v>
      </c>
      <c r="BA184" s="2" t="s">
        <v>74</v>
      </c>
      <c r="BB184" s="2">
        <v>301</v>
      </c>
      <c r="BC184" s="2">
        <v>307</v>
      </c>
      <c r="BD184" s="2" t="s">
        <v>74</v>
      </c>
      <c r="BE184" s="2" t="s">
        <v>2047</v>
      </c>
      <c r="BF184" s="2" t="str">
        <f>HYPERLINK("http://dx.doi.org/10.1007/s10228-016-0567-y","http://dx.doi.org/10.1007/s10228-016-0567-y")</f>
        <v>http://dx.doi.org/10.1007/s10228-016-0567-y</v>
      </c>
      <c r="BG184" s="2" t="s">
        <v>74</v>
      </c>
      <c r="BH184" s="2" t="s">
        <v>74</v>
      </c>
      <c r="BI184" s="2" t="s">
        <v>74</v>
      </c>
      <c r="BJ184" s="2" t="s">
        <v>74</v>
      </c>
      <c r="BK184" s="2" t="s">
        <v>74</v>
      </c>
      <c r="BL184" s="2" t="s">
        <v>74</v>
      </c>
      <c r="BM184" s="2" t="s">
        <v>74</v>
      </c>
      <c r="BN184" s="2" t="s">
        <v>74</v>
      </c>
      <c r="BO184" s="2" t="s">
        <v>74</v>
      </c>
      <c r="BP184" s="2" t="s">
        <v>74</v>
      </c>
      <c r="BQ184" s="2" t="s">
        <v>74</v>
      </c>
      <c r="BR184" s="2" t="s">
        <v>74</v>
      </c>
      <c r="BS184" s="2" t="s">
        <v>2048</v>
      </c>
      <c r="BT184" s="2" t="str">
        <f>HYPERLINK("https%3A%2F%2Fwww.webofscience.com%2Fwos%2Fwoscc%2Ffull-record%2FWOS:000404661100003","View Full Record in Web of Science")</f>
        <v>View Full Record in Web of Science</v>
      </c>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row>
    <row r="185" spans="1:314" s="2" customFormat="1" x14ac:dyDescent="0.4">
      <c r="A185" s="2" t="s">
        <v>72</v>
      </c>
      <c r="B185" s="2" t="s">
        <v>3097</v>
      </c>
      <c r="C185" s="2" t="s">
        <v>74</v>
      </c>
      <c r="D185" s="2" t="s">
        <v>74</v>
      </c>
      <c r="E185" s="2" t="s">
        <v>74</v>
      </c>
      <c r="F185" s="2" t="s">
        <v>3098</v>
      </c>
      <c r="G185" s="2" t="s">
        <v>74</v>
      </c>
      <c r="H185" s="2" t="s">
        <v>74</v>
      </c>
      <c r="I185" s="2" t="s">
        <v>3099</v>
      </c>
      <c r="J185" s="2" t="s">
        <v>3100</v>
      </c>
      <c r="K185" s="2" t="s">
        <v>74</v>
      </c>
      <c r="L185" s="2" t="s">
        <v>74</v>
      </c>
      <c r="M185" s="2" t="s">
        <v>74</v>
      </c>
      <c r="N185" s="2" t="s">
        <v>74</v>
      </c>
      <c r="O185" s="2" t="s">
        <v>74</v>
      </c>
      <c r="P185" s="2" t="s">
        <v>74</v>
      </c>
      <c r="Q185" s="2" t="s">
        <v>74</v>
      </c>
      <c r="R185" s="2" t="s">
        <v>74</v>
      </c>
      <c r="S185" s="2" t="s">
        <v>74</v>
      </c>
      <c r="T185" s="2" t="s">
        <v>74</v>
      </c>
      <c r="U185" s="2" t="s">
        <v>74</v>
      </c>
      <c r="V185" s="5" t="s">
        <v>3101</v>
      </c>
      <c r="W185" s="2" t="s">
        <v>74</v>
      </c>
      <c r="X185" s="2" t="s">
        <v>74</v>
      </c>
      <c r="Y185" s="2" t="s">
        <v>74</v>
      </c>
      <c r="Z185" s="2" t="s">
        <v>74</v>
      </c>
      <c r="AA185" s="2" t="s">
        <v>3102</v>
      </c>
      <c r="AB185" s="2" t="s">
        <v>3103</v>
      </c>
      <c r="AC185" s="2" t="s">
        <v>74</v>
      </c>
      <c r="AD185" s="2" t="s">
        <v>74</v>
      </c>
      <c r="AE185" s="2" t="s">
        <v>74</v>
      </c>
      <c r="AF185" s="2" t="s">
        <v>74</v>
      </c>
      <c r="AG185" s="2" t="s">
        <v>74</v>
      </c>
      <c r="AH185" s="2" t="s">
        <v>74</v>
      </c>
      <c r="AI185" s="2" t="s">
        <v>74</v>
      </c>
      <c r="AJ185" s="2" t="s">
        <v>74</v>
      </c>
      <c r="AK185" s="2" t="s">
        <v>74</v>
      </c>
      <c r="AL185" s="2" t="s">
        <v>74</v>
      </c>
      <c r="AM185" s="2" t="s">
        <v>74</v>
      </c>
      <c r="AN185" s="2" t="s">
        <v>74</v>
      </c>
      <c r="AO185" s="2" t="s">
        <v>74</v>
      </c>
      <c r="AP185" s="2" t="s">
        <v>3104</v>
      </c>
      <c r="AQ185" s="2" t="s">
        <v>74</v>
      </c>
      <c r="AR185" s="2" t="s">
        <v>74</v>
      </c>
      <c r="AS185" s="2" t="s">
        <v>74</v>
      </c>
      <c r="AT185" s="2" t="s">
        <v>3105</v>
      </c>
      <c r="AU185" s="2">
        <v>2017</v>
      </c>
      <c r="AV185" s="2">
        <v>4</v>
      </c>
      <c r="AW185" s="2" t="s">
        <v>74</v>
      </c>
      <c r="AX185" s="2" t="s">
        <v>74</v>
      </c>
      <c r="AY185" s="2" t="s">
        <v>74</v>
      </c>
      <c r="AZ185" s="2" t="s">
        <v>74</v>
      </c>
      <c r="BA185" s="2" t="s">
        <v>74</v>
      </c>
      <c r="BB185" s="2" t="s">
        <v>74</v>
      </c>
      <c r="BC185" s="2" t="s">
        <v>74</v>
      </c>
      <c r="BD185" s="2">
        <v>188</v>
      </c>
      <c r="BE185" s="2" t="s">
        <v>3106</v>
      </c>
      <c r="BF185" s="2" t="str">
        <f>HYPERLINK("http://dx.doi.org/10.3389/fvets.2017.00188","http://dx.doi.org/10.3389/fvets.2017.00188")</f>
        <v>http://dx.doi.org/10.3389/fvets.2017.00188</v>
      </c>
      <c r="BG185" s="2" t="s">
        <v>74</v>
      </c>
      <c r="BH185" s="2" t="s">
        <v>74</v>
      </c>
      <c r="BI185" s="2" t="s">
        <v>74</v>
      </c>
      <c r="BJ185" s="2" t="s">
        <v>74</v>
      </c>
      <c r="BK185" s="2" t="s">
        <v>74</v>
      </c>
      <c r="BL185" s="2" t="s">
        <v>74</v>
      </c>
      <c r="BM185" s="2" t="s">
        <v>74</v>
      </c>
      <c r="BN185" s="2">
        <v>29164143</v>
      </c>
      <c r="BO185" s="2" t="s">
        <v>74</v>
      </c>
      <c r="BP185" s="2" t="s">
        <v>74</v>
      </c>
      <c r="BQ185" s="2" t="s">
        <v>74</v>
      </c>
      <c r="BR185" s="2" t="s">
        <v>74</v>
      </c>
      <c r="BS185" s="2" t="s">
        <v>3107</v>
      </c>
      <c r="BT185" s="2" t="str">
        <f>HYPERLINK("https%3A%2F%2Fwww.webofscience.com%2Fwos%2Fwoscc%2Ffull-record%2FWOS:000451800800002","View Full Record in Web of Science")</f>
        <v>View Full Record in Web of Science</v>
      </c>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row>
    <row r="186" spans="1:314" s="2" customFormat="1" x14ac:dyDescent="0.4">
      <c r="A186" s="2" t="s">
        <v>72</v>
      </c>
      <c r="B186" s="2" t="s">
        <v>4646</v>
      </c>
      <c r="C186" s="2" t="s">
        <v>74</v>
      </c>
      <c r="D186" s="2" t="s">
        <v>74</v>
      </c>
      <c r="E186" s="2" t="s">
        <v>74</v>
      </c>
      <c r="F186" s="2" t="s">
        <v>4646</v>
      </c>
      <c r="G186" s="2" t="s">
        <v>74</v>
      </c>
      <c r="H186" s="2" t="s">
        <v>74</v>
      </c>
      <c r="I186" s="2" t="s">
        <v>4647</v>
      </c>
      <c r="J186" s="2" t="s">
        <v>1526</v>
      </c>
      <c r="K186" s="2" t="s">
        <v>74</v>
      </c>
      <c r="L186" s="2" t="s">
        <v>74</v>
      </c>
      <c r="M186" s="2" t="s">
        <v>74</v>
      </c>
      <c r="N186" s="2" t="s">
        <v>74</v>
      </c>
      <c r="O186" s="2" t="s">
        <v>74</v>
      </c>
      <c r="P186" s="2" t="s">
        <v>74</v>
      </c>
      <c r="Q186" s="2" t="s">
        <v>74</v>
      </c>
      <c r="R186" s="2" t="s">
        <v>74</v>
      </c>
      <c r="S186" s="2" t="s">
        <v>74</v>
      </c>
      <c r="T186" s="2" t="s">
        <v>74</v>
      </c>
      <c r="U186" s="2" t="s">
        <v>74</v>
      </c>
      <c r="V186" s="5" t="s">
        <v>4648</v>
      </c>
      <c r="W186" s="2" t="s">
        <v>74</v>
      </c>
      <c r="X186" s="2" t="s">
        <v>74</v>
      </c>
      <c r="Y186" s="2" t="s">
        <v>74</v>
      </c>
      <c r="Z186" s="2" t="s">
        <v>74</v>
      </c>
      <c r="AA186" s="2" t="s">
        <v>4649</v>
      </c>
      <c r="AB186" s="2" t="s">
        <v>4650</v>
      </c>
      <c r="AC186" s="2" t="s">
        <v>74</v>
      </c>
      <c r="AD186" s="2" t="s">
        <v>74</v>
      </c>
      <c r="AE186" s="2" t="s">
        <v>74</v>
      </c>
      <c r="AF186" s="2" t="s">
        <v>74</v>
      </c>
      <c r="AG186" s="2" t="s">
        <v>74</v>
      </c>
      <c r="AH186" s="2" t="s">
        <v>74</v>
      </c>
      <c r="AI186" s="2" t="s">
        <v>74</v>
      </c>
      <c r="AJ186" s="2" t="s">
        <v>74</v>
      </c>
      <c r="AK186" s="2" t="s">
        <v>74</v>
      </c>
      <c r="AL186" s="2" t="s">
        <v>74</v>
      </c>
      <c r="AM186" s="2" t="s">
        <v>74</v>
      </c>
      <c r="AN186" s="2" t="s">
        <v>74</v>
      </c>
      <c r="AO186" s="2" t="s">
        <v>1528</v>
      </c>
      <c r="AP186" s="2" t="s">
        <v>74</v>
      </c>
      <c r="AQ186" s="2" t="s">
        <v>74</v>
      </c>
      <c r="AR186" s="2" t="s">
        <v>74</v>
      </c>
      <c r="AS186" s="2" t="s">
        <v>74</v>
      </c>
      <c r="AT186" s="2" t="s">
        <v>145</v>
      </c>
      <c r="AU186" s="2">
        <v>1994</v>
      </c>
      <c r="AV186" s="2">
        <v>96</v>
      </c>
      <c r="AW186" s="2">
        <v>3</v>
      </c>
      <c r="AX186" s="2" t="s">
        <v>74</v>
      </c>
      <c r="AY186" s="2" t="s">
        <v>74</v>
      </c>
      <c r="AZ186" s="2" t="s">
        <v>74</v>
      </c>
      <c r="BA186" s="2" t="s">
        <v>74</v>
      </c>
      <c r="BB186" s="2">
        <v>614</v>
      </c>
      <c r="BC186" s="2">
        <v>625</v>
      </c>
      <c r="BD186" s="2" t="s">
        <v>74</v>
      </c>
      <c r="BE186" s="2" t="s">
        <v>4651</v>
      </c>
      <c r="BF186" s="2" t="str">
        <f>HYPERLINK("http://dx.doi.org/10.2307/1369464","http://dx.doi.org/10.2307/1369464")</f>
        <v>http://dx.doi.org/10.2307/1369464</v>
      </c>
      <c r="BG186" s="2" t="s">
        <v>74</v>
      </c>
      <c r="BH186" s="2" t="s">
        <v>74</v>
      </c>
      <c r="BI186" s="2" t="s">
        <v>74</v>
      </c>
      <c r="BJ186" s="2" t="s">
        <v>74</v>
      </c>
      <c r="BK186" s="2" t="s">
        <v>74</v>
      </c>
      <c r="BL186" s="2" t="s">
        <v>74</v>
      </c>
      <c r="BM186" s="2" t="s">
        <v>74</v>
      </c>
      <c r="BN186" s="2" t="s">
        <v>74</v>
      </c>
      <c r="BO186" s="2" t="s">
        <v>74</v>
      </c>
      <c r="BP186" s="2" t="s">
        <v>74</v>
      </c>
      <c r="BQ186" s="2" t="s">
        <v>74</v>
      </c>
      <c r="BR186" s="2" t="s">
        <v>74</v>
      </c>
      <c r="BS186" s="2" t="s">
        <v>4652</v>
      </c>
      <c r="BT186" s="2" t="str">
        <f>HYPERLINK("https%3A%2F%2Fwww.webofscience.com%2Fwos%2Fwoscc%2Ffull-record%2FWOS:A1994PE53800005","View Full Record in Web of Science")</f>
        <v>View Full Record in Web of Science</v>
      </c>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row>
    <row r="187" spans="1:314" s="2" customFormat="1" x14ac:dyDescent="0.4">
      <c r="A187" s="2" t="s">
        <v>72</v>
      </c>
      <c r="B187" s="2" t="s">
        <v>5369</v>
      </c>
      <c r="C187" s="2" t="s">
        <v>74</v>
      </c>
      <c r="D187" s="2" t="s">
        <v>74</v>
      </c>
      <c r="E187" s="2" t="s">
        <v>74</v>
      </c>
      <c r="F187" s="2" t="s">
        <v>5370</v>
      </c>
      <c r="G187" s="2" t="s">
        <v>74</v>
      </c>
      <c r="H187" s="2" t="s">
        <v>74</v>
      </c>
      <c r="I187" s="2" t="s">
        <v>5371</v>
      </c>
      <c r="J187" s="2" t="s">
        <v>140</v>
      </c>
      <c r="K187" s="2" t="s">
        <v>74</v>
      </c>
      <c r="L187" s="2" t="s">
        <v>74</v>
      </c>
      <c r="M187" s="2" t="s">
        <v>74</v>
      </c>
      <c r="N187" s="2" t="s">
        <v>74</v>
      </c>
      <c r="O187" s="2" t="s">
        <v>74</v>
      </c>
      <c r="P187" s="2" t="s">
        <v>74</v>
      </c>
      <c r="Q187" s="2" t="s">
        <v>74</v>
      </c>
      <c r="R187" s="2" t="s">
        <v>74</v>
      </c>
      <c r="S187" s="2" t="s">
        <v>74</v>
      </c>
      <c r="T187" s="2" t="s">
        <v>74</v>
      </c>
      <c r="U187" s="2" t="s">
        <v>74</v>
      </c>
      <c r="V187" s="5" t="s">
        <v>5372</v>
      </c>
      <c r="W187" s="2" t="s">
        <v>74</v>
      </c>
      <c r="X187" s="2" t="s">
        <v>74</v>
      </c>
      <c r="Y187" s="2" t="s">
        <v>74</v>
      </c>
      <c r="Z187" s="2" t="s">
        <v>74</v>
      </c>
      <c r="AA187" s="2" t="s">
        <v>5373</v>
      </c>
      <c r="AB187" s="2" t="s">
        <v>5374</v>
      </c>
      <c r="AC187" s="2" t="s">
        <v>74</v>
      </c>
      <c r="AD187" s="2" t="s">
        <v>74</v>
      </c>
      <c r="AE187" s="2" t="s">
        <v>74</v>
      </c>
      <c r="AF187" s="2" t="s">
        <v>74</v>
      </c>
      <c r="AG187" s="2" t="s">
        <v>74</v>
      </c>
      <c r="AH187" s="2" t="s">
        <v>74</v>
      </c>
      <c r="AI187" s="2" t="s">
        <v>74</v>
      </c>
      <c r="AJ187" s="2" t="s">
        <v>74</v>
      </c>
      <c r="AK187" s="2" t="s">
        <v>74</v>
      </c>
      <c r="AL187" s="2" t="s">
        <v>74</v>
      </c>
      <c r="AM187" s="2" t="s">
        <v>74</v>
      </c>
      <c r="AN187" s="2" t="s">
        <v>74</v>
      </c>
      <c r="AO187" s="2" t="s">
        <v>143</v>
      </c>
      <c r="AP187" s="2" t="s">
        <v>144</v>
      </c>
      <c r="AQ187" s="2" t="s">
        <v>74</v>
      </c>
      <c r="AR187" s="2" t="s">
        <v>74</v>
      </c>
      <c r="AS187" s="2" t="s">
        <v>74</v>
      </c>
      <c r="AT187" s="2" t="s">
        <v>352</v>
      </c>
      <c r="AU187" s="2">
        <v>2021</v>
      </c>
      <c r="AV187" s="2">
        <v>179</v>
      </c>
      <c r="AW187" s="2" t="s">
        <v>74</v>
      </c>
      <c r="AX187" s="2" t="s">
        <v>74</v>
      </c>
      <c r="AY187" s="2" t="s">
        <v>74</v>
      </c>
      <c r="AZ187" s="2" t="s">
        <v>74</v>
      </c>
      <c r="BA187" s="2" t="s">
        <v>74</v>
      </c>
      <c r="BB187" s="2">
        <v>307</v>
      </c>
      <c r="BC187" s="2">
        <v>315</v>
      </c>
      <c r="BD187" s="2" t="s">
        <v>74</v>
      </c>
      <c r="BE187" s="2" t="s">
        <v>5375</v>
      </c>
      <c r="BF187" s="2" t="str">
        <f>HYPERLINK("http://dx.doi.org/10.1016/j.anbehav.2021.07.016","http://dx.doi.org/10.1016/j.anbehav.2021.07.016")</f>
        <v>http://dx.doi.org/10.1016/j.anbehav.2021.07.016</v>
      </c>
      <c r="BG187" s="2" t="s">
        <v>74</v>
      </c>
      <c r="BH187" s="2" t="s">
        <v>4990</v>
      </c>
      <c r="BI187" s="2" t="s">
        <v>74</v>
      </c>
      <c r="BJ187" s="2" t="s">
        <v>74</v>
      </c>
      <c r="BK187" s="2" t="s">
        <v>74</v>
      </c>
      <c r="BL187" s="2" t="s">
        <v>74</v>
      </c>
      <c r="BM187" s="2" t="s">
        <v>74</v>
      </c>
      <c r="BN187" s="2" t="s">
        <v>74</v>
      </c>
      <c r="BO187" s="2" t="s">
        <v>74</v>
      </c>
      <c r="BP187" s="2" t="s">
        <v>74</v>
      </c>
      <c r="BQ187" s="2" t="s">
        <v>74</v>
      </c>
      <c r="BR187" s="2" t="s">
        <v>74</v>
      </c>
      <c r="BS187" s="2" t="s">
        <v>5376</v>
      </c>
      <c r="BT187" s="2" t="str">
        <f>HYPERLINK("https%3A%2F%2Fwww.webofscience.com%2Fwos%2Fwoscc%2Ffull-record%2FWOS:000693411000026","View Full Record in Web of Science")</f>
        <v>View Full Record in Web of Science</v>
      </c>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row>
    <row r="188" spans="1:314" s="2" customFormat="1" x14ac:dyDescent="0.4">
      <c r="A188" s="2" t="s">
        <v>72</v>
      </c>
      <c r="B188" s="2" t="s">
        <v>1632</v>
      </c>
      <c r="C188" s="2" t="s">
        <v>74</v>
      </c>
      <c r="D188" s="2" t="s">
        <v>74</v>
      </c>
      <c r="E188" s="2" t="s">
        <v>74</v>
      </c>
      <c r="F188" s="2" t="s">
        <v>1633</v>
      </c>
      <c r="G188" s="2" t="s">
        <v>74</v>
      </c>
      <c r="H188" s="2" t="s">
        <v>74</v>
      </c>
      <c r="I188" s="2" t="s">
        <v>1634</v>
      </c>
      <c r="J188" s="2" t="s">
        <v>1635</v>
      </c>
      <c r="K188" s="2" t="s">
        <v>74</v>
      </c>
      <c r="L188" s="2" t="s">
        <v>74</v>
      </c>
      <c r="M188" s="2" t="s">
        <v>74</v>
      </c>
      <c r="N188" s="2" t="s">
        <v>74</v>
      </c>
      <c r="O188" s="2" t="s">
        <v>74</v>
      </c>
      <c r="P188" s="2" t="s">
        <v>74</v>
      </c>
      <c r="Q188" s="2" t="s">
        <v>74</v>
      </c>
      <c r="R188" s="2" t="s">
        <v>74</v>
      </c>
      <c r="S188" s="2" t="s">
        <v>74</v>
      </c>
      <c r="T188" s="2" t="s">
        <v>74</v>
      </c>
      <c r="U188" s="2" t="s">
        <v>74</v>
      </c>
      <c r="V188" s="5" t="s">
        <v>1636</v>
      </c>
      <c r="W188" s="2" t="s">
        <v>74</v>
      </c>
      <c r="X188" s="2" t="s">
        <v>74</v>
      </c>
      <c r="Y188" s="2" t="s">
        <v>74</v>
      </c>
      <c r="Z188" s="2" t="s">
        <v>74</v>
      </c>
      <c r="AA188" s="2" t="s">
        <v>1637</v>
      </c>
      <c r="AB188" s="2" t="s">
        <v>1638</v>
      </c>
      <c r="AC188" s="2" t="s">
        <v>74</v>
      </c>
      <c r="AD188" s="2" t="s">
        <v>74</v>
      </c>
      <c r="AE188" s="2" t="s">
        <v>74</v>
      </c>
      <c r="AF188" s="2" t="s">
        <v>74</v>
      </c>
      <c r="AG188" s="2" t="s">
        <v>74</v>
      </c>
      <c r="AH188" s="2" t="s">
        <v>74</v>
      </c>
      <c r="AI188" s="2" t="s">
        <v>74</v>
      </c>
      <c r="AJ188" s="2" t="s">
        <v>74</v>
      </c>
      <c r="AK188" s="2" t="s">
        <v>74</v>
      </c>
      <c r="AL188" s="2" t="s">
        <v>74</v>
      </c>
      <c r="AM188" s="2" t="s">
        <v>74</v>
      </c>
      <c r="AN188" s="2" t="s">
        <v>74</v>
      </c>
      <c r="AO188" s="2" t="s">
        <v>1639</v>
      </c>
      <c r="AP188" s="2" t="s">
        <v>1640</v>
      </c>
      <c r="AQ188" s="2" t="s">
        <v>74</v>
      </c>
      <c r="AR188" s="2" t="s">
        <v>74</v>
      </c>
      <c r="AS188" s="2" t="s">
        <v>74</v>
      </c>
      <c r="AT188" s="2" t="s">
        <v>1641</v>
      </c>
      <c r="AU188" s="2">
        <v>2021</v>
      </c>
      <c r="AV188" s="2">
        <v>376</v>
      </c>
      <c r="AW188" s="2">
        <v>1824</v>
      </c>
      <c r="AX188" s="2" t="s">
        <v>74</v>
      </c>
      <c r="AY188" s="2" t="s">
        <v>74</v>
      </c>
      <c r="AZ188" s="2" t="s">
        <v>74</v>
      </c>
      <c r="BA188" s="2" t="s">
        <v>74</v>
      </c>
      <c r="BB188" s="2" t="s">
        <v>74</v>
      </c>
      <c r="BC188" s="2" t="s">
        <v>74</v>
      </c>
      <c r="BD188" s="2">
        <v>20200188</v>
      </c>
      <c r="BE188" s="2" t="s">
        <v>1642</v>
      </c>
      <c r="BF188" s="2" t="str">
        <f>HYPERLINK("http://dx.doi.org/10.1098/rstb.2020.0188","http://dx.doi.org/10.1098/rstb.2020.0188")</f>
        <v>http://dx.doi.org/10.1098/rstb.2020.0188</v>
      </c>
      <c r="BG188" s="2" t="s">
        <v>74</v>
      </c>
      <c r="BH188" s="2" t="s">
        <v>74</v>
      </c>
      <c r="BI188" s="2" t="s">
        <v>74</v>
      </c>
      <c r="BJ188" s="2" t="s">
        <v>74</v>
      </c>
      <c r="BK188" s="2" t="s">
        <v>74</v>
      </c>
      <c r="BL188" s="2" t="s">
        <v>74</v>
      </c>
      <c r="BM188" s="2" t="s">
        <v>74</v>
      </c>
      <c r="BN188" s="2">
        <v>33745319</v>
      </c>
      <c r="BO188" s="2" t="s">
        <v>74</v>
      </c>
      <c r="BP188" s="2" t="s">
        <v>74</v>
      </c>
      <c r="BQ188" s="2" t="s">
        <v>74</v>
      </c>
      <c r="BR188" s="2" t="s">
        <v>74</v>
      </c>
      <c r="BS188" s="2" t="s">
        <v>1643</v>
      </c>
      <c r="BT188" s="2" t="str">
        <f>HYPERLINK("https%3A%2F%2Fwww.webofscience.com%2Fwos%2Fwoscc%2Ffull-record%2FWOS:000631504800001","View Full Record in Web of Science")</f>
        <v>View Full Record in Web of Science</v>
      </c>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row>
    <row r="189" spans="1:314" s="2" customFormat="1" x14ac:dyDescent="0.4">
      <c r="A189" s="2" t="s">
        <v>72</v>
      </c>
      <c r="B189" s="2" t="s">
        <v>5226</v>
      </c>
      <c r="C189" s="2" t="s">
        <v>74</v>
      </c>
      <c r="D189" s="2" t="s">
        <v>74</v>
      </c>
      <c r="E189" s="2" t="s">
        <v>74</v>
      </c>
      <c r="F189" s="2" t="s">
        <v>5227</v>
      </c>
      <c r="G189" s="2" t="s">
        <v>74</v>
      </c>
      <c r="H189" s="2" t="s">
        <v>74</v>
      </c>
      <c r="I189" s="2" t="s">
        <v>5228</v>
      </c>
      <c r="J189" s="2" t="s">
        <v>119</v>
      </c>
      <c r="K189" s="2" t="s">
        <v>74</v>
      </c>
      <c r="L189" s="2" t="s">
        <v>74</v>
      </c>
      <c r="M189" s="2" t="s">
        <v>74</v>
      </c>
      <c r="N189" s="2" t="s">
        <v>74</v>
      </c>
      <c r="O189" s="2" t="s">
        <v>74</v>
      </c>
      <c r="P189" s="2" t="s">
        <v>74</v>
      </c>
      <c r="Q189" s="2" t="s">
        <v>74</v>
      </c>
      <c r="R189" s="2" t="s">
        <v>74</v>
      </c>
      <c r="S189" s="2" t="s">
        <v>74</v>
      </c>
      <c r="T189" s="2" t="s">
        <v>74</v>
      </c>
      <c r="U189" s="2" t="s">
        <v>74</v>
      </c>
      <c r="V189" s="5" t="s">
        <v>5229</v>
      </c>
      <c r="W189" s="2" t="s">
        <v>74</v>
      </c>
      <c r="X189" s="2" t="s">
        <v>74</v>
      </c>
      <c r="Y189" s="2" t="s">
        <v>74</v>
      </c>
      <c r="Z189" s="2" t="s">
        <v>74</v>
      </c>
      <c r="AA189" s="2" t="s">
        <v>5230</v>
      </c>
      <c r="AB189" s="2" t="s">
        <v>5231</v>
      </c>
      <c r="AC189" s="2" t="s">
        <v>74</v>
      </c>
      <c r="AD189" s="2" t="s">
        <v>74</v>
      </c>
      <c r="AE189" s="2" t="s">
        <v>74</v>
      </c>
      <c r="AF189" s="2" t="s">
        <v>74</v>
      </c>
      <c r="AG189" s="2" t="s">
        <v>74</v>
      </c>
      <c r="AH189" s="2" t="s">
        <v>74</v>
      </c>
      <c r="AI189" s="2" t="s">
        <v>74</v>
      </c>
      <c r="AJ189" s="2" t="s">
        <v>74</v>
      </c>
      <c r="AK189" s="2" t="s">
        <v>74</v>
      </c>
      <c r="AL189" s="2" t="s">
        <v>74</v>
      </c>
      <c r="AM189" s="2" t="s">
        <v>74</v>
      </c>
      <c r="AN189" s="2" t="s">
        <v>74</v>
      </c>
      <c r="AO189" s="2" t="s">
        <v>121</v>
      </c>
      <c r="AP189" s="2" t="s">
        <v>122</v>
      </c>
      <c r="AQ189" s="2" t="s">
        <v>74</v>
      </c>
      <c r="AR189" s="2" t="s">
        <v>74</v>
      </c>
      <c r="AS189" s="2" t="s">
        <v>74</v>
      </c>
      <c r="AT189" s="2" t="s">
        <v>213</v>
      </c>
      <c r="AU189" s="2">
        <v>2015</v>
      </c>
      <c r="AV189" s="2">
        <v>120</v>
      </c>
      <c r="AW189" s="2" t="s">
        <v>74</v>
      </c>
      <c r="AX189" s="2" t="s">
        <v>74</v>
      </c>
      <c r="AY189" s="2" t="s">
        <v>74</v>
      </c>
      <c r="AZ189" s="2" t="s">
        <v>74</v>
      </c>
      <c r="BA189" s="2" t="s">
        <v>74</v>
      </c>
      <c r="BB189" s="2">
        <v>128</v>
      </c>
      <c r="BC189" s="2">
        <v>134</v>
      </c>
      <c r="BD189" s="2" t="s">
        <v>74</v>
      </c>
      <c r="BE189" s="2" t="s">
        <v>5232</v>
      </c>
      <c r="BF189" s="2" t="str">
        <f>HYPERLINK("http://dx.doi.org/10.1016/j.beproc.2015.09.015","http://dx.doi.org/10.1016/j.beproc.2015.09.015")</f>
        <v>http://dx.doi.org/10.1016/j.beproc.2015.09.015</v>
      </c>
      <c r="BG189" s="2" t="s">
        <v>74</v>
      </c>
      <c r="BH189" s="2" t="s">
        <v>74</v>
      </c>
      <c r="BI189" s="2" t="s">
        <v>74</v>
      </c>
      <c r="BJ189" s="2" t="s">
        <v>74</v>
      </c>
      <c r="BK189" s="2" t="s">
        <v>74</v>
      </c>
      <c r="BL189" s="2" t="s">
        <v>74</v>
      </c>
      <c r="BM189" s="2" t="s">
        <v>74</v>
      </c>
      <c r="BN189" s="2">
        <v>26449315</v>
      </c>
      <c r="BO189" s="2" t="s">
        <v>74</v>
      </c>
      <c r="BP189" s="2" t="s">
        <v>74</v>
      </c>
      <c r="BQ189" s="2" t="s">
        <v>74</v>
      </c>
      <c r="BR189" s="2" t="s">
        <v>74</v>
      </c>
      <c r="BS189" s="2" t="s">
        <v>5233</v>
      </c>
      <c r="BT189" s="2" t="str">
        <f>HYPERLINK("https%3A%2F%2Fwww.webofscience.com%2Fwos%2Fwoscc%2Ffull-record%2FWOS:000364503300018","View Full Record in Web of Science")</f>
        <v>View Full Record in Web of Science</v>
      </c>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row>
    <row r="190" spans="1:314" s="2" customFormat="1" x14ac:dyDescent="0.4">
      <c r="A190" s="2" t="s">
        <v>72</v>
      </c>
      <c r="B190" s="2" t="s">
        <v>7547</v>
      </c>
      <c r="C190" s="2" t="s">
        <v>74</v>
      </c>
      <c r="D190" s="2" t="s">
        <v>74</v>
      </c>
      <c r="E190" s="2" t="s">
        <v>74</v>
      </c>
      <c r="F190" s="2" t="s">
        <v>7548</v>
      </c>
      <c r="G190" s="2" t="s">
        <v>74</v>
      </c>
      <c r="H190" s="2" t="s">
        <v>74</v>
      </c>
      <c r="I190" s="2" t="s">
        <v>7549</v>
      </c>
      <c r="J190" s="2" t="s">
        <v>7550</v>
      </c>
      <c r="K190" s="2" t="s">
        <v>74</v>
      </c>
      <c r="L190" s="2" t="s">
        <v>74</v>
      </c>
      <c r="M190" s="2" t="s">
        <v>74</v>
      </c>
      <c r="N190" s="2" t="s">
        <v>74</v>
      </c>
      <c r="O190" s="2" t="s">
        <v>74</v>
      </c>
      <c r="P190" s="2" t="s">
        <v>74</v>
      </c>
      <c r="Q190" s="2" t="s">
        <v>74</v>
      </c>
      <c r="R190" s="2" t="s">
        <v>74</v>
      </c>
      <c r="S190" s="2" t="s">
        <v>74</v>
      </c>
      <c r="T190" s="2" t="s">
        <v>74</v>
      </c>
      <c r="U190" s="2" t="s">
        <v>74</v>
      </c>
      <c r="V190" s="5" t="s">
        <v>7551</v>
      </c>
      <c r="W190" s="2" t="s">
        <v>74</v>
      </c>
      <c r="X190" s="2" t="s">
        <v>74</v>
      </c>
      <c r="Y190" s="2" t="s">
        <v>74</v>
      </c>
      <c r="Z190" s="2" t="s">
        <v>74</v>
      </c>
      <c r="AA190" s="2" t="s">
        <v>74</v>
      </c>
      <c r="AB190" s="2" t="s">
        <v>74</v>
      </c>
      <c r="AC190" s="2" t="s">
        <v>74</v>
      </c>
      <c r="AD190" s="2" t="s">
        <v>74</v>
      </c>
      <c r="AE190" s="2" t="s">
        <v>74</v>
      </c>
      <c r="AF190" s="2" t="s">
        <v>74</v>
      </c>
      <c r="AG190" s="2" t="s">
        <v>74</v>
      </c>
      <c r="AH190" s="2" t="s">
        <v>74</v>
      </c>
      <c r="AI190" s="2" t="s">
        <v>74</v>
      </c>
      <c r="AJ190" s="2" t="s">
        <v>74</v>
      </c>
      <c r="AK190" s="2" t="s">
        <v>74</v>
      </c>
      <c r="AL190" s="2" t="s">
        <v>74</v>
      </c>
      <c r="AM190" s="2" t="s">
        <v>74</v>
      </c>
      <c r="AN190" s="2" t="s">
        <v>74</v>
      </c>
      <c r="AO190" s="2" t="s">
        <v>7552</v>
      </c>
      <c r="AP190" s="2" t="s">
        <v>7553</v>
      </c>
      <c r="AQ190" s="2" t="s">
        <v>74</v>
      </c>
      <c r="AR190" s="2" t="s">
        <v>74</v>
      </c>
      <c r="AS190" s="2" t="s">
        <v>74</v>
      </c>
      <c r="AT190" s="2" t="s">
        <v>74</v>
      </c>
      <c r="AU190" s="2">
        <v>2015</v>
      </c>
      <c r="AV190" s="2">
        <v>144</v>
      </c>
      <c r="AW190" s="2">
        <v>4</v>
      </c>
      <c r="AX190" s="2" t="s">
        <v>74</v>
      </c>
      <c r="AY190" s="2" t="s">
        <v>74</v>
      </c>
      <c r="AZ190" s="2" t="s">
        <v>74</v>
      </c>
      <c r="BA190" s="2" t="s">
        <v>74</v>
      </c>
      <c r="BB190" s="2">
        <v>717</v>
      </c>
      <c r="BC190" s="2">
        <v>723</v>
      </c>
      <c r="BD190" s="2" t="s">
        <v>74</v>
      </c>
      <c r="BE190" s="2" t="s">
        <v>7554</v>
      </c>
      <c r="BF190" s="2" t="str">
        <f>HYPERLINK("http://dx.doi.org/10.1080/00028487.2015.1037017","http://dx.doi.org/10.1080/00028487.2015.1037017")</f>
        <v>http://dx.doi.org/10.1080/00028487.2015.1037017</v>
      </c>
      <c r="BG190" s="2" t="s">
        <v>74</v>
      </c>
      <c r="BH190" s="2" t="s">
        <v>74</v>
      </c>
      <c r="BI190" s="2" t="s">
        <v>74</v>
      </c>
      <c r="BJ190" s="2" t="s">
        <v>74</v>
      </c>
      <c r="BK190" s="2" t="s">
        <v>74</v>
      </c>
      <c r="BL190" s="2" t="s">
        <v>74</v>
      </c>
      <c r="BM190" s="2" t="s">
        <v>74</v>
      </c>
      <c r="BN190" s="2" t="s">
        <v>74</v>
      </c>
      <c r="BO190" s="2" t="s">
        <v>74</v>
      </c>
      <c r="BP190" s="2" t="s">
        <v>74</v>
      </c>
      <c r="BQ190" s="2" t="s">
        <v>74</v>
      </c>
      <c r="BR190" s="2" t="s">
        <v>74</v>
      </c>
      <c r="BS190" s="2" t="s">
        <v>7555</v>
      </c>
      <c r="BT190" s="2" t="str">
        <f>HYPERLINK("https%3A%2F%2Fwww.webofscience.com%2Fwos%2Fwoscc%2Ffull-record%2FWOS:000358854700006","View Full Record in Web of Science")</f>
        <v>View Full Record in Web of Science</v>
      </c>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row>
    <row r="191" spans="1:314" s="2" customFormat="1" x14ac:dyDescent="0.4">
      <c r="A191" s="2" t="s">
        <v>72</v>
      </c>
      <c r="B191" s="2" t="s">
        <v>5735</v>
      </c>
      <c r="C191" s="2" t="s">
        <v>74</v>
      </c>
      <c r="D191" s="2" t="s">
        <v>74</v>
      </c>
      <c r="E191" s="2" t="s">
        <v>74</v>
      </c>
      <c r="F191" s="2" t="s">
        <v>5736</v>
      </c>
      <c r="G191" s="2" t="s">
        <v>74</v>
      </c>
      <c r="H191" s="2" t="s">
        <v>74</v>
      </c>
      <c r="I191" s="2" t="s">
        <v>5737</v>
      </c>
      <c r="J191" s="2" t="s">
        <v>5738</v>
      </c>
      <c r="K191" s="2" t="s">
        <v>74</v>
      </c>
      <c r="L191" s="2" t="s">
        <v>74</v>
      </c>
      <c r="M191" s="2" t="s">
        <v>74</v>
      </c>
      <c r="N191" s="2" t="s">
        <v>74</v>
      </c>
      <c r="O191" s="2" t="s">
        <v>74</v>
      </c>
      <c r="P191" s="2" t="s">
        <v>74</v>
      </c>
      <c r="Q191" s="2" t="s">
        <v>74</v>
      </c>
      <c r="R191" s="2" t="s">
        <v>74</v>
      </c>
      <c r="S191" s="2" t="s">
        <v>74</v>
      </c>
      <c r="T191" s="2" t="s">
        <v>74</v>
      </c>
      <c r="U191" s="2" t="s">
        <v>74</v>
      </c>
      <c r="V191" s="5" t="s">
        <v>5739</v>
      </c>
      <c r="W191" s="2" t="s">
        <v>74</v>
      </c>
      <c r="X191" s="2" t="s">
        <v>74</v>
      </c>
      <c r="Y191" s="2" t="s">
        <v>74</v>
      </c>
      <c r="Z191" s="2" t="s">
        <v>74</v>
      </c>
      <c r="AA191" s="2" t="s">
        <v>74</v>
      </c>
      <c r="AB191" s="2" t="s">
        <v>74</v>
      </c>
      <c r="AC191" s="2" t="s">
        <v>74</v>
      </c>
      <c r="AD191" s="2" t="s">
        <v>74</v>
      </c>
      <c r="AE191" s="2" t="s">
        <v>74</v>
      </c>
      <c r="AF191" s="2" t="s">
        <v>74</v>
      </c>
      <c r="AG191" s="2" t="s">
        <v>74</v>
      </c>
      <c r="AH191" s="2" t="s">
        <v>74</v>
      </c>
      <c r="AI191" s="2" t="s">
        <v>74</v>
      </c>
      <c r="AJ191" s="2" t="s">
        <v>74</v>
      </c>
      <c r="AK191" s="2" t="s">
        <v>74</v>
      </c>
      <c r="AL191" s="2" t="s">
        <v>74</v>
      </c>
      <c r="AM191" s="2" t="s">
        <v>74</v>
      </c>
      <c r="AN191" s="2" t="s">
        <v>74</v>
      </c>
      <c r="AO191" s="2" t="s">
        <v>5740</v>
      </c>
      <c r="AP191" s="2" t="s">
        <v>74</v>
      </c>
      <c r="AQ191" s="2" t="s">
        <v>74</v>
      </c>
      <c r="AR191" s="2" t="s">
        <v>74</v>
      </c>
      <c r="AS191" s="2" t="s">
        <v>74</v>
      </c>
      <c r="AT191" s="2" t="s">
        <v>74</v>
      </c>
      <c r="AU191" s="2">
        <v>2016</v>
      </c>
      <c r="AV191" s="2">
        <v>33</v>
      </c>
      <c r="AW191" s="2">
        <v>2</v>
      </c>
      <c r="AX191" s="2" t="s">
        <v>74</v>
      </c>
      <c r="AY191" s="2" t="s">
        <v>74</v>
      </c>
      <c r="AZ191" s="2" t="s">
        <v>74</v>
      </c>
      <c r="BA191" s="2" t="s">
        <v>74</v>
      </c>
      <c r="BB191" s="2" t="s">
        <v>74</v>
      </c>
      <c r="BC191" s="2" t="s">
        <v>74</v>
      </c>
      <c r="BD191" s="2" t="s">
        <v>5741</v>
      </c>
      <c r="BE191" s="2" t="s">
        <v>5742</v>
      </c>
      <c r="BF191" s="2" t="str">
        <f>HYPERLINK("http://dx.doi.org/10.1590/S1984-4689zool-20150190","http://dx.doi.org/10.1590/S1984-4689zool-20150190")</f>
        <v>http://dx.doi.org/10.1590/S1984-4689zool-20150190</v>
      </c>
      <c r="BG191" s="2" t="s">
        <v>74</v>
      </c>
      <c r="BH191" s="2" t="s">
        <v>74</v>
      </c>
      <c r="BI191" s="2" t="s">
        <v>74</v>
      </c>
      <c r="BJ191" s="2" t="s">
        <v>74</v>
      </c>
      <c r="BK191" s="2" t="s">
        <v>74</v>
      </c>
      <c r="BL191" s="2" t="s">
        <v>74</v>
      </c>
      <c r="BM191" s="2" t="s">
        <v>74</v>
      </c>
      <c r="BN191" s="2" t="s">
        <v>74</v>
      </c>
      <c r="BO191" s="2" t="s">
        <v>74</v>
      </c>
      <c r="BP191" s="2" t="s">
        <v>74</v>
      </c>
      <c r="BQ191" s="2" t="s">
        <v>74</v>
      </c>
      <c r="BR191" s="2" t="s">
        <v>74</v>
      </c>
      <c r="BS191" s="2" t="s">
        <v>5743</v>
      </c>
      <c r="BT191" s="2" t="str">
        <f>HYPERLINK("https%3A%2F%2Fwww.webofscience.com%2Fwos%2Fwoscc%2Ffull-record%2FWOS:000376449900006","View Full Record in Web of Science")</f>
        <v>View Full Record in Web of Science</v>
      </c>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row>
    <row r="192" spans="1:314" s="2" customFormat="1" x14ac:dyDescent="0.4">
      <c r="A192" s="2" t="s">
        <v>72</v>
      </c>
      <c r="B192" s="2" t="s">
        <v>8013</v>
      </c>
      <c r="C192" s="2" t="s">
        <v>74</v>
      </c>
      <c r="D192" s="2" t="s">
        <v>74</v>
      </c>
      <c r="E192" s="2" t="s">
        <v>74</v>
      </c>
      <c r="F192" s="2" t="s">
        <v>8014</v>
      </c>
      <c r="G192" s="2" t="s">
        <v>74</v>
      </c>
      <c r="H192" s="2" t="s">
        <v>74</v>
      </c>
      <c r="I192" s="2" t="s">
        <v>8015</v>
      </c>
      <c r="J192" s="2" t="s">
        <v>1437</v>
      </c>
      <c r="K192" s="2" t="s">
        <v>74</v>
      </c>
      <c r="L192" s="2" t="s">
        <v>74</v>
      </c>
      <c r="M192" s="2" t="s">
        <v>74</v>
      </c>
      <c r="N192" s="2" t="s">
        <v>74</v>
      </c>
      <c r="O192" s="2" t="s">
        <v>74</v>
      </c>
      <c r="P192" s="2" t="s">
        <v>74</v>
      </c>
      <c r="Q192" s="2" t="s">
        <v>74</v>
      </c>
      <c r="R192" s="2" t="s">
        <v>74</v>
      </c>
      <c r="S192" s="2" t="s">
        <v>74</v>
      </c>
      <c r="T192" s="2" t="s">
        <v>74</v>
      </c>
      <c r="U192" s="2" t="s">
        <v>74</v>
      </c>
      <c r="V192" s="5" t="s">
        <v>8016</v>
      </c>
      <c r="W192" s="2" t="s">
        <v>74</v>
      </c>
      <c r="X192" s="2" t="s">
        <v>74</v>
      </c>
      <c r="Y192" s="2" t="s">
        <v>74</v>
      </c>
      <c r="Z192" s="2" t="s">
        <v>74</v>
      </c>
      <c r="AA192" s="2" t="s">
        <v>8017</v>
      </c>
      <c r="AB192" s="2" t="s">
        <v>8018</v>
      </c>
      <c r="AC192" s="2" t="s">
        <v>74</v>
      </c>
      <c r="AD192" s="2" t="s">
        <v>74</v>
      </c>
      <c r="AE192" s="2" t="s">
        <v>74</v>
      </c>
      <c r="AF192" s="2" t="s">
        <v>74</v>
      </c>
      <c r="AG192" s="2" t="s">
        <v>74</v>
      </c>
      <c r="AH192" s="2" t="s">
        <v>74</v>
      </c>
      <c r="AI192" s="2" t="s">
        <v>74</v>
      </c>
      <c r="AJ192" s="2" t="s">
        <v>74</v>
      </c>
      <c r="AK192" s="2" t="s">
        <v>74</v>
      </c>
      <c r="AL192" s="2" t="s">
        <v>74</v>
      </c>
      <c r="AM192" s="2" t="s">
        <v>74</v>
      </c>
      <c r="AN192" s="2" t="s">
        <v>74</v>
      </c>
      <c r="AO192" s="2" t="s">
        <v>1440</v>
      </c>
      <c r="AP192" s="2" t="s">
        <v>3347</v>
      </c>
      <c r="AQ192" s="2" t="s">
        <v>74</v>
      </c>
      <c r="AR192" s="2" t="s">
        <v>74</v>
      </c>
      <c r="AS192" s="2" t="s">
        <v>74</v>
      </c>
      <c r="AT192" s="2" t="s">
        <v>204</v>
      </c>
      <c r="AU192" s="2">
        <v>2015</v>
      </c>
      <c r="AV192" s="2">
        <v>115</v>
      </c>
      <c r="AW192" s="2">
        <v>1</v>
      </c>
      <c r="AX192" s="2" t="s">
        <v>74</v>
      </c>
      <c r="AY192" s="2" t="s">
        <v>74</v>
      </c>
      <c r="AZ192" s="2" t="s">
        <v>74</v>
      </c>
      <c r="BA192" s="2" t="s">
        <v>74</v>
      </c>
      <c r="BB192" s="2">
        <v>47</v>
      </c>
      <c r="BC192" s="2">
        <v>55</v>
      </c>
      <c r="BD192" s="2" t="s">
        <v>74</v>
      </c>
      <c r="BE192" s="2" t="s">
        <v>8019</v>
      </c>
      <c r="BF192" s="2" t="str">
        <f>HYPERLINK("http://dx.doi.org/10.1038/hdy.2015.15","http://dx.doi.org/10.1038/hdy.2015.15")</f>
        <v>http://dx.doi.org/10.1038/hdy.2015.15</v>
      </c>
      <c r="BG192" s="2" t="s">
        <v>74</v>
      </c>
      <c r="BH192" s="2" t="s">
        <v>74</v>
      </c>
      <c r="BI192" s="2" t="s">
        <v>74</v>
      </c>
      <c r="BJ192" s="2" t="s">
        <v>74</v>
      </c>
      <c r="BK192" s="2" t="s">
        <v>74</v>
      </c>
      <c r="BL192" s="2" t="s">
        <v>74</v>
      </c>
      <c r="BM192" s="2" t="s">
        <v>74</v>
      </c>
      <c r="BN192" s="2">
        <v>26059968</v>
      </c>
      <c r="BO192" s="2" t="s">
        <v>74</v>
      </c>
      <c r="BP192" s="2" t="s">
        <v>74</v>
      </c>
      <c r="BQ192" s="2" t="s">
        <v>74</v>
      </c>
      <c r="BR192" s="2" t="s">
        <v>74</v>
      </c>
      <c r="BS192" s="2" t="s">
        <v>8020</v>
      </c>
      <c r="BT192" s="2" t="str">
        <f>HYPERLINK("https%3A%2F%2Fwww.webofscience.com%2Fwos%2Fwoscc%2Ffull-record%2FWOS:000356024900007","View Full Record in Web of Science")</f>
        <v>View Full Record in Web of Science</v>
      </c>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row>
    <row r="193" spans="1:314" s="2" customFormat="1" x14ac:dyDescent="0.4">
      <c r="A193" s="2" t="s">
        <v>72</v>
      </c>
      <c r="B193" s="2" t="s">
        <v>1242</v>
      </c>
      <c r="C193" s="2" t="s">
        <v>74</v>
      </c>
      <c r="D193" s="2" t="s">
        <v>74</v>
      </c>
      <c r="E193" s="2" t="s">
        <v>74</v>
      </c>
      <c r="F193" s="2" t="s">
        <v>1242</v>
      </c>
      <c r="G193" s="2" t="s">
        <v>74</v>
      </c>
      <c r="H193" s="2" t="s">
        <v>74</v>
      </c>
      <c r="I193" s="2" t="s">
        <v>1243</v>
      </c>
      <c r="J193" s="2" t="s">
        <v>1244</v>
      </c>
      <c r="K193" s="2" t="s">
        <v>74</v>
      </c>
      <c r="L193" s="2" t="s">
        <v>74</v>
      </c>
      <c r="M193" s="2" t="s">
        <v>74</v>
      </c>
      <c r="N193" s="2" t="s">
        <v>74</v>
      </c>
      <c r="O193" s="2" t="s">
        <v>74</v>
      </c>
      <c r="P193" s="2" t="s">
        <v>74</v>
      </c>
      <c r="Q193" s="2" t="s">
        <v>74</v>
      </c>
      <c r="R193" s="2" t="s">
        <v>74</v>
      </c>
      <c r="S193" s="2" t="s">
        <v>74</v>
      </c>
      <c r="T193" s="2" t="s">
        <v>74</v>
      </c>
      <c r="U193" s="2" t="s">
        <v>74</v>
      </c>
      <c r="V193" s="5" t="s">
        <v>1245</v>
      </c>
      <c r="W193" s="2" t="s">
        <v>74</v>
      </c>
      <c r="X193" s="2" t="s">
        <v>74</v>
      </c>
      <c r="Y193" s="2" t="s">
        <v>74</v>
      </c>
      <c r="Z193" s="2" t="s">
        <v>74</v>
      </c>
      <c r="AA193" s="2" t="s">
        <v>74</v>
      </c>
      <c r="AB193" s="2" t="s">
        <v>74</v>
      </c>
      <c r="AC193" s="2" t="s">
        <v>74</v>
      </c>
      <c r="AD193" s="2" t="s">
        <v>74</v>
      </c>
      <c r="AE193" s="2" t="s">
        <v>74</v>
      </c>
      <c r="AF193" s="2" t="s">
        <v>74</v>
      </c>
      <c r="AG193" s="2" t="s">
        <v>74</v>
      </c>
      <c r="AH193" s="2" t="s">
        <v>74</v>
      </c>
      <c r="AI193" s="2" t="s">
        <v>74</v>
      </c>
      <c r="AJ193" s="2" t="s">
        <v>74</v>
      </c>
      <c r="AK193" s="2" t="s">
        <v>74</v>
      </c>
      <c r="AL193" s="2" t="s">
        <v>74</v>
      </c>
      <c r="AM193" s="2" t="s">
        <v>74</v>
      </c>
      <c r="AN193" s="2" t="s">
        <v>74</v>
      </c>
      <c r="AO193" s="2" t="s">
        <v>1246</v>
      </c>
      <c r="AP193" s="2" t="s">
        <v>74</v>
      </c>
      <c r="AQ193" s="2" t="s">
        <v>74</v>
      </c>
      <c r="AR193" s="2" t="s">
        <v>74</v>
      </c>
      <c r="AS193" s="2" t="s">
        <v>74</v>
      </c>
      <c r="AT193" s="2" t="s">
        <v>1247</v>
      </c>
      <c r="AU193" s="2">
        <v>2004</v>
      </c>
      <c r="AV193" s="2">
        <v>33</v>
      </c>
      <c r="AW193" s="2">
        <v>2</v>
      </c>
      <c r="AX193" s="2" t="s">
        <v>74</v>
      </c>
      <c r="AY193" s="2" t="s">
        <v>74</v>
      </c>
      <c r="AZ193" s="2" t="s">
        <v>74</v>
      </c>
      <c r="BA193" s="2" t="s">
        <v>74</v>
      </c>
      <c r="BB193" s="2">
        <v>147</v>
      </c>
      <c r="BC193" s="2">
        <v>156</v>
      </c>
      <c r="BD193" s="2" t="s">
        <v>74</v>
      </c>
      <c r="BE193" s="2" t="s">
        <v>74</v>
      </c>
      <c r="BF193" s="2" t="s">
        <v>74</v>
      </c>
      <c r="BG193" s="2" t="s">
        <v>74</v>
      </c>
      <c r="BH193" s="2" t="s">
        <v>74</v>
      </c>
      <c r="BI193" s="2" t="s">
        <v>74</v>
      </c>
      <c r="BJ193" s="2" t="s">
        <v>74</v>
      </c>
      <c r="BK193" s="2" t="s">
        <v>74</v>
      </c>
      <c r="BL193" s="2" t="s">
        <v>74</v>
      </c>
      <c r="BM193" s="2" t="s">
        <v>74</v>
      </c>
      <c r="BN193" s="2" t="s">
        <v>74</v>
      </c>
      <c r="BO193" s="2" t="s">
        <v>74</v>
      </c>
      <c r="BP193" s="2" t="s">
        <v>74</v>
      </c>
      <c r="BQ193" s="2" t="s">
        <v>74</v>
      </c>
      <c r="BR193" s="2" t="s">
        <v>74</v>
      </c>
      <c r="BS193" s="2" t="s">
        <v>1248</v>
      </c>
      <c r="BT193" s="2" t="str">
        <f>HYPERLINK("https%3A%2F%2Fwww.webofscience.com%2Fwos%2Fwoscc%2Ffull-record%2FWOS:000221702600002","View Full Record in Web of Science")</f>
        <v>View Full Record in Web of Science</v>
      </c>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row>
    <row r="194" spans="1:314" s="2" customFormat="1" x14ac:dyDescent="0.4">
      <c r="A194" s="2" t="s">
        <v>72</v>
      </c>
      <c r="B194" s="2" t="s">
        <v>5707</v>
      </c>
      <c r="C194" s="2" t="s">
        <v>74</v>
      </c>
      <c r="D194" s="2" t="s">
        <v>74</v>
      </c>
      <c r="E194" s="2" t="s">
        <v>74</v>
      </c>
      <c r="F194" s="2" t="s">
        <v>5708</v>
      </c>
      <c r="G194" s="2" t="s">
        <v>74</v>
      </c>
      <c r="H194" s="2" t="s">
        <v>74</v>
      </c>
      <c r="I194" s="2" t="s">
        <v>5709</v>
      </c>
      <c r="J194" s="2" t="s">
        <v>5710</v>
      </c>
      <c r="K194" s="2" t="s">
        <v>74</v>
      </c>
      <c r="L194" s="2" t="s">
        <v>74</v>
      </c>
      <c r="M194" s="2" t="s">
        <v>74</v>
      </c>
      <c r="N194" s="2" t="s">
        <v>74</v>
      </c>
      <c r="O194" s="2" t="s">
        <v>74</v>
      </c>
      <c r="P194" s="2" t="s">
        <v>74</v>
      </c>
      <c r="Q194" s="2" t="s">
        <v>74</v>
      </c>
      <c r="R194" s="2" t="s">
        <v>74</v>
      </c>
      <c r="S194" s="2" t="s">
        <v>74</v>
      </c>
      <c r="T194" s="2" t="s">
        <v>74</v>
      </c>
      <c r="U194" s="2" t="s">
        <v>74</v>
      </c>
      <c r="V194" s="5" t="s">
        <v>5711</v>
      </c>
      <c r="W194" s="2" t="s">
        <v>74</v>
      </c>
      <c r="X194" s="2" t="s">
        <v>74</v>
      </c>
      <c r="Y194" s="2" t="s">
        <v>74</v>
      </c>
      <c r="Z194" s="2" t="s">
        <v>74</v>
      </c>
      <c r="AA194" s="2" t="s">
        <v>5712</v>
      </c>
      <c r="AB194" s="2" t="s">
        <v>5713</v>
      </c>
      <c r="AC194" s="2" t="s">
        <v>74</v>
      </c>
      <c r="AD194" s="2" t="s">
        <v>74</v>
      </c>
      <c r="AE194" s="2" t="s">
        <v>74</v>
      </c>
      <c r="AF194" s="2" t="s">
        <v>74</v>
      </c>
      <c r="AG194" s="2" t="s">
        <v>74</v>
      </c>
      <c r="AH194" s="2" t="s">
        <v>74</v>
      </c>
      <c r="AI194" s="2" t="s">
        <v>74</v>
      </c>
      <c r="AJ194" s="2" t="s">
        <v>74</v>
      </c>
      <c r="AK194" s="2" t="s">
        <v>74</v>
      </c>
      <c r="AL194" s="2" t="s">
        <v>74</v>
      </c>
      <c r="AM194" s="2" t="s">
        <v>74</v>
      </c>
      <c r="AN194" s="2" t="s">
        <v>74</v>
      </c>
      <c r="AO194" s="2" t="s">
        <v>5714</v>
      </c>
      <c r="AP194" s="2" t="s">
        <v>5715</v>
      </c>
      <c r="AQ194" s="2" t="s">
        <v>74</v>
      </c>
      <c r="AR194" s="2" t="s">
        <v>74</v>
      </c>
      <c r="AS194" s="2" t="s">
        <v>74</v>
      </c>
      <c r="AT194" s="2" t="s">
        <v>74</v>
      </c>
      <c r="AU194" s="2">
        <v>2015</v>
      </c>
      <c r="AV194" s="2">
        <v>65</v>
      </c>
      <c r="AW194" s="2">
        <v>1</v>
      </c>
      <c r="AX194" s="2" t="s">
        <v>74</v>
      </c>
      <c r="AY194" s="2" t="s">
        <v>74</v>
      </c>
      <c r="AZ194" s="2" t="s">
        <v>74</v>
      </c>
      <c r="BA194" s="2" t="s">
        <v>74</v>
      </c>
      <c r="BB194" s="2">
        <v>21</v>
      </c>
      <c r="BC194" s="2">
        <v>39</v>
      </c>
      <c r="BD194" s="2" t="s">
        <v>74</v>
      </c>
      <c r="BE194" s="2" t="s">
        <v>5716</v>
      </c>
      <c r="BF194" s="2" t="str">
        <f>HYPERLINK("http://dx.doi.org/10.3161/00034541ANZ2015.65.1.003","http://dx.doi.org/10.3161/00034541ANZ2015.65.1.003")</f>
        <v>http://dx.doi.org/10.3161/00034541ANZ2015.65.1.003</v>
      </c>
      <c r="BG194" s="2" t="s">
        <v>74</v>
      </c>
      <c r="BH194" s="2" t="s">
        <v>74</v>
      </c>
      <c r="BI194" s="2" t="s">
        <v>74</v>
      </c>
      <c r="BJ194" s="2" t="s">
        <v>74</v>
      </c>
      <c r="BK194" s="2" t="s">
        <v>74</v>
      </c>
      <c r="BL194" s="2" t="s">
        <v>74</v>
      </c>
      <c r="BM194" s="2" t="s">
        <v>74</v>
      </c>
      <c r="BN194" s="2" t="s">
        <v>74</v>
      </c>
      <c r="BO194" s="2" t="s">
        <v>74</v>
      </c>
      <c r="BP194" s="2" t="s">
        <v>74</v>
      </c>
      <c r="BQ194" s="2" t="s">
        <v>74</v>
      </c>
      <c r="BR194" s="2" t="s">
        <v>74</v>
      </c>
      <c r="BS194" s="2" t="s">
        <v>5717</v>
      </c>
      <c r="BT194" s="2" t="str">
        <f>HYPERLINK("https%3A%2F%2Fwww.webofscience.com%2Fwos%2Fwoscc%2Ffull-record%2FWOS:000353527500003","View Full Record in Web of Science")</f>
        <v>View Full Record in Web of Science</v>
      </c>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row>
    <row r="195" spans="1:314" s="2" customFormat="1" x14ac:dyDescent="0.4">
      <c r="A195" s="2" t="s">
        <v>72</v>
      </c>
      <c r="B195" s="2" t="s">
        <v>7966</v>
      </c>
      <c r="C195" s="2" t="s">
        <v>74</v>
      </c>
      <c r="D195" s="2" t="s">
        <v>74</v>
      </c>
      <c r="E195" s="2" t="s">
        <v>74</v>
      </c>
      <c r="F195" s="2" t="s">
        <v>7967</v>
      </c>
      <c r="G195" s="2" t="s">
        <v>74</v>
      </c>
      <c r="H195" s="2" t="s">
        <v>74</v>
      </c>
      <c r="I195" s="2" t="s">
        <v>7968</v>
      </c>
      <c r="J195" s="2" t="s">
        <v>3353</v>
      </c>
      <c r="K195" s="2" t="s">
        <v>74</v>
      </c>
      <c r="L195" s="2" t="s">
        <v>74</v>
      </c>
      <c r="M195" s="2" t="s">
        <v>74</v>
      </c>
      <c r="N195" s="2" t="s">
        <v>74</v>
      </c>
      <c r="O195" s="2" t="s">
        <v>74</v>
      </c>
      <c r="P195" s="2" t="s">
        <v>74</v>
      </c>
      <c r="Q195" s="2" t="s">
        <v>74</v>
      </c>
      <c r="R195" s="2" t="s">
        <v>74</v>
      </c>
      <c r="S195" s="2" t="s">
        <v>74</v>
      </c>
      <c r="T195" s="2" t="s">
        <v>74</v>
      </c>
      <c r="U195" s="2" t="s">
        <v>74</v>
      </c>
      <c r="V195" s="5" t="s">
        <v>7969</v>
      </c>
      <c r="W195" s="2" t="s">
        <v>74</v>
      </c>
      <c r="X195" s="2" t="s">
        <v>74</v>
      </c>
      <c r="Y195" s="2" t="s">
        <v>74</v>
      </c>
      <c r="Z195" s="2" t="s">
        <v>74</v>
      </c>
      <c r="AA195" s="2" t="s">
        <v>7970</v>
      </c>
      <c r="AB195" s="2" t="s">
        <v>7971</v>
      </c>
      <c r="AC195" s="2" t="s">
        <v>74</v>
      </c>
      <c r="AD195" s="2" t="s">
        <v>74</v>
      </c>
      <c r="AE195" s="2" t="s">
        <v>74</v>
      </c>
      <c r="AF195" s="2" t="s">
        <v>74</v>
      </c>
      <c r="AG195" s="2" t="s">
        <v>74</v>
      </c>
      <c r="AH195" s="2" t="s">
        <v>74</v>
      </c>
      <c r="AI195" s="2" t="s">
        <v>74</v>
      </c>
      <c r="AJ195" s="2" t="s">
        <v>74</v>
      </c>
      <c r="AK195" s="2" t="s">
        <v>74</v>
      </c>
      <c r="AL195" s="2" t="s">
        <v>74</v>
      </c>
      <c r="AM195" s="2" t="s">
        <v>74</v>
      </c>
      <c r="AN195" s="2" t="s">
        <v>74</v>
      </c>
      <c r="AO195" s="2" t="s">
        <v>3357</v>
      </c>
      <c r="AP195" s="2" t="s">
        <v>3358</v>
      </c>
      <c r="AQ195" s="2" t="s">
        <v>74</v>
      </c>
      <c r="AR195" s="2" t="s">
        <v>74</v>
      </c>
      <c r="AS195" s="2" t="s">
        <v>74</v>
      </c>
      <c r="AT195" s="2" t="s">
        <v>633</v>
      </c>
      <c r="AU195" s="2">
        <v>2013</v>
      </c>
      <c r="AV195" s="2">
        <v>38</v>
      </c>
      <c r="AW195" s="2">
        <v>2</v>
      </c>
      <c r="AX195" s="2" t="s">
        <v>74</v>
      </c>
      <c r="AY195" s="2" t="s">
        <v>74</v>
      </c>
      <c r="AZ195" s="2" t="s">
        <v>74</v>
      </c>
      <c r="BA195" s="2" t="s">
        <v>74</v>
      </c>
      <c r="BB195" s="2">
        <v>169</v>
      </c>
      <c r="BC195" s="2">
        <v>176</v>
      </c>
      <c r="BD195" s="2" t="s">
        <v>74</v>
      </c>
      <c r="BE195" s="2" t="s">
        <v>7972</v>
      </c>
      <c r="BF195" s="2" t="str">
        <f>HYPERLINK("http://dx.doi.org/10.1111/j.1442-9993.2012.02389.x","http://dx.doi.org/10.1111/j.1442-9993.2012.02389.x")</f>
        <v>http://dx.doi.org/10.1111/j.1442-9993.2012.02389.x</v>
      </c>
      <c r="BG195" s="2" t="s">
        <v>74</v>
      </c>
      <c r="BH195" s="2" t="s">
        <v>74</v>
      </c>
      <c r="BI195" s="2" t="s">
        <v>74</v>
      </c>
      <c r="BJ195" s="2" t="s">
        <v>74</v>
      </c>
      <c r="BK195" s="2" t="s">
        <v>74</v>
      </c>
      <c r="BL195" s="2" t="s">
        <v>74</v>
      </c>
      <c r="BM195" s="2" t="s">
        <v>74</v>
      </c>
      <c r="BN195" s="2" t="s">
        <v>74</v>
      </c>
      <c r="BO195" s="2" t="s">
        <v>74</v>
      </c>
      <c r="BP195" s="2" t="s">
        <v>74</v>
      </c>
      <c r="BQ195" s="2" t="s">
        <v>74</v>
      </c>
      <c r="BR195" s="2" t="s">
        <v>74</v>
      </c>
      <c r="BS195" s="2" t="s">
        <v>7973</v>
      </c>
      <c r="BT195" s="2" t="str">
        <f>HYPERLINK("https%3A%2F%2Fwww.webofscience.com%2Fwos%2Fwoscc%2Ffull-record%2FWOS:000316623400006","View Full Record in Web of Science")</f>
        <v>View Full Record in Web of Science</v>
      </c>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row>
    <row r="196" spans="1:314" s="2" customFormat="1" x14ac:dyDescent="0.4">
      <c r="A196" s="2" t="s">
        <v>72</v>
      </c>
      <c r="B196" s="2" t="s">
        <v>682</v>
      </c>
      <c r="C196" s="2" t="s">
        <v>74</v>
      </c>
      <c r="D196" s="2" t="s">
        <v>74</v>
      </c>
      <c r="E196" s="2" t="s">
        <v>74</v>
      </c>
      <c r="F196" s="2" t="s">
        <v>683</v>
      </c>
      <c r="G196" s="2" t="s">
        <v>74</v>
      </c>
      <c r="H196" s="2" t="s">
        <v>74</v>
      </c>
      <c r="I196" s="2" t="s">
        <v>684</v>
      </c>
      <c r="J196" s="2" t="s">
        <v>140</v>
      </c>
      <c r="K196" s="2" t="s">
        <v>74</v>
      </c>
      <c r="L196" s="2" t="s">
        <v>74</v>
      </c>
      <c r="M196" s="2" t="s">
        <v>74</v>
      </c>
      <c r="N196" s="2" t="s">
        <v>74</v>
      </c>
      <c r="O196" s="2" t="s">
        <v>74</v>
      </c>
      <c r="P196" s="2" t="s">
        <v>74</v>
      </c>
      <c r="Q196" s="2" t="s">
        <v>74</v>
      </c>
      <c r="R196" s="2" t="s">
        <v>74</v>
      </c>
      <c r="S196" s="2" t="s">
        <v>74</v>
      </c>
      <c r="T196" s="2" t="s">
        <v>74</v>
      </c>
      <c r="U196" s="2" t="s">
        <v>74</v>
      </c>
      <c r="V196" s="5" t="s">
        <v>685</v>
      </c>
      <c r="W196" s="2" t="s">
        <v>74</v>
      </c>
      <c r="X196" s="2" t="s">
        <v>74</v>
      </c>
      <c r="Y196" s="2" t="s">
        <v>74</v>
      </c>
      <c r="Z196" s="2" t="s">
        <v>74</v>
      </c>
      <c r="AA196" s="2" t="s">
        <v>74</v>
      </c>
      <c r="AB196" s="2" t="s">
        <v>686</v>
      </c>
      <c r="AC196" s="2" t="s">
        <v>74</v>
      </c>
      <c r="AD196" s="2" t="s">
        <v>74</v>
      </c>
      <c r="AE196" s="2" t="s">
        <v>74</v>
      </c>
      <c r="AF196" s="2" t="s">
        <v>74</v>
      </c>
      <c r="AG196" s="2" t="s">
        <v>74</v>
      </c>
      <c r="AH196" s="2" t="s">
        <v>74</v>
      </c>
      <c r="AI196" s="2" t="s">
        <v>74</v>
      </c>
      <c r="AJ196" s="2" t="s">
        <v>74</v>
      </c>
      <c r="AK196" s="2" t="s">
        <v>74</v>
      </c>
      <c r="AL196" s="2" t="s">
        <v>74</v>
      </c>
      <c r="AM196" s="2" t="s">
        <v>74</v>
      </c>
      <c r="AN196" s="2" t="s">
        <v>74</v>
      </c>
      <c r="AO196" s="2" t="s">
        <v>143</v>
      </c>
      <c r="AP196" s="2" t="s">
        <v>144</v>
      </c>
      <c r="AQ196" s="2" t="s">
        <v>74</v>
      </c>
      <c r="AR196" s="2" t="s">
        <v>74</v>
      </c>
      <c r="AS196" s="2" t="s">
        <v>74</v>
      </c>
      <c r="AT196" s="2" t="s">
        <v>102</v>
      </c>
      <c r="AU196" s="2">
        <v>2016</v>
      </c>
      <c r="AV196" s="2">
        <v>116</v>
      </c>
      <c r="AW196" s="2" t="s">
        <v>74</v>
      </c>
      <c r="AX196" s="2" t="s">
        <v>74</v>
      </c>
      <c r="AY196" s="2" t="s">
        <v>74</v>
      </c>
      <c r="AZ196" s="2" t="s">
        <v>74</v>
      </c>
      <c r="BA196" s="2" t="s">
        <v>74</v>
      </c>
      <c r="BB196" s="2">
        <v>213</v>
      </c>
      <c r="BC196" s="2">
        <v>221</v>
      </c>
      <c r="BD196" s="2" t="s">
        <v>74</v>
      </c>
      <c r="BE196" s="2" t="s">
        <v>687</v>
      </c>
      <c r="BF196" s="2" t="str">
        <f>HYPERLINK("http://dx.doi.org/10.1016/j.anbehav.2016.03.035","http://dx.doi.org/10.1016/j.anbehav.2016.03.035")</f>
        <v>http://dx.doi.org/10.1016/j.anbehav.2016.03.035</v>
      </c>
      <c r="BG196" s="2" t="s">
        <v>74</v>
      </c>
      <c r="BH196" s="2" t="s">
        <v>74</v>
      </c>
      <c r="BI196" s="2" t="s">
        <v>74</v>
      </c>
      <c r="BJ196" s="2" t="s">
        <v>74</v>
      </c>
      <c r="BK196" s="2" t="s">
        <v>74</v>
      </c>
      <c r="BL196" s="2" t="s">
        <v>74</v>
      </c>
      <c r="BM196" s="2" t="s">
        <v>74</v>
      </c>
      <c r="BN196" s="2" t="s">
        <v>74</v>
      </c>
      <c r="BO196" s="2" t="s">
        <v>74</v>
      </c>
      <c r="BP196" s="2" t="s">
        <v>74</v>
      </c>
      <c r="BQ196" s="2" t="s">
        <v>74</v>
      </c>
      <c r="BR196" s="2" t="s">
        <v>74</v>
      </c>
      <c r="BS196" s="2" t="s">
        <v>688</v>
      </c>
      <c r="BT196" s="2" t="str">
        <f>HYPERLINK("https%3A%2F%2Fwww.webofscience.com%2Fwos%2Fwoscc%2Ffull-record%2FWOS:000377286700023","View Full Record in Web of Science")</f>
        <v>View Full Record in Web of Science</v>
      </c>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row>
    <row r="197" spans="1:314" s="1" customFormat="1" x14ac:dyDescent="0.4">
      <c r="A197" s="2" t="s">
        <v>72</v>
      </c>
      <c r="B197" s="2" t="s">
        <v>2820</v>
      </c>
      <c r="C197" s="2" t="s">
        <v>74</v>
      </c>
      <c r="D197" s="2" t="s">
        <v>74</v>
      </c>
      <c r="E197" s="2" t="s">
        <v>74</v>
      </c>
      <c r="F197" s="2" t="s">
        <v>2821</v>
      </c>
      <c r="G197" s="2" t="s">
        <v>74</v>
      </c>
      <c r="H197" s="2" t="s">
        <v>74</v>
      </c>
      <c r="I197" s="2" t="s">
        <v>2822</v>
      </c>
      <c r="J197" s="2" t="s">
        <v>1656</v>
      </c>
      <c r="K197" s="2" t="s">
        <v>74</v>
      </c>
      <c r="L197" s="2" t="s">
        <v>74</v>
      </c>
      <c r="M197" s="2" t="s">
        <v>74</v>
      </c>
      <c r="N197" s="2" t="s">
        <v>74</v>
      </c>
      <c r="O197" s="2" t="s">
        <v>74</v>
      </c>
      <c r="P197" s="2" t="s">
        <v>74</v>
      </c>
      <c r="Q197" s="2" t="s">
        <v>74</v>
      </c>
      <c r="R197" s="2" t="s">
        <v>74</v>
      </c>
      <c r="S197" s="2" t="s">
        <v>74</v>
      </c>
      <c r="T197" s="2" t="s">
        <v>74</v>
      </c>
      <c r="U197" s="2" t="s">
        <v>74</v>
      </c>
      <c r="V197" s="5" t="s">
        <v>2823</v>
      </c>
      <c r="W197" s="2" t="s">
        <v>74</v>
      </c>
      <c r="X197" s="2" t="s">
        <v>74</v>
      </c>
      <c r="Y197" s="2" t="s">
        <v>74</v>
      </c>
      <c r="Z197" s="2" t="s">
        <v>74</v>
      </c>
      <c r="AA197" s="2" t="s">
        <v>74</v>
      </c>
      <c r="AB197" s="2" t="s">
        <v>74</v>
      </c>
      <c r="AC197" s="2" t="s">
        <v>74</v>
      </c>
      <c r="AD197" s="2" t="s">
        <v>74</v>
      </c>
      <c r="AE197" s="2" t="s">
        <v>74</v>
      </c>
      <c r="AF197" s="2" t="s">
        <v>74</v>
      </c>
      <c r="AG197" s="2" t="s">
        <v>74</v>
      </c>
      <c r="AH197" s="2" t="s">
        <v>74</v>
      </c>
      <c r="AI197" s="2" t="s">
        <v>74</v>
      </c>
      <c r="AJ197" s="2" t="s">
        <v>74</v>
      </c>
      <c r="AK197" s="2" t="s">
        <v>74</v>
      </c>
      <c r="AL197" s="2" t="s">
        <v>74</v>
      </c>
      <c r="AM197" s="2" t="s">
        <v>74</v>
      </c>
      <c r="AN197" s="2" t="s">
        <v>74</v>
      </c>
      <c r="AO197" s="2" t="s">
        <v>1658</v>
      </c>
      <c r="AP197" s="2" t="s">
        <v>1659</v>
      </c>
      <c r="AQ197" s="2" t="s">
        <v>74</v>
      </c>
      <c r="AR197" s="2" t="s">
        <v>74</v>
      </c>
      <c r="AS197" s="2" t="s">
        <v>74</v>
      </c>
      <c r="AT197" s="2" t="s">
        <v>2824</v>
      </c>
      <c r="AU197" s="2">
        <v>2011</v>
      </c>
      <c r="AV197" s="2" t="s">
        <v>74</v>
      </c>
      <c r="AW197" s="2">
        <v>3110</v>
      </c>
      <c r="AX197" s="2" t="s">
        <v>74</v>
      </c>
      <c r="AY197" s="2" t="s">
        <v>74</v>
      </c>
      <c r="AZ197" s="2" t="s">
        <v>74</v>
      </c>
      <c r="BA197" s="2" t="s">
        <v>74</v>
      </c>
      <c r="BB197" s="2">
        <v>53</v>
      </c>
      <c r="BC197" s="2">
        <v>60</v>
      </c>
      <c r="BD197" s="2" t="s">
        <v>74</v>
      </c>
      <c r="BE197" s="2" t="s">
        <v>74</v>
      </c>
      <c r="BF197" s="2" t="s">
        <v>74</v>
      </c>
      <c r="BG197" s="2" t="s">
        <v>74</v>
      </c>
      <c r="BH197" s="2" t="s">
        <v>74</v>
      </c>
      <c r="BI197" s="2" t="s">
        <v>74</v>
      </c>
      <c r="BJ197" s="2" t="s">
        <v>74</v>
      </c>
      <c r="BK197" s="2" t="s">
        <v>74</v>
      </c>
      <c r="BL197" s="2" t="s">
        <v>74</v>
      </c>
      <c r="BM197" s="2" t="s">
        <v>74</v>
      </c>
      <c r="BN197" s="2" t="s">
        <v>74</v>
      </c>
      <c r="BO197" s="2" t="s">
        <v>74</v>
      </c>
      <c r="BP197" s="2" t="s">
        <v>74</v>
      </c>
      <c r="BQ197" s="2" t="s">
        <v>74</v>
      </c>
      <c r="BR197" s="2" t="s">
        <v>74</v>
      </c>
      <c r="BS197" s="2" t="s">
        <v>2825</v>
      </c>
      <c r="BT197" s="2" t="str">
        <f>HYPERLINK("https%3A%2F%2Fwww.webofscience.com%2Fwos%2Fwoscc%2Ffull-record%2FWOS:000297328000005","View Full Record in Web of Science")</f>
        <v>View Full Record in Web of Science</v>
      </c>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row>
    <row r="198" spans="1:314" s="2" customFormat="1" x14ac:dyDescent="0.4">
      <c r="A198" s="2" t="s">
        <v>72</v>
      </c>
      <c r="B198" s="2" t="s">
        <v>6352</v>
      </c>
      <c r="C198" s="2" t="s">
        <v>74</v>
      </c>
      <c r="D198" s="2" t="s">
        <v>74</v>
      </c>
      <c r="E198" s="2" t="s">
        <v>74</v>
      </c>
      <c r="F198" s="2" t="s">
        <v>6352</v>
      </c>
      <c r="G198" s="2" t="s">
        <v>74</v>
      </c>
      <c r="H198" s="2" t="s">
        <v>74</v>
      </c>
      <c r="I198" s="2" t="s">
        <v>6353</v>
      </c>
      <c r="J198" s="2" t="s">
        <v>3498</v>
      </c>
      <c r="K198" s="2" t="s">
        <v>74</v>
      </c>
      <c r="L198" s="2" t="s">
        <v>74</v>
      </c>
      <c r="M198" s="2" t="s">
        <v>74</v>
      </c>
      <c r="N198" s="2" t="s">
        <v>74</v>
      </c>
      <c r="O198" s="2" t="s">
        <v>74</v>
      </c>
      <c r="P198" s="2" t="s">
        <v>74</v>
      </c>
      <c r="Q198" s="2" t="s">
        <v>74</v>
      </c>
      <c r="R198" s="2" t="s">
        <v>74</v>
      </c>
      <c r="S198" s="2" t="s">
        <v>74</v>
      </c>
      <c r="T198" s="2" t="s">
        <v>74</v>
      </c>
      <c r="U198" s="2" t="s">
        <v>74</v>
      </c>
      <c r="V198" s="5" t="s">
        <v>6354</v>
      </c>
      <c r="W198" s="2" t="s">
        <v>74</v>
      </c>
      <c r="X198" s="2" t="s">
        <v>74</v>
      </c>
      <c r="Y198" s="2" t="s">
        <v>74</v>
      </c>
      <c r="Z198" s="2" t="s">
        <v>74</v>
      </c>
      <c r="AA198" s="2" t="s">
        <v>74</v>
      </c>
      <c r="AB198" s="2" t="s">
        <v>74</v>
      </c>
      <c r="AC198" s="2" t="s">
        <v>74</v>
      </c>
      <c r="AD198" s="2" t="s">
        <v>74</v>
      </c>
      <c r="AE198" s="2" t="s">
        <v>74</v>
      </c>
      <c r="AF198" s="2" t="s">
        <v>74</v>
      </c>
      <c r="AG198" s="2" t="s">
        <v>74</v>
      </c>
      <c r="AH198" s="2" t="s">
        <v>74</v>
      </c>
      <c r="AI198" s="2" t="s">
        <v>74</v>
      </c>
      <c r="AJ198" s="2" t="s">
        <v>74</v>
      </c>
      <c r="AK198" s="2" t="s">
        <v>74</v>
      </c>
      <c r="AL198" s="2" t="s">
        <v>74</v>
      </c>
      <c r="AM198" s="2" t="s">
        <v>74</v>
      </c>
      <c r="AN198" s="2" t="s">
        <v>74</v>
      </c>
      <c r="AO198" s="2" t="s">
        <v>3501</v>
      </c>
      <c r="AP198" s="2" t="s">
        <v>3502</v>
      </c>
      <c r="AQ198" s="2" t="s">
        <v>74</v>
      </c>
      <c r="AR198" s="2" t="s">
        <v>74</v>
      </c>
      <c r="AS198" s="2" t="s">
        <v>74</v>
      </c>
      <c r="AT198" s="2" t="s">
        <v>305</v>
      </c>
      <c r="AU198" s="2">
        <v>2005</v>
      </c>
      <c r="AV198" s="2">
        <v>34</v>
      </c>
      <c r="AW198" s="2">
        <v>6</v>
      </c>
      <c r="AX198" s="2" t="s">
        <v>74</v>
      </c>
      <c r="AY198" s="2" t="s">
        <v>74</v>
      </c>
      <c r="AZ198" s="2" t="s">
        <v>74</v>
      </c>
      <c r="BA198" s="2" t="s">
        <v>74</v>
      </c>
      <c r="BB198" s="2">
        <v>1524</v>
      </c>
      <c r="BC198" s="2">
        <v>1533</v>
      </c>
      <c r="BD198" s="2" t="s">
        <v>74</v>
      </c>
      <c r="BE198" s="2" t="s">
        <v>6355</v>
      </c>
      <c r="BF198" s="2" t="str">
        <f>HYPERLINK("http://dx.doi.org/10.1603/0046-225X-34.6.1524","http://dx.doi.org/10.1603/0046-225X-34.6.1524")</f>
        <v>http://dx.doi.org/10.1603/0046-225X-34.6.1524</v>
      </c>
      <c r="BG198" s="2" t="s">
        <v>74</v>
      </c>
      <c r="BH198" s="2" t="s">
        <v>74</v>
      </c>
      <c r="BI198" s="2" t="s">
        <v>74</v>
      </c>
      <c r="BJ198" s="2" t="s">
        <v>74</v>
      </c>
      <c r="BK198" s="2" t="s">
        <v>74</v>
      </c>
      <c r="BL198" s="2" t="s">
        <v>74</v>
      </c>
      <c r="BM198" s="2" t="s">
        <v>74</v>
      </c>
      <c r="BN198" s="2" t="s">
        <v>74</v>
      </c>
      <c r="BO198" s="2" t="s">
        <v>74</v>
      </c>
      <c r="BP198" s="2" t="s">
        <v>74</v>
      </c>
      <c r="BQ198" s="2" t="s">
        <v>74</v>
      </c>
      <c r="BR198" s="2" t="s">
        <v>74</v>
      </c>
      <c r="BS198" s="2" t="s">
        <v>6356</v>
      </c>
      <c r="BT198" s="2" t="str">
        <f>HYPERLINK("https%3A%2F%2Fwww.webofscience.com%2Fwos%2Fwoscc%2Ffull-record%2FWOS:000234031400020","View Full Record in Web of Science")</f>
        <v>View Full Record in Web of Science</v>
      </c>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row>
    <row r="199" spans="1:314" s="2" customFormat="1" x14ac:dyDescent="0.4">
      <c r="A199" s="2" t="s">
        <v>72</v>
      </c>
      <c r="B199" s="2" t="s">
        <v>7711</v>
      </c>
      <c r="C199" s="2" t="s">
        <v>74</v>
      </c>
      <c r="D199" s="2" t="s">
        <v>74</v>
      </c>
      <c r="E199" s="2" t="s">
        <v>74</v>
      </c>
      <c r="F199" s="2" t="s">
        <v>7712</v>
      </c>
      <c r="G199" s="2" t="s">
        <v>74</v>
      </c>
      <c r="H199" s="2" t="s">
        <v>74</v>
      </c>
      <c r="I199" s="2" t="s">
        <v>7713</v>
      </c>
      <c r="J199" s="2" t="s">
        <v>108</v>
      </c>
      <c r="K199" s="2" t="s">
        <v>74</v>
      </c>
      <c r="L199" s="2" t="s">
        <v>74</v>
      </c>
      <c r="M199" s="2" t="s">
        <v>74</v>
      </c>
      <c r="N199" s="2" t="s">
        <v>74</v>
      </c>
      <c r="O199" s="2" t="s">
        <v>74</v>
      </c>
      <c r="P199" s="2" t="s">
        <v>74</v>
      </c>
      <c r="Q199" s="2" t="s">
        <v>74</v>
      </c>
      <c r="R199" s="2" t="s">
        <v>74</v>
      </c>
      <c r="S199" s="2" t="s">
        <v>74</v>
      </c>
      <c r="T199" s="2" t="s">
        <v>74</v>
      </c>
      <c r="U199" s="2" t="s">
        <v>74</v>
      </c>
      <c r="V199" s="5" t="s">
        <v>7714</v>
      </c>
      <c r="W199" s="2" t="s">
        <v>74</v>
      </c>
      <c r="X199" s="2" t="s">
        <v>74</v>
      </c>
      <c r="Y199" s="2" t="s">
        <v>74</v>
      </c>
      <c r="Z199" s="2" t="s">
        <v>74</v>
      </c>
      <c r="AA199" s="2" t="s">
        <v>7715</v>
      </c>
      <c r="AB199" s="2" t="s">
        <v>7716</v>
      </c>
      <c r="AC199" s="2" t="s">
        <v>74</v>
      </c>
      <c r="AD199" s="2" t="s">
        <v>74</v>
      </c>
      <c r="AE199" s="2" t="s">
        <v>74</v>
      </c>
      <c r="AF199" s="2" t="s">
        <v>74</v>
      </c>
      <c r="AG199" s="2" t="s">
        <v>74</v>
      </c>
      <c r="AH199" s="2" t="s">
        <v>74</v>
      </c>
      <c r="AI199" s="2" t="s">
        <v>74</v>
      </c>
      <c r="AJ199" s="2" t="s">
        <v>74</v>
      </c>
      <c r="AK199" s="2" t="s">
        <v>74</v>
      </c>
      <c r="AL199" s="2" t="s">
        <v>74</v>
      </c>
      <c r="AM199" s="2" t="s">
        <v>74</v>
      </c>
      <c r="AN199" s="2" t="s">
        <v>74</v>
      </c>
      <c r="AO199" s="2" t="s">
        <v>111</v>
      </c>
      <c r="AP199" s="2" t="s">
        <v>112</v>
      </c>
      <c r="AQ199" s="2" t="s">
        <v>74</v>
      </c>
      <c r="AR199" s="2" t="s">
        <v>74</v>
      </c>
      <c r="AS199" s="2" t="s">
        <v>74</v>
      </c>
      <c r="AT199" s="2" t="s">
        <v>7717</v>
      </c>
      <c r="AU199" s="2">
        <v>2023</v>
      </c>
      <c r="AV199" s="2">
        <v>290</v>
      </c>
      <c r="AW199" s="2">
        <v>1991</v>
      </c>
      <c r="AX199" s="2" t="s">
        <v>74</v>
      </c>
      <c r="AY199" s="2" t="s">
        <v>74</v>
      </c>
      <c r="AZ199" s="2" t="s">
        <v>74</v>
      </c>
      <c r="BA199" s="2" t="s">
        <v>74</v>
      </c>
      <c r="BB199" s="2" t="s">
        <v>74</v>
      </c>
      <c r="BC199" s="2" t="s">
        <v>74</v>
      </c>
      <c r="BD199" s="2">
        <v>20221862</v>
      </c>
      <c r="BE199" s="2" t="s">
        <v>7718</v>
      </c>
      <c r="BF199" s="2" t="str">
        <f>HYPERLINK("http://dx.doi.org/10.1098/rspb.2022.1862","http://dx.doi.org/10.1098/rspb.2022.1862")</f>
        <v>http://dx.doi.org/10.1098/rspb.2022.1862</v>
      </c>
      <c r="BG199" s="2" t="s">
        <v>74</v>
      </c>
      <c r="BH199" s="2" t="s">
        <v>74</v>
      </c>
      <c r="BI199" s="2" t="s">
        <v>74</v>
      </c>
      <c r="BJ199" s="2" t="s">
        <v>74</v>
      </c>
      <c r="BK199" s="2" t="s">
        <v>74</v>
      </c>
      <c r="BL199" s="2" t="s">
        <v>74</v>
      </c>
      <c r="BM199" s="2" t="s">
        <v>74</v>
      </c>
      <c r="BN199" s="2">
        <v>36651041</v>
      </c>
      <c r="BO199" s="2" t="s">
        <v>74</v>
      </c>
      <c r="BP199" s="2" t="s">
        <v>74</v>
      </c>
      <c r="BQ199" s="2" t="s">
        <v>74</v>
      </c>
      <c r="BR199" s="2" t="s">
        <v>74</v>
      </c>
      <c r="BS199" s="2" t="s">
        <v>7719</v>
      </c>
      <c r="BT199" s="2" t="str">
        <f>HYPERLINK("https%3A%2F%2Fwww.webofscience.com%2Fwos%2Fwoscc%2Ffull-record%2FWOS:000914748200003","View Full Record in Web of Science")</f>
        <v>View Full Record in Web of Science</v>
      </c>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row>
    <row r="200" spans="1:314" s="2" customFormat="1" x14ac:dyDescent="0.4">
      <c r="A200" s="2" t="s">
        <v>72</v>
      </c>
      <c r="B200" s="2" t="s">
        <v>4992</v>
      </c>
      <c r="C200" s="2" t="s">
        <v>74</v>
      </c>
      <c r="D200" s="2" t="s">
        <v>74</v>
      </c>
      <c r="E200" s="2" t="s">
        <v>74</v>
      </c>
      <c r="F200" s="2" t="s">
        <v>4993</v>
      </c>
      <c r="G200" s="2" t="s">
        <v>74</v>
      </c>
      <c r="H200" s="2" t="s">
        <v>74</v>
      </c>
      <c r="I200" s="2" t="s">
        <v>4994</v>
      </c>
      <c r="J200" s="2" t="s">
        <v>108</v>
      </c>
      <c r="K200" s="2" t="s">
        <v>74</v>
      </c>
      <c r="L200" s="2" t="s">
        <v>74</v>
      </c>
      <c r="M200" s="2" t="s">
        <v>74</v>
      </c>
      <c r="N200" s="2" t="s">
        <v>74</v>
      </c>
      <c r="O200" s="2" t="s">
        <v>74</v>
      </c>
      <c r="P200" s="2" t="s">
        <v>74</v>
      </c>
      <c r="Q200" s="2" t="s">
        <v>74</v>
      </c>
      <c r="R200" s="2" t="s">
        <v>74</v>
      </c>
      <c r="S200" s="2" t="s">
        <v>74</v>
      </c>
      <c r="T200" s="2" t="s">
        <v>74</v>
      </c>
      <c r="U200" s="2" t="s">
        <v>74</v>
      </c>
      <c r="V200" s="5" t="s">
        <v>4995</v>
      </c>
      <c r="W200" s="2" t="s">
        <v>74</v>
      </c>
      <c r="X200" s="2" t="s">
        <v>74</v>
      </c>
      <c r="Y200" s="2" t="s">
        <v>74</v>
      </c>
      <c r="Z200" s="2" t="s">
        <v>74</v>
      </c>
      <c r="AA200" s="2" t="s">
        <v>4996</v>
      </c>
      <c r="AB200" s="2" t="s">
        <v>4997</v>
      </c>
      <c r="AC200" s="2" t="s">
        <v>74</v>
      </c>
      <c r="AD200" s="2" t="s">
        <v>74</v>
      </c>
      <c r="AE200" s="2" t="s">
        <v>74</v>
      </c>
      <c r="AF200" s="2" t="s">
        <v>74</v>
      </c>
      <c r="AG200" s="2" t="s">
        <v>74</v>
      </c>
      <c r="AH200" s="2" t="s">
        <v>74</v>
      </c>
      <c r="AI200" s="2" t="s">
        <v>74</v>
      </c>
      <c r="AJ200" s="2" t="s">
        <v>74</v>
      </c>
      <c r="AK200" s="2" t="s">
        <v>74</v>
      </c>
      <c r="AL200" s="2" t="s">
        <v>74</v>
      </c>
      <c r="AM200" s="2" t="s">
        <v>74</v>
      </c>
      <c r="AN200" s="2" t="s">
        <v>74</v>
      </c>
      <c r="AO200" s="2" t="s">
        <v>111</v>
      </c>
      <c r="AP200" s="2" t="s">
        <v>112</v>
      </c>
      <c r="AQ200" s="2" t="s">
        <v>74</v>
      </c>
      <c r="AR200" s="2" t="s">
        <v>74</v>
      </c>
      <c r="AS200" s="2" t="s">
        <v>74</v>
      </c>
      <c r="AT200" s="2" t="s">
        <v>4998</v>
      </c>
      <c r="AU200" s="2">
        <v>2015</v>
      </c>
      <c r="AV200" s="2">
        <v>282</v>
      </c>
      <c r="AW200" s="2">
        <v>1798</v>
      </c>
      <c r="AX200" s="2" t="s">
        <v>74</v>
      </c>
      <c r="AY200" s="2" t="s">
        <v>74</v>
      </c>
      <c r="AZ200" s="2" t="s">
        <v>74</v>
      </c>
      <c r="BA200" s="2" t="s">
        <v>74</v>
      </c>
      <c r="BB200" s="2" t="s">
        <v>74</v>
      </c>
      <c r="BC200" s="2" t="s">
        <v>74</v>
      </c>
      <c r="BD200" s="2">
        <v>20142321</v>
      </c>
      <c r="BE200" s="2" t="s">
        <v>4999</v>
      </c>
      <c r="BF200" s="2" t="str">
        <f>HYPERLINK("http://dx.doi.org/10.1098/rspb.2014.2321","http://dx.doi.org/10.1098/rspb.2014.2321")</f>
        <v>http://dx.doi.org/10.1098/rspb.2014.2321</v>
      </c>
      <c r="BG200" s="2" t="s">
        <v>74</v>
      </c>
      <c r="BH200" s="2" t="s">
        <v>74</v>
      </c>
      <c r="BI200" s="2" t="s">
        <v>74</v>
      </c>
      <c r="BJ200" s="2" t="s">
        <v>74</v>
      </c>
      <c r="BK200" s="2" t="s">
        <v>74</v>
      </c>
      <c r="BL200" s="2" t="s">
        <v>74</v>
      </c>
      <c r="BM200" s="2" t="s">
        <v>74</v>
      </c>
      <c r="BN200" s="2">
        <v>25429020</v>
      </c>
      <c r="BO200" s="2" t="s">
        <v>74</v>
      </c>
      <c r="BP200" s="2" t="s">
        <v>74</v>
      </c>
      <c r="BQ200" s="2" t="s">
        <v>74</v>
      </c>
      <c r="BR200" s="2" t="s">
        <v>74</v>
      </c>
      <c r="BS200" s="2" t="s">
        <v>5000</v>
      </c>
      <c r="BT200" s="2" t="str">
        <f>HYPERLINK("https%3A%2F%2Fwww.webofscience.com%2Fwos%2Fwoscc%2Ffull-record%2FWOS:000347160800015","View Full Record in Web of Science")</f>
        <v>View Full Record in Web of Science</v>
      </c>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row>
    <row r="201" spans="1:314" s="2" customFormat="1" x14ac:dyDescent="0.4">
      <c r="A201" s="2" t="s">
        <v>72</v>
      </c>
      <c r="B201" s="2" t="s">
        <v>3652</v>
      </c>
      <c r="C201" s="2" t="s">
        <v>74</v>
      </c>
      <c r="D201" s="2" t="s">
        <v>74</v>
      </c>
      <c r="E201" s="2" t="s">
        <v>74</v>
      </c>
      <c r="F201" s="2" t="s">
        <v>3653</v>
      </c>
      <c r="G201" s="2" t="s">
        <v>74</v>
      </c>
      <c r="H201" s="2" t="s">
        <v>74</v>
      </c>
      <c r="I201" s="2" t="s">
        <v>3654</v>
      </c>
      <c r="J201" s="2" t="s">
        <v>229</v>
      </c>
      <c r="K201" s="2" t="s">
        <v>74</v>
      </c>
      <c r="L201" s="2" t="s">
        <v>74</v>
      </c>
      <c r="M201" s="2" t="s">
        <v>74</v>
      </c>
      <c r="N201" s="2" t="s">
        <v>74</v>
      </c>
      <c r="O201" s="2" t="s">
        <v>74</v>
      </c>
      <c r="P201" s="2" t="s">
        <v>74</v>
      </c>
      <c r="Q201" s="2" t="s">
        <v>74</v>
      </c>
      <c r="R201" s="2" t="s">
        <v>74</v>
      </c>
      <c r="S201" s="2" t="s">
        <v>74</v>
      </c>
      <c r="T201" s="2" t="s">
        <v>74</v>
      </c>
      <c r="U201" s="2" t="s">
        <v>74</v>
      </c>
      <c r="V201" s="5" t="s">
        <v>3655</v>
      </c>
      <c r="W201" s="2" t="s">
        <v>74</v>
      </c>
      <c r="X201" s="2" t="s">
        <v>74</v>
      </c>
      <c r="Y201" s="2" t="s">
        <v>74</v>
      </c>
      <c r="Z201" s="2" t="s">
        <v>74</v>
      </c>
      <c r="AA201" s="2" t="s">
        <v>3656</v>
      </c>
      <c r="AB201" s="2" t="s">
        <v>3657</v>
      </c>
      <c r="AC201" s="2" t="s">
        <v>74</v>
      </c>
      <c r="AD201" s="2" t="s">
        <v>74</v>
      </c>
      <c r="AE201" s="2" t="s">
        <v>74</v>
      </c>
      <c r="AF201" s="2" t="s">
        <v>74</v>
      </c>
      <c r="AG201" s="2" t="s">
        <v>74</v>
      </c>
      <c r="AH201" s="2" t="s">
        <v>74</v>
      </c>
      <c r="AI201" s="2" t="s">
        <v>74</v>
      </c>
      <c r="AJ201" s="2" t="s">
        <v>74</v>
      </c>
      <c r="AK201" s="2" t="s">
        <v>74</v>
      </c>
      <c r="AL201" s="2" t="s">
        <v>74</v>
      </c>
      <c r="AM201" s="2" t="s">
        <v>74</v>
      </c>
      <c r="AN201" s="2" t="s">
        <v>74</v>
      </c>
      <c r="AO201" s="2" t="s">
        <v>233</v>
      </c>
      <c r="AP201" s="2" t="s">
        <v>234</v>
      </c>
      <c r="AQ201" s="2" t="s">
        <v>74</v>
      </c>
      <c r="AR201" s="2" t="s">
        <v>74</v>
      </c>
      <c r="AS201" s="2" t="s">
        <v>74</v>
      </c>
      <c r="AT201" s="2" t="s">
        <v>1475</v>
      </c>
      <c r="AU201" s="2">
        <v>2010</v>
      </c>
      <c r="AV201" s="2">
        <v>36</v>
      </c>
      <c r="AW201" s="2">
        <v>1</v>
      </c>
      <c r="AX201" s="2" t="s">
        <v>74</v>
      </c>
      <c r="AY201" s="2" t="s">
        <v>74</v>
      </c>
      <c r="AZ201" s="2" t="s">
        <v>74</v>
      </c>
      <c r="BA201" s="2" t="s">
        <v>74</v>
      </c>
      <c r="BB201" s="2">
        <v>1</v>
      </c>
      <c r="BC201" s="2">
        <v>13</v>
      </c>
      <c r="BD201" s="2" t="s">
        <v>74</v>
      </c>
      <c r="BE201" s="2" t="s">
        <v>3658</v>
      </c>
      <c r="BF201" s="2" t="str">
        <f>HYPERLINK("http://dx.doi.org/10.1002/ab.20329","http://dx.doi.org/10.1002/ab.20329")</f>
        <v>http://dx.doi.org/10.1002/ab.20329</v>
      </c>
      <c r="BG201" s="2" t="s">
        <v>74</v>
      </c>
      <c r="BH201" s="2" t="s">
        <v>74</v>
      </c>
      <c r="BI201" s="2" t="s">
        <v>74</v>
      </c>
      <c r="BJ201" s="2" t="s">
        <v>74</v>
      </c>
      <c r="BK201" s="2" t="s">
        <v>74</v>
      </c>
      <c r="BL201" s="2" t="s">
        <v>74</v>
      </c>
      <c r="BM201" s="2" t="s">
        <v>74</v>
      </c>
      <c r="BN201" s="2">
        <v>19859912</v>
      </c>
      <c r="BO201" s="2" t="s">
        <v>74</v>
      </c>
      <c r="BP201" s="2" t="s">
        <v>74</v>
      </c>
      <c r="BQ201" s="2" t="s">
        <v>74</v>
      </c>
      <c r="BR201" s="2" t="s">
        <v>74</v>
      </c>
      <c r="BS201" s="2" t="s">
        <v>3659</v>
      </c>
      <c r="BT201" s="2" t="str">
        <f>HYPERLINK("https%3A%2F%2Fwww.webofscience.com%2Fwos%2Fwoscc%2Ffull-record%2FWOS:000272728400001","View Full Record in Web of Science")</f>
        <v>View Full Record in Web of Science</v>
      </c>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row>
    <row r="202" spans="1:314" s="2" customFormat="1" x14ac:dyDescent="0.4">
      <c r="A202" s="2" t="s">
        <v>72</v>
      </c>
      <c r="B202" s="2" t="s">
        <v>8340</v>
      </c>
      <c r="C202" s="2" t="s">
        <v>74</v>
      </c>
      <c r="D202" s="2" t="s">
        <v>74</v>
      </c>
      <c r="E202" s="2" t="s">
        <v>74</v>
      </c>
      <c r="F202" s="2" t="s">
        <v>8341</v>
      </c>
      <c r="G202" s="2" t="s">
        <v>74</v>
      </c>
      <c r="H202" s="2" t="s">
        <v>74</v>
      </c>
      <c r="I202" s="2" t="s">
        <v>8342</v>
      </c>
      <c r="J202" s="2" t="s">
        <v>119</v>
      </c>
      <c r="K202" s="2" t="s">
        <v>74</v>
      </c>
      <c r="L202" s="2" t="s">
        <v>74</v>
      </c>
      <c r="M202" s="2" t="s">
        <v>74</v>
      </c>
      <c r="N202" s="2" t="s">
        <v>74</v>
      </c>
      <c r="O202" s="2" t="s">
        <v>74</v>
      </c>
      <c r="P202" s="2" t="s">
        <v>74</v>
      </c>
      <c r="Q202" s="2" t="s">
        <v>74</v>
      </c>
      <c r="R202" s="2" t="s">
        <v>74</v>
      </c>
      <c r="S202" s="2" t="s">
        <v>74</v>
      </c>
      <c r="T202" s="2" t="s">
        <v>74</v>
      </c>
      <c r="U202" s="2" t="s">
        <v>74</v>
      </c>
      <c r="V202" s="5" t="s">
        <v>8343</v>
      </c>
      <c r="W202" s="2" t="s">
        <v>74</v>
      </c>
      <c r="X202" s="2" t="s">
        <v>74</v>
      </c>
      <c r="Y202" s="2" t="s">
        <v>74</v>
      </c>
      <c r="Z202" s="2" t="s">
        <v>74</v>
      </c>
      <c r="AA202" s="2" t="s">
        <v>74</v>
      </c>
      <c r="AB202" s="2" t="s">
        <v>74</v>
      </c>
      <c r="AC202" s="2" t="s">
        <v>74</v>
      </c>
      <c r="AD202" s="2" t="s">
        <v>74</v>
      </c>
      <c r="AE202" s="2" t="s">
        <v>74</v>
      </c>
      <c r="AF202" s="2" t="s">
        <v>74</v>
      </c>
      <c r="AG202" s="2" t="s">
        <v>74</v>
      </c>
      <c r="AH202" s="2" t="s">
        <v>74</v>
      </c>
      <c r="AI202" s="2" t="s">
        <v>74</v>
      </c>
      <c r="AJ202" s="2" t="s">
        <v>74</v>
      </c>
      <c r="AK202" s="2" t="s">
        <v>74</v>
      </c>
      <c r="AL202" s="2" t="s">
        <v>74</v>
      </c>
      <c r="AM202" s="2" t="s">
        <v>74</v>
      </c>
      <c r="AN202" s="2" t="s">
        <v>74</v>
      </c>
      <c r="AO202" s="2" t="s">
        <v>121</v>
      </c>
      <c r="AP202" s="2" t="s">
        <v>122</v>
      </c>
      <c r="AQ202" s="2" t="s">
        <v>74</v>
      </c>
      <c r="AR202" s="2" t="s">
        <v>74</v>
      </c>
      <c r="AS202" s="2" t="s">
        <v>74</v>
      </c>
      <c r="AT202" s="2" t="s">
        <v>255</v>
      </c>
      <c r="AU202" s="2">
        <v>2011</v>
      </c>
      <c r="AV202" s="2">
        <v>86</v>
      </c>
      <c r="AW202" s="2">
        <v>1</v>
      </c>
      <c r="AX202" s="2" t="s">
        <v>74</v>
      </c>
      <c r="AY202" s="2" t="s">
        <v>74</v>
      </c>
      <c r="AZ202" s="2" t="s">
        <v>74</v>
      </c>
      <c r="BA202" s="2" t="s">
        <v>74</v>
      </c>
      <c r="BB202" s="2">
        <v>109</v>
      </c>
      <c r="BC202" s="2">
        <v>118</v>
      </c>
      <c r="BD202" s="2" t="s">
        <v>74</v>
      </c>
      <c r="BE202" s="2" t="s">
        <v>8344</v>
      </c>
      <c r="BF202" s="2" t="str">
        <f>HYPERLINK("http://dx.doi.org/10.1016/j.beproc.2010.10.002","http://dx.doi.org/10.1016/j.beproc.2010.10.002")</f>
        <v>http://dx.doi.org/10.1016/j.beproc.2010.10.002</v>
      </c>
      <c r="BG202" s="2" t="s">
        <v>74</v>
      </c>
      <c r="BH202" s="2" t="s">
        <v>74</v>
      </c>
      <c r="BI202" s="2" t="s">
        <v>74</v>
      </c>
      <c r="BJ202" s="2" t="s">
        <v>74</v>
      </c>
      <c r="BK202" s="2" t="s">
        <v>74</v>
      </c>
      <c r="BL202" s="2" t="s">
        <v>74</v>
      </c>
      <c r="BM202" s="2" t="s">
        <v>74</v>
      </c>
      <c r="BN202" s="2">
        <v>20971169</v>
      </c>
      <c r="BO202" s="2" t="s">
        <v>74</v>
      </c>
      <c r="BP202" s="2" t="s">
        <v>74</v>
      </c>
      <c r="BQ202" s="2" t="s">
        <v>74</v>
      </c>
      <c r="BR202" s="2" t="s">
        <v>74</v>
      </c>
      <c r="BS202" s="2" t="s">
        <v>8345</v>
      </c>
      <c r="BT202" s="2" t="str">
        <f>HYPERLINK("https%3A%2F%2Fwww.webofscience.com%2Fwos%2Fwoscc%2Ffull-record%2FWOS:000286861200015","View Full Record in Web of Science")</f>
        <v>View Full Record in Web of Science</v>
      </c>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row>
    <row r="203" spans="1:314" s="2" customFormat="1" x14ac:dyDescent="0.4">
      <c r="A203" s="2" t="s">
        <v>72</v>
      </c>
      <c r="B203" s="2" t="s">
        <v>3208</v>
      </c>
      <c r="C203" s="2" t="s">
        <v>74</v>
      </c>
      <c r="D203" s="2" t="s">
        <v>74</v>
      </c>
      <c r="E203" s="2" t="s">
        <v>74</v>
      </c>
      <c r="F203" s="2" t="s">
        <v>3209</v>
      </c>
      <c r="G203" s="2" t="s">
        <v>74</v>
      </c>
      <c r="H203" s="2" t="s">
        <v>74</v>
      </c>
      <c r="I203" s="2" t="s">
        <v>3210</v>
      </c>
      <c r="J203" s="2" t="s">
        <v>3211</v>
      </c>
      <c r="K203" s="2" t="s">
        <v>74</v>
      </c>
      <c r="L203" s="2" t="s">
        <v>74</v>
      </c>
      <c r="M203" s="2" t="s">
        <v>74</v>
      </c>
      <c r="N203" s="2" t="s">
        <v>74</v>
      </c>
      <c r="O203" s="2" t="s">
        <v>74</v>
      </c>
      <c r="P203" s="2" t="s">
        <v>74</v>
      </c>
      <c r="Q203" s="2" t="s">
        <v>74</v>
      </c>
      <c r="R203" s="2" t="s">
        <v>74</v>
      </c>
      <c r="S203" s="2" t="s">
        <v>74</v>
      </c>
      <c r="T203" s="2" t="s">
        <v>74</v>
      </c>
      <c r="U203" s="2" t="s">
        <v>74</v>
      </c>
      <c r="V203" s="5" t="s">
        <v>3212</v>
      </c>
      <c r="W203" s="2" t="s">
        <v>74</v>
      </c>
      <c r="X203" s="2" t="s">
        <v>74</v>
      </c>
      <c r="Y203" s="2" t="s">
        <v>74</v>
      </c>
      <c r="Z203" s="2" t="s">
        <v>74</v>
      </c>
      <c r="AA203" s="2" t="s">
        <v>74</v>
      </c>
      <c r="AB203" s="2" t="s">
        <v>74</v>
      </c>
      <c r="AC203" s="2" t="s">
        <v>74</v>
      </c>
      <c r="AD203" s="2" t="s">
        <v>74</v>
      </c>
      <c r="AE203" s="2" t="s">
        <v>74</v>
      </c>
      <c r="AF203" s="2" t="s">
        <v>74</v>
      </c>
      <c r="AG203" s="2" t="s">
        <v>74</v>
      </c>
      <c r="AH203" s="2" t="s">
        <v>74</v>
      </c>
      <c r="AI203" s="2" t="s">
        <v>74</v>
      </c>
      <c r="AJ203" s="2" t="s">
        <v>74</v>
      </c>
      <c r="AK203" s="2" t="s">
        <v>74</v>
      </c>
      <c r="AL203" s="2" t="s">
        <v>74</v>
      </c>
      <c r="AM203" s="2" t="s">
        <v>74</v>
      </c>
      <c r="AN203" s="2" t="s">
        <v>74</v>
      </c>
      <c r="AO203" s="2" t="s">
        <v>3213</v>
      </c>
      <c r="AP203" s="2" t="s">
        <v>3214</v>
      </c>
      <c r="AQ203" s="2" t="s">
        <v>74</v>
      </c>
      <c r="AR203" s="2" t="s">
        <v>74</v>
      </c>
      <c r="AS203" s="2" t="s">
        <v>74</v>
      </c>
      <c r="AT203" s="2" t="s">
        <v>175</v>
      </c>
      <c r="AU203" s="2">
        <v>2017</v>
      </c>
      <c r="AV203" s="2">
        <v>178</v>
      </c>
      <c r="AW203" s="2">
        <v>2</v>
      </c>
      <c r="AX203" s="2" t="s">
        <v>74</v>
      </c>
      <c r="AY203" s="2" t="s">
        <v>74</v>
      </c>
      <c r="AZ203" s="2" t="s">
        <v>74</v>
      </c>
      <c r="BA203" s="2" t="s">
        <v>74</v>
      </c>
      <c r="BB203" s="2">
        <v>226</v>
      </c>
      <c r="BC203" s="2">
        <v>236</v>
      </c>
      <c r="BD203" s="2" t="s">
        <v>74</v>
      </c>
      <c r="BE203" s="2" t="s">
        <v>3215</v>
      </c>
      <c r="BF203" s="2" t="str">
        <f>HYPERLINK("http://dx.doi.org/10.1674/0003-0031-178.2.226","http://dx.doi.org/10.1674/0003-0031-178.2.226")</f>
        <v>http://dx.doi.org/10.1674/0003-0031-178.2.226</v>
      </c>
      <c r="BG203" s="2" t="s">
        <v>74</v>
      </c>
      <c r="BH203" s="2" t="s">
        <v>74</v>
      </c>
      <c r="BI203" s="2" t="s">
        <v>74</v>
      </c>
      <c r="BJ203" s="2" t="s">
        <v>74</v>
      </c>
      <c r="BK203" s="2" t="s">
        <v>74</v>
      </c>
      <c r="BL203" s="2" t="s">
        <v>74</v>
      </c>
      <c r="BM203" s="2" t="s">
        <v>74</v>
      </c>
      <c r="BN203" s="2" t="s">
        <v>74</v>
      </c>
      <c r="BO203" s="2" t="s">
        <v>74</v>
      </c>
      <c r="BP203" s="2" t="s">
        <v>74</v>
      </c>
      <c r="BQ203" s="2" t="s">
        <v>74</v>
      </c>
      <c r="BR203" s="2" t="s">
        <v>74</v>
      </c>
      <c r="BS203" s="2" t="s">
        <v>3216</v>
      </c>
      <c r="BT203" s="2" t="str">
        <f>HYPERLINK("https%3A%2F%2Fwww.webofscience.com%2Fwos%2Fwoscc%2Ffull-record%2FWOS:000416392800005","View Full Record in Web of Science")</f>
        <v>View Full Record in Web of Science</v>
      </c>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row>
    <row r="204" spans="1:314" s="2" customFormat="1" x14ac:dyDescent="0.4">
      <c r="A204" s="2" t="s">
        <v>72</v>
      </c>
      <c r="B204" s="2" t="s">
        <v>1140</v>
      </c>
      <c r="C204" s="2" t="s">
        <v>74</v>
      </c>
      <c r="D204" s="2" t="s">
        <v>74</v>
      </c>
      <c r="E204" s="2" t="s">
        <v>74</v>
      </c>
      <c r="F204" s="2" t="s">
        <v>1141</v>
      </c>
      <c r="G204" s="2" t="s">
        <v>74</v>
      </c>
      <c r="H204" s="2" t="s">
        <v>74</v>
      </c>
      <c r="I204" s="2" t="s">
        <v>1142</v>
      </c>
      <c r="J204" s="2" t="s">
        <v>88</v>
      </c>
      <c r="K204" s="2" t="s">
        <v>74</v>
      </c>
      <c r="L204" s="2" t="s">
        <v>74</v>
      </c>
      <c r="M204" s="2" t="s">
        <v>74</v>
      </c>
      <c r="N204" s="2" t="s">
        <v>74</v>
      </c>
      <c r="O204" s="2" t="s">
        <v>74</v>
      </c>
      <c r="P204" s="2" t="s">
        <v>74</v>
      </c>
      <c r="Q204" s="2" t="s">
        <v>74</v>
      </c>
      <c r="R204" s="2" t="s">
        <v>74</v>
      </c>
      <c r="S204" s="2" t="s">
        <v>74</v>
      </c>
      <c r="T204" s="2" t="s">
        <v>74</v>
      </c>
      <c r="U204" s="2" t="s">
        <v>74</v>
      </c>
      <c r="V204" s="5" t="s">
        <v>1143</v>
      </c>
      <c r="W204" s="2" t="s">
        <v>74</v>
      </c>
      <c r="X204" s="2" t="s">
        <v>74</v>
      </c>
      <c r="Y204" s="2" t="s">
        <v>74</v>
      </c>
      <c r="Z204" s="2" t="s">
        <v>74</v>
      </c>
      <c r="AA204" s="2" t="s">
        <v>1144</v>
      </c>
      <c r="AB204" s="2" t="s">
        <v>1145</v>
      </c>
      <c r="AC204" s="2" t="s">
        <v>74</v>
      </c>
      <c r="AD204" s="2" t="s">
        <v>74</v>
      </c>
      <c r="AE204" s="2" t="s">
        <v>74</v>
      </c>
      <c r="AF204" s="2" t="s">
        <v>74</v>
      </c>
      <c r="AG204" s="2" t="s">
        <v>74</v>
      </c>
      <c r="AH204" s="2" t="s">
        <v>74</v>
      </c>
      <c r="AI204" s="2" t="s">
        <v>74</v>
      </c>
      <c r="AJ204" s="2" t="s">
        <v>74</v>
      </c>
      <c r="AK204" s="2" t="s">
        <v>74</v>
      </c>
      <c r="AL204" s="2" t="s">
        <v>74</v>
      </c>
      <c r="AM204" s="2" t="s">
        <v>74</v>
      </c>
      <c r="AN204" s="2" t="s">
        <v>74</v>
      </c>
      <c r="AO204" s="2" t="s">
        <v>91</v>
      </c>
      <c r="AP204" s="2" t="s">
        <v>92</v>
      </c>
      <c r="AQ204" s="2" t="s">
        <v>74</v>
      </c>
      <c r="AR204" s="2" t="s">
        <v>74</v>
      </c>
      <c r="AS204" s="2" t="s">
        <v>74</v>
      </c>
      <c r="AT204" s="2" t="s">
        <v>1146</v>
      </c>
      <c r="AU204" s="2">
        <v>2016</v>
      </c>
      <c r="AV204" s="2">
        <v>12</v>
      </c>
      <c r="AW204" s="2">
        <v>8</v>
      </c>
      <c r="AX204" s="2" t="s">
        <v>74</v>
      </c>
      <c r="AY204" s="2" t="s">
        <v>74</v>
      </c>
      <c r="AZ204" s="2" t="s">
        <v>74</v>
      </c>
      <c r="BA204" s="2" t="s">
        <v>74</v>
      </c>
      <c r="BB204" s="2" t="s">
        <v>74</v>
      </c>
      <c r="BC204" s="2" t="s">
        <v>74</v>
      </c>
      <c r="BD204" s="2">
        <v>20160467</v>
      </c>
      <c r="BE204" s="2" t="s">
        <v>1147</v>
      </c>
      <c r="BF204" s="2" t="str">
        <f>HYPERLINK("http://dx.doi.org/10.1098/rsbl.2016.0467","http://dx.doi.org/10.1098/rsbl.2016.0467")</f>
        <v>http://dx.doi.org/10.1098/rsbl.2016.0467</v>
      </c>
      <c r="BG204" s="2" t="s">
        <v>74</v>
      </c>
      <c r="BH204" s="2" t="s">
        <v>74</v>
      </c>
      <c r="BI204" s="2" t="s">
        <v>74</v>
      </c>
      <c r="BJ204" s="2" t="s">
        <v>74</v>
      </c>
      <c r="BK204" s="2" t="s">
        <v>74</v>
      </c>
      <c r="BL204" s="2" t="s">
        <v>74</v>
      </c>
      <c r="BM204" s="2" t="s">
        <v>74</v>
      </c>
      <c r="BN204" s="2">
        <v>27512135</v>
      </c>
      <c r="BO204" s="2" t="s">
        <v>74</v>
      </c>
      <c r="BP204" s="2" t="s">
        <v>74</v>
      </c>
      <c r="BQ204" s="2" t="s">
        <v>74</v>
      </c>
      <c r="BR204" s="2" t="s">
        <v>74</v>
      </c>
      <c r="BS204" s="2" t="s">
        <v>1148</v>
      </c>
      <c r="BT204" s="2" t="str">
        <f>HYPERLINK("https%3A%2F%2Fwww.webofscience.com%2Fwos%2Fwoscc%2Ffull-record%2FWOS:000390331600027","View Full Record in Web of Science")</f>
        <v>View Full Record in Web of Science</v>
      </c>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row>
    <row r="205" spans="1:314" s="1" customFormat="1" x14ac:dyDescent="0.4">
      <c r="A205" s="2" t="s">
        <v>72</v>
      </c>
      <c r="B205" s="2" t="s">
        <v>3034</v>
      </c>
      <c r="C205" s="2" t="s">
        <v>74</v>
      </c>
      <c r="D205" s="2" t="s">
        <v>74</v>
      </c>
      <c r="E205" s="2" t="s">
        <v>74</v>
      </c>
      <c r="F205" s="2" t="s">
        <v>3034</v>
      </c>
      <c r="G205" s="2" t="s">
        <v>74</v>
      </c>
      <c r="H205" s="2" t="s">
        <v>74</v>
      </c>
      <c r="I205" s="2" t="s">
        <v>3035</v>
      </c>
      <c r="J205" s="2" t="s">
        <v>140</v>
      </c>
      <c r="K205" s="2" t="s">
        <v>74</v>
      </c>
      <c r="L205" s="2" t="s">
        <v>74</v>
      </c>
      <c r="M205" s="2" t="s">
        <v>74</v>
      </c>
      <c r="N205" s="2" t="s">
        <v>74</v>
      </c>
      <c r="O205" s="2" t="s">
        <v>74</v>
      </c>
      <c r="P205" s="2" t="s">
        <v>74</v>
      </c>
      <c r="Q205" s="2" t="s">
        <v>74</v>
      </c>
      <c r="R205" s="2" t="s">
        <v>74</v>
      </c>
      <c r="S205" s="2" t="s">
        <v>74</v>
      </c>
      <c r="T205" s="2" t="s">
        <v>74</v>
      </c>
      <c r="U205" s="2" t="s">
        <v>74</v>
      </c>
      <c r="V205" s="5" t="s">
        <v>3036</v>
      </c>
      <c r="W205" s="2" t="s">
        <v>74</v>
      </c>
      <c r="X205" s="2" t="s">
        <v>74</v>
      </c>
      <c r="Y205" s="2" t="s">
        <v>74</v>
      </c>
      <c r="Z205" s="2" t="s">
        <v>74</v>
      </c>
      <c r="AA205" s="2" t="s">
        <v>74</v>
      </c>
      <c r="AB205" s="2" t="s">
        <v>74</v>
      </c>
      <c r="AC205" s="2" t="s">
        <v>74</v>
      </c>
      <c r="AD205" s="2" t="s">
        <v>74</v>
      </c>
      <c r="AE205" s="2" t="s">
        <v>74</v>
      </c>
      <c r="AF205" s="2" t="s">
        <v>74</v>
      </c>
      <c r="AG205" s="2" t="s">
        <v>74</v>
      </c>
      <c r="AH205" s="2" t="s">
        <v>74</v>
      </c>
      <c r="AI205" s="2" t="s">
        <v>74</v>
      </c>
      <c r="AJ205" s="2" t="s">
        <v>74</v>
      </c>
      <c r="AK205" s="2" t="s">
        <v>74</v>
      </c>
      <c r="AL205" s="2" t="s">
        <v>74</v>
      </c>
      <c r="AM205" s="2" t="s">
        <v>74</v>
      </c>
      <c r="AN205" s="2" t="s">
        <v>74</v>
      </c>
      <c r="AO205" s="2" t="s">
        <v>143</v>
      </c>
      <c r="AP205" s="2" t="s">
        <v>74</v>
      </c>
      <c r="AQ205" s="2" t="s">
        <v>74</v>
      </c>
      <c r="AR205" s="2" t="s">
        <v>74</v>
      </c>
      <c r="AS205" s="2" t="s">
        <v>74</v>
      </c>
      <c r="AT205" s="2" t="s">
        <v>213</v>
      </c>
      <c r="AU205" s="2">
        <v>1996</v>
      </c>
      <c r="AV205" s="2">
        <v>52</v>
      </c>
      <c r="AW205" s="2" t="s">
        <v>74</v>
      </c>
      <c r="AX205" s="2">
        <v>5</v>
      </c>
      <c r="AY205" s="2" t="s">
        <v>74</v>
      </c>
      <c r="AZ205" s="2" t="s">
        <v>74</v>
      </c>
      <c r="BA205" s="2" t="s">
        <v>74</v>
      </c>
      <c r="BB205" s="2">
        <v>923</v>
      </c>
      <c r="BC205" s="2">
        <v>927</v>
      </c>
      <c r="BD205" s="2" t="s">
        <v>74</v>
      </c>
      <c r="BE205" s="2" t="s">
        <v>3037</v>
      </c>
      <c r="BF205" s="2" t="str">
        <f>HYPERLINK("http://dx.doi.org/10.1006/anbe.1996.0240","http://dx.doi.org/10.1006/anbe.1996.0240")</f>
        <v>http://dx.doi.org/10.1006/anbe.1996.0240</v>
      </c>
      <c r="BG205" s="2" t="s">
        <v>74</v>
      </c>
      <c r="BH205" s="2" t="s">
        <v>74</v>
      </c>
      <c r="BI205" s="2" t="s">
        <v>74</v>
      </c>
      <c r="BJ205" s="2" t="s">
        <v>74</v>
      </c>
      <c r="BK205" s="2" t="s">
        <v>74</v>
      </c>
      <c r="BL205" s="2" t="s">
        <v>74</v>
      </c>
      <c r="BM205" s="2" t="s">
        <v>74</v>
      </c>
      <c r="BN205" s="2" t="s">
        <v>74</v>
      </c>
      <c r="BO205" s="2" t="s">
        <v>74</v>
      </c>
      <c r="BP205" s="2" t="s">
        <v>74</v>
      </c>
      <c r="BQ205" s="2" t="s">
        <v>74</v>
      </c>
      <c r="BR205" s="2" t="s">
        <v>74</v>
      </c>
      <c r="BS205" s="2" t="s">
        <v>3038</v>
      </c>
      <c r="BT205" s="2" t="str">
        <f>HYPERLINK("https%3A%2F%2Fwww.webofscience.com%2Fwos%2Fwoscc%2Ffull-record%2FWOS:A1996VT21600007","View Full Record in Web of Science")</f>
        <v>View Full Record in Web of Science</v>
      </c>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row>
    <row r="206" spans="1:314" s="2" customFormat="1" x14ac:dyDescent="0.4">
      <c r="A206" s="2" t="s">
        <v>72</v>
      </c>
      <c r="B206" s="2" t="s">
        <v>6410</v>
      </c>
      <c r="C206" s="2" t="s">
        <v>74</v>
      </c>
      <c r="D206" s="2" t="s">
        <v>74</v>
      </c>
      <c r="E206" s="2" t="s">
        <v>74</v>
      </c>
      <c r="F206" s="2" t="s">
        <v>6411</v>
      </c>
      <c r="G206" s="2" t="s">
        <v>74</v>
      </c>
      <c r="H206" s="2" t="s">
        <v>74</v>
      </c>
      <c r="I206" s="2" t="s">
        <v>6412</v>
      </c>
      <c r="J206" s="2" t="s">
        <v>530</v>
      </c>
      <c r="K206" s="2" t="s">
        <v>74</v>
      </c>
      <c r="L206" s="2" t="s">
        <v>74</v>
      </c>
      <c r="M206" s="2" t="s">
        <v>74</v>
      </c>
      <c r="N206" s="2" t="s">
        <v>74</v>
      </c>
      <c r="O206" s="2" t="s">
        <v>74</v>
      </c>
      <c r="P206" s="2" t="s">
        <v>74</v>
      </c>
      <c r="Q206" s="2" t="s">
        <v>74</v>
      </c>
      <c r="R206" s="2" t="s">
        <v>74</v>
      </c>
      <c r="S206" s="2" t="s">
        <v>74</v>
      </c>
      <c r="T206" s="2" t="s">
        <v>74</v>
      </c>
      <c r="U206" s="2" t="s">
        <v>74</v>
      </c>
      <c r="V206" s="5" t="s">
        <v>6413</v>
      </c>
      <c r="W206" s="2" t="s">
        <v>74</v>
      </c>
      <c r="X206" s="2" t="s">
        <v>74</v>
      </c>
      <c r="Y206" s="2" t="s">
        <v>74</v>
      </c>
      <c r="Z206" s="2" t="s">
        <v>74</v>
      </c>
      <c r="AA206" s="2" t="s">
        <v>74</v>
      </c>
      <c r="AB206" s="2" t="s">
        <v>74</v>
      </c>
      <c r="AC206" s="2" t="s">
        <v>74</v>
      </c>
      <c r="AD206" s="2" t="s">
        <v>74</v>
      </c>
      <c r="AE206" s="2" t="s">
        <v>74</v>
      </c>
      <c r="AF206" s="2" t="s">
        <v>74</v>
      </c>
      <c r="AG206" s="2" t="s">
        <v>74</v>
      </c>
      <c r="AH206" s="2" t="s">
        <v>74</v>
      </c>
      <c r="AI206" s="2" t="s">
        <v>74</v>
      </c>
      <c r="AJ206" s="2" t="s">
        <v>74</v>
      </c>
      <c r="AK206" s="2" t="s">
        <v>74</v>
      </c>
      <c r="AL206" s="2" t="s">
        <v>74</v>
      </c>
      <c r="AM206" s="2" t="s">
        <v>74</v>
      </c>
      <c r="AN206" s="2" t="s">
        <v>74</v>
      </c>
      <c r="AO206" s="2" t="s">
        <v>532</v>
      </c>
      <c r="AP206" s="2" t="s">
        <v>533</v>
      </c>
      <c r="AQ206" s="2" t="s">
        <v>74</v>
      </c>
      <c r="AR206" s="2" t="s">
        <v>74</v>
      </c>
      <c r="AS206" s="2" t="s">
        <v>74</v>
      </c>
      <c r="AT206" s="2" t="s">
        <v>102</v>
      </c>
      <c r="AU206" s="2">
        <v>2006</v>
      </c>
      <c r="AV206" s="2">
        <v>149</v>
      </c>
      <c r="AW206" s="2">
        <v>3</v>
      </c>
      <c r="AX206" s="2" t="s">
        <v>74</v>
      </c>
      <c r="AY206" s="2" t="s">
        <v>74</v>
      </c>
      <c r="AZ206" s="2" t="s">
        <v>74</v>
      </c>
      <c r="BA206" s="2" t="s">
        <v>74</v>
      </c>
      <c r="BB206" s="2">
        <v>423</v>
      </c>
      <c r="BC206" s="2">
        <v>433</v>
      </c>
      <c r="BD206" s="2" t="s">
        <v>74</v>
      </c>
      <c r="BE206" s="2" t="s">
        <v>6414</v>
      </c>
      <c r="BF206" s="2" t="str">
        <f>HYPERLINK("http://dx.doi.org/10.1007/s00227-005-0233-9","http://dx.doi.org/10.1007/s00227-005-0233-9")</f>
        <v>http://dx.doi.org/10.1007/s00227-005-0233-9</v>
      </c>
      <c r="BG206" s="2" t="s">
        <v>74</v>
      </c>
      <c r="BH206" s="2" t="s">
        <v>74</v>
      </c>
      <c r="BI206" s="2" t="s">
        <v>74</v>
      </c>
      <c r="BJ206" s="2" t="s">
        <v>74</v>
      </c>
      <c r="BK206" s="2" t="s">
        <v>74</v>
      </c>
      <c r="BL206" s="2" t="s">
        <v>74</v>
      </c>
      <c r="BM206" s="2" t="s">
        <v>74</v>
      </c>
      <c r="BN206" s="2" t="s">
        <v>74</v>
      </c>
      <c r="BO206" s="2" t="s">
        <v>74</v>
      </c>
      <c r="BP206" s="2" t="s">
        <v>74</v>
      </c>
      <c r="BQ206" s="2" t="s">
        <v>74</v>
      </c>
      <c r="BR206" s="2" t="s">
        <v>74</v>
      </c>
      <c r="BS206" s="2" t="s">
        <v>6415</v>
      </c>
      <c r="BT206" s="2" t="str">
        <f>HYPERLINK("https%3A%2F%2Fwww.webofscience.com%2Fwos%2Fwoscc%2Ffull-record%2FWOS:000238327200002","View Full Record in Web of Science")</f>
        <v>View Full Record in Web of Science</v>
      </c>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row>
    <row r="207" spans="1:314" s="2" customFormat="1" x14ac:dyDescent="0.4">
      <c r="A207" s="2" t="s">
        <v>72</v>
      </c>
      <c r="B207" s="2" t="s">
        <v>2473</v>
      </c>
      <c r="C207" s="2" t="s">
        <v>74</v>
      </c>
      <c r="D207" s="2" t="s">
        <v>74</v>
      </c>
      <c r="E207" s="2" t="s">
        <v>74</v>
      </c>
      <c r="F207" s="2" t="s">
        <v>2474</v>
      </c>
      <c r="G207" s="2" t="s">
        <v>74</v>
      </c>
      <c r="H207" s="2" t="s">
        <v>74</v>
      </c>
      <c r="I207" s="2" t="s">
        <v>2475</v>
      </c>
      <c r="J207" s="2" t="s">
        <v>333</v>
      </c>
      <c r="K207" s="2" t="s">
        <v>74</v>
      </c>
      <c r="L207" s="2" t="s">
        <v>74</v>
      </c>
      <c r="M207" s="2" t="s">
        <v>74</v>
      </c>
      <c r="N207" s="2" t="s">
        <v>74</v>
      </c>
      <c r="O207" s="2" t="s">
        <v>74</v>
      </c>
      <c r="P207" s="2" t="s">
        <v>74</v>
      </c>
      <c r="Q207" s="2" t="s">
        <v>74</v>
      </c>
      <c r="R207" s="2" t="s">
        <v>74</v>
      </c>
      <c r="S207" s="2" t="s">
        <v>74</v>
      </c>
      <c r="T207" s="2" t="s">
        <v>74</v>
      </c>
      <c r="U207" s="2" t="s">
        <v>74</v>
      </c>
      <c r="V207" s="5" t="s">
        <v>2476</v>
      </c>
      <c r="W207" s="2" t="s">
        <v>74</v>
      </c>
      <c r="X207" s="2" t="s">
        <v>74</v>
      </c>
      <c r="Y207" s="2" t="s">
        <v>74</v>
      </c>
      <c r="Z207" s="2" t="s">
        <v>74</v>
      </c>
      <c r="AA207" s="2" t="s">
        <v>2477</v>
      </c>
      <c r="AB207" s="2" t="s">
        <v>2478</v>
      </c>
      <c r="AC207" s="2" t="s">
        <v>74</v>
      </c>
      <c r="AD207" s="2" t="s">
        <v>74</v>
      </c>
      <c r="AE207" s="2" t="s">
        <v>74</v>
      </c>
      <c r="AF207" s="2" t="s">
        <v>74</v>
      </c>
      <c r="AG207" s="2" t="s">
        <v>74</v>
      </c>
      <c r="AH207" s="2" t="s">
        <v>74</v>
      </c>
      <c r="AI207" s="2" t="s">
        <v>74</v>
      </c>
      <c r="AJ207" s="2" t="s">
        <v>74</v>
      </c>
      <c r="AK207" s="2" t="s">
        <v>74</v>
      </c>
      <c r="AL207" s="2" t="s">
        <v>74</v>
      </c>
      <c r="AM207" s="2" t="s">
        <v>74</v>
      </c>
      <c r="AN207" s="2" t="s">
        <v>74</v>
      </c>
      <c r="AO207" s="2" t="s">
        <v>337</v>
      </c>
      <c r="AP207" s="2" t="s">
        <v>338</v>
      </c>
      <c r="AQ207" s="2" t="s">
        <v>74</v>
      </c>
      <c r="AR207" s="2" t="s">
        <v>74</v>
      </c>
      <c r="AS207" s="2" t="s">
        <v>74</v>
      </c>
      <c r="AT207" s="2" t="s">
        <v>1038</v>
      </c>
      <c r="AU207" s="2">
        <v>2019</v>
      </c>
      <c r="AV207" s="2">
        <v>30</v>
      </c>
      <c r="AW207" s="2">
        <v>2</v>
      </c>
      <c r="AX207" s="2" t="s">
        <v>74</v>
      </c>
      <c r="AY207" s="2" t="s">
        <v>74</v>
      </c>
      <c r="AZ207" s="2" t="s">
        <v>74</v>
      </c>
      <c r="BA207" s="2" t="s">
        <v>74</v>
      </c>
      <c r="BB207" s="2">
        <v>490</v>
      </c>
      <c r="BC207" s="2">
        <v>499</v>
      </c>
      <c r="BD207" s="2" t="s">
        <v>74</v>
      </c>
      <c r="BE207" s="2" t="s">
        <v>2479</v>
      </c>
      <c r="BF207" s="2" t="str">
        <f>HYPERLINK("http://dx.doi.org/10.1093/beheco/ary189","http://dx.doi.org/10.1093/beheco/ary189")</f>
        <v>http://dx.doi.org/10.1093/beheco/ary189</v>
      </c>
      <c r="BG207" s="2" t="s">
        <v>74</v>
      </c>
      <c r="BH207" s="2" t="s">
        <v>74</v>
      </c>
      <c r="BI207" s="2" t="s">
        <v>74</v>
      </c>
      <c r="BJ207" s="2" t="s">
        <v>74</v>
      </c>
      <c r="BK207" s="2" t="s">
        <v>74</v>
      </c>
      <c r="BL207" s="2" t="s">
        <v>74</v>
      </c>
      <c r="BM207" s="2" t="s">
        <v>74</v>
      </c>
      <c r="BN207" s="2" t="s">
        <v>74</v>
      </c>
      <c r="BO207" s="2" t="s">
        <v>74</v>
      </c>
      <c r="BP207" s="2" t="s">
        <v>74</v>
      </c>
      <c r="BQ207" s="2" t="s">
        <v>74</v>
      </c>
      <c r="BR207" s="2" t="s">
        <v>74</v>
      </c>
      <c r="BS207" s="2" t="s">
        <v>2480</v>
      </c>
      <c r="BT207" s="2" t="str">
        <f>HYPERLINK("https%3A%2F%2Fwww.webofscience.com%2Fwos%2Fwoscc%2Ffull-record%2FWOS:000464932900025","View Full Record in Web of Science")</f>
        <v>View Full Record in Web of Science</v>
      </c>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row>
    <row r="208" spans="1:314" s="2" customFormat="1" x14ac:dyDescent="0.4">
      <c r="A208" s="2" t="s">
        <v>72</v>
      </c>
      <c r="B208" s="2" t="s">
        <v>2155</v>
      </c>
      <c r="C208" s="2" t="s">
        <v>74</v>
      </c>
      <c r="D208" s="2" t="s">
        <v>74</v>
      </c>
      <c r="E208" s="2" t="s">
        <v>74</v>
      </c>
      <c r="F208" s="2" t="s">
        <v>2156</v>
      </c>
      <c r="G208" s="2" t="s">
        <v>74</v>
      </c>
      <c r="H208" s="2" t="s">
        <v>74</v>
      </c>
      <c r="I208" s="2" t="s">
        <v>2157</v>
      </c>
      <c r="J208" s="2" t="s">
        <v>1673</v>
      </c>
      <c r="K208" s="2" t="s">
        <v>74</v>
      </c>
      <c r="L208" s="2" t="s">
        <v>74</v>
      </c>
      <c r="M208" s="2" t="s">
        <v>74</v>
      </c>
      <c r="N208" s="2" t="s">
        <v>74</v>
      </c>
      <c r="O208" s="2" t="s">
        <v>74</v>
      </c>
      <c r="P208" s="2" t="s">
        <v>74</v>
      </c>
      <c r="Q208" s="2" t="s">
        <v>74</v>
      </c>
      <c r="R208" s="2" t="s">
        <v>74</v>
      </c>
      <c r="S208" s="2" t="s">
        <v>74</v>
      </c>
      <c r="T208" s="2" t="s">
        <v>74</v>
      </c>
      <c r="U208" s="2" t="s">
        <v>74</v>
      </c>
      <c r="V208" s="5" t="s">
        <v>2158</v>
      </c>
      <c r="W208" s="2" t="s">
        <v>74</v>
      </c>
      <c r="X208" s="2" t="s">
        <v>74</v>
      </c>
      <c r="Y208" s="2" t="s">
        <v>74</v>
      </c>
      <c r="Z208" s="2" t="s">
        <v>74</v>
      </c>
      <c r="AA208" s="2" t="s">
        <v>2159</v>
      </c>
      <c r="AB208" s="2" t="s">
        <v>2160</v>
      </c>
      <c r="AC208" s="2" t="s">
        <v>74</v>
      </c>
      <c r="AD208" s="2" t="s">
        <v>74</v>
      </c>
      <c r="AE208" s="2" t="s">
        <v>74</v>
      </c>
      <c r="AF208" s="2" t="s">
        <v>74</v>
      </c>
      <c r="AG208" s="2" t="s">
        <v>74</v>
      </c>
      <c r="AH208" s="2" t="s">
        <v>74</v>
      </c>
      <c r="AI208" s="2" t="s">
        <v>74</v>
      </c>
      <c r="AJ208" s="2" t="s">
        <v>74</v>
      </c>
      <c r="AK208" s="2" t="s">
        <v>74</v>
      </c>
      <c r="AL208" s="2" t="s">
        <v>74</v>
      </c>
      <c r="AM208" s="2" t="s">
        <v>74</v>
      </c>
      <c r="AN208" s="2" t="s">
        <v>74</v>
      </c>
      <c r="AO208" s="2" t="s">
        <v>1239</v>
      </c>
      <c r="AP208" s="2" t="s">
        <v>1675</v>
      </c>
      <c r="AQ208" s="2" t="s">
        <v>74</v>
      </c>
      <c r="AR208" s="2" t="s">
        <v>74</v>
      </c>
      <c r="AS208" s="2" t="s">
        <v>74</v>
      </c>
      <c r="AT208" s="2" t="s">
        <v>123</v>
      </c>
      <c r="AU208" s="2">
        <v>2017</v>
      </c>
      <c r="AV208" s="2">
        <v>95</v>
      </c>
      <c r="AW208" s="2">
        <v>3</v>
      </c>
      <c r="AX208" s="2" t="s">
        <v>74</v>
      </c>
      <c r="AY208" s="2" t="s">
        <v>74</v>
      </c>
      <c r="AZ208" s="2" t="s">
        <v>74</v>
      </c>
      <c r="BA208" s="2" t="s">
        <v>74</v>
      </c>
      <c r="BB208" s="2">
        <v>213</v>
      </c>
      <c r="BC208" s="2">
        <v>219</v>
      </c>
      <c r="BD208" s="2" t="s">
        <v>74</v>
      </c>
      <c r="BE208" s="2" t="s">
        <v>2161</v>
      </c>
      <c r="BF208" s="2" t="str">
        <f>HYPERLINK("http://dx.doi.org/10.1139/cjz-2016-0200","http://dx.doi.org/10.1139/cjz-2016-0200")</f>
        <v>http://dx.doi.org/10.1139/cjz-2016-0200</v>
      </c>
      <c r="BG208" s="2" t="s">
        <v>74</v>
      </c>
      <c r="BH208" s="2" t="s">
        <v>74</v>
      </c>
      <c r="BI208" s="2" t="s">
        <v>74</v>
      </c>
      <c r="BJ208" s="2" t="s">
        <v>74</v>
      </c>
      <c r="BK208" s="2" t="s">
        <v>74</v>
      </c>
      <c r="BL208" s="2" t="s">
        <v>74</v>
      </c>
      <c r="BM208" s="2" t="s">
        <v>74</v>
      </c>
      <c r="BN208" s="2" t="s">
        <v>74</v>
      </c>
      <c r="BO208" s="2" t="s">
        <v>74</v>
      </c>
      <c r="BP208" s="2" t="s">
        <v>74</v>
      </c>
      <c r="BQ208" s="2" t="s">
        <v>74</v>
      </c>
      <c r="BR208" s="2" t="s">
        <v>74</v>
      </c>
      <c r="BS208" s="2" t="s">
        <v>2162</v>
      </c>
      <c r="BT208" s="2" t="str">
        <f>HYPERLINK("https%3A%2F%2Fwww.webofscience.com%2Fwos%2Fwoscc%2Ffull-record%2FWOS:000398092400009","View Full Record in Web of Science")</f>
        <v>View Full Record in Web of Science</v>
      </c>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row>
    <row r="209" spans="1:314" s="2" customFormat="1" x14ac:dyDescent="0.4">
      <c r="A209" s="2" t="s">
        <v>72</v>
      </c>
      <c r="B209" s="2" t="s">
        <v>722</v>
      </c>
      <c r="C209" s="2" t="s">
        <v>74</v>
      </c>
      <c r="D209" s="2" t="s">
        <v>74</v>
      </c>
      <c r="E209" s="2" t="s">
        <v>74</v>
      </c>
      <c r="F209" s="2" t="s">
        <v>722</v>
      </c>
      <c r="G209" s="2" t="s">
        <v>74</v>
      </c>
      <c r="H209" s="2" t="s">
        <v>74</v>
      </c>
      <c r="I209" s="2" t="s">
        <v>723</v>
      </c>
      <c r="J209" s="2" t="s">
        <v>140</v>
      </c>
      <c r="K209" s="2" t="s">
        <v>74</v>
      </c>
      <c r="L209" s="2" t="s">
        <v>74</v>
      </c>
      <c r="M209" s="2" t="s">
        <v>74</v>
      </c>
      <c r="N209" s="2" t="s">
        <v>74</v>
      </c>
      <c r="O209" s="2" t="s">
        <v>74</v>
      </c>
      <c r="P209" s="2" t="s">
        <v>74</v>
      </c>
      <c r="Q209" s="2" t="s">
        <v>74</v>
      </c>
      <c r="R209" s="2" t="s">
        <v>74</v>
      </c>
      <c r="S209" s="2" t="s">
        <v>74</v>
      </c>
      <c r="T209" s="2" t="s">
        <v>74</v>
      </c>
      <c r="U209" s="2" t="s">
        <v>74</v>
      </c>
      <c r="V209" s="5" t="s">
        <v>724</v>
      </c>
      <c r="W209" s="2" t="s">
        <v>74</v>
      </c>
      <c r="X209" s="2" t="s">
        <v>74</v>
      </c>
      <c r="Y209" s="2" t="s">
        <v>74</v>
      </c>
      <c r="Z209" s="2" t="s">
        <v>74</v>
      </c>
      <c r="AA209" s="2" t="s">
        <v>725</v>
      </c>
      <c r="AB209" s="2" t="s">
        <v>74</v>
      </c>
      <c r="AC209" s="2" t="s">
        <v>74</v>
      </c>
      <c r="AD209" s="2" t="s">
        <v>74</v>
      </c>
      <c r="AE209" s="2" t="s">
        <v>74</v>
      </c>
      <c r="AF209" s="2" t="s">
        <v>74</v>
      </c>
      <c r="AG209" s="2" t="s">
        <v>74</v>
      </c>
      <c r="AH209" s="2" t="s">
        <v>74</v>
      </c>
      <c r="AI209" s="2" t="s">
        <v>74</v>
      </c>
      <c r="AJ209" s="2" t="s">
        <v>74</v>
      </c>
      <c r="AK209" s="2" t="s">
        <v>74</v>
      </c>
      <c r="AL209" s="2" t="s">
        <v>74</v>
      </c>
      <c r="AM209" s="2" t="s">
        <v>74</v>
      </c>
      <c r="AN209" s="2" t="s">
        <v>74</v>
      </c>
      <c r="AO209" s="2" t="s">
        <v>143</v>
      </c>
      <c r="AP209" s="2" t="s">
        <v>144</v>
      </c>
      <c r="AQ209" s="2" t="s">
        <v>74</v>
      </c>
      <c r="AR209" s="2" t="s">
        <v>74</v>
      </c>
      <c r="AS209" s="2" t="s">
        <v>74</v>
      </c>
      <c r="AT209" s="2" t="s">
        <v>74</v>
      </c>
      <c r="AU209" s="2">
        <v>1979</v>
      </c>
      <c r="AV209" s="2">
        <v>27</v>
      </c>
      <c r="AW209" s="2" t="s">
        <v>134</v>
      </c>
      <c r="AX209" s="2" t="s">
        <v>74</v>
      </c>
      <c r="AY209" s="2" t="s">
        <v>74</v>
      </c>
      <c r="AZ209" s="2" t="s">
        <v>74</v>
      </c>
      <c r="BA209" s="2" t="s">
        <v>74</v>
      </c>
      <c r="BB209" s="2">
        <v>553</v>
      </c>
      <c r="BC209" s="2" t="s">
        <v>726</v>
      </c>
      <c r="BD209" s="2" t="s">
        <v>74</v>
      </c>
      <c r="BE209" s="2" t="s">
        <v>727</v>
      </c>
      <c r="BF209" s="2" t="str">
        <f>HYPERLINK("http://dx.doi.org/10.1016/0003-3472(79)90190-8","http://dx.doi.org/10.1016/0003-3472(79)90190-8")</f>
        <v>http://dx.doi.org/10.1016/0003-3472(79)90190-8</v>
      </c>
      <c r="BG209" s="2" t="s">
        <v>74</v>
      </c>
      <c r="BH209" s="2" t="s">
        <v>74</v>
      </c>
      <c r="BI209" s="2" t="s">
        <v>74</v>
      </c>
      <c r="BJ209" s="2" t="s">
        <v>74</v>
      </c>
      <c r="BK209" s="2" t="s">
        <v>74</v>
      </c>
      <c r="BL209" s="2" t="s">
        <v>74</v>
      </c>
      <c r="BM209" s="2" t="s">
        <v>74</v>
      </c>
      <c r="BN209" s="2" t="s">
        <v>74</v>
      </c>
      <c r="BO209" s="2" t="s">
        <v>74</v>
      </c>
      <c r="BP209" s="2" t="s">
        <v>74</v>
      </c>
      <c r="BQ209" s="2" t="s">
        <v>74</v>
      </c>
      <c r="BR209" s="2" t="s">
        <v>74</v>
      </c>
      <c r="BS209" s="2" t="s">
        <v>728</v>
      </c>
      <c r="BT209" s="2" t="str">
        <f>HYPERLINK("https%3A%2F%2Fwww.webofscience.com%2Fwos%2Fwoscc%2Ffull-record%2FWOS:A1979HE66900025","View Full Record in Web of Science")</f>
        <v>View Full Record in Web of Science</v>
      </c>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row>
    <row r="210" spans="1:314" s="2" customFormat="1" x14ac:dyDescent="0.4">
      <c r="A210" s="2" t="s">
        <v>72</v>
      </c>
      <c r="B210" s="2" t="s">
        <v>3603</v>
      </c>
      <c r="C210" s="2" t="s">
        <v>74</v>
      </c>
      <c r="D210" s="2" t="s">
        <v>74</v>
      </c>
      <c r="E210" s="2" t="s">
        <v>74</v>
      </c>
      <c r="F210" s="2" t="s">
        <v>3603</v>
      </c>
      <c r="G210" s="2" t="s">
        <v>74</v>
      </c>
      <c r="H210" s="2" t="s">
        <v>74</v>
      </c>
      <c r="I210" s="2" t="s">
        <v>3604</v>
      </c>
      <c r="J210" s="2" t="s">
        <v>3605</v>
      </c>
      <c r="K210" s="2" t="s">
        <v>74</v>
      </c>
      <c r="L210" s="2" t="s">
        <v>74</v>
      </c>
      <c r="M210" s="2" t="s">
        <v>74</v>
      </c>
      <c r="N210" s="2" t="s">
        <v>74</v>
      </c>
      <c r="O210" s="2" t="s">
        <v>74</v>
      </c>
      <c r="P210" s="2" t="s">
        <v>74</v>
      </c>
      <c r="Q210" s="2" t="s">
        <v>74</v>
      </c>
      <c r="R210" s="2" t="s">
        <v>74</v>
      </c>
      <c r="S210" s="2" t="s">
        <v>74</v>
      </c>
      <c r="T210" s="2" t="s">
        <v>74</v>
      </c>
      <c r="U210" s="2" t="s">
        <v>74</v>
      </c>
      <c r="V210" s="5" t="s">
        <v>3606</v>
      </c>
      <c r="W210" s="2" t="s">
        <v>74</v>
      </c>
      <c r="X210" s="2" t="s">
        <v>74</v>
      </c>
      <c r="Y210" s="2" t="s">
        <v>74</v>
      </c>
      <c r="Z210" s="2" t="s">
        <v>74</v>
      </c>
      <c r="AA210" s="2" t="s">
        <v>74</v>
      </c>
      <c r="AB210" s="2" t="s">
        <v>74</v>
      </c>
      <c r="AC210" s="2" t="s">
        <v>74</v>
      </c>
      <c r="AD210" s="2" t="s">
        <v>74</v>
      </c>
      <c r="AE210" s="2" t="s">
        <v>74</v>
      </c>
      <c r="AF210" s="2" t="s">
        <v>74</v>
      </c>
      <c r="AG210" s="2" t="s">
        <v>74</v>
      </c>
      <c r="AH210" s="2" t="s">
        <v>74</v>
      </c>
      <c r="AI210" s="2" t="s">
        <v>74</v>
      </c>
      <c r="AJ210" s="2" t="s">
        <v>74</v>
      </c>
      <c r="AK210" s="2" t="s">
        <v>74</v>
      </c>
      <c r="AL210" s="2" t="s">
        <v>74</v>
      </c>
      <c r="AM210" s="2" t="s">
        <v>74</v>
      </c>
      <c r="AN210" s="2" t="s">
        <v>74</v>
      </c>
      <c r="AO210" s="2" t="s">
        <v>3607</v>
      </c>
      <c r="AP210" s="2" t="s">
        <v>3608</v>
      </c>
      <c r="AQ210" s="2" t="s">
        <v>74</v>
      </c>
      <c r="AR210" s="2" t="s">
        <v>74</v>
      </c>
      <c r="AS210" s="2" t="s">
        <v>74</v>
      </c>
      <c r="AT210" s="2" t="s">
        <v>134</v>
      </c>
      <c r="AU210" s="2">
        <v>1989</v>
      </c>
      <c r="AV210" s="2">
        <v>69</v>
      </c>
      <c r="AW210" s="2">
        <v>2</v>
      </c>
      <c r="AX210" s="2" t="s">
        <v>74</v>
      </c>
      <c r="AY210" s="2" t="s">
        <v>74</v>
      </c>
      <c r="AZ210" s="2" t="s">
        <v>74</v>
      </c>
      <c r="BA210" s="2" t="s">
        <v>74</v>
      </c>
      <c r="BB210" s="2">
        <v>273</v>
      </c>
      <c r="BC210" s="2">
        <v>278</v>
      </c>
      <c r="BD210" s="2" t="s">
        <v>74</v>
      </c>
      <c r="BE210" s="2" t="s">
        <v>3609</v>
      </c>
      <c r="BF210" s="2" t="str">
        <f>HYPERLINK("http://dx.doi.org/10.1017/S0025315400029398","http://dx.doi.org/10.1017/S0025315400029398")</f>
        <v>http://dx.doi.org/10.1017/S0025315400029398</v>
      </c>
      <c r="BG210" s="2" t="s">
        <v>74</v>
      </c>
      <c r="BH210" s="2" t="s">
        <v>74</v>
      </c>
      <c r="BI210" s="2" t="s">
        <v>74</v>
      </c>
      <c r="BJ210" s="2" t="s">
        <v>74</v>
      </c>
      <c r="BK210" s="2" t="s">
        <v>74</v>
      </c>
      <c r="BL210" s="2" t="s">
        <v>74</v>
      </c>
      <c r="BM210" s="2" t="s">
        <v>74</v>
      </c>
      <c r="BN210" s="2" t="s">
        <v>74</v>
      </c>
      <c r="BO210" s="2" t="s">
        <v>74</v>
      </c>
      <c r="BP210" s="2" t="s">
        <v>74</v>
      </c>
      <c r="BQ210" s="2" t="s">
        <v>74</v>
      </c>
      <c r="BR210" s="2" t="s">
        <v>74</v>
      </c>
      <c r="BS210" s="2" t="s">
        <v>3610</v>
      </c>
      <c r="BT210" s="2" t="str">
        <f>HYPERLINK("https%3A%2F%2Fwww.webofscience.com%2Fwos%2Fwoscc%2Ffull-record%2FWOS:A1989AD16200003","View Full Record in Web of Science")</f>
        <v>View Full Record in Web of Science</v>
      </c>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row>
    <row r="211" spans="1:314" s="2" customFormat="1" x14ac:dyDescent="0.4">
      <c r="A211" s="2" t="s">
        <v>72</v>
      </c>
      <c r="B211" s="2" t="s">
        <v>950</v>
      </c>
      <c r="C211" s="2" t="s">
        <v>74</v>
      </c>
      <c r="D211" s="2" t="s">
        <v>74</v>
      </c>
      <c r="E211" s="2" t="s">
        <v>74</v>
      </c>
      <c r="F211" s="2" t="s">
        <v>950</v>
      </c>
      <c r="G211" s="2" t="s">
        <v>74</v>
      </c>
      <c r="H211" s="2" t="s">
        <v>74</v>
      </c>
      <c r="I211" s="2" t="s">
        <v>951</v>
      </c>
      <c r="J211" s="2" t="s">
        <v>192</v>
      </c>
      <c r="K211" s="2" t="s">
        <v>74</v>
      </c>
      <c r="L211" s="2" t="s">
        <v>74</v>
      </c>
      <c r="M211" s="2" t="s">
        <v>74</v>
      </c>
      <c r="N211" s="2" t="s">
        <v>74</v>
      </c>
      <c r="O211" s="2" t="s">
        <v>952</v>
      </c>
      <c r="P211" s="2" t="s">
        <v>953</v>
      </c>
      <c r="Q211" s="2" t="s">
        <v>954</v>
      </c>
      <c r="R211" s="2" t="s">
        <v>74</v>
      </c>
      <c r="S211" s="2" t="s">
        <v>955</v>
      </c>
      <c r="T211" s="2" t="s">
        <v>74</v>
      </c>
      <c r="U211" s="2" t="s">
        <v>74</v>
      </c>
      <c r="V211" s="5" t="s">
        <v>956</v>
      </c>
      <c r="W211" s="2" t="s">
        <v>74</v>
      </c>
      <c r="X211" s="2" t="s">
        <v>74</v>
      </c>
      <c r="Y211" s="2" t="s">
        <v>74</v>
      </c>
      <c r="Z211" s="2" t="s">
        <v>74</v>
      </c>
      <c r="AA211" s="2" t="s">
        <v>74</v>
      </c>
      <c r="AB211" s="2" t="s">
        <v>74</v>
      </c>
      <c r="AC211" s="2" t="s">
        <v>74</v>
      </c>
      <c r="AD211" s="2" t="s">
        <v>74</v>
      </c>
      <c r="AE211" s="2" t="s">
        <v>74</v>
      </c>
      <c r="AF211" s="2" t="s">
        <v>74</v>
      </c>
      <c r="AG211" s="2" t="s">
        <v>74</v>
      </c>
      <c r="AH211" s="2" t="s">
        <v>74</v>
      </c>
      <c r="AI211" s="2" t="s">
        <v>74</v>
      </c>
      <c r="AJ211" s="2" t="s">
        <v>74</v>
      </c>
      <c r="AK211" s="2" t="s">
        <v>74</v>
      </c>
      <c r="AL211" s="2" t="s">
        <v>74</v>
      </c>
      <c r="AM211" s="2" t="s">
        <v>74</v>
      </c>
      <c r="AN211" s="2" t="s">
        <v>74</v>
      </c>
      <c r="AO211" s="2" t="s">
        <v>195</v>
      </c>
      <c r="AP211" s="2" t="s">
        <v>74</v>
      </c>
      <c r="AQ211" s="2" t="s">
        <v>74</v>
      </c>
      <c r="AR211" s="2" t="s">
        <v>74</v>
      </c>
      <c r="AS211" s="2" t="s">
        <v>74</v>
      </c>
      <c r="AT211" s="2" t="s">
        <v>957</v>
      </c>
      <c r="AU211" s="2">
        <v>1991</v>
      </c>
      <c r="AV211" s="2">
        <v>216</v>
      </c>
      <c r="AW211" s="2" t="s">
        <v>74</v>
      </c>
      <c r="AX211" s="2" t="s">
        <v>74</v>
      </c>
      <c r="AY211" s="2" t="s">
        <v>74</v>
      </c>
      <c r="AZ211" s="2" t="s">
        <v>74</v>
      </c>
      <c r="BA211" s="2" t="s">
        <v>74</v>
      </c>
      <c r="BB211" s="2">
        <v>533</v>
      </c>
      <c r="BC211" s="2">
        <v>537</v>
      </c>
      <c r="BD211" s="2" t="s">
        <v>74</v>
      </c>
      <c r="BE211" s="2" t="s">
        <v>958</v>
      </c>
      <c r="BF211" s="2" t="str">
        <f>HYPERLINK("http://dx.doi.org/10.1007/BF00026510","http://dx.doi.org/10.1007/BF00026510")</f>
        <v>http://dx.doi.org/10.1007/BF00026510</v>
      </c>
      <c r="BG211" s="2" t="s">
        <v>74</v>
      </c>
      <c r="BH211" s="2" t="s">
        <v>74</v>
      </c>
      <c r="BI211" s="2" t="s">
        <v>74</v>
      </c>
      <c r="BJ211" s="2" t="s">
        <v>74</v>
      </c>
      <c r="BK211" s="2" t="s">
        <v>74</v>
      </c>
      <c r="BL211" s="2" t="s">
        <v>74</v>
      </c>
      <c r="BM211" s="2" t="s">
        <v>74</v>
      </c>
      <c r="BN211" s="2" t="s">
        <v>74</v>
      </c>
      <c r="BO211" s="2" t="s">
        <v>74</v>
      </c>
      <c r="BP211" s="2" t="s">
        <v>74</v>
      </c>
      <c r="BQ211" s="2" t="s">
        <v>74</v>
      </c>
      <c r="BR211" s="2" t="s">
        <v>74</v>
      </c>
      <c r="BS211" s="2" t="s">
        <v>959</v>
      </c>
      <c r="BT211" s="2" t="str">
        <f>HYPERLINK("https%3A%2F%2Fwww.webofscience.com%2Fwos%2Fwoscc%2Ffull-record%2FWOS:A1991GP24400079","View Full Record in Web of Science")</f>
        <v>View Full Record in Web of Science</v>
      </c>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row>
    <row r="212" spans="1:314" s="2" customFormat="1" x14ac:dyDescent="0.4">
      <c r="A212" s="2" t="s">
        <v>6684</v>
      </c>
      <c r="B212" s="2" t="s">
        <v>6685</v>
      </c>
      <c r="C212" s="2" t="s">
        <v>74</v>
      </c>
      <c r="D212" s="2" t="s">
        <v>6686</v>
      </c>
      <c r="E212" s="2" t="s">
        <v>74</v>
      </c>
      <c r="F212" s="2" t="s">
        <v>6685</v>
      </c>
      <c r="G212" s="2" t="s">
        <v>74</v>
      </c>
      <c r="H212" s="2" t="s">
        <v>74</v>
      </c>
      <c r="I212" s="2" t="s">
        <v>6687</v>
      </c>
      <c r="J212" s="2" t="s">
        <v>6688</v>
      </c>
      <c r="K212" s="2" t="s">
        <v>6689</v>
      </c>
      <c r="L212" s="2" t="s">
        <v>74</v>
      </c>
      <c r="M212" s="2" t="s">
        <v>74</v>
      </c>
      <c r="N212" s="2" t="s">
        <v>74</v>
      </c>
      <c r="O212" s="2" t="s">
        <v>6690</v>
      </c>
      <c r="P212" s="2" t="s">
        <v>6691</v>
      </c>
      <c r="Q212" s="2" t="s">
        <v>6692</v>
      </c>
      <c r="R212" s="2" t="s">
        <v>6693</v>
      </c>
      <c r="S212" s="2" t="s">
        <v>74</v>
      </c>
      <c r="T212" s="2" t="s">
        <v>74</v>
      </c>
      <c r="U212" s="2" t="s">
        <v>74</v>
      </c>
      <c r="V212" s="5" t="s">
        <v>6694</v>
      </c>
      <c r="W212" s="2" t="s">
        <v>74</v>
      </c>
      <c r="X212" s="2" t="s">
        <v>74</v>
      </c>
      <c r="Y212" s="2" t="s">
        <v>74</v>
      </c>
      <c r="Z212" s="2" t="s">
        <v>74</v>
      </c>
      <c r="AA212" s="2" t="s">
        <v>74</v>
      </c>
      <c r="AB212" s="2" t="s">
        <v>74</v>
      </c>
      <c r="AC212" s="2" t="s">
        <v>74</v>
      </c>
      <c r="AD212" s="2" t="s">
        <v>74</v>
      </c>
      <c r="AE212" s="2" t="s">
        <v>74</v>
      </c>
      <c r="AF212" s="2" t="s">
        <v>74</v>
      </c>
      <c r="AG212" s="2" t="s">
        <v>74</v>
      </c>
      <c r="AH212" s="2" t="s">
        <v>74</v>
      </c>
      <c r="AI212" s="2" t="s">
        <v>74</v>
      </c>
      <c r="AJ212" s="2" t="s">
        <v>74</v>
      </c>
      <c r="AK212" s="2" t="s">
        <v>74</v>
      </c>
      <c r="AL212" s="2" t="s">
        <v>74</v>
      </c>
      <c r="AM212" s="2" t="s">
        <v>74</v>
      </c>
      <c r="AN212" s="2" t="s">
        <v>74</v>
      </c>
      <c r="AO212" s="2" t="s">
        <v>6695</v>
      </c>
      <c r="AP212" s="2" t="s">
        <v>74</v>
      </c>
      <c r="AQ212" s="2" t="s">
        <v>6696</v>
      </c>
      <c r="AR212" s="2" t="s">
        <v>74</v>
      </c>
      <c r="AS212" s="2" t="s">
        <v>74</v>
      </c>
      <c r="AT212" s="2" t="s">
        <v>74</v>
      </c>
      <c r="AU212" s="2">
        <v>2004</v>
      </c>
      <c r="AV212" s="2">
        <v>1036</v>
      </c>
      <c r="AW212" s="2" t="s">
        <v>74</v>
      </c>
      <c r="AX212" s="2" t="s">
        <v>74</v>
      </c>
      <c r="AY212" s="2" t="s">
        <v>74</v>
      </c>
      <c r="AZ212" s="2" t="s">
        <v>74</v>
      </c>
      <c r="BA212" s="2" t="s">
        <v>74</v>
      </c>
      <c r="BB212" s="2">
        <v>85</v>
      </c>
      <c r="BC212" s="2">
        <v>105</v>
      </c>
      <c r="BD212" s="2" t="s">
        <v>74</v>
      </c>
      <c r="BE212" s="2" t="s">
        <v>6697</v>
      </c>
      <c r="BF212" s="2" t="str">
        <f>HYPERLINK("http://dx.doi.org/10.1196/annals.1330.005","http://dx.doi.org/10.1196/annals.1330.005")</f>
        <v>http://dx.doi.org/10.1196/annals.1330.005</v>
      </c>
      <c r="BG212" s="2" t="s">
        <v>74</v>
      </c>
      <c r="BH212" s="2" t="s">
        <v>74</v>
      </c>
      <c r="BI212" s="2" t="s">
        <v>74</v>
      </c>
      <c r="BJ212" s="2" t="s">
        <v>74</v>
      </c>
      <c r="BK212" s="2" t="s">
        <v>74</v>
      </c>
      <c r="BL212" s="2" t="s">
        <v>74</v>
      </c>
      <c r="BM212" s="2" t="s">
        <v>74</v>
      </c>
      <c r="BN212" s="2">
        <v>15817732</v>
      </c>
      <c r="BO212" s="2" t="s">
        <v>74</v>
      </c>
      <c r="BP212" s="2" t="s">
        <v>74</v>
      </c>
      <c r="BQ212" s="2" t="s">
        <v>74</v>
      </c>
      <c r="BR212" s="2" t="s">
        <v>74</v>
      </c>
      <c r="BS212" s="2" t="s">
        <v>6698</v>
      </c>
      <c r="BT212" s="2" t="str">
        <f>HYPERLINK("https%3A%2F%2Fwww.webofscience.com%2Fwos%2Fwoscc%2Ffull-record%2FWOS:000229993700006","View Full Record in Web of Science")</f>
        <v>View Full Record in Web of Science</v>
      </c>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row>
    <row r="213" spans="1:314" s="2" customFormat="1" x14ac:dyDescent="0.4">
      <c r="A213" s="2" t="s">
        <v>72</v>
      </c>
      <c r="B213" s="2" t="s">
        <v>4270</v>
      </c>
      <c r="C213" s="2" t="s">
        <v>74</v>
      </c>
      <c r="D213" s="2" t="s">
        <v>74</v>
      </c>
      <c r="E213" s="2" t="s">
        <v>74</v>
      </c>
      <c r="F213" s="2" t="s">
        <v>4270</v>
      </c>
      <c r="G213" s="2" t="s">
        <v>74</v>
      </c>
      <c r="H213" s="2" t="s">
        <v>74</v>
      </c>
      <c r="I213" s="2" t="s">
        <v>4271</v>
      </c>
      <c r="J213" s="2" t="s">
        <v>1112</v>
      </c>
      <c r="K213" s="2" t="s">
        <v>74</v>
      </c>
      <c r="L213" s="2" t="s">
        <v>74</v>
      </c>
      <c r="M213" s="2" t="s">
        <v>74</v>
      </c>
      <c r="N213" s="2" t="s">
        <v>74</v>
      </c>
      <c r="O213" s="2" t="s">
        <v>74</v>
      </c>
      <c r="P213" s="2" t="s">
        <v>74</v>
      </c>
      <c r="Q213" s="2" t="s">
        <v>74</v>
      </c>
      <c r="R213" s="2" t="s">
        <v>74</v>
      </c>
      <c r="S213" s="2" t="s">
        <v>74</v>
      </c>
      <c r="T213" s="2" t="s">
        <v>74</v>
      </c>
      <c r="U213" s="2" t="s">
        <v>74</v>
      </c>
      <c r="V213" s="5" t="s">
        <v>4272</v>
      </c>
      <c r="W213" s="2" t="s">
        <v>74</v>
      </c>
      <c r="X213" s="2" t="s">
        <v>74</v>
      </c>
      <c r="Y213" s="2" t="s">
        <v>74</v>
      </c>
      <c r="Z213" s="2" t="s">
        <v>74</v>
      </c>
      <c r="AA213" s="2" t="s">
        <v>74</v>
      </c>
      <c r="AB213" s="2" t="s">
        <v>74</v>
      </c>
      <c r="AC213" s="2" t="s">
        <v>74</v>
      </c>
      <c r="AD213" s="2" t="s">
        <v>74</v>
      </c>
      <c r="AE213" s="2" t="s">
        <v>74</v>
      </c>
      <c r="AF213" s="2" t="s">
        <v>74</v>
      </c>
      <c r="AG213" s="2" t="s">
        <v>74</v>
      </c>
      <c r="AH213" s="2" t="s">
        <v>74</v>
      </c>
      <c r="AI213" s="2" t="s">
        <v>74</v>
      </c>
      <c r="AJ213" s="2" t="s">
        <v>74</v>
      </c>
      <c r="AK213" s="2" t="s">
        <v>74</v>
      </c>
      <c r="AL213" s="2" t="s">
        <v>74</v>
      </c>
      <c r="AM213" s="2" t="s">
        <v>74</v>
      </c>
      <c r="AN213" s="2" t="s">
        <v>74</v>
      </c>
      <c r="AO213" s="2" t="s">
        <v>1114</v>
      </c>
      <c r="AP213" s="2" t="s">
        <v>74</v>
      </c>
      <c r="AQ213" s="2" t="s">
        <v>74</v>
      </c>
      <c r="AR213" s="2" t="s">
        <v>74</v>
      </c>
      <c r="AS213" s="2" t="s">
        <v>74</v>
      </c>
      <c r="AT213" s="2" t="s">
        <v>352</v>
      </c>
      <c r="AU213" s="2">
        <v>1992</v>
      </c>
      <c r="AV213" s="2">
        <v>34</v>
      </c>
      <c r="AW213" s="2">
        <v>4</v>
      </c>
      <c r="AX213" s="2" t="s">
        <v>74</v>
      </c>
      <c r="AY213" s="2" t="s">
        <v>74</v>
      </c>
      <c r="AZ213" s="2" t="s">
        <v>74</v>
      </c>
      <c r="BA213" s="2" t="s">
        <v>74</v>
      </c>
      <c r="BB213" s="2">
        <v>359</v>
      </c>
      <c r="BC213" s="2">
        <v>363</v>
      </c>
      <c r="BD213" s="2" t="s">
        <v>74</v>
      </c>
      <c r="BE213" s="2" t="s">
        <v>4273</v>
      </c>
      <c r="BF213" s="2" t="str">
        <f>HYPERLINK("http://dx.doi.org/10.1016/S0168-1591(05)80095-4","http://dx.doi.org/10.1016/S0168-1591(05)80095-4")</f>
        <v>http://dx.doi.org/10.1016/S0168-1591(05)80095-4</v>
      </c>
      <c r="BG213" s="2" t="s">
        <v>74</v>
      </c>
      <c r="BH213" s="2" t="s">
        <v>74</v>
      </c>
      <c r="BI213" s="2" t="s">
        <v>74</v>
      </c>
      <c r="BJ213" s="2" t="s">
        <v>74</v>
      </c>
      <c r="BK213" s="2" t="s">
        <v>74</v>
      </c>
      <c r="BL213" s="2" t="s">
        <v>74</v>
      </c>
      <c r="BM213" s="2" t="s">
        <v>74</v>
      </c>
      <c r="BN213" s="2" t="s">
        <v>74</v>
      </c>
      <c r="BO213" s="2" t="s">
        <v>74</v>
      </c>
      <c r="BP213" s="2" t="s">
        <v>74</v>
      </c>
      <c r="BQ213" s="2" t="s">
        <v>74</v>
      </c>
      <c r="BR213" s="2" t="s">
        <v>74</v>
      </c>
      <c r="BS213" s="2" t="s">
        <v>4274</v>
      </c>
      <c r="BT213" s="2" t="str">
        <f>HYPERLINK("https%3A%2F%2Fwww.webofscience.com%2Fwos%2Fwoscc%2Ffull-record%2FWOS:A1992JL53300007","View Full Record in Web of Science")</f>
        <v>View Full Record in Web of Science</v>
      </c>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row>
    <row r="214" spans="1:314" s="2" customFormat="1" x14ac:dyDescent="0.4">
      <c r="A214" s="2" t="s">
        <v>72</v>
      </c>
      <c r="B214" s="2" t="s">
        <v>3879</v>
      </c>
      <c r="C214" s="2" t="s">
        <v>74</v>
      </c>
      <c r="D214" s="2" t="s">
        <v>74</v>
      </c>
      <c r="E214" s="2" t="s">
        <v>74</v>
      </c>
      <c r="F214" s="2" t="s">
        <v>3879</v>
      </c>
      <c r="G214" s="2" t="s">
        <v>74</v>
      </c>
      <c r="H214" s="2" t="s">
        <v>74</v>
      </c>
      <c r="I214" s="2" t="s">
        <v>3880</v>
      </c>
      <c r="J214" s="2" t="s">
        <v>129</v>
      </c>
      <c r="K214" s="2" t="s">
        <v>74</v>
      </c>
      <c r="L214" s="2" t="s">
        <v>74</v>
      </c>
      <c r="M214" s="2" t="s">
        <v>74</v>
      </c>
      <c r="N214" s="2" t="s">
        <v>74</v>
      </c>
      <c r="O214" s="2" t="s">
        <v>74</v>
      </c>
      <c r="P214" s="2" t="s">
        <v>74</v>
      </c>
      <c r="Q214" s="2" t="s">
        <v>74</v>
      </c>
      <c r="R214" s="2" t="s">
        <v>74</v>
      </c>
      <c r="S214" s="2" t="s">
        <v>74</v>
      </c>
      <c r="T214" s="2" t="s">
        <v>74</v>
      </c>
      <c r="U214" s="2" t="s">
        <v>74</v>
      </c>
      <c r="V214" s="5" t="s">
        <v>3881</v>
      </c>
      <c r="W214" s="2" t="s">
        <v>74</v>
      </c>
      <c r="X214" s="2" t="s">
        <v>74</v>
      </c>
      <c r="Y214" s="2" t="s">
        <v>74</v>
      </c>
      <c r="Z214" s="2" t="s">
        <v>74</v>
      </c>
      <c r="AA214" s="2" t="s">
        <v>3882</v>
      </c>
      <c r="AB214" s="2" t="s">
        <v>3883</v>
      </c>
      <c r="AC214" s="2" t="s">
        <v>74</v>
      </c>
      <c r="AD214" s="2" t="s">
        <v>74</v>
      </c>
      <c r="AE214" s="2" t="s">
        <v>74</v>
      </c>
      <c r="AF214" s="2" t="s">
        <v>74</v>
      </c>
      <c r="AG214" s="2" t="s">
        <v>74</v>
      </c>
      <c r="AH214" s="2" t="s">
        <v>74</v>
      </c>
      <c r="AI214" s="2" t="s">
        <v>74</v>
      </c>
      <c r="AJ214" s="2" t="s">
        <v>74</v>
      </c>
      <c r="AK214" s="2" t="s">
        <v>74</v>
      </c>
      <c r="AL214" s="2" t="s">
        <v>74</v>
      </c>
      <c r="AM214" s="2" t="s">
        <v>74</v>
      </c>
      <c r="AN214" s="2" t="s">
        <v>74</v>
      </c>
      <c r="AO214" s="2" t="s">
        <v>132</v>
      </c>
      <c r="AP214" s="2" t="s">
        <v>74</v>
      </c>
      <c r="AQ214" s="2" t="s">
        <v>74</v>
      </c>
      <c r="AR214" s="2" t="s">
        <v>74</v>
      </c>
      <c r="AS214" s="2" t="s">
        <v>74</v>
      </c>
      <c r="AT214" s="2" t="s">
        <v>134</v>
      </c>
      <c r="AU214" s="2">
        <v>2000</v>
      </c>
      <c r="AV214" s="2">
        <v>47</v>
      </c>
      <c r="AW214" s="2">
        <v>6</v>
      </c>
      <c r="AX214" s="2" t="s">
        <v>74</v>
      </c>
      <c r="AY214" s="2" t="s">
        <v>74</v>
      </c>
      <c r="AZ214" s="2" t="s">
        <v>74</v>
      </c>
      <c r="BA214" s="2" t="s">
        <v>74</v>
      </c>
      <c r="BB214" s="2">
        <v>413</v>
      </c>
      <c r="BC214" s="2">
        <v>416</v>
      </c>
      <c r="BD214" s="2" t="s">
        <v>74</v>
      </c>
      <c r="BE214" s="2" t="s">
        <v>3884</v>
      </c>
      <c r="BF214" s="2" t="str">
        <f>HYPERLINK("http://dx.doi.org/10.1007/s002650050684","http://dx.doi.org/10.1007/s002650050684")</f>
        <v>http://dx.doi.org/10.1007/s002650050684</v>
      </c>
      <c r="BG214" s="2" t="s">
        <v>74</v>
      </c>
      <c r="BH214" s="2" t="s">
        <v>74</v>
      </c>
      <c r="BI214" s="2" t="s">
        <v>74</v>
      </c>
      <c r="BJ214" s="2" t="s">
        <v>74</v>
      </c>
      <c r="BK214" s="2" t="s">
        <v>74</v>
      </c>
      <c r="BL214" s="2" t="s">
        <v>74</v>
      </c>
      <c r="BM214" s="2" t="s">
        <v>74</v>
      </c>
      <c r="BN214" s="2" t="s">
        <v>74</v>
      </c>
      <c r="BO214" s="2" t="s">
        <v>74</v>
      </c>
      <c r="BP214" s="2" t="s">
        <v>74</v>
      </c>
      <c r="BQ214" s="2" t="s">
        <v>74</v>
      </c>
      <c r="BR214" s="2" t="s">
        <v>74</v>
      </c>
      <c r="BS214" s="2" t="s">
        <v>3885</v>
      </c>
      <c r="BT214" s="2" t="str">
        <f>HYPERLINK("https%3A%2F%2Fwww.webofscience.com%2Fwos%2Fwoscc%2Ffull-record%2FWOS:000087531600006","View Full Record in Web of Science")</f>
        <v>View Full Record in Web of Science</v>
      </c>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row>
    <row r="215" spans="1:314" s="2" customFormat="1" x14ac:dyDescent="0.4">
      <c r="A215" s="2" t="s">
        <v>72</v>
      </c>
      <c r="B215" s="2" t="s">
        <v>7865</v>
      </c>
      <c r="C215" s="2" t="s">
        <v>74</v>
      </c>
      <c r="D215" s="2" t="s">
        <v>74</v>
      </c>
      <c r="E215" s="2" t="s">
        <v>74</v>
      </c>
      <c r="F215" s="2" t="s">
        <v>7866</v>
      </c>
      <c r="G215" s="2" t="s">
        <v>74</v>
      </c>
      <c r="H215" s="2" t="s">
        <v>74</v>
      </c>
      <c r="I215" s="2" t="s">
        <v>7867</v>
      </c>
      <c r="J215" s="2" t="s">
        <v>5937</v>
      </c>
      <c r="K215" s="2" t="s">
        <v>74</v>
      </c>
      <c r="L215" s="2" t="s">
        <v>74</v>
      </c>
      <c r="M215" s="2" t="s">
        <v>74</v>
      </c>
      <c r="N215" s="2" t="s">
        <v>74</v>
      </c>
      <c r="O215" s="2" t="s">
        <v>74</v>
      </c>
      <c r="P215" s="2" t="s">
        <v>74</v>
      </c>
      <c r="Q215" s="2" t="s">
        <v>74</v>
      </c>
      <c r="R215" s="2" t="s">
        <v>74</v>
      </c>
      <c r="S215" s="2" t="s">
        <v>74</v>
      </c>
      <c r="T215" s="2" t="s">
        <v>74</v>
      </c>
      <c r="U215" s="2" t="s">
        <v>74</v>
      </c>
      <c r="V215" s="5" t="s">
        <v>7868</v>
      </c>
      <c r="W215" s="2" t="s">
        <v>74</v>
      </c>
      <c r="X215" s="2" t="s">
        <v>74</v>
      </c>
      <c r="Y215" s="2" t="s">
        <v>74</v>
      </c>
      <c r="Z215" s="2" t="s">
        <v>74</v>
      </c>
      <c r="AA215" s="2" t="s">
        <v>74</v>
      </c>
      <c r="AB215" s="2" t="s">
        <v>74</v>
      </c>
      <c r="AC215" s="2" t="s">
        <v>74</v>
      </c>
      <c r="AD215" s="2" t="s">
        <v>74</v>
      </c>
      <c r="AE215" s="2" t="s">
        <v>74</v>
      </c>
      <c r="AF215" s="2" t="s">
        <v>74</v>
      </c>
      <c r="AG215" s="2" t="s">
        <v>74</v>
      </c>
      <c r="AH215" s="2" t="s">
        <v>74</v>
      </c>
      <c r="AI215" s="2" t="s">
        <v>74</v>
      </c>
      <c r="AJ215" s="2" t="s">
        <v>74</v>
      </c>
      <c r="AK215" s="2" t="s">
        <v>74</v>
      </c>
      <c r="AL215" s="2" t="s">
        <v>74</v>
      </c>
      <c r="AM215" s="2" t="s">
        <v>74</v>
      </c>
      <c r="AN215" s="2" t="s">
        <v>74</v>
      </c>
      <c r="AO215" s="2" t="s">
        <v>5941</v>
      </c>
      <c r="AP215" s="2" t="s">
        <v>74</v>
      </c>
      <c r="AQ215" s="2" t="s">
        <v>74</v>
      </c>
      <c r="AR215" s="2" t="s">
        <v>74</v>
      </c>
      <c r="AS215" s="2" t="s">
        <v>74</v>
      </c>
      <c r="AT215" s="2" t="s">
        <v>204</v>
      </c>
      <c r="AU215" s="2">
        <v>2021</v>
      </c>
      <c r="AV215" s="2">
        <v>11</v>
      </c>
      <c r="AW215" s="2">
        <v>7</v>
      </c>
      <c r="AX215" s="2" t="s">
        <v>74</v>
      </c>
      <c r="AY215" s="2" t="s">
        <v>74</v>
      </c>
      <c r="AZ215" s="2" t="s">
        <v>74</v>
      </c>
      <c r="BA215" s="2" t="s">
        <v>74</v>
      </c>
      <c r="BB215" s="2" t="s">
        <v>74</v>
      </c>
      <c r="BC215" s="2" t="s">
        <v>74</v>
      </c>
      <c r="BD215" s="2">
        <v>2070</v>
      </c>
      <c r="BE215" s="2" t="s">
        <v>7869</v>
      </c>
      <c r="BF215" s="2" t="str">
        <f>HYPERLINK("http://dx.doi.org/10.3390/ani11072070","http://dx.doi.org/10.3390/ani11072070")</f>
        <v>http://dx.doi.org/10.3390/ani11072070</v>
      </c>
      <c r="BG215" s="2" t="s">
        <v>74</v>
      </c>
      <c r="BH215" s="2" t="s">
        <v>74</v>
      </c>
      <c r="BI215" s="2" t="s">
        <v>74</v>
      </c>
      <c r="BJ215" s="2" t="s">
        <v>74</v>
      </c>
      <c r="BK215" s="2" t="s">
        <v>74</v>
      </c>
      <c r="BL215" s="2" t="s">
        <v>74</v>
      </c>
      <c r="BM215" s="2" t="s">
        <v>74</v>
      </c>
      <c r="BN215" s="2">
        <v>34359198</v>
      </c>
      <c r="BO215" s="2" t="s">
        <v>74</v>
      </c>
      <c r="BP215" s="2" t="s">
        <v>74</v>
      </c>
      <c r="BQ215" s="2" t="s">
        <v>74</v>
      </c>
      <c r="BR215" s="2" t="s">
        <v>74</v>
      </c>
      <c r="BS215" s="2" t="s">
        <v>7870</v>
      </c>
      <c r="BT215" s="2" t="str">
        <f>HYPERLINK("https%3A%2F%2Fwww.webofscience.com%2Fwos%2Fwoscc%2Ffull-record%2FWOS:000675936800001","View Full Record in Web of Science")</f>
        <v>View Full Record in Web of Science</v>
      </c>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row>
    <row r="216" spans="1:314" s="2" customFormat="1" x14ac:dyDescent="0.4">
      <c r="A216" s="2" t="s">
        <v>72</v>
      </c>
      <c r="B216" s="2" t="s">
        <v>7359</v>
      </c>
      <c r="C216" s="2" t="s">
        <v>74</v>
      </c>
      <c r="D216" s="2" t="s">
        <v>74</v>
      </c>
      <c r="E216" s="2" t="s">
        <v>74</v>
      </c>
      <c r="F216" s="2" t="s">
        <v>7360</v>
      </c>
      <c r="G216" s="2" t="s">
        <v>74</v>
      </c>
      <c r="H216" s="2" t="s">
        <v>74</v>
      </c>
      <c r="I216" s="2" t="s">
        <v>7361</v>
      </c>
      <c r="J216" s="2" t="s">
        <v>882</v>
      </c>
      <c r="K216" s="2" t="s">
        <v>74</v>
      </c>
      <c r="L216" s="2" t="s">
        <v>74</v>
      </c>
      <c r="M216" s="2" t="s">
        <v>74</v>
      </c>
      <c r="N216" s="2" t="s">
        <v>74</v>
      </c>
      <c r="O216" s="2" t="s">
        <v>74</v>
      </c>
      <c r="P216" s="2" t="s">
        <v>74</v>
      </c>
      <c r="Q216" s="2" t="s">
        <v>74</v>
      </c>
      <c r="R216" s="2" t="s">
        <v>74</v>
      </c>
      <c r="S216" s="2" t="s">
        <v>74</v>
      </c>
      <c r="T216" s="2" t="s">
        <v>74</v>
      </c>
      <c r="U216" s="2" t="s">
        <v>74</v>
      </c>
      <c r="V216" s="5" t="s">
        <v>7362</v>
      </c>
      <c r="W216" s="2" t="s">
        <v>74</v>
      </c>
      <c r="X216" s="2" t="s">
        <v>74</v>
      </c>
      <c r="Y216" s="2" t="s">
        <v>74</v>
      </c>
      <c r="Z216" s="2" t="s">
        <v>74</v>
      </c>
      <c r="AA216" s="2" t="s">
        <v>7363</v>
      </c>
      <c r="AB216" s="2" t="s">
        <v>7364</v>
      </c>
      <c r="AC216" s="2" t="s">
        <v>74</v>
      </c>
      <c r="AD216" s="2" t="s">
        <v>74</v>
      </c>
      <c r="AE216" s="2" t="s">
        <v>74</v>
      </c>
      <c r="AF216" s="2" t="s">
        <v>74</v>
      </c>
      <c r="AG216" s="2" t="s">
        <v>74</v>
      </c>
      <c r="AH216" s="2" t="s">
        <v>74</v>
      </c>
      <c r="AI216" s="2" t="s">
        <v>74</v>
      </c>
      <c r="AJ216" s="2" t="s">
        <v>74</v>
      </c>
      <c r="AK216" s="2" t="s">
        <v>74</v>
      </c>
      <c r="AL216" s="2" t="s">
        <v>74</v>
      </c>
      <c r="AM216" s="2" t="s">
        <v>74</v>
      </c>
      <c r="AN216" s="2" t="s">
        <v>74</v>
      </c>
      <c r="AO216" s="2" t="s">
        <v>886</v>
      </c>
      <c r="AP216" s="2" t="s">
        <v>887</v>
      </c>
      <c r="AQ216" s="2" t="s">
        <v>74</v>
      </c>
      <c r="AR216" s="2" t="s">
        <v>74</v>
      </c>
      <c r="AS216" s="2" t="s">
        <v>74</v>
      </c>
      <c r="AT216" s="2" t="s">
        <v>74</v>
      </c>
      <c r="AU216" s="2">
        <v>2019</v>
      </c>
      <c r="AV216" s="2">
        <v>28</v>
      </c>
      <c r="AW216" s="2" t="s">
        <v>74</v>
      </c>
      <c r="AX216" s="2" t="s">
        <v>74</v>
      </c>
      <c r="AY216" s="2" t="s">
        <v>74</v>
      </c>
      <c r="AZ216" s="2" t="s">
        <v>74</v>
      </c>
      <c r="BA216" s="2" t="s">
        <v>74</v>
      </c>
      <c r="BB216" s="2">
        <v>127</v>
      </c>
      <c r="BC216" s="2">
        <v>136</v>
      </c>
      <c r="BD216" s="2" t="s">
        <v>74</v>
      </c>
      <c r="BE216" s="2" t="s">
        <v>7365</v>
      </c>
      <c r="BF216" s="2" t="str">
        <f>HYPERLINK("http://dx.doi.org/10.3354/ab00718","http://dx.doi.org/10.3354/ab00718")</f>
        <v>http://dx.doi.org/10.3354/ab00718</v>
      </c>
      <c r="BG216" s="2" t="s">
        <v>74</v>
      </c>
      <c r="BH216" s="2" t="s">
        <v>74</v>
      </c>
      <c r="BI216" s="2" t="s">
        <v>74</v>
      </c>
      <c r="BJ216" s="2" t="s">
        <v>74</v>
      </c>
      <c r="BK216" s="2" t="s">
        <v>74</v>
      </c>
      <c r="BL216" s="2" t="s">
        <v>74</v>
      </c>
      <c r="BM216" s="2" t="s">
        <v>74</v>
      </c>
      <c r="BN216" s="2" t="s">
        <v>74</v>
      </c>
      <c r="BO216" s="2" t="s">
        <v>74</v>
      </c>
      <c r="BP216" s="2" t="s">
        <v>74</v>
      </c>
      <c r="BQ216" s="2" t="s">
        <v>74</v>
      </c>
      <c r="BR216" s="2" t="s">
        <v>74</v>
      </c>
      <c r="BS216" s="2" t="s">
        <v>7366</v>
      </c>
      <c r="BT216" s="2" t="str">
        <f>HYPERLINK("https%3A%2F%2Fwww.webofscience.com%2Fwos%2Fwoscc%2Ffull-record%2FWOS:000518432200009","View Full Record in Web of Science")</f>
        <v>View Full Record in Web of Science</v>
      </c>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row>
    <row r="217" spans="1:314" s="2" customFormat="1" x14ac:dyDescent="0.4">
      <c r="A217" s="2" t="s">
        <v>72</v>
      </c>
      <c r="B217" s="2" t="s">
        <v>148</v>
      </c>
      <c r="C217" s="2" t="s">
        <v>74</v>
      </c>
      <c r="D217" s="2" t="s">
        <v>74</v>
      </c>
      <c r="E217" s="2" t="s">
        <v>74</v>
      </c>
      <c r="F217" s="2" t="s">
        <v>149</v>
      </c>
      <c r="G217" s="2" t="s">
        <v>74</v>
      </c>
      <c r="H217" s="2" t="s">
        <v>74</v>
      </c>
      <c r="I217" s="2" t="s">
        <v>150</v>
      </c>
      <c r="J217" s="2" t="s">
        <v>151</v>
      </c>
      <c r="K217" s="2" t="s">
        <v>74</v>
      </c>
      <c r="L217" s="2" t="s">
        <v>74</v>
      </c>
      <c r="M217" s="2" t="s">
        <v>74</v>
      </c>
      <c r="N217" s="2" t="s">
        <v>74</v>
      </c>
      <c r="O217" s="2" t="s">
        <v>74</v>
      </c>
      <c r="P217" s="2" t="s">
        <v>74</v>
      </c>
      <c r="Q217" s="2" t="s">
        <v>74</v>
      </c>
      <c r="R217" s="2" t="s">
        <v>74</v>
      </c>
      <c r="S217" s="2" t="s">
        <v>74</v>
      </c>
      <c r="T217" s="2" t="s">
        <v>74</v>
      </c>
      <c r="U217" s="2" t="s">
        <v>74</v>
      </c>
      <c r="V217" s="5" t="s">
        <v>152</v>
      </c>
      <c r="W217" s="2" t="s">
        <v>74</v>
      </c>
      <c r="X217" s="2" t="s">
        <v>74</v>
      </c>
      <c r="Y217" s="2" t="s">
        <v>74</v>
      </c>
      <c r="Z217" s="2" t="s">
        <v>74</v>
      </c>
      <c r="AA217" s="2" t="s">
        <v>153</v>
      </c>
      <c r="AB217" s="2" t="s">
        <v>154</v>
      </c>
      <c r="AC217" s="2" t="s">
        <v>74</v>
      </c>
      <c r="AD217" s="2" t="s">
        <v>74</v>
      </c>
      <c r="AE217" s="2" t="s">
        <v>74</v>
      </c>
      <c r="AF217" s="2" t="s">
        <v>74</v>
      </c>
      <c r="AG217" s="2" t="s">
        <v>74</v>
      </c>
      <c r="AH217" s="2" t="s">
        <v>74</v>
      </c>
      <c r="AI217" s="2" t="s">
        <v>74</v>
      </c>
      <c r="AJ217" s="2" t="s">
        <v>74</v>
      </c>
      <c r="AK217" s="2" t="s">
        <v>74</v>
      </c>
      <c r="AL217" s="2" t="s">
        <v>74</v>
      </c>
      <c r="AM217" s="2" t="s">
        <v>74</v>
      </c>
      <c r="AN217" s="2" t="s">
        <v>74</v>
      </c>
      <c r="AO217" s="2" t="s">
        <v>155</v>
      </c>
      <c r="AP217" s="2" t="s">
        <v>156</v>
      </c>
      <c r="AQ217" s="2" t="s">
        <v>74</v>
      </c>
      <c r="AR217" s="2" t="s">
        <v>74</v>
      </c>
      <c r="AS217" s="2" t="s">
        <v>74</v>
      </c>
      <c r="AT217" s="2" t="s">
        <v>74</v>
      </c>
      <c r="AU217" s="2">
        <v>2014</v>
      </c>
      <c r="AV217" s="2">
        <v>504</v>
      </c>
      <c r="AW217" s="2" t="s">
        <v>74</v>
      </c>
      <c r="AX217" s="2" t="s">
        <v>74</v>
      </c>
      <c r="AY217" s="2" t="s">
        <v>74</v>
      </c>
      <c r="AZ217" s="2" t="s">
        <v>74</v>
      </c>
      <c r="BA217" s="2" t="s">
        <v>74</v>
      </c>
      <c r="BB217" s="2">
        <v>277</v>
      </c>
      <c r="BC217" s="2">
        <v>286</v>
      </c>
      <c r="BD217" s="2" t="s">
        <v>74</v>
      </c>
      <c r="BE217" s="2" t="s">
        <v>157</v>
      </c>
      <c r="BF217" s="2" t="str">
        <f>HYPERLINK("http://dx.doi.org/10.3354/meps10760","http://dx.doi.org/10.3354/meps10760")</f>
        <v>http://dx.doi.org/10.3354/meps10760</v>
      </c>
      <c r="BG217" s="2" t="s">
        <v>74</v>
      </c>
      <c r="BH217" s="2" t="s">
        <v>74</v>
      </c>
      <c r="BI217" s="2" t="s">
        <v>74</v>
      </c>
      <c r="BJ217" s="2" t="s">
        <v>74</v>
      </c>
      <c r="BK217" s="2" t="s">
        <v>74</v>
      </c>
      <c r="BL217" s="2" t="s">
        <v>74</v>
      </c>
      <c r="BM217" s="2" t="s">
        <v>74</v>
      </c>
      <c r="BN217" s="2" t="s">
        <v>74</v>
      </c>
      <c r="BO217" s="2" t="s">
        <v>74</v>
      </c>
      <c r="BP217" s="2" t="s">
        <v>74</v>
      </c>
      <c r="BQ217" s="2" t="s">
        <v>74</v>
      </c>
      <c r="BR217" s="2" t="s">
        <v>74</v>
      </c>
      <c r="BS217" s="2" t="s">
        <v>158</v>
      </c>
      <c r="BT217" s="2" t="str">
        <f>HYPERLINK("https%3A%2F%2Fwww.webofscience.com%2Fwos%2Fwoscc%2Ffull-record%2FWOS:000335963100021","View Full Record in Web of Science")</f>
        <v>View Full Record in Web of Science</v>
      </c>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row>
    <row r="218" spans="1:314" s="2" customFormat="1" x14ac:dyDescent="0.4">
      <c r="A218" s="2" t="s">
        <v>72</v>
      </c>
      <c r="B218" s="2" t="s">
        <v>4220</v>
      </c>
      <c r="C218" s="2" t="s">
        <v>74</v>
      </c>
      <c r="D218" s="2" t="s">
        <v>74</v>
      </c>
      <c r="E218" s="2" t="s">
        <v>74</v>
      </c>
      <c r="F218" s="2" t="s">
        <v>4221</v>
      </c>
      <c r="G218" s="2" t="s">
        <v>74</v>
      </c>
      <c r="H218" s="2" t="s">
        <v>74</v>
      </c>
      <c r="I218" s="2" t="s">
        <v>4222</v>
      </c>
      <c r="J218" s="2" t="s">
        <v>1384</v>
      </c>
      <c r="K218" s="2" t="s">
        <v>74</v>
      </c>
      <c r="L218" s="2" t="s">
        <v>74</v>
      </c>
      <c r="M218" s="2" t="s">
        <v>74</v>
      </c>
      <c r="N218" s="2" t="s">
        <v>74</v>
      </c>
      <c r="O218" s="2" t="s">
        <v>74</v>
      </c>
      <c r="P218" s="2" t="s">
        <v>74</v>
      </c>
      <c r="Q218" s="2" t="s">
        <v>74</v>
      </c>
      <c r="R218" s="2" t="s">
        <v>74</v>
      </c>
      <c r="S218" s="2" t="s">
        <v>74</v>
      </c>
      <c r="T218" s="2" t="s">
        <v>74</v>
      </c>
      <c r="U218" s="2" t="s">
        <v>74</v>
      </c>
      <c r="V218" s="5" t="s">
        <v>4223</v>
      </c>
      <c r="W218" s="2" t="s">
        <v>74</v>
      </c>
      <c r="X218" s="2" t="s">
        <v>74</v>
      </c>
      <c r="Y218" s="2" t="s">
        <v>74</v>
      </c>
      <c r="Z218" s="2" t="s">
        <v>74</v>
      </c>
      <c r="AA218" s="2" t="s">
        <v>4224</v>
      </c>
      <c r="AB218" s="2" t="s">
        <v>74</v>
      </c>
      <c r="AC218" s="2" t="s">
        <v>74</v>
      </c>
      <c r="AD218" s="2" t="s">
        <v>74</v>
      </c>
      <c r="AE218" s="2" t="s">
        <v>74</v>
      </c>
      <c r="AF218" s="2" t="s">
        <v>74</v>
      </c>
      <c r="AG218" s="2" t="s">
        <v>74</v>
      </c>
      <c r="AH218" s="2" t="s">
        <v>74</v>
      </c>
      <c r="AI218" s="2" t="s">
        <v>74</v>
      </c>
      <c r="AJ218" s="2" t="s">
        <v>74</v>
      </c>
      <c r="AK218" s="2" t="s">
        <v>74</v>
      </c>
      <c r="AL218" s="2" t="s">
        <v>74</v>
      </c>
      <c r="AM218" s="2" t="s">
        <v>74</v>
      </c>
      <c r="AN218" s="2" t="s">
        <v>74</v>
      </c>
      <c r="AO218" s="2" t="s">
        <v>1388</v>
      </c>
      <c r="AP218" s="2" t="s">
        <v>74</v>
      </c>
      <c r="AQ218" s="2" t="s">
        <v>74</v>
      </c>
      <c r="AR218" s="2" t="s">
        <v>74</v>
      </c>
      <c r="AS218" s="2" t="s">
        <v>74</v>
      </c>
      <c r="AT218" s="2" t="s">
        <v>255</v>
      </c>
      <c r="AU218" s="2">
        <v>2013</v>
      </c>
      <c r="AV218" s="2">
        <v>155</v>
      </c>
      <c r="AW218" s="2">
        <v>1</v>
      </c>
      <c r="AX218" s="2" t="s">
        <v>74</v>
      </c>
      <c r="AY218" s="2" t="s">
        <v>74</v>
      </c>
      <c r="AZ218" s="2" t="s">
        <v>74</v>
      </c>
      <c r="BA218" s="2" t="s">
        <v>74</v>
      </c>
      <c r="BB218" s="2">
        <v>189</v>
      </c>
      <c r="BC218" s="2">
        <v>193</v>
      </c>
      <c r="BD218" s="2" t="s">
        <v>74</v>
      </c>
      <c r="BE218" s="2" t="s">
        <v>4225</v>
      </c>
      <c r="BF218" s="2" t="str">
        <f>HYPERLINK("http://dx.doi.org/10.1111/j.1474-919X.2012.01264.x","http://dx.doi.org/10.1111/j.1474-919X.2012.01264.x")</f>
        <v>http://dx.doi.org/10.1111/j.1474-919X.2012.01264.x</v>
      </c>
      <c r="BG218" s="2" t="s">
        <v>74</v>
      </c>
      <c r="BH218" s="2" t="s">
        <v>74</v>
      </c>
      <c r="BI218" s="2" t="s">
        <v>74</v>
      </c>
      <c r="BJ218" s="2" t="s">
        <v>74</v>
      </c>
      <c r="BK218" s="2" t="s">
        <v>74</v>
      </c>
      <c r="BL218" s="2" t="s">
        <v>74</v>
      </c>
      <c r="BM218" s="2" t="s">
        <v>74</v>
      </c>
      <c r="BN218" s="2" t="s">
        <v>74</v>
      </c>
      <c r="BO218" s="2" t="s">
        <v>74</v>
      </c>
      <c r="BP218" s="2" t="s">
        <v>74</v>
      </c>
      <c r="BQ218" s="2" t="s">
        <v>74</v>
      </c>
      <c r="BR218" s="2" t="s">
        <v>74</v>
      </c>
      <c r="BS218" s="2" t="s">
        <v>4226</v>
      </c>
      <c r="BT218" s="2" t="str">
        <f>HYPERLINK("https%3A%2F%2Fwww.webofscience.com%2Fwos%2Fwoscc%2Ffull-record%2FWOS:000316326600017","View Full Record in Web of Science")</f>
        <v>View Full Record in Web of Science</v>
      </c>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row>
    <row r="219" spans="1:314" s="2" customFormat="1" x14ac:dyDescent="0.4">
      <c r="A219" s="2" t="s">
        <v>72</v>
      </c>
      <c r="B219" s="2" t="s">
        <v>3260</v>
      </c>
      <c r="C219" s="2" t="s">
        <v>74</v>
      </c>
      <c r="D219" s="2" t="s">
        <v>74</v>
      </c>
      <c r="E219" s="2" t="s">
        <v>74</v>
      </c>
      <c r="F219" s="2" t="s">
        <v>3261</v>
      </c>
      <c r="G219" s="2" t="s">
        <v>74</v>
      </c>
      <c r="H219" s="2" t="s">
        <v>74</v>
      </c>
      <c r="I219" s="2" t="s">
        <v>3262</v>
      </c>
      <c r="J219" s="2" t="s">
        <v>576</v>
      </c>
      <c r="K219" s="2" t="s">
        <v>74</v>
      </c>
      <c r="L219" s="2" t="s">
        <v>74</v>
      </c>
      <c r="M219" s="2" t="s">
        <v>74</v>
      </c>
      <c r="N219" s="2" t="s">
        <v>74</v>
      </c>
      <c r="O219" s="2" t="s">
        <v>74</v>
      </c>
      <c r="P219" s="2" t="s">
        <v>74</v>
      </c>
      <c r="Q219" s="2" t="s">
        <v>74</v>
      </c>
      <c r="R219" s="2" t="s">
        <v>74</v>
      </c>
      <c r="S219" s="2" t="s">
        <v>74</v>
      </c>
      <c r="T219" s="2" t="s">
        <v>74</v>
      </c>
      <c r="U219" s="2" t="s">
        <v>74</v>
      </c>
      <c r="V219" s="5" t="s">
        <v>3263</v>
      </c>
      <c r="W219" s="2" t="s">
        <v>74</v>
      </c>
      <c r="X219" s="2" t="s">
        <v>74</v>
      </c>
      <c r="Y219" s="2" t="s">
        <v>74</v>
      </c>
      <c r="Z219" s="2" t="s">
        <v>74</v>
      </c>
      <c r="AA219" s="2" t="s">
        <v>3264</v>
      </c>
      <c r="AB219" s="2" t="s">
        <v>434</v>
      </c>
      <c r="AC219" s="2" t="s">
        <v>74</v>
      </c>
      <c r="AD219" s="2" t="s">
        <v>74</v>
      </c>
      <c r="AE219" s="2" t="s">
        <v>74</v>
      </c>
      <c r="AF219" s="2" t="s">
        <v>74</v>
      </c>
      <c r="AG219" s="2" t="s">
        <v>74</v>
      </c>
      <c r="AH219" s="2" t="s">
        <v>74</v>
      </c>
      <c r="AI219" s="2" t="s">
        <v>74</v>
      </c>
      <c r="AJ219" s="2" t="s">
        <v>74</v>
      </c>
      <c r="AK219" s="2" t="s">
        <v>74</v>
      </c>
      <c r="AL219" s="2" t="s">
        <v>74</v>
      </c>
      <c r="AM219" s="2" t="s">
        <v>74</v>
      </c>
      <c r="AN219" s="2" t="s">
        <v>74</v>
      </c>
      <c r="AO219" s="2" t="s">
        <v>579</v>
      </c>
      <c r="AP219" s="2" t="s">
        <v>580</v>
      </c>
      <c r="AQ219" s="2" t="s">
        <v>74</v>
      </c>
      <c r="AR219" s="2" t="s">
        <v>74</v>
      </c>
      <c r="AS219" s="2" t="s">
        <v>74</v>
      </c>
      <c r="AT219" s="2" t="s">
        <v>213</v>
      </c>
      <c r="AU219" s="2">
        <v>2013</v>
      </c>
      <c r="AV219" s="2">
        <v>27</v>
      </c>
      <c r="AW219" s="2">
        <v>6</v>
      </c>
      <c r="AX219" s="2" t="s">
        <v>74</v>
      </c>
      <c r="AY219" s="2" t="s">
        <v>74</v>
      </c>
      <c r="AZ219" s="2" t="s">
        <v>74</v>
      </c>
      <c r="BA219" s="2" t="s">
        <v>74</v>
      </c>
      <c r="BB219" s="2">
        <v>1189</v>
      </c>
      <c r="BC219" s="2">
        <v>1198</v>
      </c>
      <c r="BD219" s="2" t="s">
        <v>74</v>
      </c>
      <c r="BE219" s="2" t="s">
        <v>3265</v>
      </c>
      <c r="BF219" s="2" t="str">
        <f>HYPERLINK("http://dx.doi.org/10.1007/s10682-013-9651-1","http://dx.doi.org/10.1007/s10682-013-9651-1")</f>
        <v>http://dx.doi.org/10.1007/s10682-013-9651-1</v>
      </c>
      <c r="BG219" s="2" t="s">
        <v>74</v>
      </c>
      <c r="BH219" s="2" t="s">
        <v>74</v>
      </c>
      <c r="BI219" s="2" t="s">
        <v>74</v>
      </c>
      <c r="BJ219" s="2" t="s">
        <v>74</v>
      </c>
      <c r="BK219" s="2" t="s">
        <v>74</v>
      </c>
      <c r="BL219" s="2" t="s">
        <v>74</v>
      </c>
      <c r="BM219" s="2" t="s">
        <v>74</v>
      </c>
      <c r="BN219" s="2" t="s">
        <v>74</v>
      </c>
      <c r="BO219" s="2" t="s">
        <v>74</v>
      </c>
      <c r="BP219" s="2" t="s">
        <v>74</v>
      </c>
      <c r="BQ219" s="2" t="s">
        <v>74</v>
      </c>
      <c r="BR219" s="2" t="s">
        <v>74</v>
      </c>
      <c r="BS219" s="2" t="s">
        <v>3266</v>
      </c>
      <c r="BT219" s="2" t="str">
        <f>HYPERLINK("https%3A%2F%2Fwww.webofscience.com%2Fwos%2Fwoscc%2Ffull-record%2FWOS:000326897500010","View Full Record in Web of Science")</f>
        <v>View Full Record in Web of Science</v>
      </c>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row>
    <row r="220" spans="1:314" s="2" customFormat="1" x14ac:dyDescent="0.4">
      <c r="A220" s="2" t="s">
        <v>72</v>
      </c>
      <c r="B220" s="2" t="s">
        <v>7578</v>
      </c>
      <c r="C220" s="2" t="s">
        <v>74</v>
      </c>
      <c r="D220" s="2" t="s">
        <v>74</v>
      </c>
      <c r="E220" s="2" t="s">
        <v>74</v>
      </c>
      <c r="F220" s="2" t="s">
        <v>7579</v>
      </c>
      <c r="G220" s="2" t="s">
        <v>74</v>
      </c>
      <c r="H220" s="2" t="s">
        <v>74</v>
      </c>
      <c r="I220" s="2" t="s">
        <v>7580</v>
      </c>
      <c r="J220" s="2" t="s">
        <v>6899</v>
      </c>
      <c r="K220" s="2" t="s">
        <v>74</v>
      </c>
      <c r="L220" s="2" t="s">
        <v>74</v>
      </c>
      <c r="M220" s="2" t="s">
        <v>74</v>
      </c>
      <c r="N220" s="2" t="s">
        <v>74</v>
      </c>
      <c r="O220" s="2" t="s">
        <v>74</v>
      </c>
      <c r="P220" s="2" t="s">
        <v>74</v>
      </c>
      <c r="Q220" s="2" t="s">
        <v>74</v>
      </c>
      <c r="R220" s="2" t="s">
        <v>74</v>
      </c>
      <c r="S220" s="2" t="s">
        <v>74</v>
      </c>
      <c r="T220" s="2" t="s">
        <v>74</v>
      </c>
      <c r="U220" s="2" t="s">
        <v>74</v>
      </c>
      <c r="V220" s="5" t="s">
        <v>7581</v>
      </c>
      <c r="W220" s="2" t="s">
        <v>74</v>
      </c>
      <c r="X220" s="2" t="s">
        <v>74</v>
      </c>
      <c r="Y220" s="2" t="s">
        <v>74</v>
      </c>
      <c r="Z220" s="2" t="s">
        <v>74</v>
      </c>
      <c r="AA220" s="2" t="s">
        <v>7582</v>
      </c>
      <c r="AB220" s="2" t="s">
        <v>7583</v>
      </c>
      <c r="AC220" s="2" t="s">
        <v>74</v>
      </c>
      <c r="AD220" s="2" t="s">
        <v>74</v>
      </c>
      <c r="AE220" s="2" t="s">
        <v>74</v>
      </c>
      <c r="AF220" s="2" t="s">
        <v>74</v>
      </c>
      <c r="AG220" s="2" t="s">
        <v>74</v>
      </c>
      <c r="AH220" s="2" t="s">
        <v>74</v>
      </c>
      <c r="AI220" s="2" t="s">
        <v>74</v>
      </c>
      <c r="AJ220" s="2" t="s">
        <v>74</v>
      </c>
      <c r="AK220" s="2" t="s">
        <v>74</v>
      </c>
      <c r="AL220" s="2" t="s">
        <v>74</v>
      </c>
      <c r="AM220" s="2" t="s">
        <v>74</v>
      </c>
      <c r="AN220" s="2" t="s">
        <v>74</v>
      </c>
      <c r="AO220" s="2" t="s">
        <v>6903</v>
      </c>
      <c r="AP220" s="2" t="s">
        <v>7584</v>
      </c>
      <c r="AQ220" s="2" t="s">
        <v>74</v>
      </c>
      <c r="AR220" s="2" t="s">
        <v>74</v>
      </c>
      <c r="AS220" s="2" t="s">
        <v>74</v>
      </c>
      <c r="AT220" s="2" t="s">
        <v>213</v>
      </c>
      <c r="AU220" s="2">
        <v>2009</v>
      </c>
      <c r="AV220" s="2">
        <v>133</v>
      </c>
      <c r="AW220" s="2">
        <v>2</v>
      </c>
      <c r="AX220" s="2" t="s">
        <v>74</v>
      </c>
      <c r="AY220" s="2" t="s">
        <v>74</v>
      </c>
      <c r="AZ220" s="2" t="s">
        <v>74</v>
      </c>
      <c r="BA220" s="2" t="s">
        <v>74</v>
      </c>
      <c r="BB220" s="2">
        <v>165</v>
      </c>
      <c r="BC220" s="2">
        <v>173</v>
      </c>
      <c r="BD220" s="2" t="s">
        <v>74</v>
      </c>
      <c r="BE220" s="2" t="s">
        <v>7585</v>
      </c>
      <c r="BF220" s="2" t="str">
        <f>HYPERLINK("http://dx.doi.org/10.1111/j.1570-7458.2009.00913.x","http://dx.doi.org/10.1111/j.1570-7458.2009.00913.x")</f>
        <v>http://dx.doi.org/10.1111/j.1570-7458.2009.00913.x</v>
      </c>
      <c r="BG220" s="2" t="s">
        <v>74</v>
      </c>
      <c r="BH220" s="2" t="s">
        <v>74</v>
      </c>
      <c r="BI220" s="2" t="s">
        <v>74</v>
      </c>
      <c r="BJ220" s="2" t="s">
        <v>74</v>
      </c>
      <c r="BK220" s="2" t="s">
        <v>74</v>
      </c>
      <c r="BL220" s="2" t="s">
        <v>74</v>
      </c>
      <c r="BM220" s="2" t="s">
        <v>74</v>
      </c>
      <c r="BN220" s="2" t="s">
        <v>74</v>
      </c>
      <c r="BO220" s="2" t="s">
        <v>74</v>
      </c>
      <c r="BP220" s="2" t="s">
        <v>74</v>
      </c>
      <c r="BQ220" s="2" t="s">
        <v>74</v>
      </c>
      <c r="BR220" s="2" t="s">
        <v>74</v>
      </c>
      <c r="BS220" s="2" t="s">
        <v>7586</v>
      </c>
      <c r="BT220" s="2" t="str">
        <f>HYPERLINK("https%3A%2F%2Fwww.webofscience.com%2Fwos%2Fwoscc%2Ffull-record%2FWOS:000270648800007","View Full Record in Web of Science")</f>
        <v>View Full Record in Web of Science</v>
      </c>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row>
    <row r="221" spans="1:314" s="2" customFormat="1" x14ac:dyDescent="0.4">
      <c r="A221" s="2" t="s">
        <v>72</v>
      </c>
      <c r="B221" s="2" t="s">
        <v>8306</v>
      </c>
      <c r="C221" s="2" t="s">
        <v>74</v>
      </c>
      <c r="D221" s="2" t="s">
        <v>74</v>
      </c>
      <c r="E221" s="2" t="s">
        <v>74</v>
      </c>
      <c r="F221" s="2" t="s">
        <v>8306</v>
      </c>
      <c r="G221" s="2" t="s">
        <v>74</v>
      </c>
      <c r="H221" s="2" t="s">
        <v>74</v>
      </c>
      <c r="I221" s="2" t="s">
        <v>8307</v>
      </c>
      <c r="J221" s="2" t="s">
        <v>140</v>
      </c>
      <c r="K221" s="2" t="s">
        <v>74</v>
      </c>
      <c r="L221" s="2" t="s">
        <v>74</v>
      </c>
      <c r="M221" s="2" t="s">
        <v>74</v>
      </c>
      <c r="N221" s="2" t="s">
        <v>74</v>
      </c>
      <c r="O221" s="2" t="s">
        <v>74</v>
      </c>
      <c r="P221" s="2" t="s">
        <v>74</v>
      </c>
      <c r="Q221" s="2" t="s">
        <v>74</v>
      </c>
      <c r="R221" s="2" t="s">
        <v>74</v>
      </c>
      <c r="S221" s="2" t="s">
        <v>74</v>
      </c>
      <c r="T221" s="2" t="s">
        <v>74</v>
      </c>
      <c r="U221" s="2" t="s">
        <v>74</v>
      </c>
      <c r="V221" s="5" t="s">
        <v>8308</v>
      </c>
      <c r="W221" s="2" t="s">
        <v>74</v>
      </c>
      <c r="X221" s="2" t="s">
        <v>74</v>
      </c>
      <c r="Y221" s="2" t="s">
        <v>74</v>
      </c>
      <c r="Z221" s="2" t="s">
        <v>74</v>
      </c>
      <c r="AA221" s="2" t="s">
        <v>74</v>
      </c>
      <c r="AB221" s="2" t="s">
        <v>74</v>
      </c>
      <c r="AC221" s="2" t="s">
        <v>74</v>
      </c>
      <c r="AD221" s="2" t="s">
        <v>74</v>
      </c>
      <c r="AE221" s="2" t="s">
        <v>74</v>
      </c>
      <c r="AF221" s="2" t="s">
        <v>74</v>
      </c>
      <c r="AG221" s="2" t="s">
        <v>74</v>
      </c>
      <c r="AH221" s="2" t="s">
        <v>74</v>
      </c>
      <c r="AI221" s="2" t="s">
        <v>74</v>
      </c>
      <c r="AJ221" s="2" t="s">
        <v>74</v>
      </c>
      <c r="AK221" s="2" t="s">
        <v>74</v>
      </c>
      <c r="AL221" s="2" t="s">
        <v>74</v>
      </c>
      <c r="AM221" s="2" t="s">
        <v>74</v>
      </c>
      <c r="AN221" s="2" t="s">
        <v>74</v>
      </c>
      <c r="AO221" s="2" t="s">
        <v>143</v>
      </c>
      <c r="AP221" s="2" t="s">
        <v>74</v>
      </c>
      <c r="AQ221" s="2" t="s">
        <v>74</v>
      </c>
      <c r="AR221" s="2" t="s">
        <v>74</v>
      </c>
      <c r="AS221" s="2" t="s">
        <v>74</v>
      </c>
      <c r="AT221" s="2" t="s">
        <v>145</v>
      </c>
      <c r="AU221" s="2">
        <v>2002</v>
      </c>
      <c r="AV221" s="2">
        <v>64</v>
      </c>
      <c r="AW221" s="2" t="s">
        <v>74</v>
      </c>
      <c r="AX221" s="2">
        <v>2</v>
      </c>
      <c r="AY221" s="2" t="s">
        <v>74</v>
      </c>
      <c r="AZ221" s="2" t="s">
        <v>74</v>
      </c>
      <c r="BA221" s="2" t="s">
        <v>74</v>
      </c>
      <c r="BB221" s="2">
        <v>207</v>
      </c>
      <c r="BC221" s="2">
        <v>213</v>
      </c>
      <c r="BD221" s="2" t="s">
        <v>74</v>
      </c>
      <c r="BE221" s="2" t="s">
        <v>8309</v>
      </c>
      <c r="BF221" s="2" t="str">
        <f>HYPERLINK("http://dx.doi.org/10.1006/anbe.2002.3042","http://dx.doi.org/10.1006/anbe.2002.3042")</f>
        <v>http://dx.doi.org/10.1006/anbe.2002.3042</v>
      </c>
      <c r="BG221" s="2" t="s">
        <v>74</v>
      </c>
      <c r="BH221" s="2" t="s">
        <v>74</v>
      </c>
      <c r="BI221" s="2" t="s">
        <v>74</v>
      </c>
      <c r="BJ221" s="2" t="s">
        <v>74</v>
      </c>
      <c r="BK221" s="2" t="s">
        <v>74</v>
      </c>
      <c r="BL221" s="2" t="s">
        <v>74</v>
      </c>
      <c r="BM221" s="2" t="s">
        <v>74</v>
      </c>
      <c r="BN221" s="2" t="s">
        <v>74</v>
      </c>
      <c r="BO221" s="2" t="s">
        <v>74</v>
      </c>
      <c r="BP221" s="2" t="s">
        <v>74</v>
      </c>
      <c r="BQ221" s="2" t="s">
        <v>74</v>
      </c>
      <c r="BR221" s="2" t="s">
        <v>74</v>
      </c>
      <c r="BS221" s="2" t="s">
        <v>8310</v>
      </c>
      <c r="BT221" s="2" t="str">
        <f>HYPERLINK("https%3A%2F%2Fwww.webofscience.com%2Fwos%2Fwoscc%2Ffull-record%2FWOS:000179248600006","View Full Record in Web of Science")</f>
        <v>View Full Record in Web of Science</v>
      </c>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row>
    <row r="222" spans="1:314" s="2" customFormat="1" x14ac:dyDescent="0.4">
      <c r="A222" s="2" t="s">
        <v>72</v>
      </c>
      <c r="B222" s="2" t="s">
        <v>5827</v>
      </c>
      <c r="C222" s="2" t="s">
        <v>74</v>
      </c>
      <c r="D222" s="2" t="s">
        <v>74</v>
      </c>
      <c r="E222" s="2" t="s">
        <v>74</v>
      </c>
      <c r="F222" s="2" t="s">
        <v>5827</v>
      </c>
      <c r="G222" s="2" t="s">
        <v>74</v>
      </c>
      <c r="H222" s="2" t="s">
        <v>74</v>
      </c>
      <c r="I222" s="2" t="s">
        <v>5828</v>
      </c>
      <c r="J222" s="2" t="s">
        <v>5829</v>
      </c>
      <c r="K222" s="2" t="s">
        <v>74</v>
      </c>
      <c r="L222" s="2" t="s">
        <v>74</v>
      </c>
      <c r="M222" s="2" t="s">
        <v>74</v>
      </c>
      <c r="N222" s="2" t="s">
        <v>74</v>
      </c>
      <c r="O222" s="2" t="s">
        <v>74</v>
      </c>
      <c r="P222" s="2" t="s">
        <v>74</v>
      </c>
      <c r="Q222" s="2" t="s">
        <v>74</v>
      </c>
      <c r="R222" s="2" t="s">
        <v>74</v>
      </c>
      <c r="S222" s="2" t="s">
        <v>74</v>
      </c>
      <c r="T222" s="2" t="s">
        <v>74</v>
      </c>
      <c r="U222" s="2" t="s">
        <v>74</v>
      </c>
      <c r="V222" s="5" t="s">
        <v>5830</v>
      </c>
      <c r="W222" s="2" t="s">
        <v>74</v>
      </c>
      <c r="X222" s="2" t="s">
        <v>74</v>
      </c>
      <c r="Y222" s="2" t="s">
        <v>74</v>
      </c>
      <c r="Z222" s="2" t="s">
        <v>74</v>
      </c>
      <c r="AA222" s="2" t="s">
        <v>5831</v>
      </c>
      <c r="AB222" s="2" t="s">
        <v>5832</v>
      </c>
      <c r="AC222" s="2" t="s">
        <v>74</v>
      </c>
      <c r="AD222" s="2" t="s">
        <v>74</v>
      </c>
      <c r="AE222" s="2" t="s">
        <v>74</v>
      </c>
      <c r="AF222" s="2" t="s">
        <v>74</v>
      </c>
      <c r="AG222" s="2" t="s">
        <v>74</v>
      </c>
      <c r="AH222" s="2" t="s">
        <v>74</v>
      </c>
      <c r="AI222" s="2" t="s">
        <v>74</v>
      </c>
      <c r="AJ222" s="2" t="s">
        <v>74</v>
      </c>
      <c r="AK222" s="2" t="s">
        <v>74</v>
      </c>
      <c r="AL222" s="2" t="s">
        <v>74</v>
      </c>
      <c r="AM222" s="2" t="s">
        <v>74</v>
      </c>
      <c r="AN222" s="2" t="s">
        <v>74</v>
      </c>
      <c r="AO222" s="2" t="s">
        <v>5833</v>
      </c>
      <c r="AP222" s="2" t="s">
        <v>74</v>
      </c>
      <c r="AQ222" s="2" t="s">
        <v>74</v>
      </c>
      <c r="AR222" s="2" t="s">
        <v>74</v>
      </c>
      <c r="AS222" s="2" t="s">
        <v>74</v>
      </c>
      <c r="AT222" s="2" t="s">
        <v>633</v>
      </c>
      <c r="AU222" s="2">
        <v>1999</v>
      </c>
      <c r="AV222" s="2">
        <v>34</v>
      </c>
      <c r="AW222" s="2">
        <v>2</v>
      </c>
      <c r="AX222" s="2" t="s">
        <v>74</v>
      </c>
      <c r="AY222" s="2" t="s">
        <v>74</v>
      </c>
      <c r="AZ222" s="2" t="s">
        <v>74</v>
      </c>
      <c r="BA222" s="2" t="s">
        <v>74</v>
      </c>
      <c r="BB222" s="2">
        <v>48</v>
      </c>
      <c r="BC222" s="2">
        <v>52</v>
      </c>
      <c r="BD222" s="2" t="s">
        <v>74</v>
      </c>
      <c r="BE222" s="2" t="s">
        <v>74</v>
      </c>
      <c r="BF222" s="2" t="s">
        <v>74</v>
      </c>
      <c r="BG222" s="2" t="s">
        <v>74</v>
      </c>
      <c r="BH222" s="2" t="s">
        <v>74</v>
      </c>
      <c r="BI222" s="2" t="s">
        <v>74</v>
      </c>
      <c r="BJ222" s="2" t="s">
        <v>74</v>
      </c>
      <c r="BK222" s="2" t="s">
        <v>74</v>
      </c>
      <c r="BL222" s="2" t="s">
        <v>74</v>
      </c>
      <c r="BM222" s="2" t="s">
        <v>74</v>
      </c>
      <c r="BN222" s="2" t="s">
        <v>74</v>
      </c>
      <c r="BO222" s="2" t="s">
        <v>74</v>
      </c>
      <c r="BP222" s="2" t="s">
        <v>74</v>
      </c>
      <c r="BQ222" s="2" t="s">
        <v>74</v>
      </c>
      <c r="BR222" s="2" t="s">
        <v>74</v>
      </c>
      <c r="BS222" s="2" t="s">
        <v>5834</v>
      </c>
      <c r="BT222" s="2" t="str">
        <f>HYPERLINK("https%3A%2F%2Fwww.webofscience.com%2Fwos%2Fwoscc%2Ffull-record%2FWOS:000080718600002","View Full Record in Web of Science")</f>
        <v>View Full Record in Web of Science</v>
      </c>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row>
    <row r="223" spans="1:314" s="2" customFormat="1" x14ac:dyDescent="0.4">
      <c r="A223" s="2" t="s">
        <v>72</v>
      </c>
      <c r="B223" s="2" t="s">
        <v>8497</v>
      </c>
      <c r="C223" s="2" t="s">
        <v>74</v>
      </c>
      <c r="D223" s="2" t="s">
        <v>74</v>
      </c>
      <c r="E223" s="2" t="s">
        <v>74</v>
      </c>
      <c r="F223" s="2" t="s">
        <v>8498</v>
      </c>
      <c r="G223" s="2" t="s">
        <v>74</v>
      </c>
      <c r="H223" s="2" t="s">
        <v>74</v>
      </c>
      <c r="I223" s="2" t="s">
        <v>8499</v>
      </c>
      <c r="J223" s="2" t="s">
        <v>1656</v>
      </c>
      <c r="K223" s="2" t="s">
        <v>74</v>
      </c>
      <c r="L223" s="2" t="s">
        <v>74</v>
      </c>
      <c r="M223" s="2" t="s">
        <v>74</v>
      </c>
      <c r="N223" s="2" t="s">
        <v>74</v>
      </c>
      <c r="O223" s="2" t="s">
        <v>74</v>
      </c>
      <c r="P223" s="2" t="s">
        <v>74</v>
      </c>
      <c r="Q223" s="2" t="s">
        <v>74</v>
      </c>
      <c r="R223" s="2" t="s">
        <v>74</v>
      </c>
      <c r="S223" s="2" t="s">
        <v>74</v>
      </c>
      <c r="T223" s="2" t="s">
        <v>74</v>
      </c>
      <c r="U223" s="2" t="s">
        <v>74</v>
      </c>
      <c r="V223" s="5" t="s">
        <v>8500</v>
      </c>
      <c r="W223" s="2" t="s">
        <v>74</v>
      </c>
      <c r="X223" s="2" t="s">
        <v>74</v>
      </c>
      <c r="Y223" s="2" t="s">
        <v>74</v>
      </c>
      <c r="Z223" s="2" t="s">
        <v>74</v>
      </c>
      <c r="AA223" s="2" t="s">
        <v>8501</v>
      </c>
      <c r="AB223" s="2" t="s">
        <v>8502</v>
      </c>
      <c r="AC223" s="2" t="s">
        <v>74</v>
      </c>
      <c r="AD223" s="2" t="s">
        <v>74</v>
      </c>
      <c r="AE223" s="2" t="s">
        <v>74</v>
      </c>
      <c r="AF223" s="2" t="s">
        <v>74</v>
      </c>
      <c r="AG223" s="2" t="s">
        <v>74</v>
      </c>
      <c r="AH223" s="2" t="s">
        <v>74</v>
      </c>
      <c r="AI223" s="2" t="s">
        <v>74</v>
      </c>
      <c r="AJ223" s="2" t="s">
        <v>74</v>
      </c>
      <c r="AK223" s="2" t="s">
        <v>74</v>
      </c>
      <c r="AL223" s="2" t="s">
        <v>74</v>
      </c>
      <c r="AM223" s="2" t="s">
        <v>74</v>
      </c>
      <c r="AN223" s="2" t="s">
        <v>74</v>
      </c>
      <c r="AO223" s="2" t="s">
        <v>1658</v>
      </c>
      <c r="AP223" s="2" t="s">
        <v>1659</v>
      </c>
      <c r="AQ223" s="2" t="s">
        <v>74</v>
      </c>
      <c r="AR223" s="2" t="s">
        <v>74</v>
      </c>
      <c r="AS223" s="2" t="s">
        <v>74</v>
      </c>
      <c r="AT223" s="2" t="s">
        <v>5768</v>
      </c>
      <c r="AU223" s="2">
        <v>2011</v>
      </c>
      <c r="AV223" s="2" t="s">
        <v>74</v>
      </c>
      <c r="AW223" s="2">
        <v>3083</v>
      </c>
      <c r="AX223" s="2" t="s">
        <v>74</v>
      </c>
      <c r="AY223" s="2" t="s">
        <v>74</v>
      </c>
      <c r="AZ223" s="2" t="s">
        <v>74</v>
      </c>
      <c r="BA223" s="2" t="s">
        <v>74</v>
      </c>
      <c r="BB223" s="2">
        <v>1</v>
      </c>
      <c r="BC223" s="2">
        <v>120</v>
      </c>
      <c r="BD223" s="2" t="s">
        <v>74</v>
      </c>
      <c r="BE223" s="2" t="s">
        <v>74</v>
      </c>
      <c r="BF223" s="2" t="s">
        <v>74</v>
      </c>
      <c r="BG223" s="2" t="s">
        <v>74</v>
      </c>
      <c r="BH223" s="2" t="s">
        <v>74</v>
      </c>
      <c r="BI223" s="2" t="s">
        <v>74</v>
      </c>
      <c r="BJ223" s="2" t="s">
        <v>74</v>
      </c>
      <c r="BK223" s="2" t="s">
        <v>74</v>
      </c>
      <c r="BL223" s="2" t="s">
        <v>74</v>
      </c>
      <c r="BM223" s="2" t="s">
        <v>74</v>
      </c>
      <c r="BN223" s="2" t="s">
        <v>74</v>
      </c>
      <c r="BO223" s="2" t="s">
        <v>74</v>
      </c>
      <c r="BP223" s="2" t="s">
        <v>74</v>
      </c>
      <c r="BQ223" s="2" t="s">
        <v>74</v>
      </c>
      <c r="BR223" s="2" t="s">
        <v>74</v>
      </c>
      <c r="BS223" s="2" t="s">
        <v>8503</v>
      </c>
      <c r="BT223" s="2" t="str">
        <f>HYPERLINK("https%3A%2F%2Fwww.webofscience.com%2Fwos%2Fwoscc%2Ffull-record%2FWOS:000296876100001","View Full Record in Web of Science")</f>
        <v>View Full Record in Web of Science</v>
      </c>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row>
    <row r="224" spans="1:314" s="2" customFormat="1" x14ac:dyDescent="0.4">
      <c r="A224" s="2" t="s">
        <v>72</v>
      </c>
      <c r="B224" s="2" t="s">
        <v>2240</v>
      </c>
      <c r="C224" s="2" t="s">
        <v>74</v>
      </c>
      <c r="D224" s="2" t="s">
        <v>74</v>
      </c>
      <c r="E224" s="2" t="s">
        <v>74</v>
      </c>
      <c r="F224" s="2" t="s">
        <v>2240</v>
      </c>
      <c r="G224" s="2" t="s">
        <v>74</v>
      </c>
      <c r="H224" s="2" t="s">
        <v>74</v>
      </c>
      <c r="I224" s="2" t="s">
        <v>2241</v>
      </c>
      <c r="J224" s="2" t="s">
        <v>367</v>
      </c>
      <c r="K224" s="2" t="s">
        <v>74</v>
      </c>
      <c r="L224" s="2" t="s">
        <v>74</v>
      </c>
      <c r="M224" s="2" t="s">
        <v>74</v>
      </c>
      <c r="N224" s="2" t="s">
        <v>74</v>
      </c>
      <c r="O224" s="2" t="s">
        <v>74</v>
      </c>
      <c r="P224" s="2" t="s">
        <v>74</v>
      </c>
      <c r="Q224" s="2" t="s">
        <v>74</v>
      </c>
      <c r="R224" s="2" t="s">
        <v>74</v>
      </c>
      <c r="S224" s="2" t="s">
        <v>74</v>
      </c>
      <c r="T224" s="2" t="s">
        <v>74</v>
      </c>
      <c r="U224" s="2" t="s">
        <v>74</v>
      </c>
      <c r="V224" s="5" t="s">
        <v>2242</v>
      </c>
      <c r="W224" s="2" t="s">
        <v>74</v>
      </c>
      <c r="X224" s="2" t="s">
        <v>74</v>
      </c>
      <c r="Y224" s="2" t="s">
        <v>74</v>
      </c>
      <c r="Z224" s="2" t="s">
        <v>74</v>
      </c>
      <c r="AA224" s="2" t="s">
        <v>74</v>
      </c>
      <c r="AB224" s="2" t="s">
        <v>74</v>
      </c>
      <c r="AC224" s="2" t="s">
        <v>74</v>
      </c>
      <c r="AD224" s="2" t="s">
        <v>74</v>
      </c>
      <c r="AE224" s="2" t="s">
        <v>74</v>
      </c>
      <c r="AF224" s="2" t="s">
        <v>74</v>
      </c>
      <c r="AG224" s="2" t="s">
        <v>74</v>
      </c>
      <c r="AH224" s="2" t="s">
        <v>74</v>
      </c>
      <c r="AI224" s="2" t="s">
        <v>74</v>
      </c>
      <c r="AJ224" s="2" t="s">
        <v>74</v>
      </c>
      <c r="AK224" s="2" t="s">
        <v>74</v>
      </c>
      <c r="AL224" s="2" t="s">
        <v>74</v>
      </c>
      <c r="AM224" s="2" t="s">
        <v>74</v>
      </c>
      <c r="AN224" s="2" t="s">
        <v>74</v>
      </c>
      <c r="AO224" s="2" t="s">
        <v>371</v>
      </c>
      <c r="AP224" s="2" t="s">
        <v>74</v>
      </c>
      <c r="AQ224" s="2" t="s">
        <v>74</v>
      </c>
      <c r="AR224" s="2" t="s">
        <v>74</v>
      </c>
      <c r="AS224" s="2" t="s">
        <v>74</v>
      </c>
      <c r="AT224" s="2" t="s">
        <v>352</v>
      </c>
      <c r="AU224" s="2">
        <v>1992</v>
      </c>
      <c r="AV224" s="2">
        <v>106</v>
      </c>
      <c r="AW224" s="2">
        <v>3</v>
      </c>
      <c r="AX224" s="2" t="s">
        <v>74</v>
      </c>
      <c r="AY224" s="2" t="s">
        <v>74</v>
      </c>
      <c r="AZ224" s="2" t="s">
        <v>74</v>
      </c>
      <c r="BA224" s="2" t="s">
        <v>74</v>
      </c>
      <c r="BB224" s="2">
        <v>203</v>
      </c>
      <c r="BC224" s="2">
        <v>216</v>
      </c>
      <c r="BD224" s="2" t="s">
        <v>74</v>
      </c>
      <c r="BE224" s="2" t="s">
        <v>2243</v>
      </c>
      <c r="BF224" s="2" t="str">
        <f>HYPERLINK("http://dx.doi.org/10.1037/0735-7036.106.3.203","http://dx.doi.org/10.1037/0735-7036.106.3.203")</f>
        <v>http://dx.doi.org/10.1037/0735-7036.106.3.203</v>
      </c>
      <c r="BG224" s="2" t="s">
        <v>74</v>
      </c>
      <c r="BH224" s="2" t="s">
        <v>74</v>
      </c>
      <c r="BI224" s="2" t="s">
        <v>74</v>
      </c>
      <c r="BJ224" s="2" t="s">
        <v>74</v>
      </c>
      <c r="BK224" s="2" t="s">
        <v>74</v>
      </c>
      <c r="BL224" s="2" t="s">
        <v>74</v>
      </c>
      <c r="BM224" s="2" t="s">
        <v>74</v>
      </c>
      <c r="BN224" s="2">
        <v>1395490</v>
      </c>
      <c r="BO224" s="2" t="s">
        <v>74</v>
      </c>
      <c r="BP224" s="2" t="s">
        <v>74</v>
      </c>
      <c r="BQ224" s="2" t="s">
        <v>74</v>
      </c>
      <c r="BR224" s="2" t="s">
        <v>74</v>
      </c>
      <c r="BS224" s="2" t="s">
        <v>2244</v>
      </c>
      <c r="BT224" s="2" t="str">
        <f>HYPERLINK("https%3A%2F%2Fwww.webofscience.com%2Fwos%2Fwoscc%2Ffull-record%2FWOS:A1992JK69600001","View Full Record in Web of Science")</f>
        <v>View Full Record in Web of Science</v>
      </c>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row>
    <row r="225" spans="1:314" s="2" customFormat="1" x14ac:dyDescent="0.4">
      <c r="A225" s="2" t="s">
        <v>72</v>
      </c>
      <c r="B225" s="2" t="s">
        <v>2879</v>
      </c>
      <c r="C225" s="2" t="s">
        <v>74</v>
      </c>
      <c r="D225" s="2" t="s">
        <v>74</v>
      </c>
      <c r="E225" s="2" t="s">
        <v>74</v>
      </c>
      <c r="F225" s="2" t="s">
        <v>2879</v>
      </c>
      <c r="G225" s="2" t="s">
        <v>74</v>
      </c>
      <c r="H225" s="2" t="s">
        <v>74</v>
      </c>
      <c r="I225" s="2" t="s">
        <v>2880</v>
      </c>
      <c r="J225" s="2" t="s">
        <v>1526</v>
      </c>
      <c r="K225" s="2" t="s">
        <v>74</v>
      </c>
      <c r="L225" s="2" t="s">
        <v>74</v>
      </c>
      <c r="M225" s="2" t="s">
        <v>74</v>
      </c>
      <c r="N225" s="2" t="s">
        <v>74</v>
      </c>
      <c r="O225" s="2" t="s">
        <v>74</v>
      </c>
      <c r="P225" s="2" t="s">
        <v>74</v>
      </c>
      <c r="Q225" s="2" t="s">
        <v>74</v>
      </c>
      <c r="R225" s="2" t="s">
        <v>74</v>
      </c>
      <c r="S225" s="2" t="s">
        <v>74</v>
      </c>
      <c r="T225" s="2" t="s">
        <v>74</v>
      </c>
      <c r="U225" s="2" t="s">
        <v>74</v>
      </c>
      <c r="V225" s="5" t="s">
        <v>2881</v>
      </c>
      <c r="W225" s="2" t="s">
        <v>74</v>
      </c>
      <c r="X225" s="2" t="s">
        <v>74</v>
      </c>
      <c r="Y225" s="2" t="s">
        <v>74</v>
      </c>
      <c r="Z225" s="2" t="s">
        <v>74</v>
      </c>
      <c r="AA225" s="2" t="s">
        <v>2882</v>
      </c>
      <c r="AB225" s="2" t="s">
        <v>2883</v>
      </c>
      <c r="AC225" s="2" t="s">
        <v>74</v>
      </c>
      <c r="AD225" s="2" t="s">
        <v>74</v>
      </c>
      <c r="AE225" s="2" t="s">
        <v>74</v>
      </c>
      <c r="AF225" s="2" t="s">
        <v>74</v>
      </c>
      <c r="AG225" s="2" t="s">
        <v>74</v>
      </c>
      <c r="AH225" s="2" t="s">
        <v>74</v>
      </c>
      <c r="AI225" s="2" t="s">
        <v>74</v>
      </c>
      <c r="AJ225" s="2" t="s">
        <v>74</v>
      </c>
      <c r="AK225" s="2" t="s">
        <v>74</v>
      </c>
      <c r="AL225" s="2" t="s">
        <v>74</v>
      </c>
      <c r="AM225" s="2" t="s">
        <v>74</v>
      </c>
      <c r="AN225" s="2" t="s">
        <v>74</v>
      </c>
      <c r="AO225" s="2" t="s">
        <v>1528</v>
      </c>
      <c r="AP225" s="2" t="s">
        <v>74</v>
      </c>
      <c r="AQ225" s="2" t="s">
        <v>74</v>
      </c>
      <c r="AR225" s="2" t="s">
        <v>74</v>
      </c>
      <c r="AS225" s="2" t="s">
        <v>74</v>
      </c>
      <c r="AT225" s="2" t="s">
        <v>134</v>
      </c>
      <c r="AU225" s="2">
        <v>2001</v>
      </c>
      <c r="AV225" s="2">
        <v>103</v>
      </c>
      <c r="AW225" s="2">
        <v>2</v>
      </c>
      <c r="AX225" s="2" t="s">
        <v>74</v>
      </c>
      <c r="AY225" s="2" t="s">
        <v>74</v>
      </c>
      <c r="AZ225" s="2" t="s">
        <v>74</v>
      </c>
      <c r="BA225" s="2" t="s">
        <v>74</v>
      </c>
      <c r="BB225" s="2">
        <v>248</v>
      </c>
      <c r="BC225" s="2">
        <v>258</v>
      </c>
      <c r="BD225" s="2" t="s">
        <v>74</v>
      </c>
      <c r="BE225" s="2" t="s">
        <v>2884</v>
      </c>
      <c r="BF225" s="2" t="str">
        <f>HYPERLINK("http://dx.doi.org/10.1650/0010-5422(2001)103[0248:PRIBMP]2.0.CO;2","http://dx.doi.org/10.1650/0010-5422(2001)103[0248:PRIBMP]2.0.CO;2")</f>
        <v>http://dx.doi.org/10.1650/0010-5422(2001)103[0248:PRIBMP]2.0.CO;2</v>
      </c>
      <c r="BG225" s="2" t="s">
        <v>74</v>
      </c>
      <c r="BH225" s="2" t="s">
        <v>74</v>
      </c>
      <c r="BI225" s="2" t="s">
        <v>74</v>
      </c>
      <c r="BJ225" s="2" t="s">
        <v>74</v>
      </c>
      <c r="BK225" s="2" t="s">
        <v>74</v>
      </c>
      <c r="BL225" s="2" t="s">
        <v>74</v>
      </c>
      <c r="BM225" s="2" t="s">
        <v>74</v>
      </c>
      <c r="BN225" s="2" t="s">
        <v>74</v>
      </c>
      <c r="BO225" s="2" t="s">
        <v>74</v>
      </c>
      <c r="BP225" s="2" t="s">
        <v>74</v>
      </c>
      <c r="BQ225" s="2" t="s">
        <v>74</v>
      </c>
      <c r="BR225" s="2" t="s">
        <v>74</v>
      </c>
      <c r="BS225" s="2" t="s">
        <v>2885</v>
      </c>
      <c r="BT225" s="2" t="str">
        <f>HYPERLINK("https%3A%2F%2Fwww.webofscience.com%2Fwos%2Fwoscc%2Ffull-record%2FWOS:000168569600005","View Full Record in Web of Science")</f>
        <v>View Full Record in Web of Science</v>
      </c>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row>
    <row r="226" spans="1:314" s="2" customFormat="1" x14ac:dyDescent="0.4">
      <c r="A226" s="2" t="s">
        <v>72</v>
      </c>
      <c r="B226" s="2" t="s">
        <v>1069</v>
      </c>
      <c r="C226" s="2" t="s">
        <v>74</v>
      </c>
      <c r="D226" s="2" t="s">
        <v>74</v>
      </c>
      <c r="E226" s="2" t="s">
        <v>74</v>
      </c>
      <c r="F226" s="2" t="s">
        <v>1070</v>
      </c>
      <c r="G226" s="2" t="s">
        <v>74</v>
      </c>
      <c r="H226" s="2" t="s">
        <v>74</v>
      </c>
      <c r="I226" s="2" t="s">
        <v>1071</v>
      </c>
      <c r="J226" s="2" t="s">
        <v>229</v>
      </c>
      <c r="K226" s="2" t="s">
        <v>74</v>
      </c>
      <c r="L226" s="2" t="s">
        <v>74</v>
      </c>
      <c r="M226" s="2" t="s">
        <v>74</v>
      </c>
      <c r="N226" s="2" t="s">
        <v>74</v>
      </c>
      <c r="O226" s="2" t="s">
        <v>74</v>
      </c>
      <c r="P226" s="2" t="s">
        <v>74</v>
      </c>
      <c r="Q226" s="2" t="s">
        <v>74</v>
      </c>
      <c r="R226" s="2" t="s">
        <v>74</v>
      </c>
      <c r="S226" s="2" t="s">
        <v>74</v>
      </c>
      <c r="T226" s="2" t="s">
        <v>74</v>
      </c>
      <c r="U226" s="2" t="s">
        <v>74</v>
      </c>
      <c r="V226" s="5" t="s">
        <v>1072</v>
      </c>
      <c r="W226" s="2" t="s">
        <v>74</v>
      </c>
      <c r="X226" s="2" t="s">
        <v>74</v>
      </c>
      <c r="Y226" s="2" t="s">
        <v>74</v>
      </c>
      <c r="Z226" s="2" t="s">
        <v>74</v>
      </c>
      <c r="AA226" s="2" t="s">
        <v>1073</v>
      </c>
      <c r="AB226" s="2" t="s">
        <v>1074</v>
      </c>
      <c r="AC226" s="2" t="s">
        <v>74</v>
      </c>
      <c r="AD226" s="2" t="s">
        <v>74</v>
      </c>
      <c r="AE226" s="2" t="s">
        <v>74</v>
      </c>
      <c r="AF226" s="2" t="s">
        <v>74</v>
      </c>
      <c r="AG226" s="2" t="s">
        <v>74</v>
      </c>
      <c r="AH226" s="2" t="s">
        <v>74</v>
      </c>
      <c r="AI226" s="2" t="s">
        <v>74</v>
      </c>
      <c r="AJ226" s="2" t="s">
        <v>74</v>
      </c>
      <c r="AK226" s="2" t="s">
        <v>74</v>
      </c>
      <c r="AL226" s="2" t="s">
        <v>74</v>
      </c>
      <c r="AM226" s="2" t="s">
        <v>74</v>
      </c>
      <c r="AN226" s="2" t="s">
        <v>74</v>
      </c>
      <c r="AO226" s="2" t="s">
        <v>233</v>
      </c>
      <c r="AP226" s="2" t="s">
        <v>234</v>
      </c>
      <c r="AQ226" s="2" t="s">
        <v>74</v>
      </c>
      <c r="AR226" s="2" t="s">
        <v>74</v>
      </c>
      <c r="AS226" s="2" t="s">
        <v>74</v>
      </c>
      <c r="AT226" s="2" t="s">
        <v>1075</v>
      </c>
      <c r="AU226" s="2">
        <v>2018</v>
      </c>
      <c r="AV226" s="2">
        <v>44</v>
      </c>
      <c r="AW226" s="2">
        <v>6</v>
      </c>
      <c r="AX226" s="2" t="s">
        <v>74</v>
      </c>
      <c r="AY226" s="2" t="s">
        <v>74</v>
      </c>
      <c r="AZ226" s="2" t="s">
        <v>74</v>
      </c>
      <c r="BA226" s="2" t="s">
        <v>74</v>
      </c>
      <c r="BB226" s="2">
        <v>624</v>
      </c>
      <c r="BC226" s="2">
        <v>637</v>
      </c>
      <c r="BD226" s="2" t="s">
        <v>74</v>
      </c>
      <c r="BE226" s="2" t="s">
        <v>1076</v>
      </c>
      <c r="BF226" s="2" t="str">
        <f>HYPERLINK("http://dx.doi.org/10.1002/ab.21787","http://dx.doi.org/10.1002/ab.21787")</f>
        <v>http://dx.doi.org/10.1002/ab.21787</v>
      </c>
      <c r="BG226" s="2" t="s">
        <v>74</v>
      </c>
      <c r="BH226" s="2" t="s">
        <v>74</v>
      </c>
      <c r="BI226" s="2" t="s">
        <v>74</v>
      </c>
      <c r="BJ226" s="2" t="s">
        <v>74</v>
      </c>
      <c r="BK226" s="2" t="s">
        <v>74</v>
      </c>
      <c r="BL226" s="2" t="s">
        <v>74</v>
      </c>
      <c r="BM226" s="2" t="s">
        <v>74</v>
      </c>
      <c r="BN226" s="2">
        <v>30141188</v>
      </c>
      <c r="BO226" s="2" t="s">
        <v>74</v>
      </c>
      <c r="BP226" s="2" t="s">
        <v>74</v>
      </c>
      <c r="BQ226" s="2" t="s">
        <v>74</v>
      </c>
      <c r="BR226" s="2" t="s">
        <v>74</v>
      </c>
      <c r="BS226" s="2" t="s">
        <v>1077</v>
      </c>
      <c r="BT226" s="2" t="str">
        <f>HYPERLINK("https%3A%2F%2Fwww.webofscience.com%2Fwos%2Fwoscc%2Ffull-record%2FWOS:000446552400008","View Full Record in Web of Science")</f>
        <v>View Full Record in Web of Science</v>
      </c>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row>
    <row r="227" spans="1:314" s="2" customFormat="1" x14ac:dyDescent="0.4">
      <c r="A227" s="2" t="s">
        <v>72</v>
      </c>
      <c r="B227" s="2" t="s">
        <v>2601</v>
      </c>
      <c r="C227" s="2" t="s">
        <v>74</v>
      </c>
      <c r="D227" s="2" t="s">
        <v>74</v>
      </c>
      <c r="E227" s="2" t="s">
        <v>74</v>
      </c>
      <c r="F227" s="2" t="s">
        <v>2601</v>
      </c>
      <c r="G227" s="2" t="s">
        <v>74</v>
      </c>
      <c r="H227" s="2" t="s">
        <v>74</v>
      </c>
      <c r="I227" s="2" t="s">
        <v>2602</v>
      </c>
      <c r="J227" s="2" t="s">
        <v>281</v>
      </c>
      <c r="K227" s="2" t="s">
        <v>74</v>
      </c>
      <c r="L227" s="2" t="s">
        <v>74</v>
      </c>
      <c r="M227" s="2" t="s">
        <v>74</v>
      </c>
      <c r="N227" s="2" t="s">
        <v>74</v>
      </c>
      <c r="O227" s="2" t="s">
        <v>74</v>
      </c>
      <c r="P227" s="2" t="s">
        <v>74</v>
      </c>
      <c r="Q227" s="2" t="s">
        <v>74</v>
      </c>
      <c r="R227" s="2" t="s">
        <v>74</v>
      </c>
      <c r="S227" s="2" t="s">
        <v>74</v>
      </c>
      <c r="T227" s="2" t="s">
        <v>74</v>
      </c>
      <c r="U227" s="2" t="s">
        <v>74</v>
      </c>
      <c r="V227" s="5" t="s">
        <v>2603</v>
      </c>
      <c r="W227" s="2" t="s">
        <v>74</v>
      </c>
      <c r="X227" s="2" t="s">
        <v>74</v>
      </c>
      <c r="Y227" s="2" t="s">
        <v>74</v>
      </c>
      <c r="Z227" s="2" t="s">
        <v>74</v>
      </c>
      <c r="AA227" s="2" t="s">
        <v>2604</v>
      </c>
      <c r="AB227" s="2" t="s">
        <v>2605</v>
      </c>
      <c r="AC227" s="2" t="s">
        <v>74</v>
      </c>
      <c r="AD227" s="2" t="s">
        <v>74</v>
      </c>
      <c r="AE227" s="2" t="s">
        <v>74</v>
      </c>
      <c r="AF227" s="2" t="s">
        <v>74</v>
      </c>
      <c r="AG227" s="2" t="s">
        <v>74</v>
      </c>
      <c r="AH227" s="2" t="s">
        <v>74</v>
      </c>
      <c r="AI227" s="2" t="s">
        <v>74</v>
      </c>
      <c r="AJ227" s="2" t="s">
        <v>74</v>
      </c>
      <c r="AK227" s="2" t="s">
        <v>74</v>
      </c>
      <c r="AL227" s="2" t="s">
        <v>74</v>
      </c>
      <c r="AM227" s="2" t="s">
        <v>74</v>
      </c>
      <c r="AN227" s="2" t="s">
        <v>74</v>
      </c>
      <c r="AO227" s="2" t="s">
        <v>285</v>
      </c>
      <c r="AP227" s="2" t="s">
        <v>286</v>
      </c>
      <c r="AQ227" s="2" t="s">
        <v>74</v>
      </c>
      <c r="AR227" s="2" t="s">
        <v>74</v>
      </c>
      <c r="AS227" s="2" t="s">
        <v>74</v>
      </c>
      <c r="AT227" s="2" t="s">
        <v>633</v>
      </c>
      <c r="AU227" s="2">
        <v>2004</v>
      </c>
      <c r="AV227" s="2">
        <v>7</v>
      </c>
      <c r="AW227" s="2">
        <v>2</v>
      </c>
      <c r="AX227" s="2" t="s">
        <v>74</v>
      </c>
      <c r="AY227" s="2" t="s">
        <v>74</v>
      </c>
      <c r="AZ227" s="2" t="s">
        <v>74</v>
      </c>
      <c r="BA227" s="2" t="s">
        <v>74</v>
      </c>
      <c r="BB227" s="2">
        <v>69</v>
      </c>
      <c r="BC227" s="2">
        <v>76</v>
      </c>
      <c r="BD227" s="2" t="s">
        <v>74</v>
      </c>
      <c r="BE227" s="2" t="s">
        <v>2606</v>
      </c>
      <c r="BF227" s="2" t="str">
        <f>HYPERLINK("http://dx.doi.org/10.1007/s10071-003-0189-4","http://dx.doi.org/10.1007/s10071-003-0189-4")</f>
        <v>http://dx.doi.org/10.1007/s10071-003-0189-4</v>
      </c>
      <c r="BG227" s="2" t="s">
        <v>74</v>
      </c>
      <c r="BH227" s="2" t="s">
        <v>74</v>
      </c>
      <c r="BI227" s="2" t="s">
        <v>74</v>
      </c>
      <c r="BJ227" s="2" t="s">
        <v>74</v>
      </c>
      <c r="BK227" s="2" t="s">
        <v>74</v>
      </c>
      <c r="BL227" s="2" t="s">
        <v>74</v>
      </c>
      <c r="BM227" s="2" t="s">
        <v>74</v>
      </c>
      <c r="BN227" s="2">
        <v>15069605</v>
      </c>
      <c r="BO227" s="2" t="s">
        <v>74</v>
      </c>
      <c r="BP227" s="2" t="s">
        <v>74</v>
      </c>
      <c r="BQ227" s="2" t="s">
        <v>74</v>
      </c>
      <c r="BR227" s="2" t="s">
        <v>74</v>
      </c>
      <c r="BS227" s="2" t="s">
        <v>2607</v>
      </c>
      <c r="BT227" s="2" t="str">
        <f>HYPERLINK("https%3A%2F%2Fwww.webofscience.com%2Fwos%2Fwoscc%2Ffull-record%2FWOS:000221649900001","View Full Record in Web of Science")</f>
        <v>View Full Record in Web of Science</v>
      </c>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row>
    <row r="228" spans="1:314" s="2" customFormat="1" x14ac:dyDescent="0.4">
      <c r="A228" s="2" t="s">
        <v>72</v>
      </c>
      <c r="B228" s="2" t="s">
        <v>6542</v>
      </c>
      <c r="C228" s="2" t="s">
        <v>74</v>
      </c>
      <c r="D228" s="2" t="s">
        <v>74</v>
      </c>
      <c r="E228" s="2" t="s">
        <v>74</v>
      </c>
      <c r="F228" s="2" t="s">
        <v>6543</v>
      </c>
      <c r="G228" s="2" t="s">
        <v>74</v>
      </c>
      <c r="H228" s="2" t="s">
        <v>74</v>
      </c>
      <c r="I228" s="2" t="s">
        <v>6544</v>
      </c>
      <c r="J228" s="2" t="s">
        <v>970</v>
      </c>
      <c r="K228" s="2" t="s">
        <v>74</v>
      </c>
      <c r="L228" s="2" t="s">
        <v>74</v>
      </c>
      <c r="M228" s="2" t="s">
        <v>74</v>
      </c>
      <c r="N228" s="2" t="s">
        <v>74</v>
      </c>
      <c r="O228" s="2" t="s">
        <v>74</v>
      </c>
      <c r="P228" s="2" t="s">
        <v>74</v>
      </c>
      <c r="Q228" s="2" t="s">
        <v>74</v>
      </c>
      <c r="R228" s="2" t="s">
        <v>74</v>
      </c>
      <c r="S228" s="2" t="s">
        <v>74</v>
      </c>
      <c r="T228" s="2" t="s">
        <v>74</v>
      </c>
      <c r="U228" s="2" t="s">
        <v>74</v>
      </c>
      <c r="V228" s="5" t="s">
        <v>6545</v>
      </c>
      <c r="W228" s="2" t="s">
        <v>74</v>
      </c>
      <c r="X228" s="2" t="s">
        <v>74</v>
      </c>
      <c r="Y228" s="2" t="s">
        <v>74</v>
      </c>
      <c r="Z228" s="2" t="s">
        <v>74</v>
      </c>
      <c r="AA228" s="2" t="s">
        <v>6546</v>
      </c>
      <c r="AB228" s="2" t="s">
        <v>6547</v>
      </c>
      <c r="AC228" s="2" t="s">
        <v>74</v>
      </c>
      <c r="AD228" s="2" t="s">
        <v>74</v>
      </c>
      <c r="AE228" s="2" t="s">
        <v>74</v>
      </c>
      <c r="AF228" s="2" t="s">
        <v>74</v>
      </c>
      <c r="AG228" s="2" t="s">
        <v>74</v>
      </c>
      <c r="AH228" s="2" t="s">
        <v>74</v>
      </c>
      <c r="AI228" s="2" t="s">
        <v>74</v>
      </c>
      <c r="AJ228" s="2" t="s">
        <v>74</v>
      </c>
      <c r="AK228" s="2" t="s">
        <v>74</v>
      </c>
      <c r="AL228" s="2" t="s">
        <v>74</v>
      </c>
      <c r="AM228" s="2" t="s">
        <v>74</v>
      </c>
      <c r="AN228" s="2" t="s">
        <v>74</v>
      </c>
      <c r="AO228" s="2" t="s">
        <v>974</v>
      </c>
      <c r="AP228" s="2" t="s">
        <v>975</v>
      </c>
      <c r="AQ228" s="2" t="s">
        <v>74</v>
      </c>
      <c r="AR228" s="2" t="s">
        <v>74</v>
      </c>
      <c r="AS228" s="2" t="s">
        <v>74</v>
      </c>
      <c r="AT228" s="2" t="s">
        <v>633</v>
      </c>
      <c r="AU228" s="2">
        <v>2020</v>
      </c>
      <c r="AV228" s="2">
        <v>161</v>
      </c>
      <c r="AW228" s="2">
        <v>2</v>
      </c>
      <c r="AX228" s="2" t="s">
        <v>74</v>
      </c>
      <c r="AY228" s="2" t="s">
        <v>74</v>
      </c>
      <c r="AZ228" s="2" t="s">
        <v>74</v>
      </c>
      <c r="BA228" s="2" t="s">
        <v>74</v>
      </c>
      <c r="BB228" s="2">
        <v>341</v>
      </c>
      <c r="BC228" s="2">
        <v>350</v>
      </c>
      <c r="BD228" s="2" t="s">
        <v>74</v>
      </c>
      <c r="BE228" s="2" t="s">
        <v>6548</v>
      </c>
      <c r="BF228" s="2" t="str">
        <f>HYPERLINK("http://dx.doi.org/10.1007/s10336-019-01730-2","http://dx.doi.org/10.1007/s10336-019-01730-2")</f>
        <v>http://dx.doi.org/10.1007/s10336-019-01730-2</v>
      </c>
      <c r="BG228" s="2" t="s">
        <v>74</v>
      </c>
      <c r="BH228" s="2" t="s">
        <v>2283</v>
      </c>
      <c r="BI228" s="2" t="s">
        <v>74</v>
      </c>
      <c r="BJ228" s="2" t="s">
        <v>74</v>
      </c>
      <c r="BK228" s="2" t="s">
        <v>74</v>
      </c>
      <c r="BL228" s="2" t="s">
        <v>74</v>
      </c>
      <c r="BM228" s="2" t="s">
        <v>74</v>
      </c>
      <c r="BN228" s="2" t="s">
        <v>74</v>
      </c>
      <c r="BO228" s="2" t="s">
        <v>74</v>
      </c>
      <c r="BP228" s="2" t="s">
        <v>74</v>
      </c>
      <c r="BQ228" s="2" t="s">
        <v>74</v>
      </c>
      <c r="BR228" s="2" t="s">
        <v>74</v>
      </c>
      <c r="BS228" s="2" t="s">
        <v>6549</v>
      </c>
      <c r="BT228" s="2" t="str">
        <f>HYPERLINK("https%3A%2F%2Fwww.webofscience.com%2Fwos%2Fwoscc%2Ffull-record%2FWOS:000493944300001","View Full Record in Web of Science")</f>
        <v>View Full Record in Web of Science</v>
      </c>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row>
    <row r="229" spans="1:314" s="2" customFormat="1" x14ac:dyDescent="0.4">
      <c r="A229" s="2" t="s">
        <v>72</v>
      </c>
      <c r="B229" s="2" t="s">
        <v>7896</v>
      </c>
      <c r="C229" s="2" t="s">
        <v>74</v>
      </c>
      <c r="D229" s="2" t="s">
        <v>74</v>
      </c>
      <c r="E229" s="2" t="s">
        <v>74</v>
      </c>
      <c r="F229" s="2" t="s">
        <v>7897</v>
      </c>
      <c r="G229" s="2" t="s">
        <v>74</v>
      </c>
      <c r="H229" s="2" t="s">
        <v>74</v>
      </c>
      <c r="I229" s="2" t="s">
        <v>7898</v>
      </c>
      <c r="J229" s="2" t="s">
        <v>842</v>
      </c>
      <c r="K229" s="2" t="s">
        <v>74</v>
      </c>
      <c r="L229" s="2" t="s">
        <v>74</v>
      </c>
      <c r="M229" s="2" t="s">
        <v>74</v>
      </c>
      <c r="N229" s="2" t="s">
        <v>74</v>
      </c>
      <c r="O229" s="2" t="s">
        <v>74</v>
      </c>
      <c r="P229" s="2" t="s">
        <v>74</v>
      </c>
      <c r="Q229" s="2" t="s">
        <v>74</v>
      </c>
      <c r="R229" s="2" t="s">
        <v>74</v>
      </c>
      <c r="S229" s="2" t="s">
        <v>74</v>
      </c>
      <c r="T229" s="2" t="s">
        <v>74</v>
      </c>
      <c r="U229" s="2" t="s">
        <v>74</v>
      </c>
      <c r="V229" s="5" t="s">
        <v>7899</v>
      </c>
      <c r="W229" s="2" t="s">
        <v>74</v>
      </c>
      <c r="X229" s="2" t="s">
        <v>74</v>
      </c>
      <c r="Y229" s="2" t="s">
        <v>74</v>
      </c>
      <c r="Z229" s="2" t="s">
        <v>74</v>
      </c>
      <c r="AA229" s="2" t="s">
        <v>7900</v>
      </c>
      <c r="AB229" s="2" t="s">
        <v>74</v>
      </c>
      <c r="AC229" s="2" t="s">
        <v>74</v>
      </c>
      <c r="AD229" s="2" t="s">
        <v>74</v>
      </c>
      <c r="AE229" s="2" t="s">
        <v>74</v>
      </c>
      <c r="AF229" s="2" t="s">
        <v>74</v>
      </c>
      <c r="AG229" s="2" t="s">
        <v>74</v>
      </c>
      <c r="AH229" s="2" t="s">
        <v>74</v>
      </c>
      <c r="AI229" s="2" t="s">
        <v>74</v>
      </c>
      <c r="AJ229" s="2" t="s">
        <v>74</v>
      </c>
      <c r="AK229" s="2" t="s">
        <v>74</v>
      </c>
      <c r="AL229" s="2" t="s">
        <v>74</v>
      </c>
      <c r="AM229" s="2" t="s">
        <v>74</v>
      </c>
      <c r="AN229" s="2" t="s">
        <v>74</v>
      </c>
      <c r="AO229" s="2" t="s">
        <v>846</v>
      </c>
      <c r="AP229" s="2" t="s">
        <v>847</v>
      </c>
      <c r="AQ229" s="2" t="s">
        <v>74</v>
      </c>
      <c r="AR229" s="2" t="s">
        <v>74</v>
      </c>
      <c r="AS229" s="2" t="s">
        <v>74</v>
      </c>
      <c r="AT229" s="2" t="s">
        <v>305</v>
      </c>
      <c r="AU229" s="2">
        <v>2017</v>
      </c>
      <c r="AV229" s="2">
        <v>79</v>
      </c>
      <c r="AW229" s="2">
        <v>12</v>
      </c>
      <c r="AX229" s="2" t="s">
        <v>74</v>
      </c>
      <c r="AY229" s="2" t="s">
        <v>74</v>
      </c>
      <c r="AZ229" s="2" t="s">
        <v>74</v>
      </c>
      <c r="BA229" s="2" t="s">
        <v>74</v>
      </c>
      <c r="BB229" s="2" t="s">
        <v>74</v>
      </c>
      <c r="BC229" s="2" t="s">
        <v>74</v>
      </c>
      <c r="BD229" s="2" t="s">
        <v>7901</v>
      </c>
      <c r="BE229" s="2" t="s">
        <v>7902</v>
      </c>
      <c r="BF229" s="2" t="str">
        <f>HYPERLINK("http://dx.doi.org/10.1002/ajp.22726","http://dx.doi.org/10.1002/ajp.22726")</f>
        <v>http://dx.doi.org/10.1002/ajp.22726</v>
      </c>
      <c r="BG229" s="2" t="s">
        <v>74</v>
      </c>
      <c r="BH229" s="2" t="s">
        <v>74</v>
      </c>
      <c r="BI229" s="2" t="s">
        <v>74</v>
      </c>
      <c r="BJ229" s="2" t="s">
        <v>74</v>
      </c>
      <c r="BK229" s="2" t="s">
        <v>74</v>
      </c>
      <c r="BL229" s="2" t="s">
        <v>74</v>
      </c>
      <c r="BM229" s="2" t="s">
        <v>74</v>
      </c>
      <c r="BN229" s="2">
        <v>29095514</v>
      </c>
      <c r="BO229" s="2" t="s">
        <v>74</v>
      </c>
      <c r="BP229" s="2" t="s">
        <v>74</v>
      </c>
      <c r="BQ229" s="2" t="s">
        <v>74</v>
      </c>
      <c r="BR229" s="2" t="s">
        <v>74</v>
      </c>
      <c r="BS229" s="2" t="s">
        <v>7903</v>
      </c>
      <c r="BT229" s="2" t="str">
        <f>HYPERLINK("https%3A%2F%2Fwww.webofscience.com%2Fwos%2Fwoscc%2Ffull-record%2FWOS:000417173400004","View Full Record in Web of Science")</f>
        <v>View Full Record in Web of Science</v>
      </c>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row>
    <row r="230" spans="1:314" s="2" customFormat="1" x14ac:dyDescent="0.4">
      <c r="A230" s="2" t="s">
        <v>72</v>
      </c>
      <c r="B230" s="2" t="s">
        <v>662</v>
      </c>
      <c r="C230" s="2" t="s">
        <v>74</v>
      </c>
      <c r="D230" s="2" t="s">
        <v>74</v>
      </c>
      <c r="E230" s="2" t="s">
        <v>74</v>
      </c>
      <c r="F230" s="2" t="s">
        <v>662</v>
      </c>
      <c r="G230" s="2" t="s">
        <v>74</v>
      </c>
      <c r="H230" s="2" t="s">
        <v>74</v>
      </c>
      <c r="I230" s="2" t="s">
        <v>663</v>
      </c>
      <c r="J230" s="2" t="s">
        <v>140</v>
      </c>
      <c r="K230" s="2" t="s">
        <v>74</v>
      </c>
      <c r="L230" s="2" t="s">
        <v>74</v>
      </c>
      <c r="M230" s="2" t="s">
        <v>74</v>
      </c>
      <c r="N230" s="2" t="s">
        <v>74</v>
      </c>
      <c r="O230" s="2" t="s">
        <v>74</v>
      </c>
      <c r="P230" s="2" t="s">
        <v>74</v>
      </c>
      <c r="Q230" s="2" t="s">
        <v>74</v>
      </c>
      <c r="R230" s="2" t="s">
        <v>74</v>
      </c>
      <c r="S230" s="2" t="s">
        <v>74</v>
      </c>
      <c r="T230" s="2" t="s">
        <v>74</v>
      </c>
      <c r="U230" s="2" t="s">
        <v>74</v>
      </c>
      <c r="V230" s="5" t="s">
        <v>664</v>
      </c>
      <c r="W230" s="2" t="s">
        <v>74</v>
      </c>
      <c r="X230" s="2" t="s">
        <v>74</v>
      </c>
      <c r="Y230" s="2" t="s">
        <v>74</v>
      </c>
      <c r="Z230" s="2" t="s">
        <v>74</v>
      </c>
      <c r="AA230" s="2" t="s">
        <v>665</v>
      </c>
      <c r="AB230" s="2" t="s">
        <v>666</v>
      </c>
      <c r="AC230" s="2" t="s">
        <v>74</v>
      </c>
      <c r="AD230" s="2" t="s">
        <v>74</v>
      </c>
      <c r="AE230" s="2" t="s">
        <v>74</v>
      </c>
      <c r="AF230" s="2" t="s">
        <v>74</v>
      </c>
      <c r="AG230" s="2" t="s">
        <v>74</v>
      </c>
      <c r="AH230" s="2" t="s">
        <v>74</v>
      </c>
      <c r="AI230" s="2" t="s">
        <v>74</v>
      </c>
      <c r="AJ230" s="2" t="s">
        <v>74</v>
      </c>
      <c r="AK230" s="2" t="s">
        <v>74</v>
      </c>
      <c r="AL230" s="2" t="s">
        <v>74</v>
      </c>
      <c r="AM230" s="2" t="s">
        <v>74</v>
      </c>
      <c r="AN230" s="2" t="s">
        <v>74</v>
      </c>
      <c r="AO230" s="2" t="s">
        <v>143</v>
      </c>
      <c r="AP230" s="2" t="s">
        <v>144</v>
      </c>
      <c r="AQ230" s="2" t="s">
        <v>74</v>
      </c>
      <c r="AR230" s="2" t="s">
        <v>74</v>
      </c>
      <c r="AS230" s="2" t="s">
        <v>74</v>
      </c>
      <c r="AT230" s="2" t="s">
        <v>74</v>
      </c>
      <c r="AU230" s="2">
        <v>1982</v>
      </c>
      <c r="AV230" s="2">
        <v>30</v>
      </c>
      <c r="AW230" s="2" t="s">
        <v>134</v>
      </c>
      <c r="AX230" s="2" t="s">
        <v>74</v>
      </c>
      <c r="AY230" s="2" t="s">
        <v>74</v>
      </c>
      <c r="AZ230" s="2" t="s">
        <v>74</v>
      </c>
      <c r="BA230" s="2" t="s">
        <v>74</v>
      </c>
      <c r="BB230" s="2">
        <v>444</v>
      </c>
      <c r="BC230" s="2">
        <v>455</v>
      </c>
      <c r="BD230" s="2" t="s">
        <v>74</v>
      </c>
      <c r="BE230" s="2" t="s">
        <v>667</v>
      </c>
      <c r="BF230" s="2" t="str">
        <f>HYPERLINK("http://dx.doi.org/10.1016/S0003-3472(82)80055-9","http://dx.doi.org/10.1016/S0003-3472(82)80055-9")</f>
        <v>http://dx.doi.org/10.1016/S0003-3472(82)80055-9</v>
      </c>
      <c r="BG230" s="2" t="s">
        <v>74</v>
      </c>
      <c r="BH230" s="2" t="s">
        <v>74</v>
      </c>
      <c r="BI230" s="2" t="s">
        <v>74</v>
      </c>
      <c r="BJ230" s="2" t="s">
        <v>74</v>
      </c>
      <c r="BK230" s="2" t="s">
        <v>74</v>
      </c>
      <c r="BL230" s="2" t="s">
        <v>74</v>
      </c>
      <c r="BM230" s="2" t="s">
        <v>74</v>
      </c>
      <c r="BN230" s="2" t="s">
        <v>74</v>
      </c>
      <c r="BO230" s="2" t="s">
        <v>74</v>
      </c>
      <c r="BP230" s="2" t="s">
        <v>74</v>
      </c>
      <c r="BQ230" s="2" t="s">
        <v>74</v>
      </c>
      <c r="BR230" s="2" t="s">
        <v>74</v>
      </c>
      <c r="BS230" s="2" t="s">
        <v>668</v>
      </c>
      <c r="BT230" s="2" t="str">
        <f>HYPERLINK("https%3A%2F%2Fwww.webofscience.com%2Fwos%2Fwoscc%2Ffull-record%2FWOS:A1982NQ92800014","View Full Record in Web of Science")</f>
        <v>View Full Record in Web of Science</v>
      </c>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row>
    <row r="231" spans="1:314" s="1" customFormat="1" x14ac:dyDescent="0.4">
      <c r="A231" s="2" t="s">
        <v>72</v>
      </c>
      <c r="B231" s="2" t="s">
        <v>6112</v>
      </c>
      <c r="C231" s="2" t="s">
        <v>74</v>
      </c>
      <c r="D231" s="2" t="s">
        <v>74</v>
      </c>
      <c r="E231" s="2" t="s">
        <v>74</v>
      </c>
      <c r="F231" s="2" t="s">
        <v>6112</v>
      </c>
      <c r="G231" s="2" t="s">
        <v>74</v>
      </c>
      <c r="H231" s="2" t="s">
        <v>74</v>
      </c>
      <c r="I231" s="2" t="s">
        <v>6113</v>
      </c>
      <c r="J231" s="2" t="s">
        <v>4655</v>
      </c>
      <c r="K231" s="2" t="s">
        <v>74</v>
      </c>
      <c r="L231" s="2" t="s">
        <v>74</v>
      </c>
      <c r="M231" s="2" t="s">
        <v>74</v>
      </c>
      <c r="N231" s="2" t="s">
        <v>74</v>
      </c>
      <c r="O231" s="2" t="s">
        <v>74</v>
      </c>
      <c r="P231" s="2" t="s">
        <v>74</v>
      </c>
      <c r="Q231" s="2" t="s">
        <v>74</v>
      </c>
      <c r="R231" s="2" t="s">
        <v>74</v>
      </c>
      <c r="S231" s="2" t="s">
        <v>74</v>
      </c>
      <c r="T231" s="2" t="s">
        <v>74</v>
      </c>
      <c r="U231" s="2" t="s">
        <v>74</v>
      </c>
      <c r="V231" s="5" t="s">
        <v>6114</v>
      </c>
      <c r="W231" s="2" t="s">
        <v>74</v>
      </c>
      <c r="X231" s="2" t="s">
        <v>74</v>
      </c>
      <c r="Y231" s="2" t="s">
        <v>74</v>
      </c>
      <c r="Z231" s="2" t="s">
        <v>74</v>
      </c>
      <c r="AA231" s="2" t="s">
        <v>74</v>
      </c>
      <c r="AB231" s="2" t="s">
        <v>74</v>
      </c>
      <c r="AC231" s="2" t="s">
        <v>74</v>
      </c>
      <c r="AD231" s="2" t="s">
        <v>74</v>
      </c>
      <c r="AE231" s="2" t="s">
        <v>74</v>
      </c>
      <c r="AF231" s="2" t="s">
        <v>74</v>
      </c>
      <c r="AG231" s="2" t="s">
        <v>74</v>
      </c>
      <c r="AH231" s="2" t="s">
        <v>74</v>
      </c>
      <c r="AI231" s="2" t="s">
        <v>74</v>
      </c>
      <c r="AJ231" s="2" t="s">
        <v>74</v>
      </c>
      <c r="AK231" s="2" t="s">
        <v>74</v>
      </c>
      <c r="AL231" s="2" t="s">
        <v>74</v>
      </c>
      <c r="AM231" s="2" t="s">
        <v>74</v>
      </c>
      <c r="AN231" s="2" t="s">
        <v>74</v>
      </c>
      <c r="AO231" s="2" t="s">
        <v>4657</v>
      </c>
      <c r="AP231" s="2" t="s">
        <v>74</v>
      </c>
      <c r="AQ231" s="2" t="s">
        <v>74</v>
      </c>
      <c r="AR231" s="2" t="s">
        <v>74</v>
      </c>
      <c r="AS231" s="2" t="s">
        <v>74</v>
      </c>
      <c r="AT231" s="2" t="s">
        <v>352</v>
      </c>
      <c r="AU231" s="2">
        <v>2000</v>
      </c>
      <c r="AV231" s="2">
        <v>112</v>
      </c>
      <c r="AW231" s="2">
        <v>3</v>
      </c>
      <c r="AX231" s="2" t="s">
        <v>74</v>
      </c>
      <c r="AY231" s="2" t="s">
        <v>74</v>
      </c>
      <c r="AZ231" s="2" t="s">
        <v>74</v>
      </c>
      <c r="BA231" s="2" t="s">
        <v>74</v>
      </c>
      <c r="BB231" s="2">
        <v>313</v>
      </c>
      <c r="BC231" s="2">
        <v>317</v>
      </c>
      <c r="BD231" s="2" t="s">
        <v>74</v>
      </c>
      <c r="BE231" s="2" t="s">
        <v>6115</v>
      </c>
      <c r="BF231" s="2" t="str">
        <f>HYPERLINK("http://dx.doi.org/10.1676/0043-5643(2000)112[0313:NROFAS]2.0.CO;2","http://dx.doi.org/10.1676/0043-5643(2000)112[0313:NROFAS]2.0.CO;2")</f>
        <v>http://dx.doi.org/10.1676/0043-5643(2000)112[0313:NROFAS]2.0.CO;2</v>
      </c>
      <c r="BG231" s="2" t="s">
        <v>74</v>
      </c>
      <c r="BH231" s="2" t="s">
        <v>74</v>
      </c>
      <c r="BI231" s="2" t="s">
        <v>74</v>
      </c>
      <c r="BJ231" s="2" t="s">
        <v>74</v>
      </c>
      <c r="BK231" s="2" t="s">
        <v>74</v>
      </c>
      <c r="BL231" s="2" t="s">
        <v>74</v>
      </c>
      <c r="BM231" s="2" t="s">
        <v>74</v>
      </c>
      <c r="BN231" s="2" t="s">
        <v>74</v>
      </c>
      <c r="BO231" s="2" t="s">
        <v>74</v>
      </c>
      <c r="BP231" s="2" t="s">
        <v>74</v>
      </c>
      <c r="BQ231" s="2" t="s">
        <v>74</v>
      </c>
      <c r="BR231" s="2" t="s">
        <v>74</v>
      </c>
      <c r="BS231" s="2" t="s">
        <v>6116</v>
      </c>
      <c r="BT231" s="2" t="str">
        <f>HYPERLINK("https%3A%2F%2Fwww.webofscience.com%2Fwos%2Fwoscc%2Ffull-record%2FWOS:000089097200002","View Full Record in Web of Science")</f>
        <v>View Full Record in Web of Science</v>
      </c>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row>
    <row r="232" spans="1:314" s="1" customFormat="1" x14ac:dyDescent="0.4">
      <c r="A232" s="2" t="s">
        <v>72</v>
      </c>
      <c r="B232" s="2" t="s">
        <v>1372</v>
      </c>
      <c r="C232" s="2" t="s">
        <v>74</v>
      </c>
      <c r="D232" s="2" t="s">
        <v>74</v>
      </c>
      <c r="E232" s="2" t="s">
        <v>74</v>
      </c>
      <c r="F232" s="2" t="s">
        <v>1373</v>
      </c>
      <c r="G232" s="2" t="s">
        <v>74</v>
      </c>
      <c r="H232" s="2" t="s">
        <v>74</v>
      </c>
      <c r="I232" s="2" t="s">
        <v>1374</v>
      </c>
      <c r="J232" s="2" t="s">
        <v>1375</v>
      </c>
      <c r="K232" s="2" t="s">
        <v>74</v>
      </c>
      <c r="L232" s="2" t="s">
        <v>74</v>
      </c>
      <c r="M232" s="2" t="s">
        <v>74</v>
      </c>
      <c r="N232" s="2" t="s">
        <v>74</v>
      </c>
      <c r="O232" s="2" t="s">
        <v>74</v>
      </c>
      <c r="P232" s="2" t="s">
        <v>74</v>
      </c>
      <c r="Q232" s="2" t="s">
        <v>74</v>
      </c>
      <c r="R232" s="2" t="s">
        <v>74</v>
      </c>
      <c r="S232" s="2" t="s">
        <v>74</v>
      </c>
      <c r="T232" s="2" t="s">
        <v>74</v>
      </c>
      <c r="U232" s="2" t="s">
        <v>74</v>
      </c>
      <c r="V232" s="5" t="s">
        <v>1376</v>
      </c>
      <c r="W232" s="2" t="s">
        <v>74</v>
      </c>
      <c r="X232" s="2" t="s">
        <v>74</v>
      </c>
      <c r="Y232" s="2" t="s">
        <v>74</v>
      </c>
      <c r="Z232" s="2" t="s">
        <v>74</v>
      </c>
      <c r="AA232" s="2" t="s">
        <v>74</v>
      </c>
      <c r="AB232" s="2" t="s">
        <v>1377</v>
      </c>
      <c r="AC232" s="2" t="s">
        <v>74</v>
      </c>
      <c r="AD232" s="2" t="s">
        <v>74</v>
      </c>
      <c r="AE232" s="2" t="s">
        <v>74</v>
      </c>
      <c r="AF232" s="2" t="s">
        <v>74</v>
      </c>
      <c r="AG232" s="2" t="s">
        <v>74</v>
      </c>
      <c r="AH232" s="2" t="s">
        <v>74</v>
      </c>
      <c r="AI232" s="2" t="s">
        <v>74</v>
      </c>
      <c r="AJ232" s="2" t="s">
        <v>74</v>
      </c>
      <c r="AK232" s="2" t="s">
        <v>74</v>
      </c>
      <c r="AL232" s="2" t="s">
        <v>74</v>
      </c>
      <c r="AM232" s="2" t="s">
        <v>74</v>
      </c>
      <c r="AN232" s="2" t="s">
        <v>74</v>
      </c>
      <c r="AO232" s="2" t="s">
        <v>1378</v>
      </c>
      <c r="AP232" s="2" t="s">
        <v>74</v>
      </c>
      <c r="AQ232" s="2" t="s">
        <v>74</v>
      </c>
      <c r="AR232" s="2" t="s">
        <v>74</v>
      </c>
      <c r="AS232" s="2" t="s">
        <v>74</v>
      </c>
      <c r="AT232" s="2" t="s">
        <v>74</v>
      </c>
      <c r="AU232" s="2">
        <v>2023</v>
      </c>
      <c r="AV232" s="2">
        <v>14</v>
      </c>
      <c r="AW232" s="2" t="s">
        <v>74</v>
      </c>
      <c r="AX232" s="2" t="s">
        <v>74</v>
      </c>
      <c r="AY232" s="2" t="s">
        <v>74</v>
      </c>
      <c r="AZ232" s="2" t="s">
        <v>74</v>
      </c>
      <c r="BA232" s="2" t="s">
        <v>74</v>
      </c>
      <c r="BB232" s="2" t="s">
        <v>74</v>
      </c>
      <c r="BC232" s="2" t="s">
        <v>74</v>
      </c>
      <c r="BD232" s="2">
        <v>100077</v>
      </c>
      <c r="BE232" s="2" t="s">
        <v>1379</v>
      </c>
      <c r="BF232" s="2" t="str">
        <f>HYPERLINK("http://dx.doi.org/10.1016/j.avrs.2023.100077","http://dx.doi.org/10.1016/j.avrs.2023.100077")</f>
        <v>http://dx.doi.org/10.1016/j.avrs.2023.100077</v>
      </c>
      <c r="BG232" s="2" t="s">
        <v>74</v>
      </c>
      <c r="BH232" s="2" t="s">
        <v>74</v>
      </c>
      <c r="BI232" s="2" t="s">
        <v>74</v>
      </c>
      <c r="BJ232" s="2" t="s">
        <v>74</v>
      </c>
      <c r="BK232" s="2" t="s">
        <v>74</v>
      </c>
      <c r="BL232" s="2" t="s">
        <v>74</v>
      </c>
      <c r="BM232" s="2" t="s">
        <v>74</v>
      </c>
      <c r="BN232" s="2" t="s">
        <v>74</v>
      </c>
      <c r="BO232" s="2" t="s">
        <v>74</v>
      </c>
      <c r="BP232" s="2" t="s">
        <v>74</v>
      </c>
      <c r="BQ232" s="2" t="s">
        <v>74</v>
      </c>
      <c r="BR232" s="2" t="s">
        <v>74</v>
      </c>
      <c r="BS232" s="2" t="s">
        <v>1380</v>
      </c>
      <c r="BT232" s="2" t="str">
        <f>HYPERLINK("https%3A%2F%2Fwww.webofscience.com%2Fwos%2Fwoscc%2Ffull-record%2FWOS:000933848900001","View Full Record in Web of Science")</f>
        <v>View Full Record in Web of Science</v>
      </c>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row>
    <row r="233" spans="1:314" s="2" customFormat="1" x14ac:dyDescent="0.4">
      <c r="A233" s="2" t="s">
        <v>72</v>
      </c>
      <c r="B233" s="2" t="s">
        <v>2067</v>
      </c>
      <c r="C233" s="2" t="s">
        <v>74</v>
      </c>
      <c r="D233" s="2" t="s">
        <v>74</v>
      </c>
      <c r="E233" s="2" t="s">
        <v>74</v>
      </c>
      <c r="F233" s="2" t="s">
        <v>2068</v>
      </c>
      <c r="G233" s="2" t="s">
        <v>74</v>
      </c>
      <c r="H233" s="2" t="s">
        <v>74</v>
      </c>
      <c r="I233" s="2" t="s">
        <v>2069</v>
      </c>
      <c r="J233" s="2" t="s">
        <v>2070</v>
      </c>
      <c r="K233" s="2" t="s">
        <v>74</v>
      </c>
      <c r="L233" s="2" t="s">
        <v>74</v>
      </c>
      <c r="M233" s="2" t="s">
        <v>74</v>
      </c>
      <c r="N233" s="2" t="s">
        <v>74</v>
      </c>
      <c r="O233" s="2" t="s">
        <v>74</v>
      </c>
      <c r="P233" s="2" t="s">
        <v>74</v>
      </c>
      <c r="Q233" s="2" t="s">
        <v>74</v>
      </c>
      <c r="R233" s="2" t="s">
        <v>74</v>
      </c>
      <c r="S233" s="2" t="s">
        <v>74</v>
      </c>
      <c r="T233" s="2" t="s">
        <v>74</v>
      </c>
      <c r="U233" s="2" t="s">
        <v>74</v>
      </c>
      <c r="V233" s="5" t="s">
        <v>2071</v>
      </c>
      <c r="W233" s="2" t="s">
        <v>74</v>
      </c>
      <c r="X233" s="2" t="s">
        <v>74</v>
      </c>
      <c r="Y233" s="2" t="s">
        <v>74</v>
      </c>
      <c r="Z233" s="2" t="s">
        <v>74</v>
      </c>
      <c r="AA233" s="2" t="s">
        <v>74</v>
      </c>
      <c r="AB233" s="2" t="s">
        <v>274</v>
      </c>
      <c r="AC233" s="2" t="s">
        <v>74</v>
      </c>
      <c r="AD233" s="2" t="s">
        <v>74</v>
      </c>
      <c r="AE233" s="2" t="s">
        <v>74</v>
      </c>
      <c r="AF233" s="2" t="s">
        <v>74</v>
      </c>
      <c r="AG233" s="2" t="s">
        <v>74</v>
      </c>
      <c r="AH233" s="2" t="s">
        <v>74</v>
      </c>
      <c r="AI233" s="2" t="s">
        <v>74</v>
      </c>
      <c r="AJ233" s="2" t="s">
        <v>74</v>
      </c>
      <c r="AK233" s="2" t="s">
        <v>74</v>
      </c>
      <c r="AL233" s="2" t="s">
        <v>74</v>
      </c>
      <c r="AM233" s="2" t="s">
        <v>74</v>
      </c>
      <c r="AN233" s="2" t="s">
        <v>74</v>
      </c>
      <c r="AO233" s="2" t="s">
        <v>2072</v>
      </c>
      <c r="AP233" s="2" t="s">
        <v>2073</v>
      </c>
      <c r="AQ233" s="2" t="s">
        <v>74</v>
      </c>
      <c r="AR233" s="2" t="s">
        <v>74</v>
      </c>
      <c r="AS233" s="2" t="s">
        <v>74</v>
      </c>
      <c r="AT233" s="2" t="s">
        <v>145</v>
      </c>
      <c r="AU233" s="2">
        <v>2007</v>
      </c>
      <c r="AV233" s="2">
        <v>177</v>
      </c>
      <c r="AW233" s="2">
        <v>6</v>
      </c>
      <c r="AX233" s="2" t="s">
        <v>74</v>
      </c>
      <c r="AY233" s="2" t="s">
        <v>74</v>
      </c>
      <c r="AZ233" s="2" t="s">
        <v>74</v>
      </c>
      <c r="BA233" s="2" t="s">
        <v>74</v>
      </c>
      <c r="BB233" s="2">
        <v>641</v>
      </c>
      <c r="BC233" s="2">
        <v>654</v>
      </c>
      <c r="BD233" s="2" t="s">
        <v>74</v>
      </c>
      <c r="BE233" s="2" t="s">
        <v>2074</v>
      </c>
      <c r="BF233" s="2" t="str">
        <f>HYPERLINK("http://dx.doi.org/10.1007/s00360-007-0162-7","http://dx.doi.org/10.1007/s00360-007-0162-7")</f>
        <v>http://dx.doi.org/10.1007/s00360-007-0162-7</v>
      </c>
      <c r="BG233" s="2" t="s">
        <v>74</v>
      </c>
      <c r="BH233" s="2" t="s">
        <v>74</v>
      </c>
      <c r="BI233" s="2" t="s">
        <v>74</v>
      </c>
      <c r="BJ233" s="2" t="s">
        <v>74</v>
      </c>
      <c r="BK233" s="2" t="s">
        <v>74</v>
      </c>
      <c r="BL233" s="2" t="s">
        <v>74</v>
      </c>
      <c r="BM233" s="2" t="s">
        <v>74</v>
      </c>
      <c r="BN233" s="2">
        <v>17520263</v>
      </c>
      <c r="BO233" s="2" t="s">
        <v>74</v>
      </c>
      <c r="BP233" s="2" t="s">
        <v>74</v>
      </c>
      <c r="BQ233" s="2" t="s">
        <v>74</v>
      </c>
      <c r="BR233" s="2" t="s">
        <v>74</v>
      </c>
      <c r="BS233" s="2" t="s">
        <v>2075</v>
      </c>
      <c r="BT233" s="2" t="str">
        <f>HYPERLINK("https%3A%2F%2Fwww.webofscience.com%2Fwos%2Fwoscc%2Ffull-record%2FWOS:000248301500005","View Full Record in Web of Science")</f>
        <v>View Full Record in Web of Science</v>
      </c>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row>
    <row r="234" spans="1:314" s="2" customFormat="1" x14ac:dyDescent="0.4">
      <c r="A234" s="2" t="s">
        <v>72</v>
      </c>
      <c r="B234" s="2" t="s">
        <v>6668</v>
      </c>
      <c r="C234" s="2" t="s">
        <v>74</v>
      </c>
      <c r="D234" s="2" t="s">
        <v>74</v>
      </c>
      <c r="E234" s="2" t="s">
        <v>74</v>
      </c>
      <c r="F234" s="2" t="s">
        <v>6669</v>
      </c>
      <c r="G234" s="2" t="s">
        <v>74</v>
      </c>
      <c r="H234" s="2" t="s">
        <v>74</v>
      </c>
      <c r="I234" s="2" t="s">
        <v>6670</v>
      </c>
      <c r="J234" s="2" t="s">
        <v>129</v>
      </c>
      <c r="K234" s="2" t="s">
        <v>74</v>
      </c>
      <c r="L234" s="2" t="s">
        <v>74</v>
      </c>
      <c r="M234" s="2" t="s">
        <v>74</v>
      </c>
      <c r="N234" s="2" t="s">
        <v>74</v>
      </c>
      <c r="O234" s="2" t="s">
        <v>74</v>
      </c>
      <c r="P234" s="2" t="s">
        <v>74</v>
      </c>
      <c r="Q234" s="2" t="s">
        <v>74</v>
      </c>
      <c r="R234" s="2" t="s">
        <v>74</v>
      </c>
      <c r="S234" s="2" t="s">
        <v>74</v>
      </c>
      <c r="T234" s="2" t="s">
        <v>74</v>
      </c>
      <c r="U234" s="2" t="s">
        <v>74</v>
      </c>
      <c r="V234" s="5" t="s">
        <v>6671</v>
      </c>
      <c r="W234" s="2" t="s">
        <v>74</v>
      </c>
      <c r="X234" s="2" t="s">
        <v>74</v>
      </c>
      <c r="Y234" s="2" t="s">
        <v>74</v>
      </c>
      <c r="Z234" s="2" t="s">
        <v>74</v>
      </c>
      <c r="AA234" s="2" t="s">
        <v>6672</v>
      </c>
      <c r="AB234" s="2" t="s">
        <v>6673</v>
      </c>
      <c r="AC234" s="2" t="s">
        <v>74</v>
      </c>
      <c r="AD234" s="2" t="s">
        <v>74</v>
      </c>
      <c r="AE234" s="2" t="s">
        <v>74</v>
      </c>
      <c r="AF234" s="2" t="s">
        <v>74</v>
      </c>
      <c r="AG234" s="2" t="s">
        <v>74</v>
      </c>
      <c r="AH234" s="2" t="s">
        <v>74</v>
      </c>
      <c r="AI234" s="2" t="s">
        <v>74</v>
      </c>
      <c r="AJ234" s="2" t="s">
        <v>74</v>
      </c>
      <c r="AK234" s="2" t="s">
        <v>74</v>
      </c>
      <c r="AL234" s="2" t="s">
        <v>74</v>
      </c>
      <c r="AM234" s="2" t="s">
        <v>74</v>
      </c>
      <c r="AN234" s="2" t="s">
        <v>74</v>
      </c>
      <c r="AO234" s="2" t="s">
        <v>132</v>
      </c>
      <c r="AP234" s="2" t="s">
        <v>133</v>
      </c>
      <c r="AQ234" s="2" t="s">
        <v>74</v>
      </c>
      <c r="AR234" s="2" t="s">
        <v>74</v>
      </c>
      <c r="AS234" s="2" t="s">
        <v>74</v>
      </c>
      <c r="AT234" s="2" t="s">
        <v>204</v>
      </c>
      <c r="AU234" s="2">
        <v>2013</v>
      </c>
      <c r="AV234" s="2">
        <v>67</v>
      </c>
      <c r="AW234" s="2">
        <v>7</v>
      </c>
      <c r="AX234" s="2" t="s">
        <v>74</v>
      </c>
      <c r="AY234" s="2" t="s">
        <v>74</v>
      </c>
      <c r="AZ234" s="2" t="s">
        <v>74</v>
      </c>
      <c r="BA234" s="2" t="s">
        <v>74</v>
      </c>
      <c r="BB234" s="2">
        <v>1163</v>
      </c>
      <c r="BC234" s="2">
        <v>1167</v>
      </c>
      <c r="BD234" s="2" t="s">
        <v>74</v>
      </c>
      <c r="BE234" s="2" t="s">
        <v>6674</v>
      </c>
      <c r="BF234" s="2" t="str">
        <f>HYPERLINK("http://dx.doi.org/10.1007/s00265-013-1541-6","http://dx.doi.org/10.1007/s00265-013-1541-6")</f>
        <v>http://dx.doi.org/10.1007/s00265-013-1541-6</v>
      </c>
      <c r="BG234" s="2" t="s">
        <v>74</v>
      </c>
      <c r="BH234" s="2" t="s">
        <v>74</v>
      </c>
      <c r="BI234" s="2" t="s">
        <v>74</v>
      </c>
      <c r="BJ234" s="2" t="s">
        <v>74</v>
      </c>
      <c r="BK234" s="2" t="s">
        <v>74</v>
      </c>
      <c r="BL234" s="2" t="s">
        <v>74</v>
      </c>
      <c r="BM234" s="2" t="s">
        <v>74</v>
      </c>
      <c r="BN234" s="2" t="s">
        <v>74</v>
      </c>
      <c r="BO234" s="2" t="s">
        <v>74</v>
      </c>
      <c r="BP234" s="2" t="s">
        <v>74</v>
      </c>
      <c r="BQ234" s="2" t="s">
        <v>74</v>
      </c>
      <c r="BR234" s="2" t="s">
        <v>74</v>
      </c>
      <c r="BS234" s="2" t="s">
        <v>6675</v>
      </c>
      <c r="BT234" s="2" t="str">
        <f>HYPERLINK("https%3A%2F%2Fwww.webofscience.com%2Fwos%2Fwoscc%2Ffull-record%2FWOS:000320024200013","View Full Record in Web of Science")</f>
        <v>View Full Record in Web of Science</v>
      </c>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row>
    <row r="235" spans="1:314" s="2" customFormat="1" x14ac:dyDescent="0.4">
      <c r="A235" s="2" t="s">
        <v>72</v>
      </c>
      <c r="B235" s="2" t="s">
        <v>4848</v>
      </c>
      <c r="C235" s="2" t="s">
        <v>74</v>
      </c>
      <c r="D235" s="2" t="s">
        <v>74</v>
      </c>
      <c r="E235" s="2" t="s">
        <v>74</v>
      </c>
      <c r="F235" s="2" t="s">
        <v>4848</v>
      </c>
      <c r="G235" s="2" t="s">
        <v>74</v>
      </c>
      <c r="H235" s="2" t="s">
        <v>74</v>
      </c>
      <c r="I235" s="2" t="s">
        <v>4849</v>
      </c>
      <c r="J235" s="2" t="s">
        <v>241</v>
      </c>
      <c r="K235" s="2" t="s">
        <v>74</v>
      </c>
      <c r="L235" s="2" t="s">
        <v>74</v>
      </c>
      <c r="M235" s="2" t="s">
        <v>74</v>
      </c>
      <c r="N235" s="2" t="s">
        <v>74</v>
      </c>
      <c r="O235" s="2" t="s">
        <v>74</v>
      </c>
      <c r="P235" s="2" t="s">
        <v>74</v>
      </c>
      <c r="Q235" s="2" t="s">
        <v>74</v>
      </c>
      <c r="R235" s="2" t="s">
        <v>74</v>
      </c>
      <c r="S235" s="2" t="s">
        <v>74</v>
      </c>
      <c r="T235" s="2" t="s">
        <v>74</v>
      </c>
      <c r="U235" s="2" t="s">
        <v>74</v>
      </c>
      <c r="V235" s="5" t="s">
        <v>4850</v>
      </c>
      <c r="W235" s="2" t="s">
        <v>74</v>
      </c>
      <c r="X235" s="2" t="s">
        <v>74</v>
      </c>
      <c r="Y235" s="2" t="s">
        <v>74</v>
      </c>
      <c r="Z235" s="2" t="s">
        <v>74</v>
      </c>
      <c r="AA235" s="2" t="s">
        <v>74</v>
      </c>
      <c r="AB235" s="2" t="s">
        <v>4851</v>
      </c>
      <c r="AC235" s="2" t="s">
        <v>74</v>
      </c>
      <c r="AD235" s="2" t="s">
        <v>74</v>
      </c>
      <c r="AE235" s="2" t="s">
        <v>74</v>
      </c>
      <c r="AF235" s="2" t="s">
        <v>74</v>
      </c>
      <c r="AG235" s="2" t="s">
        <v>74</v>
      </c>
      <c r="AH235" s="2" t="s">
        <v>74</v>
      </c>
      <c r="AI235" s="2" t="s">
        <v>74</v>
      </c>
      <c r="AJ235" s="2" t="s">
        <v>74</v>
      </c>
      <c r="AK235" s="2" t="s">
        <v>74</v>
      </c>
      <c r="AL235" s="2" t="s">
        <v>74</v>
      </c>
      <c r="AM235" s="2" t="s">
        <v>74</v>
      </c>
      <c r="AN235" s="2" t="s">
        <v>74</v>
      </c>
      <c r="AO235" s="2" t="s">
        <v>245</v>
      </c>
      <c r="AP235" s="2" t="s">
        <v>246</v>
      </c>
      <c r="AQ235" s="2" t="s">
        <v>74</v>
      </c>
      <c r="AR235" s="2" t="s">
        <v>74</v>
      </c>
      <c r="AS235" s="2" t="s">
        <v>74</v>
      </c>
      <c r="AT235" s="2" t="s">
        <v>145</v>
      </c>
      <c r="AU235" s="2">
        <v>2002</v>
      </c>
      <c r="AV235" s="2">
        <v>132</v>
      </c>
      <c r="AW235" s="2">
        <v>3</v>
      </c>
      <c r="AX235" s="2" t="s">
        <v>74</v>
      </c>
      <c r="AY235" s="2" t="s">
        <v>74</v>
      </c>
      <c r="AZ235" s="2" t="s">
        <v>74</v>
      </c>
      <c r="BA235" s="2" t="s">
        <v>74</v>
      </c>
      <c r="BB235" s="2">
        <v>468</v>
      </c>
      <c r="BC235" s="2">
        <v>477</v>
      </c>
      <c r="BD235" s="2" t="s">
        <v>74</v>
      </c>
      <c r="BE235" s="2" t="s">
        <v>4852</v>
      </c>
      <c r="BF235" s="2" t="str">
        <f>HYPERLINK("http://dx.doi.org/10.1007/s00442-002-0975-8","http://dx.doi.org/10.1007/s00442-002-0975-8")</f>
        <v>http://dx.doi.org/10.1007/s00442-002-0975-8</v>
      </c>
      <c r="BG235" s="2" t="s">
        <v>74</v>
      </c>
      <c r="BH235" s="2" t="s">
        <v>74</v>
      </c>
      <c r="BI235" s="2" t="s">
        <v>74</v>
      </c>
      <c r="BJ235" s="2" t="s">
        <v>74</v>
      </c>
      <c r="BK235" s="2" t="s">
        <v>74</v>
      </c>
      <c r="BL235" s="2" t="s">
        <v>74</v>
      </c>
      <c r="BM235" s="2" t="s">
        <v>74</v>
      </c>
      <c r="BN235" s="2">
        <v>28547426</v>
      </c>
      <c r="BO235" s="2" t="s">
        <v>74</v>
      </c>
      <c r="BP235" s="2" t="s">
        <v>74</v>
      </c>
      <c r="BQ235" s="2" t="s">
        <v>74</v>
      </c>
      <c r="BR235" s="2" t="s">
        <v>74</v>
      </c>
      <c r="BS235" s="2" t="s">
        <v>4853</v>
      </c>
      <c r="BT235" s="2" t="str">
        <f>HYPERLINK("https%3A%2F%2Fwww.webofscience.com%2Fwos%2Fwoscc%2Ffull-record%2FWOS:000177752500018","View Full Record in Web of Science")</f>
        <v>View Full Record in Web of Science</v>
      </c>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row>
    <row r="236" spans="1:314" s="7" customFormat="1" x14ac:dyDescent="0.4">
      <c r="A236" s="2" t="s">
        <v>72</v>
      </c>
      <c r="B236" s="2" t="s">
        <v>4499</v>
      </c>
      <c r="C236" s="2" t="s">
        <v>74</v>
      </c>
      <c r="D236" s="2" t="s">
        <v>74</v>
      </c>
      <c r="E236" s="2" t="s">
        <v>74</v>
      </c>
      <c r="F236" s="2" t="s">
        <v>4500</v>
      </c>
      <c r="G236" s="2" t="s">
        <v>74</v>
      </c>
      <c r="H236" s="2" t="s">
        <v>74</v>
      </c>
      <c r="I236" s="2" t="s">
        <v>4501</v>
      </c>
      <c r="J236" s="2" t="s">
        <v>281</v>
      </c>
      <c r="K236" s="2" t="s">
        <v>74</v>
      </c>
      <c r="L236" s="2" t="s">
        <v>74</v>
      </c>
      <c r="M236" s="2" t="s">
        <v>74</v>
      </c>
      <c r="N236" s="2" t="s">
        <v>74</v>
      </c>
      <c r="O236" s="2" t="s">
        <v>74</v>
      </c>
      <c r="P236" s="2" t="s">
        <v>74</v>
      </c>
      <c r="Q236" s="2" t="s">
        <v>74</v>
      </c>
      <c r="R236" s="2" t="s">
        <v>74</v>
      </c>
      <c r="S236" s="2" t="s">
        <v>74</v>
      </c>
      <c r="T236" s="2" t="s">
        <v>74</v>
      </c>
      <c r="U236" s="2" t="s">
        <v>74</v>
      </c>
      <c r="V236" s="5" t="s">
        <v>4502</v>
      </c>
      <c r="W236" s="2" t="s">
        <v>74</v>
      </c>
      <c r="X236" s="2" t="s">
        <v>74</v>
      </c>
      <c r="Y236" s="2" t="s">
        <v>74</v>
      </c>
      <c r="Z236" s="2" t="s">
        <v>74</v>
      </c>
      <c r="AA236" s="2" t="s">
        <v>4503</v>
      </c>
      <c r="AB236" s="2" t="s">
        <v>4504</v>
      </c>
      <c r="AC236" s="2" t="s">
        <v>74</v>
      </c>
      <c r="AD236" s="2" t="s">
        <v>74</v>
      </c>
      <c r="AE236" s="2" t="s">
        <v>74</v>
      </c>
      <c r="AF236" s="2" t="s">
        <v>74</v>
      </c>
      <c r="AG236" s="2" t="s">
        <v>74</v>
      </c>
      <c r="AH236" s="2" t="s">
        <v>74</v>
      </c>
      <c r="AI236" s="2" t="s">
        <v>74</v>
      </c>
      <c r="AJ236" s="2" t="s">
        <v>74</v>
      </c>
      <c r="AK236" s="2" t="s">
        <v>74</v>
      </c>
      <c r="AL236" s="2" t="s">
        <v>74</v>
      </c>
      <c r="AM236" s="2" t="s">
        <v>74</v>
      </c>
      <c r="AN236" s="2" t="s">
        <v>74</v>
      </c>
      <c r="AO236" s="2" t="s">
        <v>285</v>
      </c>
      <c r="AP236" s="2" t="s">
        <v>286</v>
      </c>
      <c r="AQ236" s="2" t="s">
        <v>74</v>
      </c>
      <c r="AR236" s="2" t="s">
        <v>74</v>
      </c>
      <c r="AS236" s="2" t="s">
        <v>74</v>
      </c>
      <c r="AT236" s="2" t="s">
        <v>213</v>
      </c>
      <c r="AU236" s="2">
        <v>2021</v>
      </c>
      <c r="AV236" s="2">
        <v>24</v>
      </c>
      <c r="AW236" s="2">
        <v>6</v>
      </c>
      <c r="AX236" s="2" t="s">
        <v>74</v>
      </c>
      <c r="AY236" s="2" t="s">
        <v>74</v>
      </c>
      <c r="AZ236" s="2" t="s">
        <v>74</v>
      </c>
      <c r="BA236" s="2" t="s">
        <v>74</v>
      </c>
      <c r="BB236" s="2">
        <v>1267</v>
      </c>
      <c r="BC236" s="2">
        <v>1277</v>
      </c>
      <c r="BD236" s="2" t="s">
        <v>74</v>
      </c>
      <c r="BE236" s="2" t="s">
        <v>4505</v>
      </c>
      <c r="BF236" s="2" t="str">
        <f>HYPERLINK("http://dx.doi.org/10.1007/s10071-021-01519-y","http://dx.doi.org/10.1007/s10071-021-01519-y")</f>
        <v>http://dx.doi.org/10.1007/s10071-021-01519-y</v>
      </c>
      <c r="BG236" s="2" t="s">
        <v>74</v>
      </c>
      <c r="BH236" s="2" t="s">
        <v>571</v>
      </c>
      <c r="BI236" s="2" t="s">
        <v>74</v>
      </c>
      <c r="BJ236" s="2" t="s">
        <v>74</v>
      </c>
      <c r="BK236" s="2" t="s">
        <v>74</v>
      </c>
      <c r="BL236" s="2" t="s">
        <v>74</v>
      </c>
      <c r="BM236" s="2" t="s">
        <v>74</v>
      </c>
      <c r="BN236" s="2">
        <v>33959875</v>
      </c>
      <c r="BO236" s="2" t="s">
        <v>74</v>
      </c>
      <c r="BP236" s="2" t="s">
        <v>74</v>
      </c>
      <c r="BQ236" s="2" t="s">
        <v>74</v>
      </c>
      <c r="BR236" s="2" t="s">
        <v>74</v>
      </c>
      <c r="BS236" s="2" t="s">
        <v>4506</v>
      </c>
      <c r="BT236" s="2" t="str">
        <f>HYPERLINK("https%3A%2F%2Fwww.webofscience.com%2Fwos%2Fwoscc%2Ffull-record%2FWOS:000647849200001","View Full Record in Web of Science")</f>
        <v>View Full Record in Web of Science</v>
      </c>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row>
    <row r="237" spans="1:314" s="2" customFormat="1" x14ac:dyDescent="0.4">
      <c r="A237" s="2" t="s">
        <v>72</v>
      </c>
      <c r="B237" s="2" t="s">
        <v>364</v>
      </c>
      <c r="C237" s="2" t="s">
        <v>74</v>
      </c>
      <c r="D237" s="2" t="s">
        <v>74</v>
      </c>
      <c r="E237" s="2" t="s">
        <v>74</v>
      </c>
      <c r="F237" s="2" t="s">
        <v>2899</v>
      </c>
      <c r="G237" s="2" t="s">
        <v>74</v>
      </c>
      <c r="H237" s="2" t="s">
        <v>74</v>
      </c>
      <c r="I237" s="2" t="s">
        <v>2900</v>
      </c>
      <c r="J237" s="2" t="s">
        <v>2901</v>
      </c>
      <c r="K237" s="2" t="s">
        <v>74</v>
      </c>
      <c r="L237" s="2" t="s">
        <v>74</v>
      </c>
      <c r="M237" s="2" t="s">
        <v>74</v>
      </c>
      <c r="N237" s="2" t="s">
        <v>74</v>
      </c>
      <c r="O237" s="2" t="s">
        <v>74</v>
      </c>
      <c r="P237" s="2" t="s">
        <v>74</v>
      </c>
      <c r="Q237" s="2" t="s">
        <v>74</v>
      </c>
      <c r="R237" s="2" t="s">
        <v>74</v>
      </c>
      <c r="S237" s="2" t="s">
        <v>74</v>
      </c>
      <c r="T237" s="2" t="s">
        <v>74</v>
      </c>
      <c r="U237" s="2" t="s">
        <v>74</v>
      </c>
      <c r="V237" s="5" t="s">
        <v>2902</v>
      </c>
      <c r="W237" s="2" t="s">
        <v>74</v>
      </c>
      <c r="X237" s="2" t="s">
        <v>74</v>
      </c>
      <c r="Y237" s="2" t="s">
        <v>74</v>
      </c>
      <c r="Z237" s="2" t="s">
        <v>74</v>
      </c>
      <c r="AA237" s="2" t="s">
        <v>369</v>
      </c>
      <c r="AB237" s="2" t="s">
        <v>370</v>
      </c>
      <c r="AC237" s="2" t="s">
        <v>74</v>
      </c>
      <c r="AD237" s="2" t="s">
        <v>74</v>
      </c>
      <c r="AE237" s="2" t="s">
        <v>74</v>
      </c>
      <c r="AF237" s="2" t="s">
        <v>74</v>
      </c>
      <c r="AG237" s="2" t="s">
        <v>74</v>
      </c>
      <c r="AH237" s="2" t="s">
        <v>74</v>
      </c>
      <c r="AI237" s="2" t="s">
        <v>74</v>
      </c>
      <c r="AJ237" s="2" t="s">
        <v>74</v>
      </c>
      <c r="AK237" s="2" t="s">
        <v>74</v>
      </c>
      <c r="AL237" s="2" t="s">
        <v>74</v>
      </c>
      <c r="AM237" s="2" t="s">
        <v>74</v>
      </c>
      <c r="AN237" s="2" t="s">
        <v>74</v>
      </c>
      <c r="AO237" s="2" t="s">
        <v>2903</v>
      </c>
      <c r="AP237" s="2" t="s">
        <v>2904</v>
      </c>
      <c r="AQ237" s="2" t="s">
        <v>74</v>
      </c>
      <c r="AR237" s="2" t="s">
        <v>74</v>
      </c>
      <c r="AS237" s="2" t="s">
        <v>74</v>
      </c>
      <c r="AT237" s="2" t="s">
        <v>74</v>
      </c>
      <c r="AU237" s="2">
        <v>2010</v>
      </c>
      <c r="AV237" s="2">
        <v>22</v>
      </c>
      <c r="AW237" s="2">
        <v>2</v>
      </c>
      <c r="AX237" s="2" t="s">
        <v>74</v>
      </c>
      <c r="AY237" s="2" t="s">
        <v>74</v>
      </c>
      <c r="AZ237" s="2" t="s">
        <v>74</v>
      </c>
      <c r="BA237" s="2" t="s">
        <v>74</v>
      </c>
      <c r="BB237" s="2">
        <v>167</v>
      </c>
      <c r="BC237" s="2">
        <v>181</v>
      </c>
      <c r="BD237" s="2" t="s">
        <v>2905</v>
      </c>
      <c r="BE237" s="2" t="s">
        <v>2906</v>
      </c>
      <c r="BF237" s="2" t="str">
        <f>HYPERLINK("http://dx.doi.org/10.1080/03949371003707885","http://dx.doi.org/10.1080/03949371003707885")</f>
        <v>http://dx.doi.org/10.1080/03949371003707885</v>
      </c>
      <c r="BG237" s="2" t="s">
        <v>74</v>
      </c>
      <c r="BH237" s="2" t="s">
        <v>74</v>
      </c>
      <c r="BI237" s="2" t="s">
        <v>74</v>
      </c>
      <c r="BJ237" s="2" t="s">
        <v>74</v>
      </c>
      <c r="BK237" s="2" t="s">
        <v>74</v>
      </c>
      <c r="BL237" s="2" t="s">
        <v>74</v>
      </c>
      <c r="BM237" s="2" t="s">
        <v>74</v>
      </c>
      <c r="BN237" s="2" t="s">
        <v>74</v>
      </c>
      <c r="BO237" s="2" t="s">
        <v>74</v>
      </c>
      <c r="BP237" s="2" t="s">
        <v>74</v>
      </c>
      <c r="BQ237" s="2" t="s">
        <v>74</v>
      </c>
      <c r="BR237" s="2" t="s">
        <v>74</v>
      </c>
      <c r="BS237" s="2" t="s">
        <v>2907</v>
      </c>
      <c r="BT237" s="2" t="str">
        <f>HYPERLINK("https%3A%2F%2Fwww.webofscience.com%2Fwos%2Fwoscc%2Ffull-record%2FWOS:000277606200006","View Full Record in Web of Science")</f>
        <v>View Full Record in Web of Science</v>
      </c>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row>
    <row r="238" spans="1:314" s="2" customFormat="1" x14ac:dyDescent="0.4">
      <c r="A238" s="2" t="s">
        <v>72</v>
      </c>
      <c r="B238" s="2" t="s">
        <v>3471</v>
      </c>
      <c r="C238" s="2" t="s">
        <v>74</v>
      </c>
      <c r="D238" s="2" t="s">
        <v>74</v>
      </c>
      <c r="E238" s="2" t="s">
        <v>74</v>
      </c>
      <c r="F238" s="2" t="s">
        <v>3472</v>
      </c>
      <c r="G238" s="2" t="s">
        <v>74</v>
      </c>
      <c r="H238" s="2" t="s">
        <v>74</v>
      </c>
      <c r="I238" s="2" t="s">
        <v>3473</v>
      </c>
      <c r="J238" s="2" t="s">
        <v>218</v>
      </c>
      <c r="K238" s="2" t="s">
        <v>74</v>
      </c>
      <c r="L238" s="2" t="s">
        <v>74</v>
      </c>
      <c r="M238" s="2" t="s">
        <v>74</v>
      </c>
      <c r="N238" s="2" t="s">
        <v>74</v>
      </c>
      <c r="O238" s="2" t="s">
        <v>74</v>
      </c>
      <c r="P238" s="2" t="s">
        <v>74</v>
      </c>
      <c r="Q238" s="2" t="s">
        <v>74</v>
      </c>
      <c r="R238" s="2" t="s">
        <v>74</v>
      </c>
      <c r="S238" s="2" t="s">
        <v>74</v>
      </c>
      <c r="T238" s="2" t="s">
        <v>74</v>
      </c>
      <c r="U238" s="2" t="s">
        <v>74</v>
      </c>
      <c r="V238" s="5" t="s">
        <v>3474</v>
      </c>
      <c r="W238" s="2" t="s">
        <v>74</v>
      </c>
      <c r="X238" s="2" t="s">
        <v>74</v>
      </c>
      <c r="Y238" s="2" t="s">
        <v>74</v>
      </c>
      <c r="Z238" s="2" t="s">
        <v>74</v>
      </c>
      <c r="AA238" s="2" t="s">
        <v>1724</v>
      </c>
      <c r="AB238" s="2" t="s">
        <v>1725</v>
      </c>
      <c r="AC238" s="2" t="s">
        <v>74</v>
      </c>
      <c r="AD238" s="2" t="s">
        <v>74</v>
      </c>
      <c r="AE238" s="2" t="s">
        <v>74</v>
      </c>
      <c r="AF238" s="2" t="s">
        <v>74</v>
      </c>
      <c r="AG238" s="2" t="s">
        <v>74</v>
      </c>
      <c r="AH238" s="2" t="s">
        <v>74</v>
      </c>
      <c r="AI238" s="2" t="s">
        <v>74</v>
      </c>
      <c r="AJ238" s="2" t="s">
        <v>74</v>
      </c>
      <c r="AK238" s="2" t="s">
        <v>74</v>
      </c>
      <c r="AL238" s="2" t="s">
        <v>74</v>
      </c>
      <c r="AM238" s="2" t="s">
        <v>74</v>
      </c>
      <c r="AN238" s="2" t="s">
        <v>74</v>
      </c>
      <c r="AO238" s="2" t="s">
        <v>221</v>
      </c>
      <c r="AP238" s="2" t="s">
        <v>222</v>
      </c>
      <c r="AQ238" s="2" t="s">
        <v>74</v>
      </c>
      <c r="AR238" s="2" t="s">
        <v>74</v>
      </c>
      <c r="AS238" s="2" t="s">
        <v>74</v>
      </c>
      <c r="AT238" s="2" t="s">
        <v>964</v>
      </c>
      <c r="AU238" s="2">
        <v>2014</v>
      </c>
      <c r="AV238" s="2">
        <v>27</v>
      </c>
      <c r="AW238" s="2">
        <v>2</v>
      </c>
      <c r="AX238" s="2" t="s">
        <v>74</v>
      </c>
      <c r="AY238" s="2" t="s">
        <v>74</v>
      </c>
      <c r="AZ238" s="2" t="s">
        <v>74</v>
      </c>
      <c r="BA238" s="2" t="s">
        <v>74</v>
      </c>
      <c r="BB238" s="2">
        <v>325</v>
      </c>
      <c r="BC238" s="2">
        <v>336</v>
      </c>
      <c r="BD238" s="2" t="s">
        <v>74</v>
      </c>
      <c r="BE238" s="2" t="s">
        <v>3475</v>
      </c>
      <c r="BF238" s="2" t="str">
        <f>HYPERLINK("http://dx.doi.org/10.1111/jeb.12295","http://dx.doi.org/10.1111/jeb.12295")</f>
        <v>http://dx.doi.org/10.1111/jeb.12295</v>
      </c>
      <c r="BG238" s="2" t="s">
        <v>74</v>
      </c>
      <c r="BH238" s="2" t="s">
        <v>74</v>
      </c>
      <c r="BI238" s="2" t="s">
        <v>74</v>
      </c>
      <c r="BJ238" s="2" t="s">
        <v>74</v>
      </c>
      <c r="BK238" s="2" t="s">
        <v>74</v>
      </c>
      <c r="BL238" s="2" t="s">
        <v>74</v>
      </c>
      <c r="BM238" s="2" t="s">
        <v>74</v>
      </c>
      <c r="BN238" s="2">
        <v>24341383</v>
      </c>
      <c r="BO238" s="2" t="s">
        <v>74</v>
      </c>
      <c r="BP238" s="2" t="s">
        <v>74</v>
      </c>
      <c r="BQ238" s="2" t="s">
        <v>74</v>
      </c>
      <c r="BR238" s="2" t="s">
        <v>74</v>
      </c>
      <c r="BS238" s="2" t="s">
        <v>3476</v>
      </c>
      <c r="BT238" s="2" t="str">
        <f>HYPERLINK("https%3A%2F%2Fwww.webofscience.com%2Fwos%2Fwoscc%2Ffull-record%2FWOS:000330016400008","View Full Record in Web of Science")</f>
        <v>View Full Record in Web of Science</v>
      </c>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row>
    <row r="239" spans="1:314" s="2" customFormat="1" x14ac:dyDescent="0.4">
      <c r="A239" s="2" t="s">
        <v>72</v>
      </c>
      <c r="B239" s="2" t="s">
        <v>364</v>
      </c>
      <c r="C239" s="2" t="s">
        <v>74</v>
      </c>
      <c r="D239" s="2" t="s">
        <v>74</v>
      </c>
      <c r="E239" s="2" t="s">
        <v>74</v>
      </c>
      <c r="F239" s="2" t="s">
        <v>365</v>
      </c>
      <c r="G239" s="2" t="s">
        <v>74</v>
      </c>
      <c r="H239" s="2" t="s">
        <v>74</v>
      </c>
      <c r="I239" s="2" t="s">
        <v>366</v>
      </c>
      <c r="J239" s="2" t="s">
        <v>367</v>
      </c>
      <c r="K239" s="2" t="s">
        <v>74</v>
      </c>
      <c r="L239" s="2" t="s">
        <v>74</v>
      </c>
      <c r="M239" s="2" t="s">
        <v>74</v>
      </c>
      <c r="N239" s="2" t="s">
        <v>74</v>
      </c>
      <c r="O239" s="2" t="s">
        <v>74</v>
      </c>
      <c r="P239" s="2" t="s">
        <v>74</v>
      </c>
      <c r="Q239" s="2" t="s">
        <v>74</v>
      </c>
      <c r="R239" s="2" t="s">
        <v>74</v>
      </c>
      <c r="S239" s="2" t="s">
        <v>74</v>
      </c>
      <c r="T239" s="2" t="s">
        <v>74</v>
      </c>
      <c r="U239" s="2" t="s">
        <v>74</v>
      </c>
      <c r="V239" s="5" t="s">
        <v>368</v>
      </c>
      <c r="W239" s="2" t="s">
        <v>74</v>
      </c>
      <c r="X239" s="2" t="s">
        <v>74</v>
      </c>
      <c r="Y239" s="2" t="s">
        <v>74</v>
      </c>
      <c r="Z239" s="2" t="s">
        <v>74</v>
      </c>
      <c r="AA239" s="2" t="s">
        <v>369</v>
      </c>
      <c r="AB239" s="2" t="s">
        <v>370</v>
      </c>
      <c r="AC239" s="2" t="s">
        <v>74</v>
      </c>
      <c r="AD239" s="2" t="s">
        <v>74</v>
      </c>
      <c r="AE239" s="2" t="s">
        <v>74</v>
      </c>
      <c r="AF239" s="2" t="s">
        <v>74</v>
      </c>
      <c r="AG239" s="2" t="s">
        <v>74</v>
      </c>
      <c r="AH239" s="2" t="s">
        <v>74</v>
      </c>
      <c r="AI239" s="2" t="s">
        <v>74</v>
      </c>
      <c r="AJ239" s="2" t="s">
        <v>74</v>
      </c>
      <c r="AK239" s="2" t="s">
        <v>74</v>
      </c>
      <c r="AL239" s="2" t="s">
        <v>74</v>
      </c>
      <c r="AM239" s="2" t="s">
        <v>74</v>
      </c>
      <c r="AN239" s="2" t="s">
        <v>74</v>
      </c>
      <c r="AO239" s="2" t="s">
        <v>371</v>
      </c>
      <c r="AP239" s="2" t="s">
        <v>372</v>
      </c>
      <c r="AQ239" s="2" t="s">
        <v>74</v>
      </c>
      <c r="AR239" s="2" t="s">
        <v>74</v>
      </c>
      <c r="AS239" s="2" t="s">
        <v>74</v>
      </c>
      <c r="AT239" s="2" t="s">
        <v>145</v>
      </c>
      <c r="AU239" s="2">
        <v>2009</v>
      </c>
      <c r="AV239" s="2">
        <v>123</v>
      </c>
      <c r="AW239" s="2">
        <v>3</v>
      </c>
      <c r="AX239" s="2" t="s">
        <v>74</v>
      </c>
      <c r="AY239" s="2" t="s">
        <v>74</v>
      </c>
      <c r="AZ239" s="2" t="s">
        <v>74</v>
      </c>
      <c r="BA239" s="2" t="s">
        <v>74</v>
      </c>
      <c r="BB239" s="2">
        <v>310</v>
      </c>
      <c r="BC239" s="2">
        <v>315</v>
      </c>
      <c r="BD239" s="2" t="s">
        <v>74</v>
      </c>
      <c r="BE239" s="2" t="s">
        <v>373</v>
      </c>
      <c r="BF239" s="2" t="str">
        <f>HYPERLINK("http://dx.doi.org/10.1037/a0015837","http://dx.doi.org/10.1037/a0015837")</f>
        <v>http://dx.doi.org/10.1037/a0015837</v>
      </c>
      <c r="BG239" s="2" t="s">
        <v>74</v>
      </c>
      <c r="BH239" s="2" t="s">
        <v>74</v>
      </c>
      <c r="BI239" s="2" t="s">
        <v>74</v>
      </c>
      <c r="BJ239" s="2" t="s">
        <v>74</v>
      </c>
      <c r="BK239" s="2" t="s">
        <v>74</v>
      </c>
      <c r="BL239" s="2" t="s">
        <v>74</v>
      </c>
      <c r="BM239" s="2" t="s">
        <v>74</v>
      </c>
      <c r="BN239" s="2">
        <v>19685973</v>
      </c>
      <c r="BO239" s="2" t="s">
        <v>74</v>
      </c>
      <c r="BP239" s="2" t="s">
        <v>74</v>
      </c>
      <c r="BQ239" s="2" t="s">
        <v>74</v>
      </c>
      <c r="BR239" s="2" t="s">
        <v>74</v>
      </c>
      <c r="BS239" s="2" t="s">
        <v>374</v>
      </c>
      <c r="BT239" s="2" t="str">
        <f>HYPERLINK("https%3A%2F%2Fwww.webofscience.com%2Fwos%2Fwoscc%2Ffull-record%2FWOS:000268963900010","View Full Record in Web of Science")</f>
        <v>View Full Record in Web of Science</v>
      </c>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row>
    <row r="240" spans="1:314" s="2" customFormat="1" x14ac:dyDescent="0.4">
      <c r="A240" s="2" t="s">
        <v>72</v>
      </c>
      <c r="B240" s="2" t="s">
        <v>364</v>
      </c>
      <c r="C240" s="2" t="s">
        <v>74</v>
      </c>
      <c r="D240" s="2" t="s">
        <v>74</v>
      </c>
      <c r="E240" s="2" t="s">
        <v>74</v>
      </c>
      <c r="F240" s="2" t="s">
        <v>365</v>
      </c>
      <c r="G240" s="2" t="s">
        <v>74</v>
      </c>
      <c r="H240" s="2" t="s">
        <v>74</v>
      </c>
      <c r="I240" s="2" t="s">
        <v>5467</v>
      </c>
      <c r="J240" s="2" t="s">
        <v>119</v>
      </c>
      <c r="K240" s="2" t="s">
        <v>74</v>
      </c>
      <c r="L240" s="2" t="s">
        <v>74</v>
      </c>
      <c r="M240" s="2" t="s">
        <v>74</v>
      </c>
      <c r="N240" s="2" t="s">
        <v>74</v>
      </c>
      <c r="O240" s="2" t="s">
        <v>74</v>
      </c>
      <c r="P240" s="2" t="s">
        <v>74</v>
      </c>
      <c r="Q240" s="2" t="s">
        <v>74</v>
      </c>
      <c r="R240" s="2" t="s">
        <v>74</v>
      </c>
      <c r="S240" s="2" t="s">
        <v>74</v>
      </c>
      <c r="T240" s="2" t="s">
        <v>74</v>
      </c>
      <c r="U240" s="2" t="s">
        <v>74</v>
      </c>
      <c r="V240" s="5" t="s">
        <v>5468</v>
      </c>
      <c r="W240" s="2" t="s">
        <v>74</v>
      </c>
      <c r="X240" s="2" t="s">
        <v>74</v>
      </c>
      <c r="Y240" s="2" t="s">
        <v>74</v>
      </c>
      <c r="Z240" s="2" t="s">
        <v>74</v>
      </c>
      <c r="AA240" s="2" t="s">
        <v>369</v>
      </c>
      <c r="AB240" s="2" t="s">
        <v>370</v>
      </c>
      <c r="AC240" s="2" t="s">
        <v>74</v>
      </c>
      <c r="AD240" s="2" t="s">
        <v>74</v>
      </c>
      <c r="AE240" s="2" t="s">
        <v>74</v>
      </c>
      <c r="AF240" s="2" t="s">
        <v>74</v>
      </c>
      <c r="AG240" s="2" t="s">
        <v>74</v>
      </c>
      <c r="AH240" s="2" t="s">
        <v>74</v>
      </c>
      <c r="AI240" s="2" t="s">
        <v>74</v>
      </c>
      <c r="AJ240" s="2" t="s">
        <v>74</v>
      </c>
      <c r="AK240" s="2" t="s">
        <v>74</v>
      </c>
      <c r="AL240" s="2" t="s">
        <v>74</v>
      </c>
      <c r="AM240" s="2" t="s">
        <v>74</v>
      </c>
      <c r="AN240" s="2" t="s">
        <v>74</v>
      </c>
      <c r="AO240" s="2" t="s">
        <v>121</v>
      </c>
      <c r="AP240" s="2" t="s">
        <v>122</v>
      </c>
      <c r="AQ240" s="2" t="s">
        <v>74</v>
      </c>
      <c r="AR240" s="2" t="s">
        <v>74</v>
      </c>
      <c r="AS240" s="2" t="s">
        <v>74</v>
      </c>
      <c r="AT240" s="2" t="s">
        <v>255</v>
      </c>
      <c r="AU240" s="2">
        <v>2009</v>
      </c>
      <c r="AV240" s="2">
        <v>80</v>
      </c>
      <c r="AW240" s="2">
        <v>1</v>
      </c>
      <c r="AX240" s="2" t="s">
        <v>74</v>
      </c>
      <c r="AY240" s="2" t="s">
        <v>74</v>
      </c>
      <c r="AZ240" s="2" t="s">
        <v>74</v>
      </c>
      <c r="BA240" s="2" t="s">
        <v>74</v>
      </c>
      <c r="BB240" s="2">
        <v>90</v>
      </c>
      <c r="BC240" s="2">
        <v>98</v>
      </c>
      <c r="BD240" s="2" t="s">
        <v>74</v>
      </c>
      <c r="BE240" s="2" t="s">
        <v>5469</v>
      </c>
      <c r="BF240" s="2" t="str">
        <f>HYPERLINK("http://dx.doi.org/10.1016/j.beproc.2008.10.007","http://dx.doi.org/10.1016/j.beproc.2008.10.007")</f>
        <v>http://dx.doi.org/10.1016/j.beproc.2008.10.007</v>
      </c>
      <c r="BG240" s="2" t="s">
        <v>74</v>
      </c>
      <c r="BH240" s="2" t="s">
        <v>74</v>
      </c>
      <c r="BI240" s="2" t="s">
        <v>74</v>
      </c>
      <c r="BJ240" s="2" t="s">
        <v>74</v>
      </c>
      <c r="BK240" s="2" t="s">
        <v>74</v>
      </c>
      <c r="BL240" s="2" t="s">
        <v>74</v>
      </c>
      <c r="BM240" s="2" t="s">
        <v>74</v>
      </c>
      <c r="BN240" s="2">
        <v>19010401</v>
      </c>
      <c r="BO240" s="2" t="s">
        <v>74</v>
      </c>
      <c r="BP240" s="2" t="s">
        <v>74</v>
      </c>
      <c r="BQ240" s="2" t="s">
        <v>74</v>
      </c>
      <c r="BR240" s="2" t="s">
        <v>74</v>
      </c>
      <c r="BS240" s="2" t="s">
        <v>5470</v>
      </c>
      <c r="BT240" s="2" t="str">
        <f>HYPERLINK("https%3A%2F%2Fwww.webofscience.com%2Fwos%2Fwoscc%2Ffull-record%2FWOS:000262546900014","View Full Record in Web of Science")</f>
        <v>View Full Record in Web of Science</v>
      </c>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row>
    <row r="241" spans="1:314" s="2" customFormat="1" x14ac:dyDescent="0.4">
      <c r="A241" s="2" t="s">
        <v>72</v>
      </c>
      <c r="B241" s="2" t="s">
        <v>4862</v>
      </c>
      <c r="C241" s="2" t="s">
        <v>74</v>
      </c>
      <c r="D241" s="2" t="s">
        <v>74</v>
      </c>
      <c r="E241" s="2" t="s">
        <v>74</v>
      </c>
      <c r="F241" s="2" t="s">
        <v>4863</v>
      </c>
      <c r="G241" s="2" t="s">
        <v>74</v>
      </c>
      <c r="H241" s="2" t="s">
        <v>74</v>
      </c>
      <c r="I241" s="2" t="s">
        <v>4864</v>
      </c>
      <c r="J241" s="2" t="s">
        <v>610</v>
      </c>
      <c r="K241" s="2" t="s">
        <v>74</v>
      </c>
      <c r="L241" s="2" t="s">
        <v>74</v>
      </c>
      <c r="M241" s="2" t="s">
        <v>74</v>
      </c>
      <c r="N241" s="2" t="s">
        <v>74</v>
      </c>
      <c r="O241" s="2" t="s">
        <v>74</v>
      </c>
      <c r="P241" s="2" t="s">
        <v>74</v>
      </c>
      <c r="Q241" s="2" t="s">
        <v>74</v>
      </c>
      <c r="R241" s="2" t="s">
        <v>74</v>
      </c>
      <c r="S241" s="2" t="s">
        <v>74</v>
      </c>
      <c r="T241" s="2" t="s">
        <v>74</v>
      </c>
      <c r="U241" s="2" t="s">
        <v>74</v>
      </c>
      <c r="V241" s="5" t="s">
        <v>4865</v>
      </c>
      <c r="W241" s="2" t="s">
        <v>74</v>
      </c>
      <c r="X241" s="2" t="s">
        <v>74</v>
      </c>
      <c r="Y241" s="2" t="s">
        <v>74</v>
      </c>
      <c r="Z241" s="2" t="s">
        <v>74</v>
      </c>
      <c r="AA241" s="2" t="s">
        <v>4866</v>
      </c>
      <c r="AB241" s="2" t="s">
        <v>4867</v>
      </c>
      <c r="AC241" s="2" t="s">
        <v>74</v>
      </c>
      <c r="AD241" s="2" t="s">
        <v>74</v>
      </c>
      <c r="AE241" s="2" t="s">
        <v>74</v>
      </c>
      <c r="AF241" s="2" t="s">
        <v>74</v>
      </c>
      <c r="AG241" s="2" t="s">
        <v>74</v>
      </c>
      <c r="AH241" s="2" t="s">
        <v>74</v>
      </c>
      <c r="AI241" s="2" t="s">
        <v>74</v>
      </c>
      <c r="AJ241" s="2" t="s">
        <v>74</v>
      </c>
      <c r="AK241" s="2" t="s">
        <v>74</v>
      </c>
      <c r="AL241" s="2" t="s">
        <v>74</v>
      </c>
      <c r="AM241" s="2" t="s">
        <v>74</v>
      </c>
      <c r="AN241" s="2" t="s">
        <v>74</v>
      </c>
      <c r="AO241" s="2" t="s">
        <v>614</v>
      </c>
      <c r="AP241" s="2" t="s">
        <v>615</v>
      </c>
      <c r="AQ241" s="2" t="s">
        <v>74</v>
      </c>
      <c r="AR241" s="2" t="s">
        <v>74</v>
      </c>
      <c r="AS241" s="2" t="s">
        <v>74</v>
      </c>
      <c r="AT241" s="2" t="s">
        <v>255</v>
      </c>
      <c r="AU241" s="2">
        <v>2009</v>
      </c>
      <c r="AV241" s="2">
        <v>115</v>
      </c>
      <c r="AW241" s="2">
        <v>1</v>
      </c>
      <c r="AX241" s="2" t="s">
        <v>74</v>
      </c>
      <c r="AY241" s="2" t="s">
        <v>74</v>
      </c>
      <c r="AZ241" s="2" t="s">
        <v>74</v>
      </c>
      <c r="BA241" s="2" t="s">
        <v>74</v>
      </c>
      <c r="BB241" s="2">
        <v>23</v>
      </c>
      <c r="BC241" s="2">
        <v>32</v>
      </c>
      <c r="BD241" s="2" t="s">
        <v>74</v>
      </c>
      <c r="BE241" s="2" t="s">
        <v>4868</v>
      </c>
      <c r="BF241" s="2" t="str">
        <f>HYPERLINK("http://dx.doi.org/10.1111/j.1439-0310.2008.01584.x","http://dx.doi.org/10.1111/j.1439-0310.2008.01584.x")</f>
        <v>http://dx.doi.org/10.1111/j.1439-0310.2008.01584.x</v>
      </c>
      <c r="BG241" s="2" t="s">
        <v>74</v>
      </c>
      <c r="BH241" s="2" t="s">
        <v>74</v>
      </c>
      <c r="BI241" s="2" t="s">
        <v>74</v>
      </c>
      <c r="BJ241" s="2" t="s">
        <v>74</v>
      </c>
      <c r="BK241" s="2" t="s">
        <v>74</v>
      </c>
      <c r="BL241" s="2" t="s">
        <v>74</v>
      </c>
      <c r="BM241" s="2" t="s">
        <v>74</v>
      </c>
      <c r="BN241" s="2" t="s">
        <v>74</v>
      </c>
      <c r="BO241" s="2" t="s">
        <v>74</v>
      </c>
      <c r="BP241" s="2" t="s">
        <v>74</v>
      </c>
      <c r="BQ241" s="2" t="s">
        <v>74</v>
      </c>
      <c r="BR241" s="2" t="s">
        <v>74</v>
      </c>
      <c r="BS241" s="2" t="s">
        <v>4869</v>
      </c>
      <c r="BT241" s="2" t="str">
        <f>HYPERLINK("https%3A%2F%2Fwww.webofscience.com%2Fwos%2Fwoscc%2Ffull-record%2FWOS:000261836000004","View Full Record in Web of Science")</f>
        <v>View Full Record in Web of Science</v>
      </c>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row>
    <row r="242" spans="1:314" s="2" customFormat="1" x14ac:dyDescent="0.4">
      <c r="A242" s="2" t="s">
        <v>72</v>
      </c>
      <c r="B242" s="2" t="s">
        <v>6759</v>
      </c>
      <c r="C242" s="2" t="s">
        <v>74</v>
      </c>
      <c r="D242" s="2" t="s">
        <v>74</v>
      </c>
      <c r="E242" s="2" t="s">
        <v>74</v>
      </c>
      <c r="F242" s="2" t="s">
        <v>6759</v>
      </c>
      <c r="G242" s="2" t="s">
        <v>74</v>
      </c>
      <c r="H242" s="2" t="s">
        <v>74</v>
      </c>
      <c r="I242" s="2" t="s">
        <v>6760</v>
      </c>
      <c r="J242" s="2" t="s">
        <v>312</v>
      </c>
      <c r="K242" s="2" t="s">
        <v>74</v>
      </c>
      <c r="L242" s="2" t="s">
        <v>74</v>
      </c>
      <c r="M242" s="2" t="s">
        <v>74</v>
      </c>
      <c r="N242" s="2" t="s">
        <v>74</v>
      </c>
      <c r="O242" s="2" t="s">
        <v>74</v>
      </c>
      <c r="P242" s="2" t="s">
        <v>74</v>
      </c>
      <c r="Q242" s="2" t="s">
        <v>74</v>
      </c>
      <c r="R242" s="2" t="s">
        <v>74</v>
      </c>
      <c r="S242" s="2" t="s">
        <v>74</v>
      </c>
      <c r="T242" s="2" t="s">
        <v>74</v>
      </c>
      <c r="U242" s="2" t="s">
        <v>74</v>
      </c>
      <c r="V242" s="5" t="s">
        <v>6761</v>
      </c>
      <c r="W242" s="2" t="s">
        <v>74</v>
      </c>
      <c r="X242" s="2" t="s">
        <v>74</v>
      </c>
      <c r="Y242" s="2" t="s">
        <v>74</v>
      </c>
      <c r="Z242" s="2" t="s">
        <v>74</v>
      </c>
      <c r="AA242" s="2" t="s">
        <v>1724</v>
      </c>
      <c r="AB242" s="2" t="s">
        <v>1725</v>
      </c>
      <c r="AC242" s="2" t="s">
        <v>74</v>
      </c>
      <c r="AD242" s="2" t="s">
        <v>74</v>
      </c>
      <c r="AE242" s="2" t="s">
        <v>74</v>
      </c>
      <c r="AF242" s="2" t="s">
        <v>74</v>
      </c>
      <c r="AG242" s="2" t="s">
        <v>74</v>
      </c>
      <c r="AH242" s="2" t="s">
        <v>74</v>
      </c>
      <c r="AI242" s="2" t="s">
        <v>74</v>
      </c>
      <c r="AJ242" s="2" t="s">
        <v>74</v>
      </c>
      <c r="AK242" s="2" t="s">
        <v>74</v>
      </c>
      <c r="AL242" s="2" t="s">
        <v>74</v>
      </c>
      <c r="AM242" s="2" t="s">
        <v>74</v>
      </c>
      <c r="AN242" s="2" t="s">
        <v>74</v>
      </c>
      <c r="AO242" s="2" t="s">
        <v>314</v>
      </c>
      <c r="AP242" s="2" t="s">
        <v>74</v>
      </c>
      <c r="AQ242" s="2" t="s">
        <v>74</v>
      </c>
      <c r="AR242" s="2" t="s">
        <v>74</v>
      </c>
      <c r="AS242" s="2" t="s">
        <v>74</v>
      </c>
      <c r="AT242" s="2" t="s">
        <v>134</v>
      </c>
      <c r="AU242" s="2">
        <v>2002</v>
      </c>
      <c r="AV242" s="2">
        <v>159</v>
      </c>
      <c r="AW242" s="2">
        <v>5</v>
      </c>
      <c r="AX242" s="2" t="s">
        <v>74</v>
      </c>
      <c r="AY242" s="2" t="s">
        <v>74</v>
      </c>
      <c r="AZ242" s="2" t="s">
        <v>74</v>
      </c>
      <c r="BA242" s="2" t="s">
        <v>74</v>
      </c>
      <c r="BB242" s="2">
        <v>438</v>
      </c>
      <c r="BC242" s="2">
        <v>450</v>
      </c>
      <c r="BD242" s="2" t="s">
        <v>74</v>
      </c>
      <c r="BE242" s="2" t="s">
        <v>6762</v>
      </c>
      <c r="BF242" s="2" t="str">
        <f>HYPERLINK("http://dx.doi.org/10.1086/339457","http://dx.doi.org/10.1086/339457")</f>
        <v>http://dx.doi.org/10.1086/339457</v>
      </c>
      <c r="BG242" s="2" t="s">
        <v>74</v>
      </c>
      <c r="BH242" s="2" t="s">
        <v>74</v>
      </c>
      <c r="BI242" s="2" t="s">
        <v>74</v>
      </c>
      <c r="BJ242" s="2" t="s">
        <v>74</v>
      </c>
      <c r="BK242" s="2" t="s">
        <v>74</v>
      </c>
      <c r="BL242" s="2" t="s">
        <v>74</v>
      </c>
      <c r="BM242" s="2" t="s">
        <v>74</v>
      </c>
      <c r="BN242" s="2">
        <v>18707428</v>
      </c>
      <c r="BO242" s="2" t="s">
        <v>74</v>
      </c>
      <c r="BP242" s="2" t="s">
        <v>74</v>
      </c>
      <c r="BQ242" s="2" t="s">
        <v>74</v>
      </c>
      <c r="BR242" s="2" t="s">
        <v>74</v>
      </c>
      <c r="BS242" s="2" t="s">
        <v>6763</v>
      </c>
      <c r="BT242" s="2" t="str">
        <f>HYPERLINK("https%3A%2F%2Fwww.webofscience.com%2Fwos%2Fwoscc%2Ffull-record%2FWOS:000175302800002","View Full Record in Web of Science")</f>
        <v>View Full Record in Web of Science</v>
      </c>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row>
    <row r="243" spans="1:314" s="2" customFormat="1" x14ac:dyDescent="0.4">
      <c r="A243" s="2" t="s">
        <v>72</v>
      </c>
      <c r="B243" s="2" t="s">
        <v>8168</v>
      </c>
      <c r="C243" s="2" t="s">
        <v>74</v>
      </c>
      <c r="D243" s="2" t="s">
        <v>74</v>
      </c>
      <c r="E243" s="2" t="s">
        <v>74</v>
      </c>
      <c r="F243" s="2" t="s">
        <v>8168</v>
      </c>
      <c r="G243" s="2" t="s">
        <v>74</v>
      </c>
      <c r="H243" s="2" t="s">
        <v>74</v>
      </c>
      <c r="I243" s="2" t="s">
        <v>8169</v>
      </c>
      <c r="J243" s="2" t="s">
        <v>171</v>
      </c>
      <c r="K243" s="2" t="s">
        <v>74</v>
      </c>
      <c r="L243" s="2" t="s">
        <v>74</v>
      </c>
      <c r="M243" s="2" t="s">
        <v>74</v>
      </c>
      <c r="N243" s="2" t="s">
        <v>74</v>
      </c>
      <c r="O243" s="2" t="s">
        <v>74</v>
      </c>
      <c r="P243" s="2" t="s">
        <v>74</v>
      </c>
      <c r="Q243" s="2" t="s">
        <v>74</v>
      </c>
      <c r="R243" s="2" t="s">
        <v>74</v>
      </c>
      <c r="S243" s="2" t="s">
        <v>74</v>
      </c>
      <c r="T243" s="2" t="s">
        <v>74</v>
      </c>
      <c r="U243" s="2" t="s">
        <v>74</v>
      </c>
      <c r="V243" s="5" t="s">
        <v>8170</v>
      </c>
      <c r="W243" s="2" t="s">
        <v>74</v>
      </c>
      <c r="X243" s="2" t="s">
        <v>74</v>
      </c>
      <c r="Y243" s="2" t="s">
        <v>74</v>
      </c>
      <c r="Z243" s="2" t="s">
        <v>74</v>
      </c>
      <c r="AA243" s="2" t="s">
        <v>8171</v>
      </c>
      <c r="AB243" s="2" t="s">
        <v>8172</v>
      </c>
      <c r="AC243" s="2" t="s">
        <v>74</v>
      </c>
      <c r="AD243" s="2" t="s">
        <v>74</v>
      </c>
      <c r="AE243" s="2" t="s">
        <v>74</v>
      </c>
      <c r="AF243" s="2" t="s">
        <v>74</v>
      </c>
      <c r="AG243" s="2" t="s">
        <v>74</v>
      </c>
      <c r="AH243" s="2" t="s">
        <v>74</v>
      </c>
      <c r="AI243" s="2" t="s">
        <v>74</v>
      </c>
      <c r="AJ243" s="2" t="s">
        <v>74</v>
      </c>
      <c r="AK243" s="2" t="s">
        <v>74</v>
      </c>
      <c r="AL243" s="2" t="s">
        <v>74</v>
      </c>
      <c r="AM243" s="2" t="s">
        <v>74</v>
      </c>
      <c r="AN243" s="2" t="s">
        <v>74</v>
      </c>
      <c r="AO243" s="2" t="s">
        <v>173</v>
      </c>
      <c r="AP243" s="2" t="s">
        <v>174</v>
      </c>
      <c r="AQ243" s="2" t="s">
        <v>74</v>
      </c>
      <c r="AR243" s="2" t="s">
        <v>74</v>
      </c>
      <c r="AS243" s="2" t="s">
        <v>74</v>
      </c>
      <c r="AT243" s="2" t="s">
        <v>305</v>
      </c>
      <c r="AU243" s="2">
        <v>1998</v>
      </c>
      <c r="AV243" s="2">
        <v>52</v>
      </c>
      <c r="AW243" s="2">
        <v>6</v>
      </c>
      <c r="AX243" s="2" t="s">
        <v>74</v>
      </c>
      <c r="AY243" s="2" t="s">
        <v>74</v>
      </c>
      <c r="AZ243" s="2" t="s">
        <v>74</v>
      </c>
      <c r="BA243" s="2" t="s">
        <v>74</v>
      </c>
      <c r="BB243" s="2">
        <v>1602</v>
      </c>
      <c r="BC243" s="2">
        <v>1611</v>
      </c>
      <c r="BD243" s="2" t="s">
        <v>74</v>
      </c>
      <c r="BE243" s="2" t="s">
        <v>8173</v>
      </c>
      <c r="BF243" s="2" t="str">
        <f>HYPERLINK("http://dx.doi.org/10.1111/j.1558-5646.1998.tb02241.x","http://dx.doi.org/10.1111/j.1558-5646.1998.tb02241.x")</f>
        <v>http://dx.doi.org/10.1111/j.1558-5646.1998.tb02241.x</v>
      </c>
      <c r="BG243" s="2" t="s">
        <v>74</v>
      </c>
      <c r="BH243" s="2" t="s">
        <v>74</v>
      </c>
      <c r="BI243" s="2" t="s">
        <v>74</v>
      </c>
      <c r="BJ243" s="2" t="s">
        <v>74</v>
      </c>
      <c r="BK243" s="2" t="s">
        <v>74</v>
      </c>
      <c r="BL243" s="2" t="s">
        <v>74</v>
      </c>
      <c r="BM243" s="2" t="s">
        <v>74</v>
      </c>
      <c r="BN243" s="2">
        <v>28565336</v>
      </c>
      <c r="BO243" s="2" t="s">
        <v>74</v>
      </c>
      <c r="BP243" s="2" t="s">
        <v>74</v>
      </c>
      <c r="BQ243" s="2" t="s">
        <v>74</v>
      </c>
      <c r="BR243" s="2" t="s">
        <v>74</v>
      </c>
      <c r="BS243" s="2" t="s">
        <v>8174</v>
      </c>
      <c r="BT243" s="2" t="str">
        <f>HYPERLINK("https%3A%2F%2Fwww.webofscience.com%2Fwos%2Fwoscc%2Ffull-record%2FWOS:000078076700007","View Full Record in Web of Science")</f>
        <v>View Full Record in Web of Science</v>
      </c>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row>
    <row r="244" spans="1:314" s="2" customFormat="1" x14ac:dyDescent="0.4">
      <c r="A244" s="2" t="s">
        <v>72</v>
      </c>
      <c r="B244" s="2" t="s">
        <v>4640</v>
      </c>
      <c r="C244" s="2" t="s">
        <v>74</v>
      </c>
      <c r="D244" s="2" t="s">
        <v>74</v>
      </c>
      <c r="E244" s="2" t="s">
        <v>74</v>
      </c>
      <c r="F244" s="2" t="s">
        <v>4640</v>
      </c>
      <c r="G244" s="2" t="s">
        <v>74</v>
      </c>
      <c r="H244" s="2" t="s">
        <v>74</v>
      </c>
      <c r="I244" s="2" t="s">
        <v>4641</v>
      </c>
      <c r="J244" s="2" t="s">
        <v>140</v>
      </c>
      <c r="K244" s="2" t="s">
        <v>74</v>
      </c>
      <c r="L244" s="2" t="s">
        <v>74</v>
      </c>
      <c r="M244" s="2" t="s">
        <v>74</v>
      </c>
      <c r="N244" s="2" t="s">
        <v>74</v>
      </c>
      <c r="O244" s="2" t="s">
        <v>74</v>
      </c>
      <c r="P244" s="2" t="s">
        <v>74</v>
      </c>
      <c r="Q244" s="2" t="s">
        <v>74</v>
      </c>
      <c r="R244" s="2" t="s">
        <v>74</v>
      </c>
      <c r="S244" s="2" t="s">
        <v>74</v>
      </c>
      <c r="T244" s="2" t="s">
        <v>74</v>
      </c>
      <c r="U244" s="2" t="s">
        <v>74</v>
      </c>
      <c r="V244" s="5" t="s">
        <v>4642</v>
      </c>
      <c r="W244" s="2" t="s">
        <v>74</v>
      </c>
      <c r="X244" s="2" t="s">
        <v>74</v>
      </c>
      <c r="Y244" s="2" t="s">
        <v>74</v>
      </c>
      <c r="Z244" s="2" t="s">
        <v>74</v>
      </c>
      <c r="AA244" s="2" t="s">
        <v>4643</v>
      </c>
      <c r="AB244" s="2" t="s">
        <v>74</v>
      </c>
      <c r="AC244" s="2" t="s">
        <v>74</v>
      </c>
      <c r="AD244" s="2" t="s">
        <v>74</v>
      </c>
      <c r="AE244" s="2" t="s">
        <v>74</v>
      </c>
      <c r="AF244" s="2" t="s">
        <v>74</v>
      </c>
      <c r="AG244" s="2" t="s">
        <v>74</v>
      </c>
      <c r="AH244" s="2" t="s">
        <v>74</v>
      </c>
      <c r="AI244" s="2" t="s">
        <v>74</v>
      </c>
      <c r="AJ244" s="2" t="s">
        <v>74</v>
      </c>
      <c r="AK244" s="2" t="s">
        <v>74</v>
      </c>
      <c r="AL244" s="2" t="s">
        <v>74</v>
      </c>
      <c r="AM244" s="2" t="s">
        <v>74</v>
      </c>
      <c r="AN244" s="2" t="s">
        <v>74</v>
      </c>
      <c r="AO244" s="2" t="s">
        <v>143</v>
      </c>
      <c r="AP244" s="2" t="s">
        <v>74</v>
      </c>
      <c r="AQ244" s="2" t="s">
        <v>74</v>
      </c>
      <c r="AR244" s="2" t="s">
        <v>74</v>
      </c>
      <c r="AS244" s="2" t="s">
        <v>74</v>
      </c>
      <c r="AT244" s="2" t="s">
        <v>204</v>
      </c>
      <c r="AU244" s="2">
        <v>1999</v>
      </c>
      <c r="AV244" s="2">
        <v>58</v>
      </c>
      <c r="AW244" s="2" t="s">
        <v>74</v>
      </c>
      <c r="AX244" s="2">
        <v>1</v>
      </c>
      <c r="AY244" s="2" t="s">
        <v>74</v>
      </c>
      <c r="AZ244" s="2" t="s">
        <v>74</v>
      </c>
      <c r="BA244" s="2" t="s">
        <v>74</v>
      </c>
      <c r="BB244" s="2">
        <v>151</v>
      </c>
      <c r="BC244" s="2">
        <v>158</v>
      </c>
      <c r="BD244" s="2" t="s">
        <v>74</v>
      </c>
      <c r="BE244" s="2" t="s">
        <v>4644</v>
      </c>
      <c r="BF244" s="2" t="str">
        <f>HYPERLINK("http://dx.doi.org/10.1006/anbe.1999.1121","http://dx.doi.org/10.1006/anbe.1999.1121")</f>
        <v>http://dx.doi.org/10.1006/anbe.1999.1121</v>
      </c>
      <c r="BG244" s="2" t="s">
        <v>74</v>
      </c>
      <c r="BH244" s="2" t="s">
        <v>74</v>
      </c>
      <c r="BI244" s="2" t="s">
        <v>74</v>
      </c>
      <c r="BJ244" s="2" t="s">
        <v>74</v>
      </c>
      <c r="BK244" s="2" t="s">
        <v>74</v>
      </c>
      <c r="BL244" s="2" t="s">
        <v>74</v>
      </c>
      <c r="BM244" s="2" t="s">
        <v>74</v>
      </c>
      <c r="BN244" s="2">
        <v>10413551</v>
      </c>
      <c r="BO244" s="2" t="s">
        <v>74</v>
      </c>
      <c r="BP244" s="2" t="s">
        <v>74</v>
      </c>
      <c r="BQ244" s="2" t="s">
        <v>74</v>
      </c>
      <c r="BR244" s="2" t="s">
        <v>74</v>
      </c>
      <c r="BS244" s="2" t="s">
        <v>4645</v>
      </c>
      <c r="BT244" s="2" t="str">
        <f>HYPERLINK("https%3A%2F%2Fwww.webofscience.com%2Fwos%2Fwoscc%2Ffull-record%2FWOS:000081982700017","View Full Record in Web of Science")</f>
        <v>View Full Record in Web of Science</v>
      </c>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row>
    <row r="245" spans="1:314" s="2" customFormat="1" x14ac:dyDescent="0.4">
      <c r="A245" s="2" t="s">
        <v>72</v>
      </c>
      <c r="B245" s="2" t="s">
        <v>8216</v>
      </c>
      <c r="C245" s="2" t="s">
        <v>74</v>
      </c>
      <c r="D245" s="2" t="s">
        <v>74</v>
      </c>
      <c r="E245" s="2" t="s">
        <v>74</v>
      </c>
      <c r="F245" s="2" t="s">
        <v>8217</v>
      </c>
      <c r="G245" s="2" t="s">
        <v>74</v>
      </c>
      <c r="H245" s="2" t="s">
        <v>74</v>
      </c>
      <c r="I245" s="2" t="s">
        <v>8218</v>
      </c>
      <c r="J245" s="2" t="s">
        <v>1574</v>
      </c>
      <c r="K245" s="2" t="s">
        <v>74</v>
      </c>
      <c r="L245" s="2" t="s">
        <v>74</v>
      </c>
      <c r="M245" s="2" t="s">
        <v>74</v>
      </c>
      <c r="N245" s="2" t="s">
        <v>74</v>
      </c>
      <c r="O245" s="2" t="s">
        <v>74</v>
      </c>
      <c r="P245" s="2" t="s">
        <v>74</v>
      </c>
      <c r="Q245" s="2" t="s">
        <v>74</v>
      </c>
      <c r="R245" s="2" t="s">
        <v>74</v>
      </c>
      <c r="S245" s="2" t="s">
        <v>74</v>
      </c>
      <c r="T245" s="2" t="s">
        <v>74</v>
      </c>
      <c r="U245" s="2" t="s">
        <v>74</v>
      </c>
      <c r="V245" s="5" t="s">
        <v>8219</v>
      </c>
      <c r="W245" s="2" t="s">
        <v>74</v>
      </c>
      <c r="X245" s="2" t="s">
        <v>74</v>
      </c>
      <c r="Y245" s="2" t="s">
        <v>74</v>
      </c>
      <c r="Z245" s="2" t="s">
        <v>74</v>
      </c>
      <c r="AA245" s="2" t="s">
        <v>74</v>
      </c>
      <c r="AB245" s="2" t="s">
        <v>74</v>
      </c>
      <c r="AC245" s="2" t="s">
        <v>74</v>
      </c>
      <c r="AD245" s="2" t="s">
        <v>74</v>
      </c>
      <c r="AE245" s="2" t="s">
        <v>74</v>
      </c>
      <c r="AF245" s="2" t="s">
        <v>74</v>
      </c>
      <c r="AG245" s="2" t="s">
        <v>74</v>
      </c>
      <c r="AH245" s="2" t="s">
        <v>74</v>
      </c>
      <c r="AI245" s="2" t="s">
        <v>74</v>
      </c>
      <c r="AJ245" s="2" t="s">
        <v>74</v>
      </c>
      <c r="AK245" s="2" t="s">
        <v>74</v>
      </c>
      <c r="AL245" s="2" t="s">
        <v>74</v>
      </c>
      <c r="AM245" s="2" t="s">
        <v>74</v>
      </c>
      <c r="AN245" s="2" t="s">
        <v>74</v>
      </c>
      <c r="AO245" s="2" t="s">
        <v>1576</v>
      </c>
      <c r="AP245" s="2" t="s">
        <v>1577</v>
      </c>
      <c r="AQ245" s="2" t="s">
        <v>74</v>
      </c>
      <c r="AR245" s="2" t="s">
        <v>74</v>
      </c>
      <c r="AS245" s="2" t="s">
        <v>74</v>
      </c>
      <c r="AT245" s="2" t="s">
        <v>204</v>
      </c>
      <c r="AU245" s="2">
        <v>2022</v>
      </c>
      <c r="AV245" s="2">
        <v>97</v>
      </c>
      <c r="AW245" s="2" t="s">
        <v>1276</v>
      </c>
      <c r="AX245" s="2" t="s">
        <v>74</v>
      </c>
      <c r="AY245" s="2" t="s">
        <v>74</v>
      </c>
      <c r="AZ245" s="2" t="s">
        <v>74</v>
      </c>
      <c r="BA245" s="2" t="s">
        <v>74</v>
      </c>
      <c r="BB245" s="2">
        <v>184</v>
      </c>
      <c r="BC245" s="2">
        <v>196</v>
      </c>
      <c r="BD245" s="2" t="s">
        <v>74</v>
      </c>
      <c r="BE245" s="2" t="s">
        <v>8220</v>
      </c>
      <c r="BF245" s="2" t="str">
        <f>HYPERLINK("http://dx.doi.org/10.1159/000524217","http://dx.doi.org/10.1159/000524217")</f>
        <v>http://dx.doi.org/10.1159/000524217</v>
      </c>
      <c r="BG245" s="2" t="s">
        <v>74</v>
      </c>
      <c r="BH245" s="2" t="s">
        <v>74</v>
      </c>
      <c r="BI245" s="2" t="s">
        <v>74</v>
      </c>
      <c r="BJ245" s="2" t="s">
        <v>74</v>
      </c>
      <c r="BK245" s="2" t="s">
        <v>74</v>
      </c>
      <c r="BL245" s="2" t="s">
        <v>74</v>
      </c>
      <c r="BM245" s="2" t="s">
        <v>74</v>
      </c>
      <c r="BN245" s="2">
        <v>35320812</v>
      </c>
      <c r="BO245" s="2" t="s">
        <v>74</v>
      </c>
      <c r="BP245" s="2" t="s">
        <v>74</v>
      </c>
      <c r="BQ245" s="2" t="s">
        <v>74</v>
      </c>
      <c r="BR245" s="2" t="s">
        <v>74</v>
      </c>
      <c r="BS245" s="2" t="s">
        <v>8221</v>
      </c>
      <c r="BT245" s="2" t="str">
        <f>HYPERLINK("https%3A%2F%2Fwww.webofscience.com%2Fwos%2Fwoscc%2Ffull-record%2FWOS:000840266300008","View Full Record in Web of Science")</f>
        <v>View Full Record in Web of Science</v>
      </c>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row>
    <row r="246" spans="1:314" s="2" customFormat="1" x14ac:dyDescent="0.4">
      <c r="A246" s="2" t="s">
        <v>72</v>
      </c>
      <c r="B246" s="2" t="s">
        <v>3913</v>
      </c>
      <c r="C246" s="2" t="s">
        <v>74</v>
      </c>
      <c r="D246" s="2" t="s">
        <v>74</v>
      </c>
      <c r="E246" s="2" t="s">
        <v>74</v>
      </c>
      <c r="F246" s="2" t="s">
        <v>3914</v>
      </c>
      <c r="G246" s="2" t="s">
        <v>74</v>
      </c>
      <c r="H246" s="2" t="s">
        <v>74</v>
      </c>
      <c r="I246" s="2" t="s">
        <v>3915</v>
      </c>
      <c r="J246" s="2" t="s">
        <v>1995</v>
      </c>
      <c r="K246" s="2" t="s">
        <v>74</v>
      </c>
      <c r="L246" s="2" t="s">
        <v>74</v>
      </c>
      <c r="M246" s="2" t="s">
        <v>74</v>
      </c>
      <c r="N246" s="2" t="s">
        <v>74</v>
      </c>
      <c r="O246" s="2" t="s">
        <v>74</v>
      </c>
      <c r="P246" s="2" t="s">
        <v>74</v>
      </c>
      <c r="Q246" s="2" t="s">
        <v>74</v>
      </c>
      <c r="R246" s="2" t="s">
        <v>74</v>
      </c>
      <c r="S246" s="2" t="s">
        <v>74</v>
      </c>
      <c r="T246" s="2" t="s">
        <v>74</v>
      </c>
      <c r="U246" s="2" t="s">
        <v>74</v>
      </c>
      <c r="V246" s="5" t="s">
        <v>3916</v>
      </c>
      <c r="W246" s="2" t="s">
        <v>74</v>
      </c>
      <c r="X246" s="2" t="s">
        <v>74</v>
      </c>
      <c r="Y246" s="2" t="s">
        <v>74</v>
      </c>
      <c r="Z246" s="2" t="s">
        <v>74</v>
      </c>
      <c r="AA246" s="2" t="s">
        <v>74</v>
      </c>
      <c r="AB246" s="2" t="s">
        <v>74</v>
      </c>
      <c r="AC246" s="2" t="s">
        <v>74</v>
      </c>
      <c r="AD246" s="2" t="s">
        <v>74</v>
      </c>
      <c r="AE246" s="2" t="s">
        <v>74</v>
      </c>
      <c r="AF246" s="2" t="s">
        <v>74</v>
      </c>
      <c r="AG246" s="2" t="s">
        <v>74</v>
      </c>
      <c r="AH246" s="2" t="s">
        <v>74</v>
      </c>
      <c r="AI246" s="2" t="s">
        <v>74</v>
      </c>
      <c r="AJ246" s="2" t="s">
        <v>74</v>
      </c>
      <c r="AK246" s="2" t="s">
        <v>74</v>
      </c>
      <c r="AL246" s="2" t="s">
        <v>74</v>
      </c>
      <c r="AM246" s="2" t="s">
        <v>74</v>
      </c>
      <c r="AN246" s="2" t="s">
        <v>74</v>
      </c>
      <c r="AO246" s="2" t="s">
        <v>1997</v>
      </c>
      <c r="AP246" s="2" t="s">
        <v>3917</v>
      </c>
      <c r="AQ246" s="2" t="s">
        <v>74</v>
      </c>
      <c r="AR246" s="2" t="s">
        <v>74</v>
      </c>
      <c r="AS246" s="2" t="s">
        <v>74</v>
      </c>
      <c r="AT246" s="2" t="s">
        <v>102</v>
      </c>
      <c r="AU246" s="2">
        <v>2009</v>
      </c>
      <c r="AV246" s="2">
        <v>80</v>
      </c>
      <c r="AW246" s="2">
        <v>2</v>
      </c>
      <c r="AX246" s="2" t="s">
        <v>74</v>
      </c>
      <c r="AY246" s="2" t="s">
        <v>74</v>
      </c>
      <c r="AZ246" s="2" t="s">
        <v>74</v>
      </c>
      <c r="BA246" s="2" t="s">
        <v>74</v>
      </c>
      <c r="BB246" s="2">
        <v>163</v>
      </c>
      <c r="BC246" s="2">
        <v>170</v>
      </c>
      <c r="BD246" s="2" t="s">
        <v>74</v>
      </c>
      <c r="BE246" s="2" t="s">
        <v>3918</v>
      </c>
      <c r="BF246" s="2" t="str">
        <f>HYPERLINK("http://dx.doi.org/10.1111/j.1557-9263.2009.00218.x","http://dx.doi.org/10.1111/j.1557-9263.2009.00218.x")</f>
        <v>http://dx.doi.org/10.1111/j.1557-9263.2009.00218.x</v>
      </c>
      <c r="BG246" s="2" t="s">
        <v>74</v>
      </c>
      <c r="BH246" s="2" t="s">
        <v>74</v>
      </c>
      <c r="BI246" s="2" t="s">
        <v>74</v>
      </c>
      <c r="BJ246" s="2" t="s">
        <v>74</v>
      </c>
      <c r="BK246" s="2" t="s">
        <v>74</v>
      </c>
      <c r="BL246" s="2" t="s">
        <v>74</v>
      </c>
      <c r="BM246" s="2" t="s">
        <v>74</v>
      </c>
      <c r="BN246" s="2" t="s">
        <v>74</v>
      </c>
      <c r="BO246" s="2" t="s">
        <v>74</v>
      </c>
      <c r="BP246" s="2" t="s">
        <v>74</v>
      </c>
      <c r="BQ246" s="2" t="s">
        <v>74</v>
      </c>
      <c r="BR246" s="2" t="s">
        <v>74</v>
      </c>
      <c r="BS246" s="2" t="s">
        <v>3919</v>
      </c>
      <c r="BT246" s="2" t="str">
        <f>HYPERLINK("https%3A%2F%2Fwww.webofscience.com%2Fwos%2Fwoscc%2Ffull-record%2FWOS:000266465200007","View Full Record in Web of Science")</f>
        <v>View Full Record in Web of Science</v>
      </c>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row>
    <row r="247" spans="1:314" s="1" customFormat="1" x14ac:dyDescent="0.4">
      <c r="A247" s="2" t="s">
        <v>72</v>
      </c>
      <c r="B247" s="2" t="s">
        <v>4769</v>
      </c>
      <c r="C247" s="2" t="s">
        <v>74</v>
      </c>
      <c r="D247" s="2" t="s">
        <v>74</v>
      </c>
      <c r="E247" s="2" t="s">
        <v>74</v>
      </c>
      <c r="F247" s="2" t="s">
        <v>4770</v>
      </c>
      <c r="G247" s="2" t="s">
        <v>74</v>
      </c>
      <c r="H247" s="2" t="s">
        <v>74</v>
      </c>
      <c r="I247" s="2" t="s">
        <v>4771</v>
      </c>
      <c r="J247" s="2" t="s">
        <v>4772</v>
      </c>
      <c r="K247" s="2" t="s">
        <v>74</v>
      </c>
      <c r="L247" s="2" t="s">
        <v>74</v>
      </c>
      <c r="M247" s="2" t="s">
        <v>74</v>
      </c>
      <c r="N247" s="2" t="s">
        <v>74</v>
      </c>
      <c r="O247" s="2" t="s">
        <v>74</v>
      </c>
      <c r="P247" s="2" t="s">
        <v>74</v>
      </c>
      <c r="Q247" s="2" t="s">
        <v>74</v>
      </c>
      <c r="R247" s="2" t="s">
        <v>74</v>
      </c>
      <c r="S247" s="2" t="s">
        <v>74</v>
      </c>
      <c r="T247" s="2" t="s">
        <v>74</v>
      </c>
      <c r="U247" s="2" t="s">
        <v>74</v>
      </c>
      <c r="V247" s="5" t="s">
        <v>4773</v>
      </c>
      <c r="W247" s="2" t="s">
        <v>74</v>
      </c>
      <c r="X247" s="2" t="s">
        <v>74</v>
      </c>
      <c r="Y247" s="2" t="s">
        <v>74</v>
      </c>
      <c r="Z247" s="2" t="s">
        <v>74</v>
      </c>
      <c r="AA247" s="2" t="s">
        <v>74</v>
      </c>
      <c r="AB247" s="2" t="s">
        <v>74</v>
      </c>
      <c r="AC247" s="2" t="s">
        <v>74</v>
      </c>
      <c r="AD247" s="2" t="s">
        <v>74</v>
      </c>
      <c r="AE247" s="2" t="s">
        <v>74</v>
      </c>
      <c r="AF247" s="2" t="s">
        <v>74</v>
      </c>
      <c r="AG247" s="2" t="s">
        <v>74</v>
      </c>
      <c r="AH247" s="2" t="s">
        <v>74</v>
      </c>
      <c r="AI247" s="2" t="s">
        <v>74</v>
      </c>
      <c r="AJ247" s="2" t="s">
        <v>74</v>
      </c>
      <c r="AK247" s="2" t="s">
        <v>74</v>
      </c>
      <c r="AL247" s="2" t="s">
        <v>74</v>
      </c>
      <c r="AM247" s="2" t="s">
        <v>74</v>
      </c>
      <c r="AN247" s="2" t="s">
        <v>74</v>
      </c>
      <c r="AO247" s="2" t="s">
        <v>4774</v>
      </c>
      <c r="AP247" s="2" t="s">
        <v>74</v>
      </c>
      <c r="AQ247" s="2" t="s">
        <v>74</v>
      </c>
      <c r="AR247" s="2" t="s">
        <v>74</v>
      </c>
      <c r="AS247" s="2" t="s">
        <v>74</v>
      </c>
      <c r="AT247" s="2" t="s">
        <v>204</v>
      </c>
      <c r="AU247" s="2">
        <v>2010</v>
      </c>
      <c r="AV247" s="2">
        <v>49</v>
      </c>
      <c r="AW247" s="2">
        <v>4</v>
      </c>
      <c r="AX247" s="2" t="s">
        <v>74</v>
      </c>
      <c r="AY247" s="2" t="s">
        <v>74</v>
      </c>
      <c r="AZ247" s="2" t="s">
        <v>74</v>
      </c>
      <c r="BA247" s="2" t="s">
        <v>74</v>
      </c>
      <c r="BB247" s="2">
        <v>336</v>
      </c>
      <c r="BC247" s="2">
        <v>344</v>
      </c>
      <c r="BD247" s="2" t="s">
        <v>74</v>
      </c>
      <c r="BE247" s="2" t="s">
        <v>4775</v>
      </c>
      <c r="BF247" s="2" t="str">
        <f>HYPERLINK("http://dx.doi.org/10.2216/09-19.1","http://dx.doi.org/10.2216/09-19.1")</f>
        <v>http://dx.doi.org/10.2216/09-19.1</v>
      </c>
      <c r="BG247" s="2" t="s">
        <v>74</v>
      </c>
      <c r="BH247" s="2" t="s">
        <v>74</v>
      </c>
      <c r="BI247" s="2" t="s">
        <v>74</v>
      </c>
      <c r="BJ247" s="2" t="s">
        <v>74</v>
      </c>
      <c r="BK247" s="2" t="s">
        <v>74</v>
      </c>
      <c r="BL247" s="2" t="s">
        <v>74</v>
      </c>
      <c r="BM247" s="2" t="s">
        <v>74</v>
      </c>
      <c r="BN247" s="2" t="s">
        <v>74</v>
      </c>
      <c r="BO247" s="2" t="s">
        <v>74</v>
      </c>
      <c r="BP247" s="2" t="s">
        <v>74</v>
      </c>
      <c r="BQ247" s="2" t="s">
        <v>74</v>
      </c>
      <c r="BR247" s="2" t="s">
        <v>74</v>
      </c>
      <c r="BS247" s="2" t="s">
        <v>4776</v>
      </c>
      <c r="BT247" s="2" t="str">
        <f>HYPERLINK("https%3A%2F%2Fwww.webofscience.com%2Fwos%2Fwoscc%2Ffull-record%2FWOS:000280232300004","View Full Record in Web of Science")</f>
        <v>View Full Record in Web of Science</v>
      </c>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row>
    <row r="248" spans="1:314" s="2" customFormat="1" x14ac:dyDescent="0.4">
      <c r="A248" s="2" t="s">
        <v>72</v>
      </c>
      <c r="B248" s="2" t="s">
        <v>6800</v>
      </c>
      <c r="C248" s="2" t="s">
        <v>74</v>
      </c>
      <c r="D248" s="2" t="s">
        <v>74</v>
      </c>
      <c r="E248" s="2" t="s">
        <v>74</v>
      </c>
      <c r="F248" s="2" t="s">
        <v>6800</v>
      </c>
      <c r="G248" s="2" t="s">
        <v>74</v>
      </c>
      <c r="H248" s="2" t="s">
        <v>74</v>
      </c>
      <c r="I248" s="2" t="s">
        <v>6801</v>
      </c>
      <c r="J248" s="2" t="s">
        <v>1198</v>
      </c>
      <c r="K248" s="2" t="s">
        <v>74</v>
      </c>
      <c r="L248" s="2" t="s">
        <v>74</v>
      </c>
      <c r="M248" s="2" t="s">
        <v>74</v>
      </c>
      <c r="N248" s="2" t="s">
        <v>74</v>
      </c>
      <c r="O248" s="2" t="s">
        <v>74</v>
      </c>
      <c r="P248" s="2" t="s">
        <v>74</v>
      </c>
      <c r="Q248" s="2" t="s">
        <v>74</v>
      </c>
      <c r="R248" s="2" t="s">
        <v>74</v>
      </c>
      <c r="S248" s="2" t="s">
        <v>74</v>
      </c>
      <c r="T248" s="2" t="s">
        <v>74</v>
      </c>
      <c r="U248" s="2" t="s">
        <v>74</v>
      </c>
      <c r="V248" s="5" t="s">
        <v>6802</v>
      </c>
      <c r="W248" s="2" t="s">
        <v>74</v>
      </c>
      <c r="X248" s="2" t="s">
        <v>74</v>
      </c>
      <c r="Y248" s="2" t="s">
        <v>74</v>
      </c>
      <c r="Z248" s="2" t="s">
        <v>74</v>
      </c>
      <c r="AA248" s="2" t="s">
        <v>74</v>
      </c>
      <c r="AB248" s="2" t="s">
        <v>74</v>
      </c>
      <c r="AC248" s="2" t="s">
        <v>74</v>
      </c>
      <c r="AD248" s="2" t="s">
        <v>74</v>
      </c>
      <c r="AE248" s="2" t="s">
        <v>74</v>
      </c>
      <c r="AF248" s="2" t="s">
        <v>74</v>
      </c>
      <c r="AG248" s="2" t="s">
        <v>74</v>
      </c>
      <c r="AH248" s="2" t="s">
        <v>74</v>
      </c>
      <c r="AI248" s="2" t="s">
        <v>74</v>
      </c>
      <c r="AJ248" s="2" t="s">
        <v>74</v>
      </c>
      <c r="AK248" s="2" t="s">
        <v>74</v>
      </c>
      <c r="AL248" s="2" t="s">
        <v>74</v>
      </c>
      <c r="AM248" s="2" t="s">
        <v>74</v>
      </c>
      <c r="AN248" s="2" t="s">
        <v>74</v>
      </c>
      <c r="AO248" s="2" t="s">
        <v>1202</v>
      </c>
      <c r="AP248" s="2" t="s">
        <v>1203</v>
      </c>
      <c r="AQ248" s="2" t="s">
        <v>74</v>
      </c>
      <c r="AR248" s="2" t="s">
        <v>74</v>
      </c>
      <c r="AS248" s="2" t="s">
        <v>74</v>
      </c>
      <c r="AT248" s="2" t="s">
        <v>102</v>
      </c>
      <c r="AU248" s="2">
        <v>1997</v>
      </c>
      <c r="AV248" s="2">
        <v>53</v>
      </c>
      <c r="AW248" s="2">
        <v>2</v>
      </c>
      <c r="AX248" s="2" t="s">
        <v>74</v>
      </c>
      <c r="AY248" s="2" t="s">
        <v>74</v>
      </c>
      <c r="AZ248" s="2" t="s">
        <v>74</v>
      </c>
      <c r="BA248" s="2" t="s">
        <v>74</v>
      </c>
      <c r="BB248" s="2">
        <v>206</v>
      </c>
      <c r="BC248" s="2">
        <v>217</v>
      </c>
      <c r="BD248" s="2" t="s">
        <v>74</v>
      </c>
      <c r="BE248" s="2" t="s">
        <v>74</v>
      </c>
      <c r="BF248" s="2" t="s">
        <v>74</v>
      </c>
      <c r="BG248" s="2" t="s">
        <v>74</v>
      </c>
      <c r="BH248" s="2" t="s">
        <v>74</v>
      </c>
      <c r="BI248" s="2" t="s">
        <v>74</v>
      </c>
      <c r="BJ248" s="2" t="s">
        <v>74</v>
      </c>
      <c r="BK248" s="2" t="s">
        <v>74</v>
      </c>
      <c r="BL248" s="2" t="s">
        <v>74</v>
      </c>
      <c r="BM248" s="2" t="s">
        <v>74</v>
      </c>
      <c r="BN248" s="2" t="s">
        <v>74</v>
      </c>
      <c r="BO248" s="2" t="s">
        <v>74</v>
      </c>
      <c r="BP248" s="2" t="s">
        <v>74</v>
      </c>
      <c r="BQ248" s="2" t="s">
        <v>74</v>
      </c>
      <c r="BR248" s="2" t="s">
        <v>74</v>
      </c>
      <c r="BS248" s="2" t="s">
        <v>6803</v>
      </c>
      <c r="BT248" s="2" t="str">
        <f>HYPERLINK("https%3A%2F%2Fwww.webofscience.com%2Fwos%2Fwoscc%2Ffull-record%2FWOS:A1997XC82700006","View Full Record in Web of Science")</f>
        <v>View Full Record in Web of Science</v>
      </c>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row>
    <row r="249" spans="1:314" s="2" customFormat="1" x14ac:dyDescent="0.4">
      <c r="A249" s="2" t="s">
        <v>72</v>
      </c>
      <c r="B249" s="2" t="s">
        <v>8646</v>
      </c>
      <c r="C249" s="2" t="s">
        <v>74</v>
      </c>
      <c r="D249" s="2" t="s">
        <v>74</v>
      </c>
      <c r="E249" s="2" t="s">
        <v>74</v>
      </c>
      <c r="F249" s="2" t="s">
        <v>8647</v>
      </c>
      <c r="G249" s="2" t="s">
        <v>74</v>
      </c>
      <c r="H249" s="2" t="s">
        <v>74</v>
      </c>
      <c r="I249" s="2" t="s">
        <v>8648</v>
      </c>
      <c r="J249" s="2" t="s">
        <v>3605</v>
      </c>
      <c r="K249" s="2" t="s">
        <v>74</v>
      </c>
      <c r="L249" s="2" t="s">
        <v>74</v>
      </c>
      <c r="M249" s="2" t="s">
        <v>74</v>
      </c>
      <c r="N249" s="2" t="s">
        <v>74</v>
      </c>
      <c r="O249" s="2" t="s">
        <v>74</v>
      </c>
      <c r="P249" s="2" t="s">
        <v>74</v>
      </c>
      <c r="Q249" s="2" t="s">
        <v>74</v>
      </c>
      <c r="R249" s="2" t="s">
        <v>74</v>
      </c>
      <c r="S249" s="2" t="s">
        <v>74</v>
      </c>
      <c r="T249" s="2" t="s">
        <v>74</v>
      </c>
      <c r="U249" s="2" t="s">
        <v>74</v>
      </c>
      <c r="V249" s="5" t="s">
        <v>8649</v>
      </c>
      <c r="W249" s="2" t="s">
        <v>74</v>
      </c>
      <c r="X249" s="2" t="s">
        <v>74</v>
      </c>
      <c r="Y249" s="2" t="s">
        <v>74</v>
      </c>
      <c r="Z249" s="2" t="s">
        <v>74</v>
      </c>
      <c r="AA249" s="2" t="s">
        <v>8650</v>
      </c>
      <c r="AB249" s="2" t="s">
        <v>8651</v>
      </c>
      <c r="AC249" s="2" t="s">
        <v>74</v>
      </c>
      <c r="AD249" s="2" t="s">
        <v>74</v>
      </c>
      <c r="AE249" s="2" t="s">
        <v>74</v>
      </c>
      <c r="AF249" s="2" t="s">
        <v>74</v>
      </c>
      <c r="AG249" s="2" t="s">
        <v>74</v>
      </c>
      <c r="AH249" s="2" t="s">
        <v>74</v>
      </c>
      <c r="AI249" s="2" t="s">
        <v>74</v>
      </c>
      <c r="AJ249" s="2" t="s">
        <v>74</v>
      </c>
      <c r="AK249" s="2" t="s">
        <v>74</v>
      </c>
      <c r="AL249" s="2" t="s">
        <v>74</v>
      </c>
      <c r="AM249" s="2" t="s">
        <v>74</v>
      </c>
      <c r="AN249" s="2" t="s">
        <v>74</v>
      </c>
      <c r="AO249" s="2" t="s">
        <v>3607</v>
      </c>
      <c r="AP249" s="2" t="s">
        <v>3608</v>
      </c>
      <c r="AQ249" s="2" t="s">
        <v>74</v>
      </c>
      <c r="AR249" s="2" t="s">
        <v>74</v>
      </c>
      <c r="AS249" s="2" t="s">
        <v>74</v>
      </c>
      <c r="AT249" s="2" t="s">
        <v>352</v>
      </c>
      <c r="AU249" s="2">
        <v>2019</v>
      </c>
      <c r="AV249" s="2">
        <v>99</v>
      </c>
      <c r="AW249" s="2">
        <v>6</v>
      </c>
      <c r="AX249" s="2" t="s">
        <v>74</v>
      </c>
      <c r="AY249" s="2" t="s">
        <v>74</v>
      </c>
      <c r="AZ249" s="2" t="s">
        <v>74</v>
      </c>
      <c r="BA249" s="2" t="s">
        <v>74</v>
      </c>
      <c r="BB249" s="2">
        <v>1267</v>
      </c>
      <c r="BC249" s="2">
        <v>1271</v>
      </c>
      <c r="BD249" s="2" t="s">
        <v>8652</v>
      </c>
      <c r="BE249" s="2" t="s">
        <v>8653</v>
      </c>
      <c r="BF249" s="2" t="str">
        <f>HYPERLINK("http://dx.doi.org/10.1017/S0025315419000171","http://dx.doi.org/10.1017/S0025315419000171")</f>
        <v>http://dx.doi.org/10.1017/S0025315419000171</v>
      </c>
      <c r="BG249" s="2" t="s">
        <v>74</v>
      </c>
      <c r="BH249" s="2" t="s">
        <v>74</v>
      </c>
      <c r="BI249" s="2" t="s">
        <v>74</v>
      </c>
      <c r="BJ249" s="2" t="s">
        <v>74</v>
      </c>
      <c r="BK249" s="2" t="s">
        <v>74</v>
      </c>
      <c r="BL249" s="2" t="s">
        <v>74</v>
      </c>
      <c r="BM249" s="2" t="s">
        <v>74</v>
      </c>
      <c r="BN249" s="2" t="s">
        <v>74</v>
      </c>
      <c r="BO249" s="2" t="s">
        <v>74</v>
      </c>
      <c r="BP249" s="2" t="s">
        <v>74</v>
      </c>
      <c r="BQ249" s="2" t="s">
        <v>74</v>
      </c>
      <c r="BR249" s="2" t="s">
        <v>74</v>
      </c>
      <c r="BS249" s="2" t="s">
        <v>8654</v>
      </c>
      <c r="BT249" s="2" t="str">
        <f>HYPERLINK("https%3A%2F%2Fwww.webofscience.com%2Fwos%2Fwoscc%2Ffull-record%2FWOS:000482975700004","View Full Record in Web of Science")</f>
        <v>View Full Record in Web of Science</v>
      </c>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row>
    <row r="250" spans="1:314" s="2" customFormat="1" x14ac:dyDescent="0.4">
      <c r="A250" s="2" t="s">
        <v>72</v>
      </c>
      <c r="B250" s="2" t="s">
        <v>5088</v>
      </c>
      <c r="C250" s="2" t="s">
        <v>74</v>
      </c>
      <c r="D250" s="2" t="s">
        <v>74</v>
      </c>
      <c r="E250" s="2" t="s">
        <v>74</v>
      </c>
      <c r="F250" s="2" t="s">
        <v>5089</v>
      </c>
      <c r="G250" s="2" t="s">
        <v>74</v>
      </c>
      <c r="H250" s="2" t="s">
        <v>74</v>
      </c>
      <c r="I250" s="2" t="s">
        <v>5090</v>
      </c>
      <c r="J250" s="2" t="s">
        <v>1635</v>
      </c>
      <c r="K250" s="2" t="s">
        <v>74</v>
      </c>
      <c r="L250" s="2" t="s">
        <v>74</v>
      </c>
      <c r="M250" s="2" t="s">
        <v>74</v>
      </c>
      <c r="N250" s="2" t="s">
        <v>74</v>
      </c>
      <c r="O250" s="2" t="s">
        <v>74</v>
      </c>
      <c r="P250" s="2" t="s">
        <v>74</v>
      </c>
      <c r="Q250" s="2" t="s">
        <v>74</v>
      </c>
      <c r="R250" s="2" t="s">
        <v>74</v>
      </c>
      <c r="S250" s="2" t="s">
        <v>74</v>
      </c>
      <c r="T250" s="2" t="s">
        <v>74</v>
      </c>
      <c r="U250" s="2" t="s">
        <v>74</v>
      </c>
      <c r="V250" s="5" t="s">
        <v>5091</v>
      </c>
      <c r="W250" s="2" t="s">
        <v>74</v>
      </c>
      <c r="X250" s="2" t="s">
        <v>74</v>
      </c>
      <c r="Y250" s="2" t="s">
        <v>74</v>
      </c>
      <c r="Z250" s="2" t="s">
        <v>74</v>
      </c>
      <c r="AA250" s="2" t="s">
        <v>74</v>
      </c>
      <c r="AB250" s="2" t="s">
        <v>74</v>
      </c>
      <c r="AC250" s="2" t="s">
        <v>74</v>
      </c>
      <c r="AD250" s="2" t="s">
        <v>74</v>
      </c>
      <c r="AE250" s="2" t="s">
        <v>74</v>
      </c>
      <c r="AF250" s="2" t="s">
        <v>74</v>
      </c>
      <c r="AG250" s="2" t="s">
        <v>74</v>
      </c>
      <c r="AH250" s="2" t="s">
        <v>74</v>
      </c>
      <c r="AI250" s="2" t="s">
        <v>74</v>
      </c>
      <c r="AJ250" s="2" t="s">
        <v>74</v>
      </c>
      <c r="AK250" s="2" t="s">
        <v>74</v>
      </c>
      <c r="AL250" s="2" t="s">
        <v>74</v>
      </c>
      <c r="AM250" s="2" t="s">
        <v>74</v>
      </c>
      <c r="AN250" s="2" t="s">
        <v>74</v>
      </c>
      <c r="AO250" s="2" t="s">
        <v>1639</v>
      </c>
      <c r="AP250" s="2" t="s">
        <v>1640</v>
      </c>
      <c r="AQ250" s="2" t="s">
        <v>74</v>
      </c>
      <c r="AR250" s="2" t="s">
        <v>74</v>
      </c>
      <c r="AS250" s="2" t="s">
        <v>74</v>
      </c>
      <c r="AT250" s="2" t="s">
        <v>5092</v>
      </c>
      <c r="AU250" s="2">
        <v>2009</v>
      </c>
      <c r="AV250" s="2">
        <v>364</v>
      </c>
      <c r="AW250" s="2">
        <v>1516</v>
      </c>
      <c r="AX250" s="2" t="s">
        <v>74</v>
      </c>
      <c r="AY250" s="2" t="s">
        <v>74</v>
      </c>
      <c r="AZ250" s="2" t="s">
        <v>74</v>
      </c>
      <c r="BA250" s="2" t="s">
        <v>74</v>
      </c>
      <c r="BB250" s="2">
        <v>537</v>
      </c>
      <c r="BC250" s="2">
        <v>548</v>
      </c>
      <c r="BD250" s="2" t="s">
        <v>74</v>
      </c>
      <c r="BE250" s="2" t="s">
        <v>5093</v>
      </c>
      <c r="BF250" s="2" t="str">
        <f>HYPERLINK("http://dx.doi.org/10.1098/rstb.2008.0221","http://dx.doi.org/10.1098/rstb.2008.0221")</f>
        <v>http://dx.doi.org/10.1098/rstb.2008.0221</v>
      </c>
      <c r="BG250" s="2" t="s">
        <v>74</v>
      </c>
      <c r="BH250" s="2" t="s">
        <v>74</v>
      </c>
      <c r="BI250" s="2" t="s">
        <v>74</v>
      </c>
      <c r="BJ250" s="2" t="s">
        <v>74</v>
      </c>
      <c r="BK250" s="2" t="s">
        <v>74</v>
      </c>
      <c r="BL250" s="2" t="s">
        <v>74</v>
      </c>
      <c r="BM250" s="2" t="s">
        <v>74</v>
      </c>
      <c r="BN250" s="2">
        <v>18990666</v>
      </c>
      <c r="BO250" s="2" t="s">
        <v>74</v>
      </c>
      <c r="BP250" s="2" t="s">
        <v>74</v>
      </c>
      <c r="BQ250" s="2" t="s">
        <v>74</v>
      </c>
      <c r="BR250" s="2" t="s">
        <v>74</v>
      </c>
      <c r="BS250" s="2" t="s">
        <v>5094</v>
      </c>
      <c r="BT250" s="2" t="str">
        <f>HYPERLINK("https%3A%2F%2Fwww.webofscience.com%2Fwos%2Fwoscc%2Ffull-record%2FWOS:000262353500014","View Full Record in Web of Science")</f>
        <v>View Full Record in Web of Science</v>
      </c>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row>
    <row r="251" spans="1:314" s="2" customFormat="1" x14ac:dyDescent="0.4">
      <c r="A251" s="2" t="s">
        <v>72</v>
      </c>
      <c r="B251" s="2" t="s">
        <v>2615</v>
      </c>
      <c r="C251" s="2" t="s">
        <v>74</v>
      </c>
      <c r="D251" s="2" t="s">
        <v>74</v>
      </c>
      <c r="E251" s="2" t="s">
        <v>74</v>
      </c>
      <c r="F251" s="2" t="s">
        <v>2615</v>
      </c>
      <c r="G251" s="2" t="s">
        <v>74</v>
      </c>
      <c r="H251" s="2" t="s">
        <v>74</v>
      </c>
      <c r="I251" s="2" t="s">
        <v>2616</v>
      </c>
      <c r="J251" s="2" t="s">
        <v>1812</v>
      </c>
      <c r="K251" s="2" t="s">
        <v>74</v>
      </c>
      <c r="L251" s="2" t="s">
        <v>74</v>
      </c>
      <c r="M251" s="2" t="s">
        <v>74</v>
      </c>
      <c r="N251" s="2" t="s">
        <v>74</v>
      </c>
      <c r="O251" s="2" t="s">
        <v>74</v>
      </c>
      <c r="P251" s="2" t="s">
        <v>74</v>
      </c>
      <c r="Q251" s="2" t="s">
        <v>74</v>
      </c>
      <c r="R251" s="2" t="s">
        <v>74</v>
      </c>
      <c r="S251" s="2" t="s">
        <v>74</v>
      </c>
      <c r="T251" s="2" t="s">
        <v>74</v>
      </c>
      <c r="U251" s="2" t="s">
        <v>74</v>
      </c>
      <c r="V251" s="5" t="s">
        <v>2617</v>
      </c>
      <c r="W251" s="2" t="s">
        <v>74</v>
      </c>
      <c r="X251" s="2" t="s">
        <v>74</v>
      </c>
      <c r="Y251" s="2" t="s">
        <v>74</v>
      </c>
      <c r="Z251" s="2" t="s">
        <v>74</v>
      </c>
      <c r="AA251" s="2" t="s">
        <v>74</v>
      </c>
      <c r="AB251" s="2" t="s">
        <v>74</v>
      </c>
      <c r="AC251" s="2" t="s">
        <v>74</v>
      </c>
      <c r="AD251" s="2" t="s">
        <v>74</v>
      </c>
      <c r="AE251" s="2" t="s">
        <v>74</v>
      </c>
      <c r="AF251" s="2" t="s">
        <v>74</v>
      </c>
      <c r="AG251" s="2" t="s">
        <v>74</v>
      </c>
      <c r="AH251" s="2" t="s">
        <v>74</v>
      </c>
      <c r="AI251" s="2" t="s">
        <v>74</v>
      </c>
      <c r="AJ251" s="2" t="s">
        <v>74</v>
      </c>
      <c r="AK251" s="2" t="s">
        <v>74</v>
      </c>
      <c r="AL251" s="2" t="s">
        <v>74</v>
      </c>
      <c r="AM251" s="2" t="s">
        <v>74</v>
      </c>
      <c r="AN251" s="2" t="s">
        <v>74</v>
      </c>
      <c r="AO251" s="2" t="s">
        <v>1814</v>
      </c>
      <c r="AP251" s="2" t="s">
        <v>74</v>
      </c>
      <c r="AQ251" s="2" t="s">
        <v>74</v>
      </c>
      <c r="AR251" s="2" t="s">
        <v>74</v>
      </c>
      <c r="AS251" s="2" t="s">
        <v>74</v>
      </c>
      <c r="AT251" s="2" t="s">
        <v>123</v>
      </c>
      <c r="AU251" s="2">
        <v>1995</v>
      </c>
      <c r="AV251" s="2">
        <v>29</v>
      </c>
      <c r="AW251" s="2">
        <v>1</v>
      </c>
      <c r="AX251" s="2" t="s">
        <v>74</v>
      </c>
      <c r="AY251" s="2" t="s">
        <v>74</v>
      </c>
      <c r="AZ251" s="2" t="s">
        <v>74</v>
      </c>
      <c r="BA251" s="2" t="s">
        <v>74</v>
      </c>
      <c r="BB251" s="2">
        <v>7</v>
      </c>
      <c r="BC251" s="2">
        <v>13</v>
      </c>
      <c r="BD251" s="2" t="s">
        <v>74</v>
      </c>
      <c r="BE251" s="2" t="s">
        <v>2618</v>
      </c>
      <c r="BF251" s="2" t="str">
        <f>HYPERLINK("http://dx.doi.org/10.2307/1565079","http://dx.doi.org/10.2307/1565079")</f>
        <v>http://dx.doi.org/10.2307/1565079</v>
      </c>
      <c r="BG251" s="2" t="s">
        <v>74</v>
      </c>
      <c r="BH251" s="2" t="s">
        <v>74</v>
      </c>
      <c r="BI251" s="2" t="s">
        <v>74</v>
      </c>
      <c r="BJ251" s="2" t="s">
        <v>74</v>
      </c>
      <c r="BK251" s="2" t="s">
        <v>74</v>
      </c>
      <c r="BL251" s="2" t="s">
        <v>74</v>
      </c>
      <c r="BM251" s="2" t="s">
        <v>74</v>
      </c>
      <c r="BN251" s="2" t="s">
        <v>74</v>
      </c>
      <c r="BO251" s="2" t="s">
        <v>74</v>
      </c>
      <c r="BP251" s="2" t="s">
        <v>74</v>
      </c>
      <c r="BQ251" s="2" t="s">
        <v>74</v>
      </c>
      <c r="BR251" s="2" t="s">
        <v>74</v>
      </c>
      <c r="BS251" s="2" t="s">
        <v>2619</v>
      </c>
      <c r="BT251" s="2" t="str">
        <f>HYPERLINK("https%3A%2F%2Fwww.webofscience.com%2Fwos%2Fwoscc%2Ffull-record%2FWOS:A1995QM52600002","View Full Record in Web of Science")</f>
        <v>View Full Record in Web of Science</v>
      </c>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row>
    <row r="252" spans="1:314" s="2" customFormat="1" x14ac:dyDescent="0.4">
      <c r="A252" s="2" t="s">
        <v>72</v>
      </c>
      <c r="B252" s="2" t="s">
        <v>7904</v>
      </c>
      <c r="C252" s="2" t="s">
        <v>74</v>
      </c>
      <c r="D252" s="2" t="s">
        <v>74</v>
      </c>
      <c r="E252" s="2" t="s">
        <v>74</v>
      </c>
      <c r="F252" s="2" t="s">
        <v>7905</v>
      </c>
      <c r="G252" s="2" t="s">
        <v>74</v>
      </c>
      <c r="H252" s="2" t="s">
        <v>74</v>
      </c>
      <c r="I252" s="2" t="s">
        <v>7906</v>
      </c>
      <c r="J252" s="2" t="s">
        <v>99</v>
      </c>
      <c r="K252" s="2" t="s">
        <v>74</v>
      </c>
      <c r="L252" s="2" t="s">
        <v>74</v>
      </c>
      <c r="M252" s="2" t="s">
        <v>74</v>
      </c>
      <c r="N252" s="2" t="s">
        <v>74</v>
      </c>
      <c r="O252" s="2" t="s">
        <v>74</v>
      </c>
      <c r="P252" s="2" t="s">
        <v>74</v>
      </c>
      <c r="Q252" s="2" t="s">
        <v>74</v>
      </c>
      <c r="R252" s="2" t="s">
        <v>74</v>
      </c>
      <c r="S252" s="2" t="s">
        <v>74</v>
      </c>
      <c r="T252" s="2" t="s">
        <v>74</v>
      </c>
      <c r="U252" s="2" t="s">
        <v>74</v>
      </c>
      <c r="V252" s="5" t="s">
        <v>7907</v>
      </c>
      <c r="W252" s="2" t="s">
        <v>74</v>
      </c>
      <c r="X252" s="2" t="s">
        <v>74</v>
      </c>
      <c r="Y252" s="2" t="s">
        <v>74</v>
      </c>
      <c r="Z252" s="2" t="s">
        <v>74</v>
      </c>
      <c r="AA252" s="2" t="s">
        <v>74</v>
      </c>
      <c r="AB252" s="2" t="s">
        <v>74</v>
      </c>
      <c r="AC252" s="2" t="s">
        <v>74</v>
      </c>
      <c r="AD252" s="2" t="s">
        <v>74</v>
      </c>
      <c r="AE252" s="2" t="s">
        <v>74</v>
      </c>
      <c r="AF252" s="2" t="s">
        <v>74</v>
      </c>
      <c r="AG252" s="2" t="s">
        <v>74</v>
      </c>
      <c r="AH252" s="2" t="s">
        <v>74</v>
      </c>
      <c r="AI252" s="2" t="s">
        <v>74</v>
      </c>
      <c r="AJ252" s="2" t="s">
        <v>74</v>
      </c>
      <c r="AK252" s="2" t="s">
        <v>74</v>
      </c>
      <c r="AL252" s="2" t="s">
        <v>74</v>
      </c>
      <c r="AM252" s="2" t="s">
        <v>74</v>
      </c>
      <c r="AN252" s="2" t="s">
        <v>74</v>
      </c>
      <c r="AO252" s="2" t="s">
        <v>101</v>
      </c>
      <c r="AP252" s="2" t="s">
        <v>1218</v>
      </c>
      <c r="AQ252" s="2" t="s">
        <v>74</v>
      </c>
      <c r="AR252" s="2" t="s">
        <v>74</v>
      </c>
      <c r="AS252" s="2" t="s">
        <v>74</v>
      </c>
      <c r="AT252" s="2" t="s">
        <v>102</v>
      </c>
      <c r="AU252" s="2">
        <v>2020</v>
      </c>
      <c r="AV252" s="2">
        <v>132</v>
      </c>
      <c r="AW252" s="2">
        <v>2</v>
      </c>
      <c r="AX252" s="2" t="s">
        <v>74</v>
      </c>
      <c r="AY252" s="2" t="s">
        <v>74</v>
      </c>
      <c r="AZ252" s="2" t="s">
        <v>74</v>
      </c>
      <c r="BA252" s="2" t="s">
        <v>74</v>
      </c>
      <c r="BB252" s="2">
        <v>295</v>
      </c>
      <c r="BC252" s="2">
        <v>305</v>
      </c>
      <c r="BD252" s="2" t="s">
        <v>74</v>
      </c>
      <c r="BE252" s="2" t="s">
        <v>7908</v>
      </c>
      <c r="BF252" s="2" t="str">
        <f>HYPERLINK("http://dx.doi.org/10.1676/1559-4491-132.2.295","http://dx.doi.org/10.1676/1559-4491-132.2.295")</f>
        <v>http://dx.doi.org/10.1676/1559-4491-132.2.295</v>
      </c>
      <c r="BG252" s="2" t="s">
        <v>74</v>
      </c>
      <c r="BH252" s="2" t="s">
        <v>74</v>
      </c>
      <c r="BI252" s="2" t="s">
        <v>74</v>
      </c>
      <c r="BJ252" s="2" t="s">
        <v>74</v>
      </c>
      <c r="BK252" s="2" t="s">
        <v>74</v>
      </c>
      <c r="BL252" s="2" t="s">
        <v>74</v>
      </c>
      <c r="BM252" s="2" t="s">
        <v>74</v>
      </c>
      <c r="BN252" s="2" t="s">
        <v>74</v>
      </c>
      <c r="BO252" s="2" t="s">
        <v>74</v>
      </c>
      <c r="BP252" s="2" t="s">
        <v>74</v>
      </c>
      <c r="BQ252" s="2" t="s">
        <v>74</v>
      </c>
      <c r="BR252" s="2" t="s">
        <v>74</v>
      </c>
      <c r="BS252" s="2" t="s">
        <v>7909</v>
      </c>
      <c r="BT252" s="2" t="str">
        <f>HYPERLINK("https%3A%2F%2Fwww.webofscience.com%2Fwos%2Fwoscc%2Ffull-record%2FWOS:000617763600006","View Full Record in Web of Science")</f>
        <v>View Full Record in Web of Science</v>
      </c>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row>
    <row r="253" spans="1:314" s="2" customFormat="1" x14ac:dyDescent="0.4">
      <c r="A253" s="2" t="s">
        <v>72</v>
      </c>
      <c r="B253" s="2" t="s">
        <v>5482</v>
      </c>
      <c r="C253" s="2" t="s">
        <v>74</v>
      </c>
      <c r="D253" s="2" t="s">
        <v>74</v>
      </c>
      <c r="E253" s="2" t="s">
        <v>74</v>
      </c>
      <c r="F253" s="2" t="s">
        <v>5483</v>
      </c>
      <c r="G253" s="2" t="s">
        <v>74</v>
      </c>
      <c r="H253" s="2" t="s">
        <v>74</v>
      </c>
      <c r="I253" s="2" t="s">
        <v>5484</v>
      </c>
      <c r="J253" s="2" t="s">
        <v>129</v>
      </c>
      <c r="K253" s="2" t="s">
        <v>74</v>
      </c>
      <c r="L253" s="2" t="s">
        <v>74</v>
      </c>
      <c r="M253" s="2" t="s">
        <v>74</v>
      </c>
      <c r="N253" s="2" t="s">
        <v>74</v>
      </c>
      <c r="O253" s="2" t="s">
        <v>74</v>
      </c>
      <c r="P253" s="2" t="s">
        <v>74</v>
      </c>
      <c r="Q253" s="2" t="s">
        <v>74</v>
      </c>
      <c r="R253" s="2" t="s">
        <v>74</v>
      </c>
      <c r="S253" s="2" t="s">
        <v>74</v>
      </c>
      <c r="T253" s="2" t="s">
        <v>74</v>
      </c>
      <c r="U253" s="2" t="s">
        <v>74</v>
      </c>
      <c r="V253" s="5" t="s">
        <v>5485</v>
      </c>
      <c r="W253" s="2" t="s">
        <v>74</v>
      </c>
      <c r="X253" s="2" t="s">
        <v>74</v>
      </c>
      <c r="Y253" s="2" t="s">
        <v>74</v>
      </c>
      <c r="Z253" s="2" t="s">
        <v>74</v>
      </c>
      <c r="AA253" s="2" t="s">
        <v>5486</v>
      </c>
      <c r="AB253" s="2" t="s">
        <v>5487</v>
      </c>
      <c r="AC253" s="2" t="s">
        <v>74</v>
      </c>
      <c r="AD253" s="2" t="s">
        <v>74</v>
      </c>
      <c r="AE253" s="2" t="s">
        <v>74</v>
      </c>
      <c r="AF253" s="2" t="s">
        <v>74</v>
      </c>
      <c r="AG253" s="2" t="s">
        <v>74</v>
      </c>
      <c r="AH253" s="2" t="s">
        <v>74</v>
      </c>
      <c r="AI253" s="2" t="s">
        <v>74</v>
      </c>
      <c r="AJ253" s="2" t="s">
        <v>74</v>
      </c>
      <c r="AK253" s="2" t="s">
        <v>74</v>
      </c>
      <c r="AL253" s="2" t="s">
        <v>74</v>
      </c>
      <c r="AM253" s="2" t="s">
        <v>74</v>
      </c>
      <c r="AN253" s="2" t="s">
        <v>74</v>
      </c>
      <c r="AO253" s="2" t="s">
        <v>132</v>
      </c>
      <c r="AP253" s="2" t="s">
        <v>133</v>
      </c>
      <c r="AQ253" s="2" t="s">
        <v>74</v>
      </c>
      <c r="AR253" s="2" t="s">
        <v>74</v>
      </c>
      <c r="AS253" s="2" t="s">
        <v>74</v>
      </c>
      <c r="AT253" s="2" t="s">
        <v>102</v>
      </c>
      <c r="AU253" s="2">
        <v>2022</v>
      </c>
      <c r="AV253" s="2">
        <v>76</v>
      </c>
      <c r="AW253" s="2">
        <v>6</v>
      </c>
      <c r="AX253" s="2" t="s">
        <v>74</v>
      </c>
      <c r="AY253" s="2" t="s">
        <v>74</v>
      </c>
      <c r="AZ253" s="2" t="s">
        <v>74</v>
      </c>
      <c r="BA253" s="2" t="s">
        <v>74</v>
      </c>
      <c r="BB253" s="2" t="s">
        <v>74</v>
      </c>
      <c r="BC253" s="2" t="s">
        <v>74</v>
      </c>
      <c r="BD253" s="2">
        <v>77</v>
      </c>
      <c r="BE253" s="2" t="s">
        <v>5488</v>
      </c>
      <c r="BF253" s="2" t="str">
        <f>HYPERLINK("http://dx.doi.org/10.1007/s00265-022-03181-x","http://dx.doi.org/10.1007/s00265-022-03181-x")</f>
        <v>http://dx.doi.org/10.1007/s00265-022-03181-x</v>
      </c>
      <c r="BG253" s="2" t="s">
        <v>74</v>
      </c>
      <c r="BH253" s="2" t="s">
        <v>74</v>
      </c>
      <c r="BI253" s="2" t="s">
        <v>74</v>
      </c>
      <c r="BJ253" s="2" t="s">
        <v>74</v>
      </c>
      <c r="BK253" s="2" t="s">
        <v>74</v>
      </c>
      <c r="BL253" s="2" t="s">
        <v>74</v>
      </c>
      <c r="BM253" s="2" t="s">
        <v>74</v>
      </c>
      <c r="BN253" s="2" t="s">
        <v>74</v>
      </c>
      <c r="BO253" s="2" t="s">
        <v>74</v>
      </c>
      <c r="BP253" s="2" t="s">
        <v>74</v>
      </c>
      <c r="BQ253" s="2" t="s">
        <v>74</v>
      </c>
      <c r="BR253" s="2" t="s">
        <v>74</v>
      </c>
      <c r="BS253" s="2" t="s">
        <v>5489</v>
      </c>
      <c r="BT253" s="2" t="str">
        <f>HYPERLINK("https%3A%2F%2Fwww.webofscience.com%2Fwos%2Fwoscc%2Ffull-record%2FWOS:000804747400001","View Full Record in Web of Science")</f>
        <v>View Full Record in Web of Science</v>
      </c>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row>
    <row r="254" spans="1:314" s="2" customFormat="1" x14ac:dyDescent="0.4">
      <c r="A254" s="2" t="s">
        <v>72</v>
      </c>
      <c r="B254" s="2" t="s">
        <v>1892</v>
      </c>
      <c r="C254" s="2" t="s">
        <v>74</v>
      </c>
      <c r="D254" s="2" t="s">
        <v>74</v>
      </c>
      <c r="E254" s="2" t="s">
        <v>74</v>
      </c>
      <c r="F254" s="2" t="s">
        <v>1893</v>
      </c>
      <c r="G254" s="2" t="s">
        <v>74</v>
      </c>
      <c r="H254" s="2" t="s">
        <v>74</v>
      </c>
      <c r="I254" s="2" t="s">
        <v>1894</v>
      </c>
      <c r="J254" s="2" t="s">
        <v>1384</v>
      </c>
      <c r="K254" s="2" t="s">
        <v>74</v>
      </c>
      <c r="L254" s="2" t="s">
        <v>74</v>
      </c>
      <c r="M254" s="2" t="s">
        <v>74</v>
      </c>
      <c r="N254" s="2" t="s">
        <v>74</v>
      </c>
      <c r="O254" s="2" t="s">
        <v>74</v>
      </c>
      <c r="P254" s="2" t="s">
        <v>74</v>
      </c>
      <c r="Q254" s="2" t="s">
        <v>74</v>
      </c>
      <c r="R254" s="2" t="s">
        <v>74</v>
      </c>
      <c r="S254" s="2" t="s">
        <v>74</v>
      </c>
      <c r="T254" s="2" t="s">
        <v>74</v>
      </c>
      <c r="U254" s="2" t="s">
        <v>74</v>
      </c>
      <c r="V254" s="5" t="s">
        <v>1895</v>
      </c>
      <c r="W254" s="2" t="s">
        <v>74</v>
      </c>
      <c r="X254" s="2" t="s">
        <v>74</v>
      </c>
      <c r="Y254" s="2" t="s">
        <v>74</v>
      </c>
      <c r="Z254" s="2" t="s">
        <v>74</v>
      </c>
      <c r="AA254" s="2" t="s">
        <v>1896</v>
      </c>
      <c r="AB254" s="2" t="s">
        <v>1897</v>
      </c>
      <c r="AC254" s="2" t="s">
        <v>74</v>
      </c>
      <c r="AD254" s="2" t="s">
        <v>74</v>
      </c>
      <c r="AE254" s="2" t="s">
        <v>74</v>
      </c>
      <c r="AF254" s="2" t="s">
        <v>74</v>
      </c>
      <c r="AG254" s="2" t="s">
        <v>74</v>
      </c>
      <c r="AH254" s="2" t="s">
        <v>74</v>
      </c>
      <c r="AI254" s="2" t="s">
        <v>74</v>
      </c>
      <c r="AJ254" s="2" t="s">
        <v>74</v>
      </c>
      <c r="AK254" s="2" t="s">
        <v>74</v>
      </c>
      <c r="AL254" s="2" t="s">
        <v>74</v>
      </c>
      <c r="AM254" s="2" t="s">
        <v>74</v>
      </c>
      <c r="AN254" s="2" t="s">
        <v>74</v>
      </c>
      <c r="AO254" s="2" t="s">
        <v>1388</v>
      </c>
      <c r="AP254" s="2" t="s">
        <v>1389</v>
      </c>
      <c r="AQ254" s="2" t="s">
        <v>74</v>
      </c>
      <c r="AR254" s="2" t="s">
        <v>74</v>
      </c>
      <c r="AS254" s="2" t="s">
        <v>74</v>
      </c>
      <c r="AT254" s="2" t="s">
        <v>175</v>
      </c>
      <c r="AU254" s="2">
        <v>2009</v>
      </c>
      <c r="AV254" s="2">
        <v>151</v>
      </c>
      <c r="AW254" s="2">
        <v>4</v>
      </c>
      <c r="AX254" s="2" t="s">
        <v>74</v>
      </c>
      <c r="AY254" s="2" t="s">
        <v>74</v>
      </c>
      <c r="AZ254" s="2" t="s">
        <v>74</v>
      </c>
      <c r="BA254" s="2" t="s">
        <v>74</v>
      </c>
      <c r="BB254" s="2">
        <v>689</v>
      </c>
      <c r="BC254" s="2">
        <v>698</v>
      </c>
      <c r="BD254" s="2" t="s">
        <v>74</v>
      </c>
      <c r="BE254" s="2" t="s">
        <v>1898</v>
      </c>
      <c r="BF254" s="2" t="str">
        <f>HYPERLINK("http://dx.doi.org/10.1111/j.1474-919X.2009.00953.x","http://dx.doi.org/10.1111/j.1474-919X.2009.00953.x")</f>
        <v>http://dx.doi.org/10.1111/j.1474-919X.2009.00953.x</v>
      </c>
      <c r="BG254" s="2" t="s">
        <v>74</v>
      </c>
      <c r="BH254" s="2" t="s">
        <v>74</v>
      </c>
      <c r="BI254" s="2" t="s">
        <v>74</v>
      </c>
      <c r="BJ254" s="2" t="s">
        <v>74</v>
      </c>
      <c r="BK254" s="2" t="s">
        <v>74</v>
      </c>
      <c r="BL254" s="2" t="s">
        <v>74</v>
      </c>
      <c r="BM254" s="2" t="s">
        <v>74</v>
      </c>
      <c r="BN254" s="2" t="s">
        <v>74</v>
      </c>
      <c r="BO254" s="2" t="s">
        <v>74</v>
      </c>
      <c r="BP254" s="2" t="s">
        <v>74</v>
      </c>
      <c r="BQ254" s="2" t="s">
        <v>74</v>
      </c>
      <c r="BR254" s="2" t="s">
        <v>74</v>
      </c>
      <c r="BS254" s="2" t="s">
        <v>1899</v>
      </c>
      <c r="BT254" s="2" t="str">
        <f>HYPERLINK("https%3A%2F%2Fwww.webofscience.com%2Fwos%2Fwoscc%2Ffull-record%2FWOS:000269977000006","View Full Record in Web of Science")</f>
        <v>View Full Record in Web of Science</v>
      </c>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row>
    <row r="255" spans="1:314" s="2" customFormat="1" x14ac:dyDescent="0.4">
      <c r="A255" s="2" t="s">
        <v>72</v>
      </c>
      <c r="B255" s="2" t="s">
        <v>1264</v>
      </c>
      <c r="C255" s="2" t="s">
        <v>74</v>
      </c>
      <c r="D255" s="2" t="s">
        <v>74</v>
      </c>
      <c r="E255" s="2" t="s">
        <v>74</v>
      </c>
      <c r="F255" s="2" t="s">
        <v>1265</v>
      </c>
      <c r="G255" s="2" t="s">
        <v>74</v>
      </c>
      <c r="H255" s="2" t="s">
        <v>74</v>
      </c>
      <c r="I255" s="2" t="s">
        <v>1266</v>
      </c>
      <c r="J255" s="2" t="s">
        <v>88</v>
      </c>
      <c r="K255" s="2" t="s">
        <v>74</v>
      </c>
      <c r="L255" s="2" t="s">
        <v>74</v>
      </c>
      <c r="M255" s="2" t="s">
        <v>74</v>
      </c>
      <c r="N255" s="2" t="s">
        <v>74</v>
      </c>
      <c r="O255" s="2" t="s">
        <v>74</v>
      </c>
      <c r="P255" s="2" t="s">
        <v>74</v>
      </c>
      <c r="Q255" s="2" t="s">
        <v>74</v>
      </c>
      <c r="R255" s="2" t="s">
        <v>74</v>
      </c>
      <c r="S255" s="2" t="s">
        <v>74</v>
      </c>
      <c r="T255" s="2" t="s">
        <v>74</v>
      </c>
      <c r="U255" s="2" t="s">
        <v>74</v>
      </c>
      <c r="V255" s="5" t="s">
        <v>1267</v>
      </c>
      <c r="W255" s="2" t="s">
        <v>74</v>
      </c>
      <c r="X255" s="2" t="s">
        <v>74</v>
      </c>
      <c r="Y255" s="2" t="s">
        <v>74</v>
      </c>
      <c r="Z255" s="2" t="s">
        <v>74</v>
      </c>
      <c r="AA255" s="2" t="s">
        <v>1268</v>
      </c>
      <c r="AB255" s="2" t="s">
        <v>1269</v>
      </c>
      <c r="AC255" s="2" t="s">
        <v>74</v>
      </c>
      <c r="AD255" s="2" t="s">
        <v>74</v>
      </c>
      <c r="AE255" s="2" t="s">
        <v>74</v>
      </c>
      <c r="AF255" s="2" t="s">
        <v>74</v>
      </c>
      <c r="AG255" s="2" t="s">
        <v>74</v>
      </c>
      <c r="AH255" s="2" t="s">
        <v>74</v>
      </c>
      <c r="AI255" s="2" t="s">
        <v>74</v>
      </c>
      <c r="AJ255" s="2" t="s">
        <v>74</v>
      </c>
      <c r="AK255" s="2" t="s">
        <v>74</v>
      </c>
      <c r="AL255" s="2" t="s">
        <v>74</v>
      </c>
      <c r="AM255" s="2" t="s">
        <v>74</v>
      </c>
      <c r="AN255" s="2" t="s">
        <v>74</v>
      </c>
      <c r="AO255" s="2" t="s">
        <v>91</v>
      </c>
      <c r="AP255" s="2" t="s">
        <v>74</v>
      </c>
      <c r="AQ255" s="2" t="s">
        <v>74</v>
      </c>
      <c r="AR255" s="2" t="s">
        <v>74</v>
      </c>
      <c r="AS255" s="2" t="s">
        <v>74</v>
      </c>
      <c r="AT255" s="2" t="s">
        <v>895</v>
      </c>
      <c r="AU255" s="2">
        <v>2008</v>
      </c>
      <c r="AV255" s="2">
        <v>4</v>
      </c>
      <c r="AW255" s="2">
        <v>5</v>
      </c>
      <c r="AX255" s="2" t="s">
        <v>74</v>
      </c>
      <c r="AY255" s="2" t="s">
        <v>74</v>
      </c>
      <c r="AZ255" s="2" t="s">
        <v>74</v>
      </c>
      <c r="BA255" s="2" t="s">
        <v>74</v>
      </c>
      <c r="BB255" s="2">
        <v>515</v>
      </c>
      <c r="BC255" s="2">
        <v>517</v>
      </c>
      <c r="BD255" s="2" t="s">
        <v>74</v>
      </c>
      <c r="BE255" s="2" t="s">
        <v>1270</v>
      </c>
      <c r="BF255" s="2" t="str">
        <f>HYPERLINK("http://dx.doi.org/10.1098/rsbl.2008.0279","http://dx.doi.org/10.1098/rsbl.2008.0279")</f>
        <v>http://dx.doi.org/10.1098/rsbl.2008.0279</v>
      </c>
      <c r="BG255" s="2" t="s">
        <v>74</v>
      </c>
      <c r="BH255" s="2" t="s">
        <v>74</v>
      </c>
      <c r="BI255" s="2" t="s">
        <v>74</v>
      </c>
      <c r="BJ255" s="2" t="s">
        <v>74</v>
      </c>
      <c r="BK255" s="2" t="s">
        <v>74</v>
      </c>
      <c r="BL255" s="2" t="s">
        <v>74</v>
      </c>
      <c r="BM255" s="2" t="s">
        <v>74</v>
      </c>
      <c r="BN255" s="2">
        <v>18593669</v>
      </c>
      <c r="BO255" s="2" t="s">
        <v>74</v>
      </c>
      <c r="BP255" s="2" t="s">
        <v>74</v>
      </c>
      <c r="BQ255" s="2" t="s">
        <v>74</v>
      </c>
      <c r="BR255" s="2" t="s">
        <v>74</v>
      </c>
      <c r="BS255" s="2" t="s">
        <v>1271</v>
      </c>
      <c r="BT255" s="2" t="str">
        <f>HYPERLINK("https%3A%2F%2Fwww.webofscience.com%2Fwos%2Fwoscc%2Ffull-record%2FWOS:000259085900022","View Full Record in Web of Science")</f>
        <v>View Full Record in Web of Science</v>
      </c>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row>
    <row r="256" spans="1:314" s="2" customFormat="1" x14ac:dyDescent="0.4">
      <c r="A256" s="2" t="s">
        <v>72</v>
      </c>
      <c r="B256" s="2" t="s">
        <v>116</v>
      </c>
      <c r="C256" s="2" t="s">
        <v>74</v>
      </c>
      <c r="D256" s="2" t="s">
        <v>74</v>
      </c>
      <c r="E256" s="2" t="s">
        <v>74</v>
      </c>
      <c r="F256" s="2" t="s">
        <v>117</v>
      </c>
      <c r="G256" s="2" t="s">
        <v>74</v>
      </c>
      <c r="H256" s="2" t="s">
        <v>74</v>
      </c>
      <c r="I256" s="2" t="s">
        <v>118</v>
      </c>
      <c r="J256" s="2" t="s">
        <v>119</v>
      </c>
      <c r="K256" s="2" t="s">
        <v>74</v>
      </c>
      <c r="L256" s="2" t="s">
        <v>74</v>
      </c>
      <c r="M256" s="2" t="s">
        <v>74</v>
      </c>
      <c r="N256" s="2" t="s">
        <v>74</v>
      </c>
      <c r="O256" s="2" t="s">
        <v>74</v>
      </c>
      <c r="P256" s="2" t="s">
        <v>74</v>
      </c>
      <c r="Q256" s="2" t="s">
        <v>74</v>
      </c>
      <c r="R256" s="2" t="s">
        <v>74</v>
      </c>
      <c r="S256" s="2" t="s">
        <v>74</v>
      </c>
      <c r="T256" s="2" t="s">
        <v>74</v>
      </c>
      <c r="U256" s="2" t="s">
        <v>74</v>
      </c>
      <c r="V256" s="5" t="s">
        <v>120</v>
      </c>
      <c r="W256" s="2" t="s">
        <v>74</v>
      </c>
      <c r="X256" s="2" t="s">
        <v>74</v>
      </c>
      <c r="Y256" s="2" t="s">
        <v>74</v>
      </c>
      <c r="Z256" s="2" t="s">
        <v>74</v>
      </c>
      <c r="AA256" s="2" t="s">
        <v>74</v>
      </c>
      <c r="AB256" s="2" t="s">
        <v>74</v>
      </c>
      <c r="AC256" s="2" t="s">
        <v>74</v>
      </c>
      <c r="AD256" s="2" t="s">
        <v>74</v>
      </c>
      <c r="AE256" s="2" t="s">
        <v>74</v>
      </c>
      <c r="AF256" s="2" t="s">
        <v>74</v>
      </c>
      <c r="AG256" s="2" t="s">
        <v>74</v>
      </c>
      <c r="AH256" s="2" t="s">
        <v>74</v>
      </c>
      <c r="AI256" s="2" t="s">
        <v>74</v>
      </c>
      <c r="AJ256" s="2" t="s">
        <v>74</v>
      </c>
      <c r="AK256" s="2" t="s">
        <v>74</v>
      </c>
      <c r="AL256" s="2" t="s">
        <v>74</v>
      </c>
      <c r="AM256" s="2" t="s">
        <v>74</v>
      </c>
      <c r="AN256" s="2" t="s">
        <v>74</v>
      </c>
      <c r="AO256" s="2" t="s">
        <v>121</v>
      </c>
      <c r="AP256" s="2" t="s">
        <v>122</v>
      </c>
      <c r="AQ256" s="2" t="s">
        <v>74</v>
      </c>
      <c r="AR256" s="2" t="s">
        <v>74</v>
      </c>
      <c r="AS256" s="2" t="s">
        <v>74</v>
      </c>
      <c r="AT256" s="2" t="s">
        <v>123</v>
      </c>
      <c r="AU256" s="2">
        <v>2017</v>
      </c>
      <c r="AV256" s="2">
        <v>136</v>
      </c>
      <c r="AW256" s="2" t="s">
        <v>74</v>
      </c>
      <c r="AX256" s="2" t="s">
        <v>74</v>
      </c>
      <c r="AY256" s="2" t="s">
        <v>74</v>
      </c>
      <c r="AZ256" s="2" t="s">
        <v>74</v>
      </c>
      <c r="BA256" s="2" t="s">
        <v>74</v>
      </c>
      <c r="BB256" s="2">
        <v>64</v>
      </c>
      <c r="BC256" s="2">
        <v>72</v>
      </c>
      <c r="BD256" s="2" t="s">
        <v>74</v>
      </c>
      <c r="BE256" s="2" t="s">
        <v>124</v>
      </c>
      <c r="BF256" s="2" t="str">
        <f>HYPERLINK("http://dx.doi.org/10.1016/j.beproc.2017.01.011","http://dx.doi.org/10.1016/j.beproc.2017.01.011")</f>
        <v>http://dx.doi.org/10.1016/j.beproc.2017.01.011</v>
      </c>
      <c r="BG256" s="2" t="s">
        <v>74</v>
      </c>
      <c r="BH256" s="2" t="s">
        <v>74</v>
      </c>
      <c r="BI256" s="2" t="s">
        <v>74</v>
      </c>
      <c r="BJ256" s="2" t="s">
        <v>74</v>
      </c>
      <c r="BK256" s="2" t="s">
        <v>74</v>
      </c>
      <c r="BL256" s="2" t="s">
        <v>74</v>
      </c>
      <c r="BM256" s="2" t="s">
        <v>74</v>
      </c>
      <c r="BN256" s="2">
        <v>28143722</v>
      </c>
      <c r="BO256" s="2" t="s">
        <v>74</v>
      </c>
      <c r="BP256" s="2" t="s">
        <v>74</v>
      </c>
      <c r="BQ256" s="2" t="s">
        <v>74</v>
      </c>
      <c r="BR256" s="2" t="s">
        <v>74</v>
      </c>
      <c r="BS256" s="2" t="s">
        <v>125</v>
      </c>
      <c r="BT256" s="2" t="str">
        <f>HYPERLINK("https%3A%2F%2Fwww.webofscience.com%2Fwos%2Fwoscc%2Ffull-record%2FWOS:000395844600010","View Full Record in Web of Science")</f>
        <v>View Full Record in Web of Science</v>
      </c>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row>
    <row r="257" spans="1:314" s="2" customFormat="1" x14ac:dyDescent="0.4">
      <c r="A257" s="2" t="s">
        <v>72</v>
      </c>
      <c r="B257" s="2" t="s">
        <v>619</v>
      </c>
      <c r="C257" s="2" t="s">
        <v>74</v>
      </c>
      <c r="D257" s="2" t="s">
        <v>74</v>
      </c>
      <c r="E257" s="2" t="s">
        <v>74</v>
      </c>
      <c r="F257" s="2" t="s">
        <v>620</v>
      </c>
      <c r="G257" s="2" t="s">
        <v>74</v>
      </c>
      <c r="H257" s="2" t="s">
        <v>74</v>
      </c>
      <c r="I257" s="2" t="s">
        <v>621</v>
      </c>
      <c r="J257" s="2" t="s">
        <v>610</v>
      </c>
      <c r="K257" s="2" t="s">
        <v>74</v>
      </c>
      <c r="L257" s="2" t="s">
        <v>74</v>
      </c>
      <c r="M257" s="2" t="s">
        <v>74</v>
      </c>
      <c r="N257" s="2" t="s">
        <v>74</v>
      </c>
      <c r="O257" s="2" t="s">
        <v>74</v>
      </c>
      <c r="P257" s="2" t="s">
        <v>74</v>
      </c>
      <c r="Q257" s="2" t="s">
        <v>74</v>
      </c>
      <c r="R257" s="2" t="s">
        <v>74</v>
      </c>
      <c r="S257" s="2" t="s">
        <v>74</v>
      </c>
      <c r="T257" s="2" t="s">
        <v>74</v>
      </c>
      <c r="U257" s="2" t="s">
        <v>74</v>
      </c>
      <c r="V257" s="5" t="s">
        <v>622</v>
      </c>
      <c r="W257" s="2" t="s">
        <v>74</v>
      </c>
      <c r="X257" s="2" t="s">
        <v>74</v>
      </c>
      <c r="Y257" s="2" t="s">
        <v>74</v>
      </c>
      <c r="Z257" s="2" t="s">
        <v>74</v>
      </c>
      <c r="AA257" s="2" t="s">
        <v>623</v>
      </c>
      <c r="AB257" s="2" t="s">
        <v>624</v>
      </c>
      <c r="AC257" s="2" t="s">
        <v>74</v>
      </c>
      <c r="AD257" s="2" t="s">
        <v>74</v>
      </c>
      <c r="AE257" s="2" t="s">
        <v>74</v>
      </c>
      <c r="AF257" s="2" t="s">
        <v>74</v>
      </c>
      <c r="AG257" s="2" t="s">
        <v>74</v>
      </c>
      <c r="AH257" s="2" t="s">
        <v>74</v>
      </c>
      <c r="AI257" s="2" t="s">
        <v>74</v>
      </c>
      <c r="AJ257" s="2" t="s">
        <v>74</v>
      </c>
      <c r="AK257" s="2" t="s">
        <v>74</v>
      </c>
      <c r="AL257" s="2" t="s">
        <v>74</v>
      </c>
      <c r="AM257" s="2" t="s">
        <v>74</v>
      </c>
      <c r="AN257" s="2" t="s">
        <v>74</v>
      </c>
      <c r="AO257" s="2" t="s">
        <v>614</v>
      </c>
      <c r="AP257" s="2" t="s">
        <v>615</v>
      </c>
      <c r="AQ257" s="2" t="s">
        <v>74</v>
      </c>
      <c r="AR257" s="2" t="s">
        <v>74</v>
      </c>
      <c r="AS257" s="2" t="s">
        <v>74</v>
      </c>
      <c r="AT257" s="2" t="s">
        <v>352</v>
      </c>
      <c r="AU257" s="2">
        <v>2018</v>
      </c>
      <c r="AV257" s="2">
        <v>124</v>
      </c>
      <c r="AW257" s="2">
        <v>9</v>
      </c>
      <c r="AX257" s="2" t="s">
        <v>74</v>
      </c>
      <c r="AY257" s="2" t="s">
        <v>74</v>
      </c>
      <c r="AZ257" s="2" t="s">
        <v>74</v>
      </c>
      <c r="BA257" s="2" t="s">
        <v>74</v>
      </c>
      <c r="BB257" s="2">
        <v>667</v>
      </c>
      <c r="BC257" s="2">
        <v>673</v>
      </c>
      <c r="BD257" s="2" t="s">
        <v>74</v>
      </c>
      <c r="BE257" s="2" t="s">
        <v>625</v>
      </c>
      <c r="BF257" s="2" t="str">
        <f>HYPERLINK("http://dx.doi.org/10.1111/eth.12771","http://dx.doi.org/10.1111/eth.12771")</f>
        <v>http://dx.doi.org/10.1111/eth.12771</v>
      </c>
      <c r="BG257" s="2" t="s">
        <v>74</v>
      </c>
      <c r="BH257" s="2" t="s">
        <v>74</v>
      </c>
      <c r="BI257" s="2" t="s">
        <v>74</v>
      </c>
      <c r="BJ257" s="2" t="s">
        <v>74</v>
      </c>
      <c r="BK257" s="2" t="s">
        <v>74</v>
      </c>
      <c r="BL257" s="2" t="s">
        <v>74</v>
      </c>
      <c r="BM257" s="2" t="s">
        <v>74</v>
      </c>
      <c r="BN257" s="2" t="s">
        <v>74</v>
      </c>
      <c r="BO257" s="2" t="s">
        <v>74</v>
      </c>
      <c r="BP257" s="2" t="s">
        <v>74</v>
      </c>
      <c r="BQ257" s="2" t="s">
        <v>74</v>
      </c>
      <c r="BR257" s="2" t="s">
        <v>74</v>
      </c>
      <c r="BS257" s="2" t="s">
        <v>626</v>
      </c>
      <c r="BT257" s="2" t="str">
        <f>HYPERLINK("https%3A%2F%2Fwww.webofscience.com%2Fwos%2Fwoscc%2Ffull-record%2FWOS:000440649700006","View Full Record in Web of Science")</f>
        <v>View Full Record in Web of Science</v>
      </c>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row>
    <row r="258" spans="1:314" s="2" customFormat="1" x14ac:dyDescent="0.4">
      <c r="A258" s="2" t="s">
        <v>72</v>
      </c>
      <c r="B258" s="2" t="s">
        <v>7993</v>
      </c>
      <c r="C258" s="2" t="s">
        <v>74</v>
      </c>
      <c r="D258" s="2" t="s">
        <v>74</v>
      </c>
      <c r="E258" s="2" t="s">
        <v>74</v>
      </c>
      <c r="F258" s="2" t="s">
        <v>7994</v>
      </c>
      <c r="G258" s="2" t="s">
        <v>74</v>
      </c>
      <c r="H258" s="2" t="s">
        <v>74</v>
      </c>
      <c r="I258" s="2" t="s">
        <v>7995</v>
      </c>
      <c r="J258" s="2" t="s">
        <v>408</v>
      </c>
      <c r="K258" s="2" t="s">
        <v>74</v>
      </c>
      <c r="L258" s="2" t="s">
        <v>74</v>
      </c>
      <c r="M258" s="2" t="s">
        <v>74</v>
      </c>
      <c r="N258" s="2" t="s">
        <v>74</v>
      </c>
      <c r="O258" s="2" t="s">
        <v>74</v>
      </c>
      <c r="P258" s="2" t="s">
        <v>74</v>
      </c>
      <c r="Q258" s="2" t="s">
        <v>74</v>
      </c>
      <c r="R258" s="2" t="s">
        <v>74</v>
      </c>
      <c r="S258" s="2" t="s">
        <v>74</v>
      </c>
      <c r="T258" s="2" t="s">
        <v>74</v>
      </c>
      <c r="U258" s="2" t="s">
        <v>74</v>
      </c>
      <c r="V258" s="5" t="s">
        <v>7996</v>
      </c>
      <c r="W258" s="2" t="s">
        <v>74</v>
      </c>
      <c r="X258" s="2" t="s">
        <v>74</v>
      </c>
      <c r="Y258" s="2" t="s">
        <v>74</v>
      </c>
      <c r="Z258" s="2" t="s">
        <v>74</v>
      </c>
      <c r="AA258" s="2" t="s">
        <v>74</v>
      </c>
      <c r="AB258" s="2" t="s">
        <v>74</v>
      </c>
      <c r="AC258" s="2" t="s">
        <v>74</v>
      </c>
      <c r="AD258" s="2" t="s">
        <v>74</v>
      </c>
      <c r="AE258" s="2" t="s">
        <v>74</v>
      </c>
      <c r="AF258" s="2" t="s">
        <v>74</v>
      </c>
      <c r="AG258" s="2" t="s">
        <v>74</v>
      </c>
      <c r="AH258" s="2" t="s">
        <v>74</v>
      </c>
      <c r="AI258" s="2" t="s">
        <v>74</v>
      </c>
      <c r="AJ258" s="2" t="s">
        <v>74</v>
      </c>
      <c r="AK258" s="2" t="s">
        <v>74</v>
      </c>
      <c r="AL258" s="2" t="s">
        <v>74</v>
      </c>
      <c r="AM258" s="2" t="s">
        <v>74</v>
      </c>
      <c r="AN258" s="2" t="s">
        <v>74</v>
      </c>
      <c r="AO258" s="2" t="s">
        <v>412</v>
      </c>
      <c r="AP258" s="2" t="s">
        <v>413</v>
      </c>
      <c r="AQ258" s="2" t="s">
        <v>74</v>
      </c>
      <c r="AR258" s="2" t="s">
        <v>74</v>
      </c>
      <c r="AS258" s="2" t="s">
        <v>74</v>
      </c>
      <c r="AT258" s="2" t="s">
        <v>5887</v>
      </c>
      <c r="AU258" s="2">
        <v>2023</v>
      </c>
      <c r="AV258" s="2">
        <v>139</v>
      </c>
      <c r="AW258" s="2">
        <v>3</v>
      </c>
      <c r="AX258" s="2" t="s">
        <v>74</v>
      </c>
      <c r="AY258" s="2" t="s">
        <v>74</v>
      </c>
      <c r="AZ258" s="2" t="s">
        <v>74</v>
      </c>
      <c r="BA258" s="2" t="s">
        <v>74</v>
      </c>
      <c r="BB258" s="2">
        <v>214</v>
      </c>
      <c r="BC258" s="2">
        <v>230</v>
      </c>
      <c r="BD258" s="2" t="s">
        <v>74</v>
      </c>
      <c r="BE258" s="2" t="s">
        <v>7997</v>
      </c>
      <c r="BF258" s="2" t="str">
        <f>HYPERLINK("http://dx.doi.org/10.1093/biolinnean/blad051","http://dx.doi.org/10.1093/biolinnean/blad051")</f>
        <v>http://dx.doi.org/10.1093/biolinnean/blad051</v>
      </c>
      <c r="BG258" s="2" t="s">
        <v>74</v>
      </c>
      <c r="BH258" s="2" t="s">
        <v>5120</v>
      </c>
      <c r="BI258" s="2" t="s">
        <v>74</v>
      </c>
      <c r="BJ258" s="2" t="s">
        <v>74</v>
      </c>
      <c r="BK258" s="2" t="s">
        <v>74</v>
      </c>
      <c r="BL258" s="2" t="s">
        <v>74</v>
      </c>
      <c r="BM258" s="2" t="s">
        <v>74</v>
      </c>
      <c r="BN258" s="2" t="s">
        <v>74</v>
      </c>
      <c r="BO258" s="2" t="s">
        <v>74</v>
      </c>
      <c r="BP258" s="2" t="s">
        <v>74</v>
      </c>
      <c r="BQ258" s="2" t="s">
        <v>74</v>
      </c>
      <c r="BR258" s="2" t="s">
        <v>74</v>
      </c>
      <c r="BS258" s="2" t="s">
        <v>7998</v>
      </c>
      <c r="BT258" s="2" t="str">
        <f>HYPERLINK("https%3A%2F%2Fwww.webofscience.com%2Fwos%2Fwoscc%2Ffull-record%2FWOS:001004104800001","View Full Record in Web of Science")</f>
        <v>View Full Record in Web of Science</v>
      </c>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row>
    <row r="259" spans="1:314" s="2" customFormat="1" x14ac:dyDescent="0.4">
      <c r="A259" s="2" t="s">
        <v>72</v>
      </c>
      <c r="B259" s="2" t="s">
        <v>1843</v>
      </c>
      <c r="C259" s="2" t="s">
        <v>74</v>
      </c>
      <c r="D259" s="2" t="s">
        <v>74</v>
      </c>
      <c r="E259" s="2" t="s">
        <v>74</v>
      </c>
      <c r="F259" s="2" t="s">
        <v>1844</v>
      </c>
      <c r="G259" s="2" t="s">
        <v>74</v>
      </c>
      <c r="H259" s="2" t="s">
        <v>74</v>
      </c>
      <c r="I259" s="2" t="s">
        <v>1845</v>
      </c>
      <c r="J259" s="2" t="s">
        <v>241</v>
      </c>
      <c r="K259" s="2" t="s">
        <v>74</v>
      </c>
      <c r="L259" s="2" t="s">
        <v>74</v>
      </c>
      <c r="M259" s="2" t="s">
        <v>74</v>
      </c>
      <c r="N259" s="2" t="s">
        <v>74</v>
      </c>
      <c r="O259" s="2" t="s">
        <v>74</v>
      </c>
      <c r="P259" s="2" t="s">
        <v>74</v>
      </c>
      <c r="Q259" s="2" t="s">
        <v>74</v>
      </c>
      <c r="R259" s="2" t="s">
        <v>74</v>
      </c>
      <c r="S259" s="2" t="s">
        <v>74</v>
      </c>
      <c r="T259" s="2" t="s">
        <v>74</v>
      </c>
      <c r="U259" s="2" t="s">
        <v>74</v>
      </c>
      <c r="V259" s="5" t="s">
        <v>1846</v>
      </c>
      <c r="W259" s="2" t="s">
        <v>74</v>
      </c>
      <c r="X259" s="2" t="s">
        <v>74</v>
      </c>
      <c r="Y259" s="2" t="s">
        <v>74</v>
      </c>
      <c r="Z259" s="2" t="s">
        <v>74</v>
      </c>
      <c r="AA259" s="2" t="s">
        <v>1847</v>
      </c>
      <c r="AB259" s="2" t="s">
        <v>1848</v>
      </c>
      <c r="AC259" s="2" t="s">
        <v>74</v>
      </c>
      <c r="AD259" s="2" t="s">
        <v>74</v>
      </c>
      <c r="AE259" s="2" t="s">
        <v>74</v>
      </c>
      <c r="AF259" s="2" t="s">
        <v>74</v>
      </c>
      <c r="AG259" s="2" t="s">
        <v>74</v>
      </c>
      <c r="AH259" s="2" t="s">
        <v>74</v>
      </c>
      <c r="AI259" s="2" t="s">
        <v>74</v>
      </c>
      <c r="AJ259" s="2" t="s">
        <v>74</v>
      </c>
      <c r="AK259" s="2" t="s">
        <v>74</v>
      </c>
      <c r="AL259" s="2" t="s">
        <v>74</v>
      </c>
      <c r="AM259" s="2" t="s">
        <v>74</v>
      </c>
      <c r="AN259" s="2" t="s">
        <v>74</v>
      </c>
      <c r="AO259" s="2" t="s">
        <v>245</v>
      </c>
      <c r="AP259" s="2" t="s">
        <v>246</v>
      </c>
      <c r="AQ259" s="2" t="s">
        <v>74</v>
      </c>
      <c r="AR259" s="2" t="s">
        <v>74</v>
      </c>
      <c r="AS259" s="2" t="s">
        <v>74</v>
      </c>
      <c r="AT259" s="2" t="s">
        <v>175</v>
      </c>
      <c r="AU259" s="2">
        <v>2018</v>
      </c>
      <c r="AV259" s="2">
        <v>188</v>
      </c>
      <c r="AW259" s="2">
        <v>2</v>
      </c>
      <c r="AX259" s="2" t="s">
        <v>74</v>
      </c>
      <c r="AY259" s="2" t="s">
        <v>74</v>
      </c>
      <c r="AZ259" s="2" t="s">
        <v>74</v>
      </c>
      <c r="BA259" s="2" t="s">
        <v>74</v>
      </c>
      <c r="BB259" s="2">
        <v>501</v>
      </c>
      <c r="BC259" s="2">
        <v>513</v>
      </c>
      <c r="BD259" s="2" t="s">
        <v>74</v>
      </c>
      <c r="BE259" s="2" t="s">
        <v>1849</v>
      </c>
      <c r="BF259" s="2" t="str">
        <f>HYPERLINK("http://dx.doi.org/10.1007/s00442-018-4239-7","http://dx.doi.org/10.1007/s00442-018-4239-7")</f>
        <v>http://dx.doi.org/10.1007/s00442-018-4239-7</v>
      </c>
      <c r="BG259" s="2" t="s">
        <v>74</v>
      </c>
      <c r="BH259" s="2" t="s">
        <v>74</v>
      </c>
      <c r="BI259" s="2" t="s">
        <v>74</v>
      </c>
      <c r="BJ259" s="2" t="s">
        <v>74</v>
      </c>
      <c r="BK259" s="2" t="s">
        <v>74</v>
      </c>
      <c r="BL259" s="2" t="s">
        <v>74</v>
      </c>
      <c r="BM259" s="2" t="s">
        <v>74</v>
      </c>
      <c r="BN259" s="2">
        <v>30099605</v>
      </c>
      <c r="BO259" s="2" t="s">
        <v>74</v>
      </c>
      <c r="BP259" s="2" t="s">
        <v>74</v>
      </c>
      <c r="BQ259" s="2" t="s">
        <v>74</v>
      </c>
      <c r="BR259" s="2" t="s">
        <v>74</v>
      </c>
      <c r="BS259" s="2" t="s">
        <v>1850</v>
      </c>
      <c r="BT259" s="2" t="str">
        <f>HYPERLINK("https%3A%2F%2Fwww.webofscience.com%2Fwos%2Fwoscc%2Ffull-record%2FWOS:000445426400015","View Full Record in Web of Science")</f>
        <v>View Full Record in Web of Science</v>
      </c>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row>
    <row r="260" spans="1:314" s="2" customFormat="1" x14ac:dyDescent="0.4">
      <c r="A260" s="2" t="s">
        <v>72</v>
      </c>
      <c r="B260" s="2" t="s">
        <v>760</v>
      </c>
      <c r="C260" s="2" t="s">
        <v>74</v>
      </c>
      <c r="D260" s="2" t="s">
        <v>74</v>
      </c>
      <c r="E260" s="2" t="s">
        <v>74</v>
      </c>
      <c r="F260" s="2" t="s">
        <v>761</v>
      </c>
      <c r="G260" s="2" t="s">
        <v>74</v>
      </c>
      <c r="H260" s="2" t="s">
        <v>74</v>
      </c>
      <c r="I260" s="2" t="s">
        <v>762</v>
      </c>
      <c r="J260" s="2" t="s">
        <v>763</v>
      </c>
      <c r="K260" s="2" t="s">
        <v>74</v>
      </c>
      <c r="L260" s="2" t="s">
        <v>74</v>
      </c>
      <c r="M260" s="2" t="s">
        <v>74</v>
      </c>
      <c r="N260" s="2" t="s">
        <v>74</v>
      </c>
      <c r="O260" s="2" t="s">
        <v>74</v>
      </c>
      <c r="P260" s="2" t="s">
        <v>74</v>
      </c>
      <c r="Q260" s="2" t="s">
        <v>74</v>
      </c>
      <c r="R260" s="2" t="s">
        <v>74</v>
      </c>
      <c r="S260" s="2" t="s">
        <v>74</v>
      </c>
      <c r="T260" s="2" t="s">
        <v>74</v>
      </c>
      <c r="U260" s="2" t="s">
        <v>74</v>
      </c>
      <c r="V260" s="5" t="s">
        <v>764</v>
      </c>
      <c r="W260" s="2" t="s">
        <v>74</v>
      </c>
      <c r="X260" s="2" t="s">
        <v>74</v>
      </c>
      <c r="Y260" s="2" t="s">
        <v>74</v>
      </c>
      <c r="Z260" s="2" t="s">
        <v>74</v>
      </c>
      <c r="AA260" s="2" t="s">
        <v>765</v>
      </c>
      <c r="AB260" s="2" t="s">
        <v>766</v>
      </c>
      <c r="AC260" s="2" t="s">
        <v>74</v>
      </c>
      <c r="AD260" s="2" t="s">
        <v>74</v>
      </c>
      <c r="AE260" s="2" t="s">
        <v>74</v>
      </c>
      <c r="AF260" s="2" t="s">
        <v>74</v>
      </c>
      <c r="AG260" s="2" t="s">
        <v>74</v>
      </c>
      <c r="AH260" s="2" t="s">
        <v>74</v>
      </c>
      <c r="AI260" s="2" t="s">
        <v>74</v>
      </c>
      <c r="AJ260" s="2" t="s">
        <v>74</v>
      </c>
      <c r="AK260" s="2" t="s">
        <v>74</v>
      </c>
      <c r="AL260" s="2" t="s">
        <v>74</v>
      </c>
      <c r="AM260" s="2" t="s">
        <v>74</v>
      </c>
      <c r="AN260" s="2" t="s">
        <v>74</v>
      </c>
      <c r="AO260" s="2" t="s">
        <v>767</v>
      </c>
      <c r="AP260" s="2" t="s">
        <v>768</v>
      </c>
      <c r="AQ260" s="2" t="s">
        <v>74</v>
      </c>
      <c r="AR260" s="2" t="s">
        <v>74</v>
      </c>
      <c r="AS260" s="2" t="s">
        <v>74</v>
      </c>
      <c r="AT260" s="2" t="s">
        <v>769</v>
      </c>
      <c r="AU260" s="2">
        <v>2016</v>
      </c>
      <c r="AV260" s="2">
        <v>219</v>
      </c>
      <c r="AW260" s="2">
        <v>4</v>
      </c>
      <c r="AX260" s="2" t="s">
        <v>74</v>
      </c>
      <c r="AY260" s="2" t="s">
        <v>74</v>
      </c>
      <c r="AZ260" s="2" t="s">
        <v>74</v>
      </c>
      <c r="BA260" s="2" t="s">
        <v>74</v>
      </c>
      <c r="BB260" s="2">
        <v>597</v>
      </c>
      <c r="BC260" s="2">
        <v>608</v>
      </c>
      <c r="BD260" s="2" t="s">
        <v>74</v>
      </c>
      <c r="BE260" s="2" t="s">
        <v>770</v>
      </c>
      <c r="BF260" s="2" t="str">
        <f>HYPERLINK("http://dx.doi.org/10.1242/jeb.122275","http://dx.doi.org/10.1242/jeb.122275")</f>
        <v>http://dx.doi.org/10.1242/jeb.122275</v>
      </c>
      <c r="BG260" s="2" t="s">
        <v>74</v>
      </c>
      <c r="BH260" s="2" t="s">
        <v>74</v>
      </c>
      <c r="BI260" s="2" t="s">
        <v>74</v>
      </c>
      <c r="BJ260" s="2" t="s">
        <v>74</v>
      </c>
      <c r="BK260" s="2" t="s">
        <v>74</v>
      </c>
      <c r="BL260" s="2" t="s">
        <v>74</v>
      </c>
      <c r="BM260" s="2" t="s">
        <v>74</v>
      </c>
      <c r="BN260" s="2">
        <v>26747903</v>
      </c>
      <c r="BO260" s="2" t="s">
        <v>74</v>
      </c>
      <c r="BP260" s="2" t="s">
        <v>74</v>
      </c>
      <c r="BQ260" s="2" t="s">
        <v>74</v>
      </c>
      <c r="BR260" s="2" t="s">
        <v>74</v>
      </c>
      <c r="BS260" s="2" t="s">
        <v>771</v>
      </c>
      <c r="BT260" s="2" t="str">
        <f>HYPERLINK("https%3A%2F%2Fwww.webofscience.com%2Fwos%2Fwoscc%2Ffull-record%2FWOS:000370238000021","View Full Record in Web of Science")</f>
        <v>View Full Record in Web of Science</v>
      </c>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row>
    <row r="261" spans="1:314" s="2" customFormat="1" x14ac:dyDescent="0.4">
      <c r="A261" s="2" t="s">
        <v>72</v>
      </c>
      <c r="B261" s="2" t="s">
        <v>5038</v>
      </c>
      <c r="C261" s="2" t="s">
        <v>74</v>
      </c>
      <c r="D261" s="2" t="s">
        <v>74</v>
      </c>
      <c r="E261" s="2" t="s">
        <v>74</v>
      </c>
      <c r="F261" s="2" t="s">
        <v>5039</v>
      </c>
      <c r="G261" s="2" t="s">
        <v>74</v>
      </c>
      <c r="H261" s="2" t="s">
        <v>74</v>
      </c>
      <c r="I261" s="2" t="s">
        <v>5040</v>
      </c>
      <c r="J261" s="2" t="s">
        <v>108</v>
      </c>
      <c r="K261" s="2" t="s">
        <v>74</v>
      </c>
      <c r="L261" s="2" t="s">
        <v>74</v>
      </c>
      <c r="M261" s="2" t="s">
        <v>74</v>
      </c>
      <c r="N261" s="2" t="s">
        <v>74</v>
      </c>
      <c r="O261" s="2" t="s">
        <v>74</v>
      </c>
      <c r="P261" s="2" t="s">
        <v>74</v>
      </c>
      <c r="Q261" s="2" t="s">
        <v>74</v>
      </c>
      <c r="R261" s="2" t="s">
        <v>74</v>
      </c>
      <c r="S261" s="2" t="s">
        <v>74</v>
      </c>
      <c r="T261" s="2" t="s">
        <v>74</v>
      </c>
      <c r="U261" s="2" t="s">
        <v>74</v>
      </c>
      <c r="V261" s="5" t="s">
        <v>5041</v>
      </c>
      <c r="W261" s="2" t="s">
        <v>74</v>
      </c>
      <c r="X261" s="2" t="s">
        <v>74</v>
      </c>
      <c r="Y261" s="2" t="s">
        <v>74</v>
      </c>
      <c r="Z261" s="2" t="s">
        <v>74</v>
      </c>
      <c r="AA261" s="2" t="s">
        <v>5042</v>
      </c>
      <c r="AB261" s="2" t="s">
        <v>5043</v>
      </c>
      <c r="AC261" s="2" t="s">
        <v>74</v>
      </c>
      <c r="AD261" s="2" t="s">
        <v>74</v>
      </c>
      <c r="AE261" s="2" t="s">
        <v>74</v>
      </c>
      <c r="AF261" s="2" t="s">
        <v>74</v>
      </c>
      <c r="AG261" s="2" t="s">
        <v>74</v>
      </c>
      <c r="AH261" s="2" t="s">
        <v>74</v>
      </c>
      <c r="AI261" s="2" t="s">
        <v>74</v>
      </c>
      <c r="AJ261" s="2" t="s">
        <v>74</v>
      </c>
      <c r="AK261" s="2" t="s">
        <v>74</v>
      </c>
      <c r="AL261" s="2" t="s">
        <v>74</v>
      </c>
      <c r="AM261" s="2" t="s">
        <v>74</v>
      </c>
      <c r="AN261" s="2" t="s">
        <v>74</v>
      </c>
      <c r="AO261" s="2" t="s">
        <v>111</v>
      </c>
      <c r="AP261" s="2" t="s">
        <v>112</v>
      </c>
      <c r="AQ261" s="2" t="s">
        <v>74</v>
      </c>
      <c r="AR261" s="2" t="s">
        <v>74</v>
      </c>
      <c r="AS261" s="2" t="s">
        <v>74</v>
      </c>
      <c r="AT261" s="2" t="s">
        <v>5044</v>
      </c>
      <c r="AU261" s="2">
        <v>2017</v>
      </c>
      <c r="AV261" s="2">
        <v>284</v>
      </c>
      <c r="AW261" s="2">
        <v>1854</v>
      </c>
      <c r="AX261" s="2" t="s">
        <v>74</v>
      </c>
      <c r="AY261" s="2" t="s">
        <v>74</v>
      </c>
      <c r="AZ261" s="2" t="s">
        <v>74</v>
      </c>
      <c r="BA261" s="2" t="s">
        <v>74</v>
      </c>
      <c r="BB261" s="2" t="s">
        <v>74</v>
      </c>
      <c r="BC261" s="2" t="s">
        <v>74</v>
      </c>
      <c r="BD261" s="2">
        <v>20170272</v>
      </c>
      <c r="BE261" s="2" t="s">
        <v>5045</v>
      </c>
      <c r="BF261" s="2" t="str">
        <f>HYPERLINK("http://dx.doi.org/10.1098/rspb.2017.0272","http://dx.doi.org/10.1098/rspb.2017.0272")</f>
        <v>http://dx.doi.org/10.1098/rspb.2017.0272</v>
      </c>
      <c r="BG261" s="2" t="s">
        <v>74</v>
      </c>
      <c r="BH261" s="2" t="s">
        <v>74</v>
      </c>
      <c r="BI261" s="2" t="s">
        <v>74</v>
      </c>
      <c r="BJ261" s="2" t="s">
        <v>74</v>
      </c>
      <c r="BK261" s="2" t="s">
        <v>74</v>
      </c>
      <c r="BL261" s="2" t="s">
        <v>74</v>
      </c>
      <c r="BM261" s="2" t="s">
        <v>74</v>
      </c>
      <c r="BN261" s="2">
        <v>28515202</v>
      </c>
      <c r="BO261" s="2" t="s">
        <v>74</v>
      </c>
      <c r="BP261" s="2" t="s">
        <v>74</v>
      </c>
      <c r="BQ261" s="2" t="s">
        <v>74</v>
      </c>
      <c r="BR261" s="2" t="s">
        <v>74</v>
      </c>
      <c r="BS261" s="2" t="s">
        <v>5046</v>
      </c>
      <c r="BT261" s="2" t="str">
        <f>HYPERLINK("https%3A%2F%2Fwww.webofscience.com%2Fwos%2Fwoscc%2Ffull-record%2FWOS:000404425100019","View Full Record in Web of Science")</f>
        <v>View Full Record in Web of Science</v>
      </c>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row>
    <row r="262" spans="1:314" s="2" customFormat="1" x14ac:dyDescent="0.4">
      <c r="A262" s="2" t="s">
        <v>72</v>
      </c>
      <c r="B262" s="2" t="s">
        <v>7143</v>
      </c>
      <c r="C262" s="2" t="s">
        <v>74</v>
      </c>
      <c r="D262" s="2" t="s">
        <v>74</v>
      </c>
      <c r="E262" s="2" t="s">
        <v>74</v>
      </c>
      <c r="F262" s="2" t="s">
        <v>7144</v>
      </c>
      <c r="G262" s="2" t="s">
        <v>74</v>
      </c>
      <c r="H262" s="2" t="s">
        <v>74</v>
      </c>
      <c r="I262" s="2" t="s">
        <v>7145</v>
      </c>
      <c r="J262" s="2" t="s">
        <v>7146</v>
      </c>
      <c r="K262" s="2" t="s">
        <v>74</v>
      </c>
      <c r="L262" s="2" t="s">
        <v>74</v>
      </c>
      <c r="M262" s="2" t="s">
        <v>74</v>
      </c>
      <c r="N262" s="2" t="s">
        <v>74</v>
      </c>
      <c r="O262" s="2" t="s">
        <v>74</v>
      </c>
      <c r="P262" s="2" t="s">
        <v>74</v>
      </c>
      <c r="Q262" s="2" t="s">
        <v>74</v>
      </c>
      <c r="R262" s="2" t="s">
        <v>74</v>
      </c>
      <c r="S262" s="2" t="s">
        <v>74</v>
      </c>
      <c r="T262" s="2" t="s">
        <v>74</v>
      </c>
      <c r="U262" s="2" t="s">
        <v>74</v>
      </c>
      <c r="V262" s="5" t="s">
        <v>7147</v>
      </c>
      <c r="W262" s="2" t="s">
        <v>74</v>
      </c>
      <c r="X262" s="2" t="s">
        <v>74</v>
      </c>
      <c r="Y262" s="2" t="s">
        <v>74</v>
      </c>
      <c r="Z262" s="2" t="s">
        <v>74</v>
      </c>
      <c r="AA262" s="2" t="s">
        <v>7148</v>
      </c>
      <c r="AB262" s="2" t="s">
        <v>7149</v>
      </c>
      <c r="AC262" s="2" t="s">
        <v>74</v>
      </c>
      <c r="AD262" s="2" t="s">
        <v>74</v>
      </c>
      <c r="AE262" s="2" t="s">
        <v>74</v>
      </c>
      <c r="AF262" s="2" t="s">
        <v>74</v>
      </c>
      <c r="AG262" s="2" t="s">
        <v>74</v>
      </c>
      <c r="AH262" s="2" t="s">
        <v>74</v>
      </c>
      <c r="AI262" s="2" t="s">
        <v>74</v>
      </c>
      <c r="AJ262" s="2" t="s">
        <v>74</v>
      </c>
      <c r="AK262" s="2" t="s">
        <v>74</v>
      </c>
      <c r="AL262" s="2" t="s">
        <v>74</v>
      </c>
      <c r="AM262" s="2" t="s">
        <v>74</v>
      </c>
      <c r="AN262" s="2" t="s">
        <v>74</v>
      </c>
      <c r="AO262" s="2" t="s">
        <v>7150</v>
      </c>
      <c r="AP262" s="2" t="s">
        <v>7151</v>
      </c>
      <c r="AQ262" s="2" t="s">
        <v>74</v>
      </c>
      <c r="AR262" s="2" t="s">
        <v>74</v>
      </c>
      <c r="AS262" s="2" t="s">
        <v>74</v>
      </c>
      <c r="AT262" s="2" t="s">
        <v>352</v>
      </c>
      <c r="AU262" s="2">
        <v>2014</v>
      </c>
      <c r="AV262" s="2">
        <v>62</v>
      </c>
      <c r="AW262" s="2">
        <v>3</v>
      </c>
      <c r="AX262" s="2" t="s">
        <v>74</v>
      </c>
      <c r="AY262" s="2" t="s">
        <v>74</v>
      </c>
      <c r="AZ262" s="2" t="s">
        <v>74</v>
      </c>
      <c r="BA262" s="2" t="s">
        <v>74</v>
      </c>
      <c r="BB262" s="2">
        <v>977</v>
      </c>
      <c r="BC262" s="2">
        <v>985</v>
      </c>
      <c r="BD262" s="2" t="s">
        <v>74</v>
      </c>
      <c r="BE262" s="2" t="s">
        <v>7152</v>
      </c>
      <c r="BF262" s="2" t="str">
        <f>HYPERLINK("http://dx.doi.org/10.15517/rbt.v62i3.11643","http://dx.doi.org/10.15517/rbt.v62i3.11643")</f>
        <v>http://dx.doi.org/10.15517/rbt.v62i3.11643</v>
      </c>
      <c r="BG262" s="2" t="s">
        <v>74</v>
      </c>
      <c r="BH262" s="2" t="s">
        <v>74</v>
      </c>
      <c r="BI262" s="2" t="s">
        <v>74</v>
      </c>
      <c r="BJ262" s="2" t="s">
        <v>74</v>
      </c>
      <c r="BK262" s="2" t="s">
        <v>74</v>
      </c>
      <c r="BL262" s="2" t="s">
        <v>74</v>
      </c>
      <c r="BM262" s="2" t="s">
        <v>74</v>
      </c>
      <c r="BN262" s="2">
        <v>25412530</v>
      </c>
      <c r="BO262" s="2" t="s">
        <v>74</v>
      </c>
      <c r="BP262" s="2" t="s">
        <v>74</v>
      </c>
      <c r="BQ262" s="2" t="s">
        <v>74</v>
      </c>
      <c r="BR262" s="2" t="s">
        <v>74</v>
      </c>
      <c r="BS262" s="2" t="s">
        <v>7153</v>
      </c>
      <c r="BT262" s="2" t="str">
        <f>HYPERLINK("https%3A%2F%2Fwww.webofscience.com%2Fwos%2Fwoscc%2Ffull-record%2FWOS:000343187200014","View Full Record in Web of Science")</f>
        <v>View Full Record in Web of Science</v>
      </c>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row>
    <row r="263" spans="1:314" s="2" customFormat="1" x14ac:dyDescent="0.4">
      <c r="A263" s="2" t="s">
        <v>72</v>
      </c>
      <c r="B263" s="2" t="s">
        <v>4373</v>
      </c>
      <c r="C263" s="2" t="s">
        <v>74</v>
      </c>
      <c r="D263" s="2" t="s">
        <v>74</v>
      </c>
      <c r="E263" s="2" t="s">
        <v>74</v>
      </c>
      <c r="F263" s="2" t="s">
        <v>4374</v>
      </c>
      <c r="G263" s="2" t="s">
        <v>74</v>
      </c>
      <c r="H263" s="2" t="s">
        <v>74</v>
      </c>
      <c r="I263" s="2" t="s">
        <v>4375</v>
      </c>
      <c r="J263" s="2" t="s">
        <v>140</v>
      </c>
      <c r="K263" s="2" t="s">
        <v>74</v>
      </c>
      <c r="L263" s="2" t="s">
        <v>74</v>
      </c>
      <c r="M263" s="2" t="s">
        <v>74</v>
      </c>
      <c r="N263" s="2" t="s">
        <v>74</v>
      </c>
      <c r="O263" s="2" t="s">
        <v>74</v>
      </c>
      <c r="P263" s="2" t="s">
        <v>74</v>
      </c>
      <c r="Q263" s="2" t="s">
        <v>74</v>
      </c>
      <c r="R263" s="2" t="s">
        <v>74</v>
      </c>
      <c r="S263" s="2" t="s">
        <v>74</v>
      </c>
      <c r="T263" s="2" t="s">
        <v>74</v>
      </c>
      <c r="U263" s="2" t="s">
        <v>74</v>
      </c>
      <c r="V263" s="5" t="s">
        <v>4376</v>
      </c>
      <c r="W263" s="2" t="s">
        <v>74</v>
      </c>
      <c r="X263" s="2" t="s">
        <v>74</v>
      </c>
      <c r="Y263" s="2" t="s">
        <v>74</v>
      </c>
      <c r="Z263" s="2" t="s">
        <v>74</v>
      </c>
      <c r="AA263" s="2" t="s">
        <v>4030</v>
      </c>
      <c r="AB263" s="2" t="s">
        <v>74</v>
      </c>
      <c r="AC263" s="2" t="s">
        <v>74</v>
      </c>
      <c r="AD263" s="2" t="s">
        <v>74</v>
      </c>
      <c r="AE263" s="2" t="s">
        <v>74</v>
      </c>
      <c r="AF263" s="2" t="s">
        <v>74</v>
      </c>
      <c r="AG263" s="2" t="s">
        <v>74</v>
      </c>
      <c r="AH263" s="2" t="s">
        <v>74</v>
      </c>
      <c r="AI263" s="2" t="s">
        <v>74</v>
      </c>
      <c r="AJ263" s="2" t="s">
        <v>74</v>
      </c>
      <c r="AK263" s="2" t="s">
        <v>74</v>
      </c>
      <c r="AL263" s="2" t="s">
        <v>74</v>
      </c>
      <c r="AM263" s="2" t="s">
        <v>74</v>
      </c>
      <c r="AN263" s="2" t="s">
        <v>74</v>
      </c>
      <c r="AO263" s="2" t="s">
        <v>143</v>
      </c>
      <c r="AP263" s="2" t="s">
        <v>144</v>
      </c>
      <c r="AQ263" s="2" t="s">
        <v>74</v>
      </c>
      <c r="AR263" s="2" t="s">
        <v>74</v>
      </c>
      <c r="AS263" s="2" t="s">
        <v>74</v>
      </c>
      <c r="AT263" s="2" t="s">
        <v>964</v>
      </c>
      <c r="AU263" s="2">
        <v>2011</v>
      </c>
      <c r="AV263" s="2">
        <v>81</v>
      </c>
      <c r="AW263" s="2">
        <v>2</v>
      </c>
      <c r="AX263" s="2" t="s">
        <v>74</v>
      </c>
      <c r="AY263" s="2" t="s">
        <v>74</v>
      </c>
      <c r="AZ263" s="2" t="s">
        <v>74</v>
      </c>
      <c r="BA263" s="2" t="s">
        <v>74</v>
      </c>
      <c r="BB263" s="2">
        <v>447</v>
      </c>
      <c r="BC263" s="2">
        <v>453</v>
      </c>
      <c r="BD263" s="2" t="s">
        <v>74</v>
      </c>
      <c r="BE263" s="2" t="s">
        <v>4377</v>
      </c>
      <c r="BF263" s="2" t="str">
        <f>HYPERLINK("http://dx.doi.org/10.1016/j.anbehav.2010.11.016","http://dx.doi.org/10.1016/j.anbehav.2010.11.016")</f>
        <v>http://dx.doi.org/10.1016/j.anbehav.2010.11.016</v>
      </c>
      <c r="BG263" s="2" t="s">
        <v>74</v>
      </c>
      <c r="BH263" s="2" t="s">
        <v>74</v>
      </c>
      <c r="BI263" s="2" t="s">
        <v>74</v>
      </c>
      <c r="BJ263" s="2" t="s">
        <v>74</v>
      </c>
      <c r="BK263" s="2" t="s">
        <v>74</v>
      </c>
      <c r="BL263" s="2" t="s">
        <v>74</v>
      </c>
      <c r="BM263" s="2" t="s">
        <v>74</v>
      </c>
      <c r="BN263" s="2" t="s">
        <v>74</v>
      </c>
      <c r="BO263" s="2" t="s">
        <v>74</v>
      </c>
      <c r="BP263" s="2" t="s">
        <v>74</v>
      </c>
      <c r="BQ263" s="2" t="s">
        <v>74</v>
      </c>
      <c r="BR263" s="2" t="s">
        <v>74</v>
      </c>
      <c r="BS263" s="2" t="s">
        <v>4378</v>
      </c>
      <c r="BT263" s="2" t="str">
        <f>HYPERLINK("https%3A%2F%2Fwww.webofscience.com%2Fwos%2Fwoscc%2Ffull-record%2FWOS:000286455400012","View Full Record in Web of Science")</f>
        <v>View Full Record in Web of Science</v>
      </c>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row>
    <row r="264" spans="1:314" s="2" customFormat="1" x14ac:dyDescent="0.4">
      <c r="A264" s="2" t="s">
        <v>72</v>
      </c>
      <c r="B264" s="2" t="s">
        <v>5238</v>
      </c>
      <c r="C264" s="2" t="s">
        <v>74</v>
      </c>
      <c r="D264" s="2" t="s">
        <v>74</v>
      </c>
      <c r="E264" s="2" t="s">
        <v>74</v>
      </c>
      <c r="F264" s="2" t="s">
        <v>5239</v>
      </c>
      <c r="G264" s="2" t="s">
        <v>74</v>
      </c>
      <c r="H264" s="2" t="s">
        <v>74</v>
      </c>
      <c r="I264" s="2" t="s">
        <v>5240</v>
      </c>
      <c r="J264" s="2" t="s">
        <v>824</v>
      </c>
      <c r="K264" s="2" t="s">
        <v>74</v>
      </c>
      <c r="L264" s="2" t="s">
        <v>74</v>
      </c>
      <c r="M264" s="2" t="s">
        <v>74</v>
      </c>
      <c r="N264" s="2" t="s">
        <v>74</v>
      </c>
      <c r="O264" s="2" t="s">
        <v>74</v>
      </c>
      <c r="P264" s="2" t="s">
        <v>74</v>
      </c>
      <c r="Q264" s="2" t="s">
        <v>74</v>
      </c>
      <c r="R264" s="2" t="s">
        <v>74</v>
      </c>
      <c r="S264" s="2" t="s">
        <v>74</v>
      </c>
      <c r="T264" s="2" t="s">
        <v>74</v>
      </c>
      <c r="U264" s="2" t="s">
        <v>74</v>
      </c>
      <c r="V264" s="5" t="s">
        <v>5241</v>
      </c>
      <c r="W264" s="2" t="s">
        <v>74</v>
      </c>
      <c r="X264" s="2" t="s">
        <v>74</v>
      </c>
      <c r="Y264" s="2" t="s">
        <v>74</v>
      </c>
      <c r="Z264" s="2" t="s">
        <v>74</v>
      </c>
      <c r="AA264" s="2" t="s">
        <v>5242</v>
      </c>
      <c r="AB264" s="2" t="s">
        <v>5243</v>
      </c>
      <c r="AC264" s="2" t="s">
        <v>74</v>
      </c>
      <c r="AD264" s="2" t="s">
        <v>74</v>
      </c>
      <c r="AE264" s="2" t="s">
        <v>74</v>
      </c>
      <c r="AF264" s="2" t="s">
        <v>74</v>
      </c>
      <c r="AG264" s="2" t="s">
        <v>74</v>
      </c>
      <c r="AH264" s="2" t="s">
        <v>74</v>
      </c>
      <c r="AI264" s="2" t="s">
        <v>74</v>
      </c>
      <c r="AJ264" s="2" t="s">
        <v>74</v>
      </c>
      <c r="AK264" s="2" t="s">
        <v>74</v>
      </c>
      <c r="AL264" s="2" t="s">
        <v>74</v>
      </c>
      <c r="AM264" s="2" t="s">
        <v>74</v>
      </c>
      <c r="AN264" s="2" t="s">
        <v>74</v>
      </c>
      <c r="AO264" s="2" t="s">
        <v>828</v>
      </c>
      <c r="AP264" s="2" t="s">
        <v>829</v>
      </c>
      <c r="AQ264" s="2" t="s">
        <v>74</v>
      </c>
      <c r="AR264" s="2" t="s">
        <v>74</v>
      </c>
      <c r="AS264" s="2" t="s">
        <v>74</v>
      </c>
      <c r="AT264" s="2" t="s">
        <v>123</v>
      </c>
      <c r="AU264" s="2">
        <v>2009</v>
      </c>
      <c r="AV264" s="2">
        <v>78</v>
      </c>
      <c r="AW264" s="2">
        <v>2</v>
      </c>
      <c r="AX264" s="2" t="s">
        <v>74</v>
      </c>
      <c r="AY264" s="2" t="s">
        <v>74</v>
      </c>
      <c r="AZ264" s="2" t="s">
        <v>74</v>
      </c>
      <c r="BA264" s="2" t="s">
        <v>74</v>
      </c>
      <c r="BB264" s="2">
        <v>476</v>
      </c>
      <c r="BC264" s="2">
        <v>484</v>
      </c>
      <c r="BD264" s="2" t="s">
        <v>74</v>
      </c>
      <c r="BE264" s="2" t="s">
        <v>5244</v>
      </c>
      <c r="BF264" s="2" t="str">
        <f>HYPERLINK("http://dx.doi.org/10.1111/j.1365-2656.2008.01496.x","http://dx.doi.org/10.1111/j.1365-2656.2008.01496.x")</f>
        <v>http://dx.doi.org/10.1111/j.1365-2656.2008.01496.x</v>
      </c>
      <c r="BG264" s="2" t="s">
        <v>74</v>
      </c>
      <c r="BH264" s="2" t="s">
        <v>74</v>
      </c>
      <c r="BI264" s="2" t="s">
        <v>74</v>
      </c>
      <c r="BJ264" s="2" t="s">
        <v>74</v>
      </c>
      <c r="BK264" s="2" t="s">
        <v>74</v>
      </c>
      <c r="BL264" s="2" t="s">
        <v>74</v>
      </c>
      <c r="BM264" s="2" t="s">
        <v>74</v>
      </c>
      <c r="BN264" s="2">
        <v>19021784</v>
      </c>
      <c r="BO264" s="2" t="s">
        <v>74</v>
      </c>
      <c r="BP264" s="2" t="s">
        <v>74</v>
      </c>
      <c r="BQ264" s="2" t="s">
        <v>74</v>
      </c>
      <c r="BR264" s="2" t="s">
        <v>74</v>
      </c>
      <c r="BS264" s="2" t="s">
        <v>5245</v>
      </c>
      <c r="BT264" s="2" t="str">
        <f>HYPERLINK("https%3A%2F%2Fwww.webofscience.com%2Fwos%2Fwoscc%2Ffull-record%2FWOS:000263038800020","View Full Record in Web of Science")</f>
        <v>View Full Record in Web of Science</v>
      </c>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row>
    <row r="265" spans="1:314" s="2" customFormat="1" x14ac:dyDescent="0.4">
      <c r="A265" s="2" t="s">
        <v>72</v>
      </c>
      <c r="B265" s="2" t="s">
        <v>5865</v>
      </c>
      <c r="C265" s="2" t="s">
        <v>74</v>
      </c>
      <c r="D265" s="2" t="s">
        <v>74</v>
      </c>
      <c r="E265" s="2" t="s">
        <v>74</v>
      </c>
      <c r="F265" s="2" t="s">
        <v>5865</v>
      </c>
      <c r="G265" s="2" t="s">
        <v>74</v>
      </c>
      <c r="H265" s="2" t="s">
        <v>74</v>
      </c>
      <c r="I265" s="2" t="s">
        <v>5866</v>
      </c>
      <c r="J265" s="2" t="s">
        <v>1673</v>
      </c>
      <c r="K265" s="2" t="s">
        <v>74</v>
      </c>
      <c r="L265" s="2" t="s">
        <v>74</v>
      </c>
      <c r="M265" s="2" t="s">
        <v>74</v>
      </c>
      <c r="N265" s="2" t="s">
        <v>74</v>
      </c>
      <c r="O265" s="2" t="s">
        <v>74</v>
      </c>
      <c r="P265" s="2" t="s">
        <v>74</v>
      </c>
      <c r="Q265" s="2" t="s">
        <v>74</v>
      </c>
      <c r="R265" s="2" t="s">
        <v>74</v>
      </c>
      <c r="S265" s="2" t="s">
        <v>74</v>
      </c>
      <c r="T265" s="2" t="s">
        <v>74</v>
      </c>
      <c r="U265" s="2" t="s">
        <v>74</v>
      </c>
      <c r="V265" s="5" t="s">
        <v>5867</v>
      </c>
      <c r="W265" s="2" t="s">
        <v>74</v>
      </c>
      <c r="X265" s="2" t="s">
        <v>74</v>
      </c>
      <c r="Y265" s="2" t="s">
        <v>74</v>
      </c>
      <c r="Z265" s="2" t="s">
        <v>74</v>
      </c>
      <c r="AA265" s="2" t="s">
        <v>74</v>
      </c>
      <c r="AB265" s="2" t="s">
        <v>74</v>
      </c>
      <c r="AC265" s="2" t="s">
        <v>74</v>
      </c>
      <c r="AD265" s="2" t="s">
        <v>74</v>
      </c>
      <c r="AE265" s="2" t="s">
        <v>74</v>
      </c>
      <c r="AF265" s="2" t="s">
        <v>74</v>
      </c>
      <c r="AG265" s="2" t="s">
        <v>74</v>
      </c>
      <c r="AH265" s="2" t="s">
        <v>74</v>
      </c>
      <c r="AI265" s="2" t="s">
        <v>74</v>
      </c>
      <c r="AJ265" s="2" t="s">
        <v>74</v>
      </c>
      <c r="AK265" s="2" t="s">
        <v>74</v>
      </c>
      <c r="AL265" s="2" t="s">
        <v>74</v>
      </c>
      <c r="AM265" s="2" t="s">
        <v>74</v>
      </c>
      <c r="AN265" s="2" t="s">
        <v>74</v>
      </c>
      <c r="AO265" s="2" t="s">
        <v>1239</v>
      </c>
      <c r="AP265" s="2" t="s">
        <v>1675</v>
      </c>
      <c r="AQ265" s="2" t="s">
        <v>74</v>
      </c>
      <c r="AR265" s="2" t="s">
        <v>74</v>
      </c>
      <c r="AS265" s="2" t="s">
        <v>74</v>
      </c>
      <c r="AT265" s="2" t="s">
        <v>204</v>
      </c>
      <c r="AU265" s="2">
        <v>1986</v>
      </c>
      <c r="AV265" s="2">
        <v>64</v>
      </c>
      <c r="AW265" s="2">
        <v>7</v>
      </c>
      <c r="AX265" s="2" t="s">
        <v>74</v>
      </c>
      <c r="AY265" s="2" t="s">
        <v>74</v>
      </c>
      <c r="AZ265" s="2" t="s">
        <v>74</v>
      </c>
      <c r="BA265" s="2" t="s">
        <v>74</v>
      </c>
      <c r="BB265" s="2">
        <v>1416</v>
      </c>
      <c r="BC265" s="2">
        <v>1421</v>
      </c>
      <c r="BD265" s="2" t="s">
        <v>74</v>
      </c>
      <c r="BE265" s="2" t="s">
        <v>5868</v>
      </c>
      <c r="BF265" s="2" t="str">
        <f>HYPERLINK("http://dx.doi.org/10.1139/z86-211","http://dx.doi.org/10.1139/z86-211")</f>
        <v>http://dx.doi.org/10.1139/z86-211</v>
      </c>
      <c r="BG265" s="2" t="s">
        <v>74</v>
      </c>
      <c r="BH265" s="2" t="s">
        <v>74</v>
      </c>
      <c r="BI265" s="2" t="s">
        <v>74</v>
      </c>
      <c r="BJ265" s="2" t="s">
        <v>74</v>
      </c>
      <c r="BK265" s="2" t="s">
        <v>74</v>
      </c>
      <c r="BL265" s="2" t="s">
        <v>74</v>
      </c>
      <c r="BM265" s="2" t="s">
        <v>74</v>
      </c>
      <c r="BN265" s="2" t="s">
        <v>74</v>
      </c>
      <c r="BO265" s="2" t="s">
        <v>74</v>
      </c>
      <c r="BP265" s="2" t="s">
        <v>74</v>
      </c>
      <c r="BQ265" s="2" t="s">
        <v>74</v>
      </c>
      <c r="BR265" s="2" t="s">
        <v>74</v>
      </c>
      <c r="BS265" s="2" t="s">
        <v>5869</v>
      </c>
      <c r="BT265" s="2" t="str">
        <f>HYPERLINK("https%3A%2F%2Fwww.webofscience.com%2Fwos%2Fwoscc%2Ffull-record%2FWOS:A1986D643700006","View Full Record in Web of Science")</f>
        <v>View Full Record in Web of Science</v>
      </c>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row>
    <row r="266" spans="1:314" s="2" customFormat="1" x14ac:dyDescent="0.4">
      <c r="A266" s="2" t="s">
        <v>72</v>
      </c>
      <c r="B266" s="2" t="s">
        <v>6290</v>
      </c>
      <c r="C266" s="2" t="s">
        <v>74</v>
      </c>
      <c r="D266" s="2" t="s">
        <v>74</v>
      </c>
      <c r="E266" s="2" t="s">
        <v>74</v>
      </c>
      <c r="F266" s="2" t="s">
        <v>6290</v>
      </c>
      <c r="G266" s="2" t="s">
        <v>74</v>
      </c>
      <c r="H266" s="2" t="s">
        <v>74</v>
      </c>
      <c r="I266" s="2" t="s">
        <v>6291</v>
      </c>
      <c r="J266" s="2" t="s">
        <v>4333</v>
      </c>
      <c r="K266" s="2" t="s">
        <v>74</v>
      </c>
      <c r="L266" s="2" t="s">
        <v>74</v>
      </c>
      <c r="M266" s="2" t="s">
        <v>74</v>
      </c>
      <c r="N266" s="2" t="s">
        <v>74</v>
      </c>
      <c r="O266" s="2" t="s">
        <v>74</v>
      </c>
      <c r="P266" s="2" t="s">
        <v>74</v>
      </c>
      <c r="Q266" s="2" t="s">
        <v>74</v>
      </c>
      <c r="R266" s="2" t="s">
        <v>74</v>
      </c>
      <c r="S266" s="2" t="s">
        <v>74</v>
      </c>
      <c r="T266" s="2" t="s">
        <v>74</v>
      </c>
      <c r="U266" s="2" t="s">
        <v>74</v>
      </c>
      <c r="V266" s="5" t="s">
        <v>6292</v>
      </c>
      <c r="W266" s="2" t="s">
        <v>74</v>
      </c>
      <c r="X266" s="2" t="s">
        <v>74</v>
      </c>
      <c r="Y266" s="2" t="s">
        <v>74</v>
      </c>
      <c r="Z266" s="2" t="s">
        <v>74</v>
      </c>
      <c r="AA266" s="2" t="s">
        <v>74</v>
      </c>
      <c r="AB266" s="2" t="s">
        <v>74</v>
      </c>
      <c r="AC266" s="2" t="s">
        <v>74</v>
      </c>
      <c r="AD266" s="2" t="s">
        <v>74</v>
      </c>
      <c r="AE266" s="2" t="s">
        <v>74</v>
      </c>
      <c r="AF266" s="2" t="s">
        <v>74</v>
      </c>
      <c r="AG266" s="2" t="s">
        <v>74</v>
      </c>
      <c r="AH266" s="2" t="s">
        <v>74</v>
      </c>
      <c r="AI266" s="2" t="s">
        <v>74</v>
      </c>
      <c r="AJ266" s="2" t="s">
        <v>74</v>
      </c>
      <c r="AK266" s="2" t="s">
        <v>74</v>
      </c>
      <c r="AL266" s="2" t="s">
        <v>74</v>
      </c>
      <c r="AM266" s="2" t="s">
        <v>74</v>
      </c>
      <c r="AN266" s="2" t="s">
        <v>74</v>
      </c>
      <c r="AO266" s="2" t="s">
        <v>4335</v>
      </c>
      <c r="AP266" s="2" t="s">
        <v>74</v>
      </c>
      <c r="AQ266" s="2" t="s">
        <v>74</v>
      </c>
      <c r="AR266" s="2" t="s">
        <v>74</v>
      </c>
      <c r="AS266" s="2" t="s">
        <v>74</v>
      </c>
      <c r="AT266" s="2" t="s">
        <v>74</v>
      </c>
      <c r="AU266" s="2">
        <v>1978</v>
      </c>
      <c r="AV266" s="2">
        <v>3</v>
      </c>
      <c r="AW266" s="2">
        <v>3</v>
      </c>
      <c r="AX266" s="2" t="s">
        <v>74</v>
      </c>
      <c r="AY266" s="2" t="s">
        <v>74</v>
      </c>
      <c r="AZ266" s="2" t="s">
        <v>74</v>
      </c>
      <c r="BA266" s="2" t="s">
        <v>74</v>
      </c>
      <c r="BB266" s="2">
        <v>233</v>
      </c>
      <c r="BC266" s="2">
        <v>241</v>
      </c>
      <c r="BD266" s="2" t="s">
        <v>74</v>
      </c>
      <c r="BE266" s="2" t="s">
        <v>74</v>
      </c>
      <c r="BF266" s="2" t="s">
        <v>74</v>
      </c>
      <c r="BG266" s="2" t="s">
        <v>74</v>
      </c>
      <c r="BH266" s="2" t="s">
        <v>74</v>
      </c>
      <c r="BI266" s="2" t="s">
        <v>74</v>
      </c>
      <c r="BJ266" s="2" t="s">
        <v>74</v>
      </c>
      <c r="BK266" s="2" t="s">
        <v>74</v>
      </c>
      <c r="BL266" s="2" t="s">
        <v>74</v>
      </c>
      <c r="BM266" s="2" t="s">
        <v>74</v>
      </c>
      <c r="BN266" s="2" t="s">
        <v>74</v>
      </c>
      <c r="BO266" s="2" t="s">
        <v>74</v>
      </c>
      <c r="BP266" s="2" t="s">
        <v>74</v>
      </c>
      <c r="BQ266" s="2" t="s">
        <v>74</v>
      </c>
      <c r="BR266" s="2" t="s">
        <v>74</v>
      </c>
      <c r="BS266" s="2" t="s">
        <v>6293</v>
      </c>
      <c r="BT266" s="2" t="str">
        <f>HYPERLINK("https%3A%2F%2Fwww.webofscience.com%2Fwos%2Fwoscc%2Ffull-record%2FWOS:A1978FR83100004","View Full Record in Web of Science")</f>
        <v>View Full Record in Web of Science</v>
      </c>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row>
    <row r="267" spans="1:314" s="1" customFormat="1" x14ac:dyDescent="0.4">
      <c r="A267" s="2" t="s">
        <v>72</v>
      </c>
      <c r="B267" s="2" t="s">
        <v>2348</v>
      </c>
      <c r="C267" s="2" t="s">
        <v>74</v>
      </c>
      <c r="D267" s="2" t="s">
        <v>74</v>
      </c>
      <c r="E267" s="2" t="s">
        <v>74</v>
      </c>
      <c r="F267" s="2" t="s">
        <v>2349</v>
      </c>
      <c r="G267" s="2" t="s">
        <v>74</v>
      </c>
      <c r="H267" s="2" t="s">
        <v>74</v>
      </c>
      <c r="I267" s="2" t="s">
        <v>2350</v>
      </c>
      <c r="J267" s="2" t="s">
        <v>1812</v>
      </c>
      <c r="K267" s="2" t="s">
        <v>74</v>
      </c>
      <c r="L267" s="2" t="s">
        <v>74</v>
      </c>
      <c r="M267" s="2" t="s">
        <v>74</v>
      </c>
      <c r="N267" s="2" t="s">
        <v>74</v>
      </c>
      <c r="O267" s="2" t="s">
        <v>74</v>
      </c>
      <c r="P267" s="2" t="s">
        <v>74</v>
      </c>
      <c r="Q267" s="2" t="s">
        <v>74</v>
      </c>
      <c r="R267" s="2" t="s">
        <v>74</v>
      </c>
      <c r="S267" s="2" t="s">
        <v>74</v>
      </c>
      <c r="T267" s="2" t="s">
        <v>74</v>
      </c>
      <c r="U267" s="2" t="s">
        <v>74</v>
      </c>
      <c r="V267" s="5" t="s">
        <v>2351</v>
      </c>
      <c r="W267" s="2" t="s">
        <v>74</v>
      </c>
      <c r="X267" s="2" t="s">
        <v>74</v>
      </c>
      <c r="Y267" s="2" t="s">
        <v>74</v>
      </c>
      <c r="Z267" s="2" t="s">
        <v>74</v>
      </c>
      <c r="AA267" s="2" t="s">
        <v>2352</v>
      </c>
      <c r="AB267" s="2" t="s">
        <v>2353</v>
      </c>
      <c r="AC267" s="2" t="s">
        <v>74</v>
      </c>
      <c r="AD267" s="2" t="s">
        <v>74</v>
      </c>
      <c r="AE267" s="2" t="s">
        <v>74</v>
      </c>
      <c r="AF267" s="2" t="s">
        <v>74</v>
      </c>
      <c r="AG267" s="2" t="s">
        <v>74</v>
      </c>
      <c r="AH267" s="2" t="s">
        <v>74</v>
      </c>
      <c r="AI267" s="2" t="s">
        <v>74</v>
      </c>
      <c r="AJ267" s="2" t="s">
        <v>74</v>
      </c>
      <c r="AK267" s="2" t="s">
        <v>74</v>
      </c>
      <c r="AL267" s="2" t="s">
        <v>74</v>
      </c>
      <c r="AM267" s="2" t="s">
        <v>74</v>
      </c>
      <c r="AN267" s="2" t="s">
        <v>74</v>
      </c>
      <c r="AO267" s="2" t="s">
        <v>1814</v>
      </c>
      <c r="AP267" s="2" t="s">
        <v>1815</v>
      </c>
      <c r="AQ267" s="2" t="s">
        <v>74</v>
      </c>
      <c r="AR267" s="2" t="s">
        <v>74</v>
      </c>
      <c r="AS267" s="2" t="s">
        <v>74</v>
      </c>
      <c r="AT267" s="2" t="s">
        <v>352</v>
      </c>
      <c r="AU267" s="2">
        <v>2020</v>
      </c>
      <c r="AV267" s="2">
        <v>54</v>
      </c>
      <c r="AW267" s="2">
        <v>3</v>
      </c>
      <c r="AX267" s="2" t="s">
        <v>74</v>
      </c>
      <c r="AY267" s="2" t="s">
        <v>74</v>
      </c>
      <c r="AZ267" s="2" t="s">
        <v>74</v>
      </c>
      <c r="BA267" s="2" t="s">
        <v>74</v>
      </c>
      <c r="BB267" s="2">
        <v>361</v>
      </c>
      <c r="BC267" s="2">
        <v>370</v>
      </c>
      <c r="BD267" s="2" t="s">
        <v>74</v>
      </c>
      <c r="BE267" s="2" t="s">
        <v>2354</v>
      </c>
      <c r="BF267" s="2" t="str">
        <f>HYPERLINK("http://dx.doi.org/10.1670/19-110","http://dx.doi.org/10.1670/19-110")</f>
        <v>http://dx.doi.org/10.1670/19-110</v>
      </c>
      <c r="BG267" s="2" t="s">
        <v>74</v>
      </c>
      <c r="BH267" s="2" t="s">
        <v>74</v>
      </c>
      <c r="BI267" s="2" t="s">
        <v>74</v>
      </c>
      <c r="BJ267" s="2" t="s">
        <v>74</v>
      </c>
      <c r="BK267" s="2" t="s">
        <v>74</v>
      </c>
      <c r="BL267" s="2" t="s">
        <v>74</v>
      </c>
      <c r="BM267" s="2" t="s">
        <v>74</v>
      </c>
      <c r="BN267" s="2" t="s">
        <v>74</v>
      </c>
      <c r="BO267" s="2" t="s">
        <v>74</v>
      </c>
      <c r="BP267" s="2" t="s">
        <v>74</v>
      </c>
      <c r="BQ267" s="2" t="s">
        <v>74</v>
      </c>
      <c r="BR267" s="2" t="s">
        <v>74</v>
      </c>
      <c r="BS267" s="2" t="s">
        <v>2355</v>
      </c>
      <c r="BT267" s="2" t="str">
        <f>HYPERLINK("https%3A%2F%2Fwww.webofscience.com%2Fwos%2Fwoscc%2Ffull-record%2FWOS:000589893000013","View Full Record in Web of Science")</f>
        <v>View Full Record in Web of Science</v>
      </c>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row>
    <row r="268" spans="1:314" s="2" customFormat="1" x14ac:dyDescent="0.4">
      <c r="A268" s="2" t="s">
        <v>72</v>
      </c>
      <c r="B268" s="2" t="s">
        <v>1572</v>
      </c>
      <c r="C268" s="2" t="s">
        <v>74</v>
      </c>
      <c r="D268" s="2" t="s">
        <v>74</v>
      </c>
      <c r="E268" s="2" t="s">
        <v>74</v>
      </c>
      <c r="F268" s="2" t="s">
        <v>1572</v>
      </c>
      <c r="G268" s="2" t="s">
        <v>74</v>
      </c>
      <c r="H268" s="2" t="s">
        <v>74</v>
      </c>
      <c r="I268" s="2" t="s">
        <v>1573</v>
      </c>
      <c r="J268" s="2" t="s">
        <v>1574</v>
      </c>
      <c r="K268" s="2" t="s">
        <v>74</v>
      </c>
      <c r="L268" s="2" t="s">
        <v>74</v>
      </c>
      <c r="M268" s="2" t="s">
        <v>74</v>
      </c>
      <c r="N268" s="2" t="s">
        <v>74</v>
      </c>
      <c r="O268" s="2" t="s">
        <v>74</v>
      </c>
      <c r="P268" s="2" t="s">
        <v>74</v>
      </c>
      <c r="Q268" s="2" t="s">
        <v>74</v>
      </c>
      <c r="R268" s="2" t="s">
        <v>74</v>
      </c>
      <c r="S268" s="2" t="s">
        <v>74</v>
      </c>
      <c r="T268" s="2" t="s">
        <v>74</v>
      </c>
      <c r="U268" s="2" t="s">
        <v>74</v>
      </c>
      <c r="V268" s="5" t="s">
        <v>1575</v>
      </c>
      <c r="W268" s="2" t="s">
        <v>74</v>
      </c>
      <c r="X268" s="2" t="s">
        <v>74</v>
      </c>
      <c r="Y268" s="2" t="s">
        <v>74</v>
      </c>
      <c r="Z268" s="2" t="s">
        <v>74</v>
      </c>
      <c r="AA268" s="2" t="s">
        <v>74</v>
      </c>
      <c r="AB268" s="2" t="s">
        <v>74</v>
      </c>
      <c r="AC268" s="2" t="s">
        <v>74</v>
      </c>
      <c r="AD268" s="2" t="s">
        <v>74</v>
      </c>
      <c r="AE268" s="2" t="s">
        <v>74</v>
      </c>
      <c r="AF268" s="2" t="s">
        <v>74</v>
      </c>
      <c r="AG268" s="2" t="s">
        <v>74</v>
      </c>
      <c r="AH268" s="2" t="s">
        <v>74</v>
      </c>
      <c r="AI268" s="2" t="s">
        <v>74</v>
      </c>
      <c r="AJ268" s="2" t="s">
        <v>74</v>
      </c>
      <c r="AK268" s="2" t="s">
        <v>74</v>
      </c>
      <c r="AL268" s="2" t="s">
        <v>74</v>
      </c>
      <c r="AM268" s="2" t="s">
        <v>74</v>
      </c>
      <c r="AN268" s="2" t="s">
        <v>74</v>
      </c>
      <c r="AO268" s="2" t="s">
        <v>1576</v>
      </c>
      <c r="AP268" s="2" t="s">
        <v>1577</v>
      </c>
      <c r="AQ268" s="2" t="s">
        <v>74</v>
      </c>
      <c r="AR268" s="2" t="s">
        <v>74</v>
      </c>
      <c r="AS268" s="2" t="s">
        <v>74</v>
      </c>
      <c r="AT268" s="2" t="s">
        <v>74</v>
      </c>
      <c r="AU268" s="2">
        <v>2005</v>
      </c>
      <c r="AV268" s="2">
        <v>66</v>
      </c>
      <c r="AW268" s="2">
        <v>2</v>
      </c>
      <c r="AX268" s="2" t="s">
        <v>74</v>
      </c>
      <c r="AY268" s="2" t="s">
        <v>74</v>
      </c>
      <c r="AZ268" s="2" t="s">
        <v>74</v>
      </c>
      <c r="BA268" s="2" t="s">
        <v>74</v>
      </c>
      <c r="BB268" s="2">
        <v>99</v>
      </c>
      <c r="BC268" s="2">
        <v>113</v>
      </c>
      <c r="BD268" s="2" t="s">
        <v>74</v>
      </c>
      <c r="BE268" s="2" t="s">
        <v>1578</v>
      </c>
      <c r="BF268" s="2" t="str">
        <f>HYPERLINK("http://dx.doi.org/10.1159/000086229","http://dx.doi.org/10.1159/000086229")</f>
        <v>http://dx.doi.org/10.1159/000086229</v>
      </c>
      <c r="BG268" s="2" t="s">
        <v>74</v>
      </c>
      <c r="BH268" s="2" t="s">
        <v>74</v>
      </c>
      <c r="BI268" s="2" t="s">
        <v>74</v>
      </c>
      <c r="BJ268" s="2" t="s">
        <v>74</v>
      </c>
      <c r="BK268" s="2" t="s">
        <v>74</v>
      </c>
      <c r="BL268" s="2" t="s">
        <v>74</v>
      </c>
      <c r="BM268" s="2" t="s">
        <v>74</v>
      </c>
      <c r="BN268" s="2">
        <v>15942161</v>
      </c>
      <c r="BO268" s="2" t="s">
        <v>74</v>
      </c>
      <c r="BP268" s="2" t="s">
        <v>74</v>
      </c>
      <c r="BQ268" s="2" t="s">
        <v>74</v>
      </c>
      <c r="BR268" s="2" t="s">
        <v>74</v>
      </c>
      <c r="BS268" s="2" t="s">
        <v>1579</v>
      </c>
      <c r="BT268" s="2" t="str">
        <f>HYPERLINK("https%3A%2F%2Fwww.webofscience.com%2Fwos%2Fwoscc%2Ffull-record%2FWOS:000230679800003","View Full Record in Web of Science")</f>
        <v>View Full Record in Web of Science</v>
      </c>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row>
    <row r="269" spans="1:314" s="2" customFormat="1" x14ac:dyDescent="0.4">
      <c r="A269" s="2" t="s">
        <v>72</v>
      </c>
      <c r="B269" s="2" t="s">
        <v>2413</v>
      </c>
      <c r="C269" s="2" t="s">
        <v>74</v>
      </c>
      <c r="D269" s="2" t="s">
        <v>74</v>
      </c>
      <c r="E269" s="2" t="s">
        <v>74</v>
      </c>
      <c r="F269" s="2" t="s">
        <v>2414</v>
      </c>
      <c r="G269" s="2" t="s">
        <v>74</v>
      </c>
      <c r="H269" s="2" t="s">
        <v>74</v>
      </c>
      <c r="I269" s="2" t="s">
        <v>2415</v>
      </c>
      <c r="J269" s="2" t="s">
        <v>1557</v>
      </c>
      <c r="K269" s="2" t="s">
        <v>74</v>
      </c>
      <c r="L269" s="2" t="s">
        <v>74</v>
      </c>
      <c r="M269" s="2" t="s">
        <v>74</v>
      </c>
      <c r="N269" s="2" t="s">
        <v>74</v>
      </c>
      <c r="O269" s="2" t="s">
        <v>74</v>
      </c>
      <c r="P269" s="2" t="s">
        <v>74</v>
      </c>
      <c r="Q269" s="2" t="s">
        <v>74</v>
      </c>
      <c r="R269" s="2" t="s">
        <v>74</v>
      </c>
      <c r="S269" s="2" t="s">
        <v>74</v>
      </c>
      <c r="T269" s="2" t="s">
        <v>74</v>
      </c>
      <c r="U269" s="2" t="s">
        <v>74</v>
      </c>
      <c r="V269" s="5" t="s">
        <v>2416</v>
      </c>
      <c r="W269" s="2" t="s">
        <v>74</v>
      </c>
      <c r="X269" s="2" t="s">
        <v>74</v>
      </c>
      <c r="Y269" s="2" t="s">
        <v>74</v>
      </c>
      <c r="Z269" s="2" t="s">
        <v>74</v>
      </c>
      <c r="AA269" s="2" t="s">
        <v>74</v>
      </c>
      <c r="AB269" s="2" t="s">
        <v>2417</v>
      </c>
      <c r="AC269" s="2" t="s">
        <v>74</v>
      </c>
      <c r="AD269" s="2" t="s">
        <v>74</v>
      </c>
      <c r="AE269" s="2" t="s">
        <v>74</v>
      </c>
      <c r="AF269" s="2" t="s">
        <v>74</v>
      </c>
      <c r="AG269" s="2" t="s">
        <v>74</v>
      </c>
      <c r="AH269" s="2" t="s">
        <v>74</v>
      </c>
      <c r="AI269" s="2" t="s">
        <v>74</v>
      </c>
      <c r="AJ269" s="2" t="s">
        <v>74</v>
      </c>
      <c r="AK269" s="2" t="s">
        <v>74</v>
      </c>
      <c r="AL269" s="2" t="s">
        <v>74</v>
      </c>
      <c r="AM269" s="2" t="s">
        <v>74</v>
      </c>
      <c r="AN269" s="2" t="s">
        <v>74</v>
      </c>
      <c r="AO269" s="2" t="s">
        <v>1561</v>
      </c>
      <c r="AP269" s="2" t="s">
        <v>74</v>
      </c>
      <c r="AQ269" s="2" t="s">
        <v>74</v>
      </c>
      <c r="AR269" s="2" t="s">
        <v>74</v>
      </c>
      <c r="AS269" s="2" t="s">
        <v>74</v>
      </c>
      <c r="AT269" s="2" t="s">
        <v>74</v>
      </c>
      <c r="AU269" s="2">
        <v>2009</v>
      </c>
      <c r="AV269" s="2">
        <v>42</v>
      </c>
      <c r="AW269" s="2">
        <v>4</v>
      </c>
      <c r="AX269" s="2" t="s">
        <v>74</v>
      </c>
      <c r="AY269" s="2" t="s">
        <v>74</v>
      </c>
      <c r="AZ269" s="2" t="s">
        <v>74</v>
      </c>
      <c r="BA269" s="2" t="s">
        <v>74</v>
      </c>
      <c r="BB269" s="2">
        <v>219</v>
      </c>
      <c r="BC269" s="2">
        <v>232</v>
      </c>
      <c r="BD269" s="2" t="s">
        <v>74</v>
      </c>
      <c r="BE269" s="2" t="s">
        <v>2418</v>
      </c>
      <c r="BF269" s="2" t="str">
        <f>HYPERLINK("http://dx.doi.org/10.1080/10236240903169222","http://dx.doi.org/10.1080/10236240903169222")</f>
        <v>http://dx.doi.org/10.1080/10236240903169222</v>
      </c>
      <c r="BG269" s="2" t="s">
        <v>74</v>
      </c>
      <c r="BH269" s="2" t="s">
        <v>74</v>
      </c>
      <c r="BI269" s="2" t="s">
        <v>74</v>
      </c>
      <c r="BJ269" s="2" t="s">
        <v>74</v>
      </c>
      <c r="BK269" s="2" t="s">
        <v>74</v>
      </c>
      <c r="BL269" s="2" t="s">
        <v>74</v>
      </c>
      <c r="BM269" s="2" t="s">
        <v>74</v>
      </c>
      <c r="BN269" s="2" t="s">
        <v>74</v>
      </c>
      <c r="BO269" s="2" t="s">
        <v>74</v>
      </c>
      <c r="BP269" s="2" t="s">
        <v>74</v>
      </c>
      <c r="BQ269" s="2" t="s">
        <v>74</v>
      </c>
      <c r="BR269" s="2" t="s">
        <v>74</v>
      </c>
      <c r="BS269" s="2" t="s">
        <v>2419</v>
      </c>
      <c r="BT269" s="2" t="str">
        <f>HYPERLINK("https%3A%2F%2Fwww.webofscience.com%2Fwos%2Fwoscc%2Ffull-record%2FWOS:000271013700001","View Full Record in Web of Science")</f>
        <v>View Full Record in Web of Science</v>
      </c>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row>
    <row r="270" spans="1:314" s="2" customFormat="1" x14ac:dyDescent="0.4">
      <c r="A270" s="2" t="s">
        <v>72</v>
      </c>
      <c r="B270" s="2" t="s">
        <v>5730</v>
      </c>
      <c r="C270" s="2" t="s">
        <v>74</v>
      </c>
      <c r="D270" s="2" t="s">
        <v>74</v>
      </c>
      <c r="E270" s="2" t="s">
        <v>74</v>
      </c>
      <c r="F270" s="2" t="s">
        <v>5730</v>
      </c>
      <c r="G270" s="2" t="s">
        <v>74</v>
      </c>
      <c r="H270" s="2" t="s">
        <v>74</v>
      </c>
      <c r="I270" s="2" t="s">
        <v>5731</v>
      </c>
      <c r="J270" s="2" t="s">
        <v>456</v>
      </c>
      <c r="K270" s="2" t="s">
        <v>74</v>
      </c>
      <c r="L270" s="2" t="s">
        <v>74</v>
      </c>
      <c r="M270" s="2" t="s">
        <v>74</v>
      </c>
      <c r="N270" s="2" t="s">
        <v>74</v>
      </c>
      <c r="O270" s="2" t="s">
        <v>74</v>
      </c>
      <c r="P270" s="2" t="s">
        <v>74</v>
      </c>
      <c r="Q270" s="2" t="s">
        <v>74</v>
      </c>
      <c r="R270" s="2" t="s">
        <v>74</v>
      </c>
      <c r="S270" s="2" t="s">
        <v>74</v>
      </c>
      <c r="T270" s="2" t="s">
        <v>74</v>
      </c>
      <c r="U270" s="2" t="s">
        <v>74</v>
      </c>
      <c r="V270" s="5" t="s">
        <v>5732</v>
      </c>
      <c r="W270" s="2" t="s">
        <v>74</v>
      </c>
      <c r="X270" s="2" t="s">
        <v>74</v>
      </c>
      <c r="Y270" s="2" t="s">
        <v>74</v>
      </c>
      <c r="Z270" s="2" t="s">
        <v>74</v>
      </c>
      <c r="AA270" s="2" t="s">
        <v>74</v>
      </c>
      <c r="AB270" s="2" t="s">
        <v>74</v>
      </c>
      <c r="AC270" s="2" t="s">
        <v>74</v>
      </c>
      <c r="AD270" s="2" t="s">
        <v>74</v>
      </c>
      <c r="AE270" s="2" t="s">
        <v>74</v>
      </c>
      <c r="AF270" s="2" t="s">
        <v>74</v>
      </c>
      <c r="AG270" s="2" t="s">
        <v>74</v>
      </c>
      <c r="AH270" s="2" t="s">
        <v>74</v>
      </c>
      <c r="AI270" s="2" t="s">
        <v>74</v>
      </c>
      <c r="AJ270" s="2" t="s">
        <v>74</v>
      </c>
      <c r="AK270" s="2" t="s">
        <v>74</v>
      </c>
      <c r="AL270" s="2" t="s">
        <v>74</v>
      </c>
      <c r="AM270" s="2" t="s">
        <v>74</v>
      </c>
      <c r="AN270" s="2" t="s">
        <v>74</v>
      </c>
      <c r="AO270" s="2" t="s">
        <v>460</v>
      </c>
      <c r="AP270" s="2" t="s">
        <v>461</v>
      </c>
      <c r="AQ270" s="2" t="s">
        <v>74</v>
      </c>
      <c r="AR270" s="2" t="s">
        <v>74</v>
      </c>
      <c r="AS270" s="2" t="s">
        <v>74</v>
      </c>
      <c r="AT270" s="2" t="s">
        <v>175</v>
      </c>
      <c r="AU270" s="2">
        <v>1998</v>
      </c>
      <c r="AV270" s="2">
        <v>246</v>
      </c>
      <c r="AW270" s="2" t="s">
        <v>74</v>
      </c>
      <c r="AX270" s="2">
        <v>2</v>
      </c>
      <c r="AY270" s="2" t="s">
        <v>74</v>
      </c>
      <c r="AZ270" s="2" t="s">
        <v>74</v>
      </c>
      <c r="BA270" s="2" t="s">
        <v>74</v>
      </c>
      <c r="BB270" s="2">
        <v>215</v>
      </c>
      <c r="BC270" s="2">
        <v>231</v>
      </c>
      <c r="BD270" s="2" t="s">
        <v>74</v>
      </c>
      <c r="BE270" s="2" t="s">
        <v>5733</v>
      </c>
      <c r="BF270" s="2" t="str">
        <f>HYPERLINK("http://dx.doi.org/10.1111/j.1469-7998.1998.tb00150.x","http://dx.doi.org/10.1111/j.1469-7998.1998.tb00150.x")</f>
        <v>http://dx.doi.org/10.1111/j.1469-7998.1998.tb00150.x</v>
      </c>
      <c r="BG270" s="2" t="s">
        <v>74</v>
      </c>
      <c r="BH270" s="2" t="s">
        <v>74</v>
      </c>
      <c r="BI270" s="2" t="s">
        <v>74</v>
      </c>
      <c r="BJ270" s="2" t="s">
        <v>74</v>
      </c>
      <c r="BK270" s="2" t="s">
        <v>74</v>
      </c>
      <c r="BL270" s="2" t="s">
        <v>74</v>
      </c>
      <c r="BM270" s="2" t="s">
        <v>74</v>
      </c>
      <c r="BN270" s="2" t="s">
        <v>74</v>
      </c>
      <c r="BO270" s="2" t="s">
        <v>74</v>
      </c>
      <c r="BP270" s="2" t="s">
        <v>74</v>
      </c>
      <c r="BQ270" s="2" t="s">
        <v>74</v>
      </c>
      <c r="BR270" s="2" t="s">
        <v>74</v>
      </c>
      <c r="BS270" s="2" t="s">
        <v>5734</v>
      </c>
      <c r="BT270" s="2" t="str">
        <f>HYPERLINK("https%3A%2F%2Fwww.webofscience.com%2Fwos%2Fwoscc%2Ffull-record%2FWOS:000077191700010","View Full Record in Web of Science")</f>
        <v>View Full Record in Web of Science</v>
      </c>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row>
    <row r="271" spans="1:314" s="2" customFormat="1" x14ac:dyDescent="0.4">
      <c r="A271" s="2" t="s">
        <v>72</v>
      </c>
      <c r="B271" s="2" t="s">
        <v>4304</v>
      </c>
      <c r="C271" s="2" t="s">
        <v>74</v>
      </c>
      <c r="D271" s="2" t="s">
        <v>74</v>
      </c>
      <c r="E271" s="2" t="s">
        <v>74</v>
      </c>
      <c r="F271" s="2" t="s">
        <v>4305</v>
      </c>
      <c r="G271" s="2" t="s">
        <v>74</v>
      </c>
      <c r="H271" s="2" t="s">
        <v>74</v>
      </c>
      <c r="I271" s="2" t="s">
        <v>4306</v>
      </c>
      <c r="J271" s="2" t="s">
        <v>1126</v>
      </c>
      <c r="K271" s="2" t="s">
        <v>74</v>
      </c>
      <c r="L271" s="2" t="s">
        <v>74</v>
      </c>
      <c r="M271" s="2" t="s">
        <v>74</v>
      </c>
      <c r="N271" s="2" t="s">
        <v>74</v>
      </c>
      <c r="O271" s="2" t="s">
        <v>74</v>
      </c>
      <c r="P271" s="2" t="s">
        <v>74</v>
      </c>
      <c r="Q271" s="2" t="s">
        <v>74</v>
      </c>
      <c r="R271" s="2" t="s">
        <v>74</v>
      </c>
      <c r="S271" s="2" t="s">
        <v>74</v>
      </c>
      <c r="T271" s="2" t="s">
        <v>74</v>
      </c>
      <c r="U271" s="2" t="s">
        <v>74</v>
      </c>
      <c r="V271" s="5" t="s">
        <v>4307</v>
      </c>
      <c r="W271" s="2" t="s">
        <v>74</v>
      </c>
      <c r="X271" s="2" t="s">
        <v>74</v>
      </c>
      <c r="Y271" s="2" t="s">
        <v>74</v>
      </c>
      <c r="Z271" s="2" t="s">
        <v>74</v>
      </c>
      <c r="AA271" s="2" t="s">
        <v>379</v>
      </c>
      <c r="AB271" s="2" t="s">
        <v>74</v>
      </c>
      <c r="AC271" s="2" t="s">
        <v>74</v>
      </c>
      <c r="AD271" s="2" t="s">
        <v>74</v>
      </c>
      <c r="AE271" s="2" t="s">
        <v>74</v>
      </c>
      <c r="AF271" s="2" t="s">
        <v>74</v>
      </c>
      <c r="AG271" s="2" t="s">
        <v>74</v>
      </c>
      <c r="AH271" s="2" t="s">
        <v>74</v>
      </c>
      <c r="AI271" s="2" t="s">
        <v>74</v>
      </c>
      <c r="AJ271" s="2" t="s">
        <v>74</v>
      </c>
      <c r="AK271" s="2" t="s">
        <v>74</v>
      </c>
      <c r="AL271" s="2" t="s">
        <v>74</v>
      </c>
      <c r="AM271" s="2" t="s">
        <v>74</v>
      </c>
      <c r="AN271" s="2" t="s">
        <v>74</v>
      </c>
      <c r="AO271" s="2" t="s">
        <v>1128</v>
      </c>
      <c r="AP271" s="2" t="s">
        <v>1129</v>
      </c>
      <c r="AQ271" s="2" t="s">
        <v>74</v>
      </c>
      <c r="AR271" s="2" t="s">
        <v>74</v>
      </c>
      <c r="AS271" s="2" t="s">
        <v>74</v>
      </c>
      <c r="AT271" s="2" t="s">
        <v>123</v>
      </c>
      <c r="AU271" s="2">
        <v>2013</v>
      </c>
      <c r="AV271" s="2" t="s">
        <v>74</v>
      </c>
      <c r="AW271" s="2">
        <v>1</v>
      </c>
      <c r="AX271" s="2" t="s">
        <v>74</v>
      </c>
      <c r="AY271" s="2" t="s">
        <v>74</v>
      </c>
      <c r="AZ271" s="2" t="s">
        <v>74</v>
      </c>
      <c r="BA271" s="2" t="s">
        <v>74</v>
      </c>
      <c r="BB271" s="2">
        <v>154</v>
      </c>
      <c r="BC271" s="2">
        <v>159</v>
      </c>
      <c r="BD271" s="2" t="s">
        <v>74</v>
      </c>
      <c r="BE271" s="2" t="s">
        <v>4308</v>
      </c>
      <c r="BF271" s="2" t="str">
        <f>HYPERLINK("http://dx.doi.org/10.1643/CE-12-056","http://dx.doi.org/10.1643/CE-12-056")</f>
        <v>http://dx.doi.org/10.1643/CE-12-056</v>
      </c>
      <c r="BG271" s="2" t="s">
        <v>74</v>
      </c>
      <c r="BH271" s="2" t="s">
        <v>74</v>
      </c>
      <c r="BI271" s="2" t="s">
        <v>74</v>
      </c>
      <c r="BJ271" s="2" t="s">
        <v>74</v>
      </c>
      <c r="BK271" s="2" t="s">
        <v>74</v>
      </c>
      <c r="BL271" s="2" t="s">
        <v>74</v>
      </c>
      <c r="BM271" s="2" t="s">
        <v>74</v>
      </c>
      <c r="BN271" s="2" t="s">
        <v>74</v>
      </c>
      <c r="BO271" s="2" t="s">
        <v>74</v>
      </c>
      <c r="BP271" s="2" t="s">
        <v>74</v>
      </c>
      <c r="BQ271" s="2" t="s">
        <v>74</v>
      </c>
      <c r="BR271" s="2" t="s">
        <v>74</v>
      </c>
      <c r="BS271" s="2" t="s">
        <v>4309</v>
      </c>
      <c r="BT271" s="2" t="str">
        <f>HYPERLINK("https%3A%2F%2Fwww.webofscience.com%2Fwos%2Fwoscc%2Ffull-record%2FWOS:000411881100019","View Full Record in Web of Science")</f>
        <v>View Full Record in Web of Science</v>
      </c>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row>
    <row r="272" spans="1:314" s="2" customFormat="1" x14ac:dyDescent="0.4">
      <c r="A272" s="2" t="s">
        <v>72</v>
      </c>
      <c r="B272" s="2" t="s">
        <v>8472</v>
      </c>
      <c r="C272" s="2" t="s">
        <v>74</v>
      </c>
      <c r="D272" s="2" t="s">
        <v>74</v>
      </c>
      <c r="E272" s="2" t="s">
        <v>74</v>
      </c>
      <c r="F272" s="2" t="s">
        <v>8473</v>
      </c>
      <c r="G272" s="2" t="s">
        <v>74</v>
      </c>
      <c r="H272" s="2" t="s">
        <v>74</v>
      </c>
      <c r="I272" s="2" t="s">
        <v>8474</v>
      </c>
      <c r="J272" s="2" t="s">
        <v>576</v>
      </c>
      <c r="K272" s="2" t="s">
        <v>74</v>
      </c>
      <c r="L272" s="2" t="s">
        <v>74</v>
      </c>
      <c r="M272" s="2" t="s">
        <v>74</v>
      </c>
      <c r="N272" s="2" t="s">
        <v>74</v>
      </c>
      <c r="O272" s="2" t="s">
        <v>74</v>
      </c>
      <c r="P272" s="2" t="s">
        <v>74</v>
      </c>
      <c r="Q272" s="2" t="s">
        <v>74</v>
      </c>
      <c r="R272" s="2" t="s">
        <v>74</v>
      </c>
      <c r="S272" s="2" t="s">
        <v>74</v>
      </c>
      <c r="T272" s="2" t="s">
        <v>74</v>
      </c>
      <c r="U272" s="2" t="s">
        <v>74</v>
      </c>
      <c r="V272" s="5" t="s">
        <v>8475</v>
      </c>
      <c r="W272" s="2" t="s">
        <v>74</v>
      </c>
      <c r="X272" s="2" t="s">
        <v>74</v>
      </c>
      <c r="Y272" s="2" t="s">
        <v>74</v>
      </c>
      <c r="Z272" s="2" t="s">
        <v>74</v>
      </c>
      <c r="AA272" s="2" t="s">
        <v>8476</v>
      </c>
      <c r="AB272" s="2" t="s">
        <v>8477</v>
      </c>
      <c r="AC272" s="2" t="s">
        <v>74</v>
      </c>
      <c r="AD272" s="2" t="s">
        <v>74</v>
      </c>
      <c r="AE272" s="2" t="s">
        <v>74</v>
      </c>
      <c r="AF272" s="2" t="s">
        <v>74</v>
      </c>
      <c r="AG272" s="2" t="s">
        <v>74</v>
      </c>
      <c r="AH272" s="2" t="s">
        <v>74</v>
      </c>
      <c r="AI272" s="2" t="s">
        <v>74</v>
      </c>
      <c r="AJ272" s="2" t="s">
        <v>74</v>
      </c>
      <c r="AK272" s="2" t="s">
        <v>74</v>
      </c>
      <c r="AL272" s="2" t="s">
        <v>74</v>
      </c>
      <c r="AM272" s="2" t="s">
        <v>74</v>
      </c>
      <c r="AN272" s="2" t="s">
        <v>74</v>
      </c>
      <c r="AO272" s="2" t="s">
        <v>579</v>
      </c>
      <c r="AP272" s="2" t="s">
        <v>580</v>
      </c>
      <c r="AQ272" s="2" t="s">
        <v>74</v>
      </c>
      <c r="AR272" s="2" t="s">
        <v>74</v>
      </c>
      <c r="AS272" s="2" t="s">
        <v>74</v>
      </c>
      <c r="AT272" s="2" t="s">
        <v>352</v>
      </c>
      <c r="AU272" s="2">
        <v>2014</v>
      </c>
      <c r="AV272" s="2">
        <v>28</v>
      </c>
      <c r="AW272" s="2">
        <v>5</v>
      </c>
      <c r="AX272" s="2" t="s">
        <v>74</v>
      </c>
      <c r="AY272" s="2" t="s">
        <v>74</v>
      </c>
      <c r="AZ272" s="2" t="s">
        <v>74</v>
      </c>
      <c r="BA272" s="2" t="s">
        <v>74</v>
      </c>
      <c r="BB272" s="2">
        <v>941</v>
      </c>
      <c r="BC272" s="2">
        <v>956</v>
      </c>
      <c r="BD272" s="2" t="s">
        <v>74</v>
      </c>
      <c r="BE272" s="2" t="s">
        <v>8478</v>
      </c>
      <c r="BF272" s="2" t="str">
        <f>HYPERLINK("http://dx.doi.org/10.1007/s10682-014-9711-1","http://dx.doi.org/10.1007/s10682-014-9711-1")</f>
        <v>http://dx.doi.org/10.1007/s10682-014-9711-1</v>
      </c>
      <c r="BG272" s="2" t="s">
        <v>74</v>
      </c>
      <c r="BH272" s="2" t="s">
        <v>74</v>
      </c>
      <c r="BI272" s="2" t="s">
        <v>74</v>
      </c>
      <c r="BJ272" s="2" t="s">
        <v>74</v>
      </c>
      <c r="BK272" s="2" t="s">
        <v>74</v>
      </c>
      <c r="BL272" s="2" t="s">
        <v>74</v>
      </c>
      <c r="BM272" s="2" t="s">
        <v>74</v>
      </c>
      <c r="BN272" s="2" t="s">
        <v>74</v>
      </c>
      <c r="BO272" s="2" t="s">
        <v>74</v>
      </c>
      <c r="BP272" s="2" t="s">
        <v>74</v>
      </c>
      <c r="BQ272" s="2" t="s">
        <v>74</v>
      </c>
      <c r="BR272" s="2" t="s">
        <v>74</v>
      </c>
      <c r="BS272" s="2" t="s">
        <v>8479</v>
      </c>
      <c r="BT272" s="2" t="str">
        <f>HYPERLINK("https%3A%2F%2Fwww.webofscience.com%2Fwos%2Fwoscc%2Ffull-record%2FWOS:000340496000009","View Full Record in Web of Science")</f>
        <v>View Full Record in Web of Science</v>
      </c>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row>
    <row r="273" spans="1:314" s="2" customFormat="1" x14ac:dyDescent="0.4">
      <c r="A273" s="2" t="s">
        <v>72</v>
      </c>
      <c r="B273" s="2" t="s">
        <v>1195</v>
      </c>
      <c r="C273" s="2" t="s">
        <v>74</v>
      </c>
      <c r="D273" s="2" t="s">
        <v>74</v>
      </c>
      <c r="E273" s="2" t="s">
        <v>74</v>
      </c>
      <c r="F273" s="2" t="s">
        <v>1196</v>
      </c>
      <c r="G273" s="2" t="s">
        <v>74</v>
      </c>
      <c r="H273" s="2" t="s">
        <v>74</v>
      </c>
      <c r="I273" s="2" t="s">
        <v>1197</v>
      </c>
      <c r="J273" s="2" t="s">
        <v>1198</v>
      </c>
      <c r="K273" s="2" t="s">
        <v>74</v>
      </c>
      <c r="L273" s="2" t="s">
        <v>74</v>
      </c>
      <c r="M273" s="2" t="s">
        <v>74</v>
      </c>
      <c r="N273" s="2" t="s">
        <v>74</v>
      </c>
      <c r="O273" s="2" t="s">
        <v>74</v>
      </c>
      <c r="P273" s="2" t="s">
        <v>74</v>
      </c>
      <c r="Q273" s="2" t="s">
        <v>74</v>
      </c>
      <c r="R273" s="2" t="s">
        <v>74</v>
      </c>
      <c r="S273" s="2" t="s">
        <v>74</v>
      </c>
      <c r="T273" s="2" t="s">
        <v>74</v>
      </c>
      <c r="U273" s="2" t="s">
        <v>74</v>
      </c>
      <c r="V273" s="5" t="s">
        <v>1199</v>
      </c>
      <c r="W273" s="2" t="s">
        <v>74</v>
      </c>
      <c r="X273" s="2" t="s">
        <v>74</v>
      </c>
      <c r="Y273" s="2" t="s">
        <v>74</v>
      </c>
      <c r="Z273" s="2" t="s">
        <v>74</v>
      </c>
      <c r="AA273" s="2" t="s">
        <v>1200</v>
      </c>
      <c r="AB273" s="2" t="s">
        <v>1201</v>
      </c>
      <c r="AC273" s="2" t="s">
        <v>74</v>
      </c>
      <c r="AD273" s="2" t="s">
        <v>74</v>
      </c>
      <c r="AE273" s="2" t="s">
        <v>74</v>
      </c>
      <c r="AF273" s="2" t="s">
        <v>74</v>
      </c>
      <c r="AG273" s="2" t="s">
        <v>74</v>
      </c>
      <c r="AH273" s="2" t="s">
        <v>74</v>
      </c>
      <c r="AI273" s="2" t="s">
        <v>74</v>
      </c>
      <c r="AJ273" s="2" t="s">
        <v>74</v>
      </c>
      <c r="AK273" s="2" t="s">
        <v>74</v>
      </c>
      <c r="AL273" s="2" t="s">
        <v>74</v>
      </c>
      <c r="AM273" s="2" t="s">
        <v>74</v>
      </c>
      <c r="AN273" s="2" t="s">
        <v>74</v>
      </c>
      <c r="AO273" s="2" t="s">
        <v>1202</v>
      </c>
      <c r="AP273" s="2" t="s">
        <v>1203</v>
      </c>
      <c r="AQ273" s="2" t="s">
        <v>74</v>
      </c>
      <c r="AR273" s="2" t="s">
        <v>74</v>
      </c>
      <c r="AS273" s="2" t="s">
        <v>74</v>
      </c>
      <c r="AT273" s="2" t="s">
        <v>123</v>
      </c>
      <c r="AU273" s="2">
        <v>2023</v>
      </c>
      <c r="AV273" s="2">
        <v>79</v>
      </c>
      <c r="AW273" s="2">
        <v>1</v>
      </c>
      <c r="AX273" s="2" t="s">
        <v>74</v>
      </c>
      <c r="AY273" s="2" t="s">
        <v>74</v>
      </c>
      <c r="AZ273" s="2" t="s">
        <v>74</v>
      </c>
      <c r="BA273" s="2" t="s">
        <v>74</v>
      </c>
      <c r="BB273" s="2">
        <v>37</v>
      </c>
      <c r="BC273" s="2">
        <v>47</v>
      </c>
      <c r="BD273" s="2" t="s">
        <v>74</v>
      </c>
      <c r="BE273" s="2" t="s">
        <v>74</v>
      </c>
      <c r="BF273" s="2" t="s">
        <v>74</v>
      </c>
      <c r="BG273" s="2" t="s">
        <v>74</v>
      </c>
      <c r="BH273" s="2" t="s">
        <v>74</v>
      </c>
      <c r="BI273" s="2" t="s">
        <v>74</v>
      </c>
      <c r="BJ273" s="2" t="s">
        <v>74</v>
      </c>
      <c r="BK273" s="2" t="s">
        <v>74</v>
      </c>
      <c r="BL273" s="2" t="s">
        <v>74</v>
      </c>
      <c r="BM273" s="2" t="s">
        <v>74</v>
      </c>
      <c r="BN273" s="2" t="s">
        <v>74</v>
      </c>
      <c r="BO273" s="2" t="s">
        <v>74</v>
      </c>
      <c r="BP273" s="2" t="s">
        <v>74</v>
      </c>
      <c r="BQ273" s="2" t="s">
        <v>74</v>
      </c>
      <c r="BR273" s="2" t="s">
        <v>74</v>
      </c>
      <c r="BS273" s="2" t="s">
        <v>1204</v>
      </c>
      <c r="BT273" s="2" t="str">
        <f>HYPERLINK("https%3A%2F%2Fwww.webofscience.com%2Fwos%2Fwoscc%2Ffull-record%2FWOS:000948166800005","View Full Record in Web of Science")</f>
        <v>View Full Record in Web of Science</v>
      </c>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row>
    <row r="274" spans="1:314" s="2" customFormat="1" x14ac:dyDescent="0.4">
      <c r="A274" s="2" t="s">
        <v>72</v>
      </c>
      <c r="B274" s="2" t="s">
        <v>5849</v>
      </c>
      <c r="C274" s="2" t="s">
        <v>74</v>
      </c>
      <c r="D274" s="2" t="s">
        <v>74</v>
      </c>
      <c r="E274" s="2" t="s">
        <v>74</v>
      </c>
      <c r="F274" s="2" t="s">
        <v>5850</v>
      </c>
      <c r="G274" s="2" t="s">
        <v>74</v>
      </c>
      <c r="H274" s="2" t="s">
        <v>74</v>
      </c>
      <c r="I274" s="2" t="s">
        <v>5851</v>
      </c>
      <c r="J274" s="2" t="s">
        <v>140</v>
      </c>
      <c r="K274" s="2" t="s">
        <v>74</v>
      </c>
      <c r="L274" s="2" t="s">
        <v>74</v>
      </c>
      <c r="M274" s="2" t="s">
        <v>74</v>
      </c>
      <c r="N274" s="2" t="s">
        <v>74</v>
      </c>
      <c r="O274" s="2" t="s">
        <v>74</v>
      </c>
      <c r="P274" s="2" t="s">
        <v>74</v>
      </c>
      <c r="Q274" s="2" t="s">
        <v>74</v>
      </c>
      <c r="R274" s="2" t="s">
        <v>74</v>
      </c>
      <c r="S274" s="2" t="s">
        <v>74</v>
      </c>
      <c r="T274" s="2" t="s">
        <v>74</v>
      </c>
      <c r="U274" s="2" t="s">
        <v>74</v>
      </c>
      <c r="V274" s="5" t="s">
        <v>5852</v>
      </c>
      <c r="W274" s="2" t="s">
        <v>74</v>
      </c>
      <c r="X274" s="2" t="s">
        <v>74</v>
      </c>
      <c r="Y274" s="2" t="s">
        <v>74</v>
      </c>
      <c r="Z274" s="2" t="s">
        <v>74</v>
      </c>
      <c r="AA274" s="2" t="s">
        <v>5853</v>
      </c>
      <c r="AB274" s="2" t="s">
        <v>5854</v>
      </c>
      <c r="AC274" s="2" t="s">
        <v>74</v>
      </c>
      <c r="AD274" s="2" t="s">
        <v>74</v>
      </c>
      <c r="AE274" s="2" t="s">
        <v>74</v>
      </c>
      <c r="AF274" s="2" t="s">
        <v>74</v>
      </c>
      <c r="AG274" s="2" t="s">
        <v>74</v>
      </c>
      <c r="AH274" s="2" t="s">
        <v>74</v>
      </c>
      <c r="AI274" s="2" t="s">
        <v>74</v>
      </c>
      <c r="AJ274" s="2" t="s">
        <v>74</v>
      </c>
      <c r="AK274" s="2" t="s">
        <v>74</v>
      </c>
      <c r="AL274" s="2" t="s">
        <v>74</v>
      </c>
      <c r="AM274" s="2" t="s">
        <v>74</v>
      </c>
      <c r="AN274" s="2" t="s">
        <v>74</v>
      </c>
      <c r="AO274" s="2" t="s">
        <v>143</v>
      </c>
      <c r="AP274" s="2" t="s">
        <v>144</v>
      </c>
      <c r="AQ274" s="2" t="s">
        <v>74</v>
      </c>
      <c r="AR274" s="2" t="s">
        <v>74</v>
      </c>
      <c r="AS274" s="2" t="s">
        <v>74</v>
      </c>
      <c r="AT274" s="2" t="s">
        <v>213</v>
      </c>
      <c r="AU274" s="2">
        <v>2015</v>
      </c>
      <c r="AV274" s="2">
        <v>109</v>
      </c>
      <c r="AW274" s="2" t="s">
        <v>74</v>
      </c>
      <c r="AX274" s="2" t="s">
        <v>74</v>
      </c>
      <c r="AY274" s="2" t="s">
        <v>74</v>
      </c>
      <c r="AZ274" s="2" t="s">
        <v>74</v>
      </c>
      <c r="BA274" s="2" t="s">
        <v>74</v>
      </c>
      <c r="BB274" s="2">
        <v>33</v>
      </c>
      <c r="BC274" s="2">
        <v>44</v>
      </c>
      <c r="BD274" s="2" t="s">
        <v>74</v>
      </c>
      <c r="BE274" s="2" t="s">
        <v>5855</v>
      </c>
      <c r="BF274" s="2" t="str">
        <f>HYPERLINK("http://dx.doi.org/10.1016/j.anbehav.2015.08.002","http://dx.doi.org/10.1016/j.anbehav.2015.08.002")</f>
        <v>http://dx.doi.org/10.1016/j.anbehav.2015.08.002</v>
      </c>
      <c r="BG274" s="2" t="s">
        <v>74</v>
      </c>
      <c r="BH274" s="2" t="s">
        <v>74</v>
      </c>
      <c r="BI274" s="2" t="s">
        <v>74</v>
      </c>
      <c r="BJ274" s="2" t="s">
        <v>74</v>
      </c>
      <c r="BK274" s="2" t="s">
        <v>74</v>
      </c>
      <c r="BL274" s="2" t="s">
        <v>74</v>
      </c>
      <c r="BM274" s="2" t="s">
        <v>74</v>
      </c>
      <c r="BN274" s="2" t="s">
        <v>74</v>
      </c>
      <c r="BO274" s="2" t="s">
        <v>74</v>
      </c>
      <c r="BP274" s="2" t="s">
        <v>74</v>
      </c>
      <c r="BQ274" s="2" t="s">
        <v>74</v>
      </c>
      <c r="BR274" s="2" t="s">
        <v>74</v>
      </c>
      <c r="BS274" s="2" t="s">
        <v>5856</v>
      </c>
      <c r="BT274" s="2" t="str">
        <f>HYPERLINK("https%3A%2F%2Fwww.webofscience.com%2Fwos%2Fwoscc%2Ffull-record%2FWOS:000363268300007","View Full Record in Web of Science")</f>
        <v>View Full Record in Web of Science</v>
      </c>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row>
    <row r="275" spans="1:314" s="2" customFormat="1" x14ac:dyDescent="0.4">
      <c r="A275" s="2" t="s">
        <v>72</v>
      </c>
      <c r="B275" s="2" t="s">
        <v>6750</v>
      </c>
      <c r="C275" s="2" t="s">
        <v>74</v>
      </c>
      <c r="D275" s="2" t="s">
        <v>74</v>
      </c>
      <c r="E275" s="2" t="s">
        <v>74</v>
      </c>
      <c r="F275" s="2" t="s">
        <v>6751</v>
      </c>
      <c r="G275" s="2" t="s">
        <v>74</v>
      </c>
      <c r="H275" s="2" t="s">
        <v>74</v>
      </c>
      <c r="I275" s="2" t="s">
        <v>6752</v>
      </c>
      <c r="J275" s="2" t="s">
        <v>610</v>
      </c>
      <c r="K275" s="2" t="s">
        <v>74</v>
      </c>
      <c r="L275" s="2" t="s">
        <v>74</v>
      </c>
      <c r="M275" s="2" t="s">
        <v>74</v>
      </c>
      <c r="N275" s="2" t="s">
        <v>74</v>
      </c>
      <c r="O275" s="2" t="s">
        <v>74</v>
      </c>
      <c r="P275" s="2" t="s">
        <v>74</v>
      </c>
      <c r="Q275" s="2" t="s">
        <v>74</v>
      </c>
      <c r="R275" s="2" t="s">
        <v>74</v>
      </c>
      <c r="S275" s="2" t="s">
        <v>74</v>
      </c>
      <c r="T275" s="2" t="s">
        <v>74</v>
      </c>
      <c r="U275" s="2" t="s">
        <v>74</v>
      </c>
      <c r="V275" s="5" t="s">
        <v>6753</v>
      </c>
      <c r="W275" s="2" t="s">
        <v>74</v>
      </c>
      <c r="X275" s="2" t="s">
        <v>74</v>
      </c>
      <c r="Y275" s="2" t="s">
        <v>74</v>
      </c>
      <c r="Z275" s="2" t="s">
        <v>74</v>
      </c>
      <c r="AA275" s="2" t="s">
        <v>6754</v>
      </c>
      <c r="AB275" s="2" t="s">
        <v>6755</v>
      </c>
      <c r="AC275" s="2" t="s">
        <v>74</v>
      </c>
      <c r="AD275" s="2" t="s">
        <v>74</v>
      </c>
      <c r="AE275" s="2" t="s">
        <v>74</v>
      </c>
      <c r="AF275" s="2" t="s">
        <v>74</v>
      </c>
      <c r="AG275" s="2" t="s">
        <v>74</v>
      </c>
      <c r="AH275" s="2" t="s">
        <v>74</v>
      </c>
      <c r="AI275" s="2" t="s">
        <v>74</v>
      </c>
      <c r="AJ275" s="2" t="s">
        <v>74</v>
      </c>
      <c r="AK275" s="2" t="s">
        <v>74</v>
      </c>
      <c r="AL275" s="2" t="s">
        <v>74</v>
      </c>
      <c r="AM275" s="2" t="s">
        <v>74</v>
      </c>
      <c r="AN275" s="2" t="s">
        <v>74</v>
      </c>
      <c r="AO275" s="2" t="s">
        <v>614</v>
      </c>
      <c r="AP275" s="2" t="s">
        <v>615</v>
      </c>
      <c r="AQ275" s="2" t="s">
        <v>74</v>
      </c>
      <c r="AR275" s="2" t="s">
        <v>74</v>
      </c>
      <c r="AS275" s="2" t="s">
        <v>74</v>
      </c>
      <c r="AT275" s="2" t="s">
        <v>964</v>
      </c>
      <c r="AU275" s="2">
        <v>2020</v>
      </c>
      <c r="AV275" s="2">
        <v>126</v>
      </c>
      <c r="AW275" s="2">
        <v>2</v>
      </c>
      <c r="AX275" s="2" t="s">
        <v>74</v>
      </c>
      <c r="AY275" s="2" t="s">
        <v>74</v>
      </c>
      <c r="AZ275" s="2" t="s">
        <v>848</v>
      </c>
      <c r="BA275" s="2" t="s">
        <v>74</v>
      </c>
      <c r="BB275" s="2">
        <v>140</v>
      </c>
      <c r="BC275" s="2">
        <v>152</v>
      </c>
      <c r="BD275" s="2" t="s">
        <v>74</v>
      </c>
      <c r="BE275" s="2" t="s">
        <v>6756</v>
      </c>
      <c r="BF275" s="2" t="str">
        <f>HYPERLINK("http://dx.doi.org/10.1111/eth.12954","http://dx.doi.org/10.1111/eth.12954")</f>
        <v>http://dx.doi.org/10.1111/eth.12954</v>
      </c>
      <c r="BG275" s="2" t="s">
        <v>74</v>
      </c>
      <c r="BH275" s="2" t="s">
        <v>6757</v>
      </c>
      <c r="BI275" s="2" t="s">
        <v>74</v>
      </c>
      <c r="BJ275" s="2" t="s">
        <v>74</v>
      </c>
      <c r="BK275" s="2" t="s">
        <v>74</v>
      </c>
      <c r="BL275" s="2" t="s">
        <v>74</v>
      </c>
      <c r="BM275" s="2" t="s">
        <v>74</v>
      </c>
      <c r="BN275" s="2" t="s">
        <v>74</v>
      </c>
      <c r="BO275" s="2" t="s">
        <v>74</v>
      </c>
      <c r="BP275" s="2" t="s">
        <v>74</v>
      </c>
      <c r="BQ275" s="2" t="s">
        <v>74</v>
      </c>
      <c r="BR275" s="2" t="s">
        <v>74</v>
      </c>
      <c r="BS275" s="2" t="s">
        <v>6758</v>
      </c>
      <c r="BT275" s="2" t="str">
        <f>HYPERLINK("https%3A%2F%2Fwww.webofscience.com%2Fwos%2Fwoscc%2Ffull-record%2FWOS:000488374300001","View Full Record in Web of Science")</f>
        <v>View Full Record in Web of Science</v>
      </c>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row>
    <row r="276" spans="1:314" s="2" customFormat="1" x14ac:dyDescent="0.4">
      <c r="A276" s="2" t="s">
        <v>72</v>
      </c>
      <c r="B276" s="2" t="s">
        <v>5771</v>
      </c>
      <c r="C276" s="2" t="s">
        <v>74</v>
      </c>
      <c r="D276" s="2" t="s">
        <v>74</v>
      </c>
      <c r="E276" s="2" t="s">
        <v>74</v>
      </c>
      <c r="F276" s="2" t="s">
        <v>5772</v>
      </c>
      <c r="G276" s="2" t="s">
        <v>74</v>
      </c>
      <c r="H276" s="2" t="s">
        <v>74</v>
      </c>
      <c r="I276" s="2" t="s">
        <v>5773</v>
      </c>
      <c r="J276" s="2" t="s">
        <v>5774</v>
      </c>
      <c r="K276" s="2" t="s">
        <v>74</v>
      </c>
      <c r="L276" s="2" t="s">
        <v>74</v>
      </c>
      <c r="M276" s="2" t="s">
        <v>74</v>
      </c>
      <c r="N276" s="2" t="s">
        <v>74</v>
      </c>
      <c r="O276" s="2" t="s">
        <v>74</v>
      </c>
      <c r="P276" s="2" t="s">
        <v>74</v>
      </c>
      <c r="Q276" s="2" t="s">
        <v>74</v>
      </c>
      <c r="R276" s="2" t="s">
        <v>74</v>
      </c>
      <c r="S276" s="2" t="s">
        <v>74</v>
      </c>
      <c r="T276" s="2" t="s">
        <v>74</v>
      </c>
      <c r="U276" s="2" t="s">
        <v>74</v>
      </c>
      <c r="V276" s="5" t="s">
        <v>5775</v>
      </c>
      <c r="W276" s="2" t="s">
        <v>74</v>
      </c>
      <c r="X276" s="2" t="s">
        <v>74</v>
      </c>
      <c r="Y276" s="2" t="s">
        <v>74</v>
      </c>
      <c r="Z276" s="2" t="s">
        <v>74</v>
      </c>
      <c r="AA276" s="2" t="s">
        <v>4828</v>
      </c>
      <c r="AB276" s="2" t="s">
        <v>4829</v>
      </c>
      <c r="AC276" s="2" t="s">
        <v>74</v>
      </c>
      <c r="AD276" s="2" t="s">
        <v>74</v>
      </c>
      <c r="AE276" s="2" t="s">
        <v>74</v>
      </c>
      <c r="AF276" s="2" t="s">
        <v>74</v>
      </c>
      <c r="AG276" s="2" t="s">
        <v>74</v>
      </c>
      <c r="AH276" s="2" t="s">
        <v>74</v>
      </c>
      <c r="AI276" s="2" t="s">
        <v>74</v>
      </c>
      <c r="AJ276" s="2" t="s">
        <v>74</v>
      </c>
      <c r="AK276" s="2" t="s">
        <v>74</v>
      </c>
      <c r="AL276" s="2" t="s">
        <v>74</v>
      </c>
      <c r="AM276" s="2" t="s">
        <v>74</v>
      </c>
      <c r="AN276" s="2" t="s">
        <v>74</v>
      </c>
      <c r="AO276" s="2" t="s">
        <v>5776</v>
      </c>
      <c r="AP276" s="2" t="s">
        <v>74</v>
      </c>
      <c r="AQ276" s="2" t="s">
        <v>74</v>
      </c>
      <c r="AR276" s="2" t="s">
        <v>74</v>
      </c>
      <c r="AS276" s="2" t="s">
        <v>74</v>
      </c>
      <c r="AT276" s="2" t="s">
        <v>102</v>
      </c>
      <c r="AU276" s="2">
        <v>2009</v>
      </c>
      <c r="AV276" s="2">
        <v>20</v>
      </c>
      <c r="AW276" s="2">
        <v>2</v>
      </c>
      <c r="AX276" s="2" t="s">
        <v>74</v>
      </c>
      <c r="AY276" s="2" t="s">
        <v>74</v>
      </c>
      <c r="AZ276" s="2" t="s">
        <v>74</v>
      </c>
      <c r="BA276" s="2" t="s">
        <v>74</v>
      </c>
      <c r="BB276" s="2">
        <v>163</v>
      </c>
      <c r="BC276" s="2">
        <v>178</v>
      </c>
      <c r="BD276" s="2" t="s">
        <v>74</v>
      </c>
      <c r="BE276" s="2" t="s">
        <v>74</v>
      </c>
      <c r="BF276" s="2" t="s">
        <v>74</v>
      </c>
      <c r="BG276" s="2" t="s">
        <v>74</v>
      </c>
      <c r="BH276" s="2" t="s">
        <v>74</v>
      </c>
      <c r="BI276" s="2" t="s">
        <v>74</v>
      </c>
      <c r="BJ276" s="2" t="s">
        <v>74</v>
      </c>
      <c r="BK276" s="2" t="s">
        <v>74</v>
      </c>
      <c r="BL276" s="2" t="s">
        <v>74</v>
      </c>
      <c r="BM276" s="2" t="s">
        <v>74</v>
      </c>
      <c r="BN276" s="2" t="s">
        <v>74</v>
      </c>
      <c r="BO276" s="2" t="s">
        <v>74</v>
      </c>
      <c r="BP276" s="2" t="s">
        <v>74</v>
      </c>
      <c r="BQ276" s="2" t="s">
        <v>74</v>
      </c>
      <c r="BR276" s="2" t="s">
        <v>74</v>
      </c>
      <c r="BS276" s="2" t="s">
        <v>5777</v>
      </c>
      <c r="BT276" s="2" t="str">
        <f>HYPERLINK("https%3A%2F%2Fwww.webofscience.com%2Fwos%2Fwoscc%2Ffull-record%2FWOS:000269324600006","View Full Record in Web of Science")</f>
        <v>View Full Record in Web of Science</v>
      </c>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row>
    <row r="277" spans="1:314" s="2" customFormat="1" x14ac:dyDescent="0.4">
      <c r="A277" s="2" t="s">
        <v>72</v>
      </c>
      <c r="B277" s="2" t="s">
        <v>6416</v>
      </c>
      <c r="C277" s="2" t="s">
        <v>74</v>
      </c>
      <c r="D277" s="2" t="s">
        <v>74</v>
      </c>
      <c r="E277" s="2" t="s">
        <v>74</v>
      </c>
      <c r="F277" s="2" t="s">
        <v>6417</v>
      </c>
      <c r="G277" s="2" t="s">
        <v>74</v>
      </c>
      <c r="H277" s="2" t="s">
        <v>74</v>
      </c>
      <c r="I277" s="2" t="s">
        <v>6418</v>
      </c>
      <c r="J277" s="2" t="s">
        <v>1812</v>
      </c>
      <c r="K277" s="2" t="s">
        <v>74</v>
      </c>
      <c r="L277" s="2" t="s">
        <v>74</v>
      </c>
      <c r="M277" s="2" t="s">
        <v>74</v>
      </c>
      <c r="N277" s="2" t="s">
        <v>74</v>
      </c>
      <c r="O277" s="2" t="s">
        <v>74</v>
      </c>
      <c r="P277" s="2" t="s">
        <v>74</v>
      </c>
      <c r="Q277" s="2" t="s">
        <v>74</v>
      </c>
      <c r="R277" s="2" t="s">
        <v>74</v>
      </c>
      <c r="S277" s="2" t="s">
        <v>74</v>
      </c>
      <c r="T277" s="2" t="s">
        <v>74</v>
      </c>
      <c r="U277" s="2" t="s">
        <v>74</v>
      </c>
      <c r="V277" s="5" t="s">
        <v>6419</v>
      </c>
      <c r="W277" s="2" t="s">
        <v>74</v>
      </c>
      <c r="X277" s="2" t="s">
        <v>74</v>
      </c>
      <c r="Y277" s="2" t="s">
        <v>74</v>
      </c>
      <c r="Z277" s="2" t="s">
        <v>74</v>
      </c>
      <c r="AA277" s="2" t="s">
        <v>6420</v>
      </c>
      <c r="AB277" s="2" t="s">
        <v>6421</v>
      </c>
      <c r="AC277" s="2" t="s">
        <v>74</v>
      </c>
      <c r="AD277" s="2" t="s">
        <v>74</v>
      </c>
      <c r="AE277" s="2" t="s">
        <v>74</v>
      </c>
      <c r="AF277" s="2" t="s">
        <v>74</v>
      </c>
      <c r="AG277" s="2" t="s">
        <v>74</v>
      </c>
      <c r="AH277" s="2" t="s">
        <v>74</v>
      </c>
      <c r="AI277" s="2" t="s">
        <v>74</v>
      </c>
      <c r="AJ277" s="2" t="s">
        <v>74</v>
      </c>
      <c r="AK277" s="2" t="s">
        <v>74</v>
      </c>
      <c r="AL277" s="2" t="s">
        <v>74</v>
      </c>
      <c r="AM277" s="2" t="s">
        <v>74</v>
      </c>
      <c r="AN277" s="2" t="s">
        <v>74</v>
      </c>
      <c r="AO277" s="2" t="s">
        <v>1814</v>
      </c>
      <c r="AP277" s="2" t="s">
        <v>1815</v>
      </c>
      <c r="AQ277" s="2" t="s">
        <v>74</v>
      </c>
      <c r="AR277" s="2" t="s">
        <v>74</v>
      </c>
      <c r="AS277" s="2" t="s">
        <v>74</v>
      </c>
      <c r="AT277" s="2" t="s">
        <v>123</v>
      </c>
      <c r="AU277" s="2">
        <v>2016</v>
      </c>
      <c r="AV277" s="2">
        <v>50</v>
      </c>
      <c r="AW277" s="2">
        <v>1</v>
      </c>
      <c r="AX277" s="2" t="s">
        <v>74</v>
      </c>
      <c r="AY277" s="2" t="s">
        <v>74</v>
      </c>
      <c r="AZ277" s="2" t="s">
        <v>74</v>
      </c>
      <c r="BA277" s="2" t="s">
        <v>74</v>
      </c>
      <c r="BB277" s="2">
        <v>169</v>
      </c>
      <c r="BC277" s="2">
        <v>178</v>
      </c>
      <c r="BD277" s="2" t="s">
        <v>74</v>
      </c>
      <c r="BE277" s="2" t="s">
        <v>6422</v>
      </c>
      <c r="BF277" s="2" t="str">
        <f>HYPERLINK("http://dx.doi.org/10.1670/14-119","http://dx.doi.org/10.1670/14-119")</f>
        <v>http://dx.doi.org/10.1670/14-119</v>
      </c>
      <c r="BG277" s="2" t="s">
        <v>74</v>
      </c>
      <c r="BH277" s="2" t="s">
        <v>74</v>
      </c>
      <c r="BI277" s="2" t="s">
        <v>74</v>
      </c>
      <c r="BJ277" s="2" t="s">
        <v>74</v>
      </c>
      <c r="BK277" s="2" t="s">
        <v>74</v>
      </c>
      <c r="BL277" s="2" t="s">
        <v>74</v>
      </c>
      <c r="BM277" s="2" t="s">
        <v>74</v>
      </c>
      <c r="BN277" s="2" t="s">
        <v>74</v>
      </c>
      <c r="BO277" s="2" t="s">
        <v>74</v>
      </c>
      <c r="BP277" s="2" t="s">
        <v>74</v>
      </c>
      <c r="BQ277" s="2" t="s">
        <v>74</v>
      </c>
      <c r="BR277" s="2" t="s">
        <v>74</v>
      </c>
      <c r="BS277" s="2" t="s">
        <v>6423</v>
      </c>
      <c r="BT277" s="2" t="str">
        <f>HYPERLINK("https%3A%2F%2Fwww.webofscience.com%2Fwos%2Fwoscc%2Ffull-record%2FWOS:000371617900026","View Full Record in Web of Science")</f>
        <v>View Full Record in Web of Science</v>
      </c>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row>
    <row r="278" spans="1:314" s="2" customFormat="1" x14ac:dyDescent="0.4">
      <c r="A278" s="2" t="s">
        <v>72</v>
      </c>
      <c r="B278" s="2" t="s">
        <v>5308</v>
      </c>
      <c r="C278" s="2" t="s">
        <v>74</v>
      </c>
      <c r="D278" s="2" t="s">
        <v>74</v>
      </c>
      <c r="E278" s="2" t="s">
        <v>74</v>
      </c>
      <c r="F278" s="2" t="s">
        <v>5309</v>
      </c>
      <c r="G278" s="2" t="s">
        <v>74</v>
      </c>
      <c r="H278" s="2" t="s">
        <v>74</v>
      </c>
      <c r="I278" s="2" t="s">
        <v>5310</v>
      </c>
      <c r="J278" s="2" t="s">
        <v>119</v>
      </c>
      <c r="K278" s="2" t="s">
        <v>74</v>
      </c>
      <c r="L278" s="2" t="s">
        <v>74</v>
      </c>
      <c r="M278" s="2" t="s">
        <v>74</v>
      </c>
      <c r="N278" s="2" t="s">
        <v>74</v>
      </c>
      <c r="O278" s="2" t="s">
        <v>74</v>
      </c>
      <c r="P278" s="2" t="s">
        <v>74</v>
      </c>
      <c r="Q278" s="2" t="s">
        <v>74</v>
      </c>
      <c r="R278" s="2" t="s">
        <v>74</v>
      </c>
      <c r="S278" s="2" t="s">
        <v>74</v>
      </c>
      <c r="T278" s="2" t="s">
        <v>74</v>
      </c>
      <c r="U278" s="2" t="s">
        <v>74</v>
      </c>
      <c r="V278" s="5" t="s">
        <v>5311</v>
      </c>
      <c r="W278" s="2" t="s">
        <v>74</v>
      </c>
      <c r="X278" s="2" t="s">
        <v>74</v>
      </c>
      <c r="Y278" s="2" t="s">
        <v>74</v>
      </c>
      <c r="Z278" s="2" t="s">
        <v>74</v>
      </c>
      <c r="AA278" s="2" t="s">
        <v>74</v>
      </c>
      <c r="AB278" s="2" t="s">
        <v>74</v>
      </c>
      <c r="AC278" s="2" t="s">
        <v>74</v>
      </c>
      <c r="AD278" s="2" t="s">
        <v>74</v>
      </c>
      <c r="AE278" s="2" t="s">
        <v>74</v>
      </c>
      <c r="AF278" s="2" t="s">
        <v>74</v>
      </c>
      <c r="AG278" s="2" t="s">
        <v>74</v>
      </c>
      <c r="AH278" s="2" t="s">
        <v>74</v>
      </c>
      <c r="AI278" s="2" t="s">
        <v>74</v>
      </c>
      <c r="AJ278" s="2" t="s">
        <v>74</v>
      </c>
      <c r="AK278" s="2" t="s">
        <v>74</v>
      </c>
      <c r="AL278" s="2" t="s">
        <v>74</v>
      </c>
      <c r="AM278" s="2" t="s">
        <v>74</v>
      </c>
      <c r="AN278" s="2" t="s">
        <v>74</v>
      </c>
      <c r="AO278" s="2" t="s">
        <v>121</v>
      </c>
      <c r="AP278" s="2" t="s">
        <v>122</v>
      </c>
      <c r="AQ278" s="2" t="s">
        <v>74</v>
      </c>
      <c r="AR278" s="2" t="s">
        <v>74</v>
      </c>
      <c r="AS278" s="2" t="s">
        <v>74</v>
      </c>
      <c r="AT278" s="2" t="s">
        <v>255</v>
      </c>
      <c r="AU278" s="2">
        <v>2009</v>
      </c>
      <c r="AV278" s="2">
        <v>80</v>
      </c>
      <c r="AW278" s="2">
        <v>1</v>
      </c>
      <c r="AX278" s="2" t="s">
        <v>74</v>
      </c>
      <c r="AY278" s="2" t="s">
        <v>74</v>
      </c>
      <c r="AZ278" s="2" t="s">
        <v>74</v>
      </c>
      <c r="BA278" s="2" t="s">
        <v>74</v>
      </c>
      <c r="BB278" s="2">
        <v>46</v>
      </c>
      <c r="BC278" s="2">
        <v>50</v>
      </c>
      <c r="BD278" s="2" t="s">
        <v>74</v>
      </c>
      <c r="BE278" s="2" t="s">
        <v>5312</v>
      </c>
      <c r="BF278" s="2" t="str">
        <f>HYPERLINK("http://dx.doi.org/10.1016/j.beproc.2008.09.007","http://dx.doi.org/10.1016/j.beproc.2008.09.007")</f>
        <v>http://dx.doi.org/10.1016/j.beproc.2008.09.007</v>
      </c>
      <c r="BG278" s="2" t="s">
        <v>74</v>
      </c>
      <c r="BH278" s="2" t="s">
        <v>74</v>
      </c>
      <c r="BI278" s="2" t="s">
        <v>74</v>
      </c>
      <c r="BJ278" s="2" t="s">
        <v>74</v>
      </c>
      <c r="BK278" s="2" t="s">
        <v>74</v>
      </c>
      <c r="BL278" s="2" t="s">
        <v>74</v>
      </c>
      <c r="BM278" s="2" t="s">
        <v>74</v>
      </c>
      <c r="BN278" s="2">
        <v>18929629</v>
      </c>
      <c r="BO278" s="2" t="s">
        <v>74</v>
      </c>
      <c r="BP278" s="2" t="s">
        <v>74</v>
      </c>
      <c r="BQ278" s="2" t="s">
        <v>74</v>
      </c>
      <c r="BR278" s="2" t="s">
        <v>74</v>
      </c>
      <c r="BS278" s="2" t="s">
        <v>5313</v>
      </c>
      <c r="BT278" s="2" t="str">
        <f>HYPERLINK("https%3A%2F%2Fwww.webofscience.com%2Fwos%2Fwoscc%2Ffull-record%2FWOS:000262546900008","View Full Record in Web of Science")</f>
        <v>View Full Record in Web of Science</v>
      </c>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row>
    <row r="279" spans="1:314" s="2" customFormat="1" x14ac:dyDescent="0.4">
      <c r="A279" s="2" t="s">
        <v>72</v>
      </c>
      <c r="B279" s="2" t="s">
        <v>6625</v>
      </c>
      <c r="C279" s="2" t="s">
        <v>74</v>
      </c>
      <c r="D279" s="2" t="s">
        <v>74</v>
      </c>
      <c r="E279" s="2" t="s">
        <v>74</v>
      </c>
      <c r="F279" s="2" t="s">
        <v>6625</v>
      </c>
      <c r="G279" s="2" t="s">
        <v>74</v>
      </c>
      <c r="H279" s="2" t="s">
        <v>74</v>
      </c>
      <c r="I279" s="2" t="s">
        <v>6626</v>
      </c>
      <c r="J279" s="2" t="s">
        <v>814</v>
      </c>
      <c r="K279" s="2" t="s">
        <v>74</v>
      </c>
      <c r="L279" s="2" t="s">
        <v>74</v>
      </c>
      <c r="M279" s="2" t="s">
        <v>74</v>
      </c>
      <c r="N279" s="2" t="s">
        <v>74</v>
      </c>
      <c r="O279" s="2" t="s">
        <v>74</v>
      </c>
      <c r="P279" s="2" t="s">
        <v>74</v>
      </c>
      <c r="Q279" s="2" t="s">
        <v>74</v>
      </c>
      <c r="R279" s="2" t="s">
        <v>74</v>
      </c>
      <c r="S279" s="2" t="s">
        <v>74</v>
      </c>
      <c r="T279" s="2" t="s">
        <v>74</v>
      </c>
      <c r="U279" s="2" t="s">
        <v>74</v>
      </c>
      <c r="V279" s="5" t="s">
        <v>6627</v>
      </c>
      <c r="W279" s="2" t="s">
        <v>74</v>
      </c>
      <c r="X279" s="2" t="s">
        <v>74</v>
      </c>
      <c r="Y279" s="2" t="s">
        <v>74</v>
      </c>
      <c r="Z279" s="2" t="s">
        <v>74</v>
      </c>
      <c r="AA279" s="2" t="s">
        <v>74</v>
      </c>
      <c r="AB279" s="2" t="s">
        <v>74</v>
      </c>
      <c r="AC279" s="2" t="s">
        <v>74</v>
      </c>
      <c r="AD279" s="2" t="s">
        <v>74</v>
      </c>
      <c r="AE279" s="2" t="s">
        <v>74</v>
      </c>
      <c r="AF279" s="2" t="s">
        <v>74</v>
      </c>
      <c r="AG279" s="2" t="s">
        <v>74</v>
      </c>
      <c r="AH279" s="2" t="s">
        <v>74</v>
      </c>
      <c r="AI279" s="2" t="s">
        <v>74</v>
      </c>
      <c r="AJ279" s="2" t="s">
        <v>74</v>
      </c>
      <c r="AK279" s="2" t="s">
        <v>74</v>
      </c>
      <c r="AL279" s="2" t="s">
        <v>74</v>
      </c>
      <c r="AM279" s="2" t="s">
        <v>74</v>
      </c>
      <c r="AN279" s="2" t="s">
        <v>74</v>
      </c>
      <c r="AO279" s="2" t="s">
        <v>818</v>
      </c>
      <c r="AP279" s="2" t="s">
        <v>74</v>
      </c>
      <c r="AQ279" s="2" t="s">
        <v>74</v>
      </c>
      <c r="AR279" s="2" t="s">
        <v>74</v>
      </c>
      <c r="AS279" s="2" t="s">
        <v>74</v>
      </c>
      <c r="AT279" s="2" t="s">
        <v>74</v>
      </c>
      <c r="AU279" s="2">
        <v>2005</v>
      </c>
      <c r="AV279" s="2">
        <v>108</v>
      </c>
      <c r="AW279" s="2">
        <v>1</v>
      </c>
      <c r="AX279" s="2" t="s">
        <v>74</v>
      </c>
      <c r="AY279" s="2" t="s">
        <v>74</v>
      </c>
      <c r="AZ279" s="2" t="s">
        <v>74</v>
      </c>
      <c r="BA279" s="2" t="s">
        <v>74</v>
      </c>
      <c r="BB279" s="2">
        <v>27</v>
      </c>
      <c r="BC279" s="2">
        <v>39</v>
      </c>
      <c r="BD279" s="2" t="s">
        <v>74</v>
      </c>
      <c r="BE279" s="2" t="s">
        <v>6628</v>
      </c>
      <c r="BF279" s="2" t="str">
        <f>HYPERLINK("http://dx.doi.org/10.1016/j.zool.2004.07.007","http://dx.doi.org/10.1016/j.zool.2004.07.007")</f>
        <v>http://dx.doi.org/10.1016/j.zool.2004.07.007</v>
      </c>
      <c r="BG279" s="2" t="s">
        <v>74</v>
      </c>
      <c r="BH279" s="2" t="s">
        <v>74</v>
      </c>
      <c r="BI279" s="2" t="s">
        <v>74</v>
      </c>
      <c r="BJ279" s="2" t="s">
        <v>74</v>
      </c>
      <c r="BK279" s="2" t="s">
        <v>74</v>
      </c>
      <c r="BL279" s="2" t="s">
        <v>74</v>
      </c>
      <c r="BM279" s="2" t="s">
        <v>74</v>
      </c>
      <c r="BN279" s="2">
        <v>16351952</v>
      </c>
      <c r="BO279" s="2" t="s">
        <v>74</v>
      </c>
      <c r="BP279" s="2" t="s">
        <v>74</v>
      </c>
      <c r="BQ279" s="2" t="s">
        <v>74</v>
      </c>
      <c r="BR279" s="2" t="s">
        <v>74</v>
      </c>
      <c r="BS279" s="2" t="s">
        <v>6629</v>
      </c>
      <c r="BT279" s="2" t="str">
        <f>HYPERLINK("https%3A%2F%2Fwww.webofscience.com%2Fwos%2Fwoscc%2Ffull-record%2FWOS:000228395300003","View Full Record in Web of Science")</f>
        <v>View Full Record in Web of Science</v>
      </c>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row>
    <row r="280" spans="1:314" s="7" customFormat="1" x14ac:dyDescent="0.4">
      <c r="A280" s="2" t="s">
        <v>72</v>
      </c>
      <c r="B280" s="2" t="s">
        <v>96</v>
      </c>
      <c r="C280" s="2" t="s">
        <v>74</v>
      </c>
      <c r="D280" s="2" t="s">
        <v>74</v>
      </c>
      <c r="E280" s="2" t="s">
        <v>74</v>
      </c>
      <c r="F280" s="2" t="s">
        <v>97</v>
      </c>
      <c r="G280" s="2" t="s">
        <v>74</v>
      </c>
      <c r="H280" s="2" t="s">
        <v>74</v>
      </c>
      <c r="I280" s="2" t="s">
        <v>98</v>
      </c>
      <c r="J280" s="2" t="s">
        <v>99</v>
      </c>
      <c r="K280" s="2" t="s">
        <v>74</v>
      </c>
      <c r="L280" s="2" t="s">
        <v>74</v>
      </c>
      <c r="M280" s="2" t="s">
        <v>74</v>
      </c>
      <c r="N280" s="2" t="s">
        <v>74</v>
      </c>
      <c r="O280" s="2" t="s">
        <v>74</v>
      </c>
      <c r="P280" s="2" t="s">
        <v>74</v>
      </c>
      <c r="Q280" s="2" t="s">
        <v>74</v>
      </c>
      <c r="R280" s="2" t="s">
        <v>74</v>
      </c>
      <c r="S280" s="2" t="s">
        <v>74</v>
      </c>
      <c r="T280" s="2" t="s">
        <v>74</v>
      </c>
      <c r="U280" s="2" t="s">
        <v>74</v>
      </c>
      <c r="V280" s="5" t="s">
        <v>100</v>
      </c>
      <c r="W280" s="2" t="s">
        <v>74</v>
      </c>
      <c r="X280" s="2" t="s">
        <v>74</v>
      </c>
      <c r="Y280" s="2" t="s">
        <v>74</v>
      </c>
      <c r="Z280" s="2" t="s">
        <v>74</v>
      </c>
      <c r="AA280" s="2" t="s">
        <v>74</v>
      </c>
      <c r="AB280" s="2" t="s">
        <v>74</v>
      </c>
      <c r="AC280" s="2" t="s">
        <v>74</v>
      </c>
      <c r="AD280" s="2" t="s">
        <v>74</v>
      </c>
      <c r="AE280" s="2" t="s">
        <v>74</v>
      </c>
      <c r="AF280" s="2" t="s">
        <v>74</v>
      </c>
      <c r="AG280" s="2" t="s">
        <v>74</v>
      </c>
      <c r="AH280" s="2" t="s">
        <v>74</v>
      </c>
      <c r="AI280" s="2" t="s">
        <v>74</v>
      </c>
      <c r="AJ280" s="2" t="s">
        <v>74</v>
      </c>
      <c r="AK280" s="2" t="s">
        <v>74</v>
      </c>
      <c r="AL280" s="2" t="s">
        <v>74</v>
      </c>
      <c r="AM280" s="2" t="s">
        <v>74</v>
      </c>
      <c r="AN280" s="2" t="s">
        <v>74</v>
      </c>
      <c r="AO280" s="2" t="s">
        <v>101</v>
      </c>
      <c r="AP280" s="2" t="s">
        <v>74</v>
      </c>
      <c r="AQ280" s="2" t="s">
        <v>74</v>
      </c>
      <c r="AR280" s="2" t="s">
        <v>74</v>
      </c>
      <c r="AS280" s="2" t="s">
        <v>74</v>
      </c>
      <c r="AT280" s="2" t="s">
        <v>102</v>
      </c>
      <c r="AU280" s="2">
        <v>2013</v>
      </c>
      <c r="AV280" s="2">
        <v>125</v>
      </c>
      <c r="AW280" s="2">
        <v>2</v>
      </c>
      <c r="AX280" s="2" t="s">
        <v>74</v>
      </c>
      <c r="AY280" s="2" t="s">
        <v>74</v>
      </c>
      <c r="AZ280" s="2" t="s">
        <v>74</v>
      </c>
      <c r="BA280" s="2" t="s">
        <v>74</v>
      </c>
      <c r="BB280" s="2">
        <v>348</v>
      </c>
      <c r="BC280" s="2">
        <v>357</v>
      </c>
      <c r="BD280" s="2" t="s">
        <v>74</v>
      </c>
      <c r="BE280" s="2" t="s">
        <v>103</v>
      </c>
      <c r="BF280" s="2" t="str">
        <f>HYPERLINK("http://dx.doi.org/10.1676/12-155.1","http://dx.doi.org/10.1676/12-155.1")</f>
        <v>http://dx.doi.org/10.1676/12-155.1</v>
      </c>
      <c r="BG280" s="2" t="s">
        <v>74</v>
      </c>
      <c r="BH280" s="2" t="s">
        <v>74</v>
      </c>
      <c r="BI280" s="2" t="s">
        <v>74</v>
      </c>
      <c r="BJ280" s="2" t="s">
        <v>74</v>
      </c>
      <c r="BK280" s="2" t="s">
        <v>74</v>
      </c>
      <c r="BL280" s="2" t="s">
        <v>74</v>
      </c>
      <c r="BM280" s="2" t="s">
        <v>74</v>
      </c>
      <c r="BN280" s="2" t="s">
        <v>74</v>
      </c>
      <c r="BO280" s="2" t="s">
        <v>74</v>
      </c>
      <c r="BP280" s="2" t="s">
        <v>74</v>
      </c>
      <c r="BQ280" s="2" t="s">
        <v>74</v>
      </c>
      <c r="BR280" s="2" t="s">
        <v>74</v>
      </c>
      <c r="BS280" s="2" t="s">
        <v>104</v>
      </c>
      <c r="BT280" s="2" t="str">
        <f>HYPERLINK("https%3A%2F%2Fwww.webofscience.com%2Fwos%2Fwoscc%2Ffull-record%2FWOS:000320893300015","View Full Record in Web of Science")</f>
        <v>View Full Record in Web of Science</v>
      </c>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row>
    <row r="281" spans="1:314" s="2" customFormat="1" x14ac:dyDescent="0.4">
      <c r="A281" s="2" t="s">
        <v>72</v>
      </c>
      <c r="B281" s="2" t="s">
        <v>3530</v>
      </c>
      <c r="C281" s="2" t="s">
        <v>74</v>
      </c>
      <c r="D281" s="2" t="s">
        <v>74</v>
      </c>
      <c r="E281" s="2" t="s">
        <v>74</v>
      </c>
      <c r="F281" s="2" t="s">
        <v>3531</v>
      </c>
      <c r="G281" s="2" t="s">
        <v>74</v>
      </c>
      <c r="H281" s="2" t="s">
        <v>74</v>
      </c>
      <c r="I281" s="2" t="s">
        <v>3532</v>
      </c>
      <c r="J281" s="2" t="s">
        <v>1112</v>
      </c>
      <c r="K281" s="2" t="s">
        <v>74</v>
      </c>
      <c r="L281" s="2" t="s">
        <v>74</v>
      </c>
      <c r="M281" s="2" t="s">
        <v>74</v>
      </c>
      <c r="N281" s="2" t="s">
        <v>74</v>
      </c>
      <c r="O281" s="2" t="s">
        <v>74</v>
      </c>
      <c r="P281" s="2" t="s">
        <v>74</v>
      </c>
      <c r="Q281" s="2" t="s">
        <v>74</v>
      </c>
      <c r="R281" s="2" t="s">
        <v>74</v>
      </c>
      <c r="S281" s="2" t="s">
        <v>74</v>
      </c>
      <c r="T281" s="2" t="s">
        <v>74</v>
      </c>
      <c r="U281" s="2" t="s">
        <v>74</v>
      </c>
      <c r="V281" s="5" t="s">
        <v>3533</v>
      </c>
      <c r="W281" s="2" t="s">
        <v>74</v>
      </c>
      <c r="X281" s="2" t="s">
        <v>74</v>
      </c>
      <c r="Y281" s="2" t="s">
        <v>74</v>
      </c>
      <c r="Z281" s="2" t="s">
        <v>74</v>
      </c>
      <c r="AA281" s="2" t="s">
        <v>3534</v>
      </c>
      <c r="AB281" s="2" t="s">
        <v>3535</v>
      </c>
      <c r="AC281" s="2" t="s">
        <v>74</v>
      </c>
      <c r="AD281" s="2" t="s">
        <v>74</v>
      </c>
      <c r="AE281" s="2" t="s">
        <v>74</v>
      </c>
      <c r="AF281" s="2" t="s">
        <v>74</v>
      </c>
      <c r="AG281" s="2" t="s">
        <v>74</v>
      </c>
      <c r="AH281" s="2" t="s">
        <v>74</v>
      </c>
      <c r="AI281" s="2" t="s">
        <v>74</v>
      </c>
      <c r="AJ281" s="2" t="s">
        <v>74</v>
      </c>
      <c r="AK281" s="2" t="s">
        <v>74</v>
      </c>
      <c r="AL281" s="2" t="s">
        <v>74</v>
      </c>
      <c r="AM281" s="2" t="s">
        <v>74</v>
      </c>
      <c r="AN281" s="2" t="s">
        <v>74</v>
      </c>
      <c r="AO281" s="2" t="s">
        <v>1114</v>
      </c>
      <c r="AP281" s="2" t="s">
        <v>1115</v>
      </c>
      <c r="AQ281" s="2" t="s">
        <v>74</v>
      </c>
      <c r="AR281" s="2" t="s">
        <v>74</v>
      </c>
      <c r="AS281" s="2" t="s">
        <v>74</v>
      </c>
      <c r="AT281" s="2" t="s">
        <v>123</v>
      </c>
      <c r="AU281" s="2">
        <v>2020</v>
      </c>
      <c r="AV281" s="2">
        <v>224</v>
      </c>
      <c r="AW281" s="2" t="s">
        <v>74</v>
      </c>
      <c r="AX281" s="2" t="s">
        <v>74</v>
      </c>
      <c r="AY281" s="2" t="s">
        <v>74</v>
      </c>
      <c r="AZ281" s="2" t="s">
        <v>74</v>
      </c>
      <c r="BA281" s="2" t="s">
        <v>74</v>
      </c>
      <c r="BB281" s="2" t="s">
        <v>74</v>
      </c>
      <c r="BC281" s="2" t="s">
        <v>74</v>
      </c>
      <c r="BD281" s="2">
        <v>104947</v>
      </c>
      <c r="BE281" s="2" t="s">
        <v>3536</v>
      </c>
      <c r="BF281" s="2" t="str">
        <f>HYPERLINK("http://dx.doi.org/10.1016/j.applanim.2020.104947","http://dx.doi.org/10.1016/j.applanim.2020.104947")</f>
        <v>http://dx.doi.org/10.1016/j.applanim.2020.104947</v>
      </c>
      <c r="BG281" s="2" t="s">
        <v>74</v>
      </c>
      <c r="BH281" s="2" t="s">
        <v>74</v>
      </c>
      <c r="BI281" s="2" t="s">
        <v>74</v>
      </c>
      <c r="BJ281" s="2" t="s">
        <v>74</v>
      </c>
      <c r="BK281" s="2" t="s">
        <v>74</v>
      </c>
      <c r="BL281" s="2" t="s">
        <v>74</v>
      </c>
      <c r="BM281" s="2" t="s">
        <v>74</v>
      </c>
      <c r="BN281" s="2" t="s">
        <v>74</v>
      </c>
      <c r="BO281" s="2" t="s">
        <v>74</v>
      </c>
      <c r="BP281" s="2" t="s">
        <v>74</v>
      </c>
      <c r="BQ281" s="2" t="s">
        <v>74</v>
      </c>
      <c r="BR281" s="2" t="s">
        <v>74</v>
      </c>
      <c r="BS281" s="2" t="s">
        <v>3537</v>
      </c>
      <c r="BT281" s="2" t="str">
        <f>HYPERLINK("https%3A%2F%2Fwww.webofscience.com%2Fwos%2Fwoscc%2Ffull-record%2FWOS:000524493000016","View Full Record in Web of Science")</f>
        <v>View Full Record in Web of Science</v>
      </c>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row>
    <row r="282" spans="1:314" s="7" customFormat="1" x14ac:dyDescent="0.4">
      <c r="A282" s="2" t="s">
        <v>72</v>
      </c>
      <c r="B282" s="2" t="s">
        <v>2728</v>
      </c>
      <c r="C282" s="2" t="s">
        <v>74</v>
      </c>
      <c r="D282" s="2" t="s">
        <v>74</v>
      </c>
      <c r="E282" s="2" t="s">
        <v>74</v>
      </c>
      <c r="F282" s="2" t="s">
        <v>2728</v>
      </c>
      <c r="G282" s="2" t="s">
        <v>74</v>
      </c>
      <c r="H282" s="2" t="s">
        <v>74</v>
      </c>
      <c r="I282" s="2" t="s">
        <v>2729</v>
      </c>
      <c r="J282" s="2" t="s">
        <v>431</v>
      </c>
      <c r="K282" s="2" t="s">
        <v>74</v>
      </c>
      <c r="L282" s="2" t="s">
        <v>74</v>
      </c>
      <c r="M282" s="2" t="s">
        <v>74</v>
      </c>
      <c r="N282" s="2" t="s">
        <v>74</v>
      </c>
      <c r="O282" s="2" t="s">
        <v>74</v>
      </c>
      <c r="P282" s="2" t="s">
        <v>74</v>
      </c>
      <c r="Q282" s="2" t="s">
        <v>74</v>
      </c>
      <c r="R282" s="2" t="s">
        <v>74</v>
      </c>
      <c r="S282" s="2" t="s">
        <v>74</v>
      </c>
      <c r="T282" s="2" t="s">
        <v>74</v>
      </c>
      <c r="U282" s="2" t="s">
        <v>74</v>
      </c>
      <c r="V282" s="5" t="s">
        <v>2730</v>
      </c>
      <c r="W282" s="2" t="s">
        <v>74</v>
      </c>
      <c r="X282" s="2" t="s">
        <v>74</v>
      </c>
      <c r="Y282" s="2" t="s">
        <v>74</v>
      </c>
      <c r="Z282" s="2" t="s">
        <v>74</v>
      </c>
      <c r="AA282" s="2" t="s">
        <v>74</v>
      </c>
      <c r="AB282" s="2" t="s">
        <v>74</v>
      </c>
      <c r="AC282" s="2" t="s">
        <v>74</v>
      </c>
      <c r="AD282" s="2" t="s">
        <v>74</v>
      </c>
      <c r="AE282" s="2" t="s">
        <v>74</v>
      </c>
      <c r="AF282" s="2" t="s">
        <v>74</v>
      </c>
      <c r="AG282" s="2" t="s">
        <v>74</v>
      </c>
      <c r="AH282" s="2" t="s">
        <v>74</v>
      </c>
      <c r="AI282" s="2" t="s">
        <v>74</v>
      </c>
      <c r="AJ282" s="2" t="s">
        <v>74</v>
      </c>
      <c r="AK282" s="2" t="s">
        <v>74</v>
      </c>
      <c r="AL282" s="2" t="s">
        <v>74</v>
      </c>
      <c r="AM282" s="2" t="s">
        <v>74</v>
      </c>
      <c r="AN282" s="2" t="s">
        <v>74</v>
      </c>
      <c r="AO282" s="2" t="s">
        <v>1458</v>
      </c>
      <c r="AP282" s="2" t="s">
        <v>435</v>
      </c>
      <c r="AQ282" s="2" t="s">
        <v>74</v>
      </c>
      <c r="AR282" s="2" t="s">
        <v>74</v>
      </c>
      <c r="AS282" s="2" t="s">
        <v>74</v>
      </c>
      <c r="AT282" s="2" t="s">
        <v>175</v>
      </c>
      <c r="AU282" s="2">
        <v>1993</v>
      </c>
      <c r="AV282" s="2">
        <v>110</v>
      </c>
      <c r="AW282" s="2">
        <v>4</v>
      </c>
      <c r="AX282" s="2" t="s">
        <v>74</v>
      </c>
      <c r="AY282" s="2" t="s">
        <v>74</v>
      </c>
      <c r="AZ282" s="2" t="s">
        <v>74</v>
      </c>
      <c r="BA282" s="2" t="s">
        <v>74</v>
      </c>
      <c r="BB282" s="2">
        <v>683</v>
      </c>
      <c r="BC282" s="2">
        <v>692</v>
      </c>
      <c r="BD282" s="2" t="s">
        <v>74</v>
      </c>
      <c r="BE282" s="2" t="s">
        <v>2731</v>
      </c>
      <c r="BF282" s="2" t="str">
        <f>HYPERLINK("http://dx.doi.org/10.2307/4088624","http://dx.doi.org/10.2307/4088624")</f>
        <v>http://dx.doi.org/10.2307/4088624</v>
      </c>
      <c r="BG282" s="2" t="s">
        <v>74</v>
      </c>
      <c r="BH282" s="2" t="s">
        <v>74</v>
      </c>
      <c r="BI282" s="2" t="s">
        <v>74</v>
      </c>
      <c r="BJ282" s="2" t="s">
        <v>74</v>
      </c>
      <c r="BK282" s="2" t="s">
        <v>74</v>
      </c>
      <c r="BL282" s="2" t="s">
        <v>74</v>
      </c>
      <c r="BM282" s="2" t="s">
        <v>74</v>
      </c>
      <c r="BN282" s="2" t="s">
        <v>74</v>
      </c>
      <c r="BO282" s="2" t="s">
        <v>74</v>
      </c>
      <c r="BP282" s="2" t="s">
        <v>74</v>
      </c>
      <c r="BQ282" s="2" t="s">
        <v>74</v>
      </c>
      <c r="BR282" s="2" t="s">
        <v>74</v>
      </c>
      <c r="BS282" s="2" t="s">
        <v>2732</v>
      </c>
      <c r="BT282" s="2" t="str">
        <f>HYPERLINK("https%3A%2F%2Fwww.webofscience.com%2Fwos%2Fwoscc%2Ffull-record%2FWOS:A1993NL01100001","View Full Record in Web of Science")</f>
        <v>View Full Record in Web of Science</v>
      </c>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row>
    <row r="283" spans="1:314" s="2" customFormat="1" x14ac:dyDescent="0.4">
      <c r="A283" s="2" t="s">
        <v>72</v>
      </c>
      <c r="B283" s="2" t="s">
        <v>7272</v>
      </c>
      <c r="C283" s="2" t="s">
        <v>74</v>
      </c>
      <c r="D283" s="2" t="s">
        <v>74</v>
      </c>
      <c r="E283" s="2" t="s">
        <v>74</v>
      </c>
      <c r="F283" s="2" t="s">
        <v>7272</v>
      </c>
      <c r="G283" s="2" t="s">
        <v>74</v>
      </c>
      <c r="H283" s="2" t="s">
        <v>74</v>
      </c>
      <c r="I283" s="2" t="s">
        <v>7273</v>
      </c>
      <c r="J283" s="2" t="s">
        <v>431</v>
      </c>
      <c r="K283" s="2" t="s">
        <v>74</v>
      </c>
      <c r="L283" s="2" t="s">
        <v>74</v>
      </c>
      <c r="M283" s="2" t="s">
        <v>74</v>
      </c>
      <c r="N283" s="2" t="s">
        <v>74</v>
      </c>
      <c r="O283" s="2" t="s">
        <v>74</v>
      </c>
      <c r="P283" s="2" t="s">
        <v>74</v>
      </c>
      <c r="Q283" s="2" t="s">
        <v>74</v>
      </c>
      <c r="R283" s="2" t="s">
        <v>74</v>
      </c>
      <c r="S283" s="2" t="s">
        <v>74</v>
      </c>
      <c r="T283" s="2" t="s">
        <v>74</v>
      </c>
      <c r="U283" s="2" t="s">
        <v>74</v>
      </c>
      <c r="V283" s="5" t="s">
        <v>7274</v>
      </c>
      <c r="W283" s="2" t="s">
        <v>74</v>
      </c>
      <c r="X283" s="2" t="s">
        <v>74</v>
      </c>
      <c r="Y283" s="2" t="s">
        <v>74</v>
      </c>
      <c r="Z283" s="2" t="s">
        <v>74</v>
      </c>
      <c r="AA283" s="2" t="s">
        <v>74</v>
      </c>
      <c r="AB283" s="2" t="s">
        <v>74</v>
      </c>
      <c r="AC283" s="2" t="s">
        <v>74</v>
      </c>
      <c r="AD283" s="2" t="s">
        <v>74</v>
      </c>
      <c r="AE283" s="2" t="s">
        <v>74</v>
      </c>
      <c r="AF283" s="2" t="s">
        <v>74</v>
      </c>
      <c r="AG283" s="2" t="s">
        <v>74</v>
      </c>
      <c r="AH283" s="2" t="s">
        <v>74</v>
      </c>
      <c r="AI283" s="2" t="s">
        <v>74</v>
      </c>
      <c r="AJ283" s="2" t="s">
        <v>74</v>
      </c>
      <c r="AK283" s="2" t="s">
        <v>74</v>
      </c>
      <c r="AL283" s="2" t="s">
        <v>74</v>
      </c>
      <c r="AM283" s="2" t="s">
        <v>74</v>
      </c>
      <c r="AN283" s="2" t="s">
        <v>74</v>
      </c>
      <c r="AO283" s="2" t="s">
        <v>74</v>
      </c>
      <c r="AP283" s="2" t="s">
        <v>435</v>
      </c>
      <c r="AQ283" s="2" t="s">
        <v>74</v>
      </c>
      <c r="AR283" s="2" t="s">
        <v>74</v>
      </c>
      <c r="AS283" s="2" t="s">
        <v>74</v>
      </c>
      <c r="AT283" s="2" t="s">
        <v>74</v>
      </c>
      <c r="AU283" s="2">
        <v>1980</v>
      </c>
      <c r="AV283" s="2">
        <v>97</v>
      </c>
      <c r="AW283" s="2">
        <v>2</v>
      </c>
      <c r="AX283" s="2" t="s">
        <v>74</v>
      </c>
      <c r="AY283" s="2" t="s">
        <v>74</v>
      </c>
      <c r="AZ283" s="2" t="s">
        <v>74</v>
      </c>
      <c r="BA283" s="2" t="s">
        <v>74</v>
      </c>
      <c r="BB283" s="2">
        <v>213</v>
      </c>
      <c r="BC283" s="2">
        <v>226</v>
      </c>
      <c r="BD283" s="2" t="s">
        <v>74</v>
      </c>
      <c r="BE283" s="2" t="s">
        <v>74</v>
      </c>
      <c r="BF283" s="2" t="s">
        <v>74</v>
      </c>
      <c r="BG283" s="2" t="s">
        <v>74</v>
      </c>
      <c r="BH283" s="2" t="s">
        <v>74</v>
      </c>
      <c r="BI283" s="2" t="s">
        <v>74</v>
      </c>
      <c r="BJ283" s="2" t="s">
        <v>74</v>
      </c>
      <c r="BK283" s="2" t="s">
        <v>74</v>
      </c>
      <c r="BL283" s="2" t="s">
        <v>74</v>
      </c>
      <c r="BM283" s="2" t="s">
        <v>74</v>
      </c>
      <c r="BN283" s="2" t="s">
        <v>74</v>
      </c>
      <c r="BO283" s="2" t="s">
        <v>74</v>
      </c>
      <c r="BP283" s="2" t="s">
        <v>74</v>
      </c>
      <c r="BQ283" s="2" t="s">
        <v>74</v>
      </c>
      <c r="BR283" s="2" t="s">
        <v>74</v>
      </c>
      <c r="BS283" s="2" t="s">
        <v>7275</v>
      </c>
      <c r="BT283" s="2" t="str">
        <f>HYPERLINK("https%3A%2F%2Fwww.webofscience.com%2Fwos%2Fwoscc%2Ffull-record%2FWOS:A1980JR68800001","View Full Record in Web of Science")</f>
        <v>View Full Record in Web of Science</v>
      </c>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row>
    <row r="284" spans="1:314" s="2" customFormat="1" x14ac:dyDescent="0.4">
      <c r="A284" s="2" t="s">
        <v>72</v>
      </c>
      <c r="B284" s="2" t="s">
        <v>2844</v>
      </c>
      <c r="C284" s="2" t="s">
        <v>74</v>
      </c>
      <c r="D284" s="2" t="s">
        <v>74</v>
      </c>
      <c r="E284" s="2" t="s">
        <v>74</v>
      </c>
      <c r="F284" s="2" t="s">
        <v>2845</v>
      </c>
      <c r="G284" s="2" t="s">
        <v>74</v>
      </c>
      <c r="H284" s="2" t="s">
        <v>74</v>
      </c>
      <c r="I284" s="2" t="s">
        <v>2846</v>
      </c>
      <c r="J284" s="2" t="s">
        <v>2847</v>
      </c>
      <c r="K284" s="2" t="s">
        <v>74</v>
      </c>
      <c r="L284" s="2" t="s">
        <v>74</v>
      </c>
      <c r="M284" s="2" t="s">
        <v>74</v>
      </c>
      <c r="N284" s="2" t="s">
        <v>74</v>
      </c>
      <c r="O284" s="2" t="s">
        <v>74</v>
      </c>
      <c r="P284" s="2" t="s">
        <v>74</v>
      </c>
      <c r="Q284" s="2" t="s">
        <v>74</v>
      </c>
      <c r="R284" s="2" t="s">
        <v>74</v>
      </c>
      <c r="S284" s="2" t="s">
        <v>74</v>
      </c>
      <c r="T284" s="2" t="s">
        <v>74</v>
      </c>
      <c r="U284" s="2" t="s">
        <v>74</v>
      </c>
      <c r="V284" s="5" t="s">
        <v>2848</v>
      </c>
      <c r="W284" s="2" t="s">
        <v>74</v>
      </c>
      <c r="X284" s="2" t="s">
        <v>74</v>
      </c>
      <c r="Y284" s="2" t="s">
        <v>74</v>
      </c>
      <c r="Z284" s="2" t="s">
        <v>74</v>
      </c>
      <c r="AA284" s="2" t="s">
        <v>74</v>
      </c>
      <c r="AB284" s="2" t="s">
        <v>74</v>
      </c>
      <c r="AC284" s="2" t="s">
        <v>74</v>
      </c>
      <c r="AD284" s="2" t="s">
        <v>74</v>
      </c>
      <c r="AE284" s="2" t="s">
        <v>74</v>
      </c>
      <c r="AF284" s="2" t="s">
        <v>74</v>
      </c>
      <c r="AG284" s="2" t="s">
        <v>74</v>
      </c>
      <c r="AH284" s="2" t="s">
        <v>74</v>
      </c>
      <c r="AI284" s="2" t="s">
        <v>74</v>
      </c>
      <c r="AJ284" s="2" t="s">
        <v>74</v>
      </c>
      <c r="AK284" s="2" t="s">
        <v>74</v>
      </c>
      <c r="AL284" s="2" t="s">
        <v>74</v>
      </c>
      <c r="AM284" s="2" t="s">
        <v>74</v>
      </c>
      <c r="AN284" s="2" t="s">
        <v>74</v>
      </c>
      <c r="AO284" s="2" t="s">
        <v>2849</v>
      </c>
      <c r="AP284" s="2" t="s">
        <v>2850</v>
      </c>
      <c r="AQ284" s="2" t="s">
        <v>74</v>
      </c>
      <c r="AR284" s="2" t="s">
        <v>74</v>
      </c>
      <c r="AS284" s="2" t="s">
        <v>74</v>
      </c>
      <c r="AT284" s="2" t="s">
        <v>213</v>
      </c>
      <c r="AU284" s="2">
        <v>2017</v>
      </c>
      <c r="AV284" s="2">
        <v>496</v>
      </c>
      <c r="AW284" s="2" t="s">
        <v>74</v>
      </c>
      <c r="AX284" s="2" t="s">
        <v>74</v>
      </c>
      <c r="AY284" s="2" t="s">
        <v>74</v>
      </c>
      <c r="AZ284" s="2" t="s">
        <v>74</v>
      </c>
      <c r="BA284" s="2" t="s">
        <v>74</v>
      </c>
      <c r="BB284" s="2">
        <v>29</v>
      </c>
      <c r="BC284" s="2">
        <v>36</v>
      </c>
      <c r="BD284" s="2" t="s">
        <v>74</v>
      </c>
      <c r="BE284" s="2" t="s">
        <v>2851</v>
      </c>
      <c r="BF284" s="2" t="str">
        <f>HYPERLINK("http://dx.doi.org/10.1016/j.jembe.2017.07.011","http://dx.doi.org/10.1016/j.jembe.2017.07.011")</f>
        <v>http://dx.doi.org/10.1016/j.jembe.2017.07.011</v>
      </c>
      <c r="BG284" s="2" t="s">
        <v>74</v>
      </c>
      <c r="BH284" s="2" t="s">
        <v>74</v>
      </c>
      <c r="BI284" s="2" t="s">
        <v>74</v>
      </c>
      <c r="BJ284" s="2" t="s">
        <v>74</v>
      </c>
      <c r="BK284" s="2" t="s">
        <v>74</v>
      </c>
      <c r="BL284" s="2" t="s">
        <v>74</v>
      </c>
      <c r="BM284" s="2" t="s">
        <v>74</v>
      </c>
      <c r="BN284" s="2" t="s">
        <v>74</v>
      </c>
      <c r="BO284" s="2" t="s">
        <v>74</v>
      </c>
      <c r="BP284" s="2" t="s">
        <v>74</v>
      </c>
      <c r="BQ284" s="2" t="s">
        <v>74</v>
      </c>
      <c r="BR284" s="2" t="s">
        <v>74</v>
      </c>
      <c r="BS284" s="2" t="s">
        <v>2852</v>
      </c>
      <c r="BT284" s="2" t="str">
        <f>HYPERLINK("https%3A%2F%2Fwww.webofscience.com%2Fwos%2Fwoscc%2Ffull-record%2FWOS:000412252700005","View Full Record in Web of Science")</f>
        <v>View Full Record in Web of Science</v>
      </c>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row>
    <row r="285" spans="1:314" s="2" customFormat="1" x14ac:dyDescent="0.4">
      <c r="A285" s="2" t="s">
        <v>72</v>
      </c>
      <c r="B285" s="2" t="s">
        <v>6945</v>
      </c>
      <c r="C285" s="2" t="s">
        <v>74</v>
      </c>
      <c r="D285" s="2" t="s">
        <v>74</v>
      </c>
      <c r="E285" s="2" t="s">
        <v>74</v>
      </c>
      <c r="F285" s="2" t="s">
        <v>6946</v>
      </c>
      <c r="G285" s="2" t="s">
        <v>74</v>
      </c>
      <c r="H285" s="2" t="s">
        <v>74</v>
      </c>
      <c r="I285" s="2" t="s">
        <v>6947</v>
      </c>
      <c r="J285" s="2" t="s">
        <v>1480</v>
      </c>
      <c r="K285" s="2" t="s">
        <v>74</v>
      </c>
      <c r="L285" s="2" t="s">
        <v>74</v>
      </c>
      <c r="M285" s="2" t="s">
        <v>74</v>
      </c>
      <c r="N285" s="2" t="s">
        <v>74</v>
      </c>
      <c r="O285" s="2" t="s">
        <v>74</v>
      </c>
      <c r="P285" s="2" t="s">
        <v>74</v>
      </c>
      <c r="Q285" s="2" t="s">
        <v>74</v>
      </c>
      <c r="R285" s="2" t="s">
        <v>74</v>
      </c>
      <c r="S285" s="2" t="s">
        <v>74</v>
      </c>
      <c r="T285" s="2" t="s">
        <v>74</v>
      </c>
      <c r="U285" s="2" t="s">
        <v>74</v>
      </c>
      <c r="V285" s="5" t="s">
        <v>6948</v>
      </c>
      <c r="W285" s="2" t="s">
        <v>74</v>
      </c>
      <c r="X285" s="2" t="s">
        <v>74</v>
      </c>
      <c r="Y285" s="2" t="s">
        <v>74</v>
      </c>
      <c r="Z285" s="2" t="s">
        <v>74</v>
      </c>
      <c r="AA285" s="2" t="s">
        <v>74</v>
      </c>
      <c r="AB285" s="2" t="s">
        <v>74</v>
      </c>
      <c r="AC285" s="2" t="s">
        <v>74</v>
      </c>
      <c r="AD285" s="2" t="s">
        <v>74</v>
      </c>
      <c r="AE285" s="2" t="s">
        <v>74</v>
      </c>
      <c r="AF285" s="2" t="s">
        <v>74</v>
      </c>
      <c r="AG285" s="2" t="s">
        <v>74</v>
      </c>
      <c r="AH285" s="2" t="s">
        <v>74</v>
      </c>
      <c r="AI285" s="2" t="s">
        <v>74</v>
      </c>
      <c r="AJ285" s="2" t="s">
        <v>74</v>
      </c>
      <c r="AK285" s="2" t="s">
        <v>74</v>
      </c>
      <c r="AL285" s="2" t="s">
        <v>74</v>
      </c>
      <c r="AM285" s="2" t="s">
        <v>74</v>
      </c>
      <c r="AN285" s="2" t="s">
        <v>74</v>
      </c>
      <c r="AO285" s="2" t="s">
        <v>1482</v>
      </c>
      <c r="AP285" s="2" t="s">
        <v>6949</v>
      </c>
      <c r="AQ285" s="2" t="s">
        <v>74</v>
      </c>
      <c r="AR285" s="2" t="s">
        <v>74</v>
      </c>
      <c r="AS285" s="2" t="s">
        <v>74</v>
      </c>
      <c r="AT285" s="2" t="s">
        <v>352</v>
      </c>
      <c r="AU285" s="2">
        <v>2014</v>
      </c>
      <c r="AV285" s="2">
        <v>93</v>
      </c>
      <c r="AW285" s="2">
        <v>9</v>
      </c>
      <c r="AX285" s="2" t="s">
        <v>74</v>
      </c>
      <c r="AY285" s="2" t="s">
        <v>74</v>
      </c>
      <c r="AZ285" s="2" t="s">
        <v>74</v>
      </c>
      <c r="BA285" s="2" t="s">
        <v>74</v>
      </c>
      <c r="BB285" s="2">
        <v>2143</v>
      </c>
      <c r="BC285" s="2">
        <v>2150</v>
      </c>
      <c r="BD285" s="2" t="s">
        <v>74</v>
      </c>
      <c r="BE285" s="2" t="s">
        <v>6950</v>
      </c>
      <c r="BF285" s="2" t="str">
        <f>HYPERLINK("http://dx.doi.org/10.3382/ps.2014-03885","http://dx.doi.org/10.3382/ps.2014-03885")</f>
        <v>http://dx.doi.org/10.3382/ps.2014-03885</v>
      </c>
      <c r="BG285" s="2" t="s">
        <v>74</v>
      </c>
      <c r="BH285" s="2" t="s">
        <v>74</v>
      </c>
      <c r="BI285" s="2" t="s">
        <v>74</v>
      </c>
      <c r="BJ285" s="2" t="s">
        <v>74</v>
      </c>
      <c r="BK285" s="2" t="s">
        <v>74</v>
      </c>
      <c r="BL285" s="2" t="s">
        <v>74</v>
      </c>
      <c r="BM285" s="2" t="s">
        <v>74</v>
      </c>
      <c r="BN285" s="2">
        <v>25037824</v>
      </c>
      <c r="BO285" s="2" t="s">
        <v>74</v>
      </c>
      <c r="BP285" s="2" t="s">
        <v>74</v>
      </c>
      <c r="BQ285" s="2" t="s">
        <v>74</v>
      </c>
      <c r="BR285" s="2" t="s">
        <v>74</v>
      </c>
      <c r="BS285" s="2" t="s">
        <v>6951</v>
      </c>
      <c r="BT285" s="2" t="str">
        <f>HYPERLINK("https%3A%2F%2Fwww.webofscience.com%2Fwos%2Fwoscc%2Ffull-record%2FWOS:000341309600001","View Full Record in Web of Science")</f>
        <v>View Full Record in Web of Science</v>
      </c>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row>
    <row r="286" spans="1:314" s="1" customFormat="1" x14ac:dyDescent="0.4">
      <c r="A286" s="2" t="s">
        <v>72</v>
      </c>
      <c r="B286" s="2" t="s">
        <v>8398</v>
      </c>
      <c r="C286" s="2" t="s">
        <v>74</v>
      </c>
      <c r="D286" s="2" t="s">
        <v>74</v>
      </c>
      <c r="E286" s="2" t="s">
        <v>74</v>
      </c>
      <c r="F286" s="2" t="s">
        <v>8399</v>
      </c>
      <c r="G286" s="2" t="s">
        <v>74</v>
      </c>
      <c r="H286" s="2" t="s">
        <v>74</v>
      </c>
      <c r="I286" s="2" t="s">
        <v>8400</v>
      </c>
      <c r="J286" s="2" t="s">
        <v>5961</v>
      </c>
      <c r="K286" s="2" t="s">
        <v>74</v>
      </c>
      <c r="L286" s="2" t="s">
        <v>74</v>
      </c>
      <c r="M286" s="2" t="s">
        <v>74</v>
      </c>
      <c r="N286" s="2" t="s">
        <v>74</v>
      </c>
      <c r="O286" s="2" t="s">
        <v>74</v>
      </c>
      <c r="P286" s="2" t="s">
        <v>74</v>
      </c>
      <c r="Q286" s="2" t="s">
        <v>74</v>
      </c>
      <c r="R286" s="2" t="s">
        <v>74</v>
      </c>
      <c r="S286" s="2" t="s">
        <v>74</v>
      </c>
      <c r="T286" s="2" t="s">
        <v>74</v>
      </c>
      <c r="U286" s="2" t="s">
        <v>74</v>
      </c>
      <c r="V286" s="5" t="s">
        <v>8401</v>
      </c>
      <c r="W286" s="2" t="s">
        <v>74</v>
      </c>
      <c r="X286" s="2" t="s">
        <v>74</v>
      </c>
      <c r="Y286" s="2" t="s">
        <v>74</v>
      </c>
      <c r="Z286" s="2" t="s">
        <v>74</v>
      </c>
      <c r="AA286" s="2" t="s">
        <v>74</v>
      </c>
      <c r="AB286" s="2" t="s">
        <v>8402</v>
      </c>
      <c r="AC286" s="2" t="s">
        <v>74</v>
      </c>
      <c r="AD286" s="2" t="s">
        <v>74</v>
      </c>
      <c r="AE286" s="2" t="s">
        <v>74</v>
      </c>
      <c r="AF286" s="2" t="s">
        <v>74</v>
      </c>
      <c r="AG286" s="2" t="s">
        <v>74</v>
      </c>
      <c r="AH286" s="2" t="s">
        <v>74</v>
      </c>
      <c r="AI286" s="2" t="s">
        <v>74</v>
      </c>
      <c r="AJ286" s="2" t="s">
        <v>74</v>
      </c>
      <c r="AK286" s="2" t="s">
        <v>74</v>
      </c>
      <c r="AL286" s="2" t="s">
        <v>74</v>
      </c>
      <c r="AM286" s="2" t="s">
        <v>74</v>
      </c>
      <c r="AN286" s="2" t="s">
        <v>74</v>
      </c>
      <c r="AO286" s="2" t="s">
        <v>5965</v>
      </c>
      <c r="AP286" s="2" t="s">
        <v>5966</v>
      </c>
      <c r="AQ286" s="2" t="s">
        <v>74</v>
      </c>
      <c r="AR286" s="2" t="s">
        <v>74</v>
      </c>
      <c r="AS286" s="2" t="s">
        <v>74</v>
      </c>
      <c r="AT286" s="2" t="s">
        <v>175</v>
      </c>
      <c r="AU286" s="2">
        <v>2020</v>
      </c>
      <c r="AV286" s="2">
        <v>45</v>
      </c>
      <c r="AW286" s="2">
        <v>4</v>
      </c>
      <c r="AX286" s="2" t="s">
        <v>74</v>
      </c>
      <c r="AY286" s="2" t="s">
        <v>74</v>
      </c>
      <c r="AZ286" s="2" t="s">
        <v>74</v>
      </c>
      <c r="BA286" s="2" t="s">
        <v>74</v>
      </c>
      <c r="BB286" s="2">
        <v>803</v>
      </c>
      <c r="BC286" s="2">
        <v>837</v>
      </c>
      <c r="BD286" s="2" t="s">
        <v>74</v>
      </c>
      <c r="BE286" s="2" t="s">
        <v>8403</v>
      </c>
      <c r="BF286" s="2" t="str">
        <f>HYPERLINK("http://dx.doi.org/10.1111/syen.12428","http://dx.doi.org/10.1111/syen.12428")</f>
        <v>http://dx.doi.org/10.1111/syen.12428</v>
      </c>
      <c r="BG286" s="2" t="s">
        <v>74</v>
      </c>
      <c r="BH286" s="2" t="s">
        <v>8404</v>
      </c>
      <c r="BI286" s="2" t="s">
        <v>74</v>
      </c>
      <c r="BJ286" s="2" t="s">
        <v>74</v>
      </c>
      <c r="BK286" s="2" t="s">
        <v>74</v>
      </c>
      <c r="BL286" s="2" t="s">
        <v>74</v>
      </c>
      <c r="BM286" s="2" t="s">
        <v>74</v>
      </c>
      <c r="BN286" s="2">
        <v>34744257</v>
      </c>
      <c r="BO286" s="2" t="s">
        <v>74</v>
      </c>
      <c r="BP286" s="2" t="s">
        <v>74</v>
      </c>
      <c r="BQ286" s="2" t="s">
        <v>74</v>
      </c>
      <c r="BR286" s="2" t="s">
        <v>74</v>
      </c>
      <c r="BS286" s="2" t="s">
        <v>8405</v>
      </c>
      <c r="BT286" s="2" t="str">
        <f>HYPERLINK("https%3A%2F%2Fwww.webofscience.com%2Fwos%2Fwoscc%2Ffull-record%2FWOS:000516977500001","View Full Record in Web of Science")</f>
        <v>View Full Record in Web of Science</v>
      </c>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row>
    <row r="287" spans="1:314" s="2" customFormat="1" x14ac:dyDescent="0.4">
      <c r="A287" s="2" t="s">
        <v>72</v>
      </c>
      <c r="B287" s="2" t="s">
        <v>3611</v>
      </c>
      <c r="C287" s="2" t="s">
        <v>74</v>
      </c>
      <c r="D287" s="2" t="s">
        <v>74</v>
      </c>
      <c r="E287" s="2" t="s">
        <v>74</v>
      </c>
      <c r="F287" s="2" t="s">
        <v>3612</v>
      </c>
      <c r="G287" s="2" t="s">
        <v>74</v>
      </c>
      <c r="H287" s="2" t="s">
        <v>74</v>
      </c>
      <c r="I287" s="2" t="s">
        <v>3613</v>
      </c>
      <c r="J287" s="2" t="s">
        <v>610</v>
      </c>
      <c r="K287" s="2" t="s">
        <v>74</v>
      </c>
      <c r="L287" s="2" t="s">
        <v>74</v>
      </c>
      <c r="M287" s="2" t="s">
        <v>74</v>
      </c>
      <c r="N287" s="2" t="s">
        <v>74</v>
      </c>
      <c r="O287" s="2" t="s">
        <v>74</v>
      </c>
      <c r="P287" s="2" t="s">
        <v>74</v>
      </c>
      <c r="Q287" s="2" t="s">
        <v>74</v>
      </c>
      <c r="R287" s="2" t="s">
        <v>74</v>
      </c>
      <c r="S287" s="2" t="s">
        <v>74</v>
      </c>
      <c r="T287" s="2" t="s">
        <v>74</v>
      </c>
      <c r="U287" s="2" t="s">
        <v>74</v>
      </c>
      <c r="V287" s="5" t="s">
        <v>3614</v>
      </c>
      <c r="W287" s="2" t="s">
        <v>74</v>
      </c>
      <c r="X287" s="2" t="s">
        <v>74</v>
      </c>
      <c r="Y287" s="2" t="s">
        <v>74</v>
      </c>
      <c r="Z287" s="2" t="s">
        <v>74</v>
      </c>
      <c r="AA287" s="2" t="s">
        <v>3615</v>
      </c>
      <c r="AB287" s="2" t="s">
        <v>3616</v>
      </c>
      <c r="AC287" s="2" t="s">
        <v>74</v>
      </c>
      <c r="AD287" s="2" t="s">
        <v>74</v>
      </c>
      <c r="AE287" s="2" t="s">
        <v>74</v>
      </c>
      <c r="AF287" s="2" t="s">
        <v>74</v>
      </c>
      <c r="AG287" s="2" t="s">
        <v>74</v>
      </c>
      <c r="AH287" s="2" t="s">
        <v>74</v>
      </c>
      <c r="AI287" s="2" t="s">
        <v>74</v>
      </c>
      <c r="AJ287" s="2" t="s">
        <v>74</v>
      </c>
      <c r="AK287" s="2" t="s">
        <v>74</v>
      </c>
      <c r="AL287" s="2" t="s">
        <v>74</v>
      </c>
      <c r="AM287" s="2" t="s">
        <v>74</v>
      </c>
      <c r="AN287" s="2" t="s">
        <v>74</v>
      </c>
      <c r="AO287" s="2" t="s">
        <v>614</v>
      </c>
      <c r="AP287" s="2" t="s">
        <v>615</v>
      </c>
      <c r="AQ287" s="2" t="s">
        <v>74</v>
      </c>
      <c r="AR287" s="2" t="s">
        <v>74</v>
      </c>
      <c r="AS287" s="2" t="s">
        <v>74</v>
      </c>
      <c r="AT287" s="2" t="s">
        <v>175</v>
      </c>
      <c r="AU287" s="2">
        <v>2007</v>
      </c>
      <c r="AV287" s="2">
        <v>113</v>
      </c>
      <c r="AW287" s="2">
        <v>10</v>
      </c>
      <c r="AX287" s="2" t="s">
        <v>74</v>
      </c>
      <c r="AY287" s="2" t="s">
        <v>74</v>
      </c>
      <c r="AZ287" s="2" t="s">
        <v>74</v>
      </c>
      <c r="BA287" s="2" t="s">
        <v>74</v>
      </c>
      <c r="BB287" s="2">
        <v>944</v>
      </c>
      <c r="BC287" s="2">
        <v>952</v>
      </c>
      <c r="BD287" s="2" t="s">
        <v>74</v>
      </c>
      <c r="BE287" s="2" t="s">
        <v>3617</v>
      </c>
      <c r="BF287" s="2" t="str">
        <f>HYPERLINK("http://dx.doi.org/10.1111/j.1439-0310.2007.01402.x","http://dx.doi.org/10.1111/j.1439-0310.2007.01402.x")</f>
        <v>http://dx.doi.org/10.1111/j.1439-0310.2007.01402.x</v>
      </c>
      <c r="BG287" s="2" t="s">
        <v>74</v>
      </c>
      <c r="BH287" s="2" t="s">
        <v>74</v>
      </c>
      <c r="BI287" s="2" t="s">
        <v>74</v>
      </c>
      <c r="BJ287" s="2" t="s">
        <v>74</v>
      </c>
      <c r="BK287" s="2" t="s">
        <v>74</v>
      </c>
      <c r="BL287" s="2" t="s">
        <v>74</v>
      </c>
      <c r="BM287" s="2" t="s">
        <v>74</v>
      </c>
      <c r="BN287" s="2" t="s">
        <v>74</v>
      </c>
      <c r="BO287" s="2" t="s">
        <v>74</v>
      </c>
      <c r="BP287" s="2" t="s">
        <v>74</v>
      </c>
      <c r="BQ287" s="2" t="s">
        <v>74</v>
      </c>
      <c r="BR287" s="2" t="s">
        <v>74</v>
      </c>
      <c r="BS287" s="2" t="s">
        <v>3618</v>
      </c>
      <c r="BT287" s="2" t="str">
        <f>HYPERLINK("https%3A%2F%2Fwww.webofscience.com%2Fwos%2Fwoscc%2Ffull-record%2FWOS:000249661000004","View Full Record in Web of Science")</f>
        <v>View Full Record in Web of Science</v>
      </c>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row>
    <row r="288" spans="1:314" s="2" customFormat="1" x14ac:dyDescent="0.4">
      <c r="A288" s="2" t="s">
        <v>72</v>
      </c>
      <c r="B288" s="2" t="s">
        <v>265</v>
      </c>
      <c r="C288" s="2" t="s">
        <v>74</v>
      </c>
      <c r="D288" s="2" t="s">
        <v>74</v>
      </c>
      <c r="E288" s="2" t="s">
        <v>74</v>
      </c>
      <c r="F288" s="2" t="s">
        <v>266</v>
      </c>
      <c r="G288" s="2" t="s">
        <v>74</v>
      </c>
      <c r="H288" s="2" t="s">
        <v>74</v>
      </c>
      <c r="I288" s="2" t="s">
        <v>267</v>
      </c>
      <c r="J288" s="2" t="s">
        <v>192</v>
      </c>
      <c r="K288" s="2" t="s">
        <v>74</v>
      </c>
      <c r="L288" s="2" t="s">
        <v>74</v>
      </c>
      <c r="M288" s="2" t="s">
        <v>74</v>
      </c>
      <c r="N288" s="2" t="s">
        <v>74</v>
      </c>
      <c r="O288" s="2" t="s">
        <v>74</v>
      </c>
      <c r="P288" s="2" t="s">
        <v>74</v>
      </c>
      <c r="Q288" s="2" t="s">
        <v>74</v>
      </c>
      <c r="R288" s="2" t="s">
        <v>74</v>
      </c>
      <c r="S288" s="2" t="s">
        <v>74</v>
      </c>
      <c r="T288" s="2" t="s">
        <v>74</v>
      </c>
      <c r="U288" s="2" t="s">
        <v>74</v>
      </c>
      <c r="V288" s="5" t="s">
        <v>268</v>
      </c>
      <c r="W288" s="2" t="s">
        <v>74</v>
      </c>
      <c r="X288" s="2" t="s">
        <v>74</v>
      </c>
      <c r="Y288" s="2" t="s">
        <v>74</v>
      </c>
      <c r="Z288" s="2" t="s">
        <v>74</v>
      </c>
      <c r="AA288" s="2" t="s">
        <v>74</v>
      </c>
      <c r="AB288" s="2" t="s">
        <v>74</v>
      </c>
      <c r="AC288" s="2" t="s">
        <v>74</v>
      </c>
      <c r="AD288" s="2" t="s">
        <v>74</v>
      </c>
      <c r="AE288" s="2" t="s">
        <v>74</v>
      </c>
      <c r="AF288" s="2" t="s">
        <v>74</v>
      </c>
      <c r="AG288" s="2" t="s">
        <v>74</v>
      </c>
      <c r="AH288" s="2" t="s">
        <v>74</v>
      </c>
      <c r="AI288" s="2" t="s">
        <v>74</v>
      </c>
      <c r="AJ288" s="2" t="s">
        <v>74</v>
      </c>
      <c r="AK288" s="2" t="s">
        <v>74</v>
      </c>
      <c r="AL288" s="2" t="s">
        <v>74</v>
      </c>
      <c r="AM288" s="2" t="s">
        <v>74</v>
      </c>
      <c r="AN288" s="2" t="s">
        <v>74</v>
      </c>
      <c r="AO288" s="2" t="s">
        <v>195</v>
      </c>
      <c r="AP288" s="2" t="s">
        <v>196</v>
      </c>
      <c r="AQ288" s="2" t="s">
        <v>74</v>
      </c>
      <c r="AR288" s="2" t="s">
        <v>74</v>
      </c>
      <c r="AS288" s="2" t="s">
        <v>74</v>
      </c>
      <c r="AT288" s="2" t="s">
        <v>123</v>
      </c>
      <c r="AU288" s="2">
        <v>2018</v>
      </c>
      <c r="AV288" s="2">
        <v>809</v>
      </c>
      <c r="AW288" s="2">
        <v>1</v>
      </c>
      <c r="AX288" s="2" t="s">
        <v>74</v>
      </c>
      <c r="AY288" s="2" t="s">
        <v>74</v>
      </c>
      <c r="AZ288" s="2" t="s">
        <v>74</v>
      </c>
      <c r="BA288" s="2" t="s">
        <v>74</v>
      </c>
      <c r="BB288" s="2">
        <v>31</v>
      </c>
      <c r="BC288" s="2">
        <v>40</v>
      </c>
      <c r="BD288" s="2" t="s">
        <v>74</v>
      </c>
      <c r="BE288" s="2" t="s">
        <v>269</v>
      </c>
      <c r="BF288" s="2" t="str">
        <f>HYPERLINK("http://dx.doi.org/10.1007/s10750-017-3442-6","http://dx.doi.org/10.1007/s10750-017-3442-6")</f>
        <v>http://dx.doi.org/10.1007/s10750-017-3442-6</v>
      </c>
      <c r="BG288" s="2" t="s">
        <v>74</v>
      </c>
      <c r="BH288" s="2" t="s">
        <v>74</v>
      </c>
      <c r="BI288" s="2" t="s">
        <v>74</v>
      </c>
      <c r="BJ288" s="2" t="s">
        <v>74</v>
      </c>
      <c r="BK288" s="2" t="s">
        <v>74</v>
      </c>
      <c r="BL288" s="2" t="s">
        <v>74</v>
      </c>
      <c r="BM288" s="2" t="s">
        <v>74</v>
      </c>
      <c r="BN288" s="2" t="s">
        <v>74</v>
      </c>
      <c r="BO288" s="2" t="s">
        <v>74</v>
      </c>
      <c r="BP288" s="2" t="s">
        <v>74</v>
      </c>
      <c r="BQ288" s="2" t="s">
        <v>74</v>
      </c>
      <c r="BR288" s="2" t="s">
        <v>74</v>
      </c>
      <c r="BS288" s="2" t="s">
        <v>270</v>
      </c>
      <c r="BT288" s="2" t="str">
        <f>HYPERLINK("https%3A%2F%2Fwww.webofscience.com%2Fwos%2Fwoscc%2Ffull-record%2FWOS:000424203000004","View Full Record in Web of Science")</f>
        <v>View Full Record in Web of Science</v>
      </c>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row>
    <row r="289" spans="1:314" s="2" customFormat="1" x14ac:dyDescent="0.4">
      <c r="A289" s="2" t="s">
        <v>72</v>
      </c>
      <c r="B289" s="2" t="s">
        <v>5377</v>
      </c>
      <c r="C289" s="2" t="s">
        <v>74</v>
      </c>
      <c r="D289" s="2" t="s">
        <v>74</v>
      </c>
      <c r="E289" s="2" t="s">
        <v>74</v>
      </c>
      <c r="F289" s="2" t="s">
        <v>5378</v>
      </c>
      <c r="G289" s="2" t="s">
        <v>74</v>
      </c>
      <c r="H289" s="2" t="s">
        <v>74</v>
      </c>
      <c r="I289" s="2" t="s">
        <v>5379</v>
      </c>
      <c r="J289" s="2" t="s">
        <v>1044</v>
      </c>
      <c r="K289" s="2" t="s">
        <v>74</v>
      </c>
      <c r="L289" s="2" t="s">
        <v>74</v>
      </c>
      <c r="M289" s="2" t="s">
        <v>74</v>
      </c>
      <c r="N289" s="2" t="s">
        <v>74</v>
      </c>
      <c r="O289" s="2" t="s">
        <v>74</v>
      </c>
      <c r="P289" s="2" t="s">
        <v>74</v>
      </c>
      <c r="Q289" s="2" t="s">
        <v>74</v>
      </c>
      <c r="R289" s="2" t="s">
        <v>74</v>
      </c>
      <c r="S289" s="2" t="s">
        <v>74</v>
      </c>
      <c r="T289" s="2" t="s">
        <v>74</v>
      </c>
      <c r="U289" s="2" t="s">
        <v>74</v>
      </c>
      <c r="V289" s="5" t="s">
        <v>5380</v>
      </c>
      <c r="W289" s="2" t="s">
        <v>74</v>
      </c>
      <c r="X289" s="2" t="s">
        <v>74</v>
      </c>
      <c r="Y289" s="2" t="s">
        <v>74</v>
      </c>
      <c r="Z289" s="2" t="s">
        <v>74</v>
      </c>
      <c r="AA289" s="2" t="s">
        <v>74</v>
      </c>
      <c r="AB289" s="2" t="s">
        <v>322</v>
      </c>
      <c r="AC289" s="2" t="s">
        <v>74</v>
      </c>
      <c r="AD289" s="2" t="s">
        <v>74</v>
      </c>
      <c r="AE289" s="2" t="s">
        <v>74</v>
      </c>
      <c r="AF289" s="2" t="s">
        <v>74</v>
      </c>
      <c r="AG289" s="2" t="s">
        <v>74</v>
      </c>
      <c r="AH289" s="2" t="s">
        <v>74</v>
      </c>
      <c r="AI289" s="2" t="s">
        <v>74</v>
      </c>
      <c r="AJ289" s="2" t="s">
        <v>74</v>
      </c>
      <c r="AK289" s="2" t="s">
        <v>74</v>
      </c>
      <c r="AL289" s="2" t="s">
        <v>74</v>
      </c>
      <c r="AM289" s="2" t="s">
        <v>74</v>
      </c>
      <c r="AN289" s="2" t="s">
        <v>74</v>
      </c>
      <c r="AO289" s="2" t="s">
        <v>1048</v>
      </c>
      <c r="AP289" s="2" t="s">
        <v>1049</v>
      </c>
      <c r="AQ289" s="2" t="s">
        <v>74</v>
      </c>
      <c r="AR289" s="2" t="s">
        <v>74</v>
      </c>
      <c r="AS289" s="2" t="s">
        <v>74</v>
      </c>
      <c r="AT289" s="2" t="s">
        <v>204</v>
      </c>
      <c r="AU289" s="2">
        <v>2017</v>
      </c>
      <c r="AV289" s="2">
        <v>26</v>
      </c>
      <c r="AW289" s="2">
        <v>14</v>
      </c>
      <c r="AX289" s="2" t="s">
        <v>74</v>
      </c>
      <c r="AY289" s="2" t="s">
        <v>74</v>
      </c>
      <c r="AZ289" s="2" t="s">
        <v>74</v>
      </c>
      <c r="BA289" s="2" t="s">
        <v>74</v>
      </c>
      <c r="BB289" s="2">
        <v>3760</v>
      </c>
      <c r="BC289" s="2">
        <v>3774</v>
      </c>
      <c r="BD289" s="2" t="s">
        <v>74</v>
      </c>
      <c r="BE289" s="2" t="s">
        <v>5381</v>
      </c>
      <c r="BF289" s="2" t="str">
        <f>HYPERLINK("http://dx.doi.org/10.1111/mec.14116","http://dx.doi.org/10.1111/mec.14116")</f>
        <v>http://dx.doi.org/10.1111/mec.14116</v>
      </c>
      <c r="BG289" s="2" t="s">
        <v>74</v>
      </c>
      <c r="BH289" s="2" t="s">
        <v>74</v>
      </c>
      <c r="BI289" s="2" t="s">
        <v>74</v>
      </c>
      <c r="BJ289" s="2" t="s">
        <v>74</v>
      </c>
      <c r="BK289" s="2" t="s">
        <v>74</v>
      </c>
      <c r="BL289" s="2" t="s">
        <v>74</v>
      </c>
      <c r="BM289" s="2" t="s">
        <v>74</v>
      </c>
      <c r="BN289" s="2">
        <v>28370617</v>
      </c>
      <c r="BO289" s="2" t="s">
        <v>74</v>
      </c>
      <c r="BP289" s="2" t="s">
        <v>74</v>
      </c>
      <c r="BQ289" s="2" t="s">
        <v>74</v>
      </c>
      <c r="BR289" s="2" t="s">
        <v>74</v>
      </c>
      <c r="BS289" s="2" t="s">
        <v>5382</v>
      </c>
      <c r="BT289" s="2" t="str">
        <f>HYPERLINK("https%3A%2F%2Fwww.webofscience.com%2Fwos%2Fwoscc%2Ffull-record%2FWOS:000404618000015","View Full Record in Web of Science")</f>
        <v>View Full Record in Web of Science</v>
      </c>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row>
    <row r="290" spans="1:314" s="2" customFormat="1" x14ac:dyDescent="0.4">
      <c r="A290" s="2" t="s">
        <v>72</v>
      </c>
      <c r="B290" s="2" t="s">
        <v>8439</v>
      </c>
      <c r="C290" s="2" t="s">
        <v>74</v>
      </c>
      <c r="D290" s="2" t="s">
        <v>74</v>
      </c>
      <c r="E290" s="2" t="s">
        <v>74</v>
      </c>
      <c r="F290" s="2" t="s">
        <v>8439</v>
      </c>
      <c r="G290" s="2" t="s">
        <v>74</v>
      </c>
      <c r="H290" s="2" t="s">
        <v>74</v>
      </c>
      <c r="I290" s="2" t="s">
        <v>8440</v>
      </c>
      <c r="J290" s="2" t="s">
        <v>691</v>
      </c>
      <c r="K290" s="2" t="s">
        <v>74</v>
      </c>
      <c r="L290" s="2" t="s">
        <v>74</v>
      </c>
      <c r="M290" s="2" t="s">
        <v>74</v>
      </c>
      <c r="N290" s="2" t="s">
        <v>74</v>
      </c>
      <c r="O290" s="2" t="s">
        <v>74</v>
      </c>
      <c r="P290" s="2" t="s">
        <v>74</v>
      </c>
      <c r="Q290" s="2" t="s">
        <v>74</v>
      </c>
      <c r="R290" s="2" t="s">
        <v>74</v>
      </c>
      <c r="S290" s="2" t="s">
        <v>74</v>
      </c>
      <c r="T290" s="2" t="s">
        <v>74</v>
      </c>
      <c r="U290" s="2" t="s">
        <v>74</v>
      </c>
      <c r="V290" s="5" t="s">
        <v>8441</v>
      </c>
      <c r="W290" s="2" t="s">
        <v>74</v>
      </c>
      <c r="X290" s="2" t="s">
        <v>74</v>
      </c>
      <c r="Y290" s="2" t="s">
        <v>74</v>
      </c>
      <c r="Z290" s="2" t="s">
        <v>74</v>
      </c>
      <c r="AA290" s="2" t="s">
        <v>74</v>
      </c>
      <c r="AB290" s="2" t="s">
        <v>74</v>
      </c>
      <c r="AC290" s="2" t="s">
        <v>74</v>
      </c>
      <c r="AD290" s="2" t="s">
        <v>74</v>
      </c>
      <c r="AE290" s="2" t="s">
        <v>74</v>
      </c>
      <c r="AF290" s="2" t="s">
        <v>74</v>
      </c>
      <c r="AG290" s="2" t="s">
        <v>74</v>
      </c>
      <c r="AH290" s="2" t="s">
        <v>74</v>
      </c>
      <c r="AI290" s="2" t="s">
        <v>74</v>
      </c>
      <c r="AJ290" s="2" t="s">
        <v>74</v>
      </c>
      <c r="AK290" s="2" t="s">
        <v>74</v>
      </c>
      <c r="AL290" s="2" t="s">
        <v>74</v>
      </c>
      <c r="AM290" s="2" t="s">
        <v>74</v>
      </c>
      <c r="AN290" s="2" t="s">
        <v>74</v>
      </c>
      <c r="AO290" s="2" t="s">
        <v>695</v>
      </c>
      <c r="AP290" s="2" t="s">
        <v>74</v>
      </c>
      <c r="AQ290" s="2" t="s">
        <v>74</v>
      </c>
      <c r="AR290" s="2" t="s">
        <v>74</v>
      </c>
      <c r="AS290" s="2" t="s">
        <v>74</v>
      </c>
      <c r="AT290" s="2" t="s">
        <v>305</v>
      </c>
      <c r="AU290" s="2">
        <v>1995</v>
      </c>
      <c r="AV290" s="2">
        <v>58</v>
      </c>
      <c r="AW290" s="2">
        <v>6</v>
      </c>
      <c r="AX290" s="2" t="s">
        <v>74</v>
      </c>
      <c r="AY290" s="2" t="s">
        <v>74</v>
      </c>
      <c r="AZ290" s="2" t="s">
        <v>74</v>
      </c>
      <c r="BA290" s="2" t="s">
        <v>74</v>
      </c>
      <c r="BB290" s="2">
        <v>1221</v>
      </c>
      <c r="BC290" s="2">
        <v>1225</v>
      </c>
      <c r="BD290" s="2" t="s">
        <v>74</v>
      </c>
      <c r="BE290" s="2" t="s">
        <v>8442</v>
      </c>
      <c r="BF290" s="2" t="str">
        <f>HYPERLINK("http://dx.doi.org/10.1016/0031-9384(95)02057-8","http://dx.doi.org/10.1016/0031-9384(95)02057-8")</f>
        <v>http://dx.doi.org/10.1016/0031-9384(95)02057-8</v>
      </c>
      <c r="BG290" s="2" t="s">
        <v>74</v>
      </c>
      <c r="BH290" s="2" t="s">
        <v>74</v>
      </c>
      <c r="BI290" s="2" t="s">
        <v>74</v>
      </c>
      <c r="BJ290" s="2" t="s">
        <v>74</v>
      </c>
      <c r="BK290" s="2" t="s">
        <v>74</v>
      </c>
      <c r="BL290" s="2" t="s">
        <v>74</v>
      </c>
      <c r="BM290" s="2" t="s">
        <v>74</v>
      </c>
      <c r="BN290" s="2">
        <v>8623024</v>
      </c>
      <c r="BO290" s="2" t="s">
        <v>74</v>
      </c>
      <c r="BP290" s="2" t="s">
        <v>74</v>
      </c>
      <c r="BQ290" s="2" t="s">
        <v>74</v>
      </c>
      <c r="BR290" s="2" t="s">
        <v>74</v>
      </c>
      <c r="BS290" s="2" t="s">
        <v>8443</v>
      </c>
      <c r="BT290" s="2" t="str">
        <f>HYPERLINK("https%3A%2F%2Fwww.webofscience.com%2Fwos%2Fwoscc%2Ffull-record%2FWOS:A1995TH80700023","View Full Record in Web of Science")</f>
        <v>View Full Record in Web of Science</v>
      </c>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row>
    <row r="291" spans="1:314" s="2" customFormat="1" x14ac:dyDescent="0.4">
      <c r="A291" s="2" t="s">
        <v>72</v>
      </c>
      <c r="B291" s="2" t="s">
        <v>4532</v>
      </c>
      <c r="C291" s="2" t="s">
        <v>74</v>
      </c>
      <c r="D291" s="2" t="s">
        <v>74</v>
      </c>
      <c r="E291" s="2" t="s">
        <v>74</v>
      </c>
      <c r="F291" s="2" t="s">
        <v>4532</v>
      </c>
      <c r="G291" s="2" t="s">
        <v>74</v>
      </c>
      <c r="H291" s="2" t="s">
        <v>74</v>
      </c>
      <c r="I291" s="2" t="s">
        <v>4533</v>
      </c>
      <c r="J291" s="2" t="s">
        <v>140</v>
      </c>
      <c r="K291" s="2" t="s">
        <v>74</v>
      </c>
      <c r="L291" s="2" t="s">
        <v>74</v>
      </c>
      <c r="M291" s="2" t="s">
        <v>74</v>
      </c>
      <c r="N291" s="2" t="s">
        <v>74</v>
      </c>
      <c r="O291" s="2" t="s">
        <v>74</v>
      </c>
      <c r="P291" s="2" t="s">
        <v>74</v>
      </c>
      <c r="Q291" s="2" t="s">
        <v>74</v>
      </c>
      <c r="R291" s="2" t="s">
        <v>74</v>
      </c>
      <c r="S291" s="2" t="s">
        <v>74</v>
      </c>
      <c r="T291" s="2" t="s">
        <v>74</v>
      </c>
      <c r="U291" s="2" t="s">
        <v>74</v>
      </c>
      <c r="V291" s="5" t="s">
        <v>4534</v>
      </c>
      <c r="W291" s="2" t="s">
        <v>74</v>
      </c>
      <c r="X291" s="2" t="s">
        <v>74</v>
      </c>
      <c r="Y291" s="2" t="s">
        <v>74</v>
      </c>
      <c r="Z291" s="2" t="s">
        <v>74</v>
      </c>
      <c r="AA291" s="2" t="s">
        <v>74</v>
      </c>
      <c r="AB291" s="2" t="s">
        <v>74</v>
      </c>
      <c r="AC291" s="2" t="s">
        <v>74</v>
      </c>
      <c r="AD291" s="2" t="s">
        <v>74</v>
      </c>
      <c r="AE291" s="2" t="s">
        <v>74</v>
      </c>
      <c r="AF291" s="2" t="s">
        <v>74</v>
      </c>
      <c r="AG291" s="2" t="s">
        <v>74</v>
      </c>
      <c r="AH291" s="2" t="s">
        <v>74</v>
      </c>
      <c r="AI291" s="2" t="s">
        <v>74</v>
      </c>
      <c r="AJ291" s="2" t="s">
        <v>74</v>
      </c>
      <c r="AK291" s="2" t="s">
        <v>74</v>
      </c>
      <c r="AL291" s="2" t="s">
        <v>74</v>
      </c>
      <c r="AM291" s="2" t="s">
        <v>74</v>
      </c>
      <c r="AN291" s="2" t="s">
        <v>74</v>
      </c>
      <c r="AO291" s="2" t="s">
        <v>143</v>
      </c>
      <c r="AP291" s="2" t="s">
        <v>144</v>
      </c>
      <c r="AQ291" s="2" t="s">
        <v>74</v>
      </c>
      <c r="AR291" s="2" t="s">
        <v>74</v>
      </c>
      <c r="AS291" s="2" t="s">
        <v>74</v>
      </c>
      <c r="AT291" s="2" t="s">
        <v>145</v>
      </c>
      <c r="AU291" s="2">
        <v>1987</v>
      </c>
      <c r="AV291" s="2">
        <v>35</v>
      </c>
      <c r="AW291" s="2" t="s">
        <v>74</v>
      </c>
      <c r="AX291" s="2">
        <v>4</v>
      </c>
      <c r="AY291" s="2" t="s">
        <v>74</v>
      </c>
      <c r="AZ291" s="2" t="s">
        <v>74</v>
      </c>
      <c r="BA291" s="2" t="s">
        <v>74</v>
      </c>
      <c r="BB291" s="2">
        <v>1177</v>
      </c>
      <c r="BC291" s="2">
        <v>1187</v>
      </c>
      <c r="BD291" s="2" t="s">
        <v>74</v>
      </c>
      <c r="BE291" s="2" t="s">
        <v>4535</v>
      </c>
      <c r="BF291" s="2" t="str">
        <f>HYPERLINK("http://dx.doi.org/10.1016/S0003-3472(87)80174-4","http://dx.doi.org/10.1016/S0003-3472(87)80174-4")</f>
        <v>http://dx.doi.org/10.1016/S0003-3472(87)80174-4</v>
      </c>
      <c r="BG291" s="2" t="s">
        <v>74</v>
      </c>
      <c r="BH291" s="2" t="s">
        <v>74</v>
      </c>
      <c r="BI291" s="2" t="s">
        <v>74</v>
      </c>
      <c r="BJ291" s="2" t="s">
        <v>74</v>
      </c>
      <c r="BK291" s="2" t="s">
        <v>74</v>
      </c>
      <c r="BL291" s="2" t="s">
        <v>74</v>
      </c>
      <c r="BM291" s="2" t="s">
        <v>74</v>
      </c>
      <c r="BN291" s="2" t="s">
        <v>74</v>
      </c>
      <c r="BO291" s="2" t="s">
        <v>74</v>
      </c>
      <c r="BP291" s="2" t="s">
        <v>74</v>
      </c>
      <c r="BQ291" s="2" t="s">
        <v>74</v>
      </c>
      <c r="BR291" s="2" t="s">
        <v>74</v>
      </c>
      <c r="BS291" s="2" t="s">
        <v>4536</v>
      </c>
      <c r="BT291" s="2" t="str">
        <f>HYPERLINK("https%3A%2F%2Fwww.webofscience.com%2Fwos%2Fwoscc%2Ffull-record%2FWOS:A1987J540600022","View Full Record in Web of Science")</f>
        <v>View Full Record in Web of Science</v>
      </c>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row>
    <row r="292" spans="1:314" s="1" customFormat="1" x14ac:dyDescent="0.4">
      <c r="A292" s="2" t="s">
        <v>72</v>
      </c>
      <c r="B292" s="2" t="s">
        <v>4021</v>
      </c>
      <c r="C292" s="2" t="s">
        <v>74</v>
      </c>
      <c r="D292" s="2" t="s">
        <v>74</v>
      </c>
      <c r="E292" s="2" t="s">
        <v>74</v>
      </c>
      <c r="F292" s="2" t="s">
        <v>4021</v>
      </c>
      <c r="G292" s="2" t="s">
        <v>74</v>
      </c>
      <c r="H292" s="2" t="s">
        <v>74</v>
      </c>
      <c r="I292" s="2" t="s">
        <v>4022</v>
      </c>
      <c r="J292" s="2" t="s">
        <v>1812</v>
      </c>
      <c r="K292" s="2" t="s">
        <v>74</v>
      </c>
      <c r="L292" s="2" t="s">
        <v>74</v>
      </c>
      <c r="M292" s="2" t="s">
        <v>74</v>
      </c>
      <c r="N292" s="2" t="s">
        <v>74</v>
      </c>
      <c r="O292" s="2" t="s">
        <v>74</v>
      </c>
      <c r="P292" s="2" t="s">
        <v>74</v>
      </c>
      <c r="Q292" s="2" t="s">
        <v>74</v>
      </c>
      <c r="R292" s="2" t="s">
        <v>74</v>
      </c>
      <c r="S292" s="2" t="s">
        <v>74</v>
      </c>
      <c r="T292" s="2" t="s">
        <v>74</v>
      </c>
      <c r="U292" s="2" t="s">
        <v>74</v>
      </c>
      <c r="V292" s="5" t="s">
        <v>4023</v>
      </c>
      <c r="W292" s="2" t="s">
        <v>74</v>
      </c>
      <c r="X292" s="2" t="s">
        <v>74</v>
      </c>
      <c r="Y292" s="2" t="s">
        <v>74</v>
      </c>
      <c r="Z292" s="2" t="s">
        <v>74</v>
      </c>
      <c r="AA292" s="2" t="s">
        <v>74</v>
      </c>
      <c r="AB292" s="2" t="s">
        <v>74</v>
      </c>
      <c r="AC292" s="2" t="s">
        <v>74</v>
      </c>
      <c r="AD292" s="2" t="s">
        <v>74</v>
      </c>
      <c r="AE292" s="2" t="s">
        <v>74</v>
      </c>
      <c r="AF292" s="2" t="s">
        <v>74</v>
      </c>
      <c r="AG292" s="2" t="s">
        <v>74</v>
      </c>
      <c r="AH292" s="2" t="s">
        <v>74</v>
      </c>
      <c r="AI292" s="2" t="s">
        <v>74</v>
      </c>
      <c r="AJ292" s="2" t="s">
        <v>74</v>
      </c>
      <c r="AK292" s="2" t="s">
        <v>74</v>
      </c>
      <c r="AL292" s="2" t="s">
        <v>74</v>
      </c>
      <c r="AM292" s="2" t="s">
        <v>74</v>
      </c>
      <c r="AN292" s="2" t="s">
        <v>74</v>
      </c>
      <c r="AO292" s="2" t="s">
        <v>1814</v>
      </c>
      <c r="AP292" s="2" t="s">
        <v>1815</v>
      </c>
      <c r="AQ292" s="2" t="s">
        <v>74</v>
      </c>
      <c r="AR292" s="2" t="s">
        <v>74</v>
      </c>
      <c r="AS292" s="2" t="s">
        <v>74</v>
      </c>
      <c r="AT292" s="2" t="s">
        <v>102</v>
      </c>
      <c r="AU292" s="2">
        <v>1987</v>
      </c>
      <c r="AV292" s="2">
        <v>21</v>
      </c>
      <c r="AW292" s="2">
        <v>2</v>
      </c>
      <c r="AX292" s="2" t="s">
        <v>74</v>
      </c>
      <c r="AY292" s="2" t="s">
        <v>74</v>
      </c>
      <c r="AZ292" s="2" t="s">
        <v>74</v>
      </c>
      <c r="BA292" s="2" t="s">
        <v>74</v>
      </c>
      <c r="BB292" s="2">
        <v>96</v>
      </c>
      <c r="BC292" s="2">
        <v>101</v>
      </c>
      <c r="BD292" s="2" t="s">
        <v>74</v>
      </c>
      <c r="BE292" s="2" t="s">
        <v>4024</v>
      </c>
      <c r="BF292" s="2" t="str">
        <f>HYPERLINK("http://dx.doi.org/10.2307/1564469","http://dx.doi.org/10.2307/1564469")</f>
        <v>http://dx.doi.org/10.2307/1564469</v>
      </c>
      <c r="BG292" s="2" t="s">
        <v>74</v>
      </c>
      <c r="BH292" s="2" t="s">
        <v>74</v>
      </c>
      <c r="BI292" s="2" t="s">
        <v>74</v>
      </c>
      <c r="BJ292" s="2" t="s">
        <v>74</v>
      </c>
      <c r="BK292" s="2" t="s">
        <v>74</v>
      </c>
      <c r="BL292" s="2" t="s">
        <v>74</v>
      </c>
      <c r="BM292" s="2" t="s">
        <v>74</v>
      </c>
      <c r="BN292" s="2" t="s">
        <v>74</v>
      </c>
      <c r="BO292" s="2" t="s">
        <v>74</v>
      </c>
      <c r="BP292" s="2" t="s">
        <v>74</v>
      </c>
      <c r="BQ292" s="2" t="s">
        <v>74</v>
      </c>
      <c r="BR292" s="2" t="s">
        <v>74</v>
      </c>
      <c r="BS292" s="2" t="s">
        <v>4025</v>
      </c>
      <c r="BT292" s="2" t="str">
        <f>HYPERLINK("https%3A%2F%2Fwww.webofscience.com%2Fwos%2Fwoscc%2Ffull-record%2FWOS:A1987H691700002","View Full Record in Web of Science")</f>
        <v>View Full Record in Web of Science</v>
      </c>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row>
    <row r="293" spans="1:314" s="2" customFormat="1" x14ac:dyDescent="0.4">
      <c r="A293" s="2" t="s">
        <v>72</v>
      </c>
      <c r="B293" s="2" t="s">
        <v>4356</v>
      </c>
      <c r="C293" s="2" t="s">
        <v>74</v>
      </c>
      <c r="D293" s="2" t="s">
        <v>74</v>
      </c>
      <c r="E293" s="2" t="s">
        <v>74</v>
      </c>
      <c r="F293" s="2" t="s">
        <v>4356</v>
      </c>
      <c r="G293" s="2" t="s">
        <v>74</v>
      </c>
      <c r="H293" s="2" t="s">
        <v>74</v>
      </c>
      <c r="I293" s="2" t="s">
        <v>4357</v>
      </c>
      <c r="J293" s="2" t="s">
        <v>1126</v>
      </c>
      <c r="K293" s="2" t="s">
        <v>74</v>
      </c>
      <c r="L293" s="2" t="s">
        <v>74</v>
      </c>
      <c r="M293" s="2" t="s">
        <v>74</v>
      </c>
      <c r="N293" s="2" t="s">
        <v>74</v>
      </c>
      <c r="O293" s="2" t="s">
        <v>74</v>
      </c>
      <c r="P293" s="2" t="s">
        <v>74</v>
      </c>
      <c r="Q293" s="2" t="s">
        <v>74</v>
      </c>
      <c r="R293" s="2" t="s">
        <v>74</v>
      </c>
      <c r="S293" s="2" t="s">
        <v>74</v>
      </c>
      <c r="T293" s="2" t="s">
        <v>74</v>
      </c>
      <c r="U293" s="2" t="s">
        <v>74</v>
      </c>
      <c r="V293" s="5" t="s">
        <v>4358</v>
      </c>
      <c r="W293" s="2" t="s">
        <v>74</v>
      </c>
      <c r="X293" s="2" t="s">
        <v>74</v>
      </c>
      <c r="Y293" s="2" t="s">
        <v>74</v>
      </c>
      <c r="Z293" s="2" t="s">
        <v>74</v>
      </c>
      <c r="AA293" s="2" t="s">
        <v>74</v>
      </c>
      <c r="AB293" s="2" t="s">
        <v>74</v>
      </c>
      <c r="AC293" s="2" t="s">
        <v>74</v>
      </c>
      <c r="AD293" s="2" t="s">
        <v>74</v>
      </c>
      <c r="AE293" s="2" t="s">
        <v>74</v>
      </c>
      <c r="AF293" s="2" t="s">
        <v>74</v>
      </c>
      <c r="AG293" s="2" t="s">
        <v>74</v>
      </c>
      <c r="AH293" s="2" t="s">
        <v>74</v>
      </c>
      <c r="AI293" s="2" t="s">
        <v>74</v>
      </c>
      <c r="AJ293" s="2" t="s">
        <v>74</v>
      </c>
      <c r="AK293" s="2" t="s">
        <v>74</v>
      </c>
      <c r="AL293" s="2" t="s">
        <v>74</v>
      </c>
      <c r="AM293" s="2" t="s">
        <v>74</v>
      </c>
      <c r="AN293" s="2" t="s">
        <v>74</v>
      </c>
      <c r="AO293" s="2" t="s">
        <v>1128</v>
      </c>
      <c r="AP293" s="2" t="s">
        <v>1129</v>
      </c>
      <c r="AQ293" s="2" t="s">
        <v>74</v>
      </c>
      <c r="AR293" s="2" t="s">
        <v>74</v>
      </c>
      <c r="AS293" s="2" t="s">
        <v>74</v>
      </c>
      <c r="AT293" s="2" t="s">
        <v>4359</v>
      </c>
      <c r="AU293" s="2">
        <v>1988</v>
      </c>
      <c r="AV293" s="2" t="s">
        <v>74</v>
      </c>
      <c r="AW293" s="2">
        <v>1</v>
      </c>
      <c r="AX293" s="2" t="s">
        <v>74</v>
      </c>
      <c r="AY293" s="2" t="s">
        <v>74</v>
      </c>
      <c r="AZ293" s="2" t="s">
        <v>74</v>
      </c>
      <c r="BA293" s="2" t="s">
        <v>74</v>
      </c>
      <c r="BB293" s="2">
        <v>1</v>
      </c>
      <c r="BC293" s="2">
        <v>6</v>
      </c>
      <c r="BD293" s="2" t="s">
        <v>74</v>
      </c>
      <c r="BE293" s="2" t="s">
        <v>74</v>
      </c>
      <c r="BF293" s="2" t="s">
        <v>74</v>
      </c>
      <c r="BG293" s="2" t="s">
        <v>74</v>
      </c>
      <c r="BH293" s="2" t="s">
        <v>74</v>
      </c>
      <c r="BI293" s="2" t="s">
        <v>74</v>
      </c>
      <c r="BJ293" s="2" t="s">
        <v>74</v>
      </c>
      <c r="BK293" s="2" t="s">
        <v>74</v>
      </c>
      <c r="BL293" s="2" t="s">
        <v>74</v>
      </c>
      <c r="BM293" s="2" t="s">
        <v>74</v>
      </c>
      <c r="BN293" s="2" t="s">
        <v>74</v>
      </c>
      <c r="BO293" s="2" t="s">
        <v>74</v>
      </c>
      <c r="BP293" s="2" t="s">
        <v>74</v>
      </c>
      <c r="BQ293" s="2" t="s">
        <v>74</v>
      </c>
      <c r="BR293" s="2" t="s">
        <v>74</v>
      </c>
      <c r="BS293" s="2" t="s">
        <v>4360</v>
      </c>
      <c r="BT293" s="2" t="str">
        <f>HYPERLINK("https%3A%2F%2Fwww.webofscience.com%2Fwos%2Fwoscc%2Ffull-record%2FWOS:A1988M131600001","View Full Record in Web of Science")</f>
        <v>View Full Record in Web of Science</v>
      </c>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row>
    <row r="294" spans="1:314" s="2" customFormat="1" x14ac:dyDescent="0.4">
      <c r="A294" s="2" t="s">
        <v>72</v>
      </c>
      <c r="B294" s="2" t="s">
        <v>8655</v>
      </c>
      <c r="C294" s="2" t="s">
        <v>74</v>
      </c>
      <c r="D294" s="2" t="s">
        <v>74</v>
      </c>
      <c r="E294" s="2" t="s">
        <v>74</v>
      </c>
      <c r="F294" s="2" t="s">
        <v>8656</v>
      </c>
      <c r="G294" s="2" t="s">
        <v>74</v>
      </c>
      <c r="H294" s="2" t="s">
        <v>74</v>
      </c>
      <c r="I294" s="2" t="s">
        <v>8657</v>
      </c>
      <c r="J294" s="2" t="s">
        <v>1044</v>
      </c>
      <c r="K294" s="2" t="s">
        <v>74</v>
      </c>
      <c r="L294" s="2" t="s">
        <v>74</v>
      </c>
      <c r="M294" s="2" t="s">
        <v>74</v>
      </c>
      <c r="N294" s="2" t="s">
        <v>74</v>
      </c>
      <c r="O294" s="2" t="s">
        <v>74</v>
      </c>
      <c r="P294" s="2" t="s">
        <v>74</v>
      </c>
      <c r="Q294" s="2" t="s">
        <v>74</v>
      </c>
      <c r="R294" s="2" t="s">
        <v>74</v>
      </c>
      <c r="S294" s="2" t="s">
        <v>74</v>
      </c>
      <c r="T294" s="2" t="s">
        <v>74</v>
      </c>
      <c r="U294" s="2" t="s">
        <v>74</v>
      </c>
      <c r="V294" s="5" t="s">
        <v>8658</v>
      </c>
      <c r="W294" s="2" t="s">
        <v>74</v>
      </c>
      <c r="X294" s="2" t="s">
        <v>74</v>
      </c>
      <c r="Y294" s="2" t="s">
        <v>74</v>
      </c>
      <c r="Z294" s="2" t="s">
        <v>74</v>
      </c>
      <c r="AA294" s="2" t="s">
        <v>8659</v>
      </c>
      <c r="AB294" s="2" t="s">
        <v>8660</v>
      </c>
      <c r="AC294" s="2" t="s">
        <v>74</v>
      </c>
      <c r="AD294" s="2" t="s">
        <v>74</v>
      </c>
      <c r="AE294" s="2" t="s">
        <v>74</v>
      </c>
      <c r="AF294" s="2" t="s">
        <v>74</v>
      </c>
      <c r="AG294" s="2" t="s">
        <v>74</v>
      </c>
      <c r="AH294" s="2" t="s">
        <v>74</v>
      </c>
      <c r="AI294" s="2" t="s">
        <v>74</v>
      </c>
      <c r="AJ294" s="2" t="s">
        <v>74</v>
      </c>
      <c r="AK294" s="2" t="s">
        <v>74</v>
      </c>
      <c r="AL294" s="2" t="s">
        <v>74</v>
      </c>
      <c r="AM294" s="2" t="s">
        <v>74</v>
      </c>
      <c r="AN294" s="2" t="s">
        <v>74</v>
      </c>
      <c r="AO294" s="2" t="s">
        <v>1048</v>
      </c>
      <c r="AP294" s="2" t="s">
        <v>1049</v>
      </c>
      <c r="AQ294" s="2" t="s">
        <v>74</v>
      </c>
      <c r="AR294" s="2" t="s">
        <v>74</v>
      </c>
      <c r="AS294" s="2" t="s">
        <v>74</v>
      </c>
      <c r="AT294" s="2" t="s">
        <v>633</v>
      </c>
      <c r="AU294" s="2">
        <v>2020</v>
      </c>
      <c r="AV294" s="2">
        <v>29</v>
      </c>
      <c r="AW294" s="2">
        <v>7</v>
      </c>
      <c r="AX294" s="2" t="s">
        <v>74</v>
      </c>
      <c r="AY294" s="2" t="s">
        <v>74</v>
      </c>
      <c r="AZ294" s="2" t="s">
        <v>74</v>
      </c>
      <c r="BA294" s="2" t="s">
        <v>74</v>
      </c>
      <c r="BB294" s="2">
        <v>1358</v>
      </c>
      <c r="BC294" s="2">
        <v>1371</v>
      </c>
      <c r="BD294" s="2" t="s">
        <v>74</v>
      </c>
      <c r="BE294" s="2" t="s">
        <v>8661</v>
      </c>
      <c r="BF294" s="2" t="str">
        <f>HYPERLINK("http://dx.doi.org/10.1111/mec.15398","http://dx.doi.org/10.1111/mec.15398")</f>
        <v>http://dx.doi.org/10.1111/mec.15398</v>
      </c>
      <c r="BG294" s="2" t="s">
        <v>74</v>
      </c>
      <c r="BH294" s="2" t="s">
        <v>3584</v>
      </c>
      <c r="BI294" s="2" t="s">
        <v>74</v>
      </c>
      <c r="BJ294" s="2" t="s">
        <v>74</v>
      </c>
      <c r="BK294" s="2" t="s">
        <v>74</v>
      </c>
      <c r="BL294" s="2" t="s">
        <v>74</v>
      </c>
      <c r="BM294" s="2" t="s">
        <v>74</v>
      </c>
      <c r="BN294" s="2">
        <v>32115796</v>
      </c>
      <c r="BO294" s="2" t="s">
        <v>74</v>
      </c>
      <c r="BP294" s="2" t="s">
        <v>74</v>
      </c>
      <c r="BQ294" s="2" t="s">
        <v>74</v>
      </c>
      <c r="BR294" s="2" t="s">
        <v>74</v>
      </c>
      <c r="BS294" s="2" t="s">
        <v>8662</v>
      </c>
      <c r="BT294" s="2" t="str">
        <f>HYPERLINK("https%3A%2F%2Fwww.webofscience.com%2Fwos%2Fwoscc%2Ffull-record%2FWOS:000524283300001","View Full Record in Web of Science")</f>
        <v>View Full Record in Web of Science</v>
      </c>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row>
    <row r="295" spans="1:314" s="2" customFormat="1" x14ac:dyDescent="0.4">
      <c r="A295" s="2" t="s">
        <v>72</v>
      </c>
      <c r="B295" s="2" t="s">
        <v>4243</v>
      </c>
      <c r="C295" s="2" t="s">
        <v>74</v>
      </c>
      <c r="D295" s="2" t="s">
        <v>74</v>
      </c>
      <c r="E295" s="2" t="s">
        <v>74</v>
      </c>
      <c r="F295" s="2" t="s">
        <v>4244</v>
      </c>
      <c r="G295" s="2" t="s">
        <v>74</v>
      </c>
      <c r="H295" s="2" t="s">
        <v>74</v>
      </c>
      <c r="I295" s="2" t="s">
        <v>4245</v>
      </c>
      <c r="J295" s="2" t="s">
        <v>333</v>
      </c>
      <c r="K295" s="2" t="s">
        <v>74</v>
      </c>
      <c r="L295" s="2" t="s">
        <v>74</v>
      </c>
      <c r="M295" s="2" t="s">
        <v>74</v>
      </c>
      <c r="N295" s="2" t="s">
        <v>74</v>
      </c>
      <c r="O295" s="2" t="s">
        <v>74</v>
      </c>
      <c r="P295" s="2" t="s">
        <v>74</v>
      </c>
      <c r="Q295" s="2" t="s">
        <v>74</v>
      </c>
      <c r="R295" s="2" t="s">
        <v>74</v>
      </c>
      <c r="S295" s="2" t="s">
        <v>74</v>
      </c>
      <c r="T295" s="2" t="s">
        <v>74</v>
      </c>
      <c r="U295" s="2" t="s">
        <v>74</v>
      </c>
      <c r="V295" s="5" t="s">
        <v>4246</v>
      </c>
      <c r="W295" s="2" t="s">
        <v>74</v>
      </c>
      <c r="X295" s="2" t="s">
        <v>74</v>
      </c>
      <c r="Y295" s="2" t="s">
        <v>74</v>
      </c>
      <c r="Z295" s="2" t="s">
        <v>74</v>
      </c>
      <c r="AA295" s="2" t="s">
        <v>4247</v>
      </c>
      <c r="AB295" s="2" t="s">
        <v>4248</v>
      </c>
      <c r="AC295" s="2" t="s">
        <v>74</v>
      </c>
      <c r="AD295" s="2" t="s">
        <v>74</v>
      </c>
      <c r="AE295" s="2" t="s">
        <v>74</v>
      </c>
      <c r="AF295" s="2" t="s">
        <v>74</v>
      </c>
      <c r="AG295" s="2" t="s">
        <v>74</v>
      </c>
      <c r="AH295" s="2" t="s">
        <v>74</v>
      </c>
      <c r="AI295" s="2" t="s">
        <v>74</v>
      </c>
      <c r="AJ295" s="2" t="s">
        <v>74</v>
      </c>
      <c r="AK295" s="2" t="s">
        <v>74</v>
      </c>
      <c r="AL295" s="2" t="s">
        <v>74</v>
      </c>
      <c r="AM295" s="2" t="s">
        <v>74</v>
      </c>
      <c r="AN295" s="2" t="s">
        <v>74</v>
      </c>
      <c r="AO295" s="2" t="s">
        <v>337</v>
      </c>
      <c r="AP295" s="2" t="s">
        <v>338</v>
      </c>
      <c r="AQ295" s="2" t="s">
        <v>74</v>
      </c>
      <c r="AR295" s="2" t="s">
        <v>74</v>
      </c>
      <c r="AS295" s="2" t="s">
        <v>74</v>
      </c>
      <c r="AT295" s="2" t="s">
        <v>1075</v>
      </c>
      <c r="AU295" s="2">
        <v>2018</v>
      </c>
      <c r="AV295" s="2">
        <v>29</v>
      </c>
      <c r="AW295" s="2">
        <v>6</v>
      </c>
      <c r="AX295" s="2" t="s">
        <v>74</v>
      </c>
      <c r="AY295" s="2" t="s">
        <v>74</v>
      </c>
      <c r="AZ295" s="2" t="s">
        <v>74</v>
      </c>
      <c r="BA295" s="2" t="s">
        <v>74</v>
      </c>
      <c r="BB295" s="2">
        <v>1472</v>
      </c>
      <c r="BC295" s="2">
        <v>1480</v>
      </c>
      <c r="BD295" s="2" t="s">
        <v>74</v>
      </c>
      <c r="BE295" s="2" t="s">
        <v>4249</v>
      </c>
      <c r="BF295" s="2" t="str">
        <f>HYPERLINK("http://dx.doi.org/10.1093/beheco/ary102","http://dx.doi.org/10.1093/beheco/ary102")</f>
        <v>http://dx.doi.org/10.1093/beheco/ary102</v>
      </c>
      <c r="BG295" s="2" t="s">
        <v>74</v>
      </c>
      <c r="BH295" s="2" t="s">
        <v>74</v>
      </c>
      <c r="BI295" s="2" t="s">
        <v>74</v>
      </c>
      <c r="BJ295" s="2" t="s">
        <v>74</v>
      </c>
      <c r="BK295" s="2" t="s">
        <v>74</v>
      </c>
      <c r="BL295" s="2" t="s">
        <v>74</v>
      </c>
      <c r="BM295" s="2" t="s">
        <v>74</v>
      </c>
      <c r="BN295" s="2" t="s">
        <v>74</v>
      </c>
      <c r="BO295" s="2" t="s">
        <v>74</v>
      </c>
      <c r="BP295" s="2" t="s">
        <v>74</v>
      </c>
      <c r="BQ295" s="2" t="s">
        <v>74</v>
      </c>
      <c r="BR295" s="2" t="s">
        <v>74</v>
      </c>
      <c r="BS295" s="2" t="s">
        <v>4250</v>
      </c>
      <c r="BT295" s="2" t="str">
        <f>HYPERLINK("https%3A%2F%2Fwww.webofscience.com%2Fwos%2Fwoscc%2Ffull-record%2FWOS:000453209600037","View Full Record in Web of Science")</f>
        <v>View Full Record in Web of Science</v>
      </c>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row>
    <row r="296" spans="1:314" s="2" customFormat="1" x14ac:dyDescent="0.4">
      <c r="A296" s="2" t="s">
        <v>72</v>
      </c>
      <c r="B296" s="2" t="s">
        <v>5835</v>
      </c>
      <c r="C296" s="2" t="s">
        <v>74</v>
      </c>
      <c r="D296" s="2" t="s">
        <v>74</v>
      </c>
      <c r="E296" s="2" t="s">
        <v>74</v>
      </c>
      <c r="F296" s="2" t="s">
        <v>5836</v>
      </c>
      <c r="G296" s="2" t="s">
        <v>74</v>
      </c>
      <c r="H296" s="2" t="s">
        <v>74</v>
      </c>
      <c r="I296" s="2" t="s">
        <v>5837</v>
      </c>
      <c r="J296" s="2" t="s">
        <v>108</v>
      </c>
      <c r="K296" s="2" t="s">
        <v>74</v>
      </c>
      <c r="L296" s="2" t="s">
        <v>74</v>
      </c>
      <c r="M296" s="2" t="s">
        <v>74</v>
      </c>
      <c r="N296" s="2" t="s">
        <v>74</v>
      </c>
      <c r="O296" s="2" t="s">
        <v>74</v>
      </c>
      <c r="P296" s="2" t="s">
        <v>74</v>
      </c>
      <c r="Q296" s="2" t="s">
        <v>74</v>
      </c>
      <c r="R296" s="2" t="s">
        <v>74</v>
      </c>
      <c r="S296" s="2" t="s">
        <v>74</v>
      </c>
      <c r="T296" s="2" t="s">
        <v>74</v>
      </c>
      <c r="U296" s="2" t="s">
        <v>74</v>
      </c>
      <c r="V296" s="5" t="s">
        <v>5838</v>
      </c>
      <c r="W296" s="2" t="s">
        <v>74</v>
      </c>
      <c r="X296" s="2" t="s">
        <v>74</v>
      </c>
      <c r="Y296" s="2" t="s">
        <v>74</v>
      </c>
      <c r="Z296" s="2" t="s">
        <v>74</v>
      </c>
      <c r="AA296" s="2" t="s">
        <v>5839</v>
      </c>
      <c r="AB296" s="2" t="s">
        <v>5840</v>
      </c>
      <c r="AC296" s="2" t="s">
        <v>74</v>
      </c>
      <c r="AD296" s="2" t="s">
        <v>74</v>
      </c>
      <c r="AE296" s="2" t="s">
        <v>74</v>
      </c>
      <c r="AF296" s="2" t="s">
        <v>74</v>
      </c>
      <c r="AG296" s="2" t="s">
        <v>74</v>
      </c>
      <c r="AH296" s="2" t="s">
        <v>74</v>
      </c>
      <c r="AI296" s="2" t="s">
        <v>74</v>
      </c>
      <c r="AJ296" s="2" t="s">
        <v>74</v>
      </c>
      <c r="AK296" s="2" t="s">
        <v>74</v>
      </c>
      <c r="AL296" s="2" t="s">
        <v>74</v>
      </c>
      <c r="AM296" s="2" t="s">
        <v>74</v>
      </c>
      <c r="AN296" s="2" t="s">
        <v>74</v>
      </c>
      <c r="AO296" s="2" t="s">
        <v>111</v>
      </c>
      <c r="AP296" s="2" t="s">
        <v>112</v>
      </c>
      <c r="AQ296" s="2" t="s">
        <v>74</v>
      </c>
      <c r="AR296" s="2" t="s">
        <v>74</v>
      </c>
      <c r="AS296" s="2" t="s">
        <v>74</v>
      </c>
      <c r="AT296" s="2" t="s">
        <v>3140</v>
      </c>
      <c r="AU296" s="2">
        <v>2007</v>
      </c>
      <c r="AV296" s="2">
        <v>274</v>
      </c>
      <c r="AW296" s="2">
        <v>1624</v>
      </c>
      <c r="AX296" s="2" t="s">
        <v>74</v>
      </c>
      <c r="AY296" s="2" t="s">
        <v>74</v>
      </c>
      <c r="AZ296" s="2" t="s">
        <v>74</v>
      </c>
      <c r="BA296" s="2" t="s">
        <v>74</v>
      </c>
      <c r="BB296" s="2">
        <v>2445</v>
      </c>
      <c r="BC296" s="2">
        <v>2448</v>
      </c>
      <c r="BD296" s="2" t="s">
        <v>74</v>
      </c>
      <c r="BE296" s="2" t="s">
        <v>5841</v>
      </c>
      <c r="BF296" s="2" t="str">
        <f>HYPERLINK("http://dx.doi.org/10.1098/rspb.2007.0797","http://dx.doi.org/10.1098/rspb.2007.0797")</f>
        <v>http://dx.doi.org/10.1098/rspb.2007.0797</v>
      </c>
      <c r="BG296" s="2" t="s">
        <v>74</v>
      </c>
      <c r="BH296" s="2" t="s">
        <v>74</v>
      </c>
      <c r="BI296" s="2" t="s">
        <v>74</v>
      </c>
      <c r="BJ296" s="2" t="s">
        <v>74</v>
      </c>
      <c r="BK296" s="2" t="s">
        <v>74</v>
      </c>
      <c r="BL296" s="2" t="s">
        <v>74</v>
      </c>
      <c r="BM296" s="2" t="s">
        <v>74</v>
      </c>
      <c r="BN296" s="2">
        <v>17652064</v>
      </c>
      <c r="BO296" s="2" t="s">
        <v>74</v>
      </c>
      <c r="BP296" s="2" t="s">
        <v>74</v>
      </c>
      <c r="BQ296" s="2" t="s">
        <v>74</v>
      </c>
      <c r="BR296" s="2" t="s">
        <v>74</v>
      </c>
      <c r="BS296" s="2" t="s">
        <v>5842</v>
      </c>
      <c r="BT296" s="2" t="str">
        <f>HYPERLINK("https%3A%2F%2Fwww.webofscience.com%2Fwos%2Fwoscc%2Ffull-record%2FWOS:000248887800011","View Full Record in Web of Science")</f>
        <v>View Full Record in Web of Science</v>
      </c>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row>
    <row r="297" spans="1:314" s="2" customFormat="1" x14ac:dyDescent="0.4">
      <c r="A297" s="2" t="s">
        <v>72</v>
      </c>
      <c r="B297" s="2" t="s">
        <v>5289</v>
      </c>
      <c r="C297" s="2" t="s">
        <v>74</v>
      </c>
      <c r="D297" s="2" t="s">
        <v>74</v>
      </c>
      <c r="E297" s="2" t="s">
        <v>74</v>
      </c>
      <c r="F297" s="2" t="s">
        <v>5290</v>
      </c>
      <c r="G297" s="2" t="s">
        <v>74</v>
      </c>
      <c r="H297" s="2" t="s">
        <v>74</v>
      </c>
      <c r="I297" s="2" t="s">
        <v>5291</v>
      </c>
      <c r="J297" s="2" t="s">
        <v>129</v>
      </c>
      <c r="K297" s="2" t="s">
        <v>74</v>
      </c>
      <c r="L297" s="2" t="s">
        <v>74</v>
      </c>
      <c r="M297" s="2" t="s">
        <v>74</v>
      </c>
      <c r="N297" s="2" t="s">
        <v>74</v>
      </c>
      <c r="O297" s="2" t="s">
        <v>74</v>
      </c>
      <c r="P297" s="2" t="s">
        <v>74</v>
      </c>
      <c r="Q297" s="2" t="s">
        <v>74</v>
      </c>
      <c r="R297" s="2" t="s">
        <v>74</v>
      </c>
      <c r="S297" s="2" t="s">
        <v>74</v>
      </c>
      <c r="T297" s="2" t="s">
        <v>74</v>
      </c>
      <c r="U297" s="2" t="s">
        <v>74</v>
      </c>
      <c r="V297" s="5" t="s">
        <v>5292</v>
      </c>
      <c r="W297" s="2" t="s">
        <v>74</v>
      </c>
      <c r="X297" s="2" t="s">
        <v>74</v>
      </c>
      <c r="Y297" s="2" t="s">
        <v>74</v>
      </c>
      <c r="Z297" s="2" t="s">
        <v>74</v>
      </c>
      <c r="AA297" s="2" t="s">
        <v>74</v>
      </c>
      <c r="AB297" s="2" t="s">
        <v>74</v>
      </c>
      <c r="AC297" s="2" t="s">
        <v>74</v>
      </c>
      <c r="AD297" s="2" t="s">
        <v>74</v>
      </c>
      <c r="AE297" s="2" t="s">
        <v>74</v>
      </c>
      <c r="AF297" s="2" t="s">
        <v>74</v>
      </c>
      <c r="AG297" s="2" t="s">
        <v>74</v>
      </c>
      <c r="AH297" s="2" t="s">
        <v>74</v>
      </c>
      <c r="AI297" s="2" t="s">
        <v>74</v>
      </c>
      <c r="AJ297" s="2" t="s">
        <v>74</v>
      </c>
      <c r="AK297" s="2" t="s">
        <v>74</v>
      </c>
      <c r="AL297" s="2" t="s">
        <v>74</v>
      </c>
      <c r="AM297" s="2" t="s">
        <v>74</v>
      </c>
      <c r="AN297" s="2" t="s">
        <v>74</v>
      </c>
      <c r="AO297" s="2" t="s">
        <v>132</v>
      </c>
      <c r="AP297" s="2" t="s">
        <v>133</v>
      </c>
      <c r="AQ297" s="2" t="s">
        <v>74</v>
      </c>
      <c r="AR297" s="2" t="s">
        <v>74</v>
      </c>
      <c r="AS297" s="2" t="s">
        <v>74</v>
      </c>
      <c r="AT297" s="2" t="s">
        <v>145</v>
      </c>
      <c r="AU297" s="2">
        <v>2013</v>
      </c>
      <c r="AV297" s="2">
        <v>67</v>
      </c>
      <c r="AW297" s="2">
        <v>8</v>
      </c>
      <c r="AX297" s="2" t="s">
        <v>74</v>
      </c>
      <c r="AY297" s="2" t="s">
        <v>74</v>
      </c>
      <c r="AZ297" s="2" t="s">
        <v>74</v>
      </c>
      <c r="BA297" s="2" t="s">
        <v>74</v>
      </c>
      <c r="BB297" s="2">
        <v>1357</v>
      </c>
      <c r="BC297" s="2">
        <v>1367</v>
      </c>
      <c r="BD297" s="2" t="s">
        <v>74</v>
      </c>
      <c r="BE297" s="2" t="s">
        <v>5293</v>
      </c>
      <c r="BF297" s="2" t="str">
        <f>HYPERLINK("http://dx.doi.org/10.1007/s00265-013-1564-z","http://dx.doi.org/10.1007/s00265-013-1564-z")</f>
        <v>http://dx.doi.org/10.1007/s00265-013-1564-z</v>
      </c>
      <c r="BG297" s="2" t="s">
        <v>74</v>
      </c>
      <c r="BH297" s="2" t="s">
        <v>74</v>
      </c>
      <c r="BI297" s="2" t="s">
        <v>74</v>
      </c>
      <c r="BJ297" s="2" t="s">
        <v>74</v>
      </c>
      <c r="BK297" s="2" t="s">
        <v>74</v>
      </c>
      <c r="BL297" s="2" t="s">
        <v>74</v>
      </c>
      <c r="BM297" s="2" t="s">
        <v>74</v>
      </c>
      <c r="BN297" s="2" t="s">
        <v>74</v>
      </c>
      <c r="BO297" s="2" t="s">
        <v>74</v>
      </c>
      <c r="BP297" s="2" t="s">
        <v>74</v>
      </c>
      <c r="BQ297" s="2" t="s">
        <v>74</v>
      </c>
      <c r="BR297" s="2" t="s">
        <v>74</v>
      </c>
      <c r="BS297" s="2" t="s">
        <v>5294</v>
      </c>
      <c r="BT297" s="2" t="str">
        <f>HYPERLINK("https%3A%2F%2Fwww.webofscience.com%2Fwos%2Fwoscc%2Ffull-record%2FWOS:000321964800016","View Full Record in Web of Science")</f>
        <v>View Full Record in Web of Science</v>
      </c>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row>
    <row r="298" spans="1:314" s="2" customFormat="1" x14ac:dyDescent="0.4">
      <c r="A298" s="2" t="s">
        <v>72</v>
      </c>
      <c r="B298" s="2" t="s">
        <v>2008</v>
      </c>
      <c r="C298" s="2" t="s">
        <v>74</v>
      </c>
      <c r="D298" s="2" t="s">
        <v>74</v>
      </c>
      <c r="E298" s="2" t="s">
        <v>74</v>
      </c>
      <c r="F298" s="2" t="s">
        <v>2008</v>
      </c>
      <c r="G298" s="2" t="s">
        <v>74</v>
      </c>
      <c r="H298" s="2" t="s">
        <v>74</v>
      </c>
      <c r="I298" s="2" t="s">
        <v>2009</v>
      </c>
      <c r="J298" s="2" t="s">
        <v>333</v>
      </c>
      <c r="K298" s="2" t="s">
        <v>74</v>
      </c>
      <c r="L298" s="2" t="s">
        <v>74</v>
      </c>
      <c r="M298" s="2" t="s">
        <v>74</v>
      </c>
      <c r="N298" s="2" t="s">
        <v>74</v>
      </c>
      <c r="O298" s="2" t="s">
        <v>74</v>
      </c>
      <c r="P298" s="2" t="s">
        <v>74</v>
      </c>
      <c r="Q298" s="2" t="s">
        <v>74</v>
      </c>
      <c r="R298" s="2" t="s">
        <v>74</v>
      </c>
      <c r="S298" s="2" t="s">
        <v>74</v>
      </c>
      <c r="T298" s="2" t="s">
        <v>74</v>
      </c>
      <c r="U298" s="2" t="s">
        <v>74</v>
      </c>
      <c r="V298" s="5" t="s">
        <v>2010</v>
      </c>
      <c r="W298" s="2" t="s">
        <v>74</v>
      </c>
      <c r="X298" s="2" t="s">
        <v>74</v>
      </c>
      <c r="Y298" s="2" t="s">
        <v>74</v>
      </c>
      <c r="Z298" s="2" t="s">
        <v>74</v>
      </c>
      <c r="AA298" s="2" t="s">
        <v>74</v>
      </c>
      <c r="AB298" s="2" t="s">
        <v>2011</v>
      </c>
      <c r="AC298" s="2" t="s">
        <v>74</v>
      </c>
      <c r="AD298" s="2" t="s">
        <v>74</v>
      </c>
      <c r="AE298" s="2" t="s">
        <v>74</v>
      </c>
      <c r="AF298" s="2" t="s">
        <v>74</v>
      </c>
      <c r="AG298" s="2" t="s">
        <v>74</v>
      </c>
      <c r="AH298" s="2" t="s">
        <v>74</v>
      </c>
      <c r="AI298" s="2" t="s">
        <v>74</v>
      </c>
      <c r="AJ298" s="2" t="s">
        <v>74</v>
      </c>
      <c r="AK298" s="2" t="s">
        <v>74</v>
      </c>
      <c r="AL298" s="2" t="s">
        <v>74</v>
      </c>
      <c r="AM298" s="2" t="s">
        <v>74</v>
      </c>
      <c r="AN298" s="2" t="s">
        <v>74</v>
      </c>
      <c r="AO298" s="2" t="s">
        <v>337</v>
      </c>
      <c r="AP298" s="2" t="s">
        <v>74</v>
      </c>
      <c r="AQ298" s="2" t="s">
        <v>74</v>
      </c>
      <c r="AR298" s="2" t="s">
        <v>74</v>
      </c>
      <c r="AS298" s="2" t="s">
        <v>74</v>
      </c>
      <c r="AT298" s="2" t="s">
        <v>255</v>
      </c>
      <c r="AU298" s="2">
        <v>2002</v>
      </c>
      <c r="AV298" s="2">
        <v>13</v>
      </c>
      <c r="AW298" s="2">
        <v>1</v>
      </c>
      <c r="AX298" s="2" t="s">
        <v>74</v>
      </c>
      <c r="AY298" s="2" t="s">
        <v>74</v>
      </c>
      <c r="AZ298" s="2" t="s">
        <v>74</v>
      </c>
      <c r="BA298" s="2" t="s">
        <v>74</v>
      </c>
      <c r="BB298" s="2">
        <v>59</v>
      </c>
      <c r="BC298" s="2">
        <v>64</v>
      </c>
      <c r="BD298" s="2" t="s">
        <v>74</v>
      </c>
      <c r="BE298" s="2" t="s">
        <v>2012</v>
      </c>
      <c r="BF298" s="2" t="str">
        <f>HYPERLINK("http://dx.doi.org/10.1093/beheco/13.1.59","http://dx.doi.org/10.1093/beheco/13.1.59")</f>
        <v>http://dx.doi.org/10.1093/beheco/13.1.59</v>
      </c>
      <c r="BG298" s="2" t="s">
        <v>74</v>
      </c>
      <c r="BH298" s="2" t="s">
        <v>74</v>
      </c>
      <c r="BI298" s="2" t="s">
        <v>74</v>
      </c>
      <c r="BJ298" s="2" t="s">
        <v>74</v>
      </c>
      <c r="BK298" s="2" t="s">
        <v>74</v>
      </c>
      <c r="BL298" s="2" t="s">
        <v>74</v>
      </c>
      <c r="BM298" s="2" t="s">
        <v>74</v>
      </c>
      <c r="BN298" s="2" t="s">
        <v>74</v>
      </c>
      <c r="BO298" s="2" t="s">
        <v>74</v>
      </c>
      <c r="BP298" s="2" t="s">
        <v>74</v>
      </c>
      <c r="BQ298" s="2" t="s">
        <v>74</v>
      </c>
      <c r="BR298" s="2" t="s">
        <v>74</v>
      </c>
      <c r="BS298" s="2" t="s">
        <v>2013</v>
      </c>
      <c r="BT298" s="2" t="str">
        <f>HYPERLINK("https%3A%2F%2Fwww.webofscience.com%2Fwos%2Fwoscc%2Ffull-record%2FWOS:000173390700008","View Full Record in Web of Science")</f>
        <v>View Full Record in Web of Science</v>
      </c>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row>
    <row r="299" spans="1:314" s="2" customFormat="1" x14ac:dyDescent="0.4">
      <c r="A299" s="2" t="s">
        <v>72</v>
      </c>
      <c r="B299" s="2" t="s">
        <v>6996</v>
      </c>
      <c r="C299" s="2" t="s">
        <v>74</v>
      </c>
      <c r="D299" s="2" t="s">
        <v>74</v>
      </c>
      <c r="E299" s="2" t="s">
        <v>74</v>
      </c>
      <c r="F299" s="2" t="s">
        <v>6997</v>
      </c>
      <c r="G299" s="2" t="s">
        <v>74</v>
      </c>
      <c r="H299" s="2" t="s">
        <v>74</v>
      </c>
      <c r="I299" s="2" t="s">
        <v>6998</v>
      </c>
      <c r="J299" s="2" t="s">
        <v>99</v>
      </c>
      <c r="K299" s="2" t="s">
        <v>74</v>
      </c>
      <c r="L299" s="2" t="s">
        <v>74</v>
      </c>
      <c r="M299" s="2" t="s">
        <v>74</v>
      </c>
      <c r="N299" s="2" t="s">
        <v>74</v>
      </c>
      <c r="O299" s="2" t="s">
        <v>74</v>
      </c>
      <c r="P299" s="2" t="s">
        <v>74</v>
      </c>
      <c r="Q299" s="2" t="s">
        <v>74</v>
      </c>
      <c r="R299" s="2" t="s">
        <v>74</v>
      </c>
      <c r="S299" s="2" t="s">
        <v>74</v>
      </c>
      <c r="T299" s="2" t="s">
        <v>74</v>
      </c>
      <c r="U299" s="2" t="s">
        <v>74</v>
      </c>
      <c r="V299" s="5" t="s">
        <v>6999</v>
      </c>
      <c r="W299" s="2" t="s">
        <v>74</v>
      </c>
      <c r="X299" s="2" t="s">
        <v>74</v>
      </c>
      <c r="Y299" s="2" t="s">
        <v>74</v>
      </c>
      <c r="Z299" s="2" t="s">
        <v>74</v>
      </c>
      <c r="AA299" s="2" t="s">
        <v>74</v>
      </c>
      <c r="AB299" s="2" t="s">
        <v>74</v>
      </c>
      <c r="AC299" s="2" t="s">
        <v>74</v>
      </c>
      <c r="AD299" s="2" t="s">
        <v>74</v>
      </c>
      <c r="AE299" s="2" t="s">
        <v>74</v>
      </c>
      <c r="AF299" s="2" t="s">
        <v>74</v>
      </c>
      <c r="AG299" s="2" t="s">
        <v>74</v>
      </c>
      <c r="AH299" s="2" t="s">
        <v>74</v>
      </c>
      <c r="AI299" s="2" t="s">
        <v>74</v>
      </c>
      <c r="AJ299" s="2" t="s">
        <v>74</v>
      </c>
      <c r="AK299" s="2" t="s">
        <v>74</v>
      </c>
      <c r="AL299" s="2" t="s">
        <v>74</v>
      </c>
      <c r="AM299" s="2" t="s">
        <v>74</v>
      </c>
      <c r="AN299" s="2" t="s">
        <v>74</v>
      </c>
      <c r="AO299" s="2" t="s">
        <v>101</v>
      </c>
      <c r="AP299" s="2" t="s">
        <v>1218</v>
      </c>
      <c r="AQ299" s="2" t="s">
        <v>74</v>
      </c>
      <c r="AR299" s="2" t="s">
        <v>74</v>
      </c>
      <c r="AS299" s="2" t="s">
        <v>74</v>
      </c>
      <c r="AT299" s="2" t="s">
        <v>102</v>
      </c>
      <c r="AU299" s="2">
        <v>2009</v>
      </c>
      <c r="AV299" s="2">
        <v>121</v>
      </c>
      <c r="AW299" s="2">
        <v>2</v>
      </c>
      <c r="AX299" s="2" t="s">
        <v>74</v>
      </c>
      <c r="AY299" s="2" t="s">
        <v>74</v>
      </c>
      <c r="AZ299" s="2" t="s">
        <v>74</v>
      </c>
      <c r="BA299" s="2" t="s">
        <v>74</v>
      </c>
      <c r="BB299" s="2">
        <v>359</v>
      </c>
      <c r="BC299" s="2">
        <v>365</v>
      </c>
      <c r="BD299" s="2" t="s">
        <v>74</v>
      </c>
      <c r="BE299" s="2" t="s">
        <v>7000</v>
      </c>
      <c r="BF299" s="2" t="str">
        <f>HYPERLINK("http://dx.doi.org/10.1676/07-138.1","http://dx.doi.org/10.1676/07-138.1")</f>
        <v>http://dx.doi.org/10.1676/07-138.1</v>
      </c>
      <c r="BG299" s="2" t="s">
        <v>74</v>
      </c>
      <c r="BH299" s="2" t="s">
        <v>74</v>
      </c>
      <c r="BI299" s="2" t="s">
        <v>74</v>
      </c>
      <c r="BJ299" s="2" t="s">
        <v>74</v>
      </c>
      <c r="BK299" s="2" t="s">
        <v>74</v>
      </c>
      <c r="BL299" s="2" t="s">
        <v>74</v>
      </c>
      <c r="BM299" s="2" t="s">
        <v>74</v>
      </c>
      <c r="BN299" s="2" t="s">
        <v>74</v>
      </c>
      <c r="BO299" s="2" t="s">
        <v>74</v>
      </c>
      <c r="BP299" s="2" t="s">
        <v>74</v>
      </c>
      <c r="BQ299" s="2" t="s">
        <v>74</v>
      </c>
      <c r="BR299" s="2" t="s">
        <v>74</v>
      </c>
      <c r="BS299" s="2" t="s">
        <v>7001</v>
      </c>
      <c r="BT299" s="2" t="str">
        <f>HYPERLINK("https%3A%2F%2Fwww.webofscience.com%2Fwos%2Fwoscc%2Ffull-record%2FWOS:000276803600015","View Full Record in Web of Science")</f>
        <v>View Full Record in Web of Science</v>
      </c>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row>
    <row r="300" spans="1:314" s="2" customFormat="1" x14ac:dyDescent="0.4">
      <c r="A300" s="2" t="s">
        <v>72</v>
      </c>
      <c r="B300" s="2" t="s">
        <v>8545</v>
      </c>
      <c r="C300" s="2" t="s">
        <v>74</v>
      </c>
      <c r="D300" s="2" t="s">
        <v>74</v>
      </c>
      <c r="E300" s="2" t="s">
        <v>74</v>
      </c>
      <c r="F300" s="2" t="s">
        <v>8545</v>
      </c>
      <c r="G300" s="2" t="s">
        <v>74</v>
      </c>
      <c r="H300" s="2" t="s">
        <v>74</v>
      </c>
      <c r="I300" s="2" t="s">
        <v>8546</v>
      </c>
      <c r="J300" s="2" t="s">
        <v>1126</v>
      </c>
      <c r="K300" s="2" t="s">
        <v>74</v>
      </c>
      <c r="L300" s="2" t="s">
        <v>74</v>
      </c>
      <c r="M300" s="2" t="s">
        <v>74</v>
      </c>
      <c r="N300" s="2" t="s">
        <v>74</v>
      </c>
      <c r="O300" s="2" t="s">
        <v>74</v>
      </c>
      <c r="P300" s="2" t="s">
        <v>74</v>
      </c>
      <c r="Q300" s="2" t="s">
        <v>74</v>
      </c>
      <c r="R300" s="2" t="s">
        <v>74</v>
      </c>
      <c r="S300" s="2" t="s">
        <v>74</v>
      </c>
      <c r="T300" s="2" t="s">
        <v>74</v>
      </c>
      <c r="U300" s="2" t="s">
        <v>74</v>
      </c>
      <c r="V300" s="5" t="s">
        <v>8547</v>
      </c>
      <c r="W300" s="2" t="s">
        <v>74</v>
      </c>
      <c r="X300" s="2" t="s">
        <v>74</v>
      </c>
      <c r="Y300" s="2" t="s">
        <v>74</v>
      </c>
      <c r="Z300" s="2" t="s">
        <v>74</v>
      </c>
      <c r="AA300" s="2" t="s">
        <v>74</v>
      </c>
      <c r="AB300" s="2" t="s">
        <v>74</v>
      </c>
      <c r="AC300" s="2" t="s">
        <v>74</v>
      </c>
      <c r="AD300" s="2" t="s">
        <v>74</v>
      </c>
      <c r="AE300" s="2" t="s">
        <v>74</v>
      </c>
      <c r="AF300" s="2" t="s">
        <v>74</v>
      </c>
      <c r="AG300" s="2" t="s">
        <v>74</v>
      </c>
      <c r="AH300" s="2" t="s">
        <v>74</v>
      </c>
      <c r="AI300" s="2" t="s">
        <v>74</v>
      </c>
      <c r="AJ300" s="2" t="s">
        <v>74</v>
      </c>
      <c r="AK300" s="2" t="s">
        <v>74</v>
      </c>
      <c r="AL300" s="2" t="s">
        <v>74</v>
      </c>
      <c r="AM300" s="2" t="s">
        <v>74</v>
      </c>
      <c r="AN300" s="2" t="s">
        <v>74</v>
      </c>
      <c r="AO300" s="2" t="s">
        <v>1128</v>
      </c>
      <c r="AP300" s="2" t="s">
        <v>1129</v>
      </c>
      <c r="AQ300" s="2" t="s">
        <v>74</v>
      </c>
      <c r="AR300" s="2" t="s">
        <v>74</v>
      </c>
      <c r="AS300" s="2" t="s">
        <v>74</v>
      </c>
      <c r="AT300" s="2" t="s">
        <v>8548</v>
      </c>
      <c r="AU300" s="2">
        <v>2005</v>
      </c>
      <c r="AV300" s="2" t="s">
        <v>74</v>
      </c>
      <c r="AW300" s="2">
        <v>3</v>
      </c>
      <c r="AX300" s="2" t="s">
        <v>74</v>
      </c>
      <c r="AY300" s="2" t="s">
        <v>74</v>
      </c>
      <c r="AZ300" s="2" t="s">
        <v>74</v>
      </c>
      <c r="BA300" s="2" t="s">
        <v>74</v>
      </c>
      <c r="BB300" s="2">
        <v>597</v>
      </c>
      <c r="BC300" s="2">
        <v>608</v>
      </c>
      <c r="BD300" s="2" t="s">
        <v>74</v>
      </c>
      <c r="BE300" s="2" t="s">
        <v>74</v>
      </c>
      <c r="BF300" s="2" t="s">
        <v>74</v>
      </c>
      <c r="BG300" s="2" t="s">
        <v>74</v>
      </c>
      <c r="BH300" s="2" t="s">
        <v>74</v>
      </c>
      <c r="BI300" s="2" t="s">
        <v>74</v>
      </c>
      <c r="BJ300" s="2" t="s">
        <v>74</v>
      </c>
      <c r="BK300" s="2" t="s">
        <v>74</v>
      </c>
      <c r="BL300" s="2" t="s">
        <v>74</v>
      </c>
      <c r="BM300" s="2" t="s">
        <v>74</v>
      </c>
      <c r="BN300" s="2" t="s">
        <v>74</v>
      </c>
      <c r="BO300" s="2" t="s">
        <v>74</v>
      </c>
      <c r="BP300" s="2" t="s">
        <v>74</v>
      </c>
      <c r="BQ300" s="2" t="s">
        <v>74</v>
      </c>
      <c r="BR300" s="2" t="s">
        <v>74</v>
      </c>
      <c r="BS300" s="2" t="s">
        <v>8549</v>
      </c>
      <c r="BT300" s="2" t="str">
        <f>HYPERLINK("https%3A%2F%2Fwww.webofscience.com%2Fwos%2Fwoscc%2Ffull-record%2FWOS:000231035500014","View Full Record in Web of Science")</f>
        <v>View Full Record in Web of Science</v>
      </c>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row>
    <row r="301" spans="1:314" s="2" customFormat="1" x14ac:dyDescent="0.4">
      <c r="A301" s="2" t="s">
        <v>72</v>
      </c>
      <c r="B301" s="2" t="s">
        <v>6039</v>
      </c>
      <c r="C301" s="2" t="s">
        <v>74</v>
      </c>
      <c r="D301" s="2" t="s">
        <v>74</v>
      </c>
      <c r="E301" s="2" t="s">
        <v>74</v>
      </c>
      <c r="F301" s="2" t="s">
        <v>6040</v>
      </c>
      <c r="G301" s="2" t="s">
        <v>74</v>
      </c>
      <c r="H301" s="2" t="s">
        <v>74</v>
      </c>
      <c r="I301" s="2" t="s">
        <v>6041</v>
      </c>
      <c r="J301" s="2" t="s">
        <v>6042</v>
      </c>
      <c r="K301" s="2" t="s">
        <v>74</v>
      </c>
      <c r="L301" s="2" t="s">
        <v>74</v>
      </c>
      <c r="M301" s="2" t="s">
        <v>74</v>
      </c>
      <c r="N301" s="2" t="s">
        <v>74</v>
      </c>
      <c r="O301" s="2" t="s">
        <v>74</v>
      </c>
      <c r="P301" s="2" t="s">
        <v>74</v>
      </c>
      <c r="Q301" s="2" t="s">
        <v>74</v>
      </c>
      <c r="R301" s="2" t="s">
        <v>74</v>
      </c>
      <c r="S301" s="2" t="s">
        <v>74</v>
      </c>
      <c r="T301" s="2" t="s">
        <v>74</v>
      </c>
      <c r="U301" s="2" t="s">
        <v>74</v>
      </c>
      <c r="V301" s="5" t="s">
        <v>6043</v>
      </c>
      <c r="W301" s="2" t="s">
        <v>74</v>
      </c>
      <c r="X301" s="2" t="s">
        <v>74</v>
      </c>
      <c r="Y301" s="2" t="s">
        <v>74</v>
      </c>
      <c r="Z301" s="2" t="s">
        <v>74</v>
      </c>
      <c r="AA301" s="2" t="s">
        <v>74</v>
      </c>
      <c r="AB301" s="2" t="s">
        <v>74</v>
      </c>
      <c r="AC301" s="2" t="s">
        <v>74</v>
      </c>
      <c r="AD301" s="2" t="s">
        <v>74</v>
      </c>
      <c r="AE301" s="2" t="s">
        <v>74</v>
      </c>
      <c r="AF301" s="2" t="s">
        <v>74</v>
      </c>
      <c r="AG301" s="2" t="s">
        <v>74</v>
      </c>
      <c r="AH301" s="2" t="s">
        <v>74</v>
      </c>
      <c r="AI301" s="2" t="s">
        <v>74</v>
      </c>
      <c r="AJ301" s="2" t="s">
        <v>74</v>
      </c>
      <c r="AK301" s="2" t="s">
        <v>74</v>
      </c>
      <c r="AL301" s="2" t="s">
        <v>74</v>
      </c>
      <c r="AM301" s="2" t="s">
        <v>74</v>
      </c>
      <c r="AN301" s="2" t="s">
        <v>74</v>
      </c>
      <c r="AO301" s="2" t="s">
        <v>6044</v>
      </c>
      <c r="AP301" s="2" t="s">
        <v>6045</v>
      </c>
      <c r="AQ301" s="2" t="s">
        <v>74</v>
      </c>
      <c r="AR301" s="2" t="s">
        <v>74</v>
      </c>
      <c r="AS301" s="2" t="s">
        <v>74</v>
      </c>
      <c r="AT301" s="2" t="s">
        <v>1349</v>
      </c>
      <c r="AU301" s="2">
        <v>2008</v>
      </c>
      <c r="AV301" s="2" t="s">
        <v>6046</v>
      </c>
      <c r="AW301" s="2">
        <v>9</v>
      </c>
      <c r="AX301" s="2" t="s">
        <v>74</v>
      </c>
      <c r="AY301" s="2" t="s">
        <v>74</v>
      </c>
      <c r="AZ301" s="2" t="s">
        <v>74</v>
      </c>
      <c r="BA301" s="2" t="s">
        <v>74</v>
      </c>
      <c r="BB301" s="2">
        <v>505</v>
      </c>
      <c r="BC301" s="2">
        <v>514</v>
      </c>
      <c r="BD301" s="2" t="s">
        <v>74</v>
      </c>
      <c r="BE301" s="2" t="s">
        <v>6047</v>
      </c>
      <c r="BF301" s="2" t="str">
        <f>HYPERLINK("http://dx.doi.org/10.1002/jez.481","http://dx.doi.org/10.1002/jez.481")</f>
        <v>http://dx.doi.org/10.1002/jez.481</v>
      </c>
      <c r="BG301" s="2" t="s">
        <v>74</v>
      </c>
      <c r="BH301" s="2" t="s">
        <v>74</v>
      </c>
      <c r="BI301" s="2" t="s">
        <v>74</v>
      </c>
      <c r="BJ301" s="2" t="s">
        <v>74</v>
      </c>
      <c r="BK301" s="2" t="s">
        <v>74</v>
      </c>
      <c r="BL301" s="2" t="s">
        <v>74</v>
      </c>
      <c r="BM301" s="2" t="s">
        <v>74</v>
      </c>
      <c r="BN301" s="2">
        <v>18661470</v>
      </c>
      <c r="BO301" s="2" t="s">
        <v>74</v>
      </c>
      <c r="BP301" s="2" t="s">
        <v>74</v>
      </c>
      <c r="BQ301" s="2" t="s">
        <v>74</v>
      </c>
      <c r="BR301" s="2" t="s">
        <v>74</v>
      </c>
      <c r="BS301" s="2" t="s">
        <v>6048</v>
      </c>
      <c r="BT301" s="2" t="str">
        <f>HYPERLINK("https%3A%2F%2Fwww.webofscience.com%2Fwos%2Fwoscc%2Ffull-record%2FWOS:000260626200001","View Full Record in Web of Science")</f>
        <v>View Full Record in Web of Science</v>
      </c>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row>
    <row r="302" spans="1:314" s="2" customFormat="1" x14ac:dyDescent="0.4">
      <c r="A302" s="2" t="s">
        <v>72</v>
      </c>
      <c r="B302" s="2" t="s">
        <v>7252</v>
      </c>
      <c r="C302" s="2" t="s">
        <v>74</v>
      </c>
      <c r="D302" s="2" t="s">
        <v>74</v>
      </c>
      <c r="E302" s="2" t="s">
        <v>74</v>
      </c>
      <c r="F302" s="2" t="s">
        <v>7252</v>
      </c>
      <c r="G302" s="2" t="s">
        <v>74</v>
      </c>
      <c r="H302" s="2" t="s">
        <v>74</v>
      </c>
      <c r="I302" s="2" t="s">
        <v>7253</v>
      </c>
      <c r="J302" s="2" t="s">
        <v>2144</v>
      </c>
      <c r="K302" s="2" t="s">
        <v>74</v>
      </c>
      <c r="L302" s="2" t="s">
        <v>74</v>
      </c>
      <c r="M302" s="2" t="s">
        <v>74</v>
      </c>
      <c r="N302" s="2" t="s">
        <v>74</v>
      </c>
      <c r="O302" s="2" t="s">
        <v>74</v>
      </c>
      <c r="P302" s="2" t="s">
        <v>74</v>
      </c>
      <c r="Q302" s="2" t="s">
        <v>74</v>
      </c>
      <c r="R302" s="2" t="s">
        <v>74</v>
      </c>
      <c r="S302" s="2" t="s">
        <v>74</v>
      </c>
      <c r="T302" s="2" t="s">
        <v>74</v>
      </c>
      <c r="U302" s="2" t="s">
        <v>74</v>
      </c>
      <c r="V302" s="5" t="s">
        <v>7254</v>
      </c>
      <c r="W302" s="2" t="s">
        <v>74</v>
      </c>
      <c r="X302" s="2" t="s">
        <v>74</v>
      </c>
      <c r="Y302" s="2" t="s">
        <v>74</v>
      </c>
      <c r="Z302" s="2" t="s">
        <v>74</v>
      </c>
      <c r="AA302" s="2" t="s">
        <v>74</v>
      </c>
      <c r="AB302" s="2" t="s">
        <v>74</v>
      </c>
      <c r="AC302" s="2" t="s">
        <v>74</v>
      </c>
      <c r="AD302" s="2" t="s">
        <v>74</v>
      </c>
      <c r="AE302" s="2" t="s">
        <v>74</v>
      </c>
      <c r="AF302" s="2" t="s">
        <v>74</v>
      </c>
      <c r="AG302" s="2" t="s">
        <v>74</v>
      </c>
      <c r="AH302" s="2" t="s">
        <v>74</v>
      </c>
      <c r="AI302" s="2" t="s">
        <v>74</v>
      </c>
      <c r="AJ302" s="2" t="s">
        <v>74</v>
      </c>
      <c r="AK302" s="2" t="s">
        <v>74</v>
      </c>
      <c r="AL302" s="2" t="s">
        <v>74</v>
      </c>
      <c r="AM302" s="2" t="s">
        <v>74</v>
      </c>
      <c r="AN302" s="2" t="s">
        <v>74</v>
      </c>
      <c r="AO302" s="2" t="s">
        <v>2146</v>
      </c>
      <c r="AP302" s="2" t="s">
        <v>2147</v>
      </c>
      <c r="AQ302" s="2" t="s">
        <v>74</v>
      </c>
      <c r="AR302" s="2" t="s">
        <v>74</v>
      </c>
      <c r="AS302" s="2" t="s">
        <v>74</v>
      </c>
      <c r="AT302" s="2" t="s">
        <v>74</v>
      </c>
      <c r="AU302" s="2">
        <v>1977</v>
      </c>
      <c r="AV302" s="2">
        <v>4</v>
      </c>
      <c r="AW302" s="2">
        <v>4</v>
      </c>
      <c r="AX302" s="2" t="s">
        <v>74</v>
      </c>
      <c r="AY302" s="2" t="s">
        <v>74</v>
      </c>
      <c r="AZ302" s="2" t="s">
        <v>74</v>
      </c>
      <c r="BA302" s="2" t="s">
        <v>74</v>
      </c>
      <c r="BB302" s="2">
        <v>413</v>
      </c>
      <c r="BC302" s="2">
        <v>433</v>
      </c>
      <c r="BD302" s="2" t="s">
        <v>74</v>
      </c>
      <c r="BE302" s="2" t="s">
        <v>7255</v>
      </c>
      <c r="BF302" s="2" t="str">
        <f>HYPERLINK("http://dx.doi.org/10.1080/03014223.1977.9517966","http://dx.doi.org/10.1080/03014223.1977.9517966")</f>
        <v>http://dx.doi.org/10.1080/03014223.1977.9517966</v>
      </c>
      <c r="BG302" s="2" t="s">
        <v>74</v>
      </c>
      <c r="BH302" s="2" t="s">
        <v>74</v>
      </c>
      <c r="BI302" s="2" t="s">
        <v>74</v>
      </c>
      <c r="BJ302" s="2" t="s">
        <v>74</v>
      </c>
      <c r="BK302" s="2" t="s">
        <v>74</v>
      </c>
      <c r="BL302" s="2" t="s">
        <v>74</v>
      </c>
      <c r="BM302" s="2" t="s">
        <v>74</v>
      </c>
      <c r="BN302" s="2" t="s">
        <v>74</v>
      </c>
      <c r="BO302" s="2" t="s">
        <v>74</v>
      </c>
      <c r="BP302" s="2" t="s">
        <v>74</v>
      </c>
      <c r="BQ302" s="2" t="s">
        <v>74</v>
      </c>
      <c r="BR302" s="2" t="s">
        <v>74</v>
      </c>
      <c r="BS302" s="2" t="s">
        <v>7256</v>
      </c>
      <c r="BT302" s="2" t="str">
        <f>HYPERLINK("https%3A%2F%2Fwww.webofscience.com%2Fwos%2Fwoscc%2Ffull-record%2FWOS:A1977EK27900008","View Full Record in Web of Science")</f>
        <v>View Full Record in Web of Science</v>
      </c>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row>
    <row r="303" spans="1:314" s="2" customFormat="1" x14ac:dyDescent="0.4">
      <c r="A303" s="2" t="s">
        <v>72</v>
      </c>
      <c r="B303" s="2" t="s">
        <v>5342</v>
      </c>
      <c r="C303" s="2" t="s">
        <v>74</v>
      </c>
      <c r="D303" s="2" t="s">
        <v>74</v>
      </c>
      <c r="E303" s="2" t="s">
        <v>74</v>
      </c>
      <c r="F303" s="2" t="s">
        <v>5342</v>
      </c>
      <c r="G303" s="2" t="s">
        <v>74</v>
      </c>
      <c r="H303" s="2" t="s">
        <v>74</v>
      </c>
      <c r="I303" s="2" t="s">
        <v>5343</v>
      </c>
      <c r="J303" s="2" t="s">
        <v>1995</v>
      </c>
      <c r="K303" s="2" t="s">
        <v>74</v>
      </c>
      <c r="L303" s="2" t="s">
        <v>74</v>
      </c>
      <c r="M303" s="2" t="s">
        <v>74</v>
      </c>
      <c r="N303" s="2" t="s">
        <v>74</v>
      </c>
      <c r="O303" s="2" t="s">
        <v>74</v>
      </c>
      <c r="P303" s="2" t="s">
        <v>74</v>
      </c>
      <c r="Q303" s="2" t="s">
        <v>74</v>
      </c>
      <c r="R303" s="2" t="s">
        <v>74</v>
      </c>
      <c r="S303" s="2" t="s">
        <v>74</v>
      </c>
      <c r="T303" s="2" t="s">
        <v>74</v>
      </c>
      <c r="U303" s="2" t="s">
        <v>74</v>
      </c>
      <c r="V303" s="5" t="s">
        <v>5344</v>
      </c>
      <c r="W303" s="2" t="s">
        <v>74</v>
      </c>
      <c r="X303" s="2" t="s">
        <v>74</v>
      </c>
      <c r="Y303" s="2" t="s">
        <v>74</v>
      </c>
      <c r="Z303" s="2" t="s">
        <v>74</v>
      </c>
      <c r="AA303" s="2" t="s">
        <v>74</v>
      </c>
      <c r="AB303" s="2" t="s">
        <v>74</v>
      </c>
      <c r="AC303" s="2" t="s">
        <v>74</v>
      </c>
      <c r="AD303" s="2" t="s">
        <v>74</v>
      </c>
      <c r="AE303" s="2" t="s">
        <v>74</v>
      </c>
      <c r="AF303" s="2" t="s">
        <v>74</v>
      </c>
      <c r="AG303" s="2" t="s">
        <v>74</v>
      </c>
      <c r="AH303" s="2" t="s">
        <v>74</v>
      </c>
      <c r="AI303" s="2" t="s">
        <v>74</v>
      </c>
      <c r="AJ303" s="2" t="s">
        <v>74</v>
      </c>
      <c r="AK303" s="2" t="s">
        <v>74</v>
      </c>
      <c r="AL303" s="2" t="s">
        <v>74</v>
      </c>
      <c r="AM303" s="2" t="s">
        <v>74</v>
      </c>
      <c r="AN303" s="2" t="s">
        <v>74</v>
      </c>
      <c r="AO303" s="2" t="s">
        <v>1997</v>
      </c>
      <c r="AP303" s="2" t="s">
        <v>74</v>
      </c>
      <c r="AQ303" s="2" t="s">
        <v>74</v>
      </c>
      <c r="AR303" s="2" t="s">
        <v>74</v>
      </c>
      <c r="AS303" s="2" t="s">
        <v>74</v>
      </c>
      <c r="AT303" s="2" t="s">
        <v>5345</v>
      </c>
      <c r="AU303" s="2">
        <v>2002</v>
      </c>
      <c r="AV303" s="2">
        <v>73</v>
      </c>
      <c r="AW303" s="2">
        <v>1</v>
      </c>
      <c r="AX303" s="2" t="s">
        <v>74</v>
      </c>
      <c r="AY303" s="2" t="s">
        <v>74</v>
      </c>
      <c r="AZ303" s="2" t="s">
        <v>74</v>
      </c>
      <c r="BA303" s="2" t="s">
        <v>74</v>
      </c>
      <c r="BB303" s="2">
        <v>70</v>
      </c>
      <c r="BC303" s="2">
        <v>73</v>
      </c>
      <c r="BD303" s="2" t="s">
        <v>74</v>
      </c>
      <c r="BE303" s="2" t="s">
        <v>5346</v>
      </c>
      <c r="BF303" s="2" t="str">
        <f>HYPERLINK("http://dx.doi.org/10.1648/0273-8570-73.1.70","http://dx.doi.org/10.1648/0273-8570-73.1.70")</f>
        <v>http://dx.doi.org/10.1648/0273-8570-73.1.70</v>
      </c>
      <c r="BG303" s="2" t="s">
        <v>74</v>
      </c>
      <c r="BH303" s="2" t="s">
        <v>74</v>
      </c>
      <c r="BI303" s="2" t="s">
        <v>74</v>
      </c>
      <c r="BJ303" s="2" t="s">
        <v>74</v>
      </c>
      <c r="BK303" s="2" t="s">
        <v>74</v>
      </c>
      <c r="BL303" s="2" t="s">
        <v>74</v>
      </c>
      <c r="BM303" s="2" t="s">
        <v>74</v>
      </c>
      <c r="BN303" s="2" t="s">
        <v>74</v>
      </c>
      <c r="BO303" s="2" t="s">
        <v>74</v>
      </c>
      <c r="BP303" s="2" t="s">
        <v>74</v>
      </c>
      <c r="BQ303" s="2" t="s">
        <v>74</v>
      </c>
      <c r="BR303" s="2" t="s">
        <v>74</v>
      </c>
      <c r="BS303" s="2" t="s">
        <v>5347</v>
      </c>
      <c r="BT303" s="2" t="str">
        <f>HYPERLINK("https%3A%2F%2Fwww.webofscience.com%2Fwos%2Fwoscc%2Ffull-record%2FWOS:000174001500012","View Full Record in Web of Science")</f>
        <v>View Full Record in Web of Science</v>
      </c>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row>
    <row r="304" spans="1:314" s="2" customFormat="1" x14ac:dyDescent="0.4">
      <c r="A304" s="2" t="s">
        <v>72</v>
      </c>
      <c r="B304" s="2" t="s">
        <v>2570</v>
      </c>
      <c r="C304" s="2" t="s">
        <v>74</v>
      </c>
      <c r="D304" s="2" t="s">
        <v>74</v>
      </c>
      <c r="E304" s="2" t="s">
        <v>74</v>
      </c>
      <c r="F304" s="2" t="s">
        <v>2570</v>
      </c>
      <c r="G304" s="2" t="s">
        <v>74</v>
      </c>
      <c r="H304" s="2" t="s">
        <v>74</v>
      </c>
      <c r="I304" s="2" t="s">
        <v>2571</v>
      </c>
      <c r="J304" s="2" t="s">
        <v>610</v>
      </c>
      <c r="K304" s="2" t="s">
        <v>74</v>
      </c>
      <c r="L304" s="2" t="s">
        <v>74</v>
      </c>
      <c r="M304" s="2" t="s">
        <v>74</v>
      </c>
      <c r="N304" s="2" t="s">
        <v>74</v>
      </c>
      <c r="O304" s="2" t="s">
        <v>74</v>
      </c>
      <c r="P304" s="2" t="s">
        <v>74</v>
      </c>
      <c r="Q304" s="2" t="s">
        <v>74</v>
      </c>
      <c r="R304" s="2" t="s">
        <v>74</v>
      </c>
      <c r="S304" s="2" t="s">
        <v>74</v>
      </c>
      <c r="T304" s="2" t="s">
        <v>74</v>
      </c>
      <c r="U304" s="2" t="s">
        <v>74</v>
      </c>
      <c r="V304" s="5" t="s">
        <v>2572</v>
      </c>
      <c r="W304" s="2" t="s">
        <v>74</v>
      </c>
      <c r="X304" s="2" t="s">
        <v>74</v>
      </c>
      <c r="Y304" s="2" t="s">
        <v>74</v>
      </c>
      <c r="Z304" s="2" t="s">
        <v>74</v>
      </c>
      <c r="AA304" s="2" t="s">
        <v>74</v>
      </c>
      <c r="AB304" s="2" t="s">
        <v>74</v>
      </c>
      <c r="AC304" s="2" t="s">
        <v>74</v>
      </c>
      <c r="AD304" s="2" t="s">
        <v>74</v>
      </c>
      <c r="AE304" s="2" t="s">
        <v>74</v>
      </c>
      <c r="AF304" s="2" t="s">
        <v>74</v>
      </c>
      <c r="AG304" s="2" t="s">
        <v>74</v>
      </c>
      <c r="AH304" s="2" t="s">
        <v>74</v>
      </c>
      <c r="AI304" s="2" t="s">
        <v>74</v>
      </c>
      <c r="AJ304" s="2" t="s">
        <v>74</v>
      </c>
      <c r="AK304" s="2" t="s">
        <v>74</v>
      </c>
      <c r="AL304" s="2" t="s">
        <v>74</v>
      </c>
      <c r="AM304" s="2" t="s">
        <v>74</v>
      </c>
      <c r="AN304" s="2" t="s">
        <v>74</v>
      </c>
      <c r="AO304" s="2" t="s">
        <v>614</v>
      </c>
      <c r="AP304" s="2" t="s">
        <v>74</v>
      </c>
      <c r="AQ304" s="2" t="s">
        <v>74</v>
      </c>
      <c r="AR304" s="2" t="s">
        <v>74</v>
      </c>
      <c r="AS304" s="2" t="s">
        <v>74</v>
      </c>
      <c r="AT304" s="2" t="s">
        <v>123</v>
      </c>
      <c r="AU304" s="2">
        <v>2005</v>
      </c>
      <c r="AV304" s="2">
        <v>111</v>
      </c>
      <c r="AW304" s="2">
        <v>3</v>
      </c>
      <c r="AX304" s="2" t="s">
        <v>74</v>
      </c>
      <c r="AY304" s="2" t="s">
        <v>74</v>
      </c>
      <c r="AZ304" s="2" t="s">
        <v>74</v>
      </c>
      <c r="BA304" s="2" t="s">
        <v>74</v>
      </c>
      <c r="BB304" s="2">
        <v>287</v>
      </c>
      <c r="BC304" s="2">
        <v>300</v>
      </c>
      <c r="BD304" s="2" t="s">
        <v>74</v>
      </c>
      <c r="BE304" s="2" t="s">
        <v>2573</v>
      </c>
      <c r="BF304" s="2" t="str">
        <f>HYPERLINK("http://dx.doi.org/10.1111/j.1439-0310.2004.01062.x","http://dx.doi.org/10.1111/j.1439-0310.2004.01062.x")</f>
        <v>http://dx.doi.org/10.1111/j.1439-0310.2004.01062.x</v>
      </c>
      <c r="BG304" s="2" t="s">
        <v>74</v>
      </c>
      <c r="BH304" s="2" t="s">
        <v>74</v>
      </c>
      <c r="BI304" s="2" t="s">
        <v>74</v>
      </c>
      <c r="BJ304" s="2" t="s">
        <v>74</v>
      </c>
      <c r="BK304" s="2" t="s">
        <v>74</v>
      </c>
      <c r="BL304" s="2" t="s">
        <v>74</v>
      </c>
      <c r="BM304" s="2" t="s">
        <v>74</v>
      </c>
      <c r="BN304" s="2" t="s">
        <v>74</v>
      </c>
      <c r="BO304" s="2" t="s">
        <v>74</v>
      </c>
      <c r="BP304" s="2" t="s">
        <v>74</v>
      </c>
      <c r="BQ304" s="2" t="s">
        <v>74</v>
      </c>
      <c r="BR304" s="2" t="s">
        <v>74</v>
      </c>
      <c r="BS304" s="2" t="s">
        <v>2574</v>
      </c>
      <c r="BT304" s="2" t="str">
        <f>HYPERLINK("https%3A%2F%2Fwww.webofscience.com%2Fwos%2Fwoscc%2Ffull-record%2FWOS:000227192500004","View Full Record in Web of Science")</f>
        <v>View Full Record in Web of Science</v>
      </c>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row>
    <row r="305" spans="1:314" s="2" customFormat="1" x14ac:dyDescent="0.4">
      <c r="A305" s="2" t="s">
        <v>72</v>
      </c>
      <c r="B305" s="2" t="s">
        <v>7556</v>
      </c>
      <c r="C305" s="2" t="s">
        <v>74</v>
      </c>
      <c r="D305" s="2" t="s">
        <v>74</v>
      </c>
      <c r="E305" s="2" t="s">
        <v>74</v>
      </c>
      <c r="F305" s="2" t="s">
        <v>7557</v>
      </c>
      <c r="G305" s="2" t="s">
        <v>74</v>
      </c>
      <c r="H305" s="2" t="s">
        <v>74</v>
      </c>
      <c r="I305" s="2" t="s">
        <v>7558</v>
      </c>
      <c r="J305" s="2" t="s">
        <v>7559</v>
      </c>
      <c r="K305" s="2" t="s">
        <v>74</v>
      </c>
      <c r="L305" s="2" t="s">
        <v>74</v>
      </c>
      <c r="M305" s="2" t="s">
        <v>74</v>
      </c>
      <c r="N305" s="2" t="s">
        <v>74</v>
      </c>
      <c r="O305" s="2" t="s">
        <v>74</v>
      </c>
      <c r="P305" s="2" t="s">
        <v>74</v>
      </c>
      <c r="Q305" s="2" t="s">
        <v>74</v>
      </c>
      <c r="R305" s="2" t="s">
        <v>74</v>
      </c>
      <c r="S305" s="2" t="s">
        <v>74</v>
      </c>
      <c r="T305" s="2" t="s">
        <v>74</v>
      </c>
      <c r="U305" s="2" t="s">
        <v>74</v>
      </c>
      <c r="V305" s="5" t="s">
        <v>7560</v>
      </c>
      <c r="W305" s="2" t="s">
        <v>74</v>
      </c>
      <c r="X305" s="2" t="s">
        <v>74</v>
      </c>
      <c r="Y305" s="2" t="s">
        <v>74</v>
      </c>
      <c r="Z305" s="2" t="s">
        <v>74</v>
      </c>
      <c r="AA305" s="2" t="s">
        <v>7561</v>
      </c>
      <c r="AB305" s="2" t="s">
        <v>7562</v>
      </c>
      <c r="AC305" s="2" t="s">
        <v>74</v>
      </c>
      <c r="AD305" s="2" t="s">
        <v>74</v>
      </c>
      <c r="AE305" s="2" t="s">
        <v>74</v>
      </c>
      <c r="AF305" s="2" t="s">
        <v>74</v>
      </c>
      <c r="AG305" s="2" t="s">
        <v>74</v>
      </c>
      <c r="AH305" s="2" t="s">
        <v>74</v>
      </c>
      <c r="AI305" s="2" t="s">
        <v>74</v>
      </c>
      <c r="AJ305" s="2" t="s">
        <v>74</v>
      </c>
      <c r="AK305" s="2" t="s">
        <v>74</v>
      </c>
      <c r="AL305" s="2" t="s">
        <v>74</v>
      </c>
      <c r="AM305" s="2" t="s">
        <v>74</v>
      </c>
      <c r="AN305" s="2" t="s">
        <v>74</v>
      </c>
      <c r="AO305" s="2" t="s">
        <v>74</v>
      </c>
      <c r="AP305" s="2" t="s">
        <v>7563</v>
      </c>
      <c r="AQ305" s="2" t="s">
        <v>74</v>
      </c>
      <c r="AR305" s="2" t="s">
        <v>74</v>
      </c>
      <c r="AS305" s="2" t="s">
        <v>74</v>
      </c>
      <c r="AT305" s="2" t="s">
        <v>134</v>
      </c>
      <c r="AU305" s="2">
        <v>2024</v>
      </c>
      <c r="AV305" s="2">
        <v>14</v>
      </c>
      <c r="AW305" s="2">
        <v>5</v>
      </c>
      <c r="AX305" s="2" t="s">
        <v>74</v>
      </c>
      <c r="AY305" s="2" t="s">
        <v>74</v>
      </c>
      <c r="AZ305" s="2" t="s">
        <v>74</v>
      </c>
      <c r="BA305" s="2" t="s">
        <v>74</v>
      </c>
      <c r="BB305" s="2" t="s">
        <v>74</v>
      </c>
      <c r="BC305" s="2" t="s">
        <v>74</v>
      </c>
      <c r="BD305" s="2">
        <v>574</v>
      </c>
      <c r="BE305" s="2" t="s">
        <v>7564</v>
      </c>
      <c r="BF305" s="2" t="str">
        <f>HYPERLINK("http://dx.doi.org/10.3390/life14050574","http://dx.doi.org/10.3390/life14050574")</f>
        <v>http://dx.doi.org/10.3390/life14050574</v>
      </c>
      <c r="BG305" s="2" t="s">
        <v>74</v>
      </c>
      <c r="BH305" s="2" t="s">
        <v>74</v>
      </c>
      <c r="BI305" s="2" t="s">
        <v>74</v>
      </c>
      <c r="BJ305" s="2" t="s">
        <v>74</v>
      </c>
      <c r="BK305" s="2" t="s">
        <v>74</v>
      </c>
      <c r="BL305" s="2" t="s">
        <v>74</v>
      </c>
      <c r="BM305" s="2" t="s">
        <v>74</v>
      </c>
      <c r="BN305" s="2">
        <v>38792595</v>
      </c>
      <c r="BO305" s="2" t="s">
        <v>74</v>
      </c>
      <c r="BP305" s="2" t="s">
        <v>74</v>
      </c>
      <c r="BQ305" s="2" t="s">
        <v>74</v>
      </c>
      <c r="BR305" s="2" t="s">
        <v>74</v>
      </c>
      <c r="BS305" s="2" t="s">
        <v>7565</v>
      </c>
      <c r="BT305" s="2" t="str">
        <f>HYPERLINK("https%3A%2F%2Fwww.webofscience.com%2Fwos%2Fwoscc%2Ffull-record%2FWOS:001232301700001","View Full Record in Web of Science")</f>
        <v>View Full Record in Web of Science</v>
      </c>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row>
    <row r="306" spans="1:314" s="2" customFormat="1" x14ac:dyDescent="0.4">
      <c r="A306" s="2" t="s">
        <v>72</v>
      </c>
      <c r="B306" s="2" t="s">
        <v>8075</v>
      </c>
      <c r="C306" s="2" t="s">
        <v>74</v>
      </c>
      <c r="D306" s="2" t="s">
        <v>74</v>
      </c>
      <c r="E306" s="2" t="s">
        <v>74</v>
      </c>
      <c r="F306" s="2" t="s">
        <v>8075</v>
      </c>
      <c r="G306" s="2" t="s">
        <v>74</v>
      </c>
      <c r="H306" s="2" t="s">
        <v>74</v>
      </c>
      <c r="I306" s="2" t="s">
        <v>8076</v>
      </c>
      <c r="J306" s="2" t="s">
        <v>8077</v>
      </c>
      <c r="K306" s="2" t="s">
        <v>74</v>
      </c>
      <c r="L306" s="2" t="s">
        <v>74</v>
      </c>
      <c r="M306" s="2" t="s">
        <v>74</v>
      </c>
      <c r="N306" s="2" t="s">
        <v>74</v>
      </c>
      <c r="O306" s="2" t="s">
        <v>74</v>
      </c>
      <c r="P306" s="2" t="s">
        <v>74</v>
      </c>
      <c r="Q306" s="2" t="s">
        <v>74</v>
      </c>
      <c r="R306" s="2" t="s">
        <v>74</v>
      </c>
      <c r="S306" s="2" t="s">
        <v>74</v>
      </c>
      <c r="T306" s="2" t="s">
        <v>74</v>
      </c>
      <c r="U306" s="2" t="s">
        <v>74</v>
      </c>
      <c r="V306" s="5" t="s">
        <v>8078</v>
      </c>
      <c r="W306" s="2" t="s">
        <v>74</v>
      </c>
      <c r="X306" s="2" t="s">
        <v>74</v>
      </c>
      <c r="Y306" s="2" t="s">
        <v>74</v>
      </c>
      <c r="Z306" s="2" t="s">
        <v>74</v>
      </c>
      <c r="AA306" s="2" t="s">
        <v>74</v>
      </c>
      <c r="AB306" s="2" t="s">
        <v>8079</v>
      </c>
      <c r="AC306" s="2" t="s">
        <v>74</v>
      </c>
      <c r="AD306" s="2" t="s">
        <v>74</v>
      </c>
      <c r="AE306" s="2" t="s">
        <v>74</v>
      </c>
      <c r="AF306" s="2" t="s">
        <v>74</v>
      </c>
      <c r="AG306" s="2" t="s">
        <v>74</v>
      </c>
      <c r="AH306" s="2" t="s">
        <v>74</v>
      </c>
      <c r="AI306" s="2" t="s">
        <v>74</v>
      </c>
      <c r="AJ306" s="2" t="s">
        <v>74</v>
      </c>
      <c r="AK306" s="2" t="s">
        <v>74</v>
      </c>
      <c r="AL306" s="2" t="s">
        <v>74</v>
      </c>
      <c r="AM306" s="2" t="s">
        <v>74</v>
      </c>
      <c r="AN306" s="2" t="s">
        <v>74</v>
      </c>
      <c r="AO306" s="2" t="s">
        <v>4147</v>
      </c>
      <c r="AP306" s="2" t="s">
        <v>74</v>
      </c>
      <c r="AQ306" s="2" t="s">
        <v>74</v>
      </c>
      <c r="AR306" s="2" t="s">
        <v>74</v>
      </c>
      <c r="AS306" s="2" t="s">
        <v>74</v>
      </c>
      <c r="AT306" s="2" t="s">
        <v>255</v>
      </c>
      <c r="AU306" s="2">
        <v>2000</v>
      </c>
      <c r="AV306" s="2">
        <v>186</v>
      </c>
      <c r="AW306" s="2">
        <v>1</v>
      </c>
      <c r="AX306" s="2" t="s">
        <v>74</v>
      </c>
      <c r="AY306" s="2" t="s">
        <v>74</v>
      </c>
      <c r="AZ306" s="2" t="s">
        <v>74</v>
      </c>
      <c r="BA306" s="2" t="s">
        <v>74</v>
      </c>
      <c r="BB306" s="2">
        <v>1</v>
      </c>
      <c r="BC306" s="2">
        <v>12</v>
      </c>
      <c r="BD306" s="2" t="s">
        <v>74</v>
      </c>
      <c r="BE306" s="2" t="s">
        <v>8080</v>
      </c>
      <c r="BF306" s="2" t="str">
        <f>HYPERLINK("http://dx.doi.org/10.1007/s003590050001","http://dx.doi.org/10.1007/s003590050001")</f>
        <v>http://dx.doi.org/10.1007/s003590050001</v>
      </c>
      <c r="BG306" s="2" t="s">
        <v>74</v>
      </c>
      <c r="BH306" s="2" t="s">
        <v>74</v>
      </c>
      <c r="BI306" s="2" t="s">
        <v>74</v>
      </c>
      <c r="BJ306" s="2" t="s">
        <v>74</v>
      </c>
      <c r="BK306" s="2" t="s">
        <v>74</v>
      </c>
      <c r="BL306" s="2" t="s">
        <v>74</v>
      </c>
      <c r="BM306" s="2" t="s">
        <v>74</v>
      </c>
      <c r="BN306" s="2">
        <v>10659037</v>
      </c>
      <c r="BO306" s="2" t="s">
        <v>74</v>
      </c>
      <c r="BP306" s="2" t="s">
        <v>74</v>
      </c>
      <c r="BQ306" s="2" t="s">
        <v>74</v>
      </c>
      <c r="BR306" s="2" t="s">
        <v>74</v>
      </c>
      <c r="BS306" s="2" t="s">
        <v>8081</v>
      </c>
      <c r="BT306" s="2" t="str">
        <f>HYPERLINK("https%3A%2F%2Fwww.webofscience.com%2Fwos%2Fwoscc%2Ffull-record%2FWOS:000084937600001","View Full Record in Web of Science")</f>
        <v>View Full Record in Web of Science</v>
      </c>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row>
    <row r="307" spans="1:314" s="2" customFormat="1" x14ac:dyDescent="0.4">
      <c r="A307" s="2" t="s">
        <v>72</v>
      </c>
      <c r="B307" s="2" t="s">
        <v>984</v>
      </c>
      <c r="C307" s="2" t="s">
        <v>74</v>
      </c>
      <c r="D307" s="2" t="s">
        <v>74</v>
      </c>
      <c r="E307" s="2" t="s">
        <v>74</v>
      </c>
      <c r="F307" s="2" t="s">
        <v>985</v>
      </c>
      <c r="G307" s="2" t="s">
        <v>74</v>
      </c>
      <c r="H307" s="2" t="s">
        <v>74</v>
      </c>
      <c r="I307" s="2" t="s">
        <v>986</v>
      </c>
      <c r="J307" s="2" t="s">
        <v>862</v>
      </c>
      <c r="K307" s="2" t="s">
        <v>74</v>
      </c>
      <c r="L307" s="2" t="s">
        <v>74</v>
      </c>
      <c r="M307" s="2" t="s">
        <v>74</v>
      </c>
      <c r="N307" s="2" t="s">
        <v>74</v>
      </c>
      <c r="O307" s="2" t="s">
        <v>74</v>
      </c>
      <c r="P307" s="2" t="s">
        <v>74</v>
      </c>
      <c r="Q307" s="2" t="s">
        <v>74</v>
      </c>
      <c r="R307" s="2" t="s">
        <v>74</v>
      </c>
      <c r="S307" s="2" t="s">
        <v>74</v>
      </c>
      <c r="T307" s="2" t="s">
        <v>74</v>
      </c>
      <c r="U307" s="2" t="s">
        <v>74</v>
      </c>
      <c r="V307" s="5" t="s">
        <v>987</v>
      </c>
      <c r="W307" s="2" t="s">
        <v>74</v>
      </c>
      <c r="X307" s="2" t="s">
        <v>74</v>
      </c>
      <c r="Y307" s="2" t="s">
        <v>74</v>
      </c>
      <c r="Z307" s="2" t="s">
        <v>74</v>
      </c>
      <c r="AA307" s="2" t="s">
        <v>74</v>
      </c>
      <c r="AB307" s="2" t="s">
        <v>988</v>
      </c>
      <c r="AC307" s="2" t="s">
        <v>74</v>
      </c>
      <c r="AD307" s="2" t="s">
        <v>74</v>
      </c>
      <c r="AE307" s="2" t="s">
        <v>74</v>
      </c>
      <c r="AF307" s="2" t="s">
        <v>74</v>
      </c>
      <c r="AG307" s="2" t="s">
        <v>74</v>
      </c>
      <c r="AH307" s="2" t="s">
        <v>74</v>
      </c>
      <c r="AI307" s="2" t="s">
        <v>74</v>
      </c>
      <c r="AJ307" s="2" t="s">
        <v>74</v>
      </c>
      <c r="AK307" s="2" t="s">
        <v>74</v>
      </c>
      <c r="AL307" s="2" t="s">
        <v>74</v>
      </c>
      <c r="AM307" s="2" t="s">
        <v>74</v>
      </c>
      <c r="AN307" s="2" t="s">
        <v>74</v>
      </c>
      <c r="AO307" s="2" t="s">
        <v>865</v>
      </c>
      <c r="AP307" s="2" t="s">
        <v>866</v>
      </c>
      <c r="AQ307" s="2" t="s">
        <v>74</v>
      </c>
      <c r="AR307" s="2" t="s">
        <v>74</v>
      </c>
      <c r="AS307" s="2" t="s">
        <v>74</v>
      </c>
      <c r="AT307" s="2" t="s">
        <v>175</v>
      </c>
      <c r="AU307" s="2">
        <v>2021</v>
      </c>
      <c r="AV307" s="2">
        <v>24</v>
      </c>
      <c r="AW307" s="2">
        <v>3</v>
      </c>
      <c r="AX307" s="2" t="s">
        <v>74</v>
      </c>
      <c r="AY307" s="2" t="s">
        <v>74</v>
      </c>
      <c r="AZ307" s="2" t="s">
        <v>74</v>
      </c>
      <c r="BA307" s="2" t="s">
        <v>74</v>
      </c>
      <c r="BB307" s="2">
        <v>143</v>
      </c>
      <c r="BC307" s="2">
        <v>147</v>
      </c>
      <c r="BD307" s="2" t="s">
        <v>74</v>
      </c>
      <c r="BE307" s="2" t="s">
        <v>989</v>
      </c>
      <c r="BF307" s="2" t="str">
        <f>HYPERLINK("http://dx.doi.org/10.1007/s10211-021-00372-z","http://dx.doi.org/10.1007/s10211-021-00372-z")</f>
        <v>http://dx.doi.org/10.1007/s10211-021-00372-z</v>
      </c>
      <c r="BG307" s="2" t="s">
        <v>74</v>
      </c>
      <c r="BH307" s="2" t="s">
        <v>224</v>
      </c>
      <c r="BI307" s="2" t="s">
        <v>74</v>
      </c>
      <c r="BJ307" s="2" t="s">
        <v>74</v>
      </c>
      <c r="BK307" s="2" t="s">
        <v>74</v>
      </c>
      <c r="BL307" s="2" t="s">
        <v>74</v>
      </c>
      <c r="BM307" s="2" t="s">
        <v>74</v>
      </c>
      <c r="BN307" s="2" t="s">
        <v>74</v>
      </c>
      <c r="BO307" s="2" t="s">
        <v>74</v>
      </c>
      <c r="BP307" s="2" t="s">
        <v>74</v>
      </c>
      <c r="BQ307" s="2" t="s">
        <v>74</v>
      </c>
      <c r="BR307" s="2" t="s">
        <v>74</v>
      </c>
      <c r="BS307" s="2" t="s">
        <v>990</v>
      </c>
      <c r="BT307" s="2" t="str">
        <f>HYPERLINK("https%3A%2F%2Fwww.webofscience.com%2Fwos%2Fwoscc%2Ffull-record%2FWOS:000660333200001","View Full Record in Web of Science")</f>
        <v>View Full Record in Web of Science</v>
      </c>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row>
    <row r="308" spans="1:314" s="2" customFormat="1" x14ac:dyDescent="0.4">
      <c r="A308" s="2" t="s">
        <v>72</v>
      </c>
      <c r="B308" s="2" t="s">
        <v>2575</v>
      </c>
      <c r="C308" s="2" t="s">
        <v>74</v>
      </c>
      <c r="D308" s="2" t="s">
        <v>74</v>
      </c>
      <c r="E308" s="2" t="s">
        <v>74</v>
      </c>
      <c r="F308" s="2" t="s">
        <v>2576</v>
      </c>
      <c r="G308" s="2" t="s">
        <v>74</v>
      </c>
      <c r="H308" s="2" t="s">
        <v>74</v>
      </c>
      <c r="I308" s="2" t="s">
        <v>2577</v>
      </c>
      <c r="J308" s="2" t="s">
        <v>2578</v>
      </c>
      <c r="K308" s="2" t="s">
        <v>74</v>
      </c>
      <c r="L308" s="2" t="s">
        <v>74</v>
      </c>
      <c r="M308" s="2" t="s">
        <v>74</v>
      </c>
      <c r="N308" s="2" t="s">
        <v>74</v>
      </c>
      <c r="O308" s="2" t="s">
        <v>74</v>
      </c>
      <c r="P308" s="2" t="s">
        <v>74</v>
      </c>
      <c r="Q308" s="2" t="s">
        <v>74</v>
      </c>
      <c r="R308" s="2" t="s">
        <v>74</v>
      </c>
      <c r="S308" s="2" t="s">
        <v>74</v>
      </c>
      <c r="T308" s="2" t="s">
        <v>74</v>
      </c>
      <c r="U308" s="2" t="s">
        <v>74</v>
      </c>
      <c r="V308" s="5" t="s">
        <v>2579</v>
      </c>
      <c r="W308" s="2" t="s">
        <v>74</v>
      </c>
      <c r="X308" s="2" t="s">
        <v>74</v>
      </c>
      <c r="Y308" s="2" t="s">
        <v>74</v>
      </c>
      <c r="Z308" s="2" t="s">
        <v>74</v>
      </c>
      <c r="AA308" s="2" t="s">
        <v>2580</v>
      </c>
      <c r="AB308" s="2" t="s">
        <v>2581</v>
      </c>
      <c r="AC308" s="2" t="s">
        <v>74</v>
      </c>
      <c r="AD308" s="2" t="s">
        <v>74</v>
      </c>
      <c r="AE308" s="2" t="s">
        <v>74</v>
      </c>
      <c r="AF308" s="2" t="s">
        <v>74</v>
      </c>
      <c r="AG308" s="2" t="s">
        <v>74</v>
      </c>
      <c r="AH308" s="2" t="s">
        <v>74</v>
      </c>
      <c r="AI308" s="2" t="s">
        <v>74</v>
      </c>
      <c r="AJ308" s="2" t="s">
        <v>74</v>
      </c>
      <c r="AK308" s="2" t="s">
        <v>74</v>
      </c>
      <c r="AL308" s="2" t="s">
        <v>74</v>
      </c>
      <c r="AM308" s="2" t="s">
        <v>74</v>
      </c>
      <c r="AN308" s="2" t="s">
        <v>74</v>
      </c>
      <c r="AO308" s="2" t="s">
        <v>2582</v>
      </c>
      <c r="AP308" s="2" t="s">
        <v>2583</v>
      </c>
      <c r="AQ308" s="2" t="s">
        <v>74</v>
      </c>
      <c r="AR308" s="2" t="s">
        <v>74</v>
      </c>
      <c r="AS308" s="2" t="s">
        <v>74</v>
      </c>
      <c r="AT308" s="2" t="s">
        <v>123</v>
      </c>
      <c r="AU308" s="2">
        <v>2020</v>
      </c>
      <c r="AV308" s="2">
        <v>48</v>
      </c>
      <c r="AW308" s="2">
        <v>1</v>
      </c>
      <c r="AX308" s="2" t="s">
        <v>74</v>
      </c>
      <c r="AY308" s="2" t="s">
        <v>74</v>
      </c>
      <c r="AZ308" s="2" t="s">
        <v>74</v>
      </c>
      <c r="BA308" s="2" t="s">
        <v>74</v>
      </c>
      <c r="BB308" s="2">
        <v>104</v>
      </c>
      <c r="BC308" s="2">
        <v>112</v>
      </c>
      <c r="BD308" s="2" t="s">
        <v>74</v>
      </c>
      <c r="BE308" s="2" t="s">
        <v>2584</v>
      </c>
      <c r="BF308" s="2" t="str">
        <f>HYPERLINK("http://dx.doi.org/10.3758/s13420-020-00411-y","http://dx.doi.org/10.3758/s13420-020-00411-y")</f>
        <v>http://dx.doi.org/10.3758/s13420-020-00411-y</v>
      </c>
      <c r="BG308" s="2" t="s">
        <v>74</v>
      </c>
      <c r="BH308" s="2" t="s">
        <v>74</v>
      </c>
      <c r="BI308" s="2" t="s">
        <v>74</v>
      </c>
      <c r="BJ308" s="2" t="s">
        <v>74</v>
      </c>
      <c r="BK308" s="2" t="s">
        <v>74</v>
      </c>
      <c r="BL308" s="2" t="s">
        <v>74</v>
      </c>
      <c r="BM308" s="2" t="s">
        <v>74</v>
      </c>
      <c r="BN308" s="2">
        <v>31975326</v>
      </c>
      <c r="BO308" s="2" t="s">
        <v>74</v>
      </c>
      <c r="BP308" s="2" t="s">
        <v>74</v>
      </c>
      <c r="BQ308" s="2" t="s">
        <v>74</v>
      </c>
      <c r="BR308" s="2" t="s">
        <v>74</v>
      </c>
      <c r="BS308" s="2" t="s">
        <v>2585</v>
      </c>
      <c r="BT308" s="2" t="str">
        <f>HYPERLINK("https%3A%2F%2Fwww.webofscience.com%2Fwos%2Fwoscc%2Ffull-record%2FWOS:000520711400013","View Full Record in Web of Science")</f>
        <v>View Full Record in Web of Science</v>
      </c>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row>
    <row r="309" spans="1:314" s="2" customFormat="1" x14ac:dyDescent="0.4">
      <c r="A309" s="2" t="s">
        <v>72</v>
      </c>
      <c r="B309" s="2" t="s">
        <v>5537</v>
      </c>
      <c r="C309" s="2" t="s">
        <v>74</v>
      </c>
      <c r="D309" s="2" t="s">
        <v>74</v>
      </c>
      <c r="E309" s="2" t="s">
        <v>74</v>
      </c>
      <c r="F309" s="2" t="s">
        <v>5538</v>
      </c>
      <c r="G309" s="2" t="s">
        <v>74</v>
      </c>
      <c r="H309" s="2" t="s">
        <v>74</v>
      </c>
      <c r="I309" s="2" t="s">
        <v>5539</v>
      </c>
      <c r="J309" s="2" t="s">
        <v>2662</v>
      </c>
      <c r="K309" s="2" t="s">
        <v>74</v>
      </c>
      <c r="L309" s="2" t="s">
        <v>74</v>
      </c>
      <c r="M309" s="2" t="s">
        <v>74</v>
      </c>
      <c r="N309" s="2" t="s">
        <v>74</v>
      </c>
      <c r="O309" s="2" t="s">
        <v>74</v>
      </c>
      <c r="P309" s="2" t="s">
        <v>74</v>
      </c>
      <c r="Q309" s="2" t="s">
        <v>74</v>
      </c>
      <c r="R309" s="2" t="s">
        <v>74</v>
      </c>
      <c r="S309" s="2" t="s">
        <v>74</v>
      </c>
      <c r="T309" s="2" t="s">
        <v>74</v>
      </c>
      <c r="U309" s="2" t="s">
        <v>74</v>
      </c>
      <c r="V309" s="5" t="s">
        <v>5540</v>
      </c>
      <c r="W309" s="2" t="s">
        <v>74</v>
      </c>
      <c r="X309" s="2" t="s">
        <v>74</v>
      </c>
      <c r="Y309" s="2" t="s">
        <v>74</v>
      </c>
      <c r="Z309" s="2" t="s">
        <v>74</v>
      </c>
      <c r="AA309" s="2" t="s">
        <v>5541</v>
      </c>
      <c r="AB309" s="2" t="s">
        <v>74</v>
      </c>
      <c r="AC309" s="2" t="s">
        <v>74</v>
      </c>
      <c r="AD309" s="2" t="s">
        <v>74</v>
      </c>
      <c r="AE309" s="2" t="s">
        <v>74</v>
      </c>
      <c r="AF309" s="2" t="s">
        <v>74</v>
      </c>
      <c r="AG309" s="2" t="s">
        <v>74</v>
      </c>
      <c r="AH309" s="2" t="s">
        <v>74</v>
      </c>
      <c r="AI309" s="2" t="s">
        <v>74</v>
      </c>
      <c r="AJ309" s="2" t="s">
        <v>74</v>
      </c>
      <c r="AK309" s="2" t="s">
        <v>74</v>
      </c>
      <c r="AL309" s="2" t="s">
        <v>74</v>
      </c>
      <c r="AM309" s="2" t="s">
        <v>74</v>
      </c>
      <c r="AN309" s="2" t="s">
        <v>74</v>
      </c>
      <c r="AO309" s="2" t="s">
        <v>2664</v>
      </c>
      <c r="AP309" s="2" t="s">
        <v>2665</v>
      </c>
      <c r="AQ309" s="2" t="s">
        <v>74</v>
      </c>
      <c r="AR309" s="2" t="s">
        <v>74</v>
      </c>
      <c r="AS309" s="2" t="s">
        <v>74</v>
      </c>
      <c r="AT309" s="2" t="s">
        <v>352</v>
      </c>
      <c r="AU309" s="2">
        <v>2018</v>
      </c>
      <c r="AV309" s="2">
        <v>52</v>
      </c>
      <c r="AW309" s="2">
        <v>3</v>
      </c>
      <c r="AX309" s="2" t="s">
        <v>74</v>
      </c>
      <c r="AY309" s="2" t="s">
        <v>74</v>
      </c>
      <c r="AZ309" s="2" t="s">
        <v>74</v>
      </c>
      <c r="BA309" s="2" t="s">
        <v>74</v>
      </c>
      <c r="BB309" s="2">
        <v>370</v>
      </c>
      <c r="BC309" s="2">
        <v>378</v>
      </c>
      <c r="BD309" s="2" t="s">
        <v>74</v>
      </c>
      <c r="BE309" s="2" t="s">
        <v>5542</v>
      </c>
      <c r="BF309" s="2" t="str">
        <f>HYPERLINK("http://dx.doi.org/10.3356/JRR-17-66.1","http://dx.doi.org/10.3356/JRR-17-66.1")</f>
        <v>http://dx.doi.org/10.3356/JRR-17-66.1</v>
      </c>
      <c r="BG309" s="2" t="s">
        <v>74</v>
      </c>
      <c r="BH309" s="2" t="s">
        <v>74</v>
      </c>
      <c r="BI309" s="2" t="s">
        <v>74</v>
      </c>
      <c r="BJ309" s="2" t="s">
        <v>74</v>
      </c>
      <c r="BK309" s="2" t="s">
        <v>74</v>
      </c>
      <c r="BL309" s="2" t="s">
        <v>74</v>
      </c>
      <c r="BM309" s="2" t="s">
        <v>74</v>
      </c>
      <c r="BN309" s="2" t="s">
        <v>74</v>
      </c>
      <c r="BO309" s="2" t="s">
        <v>74</v>
      </c>
      <c r="BP309" s="2" t="s">
        <v>74</v>
      </c>
      <c r="BQ309" s="2" t="s">
        <v>74</v>
      </c>
      <c r="BR309" s="2" t="s">
        <v>74</v>
      </c>
      <c r="BS309" s="2" t="s">
        <v>5543</v>
      </c>
      <c r="BT309" s="2" t="str">
        <f>HYPERLINK("https%3A%2F%2Fwww.webofscience.com%2Fwos%2Fwoscc%2Ffull-record%2FWOS:000441062500010","View Full Record in Web of Science")</f>
        <v>View Full Record in Web of Science</v>
      </c>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row>
    <row r="310" spans="1:314" s="2" customFormat="1" x14ac:dyDescent="0.4">
      <c r="A310" s="2" t="s">
        <v>72</v>
      </c>
      <c r="B310" s="2" t="s">
        <v>3638</v>
      </c>
      <c r="C310" s="2" t="s">
        <v>74</v>
      </c>
      <c r="D310" s="2" t="s">
        <v>74</v>
      </c>
      <c r="E310" s="2" t="s">
        <v>74</v>
      </c>
      <c r="F310" s="2" t="s">
        <v>3639</v>
      </c>
      <c r="G310" s="2" t="s">
        <v>74</v>
      </c>
      <c r="H310" s="2" t="s">
        <v>74</v>
      </c>
      <c r="I310" s="2" t="s">
        <v>3640</v>
      </c>
      <c r="J310" s="2" t="s">
        <v>509</v>
      </c>
      <c r="K310" s="2" t="s">
        <v>74</v>
      </c>
      <c r="L310" s="2" t="s">
        <v>74</v>
      </c>
      <c r="M310" s="2" t="s">
        <v>74</v>
      </c>
      <c r="N310" s="2" t="s">
        <v>74</v>
      </c>
      <c r="O310" s="2" t="s">
        <v>74</v>
      </c>
      <c r="P310" s="2" t="s">
        <v>74</v>
      </c>
      <c r="Q310" s="2" t="s">
        <v>74</v>
      </c>
      <c r="R310" s="2" t="s">
        <v>74</v>
      </c>
      <c r="S310" s="2" t="s">
        <v>74</v>
      </c>
      <c r="T310" s="2" t="s">
        <v>74</v>
      </c>
      <c r="U310" s="2" t="s">
        <v>74</v>
      </c>
      <c r="V310" s="5" t="s">
        <v>3641</v>
      </c>
      <c r="W310" s="2" t="s">
        <v>74</v>
      </c>
      <c r="X310" s="2" t="s">
        <v>74</v>
      </c>
      <c r="Y310" s="2" t="s">
        <v>74</v>
      </c>
      <c r="Z310" s="2" t="s">
        <v>74</v>
      </c>
      <c r="AA310" s="2" t="s">
        <v>74</v>
      </c>
      <c r="AB310" s="2" t="s">
        <v>3642</v>
      </c>
      <c r="AC310" s="2" t="s">
        <v>74</v>
      </c>
      <c r="AD310" s="2" t="s">
        <v>74</v>
      </c>
      <c r="AE310" s="2" t="s">
        <v>74</v>
      </c>
      <c r="AF310" s="2" t="s">
        <v>74</v>
      </c>
      <c r="AG310" s="2" t="s">
        <v>74</v>
      </c>
      <c r="AH310" s="2" t="s">
        <v>74</v>
      </c>
      <c r="AI310" s="2" t="s">
        <v>74</v>
      </c>
      <c r="AJ310" s="2" t="s">
        <v>74</v>
      </c>
      <c r="AK310" s="2" t="s">
        <v>74</v>
      </c>
      <c r="AL310" s="2" t="s">
        <v>74</v>
      </c>
      <c r="AM310" s="2" t="s">
        <v>74</v>
      </c>
      <c r="AN310" s="2" t="s">
        <v>74</v>
      </c>
      <c r="AO310" s="2" t="s">
        <v>511</v>
      </c>
      <c r="AP310" s="2" t="s">
        <v>512</v>
      </c>
      <c r="AQ310" s="2" t="s">
        <v>74</v>
      </c>
      <c r="AR310" s="2" t="s">
        <v>74</v>
      </c>
      <c r="AS310" s="2" t="s">
        <v>74</v>
      </c>
      <c r="AT310" s="2" t="s">
        <v>134</v>
      </c>
      <c r="AU310" s="2">
        <v>2007</v>
      </c>
      <c r="AV310" s="2">
        <v>51</v>
      </c>
      <c r="AW310" s="2">
        <v>5</v>
      </c>
      <c r="AX310" s="2" t="s">
        <v>74</v>
      </c>
      <c r="AY310" s="2" t="s">
        <v>74</v>
      </c>
      <c r="AZ310" s="2" t="s">
        <v>74</v>
      </c>
      <c r="BA310" s="2" t="s">
        <v>74</v>
      </c>
      <c r="BB310" s="2">
        <v>611</v>
      </c>
      <c r="BC310" s="2">
        <v>619</v>
      </c>
      <c r="BD310" s="2" t="s">
        <v>74</v>
      </c>
      <c r="BE310" s="2" t="s">
        <v>3643</v>
      </c>
      <c r="BF310" s="2" t="str">
        <f>HYPERLINK("http://dx.doi.org/10.1016/j.yhbeh.2007.02.010","http://dx.doi.org/10.1016/j.yhbeh.2007.02.010")</f>
        <v>http://dx.doi.org/10.1016/j.yhbeh.2007.02.010</v>
      </c>
      <c r="BG310" s="2" t="s">
        <v>74</v>
      </c>
      <c r="BH310" s="2" t="s">
        <v>74</v>
      </c>
      <c r="BI310" s="2" t="s">
        <v>74</v>
      </c>
      <c r="BJ310" s="2" t="s">
        <v>74</v>
      </c>
      <c r="BK310" s="2" t="s">
        <v>74</v>
      </c>
      <c r="BL310" s="2" t="s">
        <v>74</v>
      </c>
      <c r="BM310" s="2" t="s">
        <v>74</v>
      </c>
      <c r="BN310" s="2">
        <v>17462644</v>
      </c>
      <c r="BO310" s="2" t="s">
        <v>74</v>
      </c>
      <c r="BP310" s="2" t="s">
        <v>74</v>
      </c>
      <c r="BQ310" s="2" t="s">
        <v>74</v>
      </c>
      <c r="BR310" s="2" t="s">
        <v>74</v>
      </c>
      <c r="BS310" s="2" t="s">
        <v>3644</v>
      </c>
      <c r="BT310" s="2" t="str">
        <f>HYPERLINK("https%3A%2F%2Fwww.webofscience.com%2Fwos%2Fwoscc%2Ffull-record%2FWOS:000247275800006","View Full Record in Web of Science")</f>
        <v>View Full Record in Web of Science</v>
      </c>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row>
    <row r="311" spans="1:314" s="2" customFormat="1" x14ac:dyDescent="0.4">
      <c r="A311" s="2" t="s">
        <v>72</v>
      </c>
      <c r="B311" s="2" t="s">
        <v>2908</v>
      </c>
      <c r="C311" s="2" t="s">
        <v>74</v>
      </c>
      <c r="D311" s="2" t="s">
        <v>74</v>
      </c>
      <c r="E311" s="2" t="s">
        <v>74</v>
      </c>
      <c r="F311" s="2" t="s">
        <v>2909</v>
      </c>
      <c r="G311" s="2" t="s">
        <v>74</v>
      </c>
      <c r="H311" s="2" t="s">
        <v>74</v>
      </c>
      <c r="I311" s="2" t="s">
        <v>2910</v>
      </c>
      <c r="J311" s="2" t="s">
        <v>2911</v>
      </c>
      <c r="K311" s="2" t="s">
        <v>74</v>
      </c>
      <c r="L311" s="2" t="s">
        <v>74</v>
      </c>
      <c r="M311" s="2" t="s">
        <v>74</v>
      </c>
      <c r="N311" s="2" t="s">
        <v>74</v>
      </c>
      <c r="O311" s="2" t="s">
        <v>74</v>
      </c>
      <c r="P311" s="2" t="s">
        <v>74</v>
      </c>
      <c r="Q311" s="2" t="s">
        <v>74</v>
      </c>
      <c r="R311" s="2" t="s">
        <v>74</v>
      </c>
      <c r="S311" s="2" t="s">
        <v>74</v>
      </c>
      <c r="T311" s="2" t="s">
        <v>74</v>
      </c>
      <c r="U311" s="2" t="s">
        <v>74</v>
      </c>
      <c r="V311" s="5" t="s">
        <v>2912</v>
      </c>
      <c r="W311" s="2" t="s">
        <v>74</v>
      </c>
      <c r="X311" s="2" t="s">
        <v>74</v>
      </c>
      <c r="Y311" s="2" t="s">
        <v>74</v>
      </c>
      <c r="Z311" s="2" t="s">
        <v>74</v>
      </c>
      <c r="AA311" s="2" t="s">
        <v>2913</v>
      </c>
      <c r="AB311" s="2" t="s">
        <v>2914</v>
      </c>
      <c r="AC311" s="2" t="s">
        <v>74</v>
      </c>
      <c r="AD311" s="2" t="s">
        <v>74</v>
      </c>
      <c r="AE311" s="2" t="s">
        <v>74</v>
      </c>
      <c r="AF311" s="2" t="s">
        <v>74</v>
      </c>
      <c r="AG311" s="2" t="s">
        <v>74</v>
      </c>
      <c r="AH311" s="2" t="s">
        <v>74</v>
      </c>
      <c r="AI311" s="2" t="s">
        <v>74</v>
      </c>
      <c r="AJ311" s="2" t="s">
        <v>74</v>
      </c>
      <c r="AK311" s="2" t="s">
        <v>74</v>
      </c>
      <c r="AL311" s="2" t="s">
        <v>74</v>
      </c>
      <c r="AM311" s="2" t="s">
        <v>74</v>
      </c>
      <c r="AN311" s="2" t="s">
        <v>74</v>
      </c>
      <c r="AO311" s="2" t="s">
        <v>2915</v>
      </c>
      <c r="AP311" s="2" t="s">
        <v>2916</v>
      </c>
      <c r="AQ311" s="2" t="s">
        <v>74</v>
      </c>
      <c r="AR311" s="2" t="s">
        <v>74</v>
      </c>
      <c r="AS311" s="2" t="s">
        <v>74</v>
      </c>
      <c r="AT311" s="2" t="s">
        <v>769</v>
      </c>
      <c r="AU311" s="2">
        <v>2022</v>
      </c>
      <c r="AV311" s="2" t="s">
        <v>74</v>
      </c>
      <c r="AW311" s="2">
        <v>1084</v>
      </c>
      <c r="AX311" s="2" t="s">
        <v>74</v>
      </c>
      <c r="AY311" s="2" t="s">
        <v>74</v>
      </c>
      <c r="AZ311" s="2" t="s">
        <v>74</v>
      </c>
      <c r="BA311" s="2" t="s">
        <v>74</v>
      </c>
      <c r="BB311" s="2">
        <v>151</v>
      </c>
      <c r="BC311" s="2">
        <v>164</v>
      </c>
      <c r="BD311" s="2" t="s">
        <v>74</v>
      </c>
      <c r="BE311" s="2" t="s">
        <v>2917</v>
      </c>
      <c r="BF311" s="2" t="str">
        <f>HYPERLINK("http://dx.doi.org/10.3897/zookeys.1084.79415","http://dx.doi.org/10.3897/zookeys.1084.79415")</f>
        <v>http://dx.doi.org/10.3897/zookeys.1084.79415</v>
      </c>
      <c r="BG311" s="2" t="s">
        <v>74</v>
      </c>
      <c r="BH311" s="2" t="s">
        <v>74</v>
      </c>
      <c r="BI311" s="2" t="s">
        <v>74</v>
      </c>
      <c r="BJ311" s="2" t="s">
        <v>74</v>
      </c>
      <c r="BK311" s="2" t="s">
        <v>74</v>
      </c>
      <c r="BL311" s="2" t="s">
        <v>74</v>
      </c>
      <c r="BM311" s="2" t="s">
        <v>74</v>
      </c>
      <c r="BN311" s="2">
        <v>35233167</v>
      </c>
      <c r="BO311" s="2" t="s">
        <v>74</v>
      </c>
      <c r="BP311" s="2" t="s">
        <v>74</v>
      </c>
      <c r="BQ311" s="2" t="s">
        <v>74</v>
      </c>
      <c r="BR311" s="2" t="s">
        <v>74</v>
      </c>
      <c r="BS311" s="2" t="s">
        <v>2918</v>
      </c>
      <c r="BT311" s="2" t="str">
        <f>HYPERLINK("https%3A%2F%2Fwww.webofscience.com%2Fwos%2Fwoscc%2Ffull-record%2FWOS:000750859100001","View Full Record in Web of Science")</f>
        <v>View Full Record in Web of Science</v>
      </c>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row>
    <row r="312" spans="1:314" s="2" customFormat="1" x14ac:dyDescent="0.4">
      <c r="A312" s="2" t="s">
        <v>72</v>
      </c>
      <c r="B312" s="2" t="s">
        <v>2481</v>
      </c>
      <c r="C312" s="2" t="s">
        <v>74</v>
      </c>
      <c r="D312" s="2" t="s">
        <v>74</v>
      </c>
      <c r="E312" s="2" t="s">
        <v>74</v>
      </c>
      <c r="F312" s="2" t="s">
        <v>2482</v>
      </c>
      <c r="G312" s="2" t="s">
        <v>74</v>
      </c>
      <c r="H312" s="2" t="s">
        <v>74</v>
      </c>
      <c r="I312" s="2" t="s">
        <v>2483</v>
      </c>
      <c r="J312" s="2" t="s">
        <v>77</v>
      </c>
      <c r="K312" s="2" t="s">
        <v>74</v>
      </c>
      <c r="L312" s="2" t="s">
        <v>74</v>
      </c>
      <c r="M312" s="2" t="s">
        <v>74</v>
      </c>
      <c r="N312" s="2" t="s">
        <v>74</v>
      </c>
      <c r="O312" s="2" t="s">
        <v>74</v>
      </c>
      <c r="P312" s="2" t="s">
        <v>74</v>
      </c>
      <c r="Q312" s="2" t="s">
        <v>74</v>
      </c>
      <c r="R312" s="2" t="s">
        <v>74</v>
      </c>
      <c r="S312" s="2" t="s">
        <v>74</v>
      </c>
      <c r="T312" s="2" t="s">
        <v>74</v>
      </c>
      <c r="U312" s="2" t="s">
        <v>74</v>
      </c>
      <c r="V312" s="5" t="s">
        <v>2484</v>
      </c>
      <c r="W312" s="2" t="s">
        <v>74</v>
      </c>
      <c r="X312" s="2" t="s">
        <v>74</v>
      </c>
      <c r="Y312" s="2" t="s">
        <v>74</v>
      </c>
      <c r="Z312" s="2" t="s">
        <v>74</v>
      </c>
      <c r="AA312" s="2" t="s">
        <v>74</v>
      </c>
      <c r="AB312" s="2" t="s">
        <v>74</v>
      </c>
      <c r="AC312" s="2" t="s">
        <v>74</v>
      </c>
      <c r="AD312" s="2" t="s">
        <v>74</v>
      </c>
      <c r="AE312" s="2" t="s">
        <v>74</v>
      </c>
      <c r="AF312" s="2" t="s">
        <v>74</v>
      </c>
      <c r="AG312" s="2" t="s">
        <v>74</v>
      </c>
      <c r="AH312" s="2" t="s">
        <v>74</v>
      </c>
      <c r="AI312" s="2" t="s">
        <v>74</v>
      </c>
      <c r="AJ312" s="2" t="s">
        <v>74</v>
      </c>
      <c r="AK312" s="2" t="s">
        <v>74</v>
      </c>
      <c r="AL312" s="2" t="s">
        <v>74</v>
      </c>
      <c r="AM312" s="2" t="s">
        <v>74</v>
      </c>
      <c r="AN312" s="2" t="s">
        <v>74</v>
      </c>
      <c r="AO312" s="2" t="s">
        <v>81</v>
      </c>
      <c r="AP312" s="2" t="s">
        <v>82</v>
      </c>
      <c r="AQ312" s="2" t="s">
        <v>74</v>
      </c>
      <c r="AR312" s="2" t="s">
        <v>74</v>
      </c>
      <c r="AS312" s="2" t="s">
        <v>74</v>
      </c>
      <c r="AT312" s="2" t="s">
        <v>74</v>
      </c>
      <c r="AU312" s="2">
        <v>2015</v>
      </c>
      <c r="AV312" s="2">
        <v>152</v>
      </c>
      <c r="AW312" s="2">
        <v>11</v>
      </c>
      <c r="AX312" s="2" t="s">
        <v>74</v>
      </c>
      <c r="AY312" s="2" t="s">
        <v>74</v>
      </c>
      <c r="AZ312" s="2" t="s">
        <v>74</v>
      </c>
      <c r="BA312" s="2" t="s">
        <v>74</v>
      </c>
      <c r="BB312" s="2">
        <v>1463</v>
      </c>
      <c r="BC312" s="2">
        <v>1479</v>
      </c>
      <c r="BD312" s="2" t="s">
        <v>74</v>
      </c>
      <c r="BE312" s="2" t="s">
        <v>2485</v>
      </c>
      <c r="BF312" s="2" t="str">
        <f>HYPERLINK("http://dx.doi.org/10.1163/1568539X-00003287","http://dx.doi.org/10.1163/1568539X-00003287")</f>
        <v>http://dx.doi.org/10.1163/1568539X-00003287</v>
      </c>
      <c r="BG312" s="2" t="s">
        <v>74</v>
      </c>
      <c r="BH312" s="2" t="s">
        <v>74</v>
      </c>
      <c r="BI312" s="2" t="s">
        <v>74</v>
      </c>
      <c r="BJ312" s="2" t="s">
        <v>74</v>
      </c>
      <c r="BK312" s="2" t="s">
        <v>74</v>
      </c>
      <c r="BL312" s="2" t="s">
        <v>74</v>
      </c>
      <c r="BM312" s="2" t="s">
        <v>74</v>
      </c>
      <c r="BN312" s="2" t="s">
        <v>74</v>
      </c>
      <c r="BO312" s="2" t="s">
        <v>74</v>
      </c>
      <c r="BP312" s="2" t="s">
        <v>74</v>
      </c>
      <c r="BQ312" s="2" t="s">
        <v>74</v>
      </c>
      <c r="BR312" s="2" t="s">
        <v>74</v>
      </c>
      <c r="BS312" s="2" t="s">
        <v>2486</v>
      </c>
      <c r="BT312" s="2" t="str">
        <f>HYPERLINK("https%3A%2F%2Fwww.webofscience.com%2Fwos%2Fwoscc%2Ffull-record%2FWOS:000359994100002","View Full Record in Web of Science")</f>
        <v>View Full Record in Web of Science</v>
      </c>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row>
    <row r="313" spans="1:314" s="2" customFormat="1" x14ac:dyDescent="0.4">
      <c r="A313" s="2" t="s">
        <v>72</v>
      </c>
      <c r="B313" s="2" t="s">
        <v>2134</v>
      </c>
      <c r="C313" s="2" t="s">
        <v>74</v>
      </c>
      <c r="D313" s="2" t="s">
        <v>74</v>
      </c>
      <c r="E313" s="2" t="s">
        <v>74</v>
      </c>
      <c r="F313" s="2" t="s">
        <v>2135</v>
      </c>
      <c r="G313" s="2" t="s">
        <v>74</v>
      </c>
      <c r="H313" s="2" t="s">
        <v>74</v>
      </c>
      <c r="I313" s="2" t="s">
        <v>2136</v>
      </c>
      <c r="J313" s="2" t="s">
        <v>119</v>
      </c>
      <c r="K313" s="2" t="s">
        <v>74</v>
      </c>
      <c r="L313" s="2" t="s">
        <v>74</v>
      </c>
      <c r="M313" s="2" t="s">
        <v>74</v>
      </c>
      <c r="N313" s="2" t="s">
        <v>74</v>
      </c>
      <c r="O313" s="2" t="s">
        <v>74</v>
      </c>
      <c r="P313" s="2" t="s">
        <v>74</v>
      </c>
      <c r="Q313" s="2" t="s">
        <v>74</v>
      </c>
      <c r="R313" s="2" t="s">
        <v>74</v>
      </c>
      <c r="S313" s="2" t="s">
        <v>74</v>
      </c>
      <c r="T313" s="2" t="s">
        <v>74</v>
      </c>
      <c r="U313" s="2" t="s">
        <v>74</v>
      </c>
      <c r="V313" s="5" t="s">
        <v>2137</v>
      </c>
      <c r="W313" s="2" t="s">
        <v>74</v>
      </c>
      <c r="X313" s="2" t="s">
        <v>74</v>
      </c>
      <c r="Y313" s="2" t="s">
        <v>74</v>
      </c>
      <c r="Z313" s="2" t="s">
        <v>74</v>
      </c>
      <c r="AA313" s="2" t="s">
        <v>2138</v>
      </c>
      <c r="AB313" s="2" t="s">
        <v>2139</v>
      </c>
      <c r="AC313" s="2" t="s">
        <v>74</v>
      </c>
      <c r="AD313" s="2" t="s">
        <v>74</v>
      </c>
      <c r="AE313" s="2" t="s">
        <v>74</v>
      </c>
      <c r="AF313" s="2" t="s">
        <v>74</v>
      </c>
      <c r="AG313" s="2" t="s">
        <v>74</v>
      </c>
      <c r="AH313" s="2" t="s">
        <v>74</v>
      </c>
      <c r="AI313" s="2" t="s">
        <v>74</v>
      </c>
      <c r="AJ313" s="2" t="s">
        <v>74</v>
      </c>
      <c r="AK313" s="2" t="s">
        <v>74</v>
      </c>
      <c r="AL313" s="2" t="s">
        <v>74</v>
      </c>
      <c r="AM313" s="2" t="s">
        <v>74</v>
      </c>
      <c r="AN313" s="2" t="s">
        <v>74</v>
      </c>
      <c r="AO313" s="2" t="s">
        <v>121</v>
      </c>
      <c r="AP313" s="2" t="s">
        <v>122</v>
      </c>
      <c r="AQ313" s="2" t="s">
        <v>74</v>
      </c>
      <c r="AR313" s="2" t="s">
        <v>74</v>
      </c>
      <c r="AS313" s="2" t="s">
        <v>74</v>
      </c>
      <c r="AT313" s="2" t="s">
        <v>352</v>
      </c>
      <c r="AU313" s="2">
        <v>2014</v>
      </c>
      <c r="AV313" s="2">
        <v>107</v>
      </c>
      <c r="AW313" s="2" t="s">
        <v>74</v>
      </c>
      <c r="AX313" s="2" t="s">
        <v>74</v>
      </c>
      <c r="AY313" s="2" t="s">
        <v>74</v>
      </c>
      <c r="AZ313" s="2" t="s">
        <v>74</v>
      </c>
      <c r="BA313" s="2" t="s">
        <v>74</v>
      </c>
      <c r="BB313" s="2">
        <v>158</v>
      </c>
      <c r="BC313" s="2">
        <v>162</v>
      </c>
      <c r="BD313" s="2" t="s">
        <v>74</v>
      </c>
      <c r="BE313" s="2" t="s">
        <v>2140</v>
      </c>
      <c r="BF313" s="2" t="str">
        <f>HYPERLINK("http://dx.doi.org/10.1016/j.beproc.2014.08.010","http://dx.doi.org/10.1016/j.beproc.2014.08.010")</f>
        <v>http://dx.doi.org/10.1016/j.beproc.2014.08.010</v>
      </c>
      <c r="BG313" s="2" t="s">
        <v>74</v>
      </c>
      <c r="BH313" s="2" t="s">
        <v>74</v>
      </c>
      <c r="BI313" s="2" t="s">
        <v>74</v>
      </c>
      <c r="BJ313" s="2" t="s">
        <v>74</v>
      </c>
      <c r="BK313" s="2" t="s">
        <v>74</v>
      </c>
      <c r="BL313" s="2" t="s">
        <v>74</v>
      </c>
      <c r="BM313" s="2" t="s">
        <v>74</v>
      </c>
      <c r="BN313" s="2">
        <v>25151939</v>
      </c>
      <c r="BO313" s="2" t="s">
        <v>74</v>
      </c>
      <c r="BP313" s="2" t="s">
        <v>74</v>
      </c>
      <c r="BQ313" s="2" t="s">
        <v>74</v>
      </c>
      <c r="BR313" s="2" t="s">
        <v>74</v>
      </c>
      <c r="BS313" s="2" t="s">
        <v>2141</v>
      </c>
      <c r="BT313" s="2" t="str">
        <f>HYPERLINK("https%3A%2F%2Fwww.webofscience.com%2Fwos%2Fwoscc%2Ffull-record%2FWOS:000343628400020","View Full Record in Web of Science")</f>
        <v>View Full Record in Web of Science</v>
      </c>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row>
    <row r="314" spans="1:314" s="2" customFormat="1" x14ac:dyDescent="0.4">
      <c r="A314" s="2" t="s">
        <v>72</v>
      </c>
      <c r="B314" s="2" t="s">
        <v>6982</v>
      </c>
      <c r="C314" s="2" t="s">
        <v>74</v>
      </c>
      <c r="D314" s="2" t="s">
        <v>74</v>
      </c>
      <c r="E314" s="2" t="s">
        <v>74</v>
      </c>
      <c r="F314" s="2" t="s">
        <v>6983</v>
      </c>
      <c r="G314" s="2" t="s">
        <v>74</v>
      </c>
      <c r="H314" s="2" t="s">
        <v>74</v>
      </c>
      <c r="I314" s="2" t="s">
        <v>6984</v>
      </c>
      <c r="J314" s="2" t="s">
        <v>140</v>
      </c>
      <c r="K314" s="2" t="s">
        <v>74</v>
      </c>
      <c r="L314" s="2" t="s">
        <v>74</v>
      </c>
      <c r="M314" s="2" t="s">
        <v>74</v>
      </c>
      <c r="N314" s="2" t="s">
        <v>74</v>
      </c>
      <c r="O314" s="2" t="s">
        <v>74</v>
      </c>
      <c r="P314" s="2" t="s">
        <v>74</v>
      </c>
      <c r="Q314" s="2" t="s">
        <v>74</v>
      </c>
      <c r="R314" s="2" t="s">
        <v>74</v>
      </c>
      <c r="S314" s="2" t="s">
        <v>74</v>
      </c>
      <c r="T314" s="2" t="s">
        <v>74</v>
      </c>
      <c r="U314" s="2" t="s">
        <v>74</v>
      </c>
      <c r="V314" s="5" t="s">
        <v>6985</v>
      </c>
      <c r="W314" s="2" t="s">
        <v>74</v>
      </c>
      <c r="X314" s="2" t="s">
        <v>74</v>
      </c>
      <c r="Y314" s="2" t="s">
        <v>74</v>
      </c>
      <c r="Z314" s="2" t="s">
        <v>74</v>
      </c>
      <c r="AA314" s="2" t="s">
        <v>6986</v>
      </c>
      <c r="AB314" s="2" t="s">
        <v>6987</v>
      </c>
      <c r="AC314" s="2" t="s">
        <v>74</v>
      </c>
      <c r="AD314" s="2" t="s">
        <v>74</v>
      </c>
      <c r="AE314" s="2" t="s">
        <v>74</v>
      </c>
      <c r="AF314" s="2" t="s">
        <v>74</v>
      </c>
      <c r="AG314" s="2" t="s">
        <v>74</v>
      </c>
      <c r="AH314" s="2" t="s">
        <v>74</v>
      </c>
      <c r="AI314" s="2" t="s">
        <v>74</v>
      </c>
      <c r="AJ314" s="2" t="s">
        <v>74</v>
      </c>
      <c r="AK314" s="2" t="s">
        <v>74</v>
      </c>
      <c r="AL314" s="2" t="s">
        <v>74</v>
      </c>
      <c r="AM314" s="2" t="s">
        <v>74</v>
      </c>
      <c r="AN314" s="2" t="s">
        <v>74</v>
      </c>
      <c r="AO314" s="2" t="s">
        <v>143</v>
      </c>
      <c r="AP314" s="2" t="s">
        <v>144</v>
      </c>
      <c r="AQ314" s="2" t="s">
        <v>74</v>
      </c>
      <c r="AR314" s="2" t="s">
        <v>74</v>
      </c>
      <c r="AS314" s="2" t="s">
        <v>74</v>
      </c>
      <c r="AT314" s="2" t="s">
        <v>255</v>
      </c>
      <c r="AU314" s="2">
        <v>2008</v>
      </c>
      <c r="AV314" s="2">
        <v>75</v>
      </c>
      <c r="AW314" s="2" t="s">
        <v>74</v>
      </c>
      <c r="AX314" s="2">
        <v>1</v>
      </c>
      <c r="AY314" s="2" t="s">
        <v>74</v>
      </c>
      <c r="AZ314" s="2" t="s">
        <v>74</v>
      </c>
      <c r="BA314" s="2" t="s">
        <v>74</v>
      </c>
      <c r="BB314" s="2">
        <v>175</v>
      </c>
      <c r="BC314" s="2">
        <v>188</v>
      </c>
      <c r="BD314" s="2" t="s">
        <v>74</v>
      </c>
      <c r="BE314" s="2" t="s">
        <v>6988</v>
      </c>
      <c r="BF314" s="2" t="str">
        <f>HYPERLINK("http://dx.doi.org/10.1016/j.anbehav.2007.04.016","http://dx.doi.org/10.1016/j.anbehav.2007.04.016")</f>
        <v>http://dx.doi.org/10.1016/j.anbehav.2007.04.016</v>
      </c>
      <c r="BG314" s="2" t="s">
        <v>74</v>
      </c>
      <c r="BH314" s="2" t="s">
        <v>74</v>
      </c>
      <c r="BI314" s="2" t="s">
        <v>74</v>
      </c>
      <c r="BJ314" s="2" t="s">
        <v>74</v>
      </c>
      <c r="BK314" s="2" t="s">
        <v>74</v>
      </c>
      <c r="BL314" s="2" t="s">
        <v>74</v>
      </c>
      <c r="BM314" s="2" t="s">
        <v>74</v>
      </c>
      <c r="BN314" s="2" t="s">
        <v>74</v>
      </c>
      <c r="BO314" s="2" t="s">
        <v>74</v>
      </c>
      <c r="BP314" s="2" t="s">
        <v>74</v>
      </c>
      <c r="BQ314" s="2" t="s">
        <v>74</v>
      </c>
      <c r="BR314" s="2" t="s">
        <v>74</v>
      </c>
      <c r="BS314" s="2" t="s">
        <v>6989</v>
      </c>
      <c r="BT314" s="2" t="str">
        <f>HYPERLINK("https%3A%2F%2Fwww.webofscience.com%2Fwos%2Fwoscc%2Ffull-record%2FWOS:000252710000021","View Full Record in Web of Science")</f>
        <v>View Full Record in Web of Science</v>
      </c>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row>
    <row r="315" spans="1:314" s="2" customFormat="1" x14ac:dyDescent="0.4">
      <c r="A315" s="2" t="s">
        <v>72</v>
      </c>
      <c r="B315" s="2" t="s">
        <v>3814</v>
      </c>
      <c r="C315" s="2" t="s">
        <v>74</v>
      </c>
      <c r="D315" s="2" t="s">
        <v>74</v>
      </c>
      <c r="E315" s="2" t="s">
        <v>74</v>
      </c>
      <c r="F315" s="2" t="s">
        <v>3815</v>
      </c>
      <c r="G315" s="2" t="s">
        <v>74</v>
      </c>
      <c r="H315" s="2" t="s">
        <v>74</v>
      </c>
      <c r="I315" s="2" t="s">
        <v>3816</v>
      </c>
      <c r="J315" s="2" t="s">
        <v>3817</v>
      </c>
      <c r="K315" s="2" t="s">
        <v>74</v>
      </c>
      <c r="L315" s="2" t="s">
        <v>74</v>
      </c>
      <c r="M315" s="2" t="s">
        <v>74</v>
      </c>
      <c r="N315" s="2" t="s">
        <v>74</v>
      </c>
      <c r="O315" s="2" t="s">
        <v>74</v>
      </c>
      <c r="P315" s="2" t="s">
        <v>74</v>
      </c>
      <c r="Q315" s="2" t="s">
        <v>74</v>
      </c>
      <c r="R315" s="2" t="s">
        <v>74</v>
      </c>
      <c r="S315" s="2" t="s">
        <v>74</v>
      </c>
      <c r="T315" s="2" t="s">
        <v>74</v>
      </c>
      <c r="U315" s="2" t="s">
        <v>74</v>
      </c>
      <c r="V315" s="5" t="s">
        <v>3818</v>
      </c>
      <c r="W315" s="2" t="s">
        <v>74</v>
      </c>
      <c r="X315" s="2" t="s">
        <v>74</v>
      </c>
      <c r="Y315" s="2" t="s">
        <v>74</v>
      </c>
      <c r="Z315" s="2" t="s">
        <v>74</v>
      </c>
      <c r="AA315" s="2" t="s">
        <v>3819</v>
      </c>
      <c r="AB315" s="2" t="s">
        <v>3820</v>
      </c>
      <c r="AC315" s="2" t="s">
        <v>74</v>
      </c>
      <c r="AD315" s="2" t="s">
        <v>74</v>
      </c>
      <c r="AE315" s="2" t="s">
        <v>74</v>
      </c>
      <c r="AF315" s="2" t="s">
        <v>74</v>
      </c>
      <c r="AG315" s="2" t="s">
        <v>74</v>
      </c>
      <c r="AH315" s="2" t="s">
        <v>74</v>
      </c>
      <c r="AI315" s="2" t="s">
        <v>74</v>
      </c>
      <c r="AJ315" s="2" t="s">
        <v>74</v>
      </c>
      <c r="AK315" s="2" t="s">
        <v>74</v>
      </c>
      <c r="AL315" s="2" t="s">
        <v>74</v>
      </c>
      <c r="AM315" s="2" t="s">
        <v>74</v>
      </c>
      <c r="AN315" s="2" t="s">
        <v>74</v>
      </c>
      <c r="AO315" s="2" t="s">
        <v>3821</v>
      </c>
      <c r="AP315" s="2" t="s">
        <v>3822</v>
      </c>
      <c r="AQ315" s="2" t="s">
        <v>74</v>
      </c>
      <c r="AR315" s="2" t="s">
        <v>74</v>
      </c>
      <c r="AS315" s="2" t="s">
        <v>74</v>
      </c>
      <c r="AT315" s="2" t="s">
        <v>3823</v>
      </c>
      <c r="AU315" s="2">
        <v>2021</v>
      </c>
      <c r="AV315" s="2" t="s">
        <v>74</v>
      </c>
      <c r="AW315" s="2" t="s">
        <v>74</v>
      </c>
      <c r="AX315" s="2" t="s">
        <v>74</v>
      </c>
      <c r="AY315" s="2" t="s">
        <v>74</v>
      </c>
      <c r="AZ315" s="2" t="s">
        <v>74</v>
      </c>
      <c r="BA315" s="2" t="s">
        <v>74</v>
      </c>
      <c r="BB315" s="2" t="s">
        <v>74</v>
      </c>
      <c r="BC315" s="2" t="s">
        <v>74</v>
      </c>
      <c r="BD315" s="2" t="s">
        <v>3824</v>
      </c>
      <c r="BE315" s="2" t="s">
        <v>3825</v>
      </c>
      <c r="BF315" s="2" t="str">
        <f>HYPERLINK("http://dx.doi.org/10.1093/zoolinnean/zlab015","http://dx.doi.org/10.1093/zoolinnean/zlab015")</f>
        <v>http://dx.doi.org/10.1093/zoolinnean/zlab015</v>
      </c>
      <c r="BG315" s="2" t="s">
        <v>74</v>
      </c>
      <c r="BH315" s="2" t="s">
        <v>3826</v>
      </c>
      <c r="BI315" s="2" t="s">
        <v>74</v>
      </c>
      <c r="BJ315" s="2" t="s">
        <v>74</v>
      </c>
      <c r="BK315" s="2" t="s">
        <v>74</v>
      </c>
      <c r="BL315" s="2" t="s">
        <v>74</v>
      </c>
      <c r="BM315" s="2" t="s">
        <v>74</v>
      </c>
      <c r="BN315" s="2" t="s">
        <v>74</v>
      </c>
      <c r="BO315" s="2" t="s">
        <v>74</v>
      </c>
      <c r="BP315" s="2" t="s">
        <v>74</v>
      </c>
      <c r="BQ315" s="2" t="s">
        <v>74</v>
      </c>
      <c r="BR315" s="2" t="s">
        <v>74</v>
      </c>
      <c r="BS315" s="2" t="s">
        <v>3827</v>
      </c>
      <c r="BT315" s="2" t="str">
        <f>HYPERLINK("https%3A%2F%2Fwww.webofscience.com%2Fwos%2Fwoscc%2Ffull-record%2FWOS:000764722000001","View Full Record in Web of Science")</f>
        <v>View Full Record in Web of Science</v>
      </c>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row>
    <row r="316" spans="1:314" s="2" customFormat="1" x14ac:dyDescent="0.4">
      <c r="A316" s="2" t="s">
        <v>72</v>
      </c>
      <c r="B316" s="2" t="s">
        <v>3828</v>
      </c>
      <c r="C316" s="2" t="s">
        <v>74</v>
      </c>
      <c r="D316" s="2" t="s">
        <v>74</v>
      </c>
      <c r="E316" s="2" t="s">
        <v>74</v>
      </c>
      <c r="F316" s="2" t="s">
        <v>3829</v>
      </c>
      <c r="G316" s="2" t="s">
        <v>74</v>
      </c>
      <c r="H316" s="2" t="s">
        <v>74</v>
      </c>
      <c r="I316" s="2" t="s">
        <v>3816</v>
      </c>
      <c r="J316" s="2" t="s">
        <v>3817</v>
      </c>
      <c r="K316" s="2" t="s">
        <v>74</v>
      </c>
      <c r="L316" s="2" t="s">
        <v>74</v>
      </c>
      <c r="M316" s="2" t="s">
        <v>74</v>
      </c>
      <c r="N316" s="2" t="s">
        <v>74</v>
      </c>
      <c r="O316" s="2" t="s">
        <v>74</v>
      </c>
      <c r="P316" s="2" t="s">
        <v>74</v>
      </c>
      <c r="Q316" s="2" t="s">
        <v>74</v>
      </c>
      <c r="R316" s="2" t="s">
        <v>74</v>
      </c>
      <c r="S316" s="2" t="s">
        <v>74</v>
      </c>
      <c r="T316" s="2" t="s">
        <v>74</v>
      </c>
      <c r="U316" s="2" t="s">
        <v>74</v>
      </c>
      <c r="V316" s="5" t="s">
        <v>3830</v>
      </c>
      <c r="W316" s="2" t="s">
        <v>74</v>
      </c>
      <c r="X316" s="2" t="s">
        <v>74</v>
      </c>
      <c r="Y316" s="2" t="s">
        <v>74</v>
      </c>
      <c r="Z316" s="2" t="s">
        <v>74</v>
      </c>
      <c r="AA316" s="2" t="s">
        <v>3831</v>
      </c>
      <c r="AB316" s="2" t="s">
        <v>3832</v>
      </c>
      <c r="AC316" s="2" t="s">
        <v>74</v>
      </c>
      <c r="AD316" s="2" t="s">
        <v>74</v>
      </c>
      <c r="AE316" s="2" t="s">
        <v>74</v>
      </c>
      <c r="AF316" s="2" t="s">
        <v>74</v>
      </c>
      <c r="AG316" s="2" t="s">
        <v>74</v>
      </c>
      <c r="AH316" s="2" t="s">
        <v>74</v>
      </c>
      <c r="AI316" s="2" t="s">
        <v>74</v>
      </c>
      <c r="AJ316" s="2" t="s">
        <v>74</v>
      </c>
      <c r="AK316" s="2" t="s">
        <v>74</v>
      </c>
      <c r="AL316" s="2" t="s">
        <v>74</v>
      </c>
      <c r="AM316" s="2" t="s">
        <v>74</v>
      </c>
      <c r="AN316" s="2" t="s">
        <v>74</v>
      </c>
      <c r="AO316" s="2" t="s">
        <v>3821</v>
      </c>
      <c r="AP316" s="2" t="s">
        <v>3822</v>
      </c>
      <c r="AQ316" s="2" t="s">
        <v>74</v>
      </c>
      <c r="AR316" s="2" t="s">
        <v>74</v>
      </c>
      <c r="AS316" s="2" t="s">
        <v>74</v>
      </c>
      <c r="AT316" s="2" t="s">
        <v>3833</v>
      </c>
      <c r="AU316" s="2">
        <v>2022</v>
      </c>
      <c r="AV316" s="2">
        <v>194</v>
      </c>
      <c r="AW316" s="2">
        <v>3</v>
      </c>
      <c r="AX316" s="2" t="s">
        <v>74</v>
      </c>
      <c r="AY316" s="2" t="s">
        <v>74</v>
      </c>
      <c r="AZ316" s="2" t="s">
        <v>74</v>
      </c>
      <c r="BA316" s="2" t="s">
        <v>74</v>
      </c>
      <c r="BB316" s="2">
        <v>973</v>
      </c>
      <c r="BC316" s="2">
        <v>1034</v>
      </c>
      <c r="BD316" s="2" t="s">
        <v>74</v>
      </c>
      <c r="BE316" s="2" t="s">
        <v>74</v>
      </c>
      <c r="BF316" s="2" t="s">
        <v>74</v>
      </c>
      <c r="BG316" s="2" t="s">
        <v>74</v>
      </c>
      <c r="BH316" s="2" t="s">
        <v>74</v>
      </c>
      <c r="BI316" s="2" t="s">
        <v>74</v>
      </c>
      <c r="BJ316" s="2" t="s">
        <v>74</v>
      </c>
      <c r="BK316" s="2" t="s">
        <v>74</v>
      </c>
      <c r="BL316" s="2" t="s">
        <v>74</v>
      </c>
      <c r="BM316" s="2" t="s">
        <v>74</v>
      </c>
      <c r="BN316" s="2" t="s">
        <v>74</v>
      </c>
      <c r="BO316" s="2" t="s">
        <v>74</v>
      </c>
      <c r="BP316" s="2" t="s">
        <v>74</v>
      </c>
      <c r="BQ316" s="2" t="s">
        <v>74</v>
      </c>
      <c r="BR316" s="2" t="s">
        <v>74</v>
      </c>
      <c r="BS316" s="2" t="s">
        <v>3834</v>
      </c>
      <c r="BT316" s="2" t="str">
        <f>HYPERLINK("https%3A%2F%2Fwww.webofscience.com%2Fwos%2Fwoscc%2Ffull-record%2FWOS:000766308500011","View Full Record in Web of Science")</f>
        <v>View Full Record in Web of Science</v>
      </c>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row>
    <row r="317" spans="1:314" s="2" customFormat="1" x14ac:dyDescent="0.4">
      <c r="A317" s="2" t="s">
        <v>72</v>
      </c>
      <c r="B317" s="2" t="s">
        <v>2690</v>
      </c>
      <c r="C317" s="2" t="s">
        <v>74</v>
      </c>
      <c r="D317" s="2" t="s">
        <v>74</v>
      </c>
      <c r="E317" s="2" t="s">
        <v>74</v>
      </c>
      <c r="F317" s="2" t="s">
        <v>2690</v>
      </c>
      <c r="G317" s="2" t="s">
        <v>74</v>
      </c>
      <c r="H317" s="2" t="s">
        <v>74</v>
      </c>
      <c r="I317" s="2" t="s">
        <v>2691</v>
      </c>
      <c r="J317" s="2" t="s">
        <v>2692</v>
      </c>
      <c r="K317" s="2" t="s">
        <v>74</v>
      </c>
      <c r="L317" s="2" t="s">
        <v>74</v>
      </c>
      <c r="M317" s="2" t="s">
        <v>74</v>
      </c>
      <c r="N317" s="2" t="s">
        <v>74</v>
      </c>
      <c r="O317" s="2" t="s">
        <v>74</v>
      </c>
      <c r="P317" s="2" t="s">
        <v>74</v>
      </c>
      <c r="Q317" s="2" t="s">
        <v>74</v>
      </c>
      <c r="R317" s="2" t="s">
        <v>74</v>
      </c>
      <c r="S317" s="2" t="s">
        <v>74</v>
      </c>
      <c r="T317" s="2" t="s">
        <v>74</v>
      </c>
      <c r="U317" s="2" t="s">
        <v>74</v>
      </c>
      <c r="V317" s="5" t="s">
        <v>2693</v>
      </c>
      <c r="W317" s="2" t="s">
        <v>74</v>
      </c>
      <c r="X317" s="2" t="s">
        <v>74</v>
      </c>
      <c r="Y317" s="2" t="s">
        <v>74</v>
      </c>
      <c r="Z317" s="2" t="s">
        <v>74</v>
      </c>
      <c r="AA317" s="2" t="s">
        <v>74</v>
      </c>
      <c r="AB317" s="2" t="s">
        <v>74</v>
      </c>
      <c r="AC317" s="2" t="s">
        <v>74</v>
      </c>
      <c r="AD317" s="2" t="s">
        <v>74</v>
      </c>
      <c r="AE317" s="2" t="s">
        <v>74</v>
      </c>
      <c r="AF317" s="2" t="s">
        <v>74</v>
      </c>
      <c r="AG317" s="2" t="s">
        <v>74</v>
      </c>
      <c r="AH317" s="2" t="s">
        <v>74</v>
      </c>
      <c r="AI317" s="2" t="s">
        <v>74</v>
      </c>
      <c r="AJ317" s="2" t="s">
        <v>74</v>
      </c>
      <c r="AK317" s="2" t="s">
        <v>74</v>
      </c>
      <c r="AL317" s="2" t="s">
        <v>74</v>
      </c>
      <c r="AM317" s="2" t="s">
        <v>74</v>
      </c>
      <c r="AN317" s="2" t="s">
        <v>74</v>
      </c>
      <c r="AO317" s="2" t="s">
        <v>2694</v>
      </c>
      <c r="AP317" s="2" t="s">
        <v>74</v>
      </c>
      <c r="AQ317" s="2" t="s">
        <v>74</v>
      </c>
      <c r="AR317" s="2" t="s">
        <v>74</v>
      </c>
      <c r="AS317" s="2" t="s">
        <v>74</v>
      </c>
      <c r="AT317" s="2" t="s">
        <v>305</v>
      </c>
      <c r="AU317" s="2">
        <v>2002</v>
      </c>
      <c r="AV317" s="2">
        <v>12</v>
      </c>
      <c r="AW317" s="2">
        <v>4</v>
      </c>
      <c r="AX317" s="2" t="s">
        <v>74</v>
      </c>
      <c r="AY317" s="2" t="s">
        <v>74</v>
      </c>
      <c r="AZ317" s="2" t="s">
        <v>74</v>
      </c>
      <c r="BA317" s="2" t="s">
        <v>74</v>
      </c>
      <c r="BB317" s="2">
        <v>353</v>
      </c>
      <c r="BC317" s="2">
        <v>364</v>
      </c>
      <c r="BD317" s="2" t="s">
        <v>74</v>
      </c>
      <c r="BE317" s="2" t="s">
        <v>2695</v>
      </c>
      <c r="BF317" s="2" t="str">
        <f>HYPERLINK("http://dx.doi.org/10.1017/S0959270902002228","http://dx.doi.org/10.1017/S0959270902002228")</f>
        <v>http://dx.doi.org/10.1017/S0959270902002228</v>
      </c>
      <c r="BG317" s="2" t="s">
        <v>74</v>
      </c>
      <c r="BH317" s="2" t="s">
        <v>74</v>
      </c>
      <c r="BI317" s="2" t="s">
        <v>74</v>
      </c>
      <c r="BJ317" s="2" t="s">
        <v>74</v>
      </c>
      <c r="BK317" s="2" t="s">
        <v>74</v>
      </c>
      <c r="BL317" s="2" t="s">
        <v>74</v>
      </c>
      <c r="BM317" s="2" t="s">
        <v>74</v>
      </c>
      <c r="BN317" s="2" t="s">
        <v>74</v>
      </c>
      <c r="BO317" s="2" t="s">
        <v>74</v>
      </c>
      <c r="BP317" s="2" t="s">
        <v>74</v>
      </c>
      <c r="BQ317" s="2" t="s">
        <v>74</v>
      </c>
      <c r="BR317" s="2" t="s">
        <v>74</v>
      </c>
      <c r="BS317" s="2" t="s">
        <v>2696</v>
      </c>
      <c r="BT317" s="2" t="str">
        <f>HYPERLINK("https%3A%2F%2Fwww.webofscience.com%2Fwos%2Fwoscc%2Ffull-record%2FWOS:000180506600005","View Full Record in Web of Science")</f>
        <v>View Full Record in Web of Science</v>
      </c>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row>
    <row r="318" spans="1:314" s="2" customFormat="1" x14ac:dyDescent="0.4">
      <c r="A318" s="2" t="s">
        <v>72</v>
      </c>
      <c r="B318" s="2" t="s">
        <v>2865</v>
      </c>
      <c r="C318" s="2" t="s">
        <v>74</v>
      </c>
      <c r="D318" s="2" t="s">
        <v>74</v>
      </c>
      <c r="E318" s="2" t="s">
        <v>74</v>
      </c>
      <c r="F318" s="2" t="s">
        <v>2866</v>
      </c>
      <c r="G318" s="2" t="s">
        <v>74</v>
      </c>
      <c r="H318" s="2" t="s">
        <v>74</v>
      </c>
      <c r="I318" s="2" t="s">
        <v>2867</v>
      </c>
      <c r="J318" s="2" t="s">
        <v>1673</v>
      </c>
      <c r="K318" s="2" t="s">
        <v>74</v>
      </c>
      <c r="L318" s="2" t="s">
        <v>74</v>
      </c>
      <c r="M318" s="2" t="s">
        <v>74</v>
      </c>
      <c r="N318" s="2" t="s">
        <v>74</v>
      </c>
      <c r="O318" s="2" t="s">
        <v>74</v>
      </c>
      <c r="P318" s="2" t="s">
        <v>74</v>
      </c>
      <c r="Q318" s="2" t="s">
        <v>74</v>
      </c>
      <c r="R318" s="2" t="s">
        <v>74</v>
      </c>
      <c r="S318" s="2" t="s">
        <v>74</v>
      </c>
      <c r="T318" s="2" t="s">
        <v>74</v>
      </c>
      <c r="U318" s="2" t="s">
        <v>74</v>
      </c>
      <c r="V318" s="5" t="s">
        <v>2868</v>
      </c>
      <c r="W318" s="2" t="s">
        <v>74</v>
      </c>
      <c r="X318" s="2" t="s">
        <v>74</v>
      </c>
      <c r="Y318" s="2" t="s">
        <v>74</v>
      </c>
      <c r="Z318" s="2" t="s">
        <v>74</v>
      </c>
      <c r="AA318" s="2" t="s">
        <v>2869</v>
      </c>
      <c r="AB318" s="2" t="s">
        <v>2870</v>
      </c>
      <c r="AC318" s="2" t="s">
        <v>74</v>
      </c>
      <c r="AD318" s="2" t="s">
        <v>74</v>
      </c>
      <c r="AE318" s="2" t="s">
        <v>74</v>
      </c>
      <c r="AF318" s="2" t="s">
        <v>74</v>
      </c>
      <c r="AG318" s="2" t="s">
        <v>74</v>
      </c>
      <c r="AH318" s="2" t="s">
        <v>74</v>
      </c>
      <c r="AI318" s="2" t="s">
        <v>74</v>
      </c>
      <c r="AJ318" s="2" t="s">
        <v>74</v>
      </c>
      <c r="AK318" s="2" t="s">
        <v>74</v>
      </c>
      <c r="AL318" s="2" t="s">
        <v>74</v>
      </c>
      <c r="AM318" s="2" t="s">
        <v>74</v>
      </c>
      <c r="AN318" s="2" t="s">
        <v>74</v>
      </c>
      <c r="AO318" s="2" t="s">
        <v>1239</v>
      </c>
      <c r="AP318" s="2" t="s">
        <v>1675</v>
      </c>
      <c r="AQ318" s="2" t="s">
        <v>74</v>
      </c>
      <c r="AR318" s="2" t="s">
        <v>74</v>
      </c>
      <c r="AS318" s="2" t="s">
        <v>74</v>
      </c>
      <c r="AT318" s="2" t="s">
        <v>145</v>
      </c>
      <c r="AU318" s="2">
        <v>2023</v>
      </c>
      <c r="AV318" s="2">
        <v>101</v>
      </c>
      <c r="AW318" s="2">
        <v>8</v>
      </c>
      <c r="AX318" s="2" t="s">
        <v>74</v>
      </c>
      <c r="AY318" s="2" t="s">
        <v>74</v>
      </c>
      <c r="AZ318" s="2" t="s">
        <v>74</v>
      </c>
      <c r="BA318" s="2" t="s">
        <v>74</v>
      </c>
      <c r="BB318" s="2">
        <v>658</v>
      </c>
      <c r="BC318" s="2">
        <v>671</v>
      </c>
      <c r="BD318" s="2" t="s">
        <v>74</v>
      </c>
      <c r="BE318" s="2" t="s">
        <v>2871</v>
      </c>
      <c r="BF318" s="2" t="str">
        <f>HYPERLINK("http://dx.doi.org/10.1139/cjz-2023-0039","http://dx.doi.org/10.1139/cjz-2023-0039")</f>
        <v>http://dx.doi.org/10.1139/cjz-2023-0039</v>
      </c>
      <c r="BG318" s="2" t="s">
        <v>74</v>
      </c>
      <c r="BH318" s="2" t="s">
        <v>1391</v>
      </c>
      <c r="BI318" s="2" t="s">
        <v>74</v>
      </c>
      <c r="BJ318" s="2" t="s">
        <v>74</v>
      </c>
      <c r="BK318" s="2" t="s">
        <v>74</v>
      </c>
      <c r="BL318" s="2" t="s">
        <v>74</v>
      </c>
      <c r="BM318" s="2" t="s">
        <v>74</v>
      </c>
      <c r="BN318" s="2" t="s">
        <v>74</v>
      </c>
      <c r="BO318" s="2" t="s">
        <v>74</v>
      </c>
      <c r="BP318" s="2" t="s">
        <v>74</v>
      </c>
      <c r="BQ318" s="2" t="s">
        <v>74</v>
      </c>
      <c r="BR318" s="2" t="s">
        <v>74</v>
      </c>
      <c r="BS318" s="2" t="s">
        <v>2872</v>
      </c>
      <c r="BT318" s="2" t="str">
        <f>HYPERLINK("https%3A%2F%2Fwww.webofscience.com%2Fwos%2Fwoscc%2Ffull-record%2FWOS:000995450300001","View Full Record in Web of Science")</f>
        <v>View Full Record in Web of Science</v>
      </c>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row>
    <row r="319" spans="1:314" s="2" customFormat="1" x14ac:dyDescent="0.4">
      <c r="A319" s="2" t="s">
        <v>72</v>
      </c>
      <c r="B319" s="2" t="s">
        <v>4403</v>
      </c>
      <c r="C319" s="2" t="s">
        <v>74</v>
      </c>
      <c r="D319" s="2" t="s">
        <v>74</v>
      </c>
      <c r="E319" s="2" t="s">
        <v>74</v>
      </c>
      <c r="F319" s="2" t="s">
        <v>4403</v>
      </c>
      <c r="G319" s="2" t="s">
        <v>74</v>
      </c>
      <c r="H319" s="2" t="s">
        <v>74</v>
      </c>
      <c r="I319" s="2" t="s">
        <v>4404</v>
      </c>
      <c r="J319" s="2" t="s">
        <v>2152</v>
      </c>
      <c r="K319" s="2" t="s">
        <v>74</v>
      </c>
      <c r="L319" s="2" t="s">
        <v>74</v>
      </c>
      <c r="M319" s="2" t="s">
        <v>74</v>
      </c>
      <c r="N319" s="2" t="s">
        <v>74</v>
      </c>
      <c r="O319" s="2" t="s">
        <v>74</v>
      </c>
      <c r="P319" s="2" t="s">
        <v>74</v>
      </c>
      <c r="Q319" s="2" t="s">
        <v>74</v>
      </c>
      <c r="R319" s="2" t="s">
        <v>74</v>
      </c>
      <c r="S319" s="2" t="s">
        <v>74</v>
      </c>
      <c r="T319" s="2" t="s">
        <v>74</v>
      </c>
      <c r="U319" s="2" t="s">
        <v>74</v>
      </c>
      <c r="V319" s="5" t="s">
        <v>4405</v>
      </c>
      <c r="W319" s="2" t="s">
        <v>74</v>
      </c>
      <c r="X319" s="2" t="s">
        <v>74</v>
      </c>
      <c r="Y319" s="2" t="s">
        <v>74</v>
      </c>
      <c r="Z319" s="2" t="s">
        <v>74</v>
      </c>
      <c r="AA319" s="2" t="s">
        <v>74</v>
      </c>
      <c r="AB319" s="2" t="s">
        <v>74</v>
      </c>
      <c r="AC319" s="2" t="s">
        <v>74</v>
      </c>
      <c r="AD319" s="2" t="s">
        <v>74</v>
      </c>
      <c r="AE319" s="2" t="s">
        <v>74</v>
      </c>
      <c r="AF319" s="2" t="s">
        <v>74</v>
      </c>
      <c r="AG319" s="2" t="s">
        <v>74</v>
      </c>
      <c r="AH319" s="2" t="s">
        <v>74</v>
      </c>
      <c r="AI319" s="2" t="s">
        <v>74</v>
      </c>
      <c r="AJ319" s="2" t="s">
        <v>74</v>
      </c>
      <c r="AK319" s="2" t="s">
        <v>74</v>
      </c>
      <c r="AL319" s="2" t="s">
        <v>74</v>
      </c>
      <c r="AM319" s="2" t="s">
        <v>74</v>
      </c>
      <c r="AN319" s="2" t="s">
        <v>74</v>
      </c>
      <c r="AO319" s="2" t="s">
        <v>2153</v>
      </c>
      <c r="AP319" s="2" t="s">
        <v>74</v>
      </c>
      <c r="AQ319" s="2" t="s">
        <v>74</v>
      </c>
      <c r="AR319" s="2" t="s">
        <v>74</v>
      </c>
      <c r="AS319" s="2" t="s">
        <v>74</v>
      </c>
      <c r="AT319" s="2" t="s">
        <v>74</v>
      </c>
      <c r="AU319" s="2">
        <v>1983</v>
      </c>
      <c r="AV319" s="2">
        <v>32</v>
      </c>
      <c r="AW319" s="2">
        <v>1</v>
      </c>
      <c r="AX319" s="2" t="s">
        <v>74</v>
      </c>
      <c r="AY319" s="2" t="s">
        <v>74</v>
      </c>
      <c r="AZ319" s="2" t="s">
        <v>74</v>
      </c>
      <c r="BA319" s="2" t="s">
        <v>74</v>
      </c>
      <c r="BB319" s="2">
        <v>1</v>
      </c>
      <c r="BC319" s="2">
        <v>12</v>
      </c>
      <c r="BD319" s="2" t="s">
        <v>74</v>
      </c>
      <c r="BE319" s="2" t="s">
        <v>74</v>
      </c>
      <c r="BF319" s="2" t="s">
        <v>74</v>
      </c>
      <c r="BG319" s="2" t="s">
        <v>74</v>
      </c>
      <c r="BH319" s="2" t="s">
        <v>74</v>
      </c>
      <c r="BI319" s="2" t="s">
        <v>74</v>
      </c>
      <c r="BJ319" s="2" t="s">
        <v>74</v>
      </c>
      <c r="BK319" s="2" t="s">
        <v>74</v>
      </c>
      <c r="BL319" s="2" t="s">
        <v>74</v>
      </c>
      <c r="BM319" s="2" t="s">
        <v>74</v>
      </c>
      <c r="BN319" s="2" t="s">
        <v>74</v>
      </c>
      <c r="BO319" s="2" t="s">
        <v>74</v>
      </c>
      <c r="BP319" s="2" t="s">
        <v>74</v>
      </c>
      <c r="BQ319" s="2" t="s">
        <v>74</v>
      </c>
      <c r="BR319" s="2" t="s">
        <v>74</v>
      </c>
      <c r="BS319" s="2" t="s">
        <v>4406</v>
      </c>
      <c r="BT319" s="2" t="str">
        <f>HYPERLINK("https%3A%2F%2Fwww.webofscience.com%2Fwos%2Fwoscc%2Ffull-record%2FWOS:A1983RJ22700001","View Full Record in Web of Science")</f>
        <v>View Full Record in Web of Science</v>
      </c>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row>
    <row r="320" spans="1:314" s="2" customFormat="1" x14ac:dyDescent="0.4">
      <c r="A320" s="2" t="s">
        <v>72</v>
      </c>
      <c r="B320" s="2" t="s">
        <v>8007</v>
      </c>
      <c r="C320" s="2" t="s">
        <v>74</v>
      </c>
      <c r="D320" s="2" t="s">
        <v>74</v>
      </c>
      <c r="E320" s="2" t="s">
        <v>74</v>
      </c>
      <c r="F320" s="2" t="s">
        <v>8008</v>
      </c>
      <c r="G320" s="2" t="s">
        <v>74</v>
      </c>
      <c r="H320" s="2" t="s">
        <v>74</v>
      </c>
      <c r="I320" s="2" t="s">
        <v>8009</v>
      </c>
      <c r="J320" s="2" t="s">
        <v>333</v>
      </c>
      <c r="K320" s="2" t="s">
        <v>74</v>
      </c>
      <c r="L320" s="2" t="s">
        <v>74</v>
      </c>
      <c r="M320" s="2" t="s">
        <v>74</v>
      </c>
      <c r="N320" s="2" t="s">
        <v>74</v>
      </c>
      <c r="O320" s="2" t="s">
        <v>74</v>
      </c>
      <c r="P320" s="2" t="s">
        <v>74</v>
      </c>
      <c r="Q320" s="2" t="s">
        <v>74</v>
      </c>
      <c r="R320" s="2" t="s">
        <v>74</v>
      </c>
      <c r="S320" s="2" t="s">
        <v>74</v>
      </c>
      <c r="T320" s="2" t="s">
        <v>74</v>
      </c>
      <c r="U320" s="2" t="s">
        <v>74</v>
      </c>
      <c r="V320" s="5" t="s">
        <v>8010</v>
      </c>
      <c r="W320" s="2" t="s">
        <v>74</v>
      </c>
      <c r="X320" s="2" t="s">
        <v>74</v>
      </c>
      <c r="Y320" s="2" t="s">
        <v>74</v>
      </c>
      <c r="Z320" s="2" t="s">
        <v>74</v>
      </c>
      <c r="AA320" s="2" t="s">
        <v>1416</v>
      </c>
      <c r="AB320" s="2" t="s">
        <v>74</v>
      </c>
      <c r="AC320" s="2" t="s">
        <v>74</v>
      </c>
      <c r="AD320" s="2" t="s">
        <v>74</v>
      </c>
      <c r="AE320" s="2" t="s">
        <v>74</v>
      </c>
      <c r="AF320" s="2" t="s">
        <v>74</v>
      </c>
      <c r="AG320" s="2" t="s">
        <v>74</v>
      </c>
      <c r="AH320" s="2" t="s">
        <v>74</v>
      </c>
      <c r="AI320" s="2" t="s">
        <v>74</v>
      </c>
      <c r="AJ320" s="2" t="s">
        <v>74</v>
      </c>
      <c r="AK320" s="2" t="s">
        <v>74</v>
      </c>
      <c r="AL320" s="2" t="s">
        <v>74</v>
      </c>
      <c r="AM320" s="2" t="s">
        <v>74</v>
      </c>
      <c r="AN320" s="2" t="s">
        <v>74</v>
      </c>
      <c r="AO320" s="2" t="s">
        <v>337</v>
      </c>
      <c r="AP320" s="2" t="s">
        <v>338</v>
      </c>
      <c r="AQ320" s="2" t="s">
        <v>74</v>
      </c>
      <c r="AR320" s="2" t="s">
        <v>74</v>
      </c>
      <c r="AS320" s="2" t="s">
        <v>74</v>
      </c>
      <c r="AT320" s="2" t="s">
        <v>1013</v>
      </c>
      <c r="AU320" s="2">
        <v>2014</v>
      </c>
      <c r="AV320" s="2">
        <v>25</v>
      </c>
      <c r="AW320" s="2">
        <v>5</v>
      </c>
      <c r="AX320" s="2" t="s">
        <v>74</v>
      </c>
      <c r="AY320" s="2" t="s">
        <v>74</v>
      </c>
      <c r="AZ320" s="2" t="s">
        <v>74</v>
      </c>
      <c r="BA320" s="2" t="s">
        <v>74</v>
      </c>
      <c r="BB320" s="2">
        <v>1097</v>
      </c>
      <c r="BC320" s="2">
        <v>1104</v>
      </c>
      <c r="BD320" s="2" t="s">
        <v>74</v>
      </c>
      <c r="BE320" s="2" t="s">
        <v>8011</v>
      </c>
      <c r="BF320" s="2" t="str">
        <f>HYPERLINK("http://dx.doi.org/10.1093/beheco/aru087","http://dx.doi.org/10.1093/beheco/aru087")</f>
        <v>http://dx.doi.org/10.1093/beheco/aru087</v>
      </c>
      <c r="BG320" s="2" t="s">
        <v>74</v>
      </c>
      <c r="BH320" s="2" t="s">
        <v>74</v>
      </c>
      <c r="BI320" s="2" t="s">
        <v>74</v>
      </c>
      <c r="BJ320" s="2" t="s">
        <v>74</v>
      </c>
      <c r="BK320" s="2" t="s">
        <v>74</v>
      </c>
      <c r="BL320" s="2" t="s">
        <v>74</v>
      </c>
      <c r="BM320" s="2" t="s">
        <v>74</v>
      </c>
      <c r="BN320" s="2" t="s">
        <v>74</v>
      </c>
      <c r="BO320" s="2" t="s">
        <v>74</v>
      </c>
      <c r="BP320" s="2" t="s">
        <v>74</v>
      </c>
      <c r="BQ320" s="2" t="s">
        <v>74</v>
      </c>
      <c r="BR320" s="2" t="s">
        <v>74</v>
      </c>
      <c r="BS320" s="2" t="s">
        <v>8012</v>
      </c>
      <c r="BT320" s="2" t="str">
        <f>HYPERLINK("https%3A%2F%2Fwww.webofscience.com%2Fwos%2Fwoscc%2Ffull-record%2FWOS:000342360200015","View Full Record in Web of Science")</f>
        <v>View Full Record in Web of Science</v>
      </c>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row>
    <row r="321" spans="1:314" s="2" customFormat="1" x14ac:dyDescent="0.4">
      <c r="A321" s="2" t="s">
        <v>72</v>
      </c>
      <c r="B321" s="2" t="s">
        <v>6217</v>
      </c>
      <c r="C321" s="2" t="s">
        <v>74</v>
      </c>
      <c r="D321" s="2" t="s">
        <v>74</v>
      </c>
      <c r="E321" s="2" t="s">
        <v>74</v>
      </c>
      <c r="F321" s="2" t="s">
        <v>6217</v>
      </c>
      <c r="G321" s="2" t="s">
        <v>74</v>
      </c>
      <c r="H321" s="2" t="s">
        <v>74</v>
      </c>
      <c r="I321" s="2" t="s">
        <v>6218</v>
      </c>
      <c r="J321" s="2" t="s">
        <v>312</v>
      </c>
      <c r="K321" s="2" t="s">
        <v>74</v>
      </c>
      <c r="L321" s="2" t="s">
        <v>74</v>
      </c>
      <c r="M321" s="2" t="s">
        <v>74</v>
      </c>
      <c r="N321" s="2" t="s">
        <v>74</v>
      </c>
      <c r="O321" s="2" t="s">
        <v>74</v>
      </c>
      <c r="P321" s="2" t="s">
        <v>74</v>
      </c>
      <c r="Q321" s="2" t="s">
        <v>74</v>
      </c>
      <c r="R321" s="2" t="s">
        <v>74</v>
      </c>
      <c r="S321" s="2" t="s">
        <v>74</v>
      </c>
      <c r="T321" s="2" t="s">
        <v>74</v>
      </c>
      <c r="U321" s="2" t="s">
        <v>74</v>
      </c>
      <c r="V321" s="5" t="s">
        <v>6219</v>
      </c>
      <c r="W321" s="2" t="s">
        <v>74</v>
      </c>
      <c r="X321" s="2" t="s">
        <v>74</v>
      </c>
      <c r="Y321" s="2" t="s">
        <v>74</v>
      </c>
      <c r="Z321" s="2" t="s">
        <v>74</v>
      </c>
      <c r="AA321" s="2" t="s">
        <v>6220</v>
      </c>
      <c r="AB321" s="2" t="s">
        <v>6221</v>
      </c>
      <c r="AC321" s="2" t="s">
        <v>74</v>
      </c>
      <c r="AD321" s="2" t="s">
        <v>74</v>
      </c>
      <c r="AE321" s="2" t="s">
        <v>74</v>
      </c>
      <c r="AF321" s="2" t="s">
        <v>74</v>
      </c>
      <c r="AG321" s="2" t="s">
        <v>74</v>
      </c>
      <c r="AH321" s="2" t="s">
        <v>74</v>
      </c>
      <c r="AI321" s="2" t="s">
        <v>74</v>
      </c>
      <c r="AJ321" s="2" t="s">
        <v>74</v>
      </c>
      <c r="AK321" s="2" t="s">
        <v>74</v>
      </c>
      <c r="AL321" s="2" t="s">
        <v>74</v>
      </c>
      <c r="AM321" s="2" t="s">
        <v>74</v>
      </c>
      <c r="AN321" s="2" t="s">
        <v>74</v>
      </c>
      <c r="AO321" s="2" t="s">
        <v>314</v>
      </c>
      <c r="AP321" s="2" t="s">
        <v>315</v>
      </c>
      <c r="AQ321" s="2" t="s">
        <v>74</v>
      </c>
      <c r="AR321" s="2" t="s">
        <v>74</v>
      </c>
      <c r="AS321" s="2" t="s">
        <v>74</v>
      </c>
      <c r="AT321" s="2" t="s">
        <v>204</v>
      </c>
      <c r="AU321" s="2">
        <v>2001</v>
      </c>
      <c r="AV321" s="2">
        <v>158</v>
      </c>
      <c r="AW321" s="2">
        <v>1</v>
      </c>
      <c r="AX321" s="2" t="s">
        <v>74</v>
      </c>
      <c r="AY321" s="2" t="s">
        <v>74</v>
      </c>
      <c r="AZ321" s="2" t="s">
        <v>74</v>
      </c>
      <c r="BA321" s="2" t="s">
        <v>74</v>
      </c>
      <c r="BB321" s="2">
        <v>75</v>
      </c>
      <c r="BC321" s="2">
        <v>86</v>
      </c>
      <c r="BD321" s="2" t="s">
        <v>74</v>
      </c>
      <c r="BE321" s="2" t="s">
        <v>6222</v>
      </c>
      <c r="BF321" s="2" t="str">
        <f>HYPERLINK("http://dx.doi.org/10.1086/320861","http://dx.doi.org/10.1086/320861")</f>
        <v>http://dx.doi.org/10.1086/320861</v>
      </c>
      <c r="BG321" s="2" t="s">
        <v>74</v>
      </c>
      <c r="BH321" s="2" t="s">
        <v>74</v>
      </c>
      <c r="BI321" s="2" t="s">
        <v>74</v>
      </c>
      <c r="BJ321" s="2" t="s">
        <v>74</v>
      </c>
      <c r="BK321" s="2" t="s">
        <v>74</v>
      </c>
      <c r="BL321" s="2" t="s">
        <v>74</v>
      </c>
      <c r="BM321" s="2" t="s">
        <v>74</v>
      </c>
      <c r="BN321" s="2">
        <v>18707316</v>
      </c>
      <c r="BO321" s="2" t="s">
        <v>74</v>
      </c>
      <c r="BP321" s="2" t="s">
        <v>74</v>
      </c>
      <c r="BQ321" s="2" t="s">
        <v>74</v>
      </c>
      <c r="BR321" s="2" t="s">
        <v>74</v>
      </c>
      <c r="BS321" s="2" t="s">
        <v>6223</v>
      </c>
      <c r="BT321" s="2" t="str">
        <f>HYPERLINK("https%3A%2F%2Fwww.webofscience.com%2Fwos%2Fwoscc%2Ffull-record%2FWOS:000169198200006","View Full Record in Web of Science")</f>
        <v>View Full Record in Web of Science</v>
      </c>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row>
    <row r="322" spans="1:314" s="2" customFormat="1" x14ac:dyDescent="0.4">
      <c r="A322" s="2" t="s">
        <v>72</v>
      </c>
      <c r="B322" s="2" t="s">
        <v>6259</v>
      </c>
      <c r="C322" s="2" t="s">
        <v>74</v>
      </c>
      <c r="D322" s="2" t="s">
        <v>74</v>
      </c>
      <c r="E322" s="2" t="s">
        <v>74</v>
      </c>
      <c r="F322" s="2" t="s">
        <v>6260</v>
      </c>
      <c r="G322" s="2" t="s">
        <v>74</v>
      </c>
      <c r="H322" s="2" t="s">
        <v>74</v>
      </c>
      <c r="I322" s="2" t="s">
        <v>6261</v>
      </c>
      <c r="J322" s="2" t="s">
        <v>6262</v>
      </c>
      <c r="K322" s="2" t="s">
        <v>74</v>
      </c>
      <c r="L322" s="2" t="s">
        <v>74</v>
      </c>
      <c r="M322" s="2" t="s">
        <v>74</v>
      </c>
      <c r="N322" s="2" t="s">
        <v>74</v>
      </c>
      <c r="O322" s="2" t="s">
        <v>74</v>
      </c>
      <c r="P322" s="2" t="s">
        <v>74</v>
      </c>
      <c r="Q322" s="2" t="s">
        <v>74</v>
      </c>
      <c r="R322" s="2" t="s">
        <v>74</v>
      </c>
      <c r="S322" s="2" t="s">
        <v>74</v>
      </c>
      <c r="T322" s="2" t="s">
        <v>74</v>
      </c>
      <c r="U322" s="2" t="s">
        <v>74</v>
      </c>
      <c r="V322" s="5" t="s">
        <v>6263</v>
      </c>
      <c r="W322" s="2" t="s">
        <v>74</v>
      </c>
      <c r="X322" s="2" t="s">
        <v>74</v>
      </c>
      <c r="Y322" s="2" t="s">
        <v>74</v>
      </c>
      <c r="Z322" s="2" t="s">
        <v>74</v>
      </c>
      <c r="AA322" s="2" t="s">
        <v>6264</v>
      </c>
      <c r="AB322" s="2" t="s">
        <v>6265</v>
      </c>
      <c r="AC322" s="2" t="s">
        <v>74</v>
      </c>
      <c r="AD322" s="2" t="s">
        <v>74</v>
      </c>
      <c r="AE322" s="2" t="s">
        <v>74</v>
      </c>
      <c r="AF322" s="2" t="s">
        <v>74</v>
      </c>
      <c r="AG322" s="2" t="s">
        <v>74</v>
      </c>
      <c r="AH322" s="2" t="s">
        <v>74</v>
      </c>
      <c r="AI322" s="2" t="s">
        <v>74</v>
      </c>
      <c r="AJ322" s="2" t="s">
        <v>74</v>
      </c>
      <c r="AK322" s="2" t="s">
        <v>74</v>
      </c>
      <c r="AL322" s="2" t="s">
        <v>74</v>
      </c>
      <c r="AM322" s="2" t="s">
        <v>74</v>
      </c>
      <c r="AN322" s="2" t="s">
        <v>74</v>
      </c>
      <c r="AO322" s="2" t="s">
        <v>6266</v>
      </c>
      <c r="AP322" s="2" t="s">
        <v>74</v>
      </c>
      <c r="AQ322" s="2" t="s">
        <v>74</v>
      </c>
      <c r="AR322" s="2" t="s">
        <v>74</v>
      </c>
      <c r="AS322" s="2" t="s">
        <v>74</v>
      </c>
      <c r="AT322" s="2" t="s">
        <v>305</v>
      </c>
      <c r="AU322" s="2">
        <v>2006</v>
      </c>
      <c r="AV322" s="2">
        <v>29</v>
      </c>
      <c r="AW322" s="2">
        <v>6</v>
      </c>
      <c r="AX322" s="2" t="s">
        <v>74</v>
      </c>
      <c r="AY322" s="2" t="s">
        <v>74</v>
      </c>
      <c r="AZ322" s="2" t="s">
        <v>74</v>
      </c>
      <c r="BA322" s="2" t="s">
        <v>74</v>
      </c>
      <c r="BB322" s="2">
        <v>886</v>
      </c>
      <c r="BC322" s="2">
        <v>898</v>
      </c>
      <c r="BD322" s="2" t="s">
        <v>74</v>
      </c>
      <c r="BE322" s="2" t="s">
        <v>6267</v>
      </c>
      <c r="BF322" s="2" t="str">
        <f>HYPERLINK("http://dx.doi.org/10.1111/j.2006.0906-7590.04816.x","http://dx.doi.org/10.1111/j.2006.0906-7590.04816.x")</f>
        <v>http://dx.doi.org/10.1111/j.2006.0906-7590.04816.x</v>
      </c>
      <c r="BG322" s="2" t="s">
        <v>74</v>
      </c>
      <c r="BH322" s="2" t="s">
        <v>74</v>
      </c>
      <c r="BI322" s="2" t="s">
        <v>74</v>
      </c>
      <c r="BJ322" s="2" t="s">
        <v>74</v>
      </c>
      <c r="BK322" s="2" t="s">
        <v>74</v>
      </c>
      <c r="BL322" s="2" t="s">
        <v>74</v>
      </c>
      <c r="BM322" s="2" t="s">
        <v>74</v>
      </c>
      <c r="BN322" s="2" t="s">
        <v>74</v>
      </c>
      <c r="BO322" s="2" t="s">
        <v>74</v>
      </c>
      <c r="BP322" s="2" t="s">
        <v>74</v>
      </c>
      <c r="BQ322" s="2" t="s">
        <v>74</v>
      </c>
      <c r="BR322" s="2" t="s">
        <v>74</v>
      </c>
      <c r="BS322" s="2" t="s">
        <v>6268</v>
      </c>
      <c r="BT322" s="2" t="str">
        <f>HYPERLINK("https%3A%2F%2Fwww.webofscience.com%2Fwos%2Fwoscc%2Ffull-record%2FWOS:000243634500010","View Full Record in Web of Science")</f>
        <v>View Full Record in Web of Science</v>
      </c>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row>
    <row r="323" spans="1:314" s="2" customFormat="1" x14ac:dyDescent="0.4">
      <c r="A323" s="2" t="s">
        <v>72</v>
      </c>
      <c r="B323" s="2" t="s">
        <v>6781</v>
      </c>
      <c r="C323" s="2" t="s">
        <v>74</v>
      </c>
      <c r="D323" s="2" t="s">
        <v>74</v>
      </c>
      <c r="E323" s="2" t="s">
        <v>74</v>
      </c>
      <c r="F323" s="2" t="s">
        <v>6782</v>
      </c>
      <c r="G323" s="2" t="s">
        <v>74</v>
      </c>
      <c r="H323" s="2" t="s">
        <v>74</v>
      </c>
      <c r="I323" s="2" t="s">
        <v>6783</v>
      </c>
      <c r="J323" s="2" t="s">
        <v>367</v>
      </c>
      <c r="K323" s="2" t="s">
        <v>74</v>
      </c>
      <c r="L323" s="2" t="s">
        <v>74</v>
      </c>
      <c r="M323" s="2" t="s">
        <v>74</v>
      </c>
      <c r="N323" s="2" t="s">
        <v>74</v>
      </c>
      <c r="O323" s="2" t="s">
        <v>74</v>
      </c>
      <c r="P323" s="2" t="s">
        <v>74</v>
      </c>
      <c r="Q323" s="2" t="s">
        <v>74</v>
      </c>
      <c r="R323" s="2" t="s">
        <v>74</v>
      </c>
      <c r="S323" s="2" t="s">
        <v>74</v>
      </c>
      <c r="T323" s="2" t="s">
        <v>74</v>
      </c>
      <c r="U323" s="2" t="s">
        <v>74</v>
      </c>
      <c r="V323" s="5" t="s">
        <v>6784</v>
      </c>
      <c r="W323" s="2" t="s">
        <v>74</v>
      </c>
      <c r="X323" s="2" t="s">
        <v>74</v>
      </c>
      <c r="Y323" s="2" t="s">
        <v>74</v>
      </c>
      <c r="Z323" s="2" t="s">
        <v>74</v>
      </c>
      <c r="AA323" s="2" t="s">
        <v>6785</v>
      </c>
      <c r="AB323" s="2" t="s">
        <v>6786</v>
      </c>
      <c r="AC323" s="2" t="s">
        <v>74</v>
      </c>
      <c r="AD323" s="2" t="s">
        <v>74</v>
      </c>
      <c r="AE323" s="2" t="s">
        <v>74</v>
      </c>
      <c r="AF323" s="2" t="s">
        <v>74</v>
      </c>
      <c r="AG323" s="2" t="s">
        <v>74</v>
      </c>
      <c r="AH323" s="2" t="s">
        <v>74</v>
      </c>
      <c r="AI323" s="2" t="s">
        <v>74</v>
      </c>
      <c r="AJ323" s="2" t="s">
        <v>74</v>
      </c>
      <c r="AK323" s="2" t="s">
        <v>74</v>
      </c>
      <c r="AL323" s="2" t="s">
        <v>74</v>
      </c>
      <c r="AM323" s="2" t="s">
        <v>74</v>
      </c>
      <c r="AN323" s="2" t="s">
        <v>74</v>
      </c>
      <c r="AO323" s="2" t="s">
        <v>371</v>
      </c>
      <c r="AP323" s="2" t="s">
        <v>372</v>
      </c>
      <c r="AQ323" s="2" t="s">
        <v>74</v>
      </c>
      <c r="AR323" s="2" t="s">
        <v>74</v>
      </c>
      <c r="AS323" s="2" t="s">
        <v>74</v>
      </c>
      <c r="AT323" s="2" t="s">
        <v>134</v>
      </c>
      <c r="AU323" s="2">
        <v>2019</v>
      </c>
      <c r="AV323" s="2">
        <v>133</v>
      </c>
      <c r="AW323" s="2">
        <v>2</v>
      </c>
      <c r="AX323" s="2" t="s">
        <v>74</v>
      </c>
      <c r="AY323" s="2" t="s">
        <v>74</v>
      </c>
      <c r="AZ323" s="2" t="s">
        <v>74</v>
      </c>
      <c r="BA323" s="2" t="s">
        <v>74</v>
      </c>
      <c r="BB323" s="2">
        <v>262</v>
      </c>
      <c r="BC323" s="2">
        <v>271</v>
      </c>
      <c r="BD323" s="2" t="s">
        <v>74</v>
      </c>
      <c r="BE323" s="2" t="s">
        <v>6787</v>
      </c>
      <c r="BF323" s="2" t="str">
        <f>HYPERLINK("http://dx.doi.org/10.1037/com0000148","http://dx.doi.org/10.1037/com0000148")</f>
        <v>http://dx.doi.org/10.1037/com0000148</v>
      </c>
      <c r="BG323" s="2" t="s">
        <v>74</v>
      </c>
      <c r="BH323" s="2" t="s">
        <v>74</v>
      </c>
      <c r="BI323" s="2" t="s">
        <v>74</v>
      </c>
      <c r="BJ323" s="2" t="s">
        <v>74</v>
      </c>
      <c r="BK323" s="2" t="s">
        <v>74</v>
      </c>
      <c r="BL323" s="2" t="s">
        <v>74</v>
      </c>
      <c r="BM323" s="2" t="s">
        <v>74</v>
      </c>
      <c r="BN323" s="2">
        <v>30550303</v>
      </c>
      <c r="BO323" s="2" t="s">
        <v>74</v>
      </c>
      <c r="BP323" s="2" t="s">
        <v>74</v>
      </c>
      <c r="BQ323" s="2" t="s">
        <v>74</v>
      </c>
      <c r="BR323" s="2" t="s">
        <v>74</v>
      </c>
      <c r="BS323" s="2" t="s">
        <v>6788</v>
      </c>
      <c r="BT323" s="2" t="str">
        <f>HYPERLINK("https%3A%2F%2Fwww.webofscience.com%2Fwos%2Fwoscc%2Ffull-record%2FWOS:000467403500013","View Full Record in Web of Science")</f>
        <v>View Full Record in Web of Science</v>
      </c>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row>
    <row r="324" spans="1:314" s="2" customFormat="1" x14ac:dyDescent="0.4">
      <c r="A324" s="2" t="s">
        <v>72</v>
      </c>
      <c r="B324" s="2" t="s">
        <v>8126</v>
      </c>
      <c r="C324" s="2" t="s">
        <v>74</v>
      </c>
      <c r="D324" s="2" t="s">
        <v>74</v>
      </c>
      <c r="E324" s="2" t="s">
        <v>74</v>
      </c>
      <c r="F324" s="2" t="s">
        <v>8127</v>
      </c>
      <c r="G324" s="2" t="s">
        <v>74</v>
      </c>
      <c r="H324" s="2" t="s">
        <v>74</v>
      </c>
      <c r="I324" s="2" t="s">
        <v>8128</v>
      </c>
      <c r="J324" s="2" t="s">
        <v>8129</v>
      </c>
      <c r="K324" s="2" t="s">
        <v>74</v>
      </c>
      <c r="L324" s="2" t="s">
        <v>74</v>
      </c>
      <c r="M324" s="2" t="s">
        <v>74</v>
      </c>
      <c r="N324" s="2" t="s">
        <v>74</v>
      </c>
      <c r="O324" s="2" t="s">
        <v>74</v>
      </c>
      <c r="P324" s="2" t="s">
        <v>74</v>
      </c>
      <c r="Q324" s="2" t="s">
        <v>74</v>
      </c>
      <c r="R324" s="2" t="s">
        <v>74</v>
      </c>
      <c r="S324" s="2" t="s">
        <v>74</v>
      </c>
      <c r="T324" s="2" t="s">
        <v>74</v>
      </c>
      <c r="U324" s="2" t="s">
        <v>74</v>
      </c>
      <c r="V324" s="5" t="s">
        <v>8130</v>
      </c>
      <c r="W324" s="2" t="s">
        <v>74</v>
      </c>
      <c r="X324" s="2" t="s">
        <v>74</v>
      </c>
      <c r="Y324" s="2" t="s">
        <v>74</v>
      </c>
      <c r="Z324" s="2" t="s">
        <v>74</v>
      </c>
      <c r="AA324" s="2" t="s">
        <v>74</v>
      </c>
      <c r="AB324" s="2" t="s">
        <v>74</v>
      </c>
      <c r="AC324" s="2" t="s">
        <v>74</v>
      </c>
      <c r="AD324" s="2" t="s">
        <v>74</v>
      </c>
      <c r="AE324" s="2" t="s">
        <v>74</v>
      </c>
      <c r="AF324" s="2" t="s">
        <v>74</v>
      </c>
      <c r="AG324" s="2" t="s">
        <v>74</v>
      </c>
      <c r="AH324" s="2" t="s">
        <v>74</v>
      </c>
      <c r="AI324" s="2" t="s">
        <v>74</v>
      </c>
      <c r="AJ324" s="2" t="s">
        <v>74</v>
      </c>
      <c r="AK324" s="2" t="s">
        <v>74</v>
      </c>
      <c r="AL324" s="2" t="s">
        <v>74</v>
      </c>
      <c r="AM324" s="2" t="s">
        <v>74</v>
      </c>
      <c r="AN324" s="2" t="s">
        <v>74</v>
      </c>
      <c r="AO324" s="2" t="s">
        <v>8131</v>
      </c>
      <c r="AP324" s="2" t="s">
        <v>8132</v>
      </c>
      <c r="AQ324" s="2" t="s">
        <v>74</v>
      </c>
      <c r="AR324" s="2" t="s">
        <v>74</v>
      </c>
      <c r="AS324" s="2" t="s">
        <v>74</v>
      </c>
      <c r="AT324" s="2" t="s">
        <v>964</v>
      </c>
      <c r="AU324" s="2">
        <v>2020</v>
      </c>
      <c r="AV324" s="2">
        <v>22</v>
      </c>
      <c r="AW324" s="2">
        <v>2</v>
      </c>
      <c r="AX324" s="2" t="s">
        <v>74</v>
      </c>
      <c r="AY324" s="2" t="s">
        <v>74</v>
      </c>
      <c r="AZ324" s="2" t="s">
        <v>74</v>
      </c>
      <c r="BA324" s="2" t="s">
        <v>74</v>
      </c>
      <c r="BB324" s="2">
        <v>783</v>
      </c>
      <c r="BC324" s="2">
        <v>797</v>
      </c>
      <c r="BD324" s="2" t="s">
        <v>74</v>
      </c>
      <c r="BE324" s="2" t="s">
        <v>8133</v>
      </c>
      <c r="BF324" s="2" t="str">
        <f>HYPERLINK("http://dx.doi.org/10.1007/s10530-019-02130-6","http://dx.doi.org/10.1007/s10530-019-02130-6")</f>
        <v>http://dx.doi.org/10.1007/s10530-019-02130-6</v>
      </c>
      <c r="BG324" s="2" t="s">
        <v>74</v>
      </c>
      <c r="BH324" s="2" t="s">
        <v>2283</v>
      </c>
      <c r="BI324" s="2" t="s">
        <v>74</v>
      </c>
      <c r="BJ324" s="2" t="s">
        <v>74</v>
      </c>
      <c r="BK324" s="2" t="s">
        <v>74</v>
      </c>
      <c r="BL324" s="2" t="s">
        <v>74</v>
      </c>
      <c r="BM324" s="2" t="s">
        <v>74</v>
      </c>
      <c r="BN324" s="2" t="s">
        <v>74</v>
      </c>
      <c r="BO324" s="2" t="s">
        <v>74</v>
      </c>
      <c r="BP324" s="2" t="s">
        <v>74</v>
      </c>
      <c r="BQ324" s="2" t="s">
        <v>74</v>
      </c>
      <c r="BR324" s="2" t="s">
        <v>74</v>
      </c>
      <c r="BS324" s="2" t="s">
        <v>8134</v>
      </c>
      <c r="BT324" s="2" t="str">
        <f>HYPERLINK("https%3A%2F%2Fwww.webofscience.com%2Fwos%2Fwoscc%2Ffull-record%2FWOS:000498741600005","View Full Record in Web of Science")</f>
        <v>View Full Record in Web of Science</v>
      </c>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row>
    <row r="325" spans="1:314" s="2" customFormat="1" x14ac:dyDescent="0.4">
      <c r="A325" s="2" t="s">
        <v>72</v>
      </c>
      <c r="B325" s="2" t="s">
        <v>4453</v>
      </c>
      <c r="C325" s="2" t="s">
        <v>74</v>
      </c>
      <c r="D325" s="2" t="s">
        <v>74</v>
      </c>
      <c r="E325" s="2" t="s">
        <v>74</v>
      </c>
      <c r="F325" s="2" t="s">
        <v>4454</v>
      </c>
      <c r="G325" s="2" t="s">
        <v>74</v>
      </c>
      <c r="H325" s="2" t="s">
        <v>74</v>
      </c>
      <c r="I325" s="2" t="s">
        <v>4455</v>
      </c>
      <c r="J325" s="2" t="s">
        <v>4456</v>
      </c>
      <c r="K325" s="2" t="s">
        <v>74</v>
      </c>
      <c r="L325" s="2" t="s">
        <v>74</v>
      </c>
      <c r="M325" s="2" t="s">
        <v>74</v>
      </c>
      <c r="N325" s="2" t="s">
        <v>74</v>
      </c>
      <c r="O325" s="2" t="s">
        <v>74</v>
      </c>
      <c r="P325" s="2" t="s">
        <v>74</v>
      </c>
      <c r="Q325" s="2" t="s">
        <v>74</v>
      </c>
      <c r="R325" s="2" t="s">
        <v>74</v>
      </c>
      <c r="S325" s="2" t="s">
        <v>74</v>
      </c>
      <c r="T325" s="2" t="s">
        <v>74</v>
      </c>
      <c r="U325" s="2" t="s">
        <v>74</v>
      </c>
      <c r="V325" s="5" t="s">
        <v>4457</v>
      </c>
      <c r="W325" s="2" t="s">
        <v>74</v>
      </c>
      <c r="X325" s="2" t="s">
        <v>74</v>
      </c>
      <c r="Y325" s="2" t="s">
        <v>74</v>
      </c>
      <c r="Z325" s="2" t="s">
        <v>74</v>
      </c>
      <c r="AA325" s="2" t="s">
        <v>4458</v>
      </c>
      <c r="AB325" s="2" t="s">
        <v>4459</v>
      </c>
      <c r="AC325" s="2" t="s">
        <v>74</v>
      </c>
      <c r="AD325" s="2" t="s">
        <v>74</v>
      </c>
      <c r="AE325" s="2" t="s">
        <v>74</v>
      </c>
      <c r="AF325" s="2" t="s">
        <v>74</v>
      </c>
      <c r="AG325" s="2" t="s">
        <v>74</v>
      </c>
      <c r="AH325" s="2" t="s">
        <v>74</v>
      </c>
      <c r="AI325" s="2" t="s">
        <v>74</v>
      </c>
      <c r="AJ325" s="2" t="s">
        <v>74</v>
      </c>
      <c r="AK325" s="2" t="s">
        <v>74</v>
      </c>
      <c r="AL325" s="2" t="s">
        <v>74</v>
      </c>
      <c r="AM325" s="2" t="s">
        <v>74</v>
      </c>
      <c r="AN325" s="2" t="s">
        <v>74</v>
      </c>
      <c r="AO325" s="2" t="s">
        <v>4460</v>
      </c>
      <c r="AP325" s="2" t="s">
        <v>4461</v>
      </c>
      <c r="AQ325" s="2" t="s">
        <v>74</v>
      </c>
      <c r="AR325" s="2" t="s">
        <v>74</v>
      </c>
      <c r="AS325" s="2" t="s">
        <v>74</v>
      </c>
      <c r="AT325" s="2" t="s">
        <v>3445</v>
      </c>
      <c r="AU325" s="2">
        <v>2011</v>
      </c>
      <c r="AV325" s="2">
        <v>239</v>
      </c>
      <c r="AW325" s="2">
        <v>6</v>
      </c>
      <c r="AX325" s="2" t="s">
        <v>74</v>
      </c>
      <c r="AY325" s="2" t="s">
        <v>74</v>
      </c>
      <c r="AZ325" s="2" t="s">
        <v>74</v>
      </c>
      <c r="BA325" s="2" t="s">
        <v>74</v>
      </c>
      <c r="BB325" s="2">
        <v>796</v>
      </c>
      <c r="BC325" s="2">
        <v>801</v>
      </c>
      <c r="BD325" s="2" t="s">
        <v>74</v>
      </c>
      <c r="BE325" s="2" t="s">
        <v>74</v>
      </c>
      <c r="BF325" s="2" t="s">
        <v>74</v>
      </c>
      <c r="BG325" s="2" t="s">
        <v>74</v>
      </c>
      <c r="BH325" s="2" t="s">
        <v>74</v>
      </c>
      <c r="BI325" s="2" t="s">
        <v>74</v>
      </c>
      <c r="BJ325" s="2" t="s">
        <v>74</v>
      </c>
      <c r="BK325" s="2" t="s">
        <v>74</v>
      </c>
      <c r="BL325" s="2" t="s">
        <v>74</v>
      </c>
      <c r="BM325" s="2" t="s">
        <v>74</v>
      </c>
      <c r="BN325" s="2">
        <v>21916762</v>
      </c>
      <c r="BO325" s="2" t="s">
        <v>74</v>
      </c>
      <c r="BP325" s="2" t="s">
        <v>74</v>
      </c>
      <c r="BQ325" s="2" t="s">
        <v>74</v>
      </c>
      <c r="BR325" s="2" t="s">
        <v>74</v>
      </c>
      <c r="BS325" s="2" t="s">
        <v>4462</v>
      </c>
      <c r="BT325" s="2" t="str">
        <f>HYPERLINK("https%3A%2F%2Fwww.webofscience.com%2Fwos%2Fwoscc%2Ffull-record%2FWOS:000294792100008","View Full Record in Web of Science")</f>
        <v>View Full Record in Web of Science</v>
      </c>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row>
    <row r="326" spans="1:314" s="2" customFormat="1" x14ac:dyDescent="0.4">
      <c r="A326" s="2" t="s">
        <v>72</v>
      </c>
      <c r="B326" s="2" t="s">
        <v>7609</v>
      </c>
      <c r="C326" s="2" t="s">
        <v>74</v>
      </c>
      <c r="D326" s="2" t="s">
        <v>74</v>
      </c>
      <c r="E326" s="2" t="s">
        <v>74</v>
      </c>
      <c r="F326" s="2" t="s">
        <v>7610</v>
      </c>
      <c r="G326" s="2" t="s">
        <v>74</v>
      </c>
      <c r="H326" s="2" t="s">
        <v>74</v>
      </c>
      <c r="I326" s="2" t="s">
        <v>7611</v>
      </c>
      <c r="J326" s="2" t="s">
        <v>7612</v>
      </c>
      <c r="K326" s="2" t="s">
        <v>74</v>
      </c>
      <c r="L326" s="2" t="s">
        <v>74</v>
      </c>
      <c r="M326" s="2" t="s">
        <v>74</v>
      </c>
      <c r="N326" s="2" t="s">
        <v>74</v>
      </c>
      <c r="O326" s="2" t="s">
        <v>74</v>
      </c>
      <c r="P326" s="2" t="s">
        <v>74</v>
      </c>
      <c r="Q326" s="2" t="s">
        <v>74</v>
      </c>
      <c r="R326" s="2" t="s">
        <v>74</v>
      </c>
      <c r="S326" s="2" t="s">
        <v>74</v>
      </c>
      <c r="T326" s="2" t="s">
        <v>74</v>
      </c>
      <c r="U326" s="2" t="s">
        <v>74</v>
      </c>
      <c r="V326" s="5" t="s">
        <v>7613</v>
      </c>
      <c r="W326" s="2" t="s">
        <v>74</v>
      </c>
      <c r="X326" s="2" t="s">
        <v>74</v>
      </c>
      <c r="Y326" s="2" t="s">
        <v>74</v>
      </c>
      <c r="Z326" s="2" t="s">
        <v>74</v>
      </c>
      <c r="AA326" s="2" t="s">
        <v>74</v>
      </c>
      <c r="AB326" s="2" t="s">
        <v>7614</v>
      </c>
      <c r="AC326" s="2" t="s">
        <v>74</v>
      </c>
      <c r="AD326" s="2" t="s">
        <v>74</v>
      </c>
      <c r="AE326" s="2" t="s">
        <v>74</v>
      </c>
      <c r="AF326" s="2" t="s">
        <v>74</v>
      </c>
      <c r="AG326" s="2" t="s">
        <v>74</v>
      </c>
      <c r="AH326" s="2" t="s">
        <v>74</v>
      </c>
      <c r="AI326" s="2" t="s">
        <v>74</v>
      </c>
      <c r="AJ326" s="2" t="s">
        <v>74</v>
      </c>
      <c r="AK326" s="2" t="s">
        <v>74</v>
      </c>
      <c r="AL326" s="2" t="s">
        <v>74</v>
      </c>
      <c r="AM326" s="2" t="s">
        <v>74</v>
      </c>
      <c r="AN326" s="2" t="s">
        <v>74</v>
      </c>
      <c r="AO326" s="2" t="s">
        <v>7615</v>
      </c>
      <c r="AP326" s="2" t="s">
        <v>7616</v>
      </c>
      <c r="AQ326" s="2" t="s">
        <v>74</v>
      </c>
      <c r="AR326" s="2" t="s">
        <v>74</v>
      </c>
      <c r="AS326" s="2" t="s">
        <v>74</v>
      </c>
      <c r="AT326" s="2" t="s">
        <v>305</v>
      </c>
      <c r="AU326" s="2">
        <v>2019</v>
      </c>
      <c r="AV326" s="2">
        <v>35</v>
      </c>
      <c r="AW326" s="2">
        <v>6</v>
      </c>
      <c r="AX326" s="2" t="s">
        <v>74</v>
      </c>
      <c r="AY326" s="2" t="s">
        <v>74</v>
      </c>
      <c r="AZ326" s="2" t="s">
        <v>74</v>
      </c>
      <c r="BA326" s="2" t="s">
        <v>74</v>
      </c>
      <c r="BB326" s="2">
        <v>1225</v>
      </c>
      <c r="BC326" s="2">
        <v>1233</v>
      </c>
      <c r="BD326" s="2" t="s">
        <v>74</v>
      </c>
      <c r="BE326" s="2" t="s">
        <v>7617</v>
      </c>
      <c r="BF326" s="2" t="str">
        <f>HYPERLINK("http://dx.doi.org/10.1111/jai.13982","http://dx.doi.org/10.1111/jai.13982")</f>
        <v>http://dx.doi.org/10.1111/jai.13982</v>
      </c>
      <c r="BG326" s="2" t="s">
        <v>74</v>
      </c>
      <c r="BH326" s="2" t="s">
        <v>74</v>
      </c>
      <c r="BI326" s="2" t="s">
        <v>74</v>
      </c>
      <c r="BJ326" s="2" t="s">
        <v>74</v>
      </c>
      <c r="BK326" s="2" t="s">
        <v>74</v>
      </c>
      <c r="BL326" s="2" t="s">
        <v>74</v>
      </c>
      <c r="BM326" s="2" t="s">
        <v>74</v>
      </c>
      <c r="BN326" s="2" t="s">
        <v>74</v>
      </c>
      <c r="BO326" s="2" t="s">
        <v>74</v>
      </c>
      <c r="BP326" s="2" t="s">
        <v>74</v>
      </c>
      <c r="BQ326" s="2" t="s">
        <v>74</v>
      </c>
      <c r="BR326" s="2" t="s">
        <v>74</v>
      </c>
      <c r="BS326" s="2" t="s">
        <v>7618</v>
      </c>
      <c r="BT326" s="2" t="str">
        <f>HYPERLINK("https%3A%2F%2Fwww.webofscience.com%2Fwos%2Fwoscc%2Ffull-record%2FWOS:000499266300006","View Full Record in Web of Science")</f>
        <v>View Full Record in Web of Science</v>
      </c>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row>
    <row r="327" spans="1:314" s="7" customFormat="1" x14ac:dyDescent="0.4">
      <c r="A327" s="2" t="s">
        <v>72</v>
      </c>
      <c r="B327" s="2" t="s">
        <v>7643</v>
      </c>
      <c r="C327" s="2" t="s">
        <v>74</v>
      </c>
      <c r="D327" s="2" t="s">
        <v>74</v>
      </c>
      <c r="E327" s="2" t="s">
        <v>74</v>
      </c>
      <c r="F327" s="2" t="s">
        <v>7643</v>
      </c>
      <c r="G327" s="2" t="s">
        <v>74</v>
      </c>
      <c r="H327" s="2" t="s">
        <v>74</v>
      </c>
      <c r="I327" s="2" t="s">
        <v>7644</v>
      </c>
      <c r="J327" s="2" t="s">
        <v>431</v>
      </c>
      <c r="K327" s="2" t="s">
        <v>74</v>
      </c>
      <c r="L327" s="2" t="s">
        <v>74</v>
      </c>
      <c r="M327" s="2" t="s">
        <v>74</v>
      </c>
      <c r="N327" s="2" t="s">
        <v>74</v>
      </c>
      <c r="O327" s="2" t="s">
        <v>74</v>
      </c>
      <c r="P327" s="2" t="s">
        <v>74</v>
      </c>
      <c r="Q327" s="2" t="s">
        <v>74</v>
      </c>
      <c r="R327" s="2" t="s">
        <v>74</v>
      </c>
      <c r="S327" s="2" t="s">
        <v>74</v>
      </c>
      <c r="T327" s="2" t="s">
        <v>74</v>
      </c>
      <c r="U327" s="2" t="s">
        <v>74</v>
      </c>
      <c r="V327" s="5" t="s">
        <v>7645</v>
      </c>
      <c r="W327" s="2" t="s">
        <v>74</v>
      </c>
      <c r="X327" s="2" t="s">
        <v>74</v>
      </c>
      <c r="Y327" s="2" t="s">
        <v>74</v>
      </c>
      <c r="Z327" s="2" t="s">
        <v>74</v>
      </c>
      <c r="AA327" s="2" t="s">
        <v>74</v>
      </c>
      <c r="AB327" s="2" t="s">
        <v>74</v>
      </c>
      <c r="AC327" s="2" t="s">
        <v>74</v>
      </c>
      <c r="AD327" s="2" t="s">
        <v>74</v>
      </c>
      <c r="AE327" s="2" t="s">
        <v>74</v>
      </c>
      <c r="AF327" s="2" t="s">
        <v>74</v>
      </c>
      <c r="AG327" s="2" t="s">
        <v>74</v>
      </c>
      <c r="AH327" s="2" t="s">
        <v>74</v>
      </c>
      <c r="AI327" s="2" t="s">
        <v>74</v>
      </c>
      <c r="AJ327" s="2" t="s">
        <v>74</v>
      </c>
      <c r="AK327" s="2" t="s">
        <v>74</v>
      </c>
      <c r="AL327" s="2" t="s">
        <v>74</v>
      </c>
      <c r="AM327" s="2" t="s">
        <v>74</v>
      </c>
      <c r="AN327" s="2" t="s">
        <v>74</v>
      </c>
      <c r="AO327" s="2" t="s">
        <v>74</v>
      </c>
      <c r="AP327" s="2" t="s">
        <v>435</v>
      </c>
      <c r="AQ327" s="2" t="s">
        <v>74</v>
      </c>
      <c r="AR327" s="2" t="s">
        <v>74</v>
      </c>
      <c r="AS327" s="2" t="s">
        <v>74</v>
      </c>
      <c r="AT327" s="2" t="s">
        <v>74</v>
      </c>
      <c r="AU327" s="2">
        <v>1965</v>
      </c>
      <c r="AV327" s="2">
        <v>82</v>
      </c>
      <c r="AW327" s="2">
        <v>4</v>
      </c>
      <c r="AX327" s="2" t="s">
        <v>74</v>
      </c>
      <c r="AY327" s="2" t="s">
        <v>74</v>
      </c>
      <c r="AZ327" s="2" t="s">
        <v>74</v>
      </c>
      <c r="BA327" s="2" t="s">
        <v>74</v>
      </c>
      <c r="BB327" s="2">
        <v>537</v>
      </c>
      <c r="BC327" s="2" t="s">
        <v>726</v>
      </c>
      <c r="BD327" s="2" t="s">
        <v>74</v>
      </c>
      <c r="BE327" s="2" t="s">
        <v>7646</v>
      </c>
      <c r="BF327" s="2" t="str">
        <f>HYPERLINK("http://dx.doi.org/10.2307/4083220","http://dx.doi.org/10.2307/4083220")</f>
        <v>http://dx.doi.org/10.2307/4083220</v>
      </c>
      <c r="BG327" s="2" t="s">
        <v>74</v>
      </c>
      <c r="BH327" s="2" t="s">
        <v>74</v>
      </c>
      <c r="BI327" s="2" t="s">
        <v>74</v>
      </c>
      <c r="BJ327" s="2" t="s">
        <v>74</v>
      </c>
      <c r="BK327" s="2" t="s">
        <v>74</v>
      </c>
      <c r="BL327" s="2" t="s">
        <v>74</v>
      </c>
      <c r="BM327" s="2" t="s">
        <v>74</v>
      </c>
      <c r="BN327" s="2" t="s">
        <v>74</v>
      </c>
      <c r="BO327" s="2" t="s">
        <v>74</v>
      </c>
      <c r="BP327" s="2" t="s">
        <v>74</v>
      </c>
      <c r="BQ327" s="2" t="s">
        <v>74</v>
      </c>
      <c r="BR327" s="2" t="s">
        <v>74</v>
      </c>
      <c r="BS327" s="2" t="s">
        <v>7647</v>
      </c>
      <c r="BT327" s="2" t="str">
        <f>HYPERLINK("https%3A%2F%2Fwww.webofscience.com%2Fwos%2Fwoscc%2Ffull-record%2FWOS:A19657680200001","View Full Record in Web of Science")</f>
        <v>View Full Record in Web of Science</v>
      </c>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row>
    <row r="328" spans="1:314" s="2" customFormat="1" x14ac:dyDescent="0.4">
      <c r="A328" s="2" t="s">
        <v>72</v>
      </c>
      <c r="B328" s="2" t="s">
        <v>1176</v>
      </c>
      <c r="C328" s="2" t="s">
        <v>74</v>
      </c>
      <c r="D328" s="2" t="s">
        <v>74</v>
      </c>
      <c r="E328" s="2" t="s">
        <v>74</v>
      </c>
      <c r="F328" s="2" t="s">
        <v>1176</v>
      </c>
      <c r="G328" s="2" t="s">
        <v>74</v>
      </c>
      <c r="H328" s="2" t="s">
        <v>74</v>
      </c>
      <c r="I328" s="2" t="s">
        <v>1177</v>
      </c>
      <c r="J328" s="2" t="s">
        <v>119</v>
      </c>
      <c r="K328" s="2" t="s">
        <v>74</v>
      </c>
      <c r="L328" s="2" t="s">
        <v>74</v>
      </c>
      <c r="M328" s="2" t="s">
        <v>74</v>
      </c>
      <c r="N328" s="2" t="s">
        <v>74</v>
      </c>
      <c r="O328" s="2" t="s">
        <v>74</v>
      </c>
      <c r="P328" s="2" t="s">
        <v>74</v>
      </c>
      <c r="Q328" s="2" t="s">
        <v>74</v>
      </c>
      <c r="R328" s="2" t="s">
        <v>74</v>
      </c>
      <c r="S328" s="2" t="s">
        <v>74</v>
      </c>
      <c r="T328" s="2" t="s">
        <v>74</v>
      </c>
      <c r="U328" s="2" t="s">
        <v>74</v>
      </c>
      <c r="V328" s="5" t="s">
        <v>1178</v>
      </c>
      <c r="W328" s="2" t="s">
        <v>74</v>
      </c>
      <c r="X328" s="2" t="s">
        <v>74</v>
      </c>
      <c r="Y328" s="2" t="s">
        <v>74</v>
      </c>
      <c r="Z328" s="2" t="s">
        <v>74</v>
      </c>
      <c r="AA328" s="2" t="s">
        <v>74</v>
      </c>
      <c r="AB328" s="2" t="s">
        <v>74</v>
      </c>
      <c r="AC328" s="2" t="s">
        <v>74</v>
      </c>
      <c r="AD328" s="2" t="s">
        <v>74</v>
      </c>
      <c r="AE328" s="2" t="s">
        <v>74</v>
      </c>
      <c r="AF328" s="2" t="s">
        <v>74</v>
      </c>
      <c r="AG328" s="2" t="s">
        <v>74</v>
      </c>
      <c r="AH328" s="2" t="s">
        <v>74</v>
      </c>
      <c r="AI328" s="2" t="s">
        <v>74</v>
      </c>
      <c r="AJ328" s="2" t="s">
        <v>74</v>
      </c>
      <c r="AK328" s="2" t="s">
        <v>74</v>
      </c>
      <c r="AL328" s="2" t="s">
        <v>74</v>
      </c>
      <c r="AM328" s="2" t="s">
        <v>74</v>
      </c>
      <c r="AN328" s="2" t="s">
        <v>74</v>
      </c>
      <c r="AO328" s="2" t="s">
        <v>121</v>
      </c>
      <c r="AP328" s="2" t="s">
        <v>74</v>
      </c>
      <c r="AQ328" s="2" t="s">
        <v>74</v>
      </c>
      <c r="AR328" s="2" t="s">
        <v>74</v>
      </c>
      <c r="AS328" s="2" t="s">
        <v>74</v>
      </c>
      <c r="AT328" s="2" t="s">
        <v>305</v>
      </c>
      <c r="AU328" s="2">
        <v>1993</v>
      </c>
      <c r="AV328" s="2">
        <v>30</v>
      </c>
      <c r="AW328" s="2">
        <v>3</v>
      </c>
      <c r="AX328" s="2" t="s">
        <v>74</v>
      </c>
      <c r="AY328" s="2" t="s">
        <v>74</v>
      </c>
      <c r="AZ328" s="2" t="s">
        <v>74</v>
      </c>
      <c r="BA328" s="2" t="s">
        <v>74</v>
      </c>
      <c r="BB328" s="2">
        <v>245</v>
      </c>
      <c r="BC328" s="2">
        <v>251</v>
      </c>
      <c r="BD328" s="2" t="s">
        <v>74</v>
      </c>
      <c r="BE328" s="2" t="s">
        <v>1179</v>
      </c>
      <c r="BF328" s="2" t="str">
        <f>HYPERLINK("http://dx.doi.org/10.1016/0376-6357(93)90136-F","http://dx.doi.org/10.1016/0376-6357(93)90136-F")</f>
        <v>http://dx.doi.org/10.1016/0376-6357(93)90136-F</v>
      </c>
      <c r="BG328" s="2" t="s">
        <v>74</v>
      </c>
      <c r="BH328" s="2" t="s">
        <v>74</v>
      </c>
      <c r="BI328" s="2" t="s">
        <v>74</v>
      </c>
      <c r="BJ328" s="2" t="s">
        <v>74</v>
      </c>
      <c r="BK328" s="2" t="s">
        <v>74</v>
      </c>
      <c r="BL328" s="2" t="s">
        <v>74</v>
      </c>
      <c r="BM328" s="2" t="s">
        <v>74</v>
      </c>
      <c r="BN328" s="2">
        <v>24896948</v>
      </c>
      <c r="BO328" s="2" t="s">
        <v>74</v>
      </c>
      <c r="BP328" s="2" t="s">
        <v>74</v>
      </c>
      <c r="BQ328" s="2" t="s">
        <v>74</v>
      </c>
      <c r="BR328" s="2" t="s">
        <v>74</v>
      </c>
      <c r="BS328" s="2" t="s">
        <v>1180</v>
      </c>
      <c r="BT328" s="2" t="str">
        <f>HYPERLINK("https%3A%2F%2Fwww.webofscience.com%2Fwos%2Fwoscc%2Ffull-record%2FWOS:A1993MR36400005","View Full Record in Web of Science")</f>
        <v>View Full Record in Web of Science</v>
      </c>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row>
    <row r="329" spans="1:314" s="7" customFormat="1" x14ac:dyDescent="0.4">
      <c r="A329" s="2" t="s">
        <v>72</v>
      </c>
      <c r="B329" s="2" t="s">
        <v>4379</v>
      </c>
      <c r="C329" s="2" t="s">
        <v>74</v>
      </c>
      <c r="D329" s="2" t="s">
        <v>74</v>
      </c>
      <c r="E329" s="2" t="s">
        <v>74</v>
      </c>
      <c r="F329" s="2" t="s">
        <v>4379</v>
      </c>
      <c r="G329" s="2" t="s">
        <v>74</v>
      </c>
      <c r="H329" s="2" t="s">
        <v>74</v>
      </c>
      <c r="I329" s="2" t="s">
        <v>4380</v>
      </c>
      <c r="J329" s="2" t="s">
        <v>509</v>
      </c>
      <c r="K329" s="2" t="s">
        <v>74</v>
      </c>
      <c r="L329" s="2" t="s">
        <v>74</v>
      </c>
      <c r="M329" s="2" t="s">
        <v>74</v>
      </c>
      <c r="N329" s="2" t="s">
        <v>74</v>
      </c>
      <c r="O329" s="2" t="s">
        <v>74</v>
      </c>
      <c r="P329" s="2" t="s">
        <v>74</v>
      </c>
      <c r="Q329" s="2" t="s">
        <v>74</v>
      </c>
      <c r="R329" s="2" t="s">
        <v>74</v>
      </c>
      <c r="S329" s="2" t="s">
        <v>74</v>
      </c>
      <c r="T329" s="2" t="s">
        <v>74</v>
      </c>
      <c r="U329" s="2" t="s">
        <v>74</v>
      </c>
      <c r="V329" s="5" t="s">
        <v>4381</v>
      </c>
      <c r="W329" s="2" t="s">
        <v>74</v>
      </c>
      <c r="X329" s="2" t="s">
        <v>74</v>
      </c>
      <c r="Y329" s="2" t="s">
        <v>74</v>
      </c>
      <c r="Z329" s="2" t="s">
        <v>74</v>
      </c>
      <c r="AA329" s="2" t="s">
        <v>4382</v>
      </c>
      <c r="AB329" s="2" t="s">
        <v>4383</v>
      </c>
      <c r="AC329" s="2" t="s">
        <v>74</v>
      </c>
      <c r="AD329" s="2" t="s">
        <v>74</v>
      </c>
      <c r="AE329" s="2" t="s">
        <v>74</v>
      </c>
      <c r="AF329" s="2" t="s">
        <v>74</v>
      </c>
      <c r="AG329" s="2" t="s">
        <v>74</v>
      </c>
      <c r="AH329" s="2" t="s">
        <v>74</v>
      </c>
      <c r="AI329" s="2" t="s">
        <v>74</v>
      </c>
      <c r="AJ329" s="2" t="s">
        <v>74</v>
      </c>
      <c r="AK329" s="2" t="s">
        <v>74</v>
      </c>
      <c r="AL329" s="2" t="s">
        <v>74</v>
      </c>
      <c r="AM329" s="2" t="s">
        <v>74</v>
      </c>
      <c r="AN329" s="2" t="s">
        <v>74</v>
      </c>
      <c r="AO329" s="2" t="s">
        <v>511</v>
      </c>
      <c r="AP329" s="2" t="s">
        <v>512</v>
      </c>
      <c r="AQ329" s="2" t="s">
        <v>74</v>
      </c>
      <c r="AR329" s="2" t="s">
        <v>74</v>
      </c>
      <c r="AS329" s="2" t="s">
        <v>74</v>
      </c>
      <c r="AT329" s="2" t="s">
        <v>964</v>
      </c>
      <c r="AU329" s="2">
        <v>2006</v>
      </c>
      <c r="AV329" s="2">
        <v>49</v>
      </c>
      <c r="AW329" s="2">
        <v>2</v>
      </c>
      <c r="AX329" s="2" t="s">
        <v>74</v>
      </c>
      <c r="AY329" s="2" t="s">
        <v>74</v>
      </c>
      <c r="AZ329" s="2" t="s">
        <v>74</v>
      </c>
      <c r="BA329" s="2" t="s">
        <v>74</v>
      </c>
      <c r="BB329" s="2">
        <v>223</v>
      </c>
      <c r="BC329" s="2">
        <v>232</v>
      </c>
      <c r="BD329" s="2" t="s">
        <v>74</v>
      </c>
      <c r="BE329" s="2" t="s">
        <v>4384</v>
      </c>
      <c r="BF329" s="2" t="str">
        <f>HYPERLINK("http://dx.doi.org/10.1016/j.yhbeh.2005.07.006","http://dx.doi.org/10.1016/j.yhbeh.2005.07.006")</f>
        <v>http://dx.doi.org/10.1016/j.yhbeh.2005.07.006</v>
      </c>
      <c r="BG329" s="2" t="s">
        <v>74</v>
      </c>
      <c r="BH329" s="2" t="s">
        <v>74</v>
      </c>
      <c r="BI329" s="2" t="s">
        <v>74</v>
      </c>
      <c r="BJ329" s="2" t="s">
        <v>74</v>
      </c>
      <c r="BK329" s="2" t="s">
        <v>74</v>
      </c>
      <c r="BL329" s="2" t="s">
        <v>74</v>
      </c>
      <c r="BM329" s="2" t="s">
        <v>74</v>
      </c>
      <c r="BN329" s="2">
        <v>16085049</v>
      </c>
      <c r="BO329" s="2" t="s">
        <v>74</v>
      </c>
      <c r="BP329" s="2" t="s">
        <v>74</v>
      </c>
      <c r="BQ329" s="2" t="s">
        <v>74</v>
      </c>
      <c r="BR329" s="2" t="s">
        <v>74</v>
      </c>
      <c r="BS329" s="2" t="s">
        <v>4385</v>
      </c>
      <c r="BT329" s="2" t="str">
        <f>HYPERLINK("https%3A%2F%2Fwww.webofscience.com%2Fwos%2Fwoscc%2Ffull-record%2FWOS:000235502600013","View Full Record in Web of Science")</f>
        <v>View Full Record in Web of Science</v>
      </c>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row>
    <row r="330" spans="1:314" s="2" customFormat="1" x14ac:dyDescent="0.4">
      <c r="A330" s="2" t="s">
        <v>72</v>
      </c>
      <c r="B330" s="2" t="s">
        <v>2786</v>
      </c>
      <c r="C330" s="2" t="s">
        <v>74</v>
      </c>
      <c r="D330" s="2" t="s">
        <v>74</v>
      </c>
      <c r="E330" s="2" t="s">
        <v>74</v>
      </c>
      <c r="F330" s="2" t="s">
        <v>2787</v>
      </c>
      <c r="G330" s="2" t="s">
        <v>74</v>
      </c>
      <c r="H330" s="2" t="s">
        <v>74</v>
      </c>
      <c r="I330" s="2" t="s">
        <v>2788</v>
      </c>
      <c r="J330" s="2" t="s">
        <v>842</v>
      </c>
      <c r="K330" s="2" t="s">
        <v>74</v>
      </c>
      <c r="L330" s="2" t="s">
        <v>74</v>
      </c>
      <c r="M330" s="2" t="s">
        <v>74</v>
      </c>
      <c r="N330" s="2" t="s">
        <v>74</v>
      </c>
      <c r="O330" s="2" t="s">
        <v>74</v>
      </c>
      <c r="P330" s="2" t="s">
        <v>74</v>
      </c>
      <c r="Q330" s="2" t="s">
        <v>74</v>
      </c>
      <c r="R330" s="2" t="s">
        <v>74</v>
      </c>
      <c r="S330" s="2" t="s">
        <v>74</v>
      </c>
      <c r="T330" s="2" t="s">
        <v>74</v>
      </c>
      <c r="U330" s="2" t="s">
        <v>74</v>
      </c>
      <c r="V330" s="5" t="s">
        <v>2789</v>
      </c>
      <c r="W330" s="2" t="s">
        <v>74</v>
      </c>
      <c r="X330" s="2" t="s">
        <v>74</v>
      </c>
      <c r="Y330" s="2" t="s">
        <v>74</v>
      </c>
      <c r="Z330" s="2" t="s">
        <v>74</v>
      </c>
      <c r="AA330" s="2" t="s">
        <v>2790</v>
      </c>
      <c r="AB330" s="2" t="s">
        <v>2791</v>
      </c>
      <c r="AC330" s="2" t="s">
        <v>74</v>
      </c>
      <c r="AD330" s="2" t="s">
        <v>74</v>
      </c>
      <c r="AE330" s="2" t="s">
        <v>74</v>
      </c>
      <c r="AF330" s="2" t="s">
        <v>74</v>
      </c>
      <c r="AG330" s="2" t="s">
        <v>74</v>
      </c>
      <c r="AH330" s="2" t="s">
        <v>74</v>
      </c>
      <c r="AI330" s="2" t="s">
        <v>74</v>
      </c>
      <c r="AJ330" s="2" t="s">
        <v>74</v>
      </c>
      <c r="AK330" s="2" t="s">
        <v>74</v>
      </c>
      <c r="AL330" s="2" t="s">
        <v>74</v>
      </c>
      <c r="AM330" s="2" t="s">
        <v>74</v>
      </c>
      <c r="AN330" s="2" t="s">
        <v>74</v>
      </c>
      <c r="AO330" s="2" t="s">
        <v>846</v>
      </c>
      <c r="AP330" s="2" t="s">
        <v>847</v>
      </c>
      <c r="AQ330" s="2" t="s">
        <v>74</v>
      </c>
      <c r="AR330" s="2" t="s">
        <v>74</v>
      </c>
      <c r="AS330" s="2" t="s">
        <v>74</v>
      </c>
      <c r="AT330" s="2" t="s">
        <v>305</v>
      </c>
      <c r="AU330" s="2">
        <v>2006</v>
      </c>
      <c r="AV330" s="2">
        <v>68</v>
      </c>
      <c r="AW330" s="2">
        <v>12</v>
      </c>
      <c r="AX330" s="2" t="s">
        <v>74</v>
      </c>
      <c r="AY330" s="2" t="s">
        <v>74</v>
      </c>
      <c r="AZ330" s="2" t="s">
        <v>74</v>
      </c>
      <c r="BA330" s="2" t="s">
        <v>74</v>
      </c>
      <c r="BB330" s="2">
        <v>1129</v>
      </c>
      <c r="BC330" s="2">
        <v>1137</v>
      </c>
      <c r="BD330" s="2" t="s">
        <v>74</v>
      </c>
      <c r="BE330" s="2" t="s">
        <v>2792</v>
      </c>
      <c r="BF330" s="2" t="str">
        <f>HYPERLINK("http://dx.doi.org/10.1002/ajp.20312","http://dx.doi.org/10.1002/ajp.20312")</f>
        <v>http://dx.doi.org/10.1002/ajp.20312</v>
      </c>
      <c r="BG330" s="2" t="s">
        <v>74</v>
      </c>
      <c r="BH330" s="2" t="s">
        <v>74</v>
      </c>
      <c r="BI330" s="2" t="s">
        <v>74</v>
      </c>
      <c r="BJ330" s="2" t="s">
        <v>74</v>
      </c>
      <c r="BK330" s="2" t="s">
        <v>74</v>
      </c>
      <c r="BL330" s="2" t="s">
        <v>74</v>
      </c>
      <c r="BM330" s="2" t="s">
        <v>74</v>
      </c>
      <c r="BN330" s="2">
        <v>17096422</v>
      </c>
      <c r="BO330" s="2" t="s">
        <v>74</v>
      </c>
      <c r="BP330" s="2" t="s">
        <v>74</v>
      </c>
      <c r="BQ330" s="2" t="s">
        <v>74</v>
      </c>
      <c r="BR330" s="2" t="s">
        <v>74</v>
      </c>
      <c r="BS330" s="2" t="s">
        <v>2793</v>
      </c>
      <c r="BT330" s="2" t="str">
        <f>HYPERLINK("https%3A%2F%2Fwww.webofscience.com%2Fwos%2Fwoscc%2Ffull-record%2FWOS:000242416400001","View Full Record in Web of Science")</f>
        <v>View Full Record in Web of Science</v>
      </c>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row>
    <row r="331" spans="1:314" s="2" customFormat="1" x14ac:dyDescent="0.4">
      <c r="A331" s="2" t="s">
        <v>72</v>
      </c>
      <c r="B331" s="2" t="s">
        <v>6572</v>
      </c>
      <c r="C331" s="2" t="s">
        <v>74</v>
      </c>
      <c r="D331" s="2" t="s">
        <v>74</v>
      </c>
      <c r="E331" s="2" t="s">
        <v>74</v>
      </c>
      <c r="F331" s="2" t="s">
        <v>6573</v>
      </c>
      <c r="G331" s="2" t="s">
        <v>74</v>
      </c>
      <c r="H331" s="2" t="s">
        <v>74</v>
      </c>
      <c r="I331" s="2" t="s">
        <v>6574</v>
      </c>
      <c r="J331" s="2" t="s">
        <v>842</v>
      </c>
      <c r="K331" s="2" t="s">
        <v>74</v>
      </c>
      <c r="L331" s="2" t="s">
        <v>74</v>
      </c>
      <c r="M331" s="2" t="s">
        <v>74</v>
      </c>
      <c r="N331" s="2" t="s">
        <v>74</v>
      </c>
      <c r="O331" s="2" t="s">
        <v>74</v>
      </c>
      <c r="P331" s="2" t="s">
        <v>74</v>
      </c>
      <c r="Q331" s="2" t="s">
        <v>74</v>
      </c>
      <c r="R331" s="2" t="s">
        <v>74</v>
      </c>
      <c r="S331" s="2" t="s">
        <v>74</v>
      </c>
      <c r="T331" s="2" t="s">
        <v>74</v>
      </c>
      <c r="U331" s="2" t="s">
        <v>74</v>
      </c>
      <c r="V331" s="5" t="s">
        <v>6575</v>
      </c>
      <c r="W331" s="2" t="s">
        <v>74</v>
      </c>
      <c r="X331" s="2" t="s">
        <v>74</v>
      </c>
      <c r="Y331" s="2" t="s">
        <v>74</v>
      </c>
      <c r="Z331" s="2" t="s">
        <v>74</v>
      </c>
      <c r="AA331" s="2" t="s">
        <v>6576</v>
      </c>
      <c r="AB331" s="2" t="s">
        <v>6577</v>
      </c>
      <c r="AC331" s="2" t="s">
        <v>74</v>
      </c>
      <c r="AD331" s="2" t="s">
        <v>74</v>
      </c>
      <c r="AE331" s="2" t="s">
        <v>74</v>
      </c>
      <c r="AF331" s="2" t="s">
        <v>74</v>
      </c>
      <c r="AG331" s="2" t="s">
        <v>74</v>
      </c>
      <c r="AH331" s="2" t="s">
        <v>74</v>
      </c>
      <c r="AI331" s="2" t="s">
        <v>74</v>
      </c>
      <c r="AJ331" s="2" t="s">
        <v>74</v>
      </c>
      <c r="AK331" s="2" t="s">
        <v>74</v>
      </c>
      <c r="AL331" s="2" t="s">
        <v>74</v>
      </c>
      <c r="AM331" s="2" t="s">
        <v>74</v>
      </c>
      <c r="AN331" s="2" t="s">
        <v>74</v>
      </c>
      <c r="AO331" s="2" t="s">
        <v>846</v>
      </c>
      <c r="AP331" s="2" t="s">
        <v>847</v>
      </c>
      <c r="AQ331" s="2" t="s">
        <v>74</v>
      </c>
      <c r="AR331" s="2" t="s">
        <v>74</v>
      </c>
      <c r="AS331" s="2" t="s">
        <v>74</v>
      </c>
      <c r="AT331" s="2" t="s">
        <v>213</v>
      </c>
      <c r="AU331" s="2">
        <v>2013</v>
      </c>
      <c r="AV331" s="2">
        <v>75</v>
      </c>
      <c r="AW331" s="2">
        <v>11</v>
      </c>
      <c r="AX331" s="2" t="s">
        <v>74</v>
      </c>
      <c r="AY331" s="2" t="s">
        <v>74</v>
      </c>
      <c r="AZ331" s="2" t="s">
        <v>74</v>
      </c>
      <c r="BA331" s="2" t="s">
        <v>74</v>
      </c>
      <c r="BB331" s="2">
        <v>1084</v>
      </c>
      <c r="BC331" s="2">
        <v>1095</v>
      </c>
      <c r="BD331" s="2" t="s">
        <v>74</v>
      </c>
      <c r="BE331" s="2" t="s">
        <v>6578</v>
      </c>
      <c r="BF331" s="2" t="str">
        <f>HYPERLINK("http://dx.doi.org/10.1002/ajp.22167","http://dx.doi.org/10.1002/ajp.22167")</f>
        <v>http://dx.doi.org/10.1002/ajp.22167</v>
      </c>
      <c r="BG331" s="2" t="s">
        <v>74</v>
      </c>
      <c r="BH331" s="2" t="s">
        <v>74</v>
      </c>
      <c r="BI331" s="2" t="s">
        <v>74</v>
      </c>
      <c r="BJ331" s="2" t="s">
        <v>74</v>
      </c>
      <c r="BK331" s="2" t="s">
        <v>74</v>
      </c>
      <c r="BL331" s="2" t="s">
        <v>74</v>
      </c>
      <c r="BM331" s="2" t="s">
        <v>74</v>
      </c>
      <c r="BN331" s="2">
        <v>23776035</v>
      </c>
      <c r="BO331" s="2" t="s">
        <v>74</v>
      </c>
      <c r="BP331" s="2" t="s">
        <v>74</v>
      </c>
      <c r="BQ331" s="2" t="s">
        <v>74</v>
      </c>
      <c r="BR331" s="2" t="s">
        <v>74</v>
      </c>
      <c r="BS331" s="2" t="s">
        <v>6579</v>
      </c>
      <c r="BT331" s="2" t="str">
        <f>HYPERLINK("https%3A%2F%2Fwww.webofscience.com%2Fwos%2Fwoscc%2Ffull-record%2FWOS:000324914600002","View Full Record in Web of Science")</f>
        <v>View Full Record in Web of Science</v>
      </c>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row>
    <row r="332" spans="1:314" s="2" customFormat="1" x14ac:dyDescent="0.4">
      <c r="A332" s="2" t="s">
        <v>72</v>
      </c>
      <c r="B332" s="2" t="s">
        <v>6462</v>
      </c>
      <c r="C332" s="2" t="s">
        <v>74</v>
      </c>
      <c r="D332" s="2" t="s">
        <v>74</v>
      </c>
      <c r="E332" s="2" t="s">
        <v>74</v>
      </c>
      <c r="F332" s="2" t="s">
        <v>6463</v>
      </c>
      <c r="G332" s="2" t="s">
        <v>74</v>
      </c>
      <c r="H332" s="2" t="s">
        <v>74</v>
      </c>
      <c r="I332" s="2" t="s">
        <v>6464</v>
      </c>
      <c r="J332" s="2" t="s">
        <v>1656</v>
      </c>
      <c r="K332" s="2" t="s">
        <v>74</v>
      </c>
      <c r="L332" s="2" t="s">
        <v>74</v>
      </c>
      <c r="M332" s="2" t="s">
        <v>74</v>
      </c>
      <c r="N332" s="2" t="s">
        <v>74</v>
      </c>
      <c r="O332" s="2" t="s">
        <v>74</v>
      </c>
      <c r="P332" s="2" t="s">
        <v>74</v>
      </c>
      <c r="Q332" s="2" t="s">
        <v>74</v>
      </c>
      <c r="R332" s="2" t="s">
        <v>74</v>
      </c>
      <c r="S332" s="2" t="s">
        <v>74</v>
      </c>
      <c r="T332" s="2" t="s">
        <v>74</v>
      </c>
      <c r="U332" s="2" t="s">
        <v>74</v>
      </c>
      <c r="V332" s="5" t="s">
        <v>6465</v>
      </c>
      <c r="W332" s="2" t="s">
        <v>74</v>
      </c>
      <c r="X332" s="2" t="s">
        <v>74</v>
      </c>
      <c r="Y332" s="2" t="s">
        <v>74</v>
      </c>
      <c r="Z332" s="2" t="s">
        <v>74</v>
      </c>
      <c r="AA332" s="2" t="s">
        <v>74</v>
      </c>
      <c r="AB332" s="2" t="s">
        <v>6466</v>
      </c>
      <c r="AC332" s="2" t="s">
        <v>74</v>
      </c>
      <c r="AD332" s="2" t="s">
        <v>74</v>
      </c>
      <c r="AE332" s="2" t="s">
        <v>74</v>
      </c>
      <c r="AF332" s="2" t="s">
        <v>74</v>
      </c>
      <c r="AG332" s="2" t="s">
        <v>74</v>
      </c>
      <c r="AH332" s="2" t="s">
        <v>74</v>
      </c>
      <c r="AI332" s="2" t="s">
        <v>74</v>
      </c>
      <c r="AJ332" s="2" t="s">
        <v>74</v>
      </c>
      <c r="AK332" s="2" t="s">
        <v>74</v>
      </c>
      <c r="AL332" s="2" t="s">
        <v>74</v>
      </c>
      <c r="AM332" s="2" t="s">
        <v>74</v>
      </c>
      <c r="AN332" s="2" t="s">
        <v>74</v>
      </c>
      <c r="AO332" s="2" t="s">
        <v>1658</v>
      </c>
      <c r="AP332" s="2" t="s">
        <v>1659</v>
      </c>
      <c r="AQ332" s="2" t="s">
        <v>74</v>
      </c>
      <c r="AR332" s="2" t="s">
        <v>74</v>
      </c>
      <c r="AS332" s="2" t="s">
        <v>74</v>
      </c>
      <c r="AT332" s="2" t="s">
        <v>6467</v>
      </c>
      <c r="AU332" s="2">
        <v>2012</v>
      </c>
      <c r="AV332" s="2" t="s">
        <v>74</v>
      </c>
      <c r="AW332" s="2">
        <v>3367</v>
      </c>
      <c r="AX332" s="2" t="s">
        <v>74</v>
      </c>
      <c r="AY332" s="2" t="s">
        <v>74</v>
      </c>
      <c r="AZ332" s="2" t="s">
        <v>848</v>
      </c>
      <c r="BA332" s="2" t="s">
        <v>74</v>
      </c>
      <c r="BB332" s="2">
        <v>95</v>
      </c>
      <c r="BC332" s="2">
        <v>102</v>
      </c>
      <c r="BD332" s="2" t="s">
        <v>74</v>
      </c>
      <c r="BE332" s="2" t="s">
        <v>6468</v>
      </c>
      <c r="BF332" s="2" t="str">
        <f>HYPERLINK("http://dx.doi.org/10.11646/zootaxa.3367.1.9","http://dx.doi.org/10.11646/zootaxa.3367.1.9")</f>
        <v>http://dx.doi.org/10.11646/zootaxa.3367.1.9</v>
      </c>
      <c r="BG332" s="2" t="s">
        <v>74</v>
      </c>
      <c r="BH332" s="2" t="s">
        <v>74</v>
      </c>
      <c r="BI332" s="2" t="s">
        <v>74</v>
      </c>
      <c r="BJ332" s="2" t="s">
        <v>74</v>
      </c>
      <c r="BK332" s="2" t="s">
        <v>74</v>
      </c>
      <c r="BL332" s="2" t="s">
        <v>74</v>
      </c>
      <c r="BM332" s="2" t="s">
        <v>74</v>
      </c>
      <c r="BN332" s="2" t="s">
        <v>74</v>
      </c>
      <c r="BO332" s="2" t="s">
        <v>74</v>
      </c>
      <c r="BP332" s="2" t="s">
        <v>74</v>
      </c>
      <c r="BQ332" s="2" t="s">
        <v>74</v>
      </c>
      <c r="BR332" s="2" t="s">
        <v>74</v>
      </c>
      <c r="BS332" s="2" t="s">
        <v>6469</v>
      </c>
      <c r="BT332" s="2" t="str">
        <f>HYPERLINK("https%3A%2F%2Fwww.webofscience.com%2Fwos%2Fwoscc%2Ffull-record%2FWOS:000305937000008","View Full Record in Web of Science")</f>
        <v>View Full Record in Web of Science</v>
      </c>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row>
    <row r="333" spans="1:314" s="2" customFormat="1" x14ac:dyDescent="0.4">
      <c r="A333" s="2" t="s">
        <v>72</v>
      </c>
      <c r="B333" s="2" t="s">
        <v>999</v>
      </c>
      <c r="C333" s="2" t="s">
        <v>74</v>
      </c>
      <c r="D333" s="2" t="s">
        <v>74</v>
      </c>
      <c r="E333" s="2" t="s">
        <v>74</v>
      </c>
      <c r="F333" s="2" t="s">
        <v>1000</v>
      </c>
      <c r="G333" s="2" t="s">
        <v>74</v>
      </c>
      <c r="H333" s="2" t="s">
        <v>74</v>
      </c>
      <c r="I333" s="2" t="s">
        <v>1001</v>
      </c>
      <c r="J333" s="2" t="s">
        <v>140</v>
      </c>
      <c r="K333" s="2" t="s">
        <v>74</v>
      </c>
      <c r="L333" s="2" t="s">
        <v>74</v>
      </c>
      <c r="M333" s="2" t="s">
        <v>74</v>
      </c>
      <c r="N333" s="2" t="s">
        <v>74</v>
      </c>
      <c r="O333" s="2" t="s">
        <v>74</v>
      </c>
      <c r="P333" s="2" t="s">
        <v>74</v>
      </c>
      <c r="Q333" s="2" t="s">
        <v>74</v>
      </c>
      <c r="R333" s="2" t="s">
        <v>74</v>
      </c>
      <c r="S333" s="2" t="s">
        <v>74</v>
      </c>
      <c r="T333" s="2" t="s">
        <v>74</v>
      </c>
      <c r="U333" s="2" t="s">
        <v>74</v>
      </c>
      <c r="V333" s="5" t="s">
        <v>1002</v>
      </c>
      <c r="W333" s="2" t="s">
        <v>74</v>
      </c>
      <c r="X333" s="2" t="s">
        <v>74</v>
      </c>
      <c r="Y333" s="2" t="s">
        <v>74</v>
      </c>
      <c r="Z333" s="2" t="s">
        <v>74</v>
      </c>
      <c r="AA333" s="2" t="s">
        <v>1003</v>
      </c>
      <c r="AB333" s="2" t="s">
        <v>1004</v>
      </c>
      <c r="AC333" s="2" t="s">
        <v>74</v>
      </c>
      <c r="AD333" s="2" t="s">
        <v>74</v>
      </c>
      <c r="AE333" s="2" t="s">
        <v>74</v>
      </c>
      <c r="AF333" s="2" t="s">
        <v>74</v>
      </c>
      <c r="AG333" s="2" t="s">
        <v>74</v>
      </c>
      <c r="AH333" s="2" t="s">
        <v>74</v>
      </c>
      <c r="AI333" s="2" t="s">
        <v>74</v>
      </c>
      <c r="AJ333" s="2" t="s">
        <v>74</v>
      </c>
      <c r="AK333" s="2" t="s">
        <v>74</v>
      </c>
      <c r="AL333" s="2" t="s">
        <v>74</v>
      </c>
      <c r="AM333" s="2" t="s">
        <v>74</v>
      </c>
      <c r="AN333" s="2" t="s">
        <v>74</v>
      </c>
      <c r="AO333" s="2" t="s">
        <v>143</v>
      </c>
      <c r="AP333" s="2" t="s">
        <v>144</v>
      </c>
      <c r="AQ333" s="2" t="s">
        <v>74</v>
      </c>
      <c r="AR333" s="2" t="s">
        <v>74</v>
      </c>
      <c r="AS333" s="2" t="s">
        <v>74</v>
      </c>
      <c r="AT333" s="2" t="s">
        <v>123</v>
      </c>
      <c r="AU333" s="2">
        <v>2010</v>
      </c>
      <c r="AV333" s="2">
        <v>79</v>
      </c>
      <c r="AW333" s="2">
        <v>3</v>
      </c>
      <c r="AX333" s="2" t="s">
        <v>74</v>
      </c>
      <c r="AY333" s="2" t="s">
        <v>74</v>
      </c>
      <c r="AZ333" s="2" t="s">
        <v>74</v>
      </c>
      <c r="BA333" s="2" t="s">
        <v>74</v>
      </c>
      <c r="BB333" s="2">
        <v>739</v>
      </c>
      <c r="BC333" s="2">
        <v>745</v>
      </c>
      <c r="BD333" s="2" t="s">
        <v>74</v>
      </c>
      <c r="BE333" s="2" t="s">
        <v>1005</v>
      </c>
      <c r="BF333" s="2" t="str">
        <f>HYPERLINK("http://dx.doi.org/10.1016/j.anbehav.2009.12.031","http://dx.doi.org/10.1016/j.anbehav.2009.12.031")</f>
        <v>http://dx.doi.org/10.1016/j.anbehav.2009.12.031</v>
      </c>
      <c r="BG333" s="2" t="s">
        <v>74</v>
      </c>
      <c r="BH333" s="2" t="s">
        <v>74</v>
      </c>
      <c r="BI333" s="2" t="s">
        <v>74</v>
      </c>
      <c r="BJ333" s="2" t="s">
        <v>74</v>
      </c>
      <c r="BK333" s="2" t="s">
        <v>74</v>
      </c>
      <c r="BL333" s="2" t="s">
        <v>74</v>
      </c>
      <c r="BM333" s="2" t="s">
        <v>74</v>
      </c>
      <c r="BN333" s="2" t="s">
        <v>74</v>
      </c>
      <c r="BO333" s="2" t="s">
        <v>74</v>
      </c>
      <c r="BP333" s="2" t="s">
        <v>74</v>
      </c>
      <c r="BQ333" s="2" t="s">
        <v>74</v>
      </c>
      <c r="BR333" s="2" t="s">
        <v>74</v>
      </c>
      <c r="BS333" s="2" t="s">
        <v>1006</v>
      </c>
      <c r="BT333" s="2" t="str">
        <f>HYPERLINK("https%3A%2F%2Fwww.webofscience.com%2Fwos%2Fwoscc%2Ffull-record%2FWOS:000274587400029","View Full Record in Web of Science")</f>
        <v>View Full Record in Web of Science</v>
      </c>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row>
    <row r="334" spans="1:314" s="2" customFormat="1" x14ac:dyDescent="0.4">
      <c r="A334" s="2" t="s">
        <v>72</v>
      </c>
      <c r="B334" s="2" t="s">
        <v>4432</v>
      </c>
      <c r="C334" s="2" t="s">
        <v>74</v>
      </c>
      <c r="D334" s="2" t="s">
        <v>74</v>
      </c>
      <c r="E334" s="2" t="s">
        <v>74</v>
      </c>
      <c r="F334" s="2" t="s">
        <v>4433</v>
      </c>
      <c r="G334" s="2" t="s">
        <v>74</v>
      </c>
      <c r="H334" s="2" t="s">
        <v>74</v>
      </c>
      <c r="I334" s="2" t="s">
        <v>4434</v>
      </c>
      <c r="J334" s="2" t="s">
        <v>3374</v>
      </c>
      <c r="K334" s="2" t="s">
        <v>74</v>
      </c>
      <c r="L334" s="2" t="s">
        <v>74</v>
      </c>
      <c r="M334" s="2" t="s">
        <v>74</v>
      </c>
      <c r="N334" s="2" t="s">
        <v>74</v>
      </c>
      <c r="O334" s="2" t="s">
        <v>74</v>
      </c>
      <c r="P334" s="2" t="s">
        <v>74</v>
      </c>
      <c r="Q334" s="2" t="s">
        <v>74</v>
      </c>
      <c r="R334" s="2" t="s">
        <v>74</v>
      </c>
      <c r="S334" s="2" t="s">
        <v>74</v>
      </c>
      <c r="T334" s="2" t="s">
        <v>74</v>
      </c>
      <c r="U334" s="2" t="s">
        <v>74</v>
      </c>
      <c r="V334" s="5" t="s">
        <v>4435</v>
      </c>
      <c r="W334" s="2" t="s">
        <v>74</v>
      </c>
      <c r="X334" s="2" t="s">
        <v>74</v>
      </c>
      <c r="Y334" s="2" t="s">
        <v>74</v>
      </c>
      <c r="Z334" s="2" t="s">
        <v>74</v>
      </c>
      <c r="AA334" s="2" t="s">
        <v>4436</v>
      </c>
      <c r="AB334" s="2" t="s">
        <v>4437</v>
      </c>
      <c r="AC334" s="2" t="s">
        <v>74</v>
      </c>
      <c r="AD334" s="2" t="s">
        <v>74</v>
      </c>
      <c r="AE334" s="2" t="s">
        <v>74</v>
      </c>
      <c r="AF334" s="2" t="s">
        <v>74</v>
      </c>
      <c r="AG334" s="2" t="s">
        <v>74</v>
      </c>
      <c r="AH334" s="2" t="s">
        <v>74</v>
      </c>
      <c r="AI334" s="2" t="s">
        <v>74</v>
      </c>
      <c r="AJ334" s="2" t="s">
        <v>74</v>
      </c>
      <c r="AK334" s="2" t="s">
        <v>74</v>
      </c>
      <c r="AL334" s="2" t="s">
        <v>74</v>
      </c>
      <c r="AM334" s="2" t="s">
        <v>74</v>
      </c>
      <c r="AN334" s="2" t="s">
        <v>74</v>
      </c>
      <c r="AO334" s="2" t="s">
        <v>3378</v>
      </c>
      <c r="AP334" s="2" t="s">
        <v>3379</v>
      </c>
      <c r="AQ334" s="2" t="s">
        <v>74</v>
      </c>
      <c r="AR334" s="2" t="s">
        <v>74</v>
      </c>
      <c r="AS334" s="2" t="s">
        <v>74</v>
      </c>
      <c r="AT334" s="2" t="s">
        <v>134</v>
      </c>
      <c r="AU334" s="2">
        <v>2011</v>
      </c>
      <c r="AV334" s="2">
        <v>42</v>
      </c>
      <c r="AW334" s="2">
        <v>3</v>
      </c>
      <c r="AX334" s="2" t="s">
        <v>74</v>
      </c>
      <c r="AY334" s="2" t="s">
        <v>74</v>
      </c>
      <c r="AZ334" s="2" t="s">
        <v>74</v>
      </c>
      <c r="BA334" s="2" t="s">
        <v>74</v>
      </c>
      <c r="BB334" s="2">
        <v>301</v>
      </c>
      <c r="BC334" s="2">
        <v>306</v>
      </c>
      <c r="BD334" s="2" t="s">
        <v>74</v>
      </c>
      <c r="BE334" s="2" t="s">
        <v>4438</v>
      </c>
      <c r="BF334" s="2" t="str">
        <f>HYPERLINK("http://dx.doi.org/10.1007/s13592-011-0022-z","http://dx.doi.org/10.1007/s13592-011-0022-z")</f>
        <v>http://dx.doi.org/10.1007/s13592-011-0022-z</v>
      </c>
      <c r="BG334" s="2" t="s">
        <v>74</v>
      </c>
      <c r="BH334" s="2" t="s">
        <v>74</v>
      </c>
      <c r="BI334" s="2" t="s">
        <v>74</v>
      </c>
      <c r="BJ334" s="2" t="s">
        <v>74</v>
      </c>
      <c r="BK334" s="2" t="s">
        <v>74</v>
      </c>
      <c r="BL334" s="2" t="s">
        <v>74</v>
      </c>
      <c r="BM334" s="2" t="s">
        <v>74</v>
      </c>
      <c r="BN334" s="2" t="s">
        <v>74</v>
      </c>
      <c r="BO334" s="2" t="s">
        <v>74</v>
      </c>
      <c r="BP334" s="2" t="s">
        <v>74</v>
      </c>
      <c r="BQ334" s="2" t="s">
        <v>74</v>
      </c>
      <c r="BR334" s="2" t="s">
        <v>74</v>
      </c>
      <c r="BS334" s="2" t="s">
        <v>4439</v>
      </c>
      <c r="BT334" s="2" t="str">
        <f>HYPERLINK("https%3A%2F%2Fwww.webofscience.com%2Fwos%2Fwoscc%2Ffull-record%2FWOS:000292612900006","View Full Record in Web of Science")</f>
        <v>View Full Record in Web of Science</v>
      </c>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row>
    <row r="335" spans="1:314" s="2" customFormat="1" x14ac:dyDescent="0.4">
      <c r="A335" s="2" t="s">
        <v>72</v>
      </c>
      <c r="B335" s="2" t="s">
        <v>1678</v>
      </c>
      <c r="C335" s="2" t="s">
        <v>74</v>
      </c>
      <c r="D335" s="2" t="s">
        <v>74</v>
      </c>
      <c r="E335" s="2" t="s">
        <v>74</v>
      </c>
      <c r="F335" s="2" t="s">
        <v>1679</v>
      </c>
      <c r="G335" s="2" t="s">
        <v>74</v>
      </c>
      <c r="H335" s="2" t="s">
        <v>74</v>
      </c>
      <c r="I335" s="2" t="s">
        <v>1680</v>
      </c>
      <c r="J335" s="2" t="s">
        <v>367</v>
      </c>
      <c r="K335" s="2" t="s">
        <v>74</v>
      </c>
      <c r="L335" s="2" t="s">
        <v>74</v>
      </c>
      <c r="M335" s="2" t="s">
        <v>74</v>
      </c>
      <c r="N335" s="2" t="s">
        <v>74</v>
      </c>
      <c r="O335" s="2" t="s">
        <v>74</v>
      </c>
      <c r="P335" s="2" t="s">
        <v>74</v>
      </c>
      <c r="Q335" s="2" t="s">
        <v>74</v>
      </c>
      <c r="R335" s="2" t="s">
        <v>74</v>
      </c>
      <c r="S335" s="2" t="s">
        <v>74</v>
      </c>
      <c r="T335" s="2" t="s">
        <v>74</v>
      </c>
      <c r="U335" s="2" t="s">
        <v>74</v>
      </c>
      <c r="V335" s="5" t="s">
        <v>1681</v>
      </c>
      <c r="W335" s="2" t="s">
        <v>74</v>
      </c>
      <c r="X335" s="2" t="s">
        <v>74</v>
      </c>
      <c r="Y335" s="2" t="s">
        <v>74</v>
      </c>
      <c r="Z335" s="2" t="s">
        <v>74</v>
      </c>
      <c r="AA335" s="2" t="s">
        <v>1682</v>
      </c>
      <c r="AB335" s="2" t="s">
        <v>1683</v>
      </c>
      <c r="AC335" s="2" t="s">
        <v>74</v>
      </c>
      <c r="AD335" s="2" t="s">
        <v>74</v>
      </c>
      <c r="AE335" s="2" t="s">
        <v>74</v>
      </c>
      <c r="AF335" s="2" t="s">
        <v>74</v>
      </c>
      <c r="AG335" s="2" t="s">
        <v>74</v>
      </c>
      <c r="AH335" s="2" t="s">
        <v>74</v>
      </c>
      <c r="AI335" s="2" t="s">
        <v>74</v>
      </c>
      <c r="AJ335" s="2" t="s">
        <v>74</v>
      </c>
      <c r="AK335" s="2" t="s">
        <v>74</v>
      </c>
      <c r="AL335" s="2" t="s">
        <v>74</v>
      </c>
      <c r="AM335" s="2" t="s">
        <v>74</v>
      </c>
      <c r="AN335" s="2" t="s">
        <v>74</v>
      </c>
      <c r="AO335" s="2" t="s">
        <v>371</v>
      </c>
      <c r="AP335" s="2" t="s">
        <v>372</v>
      </c>
      <c r="AQ335" s="2" t="s">
        <v>74</v>
      </c>
      <c r="AR335" s="2" t="s">
        <v>74</v>
      </c>
      <c r="AS335" s="2" t="s">
        <v>74</v>
      </c>
      <c r="AT335" s="2" t="s">
        <v>145</v>
      </c>
      <c r="AU335" s="2">
        <v>2021</v>
      </c>
      <c r="AV335" s="2">
        <v>135</v>
      </c>
      <c r="AW335" s="2">
        <v>3</v>
      </c>
      <c r="AX335" s="2" t="s">
        <v>74</v>
      </c>
      <c r="AY335" s="2" t="s">
        <v>74</v>
      </c>
      <c r="AZ335" s="2" t="s">
        <v>74</v>
      </c>
      <c r="BA335" s="2" t="s">
        <v>74</v>
      </c>
      <c r="BB335" s="2">
        <v>338</v>
      </c>
      <c r="BC335" s="2">
        <v>348</v>
      </c>
      <c r="BD335" s="2" t="s">
        <v>74</v>
      </c>
      <c r="BE335" s="2" t="s">
        <v>1684</v>
      </c>
      <c r="BF335" s="2" t="str">
        <f>HYPERLINK("http://dx.doi.org/10.1037/com0000267","http://dx.doi.org/10.1037/com0000267")</f>
        <v>http://dx.doi.org/10.1037/com0000267</v>
      </c>
      <c r="BG335" s="2" t="s">
        <v>74</v>
      </c>
      <c r="BH335" s="2" t="s">
        <v>74</v>
      </c>
      <c r="BI335" s="2" t="s">
        <v>74</v>
      </c>
      <c r="BJ335" s="2" t="s">
        <v>74</v>
      </c>
      <c r="BK335" s="2" t="s">
        <v>74</v>
      </c>
      <c r="BL335" s="2" t="s">
        <v>74</v>
      </c>
      <c r="BM335" s="2" t="s">
        <v>74</v>
      </c>
      <c r="BN335" s="2">
        <v>33475388</v>
      </c>
      <c r="BO335" s="2" t="s">
        <v>74</v>
      </c>
      <c r="BP335" s="2" t="s">
        <v>74</v>
      </c>
      <c r="BQ335" s="2" t="s">
        <v>74</v>
      </c>
      <c r="BR335" s="2" t="s">
        <v>74</v>
      </c>
      <c r="BS335" s="2" t="s">
        <v>1685</v>
      </c>
      <c r="BT335" s="2" t="str">
        <f>HYPERLINK("https%3A%2F%2Fwww.webofscience.com%2Fwos%2Fwoscc%2Ffull-record%2FWOS:000699927200011","View Full Record in Web of Science")</f>
        <v>View Full Record in Web of Science</v>
      </c>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row>
    <row r="336" spans="1:314" s="2" customFormat="1" x14ac:dyDescent="0.4">
      <c r="A336" s="2" t="s">
        <v>72</v>
      </c>
      <c r="B336" s="2" t="s">
        <v>7659</v>
      </c>
      <c r="C336" s="2" t="s">
        <v>74</v>
      </c>
      <c r="D336" s="2" t="s">
        <v>74</v>
      </c>
      <c r="E336" s="2" t="s">
        <v>74</v>
      </c>
      <c r="F336" s="2" t="s">
        <v>7659</v>
      </c>
      <c r="G336" s="2" t="s">
        <v>74</v>
      </c>
      <c r="H336" s="2" t="s">
        <v>74</v>
      </c>
      <c r="I336" s="2" t="s">
        <v>7660</v>
      </c>
      <c r="J336" s="2" t="s">
        <v>431</v>
      </c>
      <c r="K336" s="2" t="s">
        <v>74</v>
      </c>
      <c r="L336" s="2" t="s">
        <v>74</v>
      </c>
      <c r="M336" s="2" t="s">
        <v>74</v>
      </c>
      <c r="N336" s="2" t="s">
        <v>74</v>
      </c>
      <c r="O336" s="2" t="s">
        <v>74</v>
      </c>
      <c r="P336" s="2" t="s">
        <v>74</v>
      </c>
      <c r="Q336" s="2" t="s">
        <v>74</v>
      </c>
      <c r="R336" s="2" t="s">
        <v>74</v>
      </c>
      <c r="S336" s="2" t="s">
        <v>74</v>
      </c>
      <c r="T336" s="2" t="s">
        <v>74</v>
      </c>
      <c r="U336" s="2" t="s">
        <v>74</v>
      </c>
      <c r="V336" s="5" t="s">
        <v>7661</v>
      </c>
      <c r="W336" s="2" t="s">
        <v>74</v>
      </c>
      <c r="X336" s="2" t="s">
        <v>74</v>
      </c>
      <c r="Y336" s="2" t="s">
        <v>74</v>
      </c>
      <c r="Z336" s="2" t="s">
        <v>74</v>
      </c>
      <c r="AA336" s="2" t="s">
        <v>7662</v>
      </c>
      <c r="AB336" s="2" t="s">
        <v>74</v>
      </c>
      <c r="AC336" s="2" t="s">
        <v>74</v>
      </c>
      <c r="AD336" s="2" t="s">
        <v>74</v>
      </c>
      <c r="AE336" s="2" t="s">
        <v>74</v>
      </c>
      <c r="AF336" s="2" t="s">
        <v>74</v>
      </c>
      <c r="AG336" s="2" t="s">
        <v>74</v>
      </c>
      <c r="AH336" s="2" t="s">
        <v>74</v>
      </c>
      <c r="AI336" s="2" t="s">
        <v>74</v>
      </c>
      <c r="AJ336" s="2" t="s">
        <v>74</v>
      </c>
      <c r="AK336" s="2" t="s">
        <v>74</v>
      </c>
      <c r="AL336" s="2" t="s">
        <v>74</v>
      </c>
      <c r="AM336" s="2" t="s">
        <v>74</v>
      </c>
      <c r="AN336" s="2" t="s">
        <v>74</v>
      </c>
      <c r="AO336" s="2" t="s">
        <v>1458</v>
      </c>
      <c r="AP336" s="2" t="s">
        <v>74</v>
      </c>
      <c r="AQ336" s="2" t="s">
        <v>74</v>
      </c>
      <c r="AR336" s="2" t="s">
        <v>74</v>
      </c>
      <c r="AS336" s="2" t="s">
        <v>74</v>
      </c>
      <c r="AT336" s="2" t="s">
        <v>633</v>
      </c>
      <c r="AU336" s="2">
        <v>2002</v>
      </c>
      <c r="AV336" s="2">
        <v>119</v>
      </c>
      <c r="AW336" s="2">
        <v>2</v>
      </c>
      <c r="AX336" s="2" t="s">
        <v>74</v>
      </c>
      <c r="AY336" s="2" t="s">
        <v>74</v>
      </c>
      <c r="AZ336" s="2" t="s">
        <v>74</v>
      </c>
      <c r="BA336" s="2" t="s">
        <v>74</v>
      </c>
      <c r="BB336" s="2">
        <v>487</v>
      </c>
      <c r="BC336" s="2">
        <v>497</v>
      </c>
      <c r="BD336" s="2" t="s">
        <v>74</v>
      </c>
      <c r="BE336" s="2" t="s">
        <v>7663</v>
      </c>
      <c r="BF336" s="2" t="str">
        <f>HYPERLINK("http://dx.doi.org/10.1642/0004-8038(2002)119[0487:SALTEO]2.0.CO;2","http://dx.doi.org/10.1642/0004-8038(2002)119[0487:SALTEO]2.0.CO;2")</f>
        <v>http://dx.doi.org/10.1642/0004-8038(2002)119[0487:SALTEO]2.0.CO;2</v>
      </c>
      <c r="BG336" s="2" t="s">
        <v>74</v>
      </c>
      <c r="BH336" s="2" t="s">
        <v>74</v>
      </c>
      <c r="BI336" s="2" t="s">
        <v>74</v>
      </c>
      <c r="BJ336" s="2" t="s">
        <v>74</v>
      </c>
      <c r="BK336" s="2" t="s">
        <v>74</v>
      </c>
      <c r="BL336" s="2" t="s">
        <v>74</v>
      </c>
      <c r="BM336" s="2" t="s">
        <v>74</v>
      </c>
      <c r="BN336" s="2" t="s">
        <v>74</v>
      </c>
      <c r="BO336" s="2" t="s">
        <v>74</v>
      </c>
      <c r="BP336" s="2" t="s">
        <v>74</v>
      </c>
      <c r="BQ336" s="2" t="s">
        <v>74</v>
      </c>
      <c r="BR336" s="2" t="s">
        <v>74</v>
      </c>
      <c r="BS336" s="2" t="s">
        <v>7664</v>
      </c>
      <c r="BT336" s="2" t="str">
        <f>HYPERLINK("https%3A%2F%2Fwww.webofscience.com%2Fwos%2Fwoscc%2Ffull-record%2FWOS:000175709400016","View Full Record in Web of Science")</f>
        <v>View Full Record in Web of Science</v>
      </c>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row>
    <row r="337" spans="1:314" s="2" customFormat="1" x14ac:dyDescent="0.4">
      <c r="A337" s="2" t="s">
        <v>72</v>
      </c>
      <c r="B337" s="2" t="s">
        <v>3108</v>
      </c>
      <c r="C337" s="2" t="s">
        <v>74</v>
      </c>
      <c r="D337" s="2" t="s">
        <v>74</v>
      </c>
      <c r="E337" s="2" t="s">
        <v>74</v>
      </c>
      <c r="F337" s="2" t="s">
        <v>3109</v>
      </c>
      <c r="G337" s="2" t="s">
        <v>74</v>
      </c>
      <c r="H337" s="2" t="s">
        <v>74</v>
      </c>
      <c r="I337" s="2" t="s">
        <v>3110</v>
      </c>
      <c r="J337" s="2" t="s">
        <v>3111</v>
      </c>
      <c r="K337" s="2" t="s">
        <v>74</v>
      </c>
      <c r="L337" s="2" t="s">
        <v>74</v>
      </c>
      <c r="M337" s="2" t="s">
        <v>74</v>
      </c>
      <c r="N337" s="2" t="s">
        <v>74</v>
      </c>
      <c r="O337" s="2" t="s">
        <v>74</v>
      </c>
      <c r="P337" s="2" t="s">
        <v>74</v>
      </c>
      <c r="Q337" s="2" t="s">
        <v>74</v>
      </c>
      <c r="R337" s="2" t="s">
        <v>74</v>
      </c>
      <c r="S337" s="2" t="s">
        <v>74</v>
      </c>
      <c r="T337" s="2" t="s">
        <v>74</v>
      </c>
      <c r="U337" s="2" t="s">
        <v>74</v>
      </c>
      <c r="V337" s="5" t="s">
        <v>3112</v>
      </c>
      <c r="W337" s="2" t="s">
        <v>74</v>
      </c>
      <c r="X337" s="2" t="s">
        <v>74</v>
      </c>
      <c r="Y337" s="2" t="s">
        <v>74</v>
      </c>
      <c r="Z337" s="2" t="s">
        <v>74</v>
      </c>
      <c r="AA337" s="2" t="s">
        <v>3113</v>
      </c>
      <c r="AB337" s="2" t="s">
        <v>3114</v>
      </c>
      <c r="AC337" s="2" t="s">
        <v>74</v>
      </c>
      <c r="AD337" s="2" t="s">
        <v>74</v>
      </c>
      <c r="AE337" s="2" t="s">
        <v>74</v>
      </c>
      <c r="AF337" s="2" t="s">
        <v>74</v>
      </c>
      <c r="AG337" s="2" t="s">
        <v>74</v>
      </c>
      <c r="AH337" s="2" t="s">
        <v>74</v>
      </c>
      <c r="AI337" s="2" t="s">
        <v>74</v>
      </c>
      <c r="AJ337" s="2" t="s">
        <v>74</v>
      </c>
      <c r="AK337" s="2" t="s">
        <v>74</v>
      </c>
      <c r="AL337" s="2" t="s">
        <v>74</v>
      </c>
      <c r="AM337" s="2" t="s">
        <v>74</v>
      </c>
      <c r="AN337" s="2" t="s">
        <v>74</v>
      </c>
      <c r="AO337" s="2" t="s">
        <v>3115</v>
      </c>
      <c r="AP337" s="2" t="s">
        <v>3116</v>
      </c>
      <c r="AQ337" s="2" t="s">
        <v>74</v>
      </c>
      <c r="AR337" s="2" t="s">
        <v>74</v>
      </c>
      <c r="AS337" s="2" t="s">
        <v>74</v>
      </c>
      <c r="AT337" s="2" t="s">
        <v>633</v>
      </c>
      <c r="AU337" s="2">
        <v>2010</v>
      </c>
      <c r="AV337" s="2">
        <v>4</v>
      </c>
      <c r="AW337" s="2">
        <v>4</v>
      </c>
      <c r="AX337" s="2" t="s">
        <v>74</v>
      </c>
      <c r="AY337" s="2" t="s">
        <v>74</v>
      </c>
      <c r="AZ337" s="2" t="s">
        <v>74</v>
      </c>
      <c r="BA337" s="2" t="s">
        <v>74</v>
      </c>
      <c r="BB337" s="2">
        <v>604</v>
      </c>
      <c r="BC337" s="2">
        <v>616</v>
      </c>
      <c r="BD337" s="2" t="s">
        <v>74</v>
      </c>
      <c r="BE337" s="2" t="s">
        <v>3117</v>
      </c>
      <c r="BF337" s="2" t="str">
        <f>HYPERLINK("http://dx.doi.org/10.1017/S1751731109991406","http://dx.doi.org/10.1017/S1751731109991406")</f>
        <v>http://dx.doi.org/10.1017/S1751731109991406</v>
      </c>
      <c r="BG337" s="2" t="s">
        <v>74</v>
      </c>
      <c r="BH337" s="2" t="s">
        <v>74</v>
      </c>
      <c r="BI337" s="2" t="s">
        <v>74</v>
      </c>
      <c r="BJ337" s="2" t="s">
        <v>74</v>
      </c>
      <c r="BK337" s="2" t="s">
        <v>74</v>
      </c>
      <c r="BL337" s="2" t="s">
        <v>74</v>
      </c>
      <c r="BM337" s="2" t="s">
        <v>74</v>
      </c>
      <c r="BN337" s="2">
        <v>22444048</v>
      </c>
      <c r="BO337" s="2" t="s">
        <v>74</v>
      </c>
      <c r="BP337" s="2" t="s">
        <v>74</v>
      </c>
      <c r="BQ337" s="2" t="s">
        <v>74</v>
      </c>
      <c r="BR337" s="2" t="s">
        <v>74</v>
      </c>
      <c r="BS337" s="2" t="s">
        <v>3118</v>
      </c>
      <c r="BT337" s="2" t="str">
        <f>HYPERLINK("https%3A%2F%2Fwww.webofscience.com%2Fwos%2Fwoscc%2Ffull-record%2FWOS:000276005600013","View Full Record in Web of Science")</f>
        <v>View Full Record in Web of Science</v>
      </c>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row>
    <row r="338" spans="1:314" s="2" customFormat="1" x14ac:dyDescent="0.4">
      <c r="A338" s="2" t="s">
        <v>72</v>
      </c>
      <c r="B338" s="2" t="s">
        <v>3076</v>
      </c>
      <c r="C338" s="2" t="s">
        <v>74</v>
      </c>
      <c r="D338" s="2" t="s">
        <v>74</v>
      </c>
      <c r="E338" s="2" t="s">
        <v>74</v>
      </c>
      <c r="F338" s="2" t="s">
        <v>3076</v>
      </c>
      <c r="G338" s="2" t="s">
        <v>74</v>
      </c>
      <c r="H338" s="2" t="s">
        <v>74</v>
      </c>
      <c r="I338" s="2" t="s">
        <v>3077</v>
      </c>
      <c r="J338" s="2" t="s">
        <v>731</v>
      </c>
      <c r="K338" s="2" t="s">
        <v>74</v>
      </c>
      <c r="L338" s="2" t="s">
        <v>74</v>
      </c>
      <c r="M338" s="2" t="s">
        <v>74</v>
      </c>
      <c r="N338" s="2" t="s">
        <v>74</v>
      </c>
      <c r="O338" s="2" t="s">
        <v>74</v>
      </c>
      <c r="P338" s="2" t="s">
        <v>74</v>
      </c>
      <c r="Q338" s="2" t="s">
        <v>74</v>
      </c>
      <c r="R338" s="2" t="s">
        <v>74</v>
      </c>
      <c r="S338" s="2" t="s">
        <v>74</v>
      </c>
      <c r="T338" s="2" t="s">
        <v>74</v>
      </c>
      <c r="U338" s="2" t="s">
        <v>74</v>
      </c>
      <c r="V338" s="5" t="s">
        <v>3078</v>
      </c>
      <c r="W338" s="2" t="s">
        <v>74</v>
      </c>
      <c r="X338" s="2" t="s">
        <v>74</v>
      </c>
      <c r="Y338" s="2" t="s">
        <v>74</v>
      </c>
      <c r="Z338" s="2" t="s">
        <v>74</v>
      </c>
      <c r="AA338" s="2" t="s">
        <v>74</v>
      </c>
      <c r="AB338" s="2" t="s">
        <v>74</v>
      </c>
      <c r="AC338" s="2" t="s">
        <v>74</v>
      </c>
      <c r="AD338" s="2" t="s">
        <v>74</v>
      </c>
      <c r="AE338" s="2" t="s">
        <v>74</v>
      </c>
      <c r="AF338" s="2" t="s">
        <v>74</v>
      </c>
      <c r="AG338" s="2" t="s">
        <v>74</v>
      </c>
      <c r="AH338" s="2" t="s">
        <v>74</v>
      </c>
      <c r="AI338" s="2" t="s">
        <v>74</v>
      </c>
      <c r="AJ338" s="2" t="s">
        <v>74</v>
      </c>
      <c r="AK338" s="2" t="s">
        <v>74</v>
      </c>
      <c r="AL338" s="2" t="s">
        <v>74</v>
      </c>
      <c r="AM338" s="2" t="s">
        <v>74</v>
      </c>
      <c r="AN338" s="2" t="s">
        <v>74</v>
      </c>
      <c r="AO338" s="2" t="s">
        <v>733</v>
      </c>
      <c r="AP338" s="2" t="s">
        <v>74</v>
      </c>
      <c r="AQ338" s="2" t="s">
        <v>74</v>
      </c>
      <c r="AR338" s="2" t="s">
        <v>74</v>
      </c>
      <c r="AS338" s="2" t="s">
        <v>74</v>
      </c>
      <c r="AT338" s="2" t="s">
        <v>145</v>
      </c>
      <c r="AU338" s="2">
        <v>1996</v>
      </c>
      <c r="AV338" s="2">
        <v>78</v>
      </c>
      <c r="AW338" s="2">
        <v>2</v>
      </c>
      <c r="AX338" s="2" t="s">
        <v>74</v>
      </c>
      <c r="AY338" s="2" t="s">
        <v>74</v>
      </c>
      <c r="AZ338" s="2" t="s">
        <v>74</v>
      </c>
      <c r="BA338" s="2" t="s">
        <v>74</v>
      </c>
      <c r="BB338" s="2">
        <v>175</v>
      </c>
      <c r="BC338" s="2">
        <v>182</v>
      </c>
      <c r="BD338" s="2" t="s">
        <v>74</v>
      </c>
      <c r="BE338" s="2" t="s">
        <v>74</v>
      </c>
      <c r="BF338" s="2" t="s">
        <v>74</v>
      </c>
      <c r="BG338" s="2" t="s">
        <v>74</v>
      </c>
      <c r="BH338" s="2" t="s">
        <v>74</v>
      </c>
      <c r="BI338" s="2" t="s">
        <v>74</v>
      </c>
      <c r="BJ338" s="2" t="s">
        <v>74</v>
      </c>
      <c r="BK338" s="2" t="s">
        <v>74</v>
      </c>
      <c r="BL338" s="2" t="s">
        <v>74</v>
      </c>
      <c r="BM338" s="2" t="s">
        <v>74</v>
      </c>
      <c r="BN338" s="2">
        <v>8864049</v>
      </c>
      <c r="BO338" s="2" t="s">
        <v>74</v>
      </c>
      <c r="BP338" s="2" t="s">
        <v>74</v>
      </c>
      <c r="BQ338" s="2" t="s">
        <v>74</v>
      </c>
      <c r="BR338" s="2" t="s">
        <v>74</v>
      </c>
      <c r="BS338" s="2" t="s">
        <v>3079</v>
      </c>
      <c r="BT338" s="2" t="str">
        <f>HYPERLINK("https%3A%2F%2Fwww.webofscience.com%2Fwos%2Fwoscc%2Ffull-record%2FWOS:A1996VD71100011","View Full Record in Web of Science")</f>
        <v>View Full Record in Web of Science</v>
      </c>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row>
    <row r="339" spans="1:314" s="2" customFormat="1" x14ac:dyDescent="0.4">
      <c r="A339" s="2" t="s">
        <v>72</v>
      </c>
      <c r="B339" s="2" t="s">
        <v>5822</v>
      </c>
      <c r="C339" s="2" t="s">
        <v>74</v>
      </c>
      <c r="D339" s="2" t="s">
        <v>74</v>
      </c>
      <c r="E339" s="2" t="s">
        <v>74</v>
      </c>
      <c r="F339" s="2" t="s">
        <v>5822</v>
      </c>
      <c r="G339" s="2" t="s">
        <v>74</v>
      </c>
      <c r="H339" s="2" t="s">
        <v>74</v>
      </c>
      <c r="I339" s="2" t="s">
        <v>5823</v>
      </c>
      <c r="J339" s="2" t="s">
        <v>4791</v>
      </c>
      <c r="K339" s="2" t="s">
        <v>74</v>
      </c>
      <c r="L339" s="2" t="s">
        <v>74</v>
      </c>
      <c r="M339" s="2" t="s">
        <v>74</v>
      </c>
      <c r="N339" s="2" t="s">
        <v>74</v>
      </c>
      <c r="O339" s="2" t="s">
        <v>74</v>
      </c>
      <c r="P339" s="2" t="s">
        <v>74</v>
      </c>
      <c r="Q339" s="2" t="s">
        <v>74</v>
      </c>
      <c r="R339" s="2" t="s">
        <v>74</v>
      </c>
      <c r="S339" s="2" t="s">
        <v>74</v>
      </c>
      <c r="T339" s="2" t="s">
        <v>74</v>
      </c>
      <c r="U339" s="2" t="s">
        <v>74</v>
      </c>
      <c r="V339" s="5" t="s">
        <v>5824</v>
      </c>
      <c r="W339" s="2" t="s">
        <v>74</v>
      </c>
      <c r="X339" s="2" t="s">
        <v>74</v>
      </c>
      <c r="Y339" s="2" t="s">
        <v>74</v>
      </c>
      <c r="Z339" s="2" t="s">
        <v>74</v>
      </c>
      <c r="AA339" s="2" t="s">
        <v>74</v>
      </c>
      <c r="AB339" s="2" t="s">
        <v>74</v>
      </c>
      <c r="AC339" s="2" t="s">
        <v>74</v>
      </c>
      <c r="AD339" s="2" t="s">
        <v>74</v>
      </c>
      <c r="AE339" s="2" t="s">
        <v>74</v>
      </c>
      <c r="AF339" s="2" t="s">
        <v>74</v>
      </c>
      <c r="AG339" s="2" t="s">
        <v>74</v>
      </c>
      <c r="AH339" s="2" t="s">
        <v>74</v>
      </c>
      <c r="AI339" s="2" t="s">
        <v>74</v>
      </c>
      <c r="AJ339" s="2" t="s">
        <v>74</v>
      </c>
      <c r="AK339" s="2" t="s">
        <v>74</v>
      </c>
      <c r="AL339" s="2" t="s">
        <v>74</v>
      </c>
      <c r="AM339" s="2" t="s">
        <v>74</v>
      </c>
      <c r="AN339" s="2" t="s">
        <v>74</v>
      </c>
      <c r="AO339" s="2" t="s">
        <v>4793</v>
      </c>
      <c r="AP339" s="2" t="s">
        <v>74</v>
      </c>
      <c r="AQ339" s="2" t="s">
        <v>74</v>
      </c>
      <c r="AR339" s="2" t="s">
        <v>74</v>
      </c>
      <c r="AS339" s="2" t="s">
        <v>74</v>
      </c>
      <c r="AT339" s="2" t="s">
        <v>932</v>
      </c>
      <c r="AU339" s="2">
        <v>1995</v>
      </c>
      <c r="AV339" s="2">
        <v>272</v>
      </c>
      <c r="AW339" s="2">
        <v>3</v>
      </c>
      <c r="AX339" s="2" t="s">
        <v>74</v>
      </c>
      <c r="AY339" s="2" t="s">
        <v>74</v>
      </c>
      <c r="AZ339" s="2" t="s">
        <v>74</v>
      </c>
      <c r="BA339" s="2" t="s">
        <v>74</v>
      </c>
      <c r="BB339" s="2">
        <v>194</v>
      </c>
      <c r="BC339" s="2">
        <v>200</v>
      </c>
      <c r="BD339" s="2" t="s">
        <v>74</v>
      </c>
      <c r="BE339" s="2" t="s">
        <v>5825</v>
      </c>
      <c r="BF339" s="2" t="str">
        <f>HYPERLINK("http://dx.doi.org/10.1002/jez.1402720304","http://dx.doi.org/10.1002/jez.1402720304")</f>
        <v>http://dx.doi.org/10.1002/jez.1402720304</v>
      </c>
      <c r="BG339" s="2" t="s">
        <v>74</v>
      </c>
      <c r="BH339" s="2" t="s">
        <v>74</v>
      </c>
      <c r="BI339" s="2" t="s">
        <v>74</v>
      </c>
      <c r="BJ339" s="2" t="s">
        <v>74</v>
      </c>
      <c r="BK339" s="2" t="s">
        <v>74</v>
      </c>
      <c r="BL339" s="2" t="s">
        <v>74</v>
      </c>
      <c r="BM339" s="2" t="s">
        <v>74</v>
      </c>
      <c r="BN339" s="2" t="s">
        <v>74</v>
      </c>
      <c r="BO339" s="2" t="s">
        <v>74</v>
      </c>
      <c r="BP339" s="2" t="s">
        <v>74</v>
      </c>
      <c r="BQ339" s="2" t="s">
        <v>74</v>
      </c>
      <c r="BR339" s="2" t="s">
        <v>74</v>
      </c>
      <c r="BS339" s="2" t="s">
        <v>5826</v>
      </c>
      <c r="BT339" s="2" t="str">
        <f>HYPERLINK("https%3A%2F%2Fwww.webofscience.com%2Fwos%2Fwoscc%2Ffull-record%2FWOS:A1995RG10200003","View Full Record in Web of Science")</f>
        <v>View Full Record in Web of Science</v>
      </c>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row>
    <row r="340" spans="1:314" s="2" customFormat="1" x14ac:dyDescent="0.4">
      <c r="A340" s="2" t="s">
        <v>72</v>
      </c>
      <c r="B340" s="2" t="s">
        <v>729</v>
      </c>
      <c r="C340" s="2" t="s">
        <v>74</v>
      </c>
      <c r="D340" s="2" t="s">
        <v>74</v>
      </c>
      <c r="E340" s="2" t="s">
        <v>74</v>
      </c>
      <c r="F340" s="2" t="s">
        <v>729</v>
      </c>
      <c r="G340" s="2" t="s">
        <v>74</v>
      </c>
      <c r="H340" s="2" t="s">
        <v>74</v>
      </c>
      <c r="I340" s="2" t="s">
        <v>730</v>
      </c>
      <c r="J340" s="2" t="s">
        <v>731</v>
      </c>
      <c r="K340" s="2" t="s">
        <v>74</v>
      </c>
      <c r="L340" s="2" t="s">
        <v>74</v>
      </c>
      <c r="M340" s="2" t="s">
        <v>74</v>
      </c>
      <c r="N340" s="2" t="s">
        <v>74</v>
      </c>
      <c r="O340" s="2" t="s">
        <v>74</v>
      </c>
      <c r="P340" s="2" t="s">
        <v>74</v>
      </c>
      <c r="Q340" s="2" t="s">
        <v>74</v>
      </c>
      <c r="R340" s="2" t="s">
        <v>74</v>
      </c>
      <c r="S340" s="2" t="s">
        <v>74</v>
      </c>
      <c r="T340" s="2" t="s">
        <v>74</v>
      </c>
      <c r="U340" s="2" t="s">
        <v>74</v>
      </c>
      <c r="V340" s="5" t="s">
        <v>732</v>
      </c>
      <c r="W340" s="2" t="s">
        <v>74</v>
      </c>
      <c r="X340" s="2" t="s">
        <v>74</v>
      </c>
      <c r="Y340" s="2" t="s">
        <v>74</v>
      </c>
      <c r="Z340" s="2" t="s">
        <v>74</v>
      </c>
      <c r="AA340" s="2" t="s">
        <v>74</v>
      </c>
      <c r="AB340" s="2" t="s">
        <v>74</v>
      </c>
      <c r="AC340" s="2" t="s">
        <v>74</v>
      </c>
      <c r="AD340" s="2" t="s">
        <v>74</v>
      </c>
      <c r="AE340" s="2" t="s">
        <v>74</v>
      </c>
      <c r="AF340" s="2" t="s">
        <v>74</v>
      </c>
      <c r="AG340" s="2" t="s">
        <v>74</v>
      </c>
      <c r="AH340" s="2" t="s">
        <v>74</v>
      </c>
      <c r="AI340" s="2" t="s">
        <v>74</v>
      </c>
      <c r="AJ340" s="2" t="s">
        <v>74</v>
      </c>
      <c r="AK340" s="2" t="s">
        <v>74</v>
      </c>
      <c r="AL340" s="2" t="s">
        <v>74</v>
      </c>
      <c r="AM340" s="2" t="s">
        <v>74</v>
      </c>
      <c r="AN340" s="2" t="s">
        <v>74</v>
      </c>
      <c r="AO340" s="2" t="s">
        <v>733</v>
      </c>
      <c r="AP340" s="2" t="s">
        <v>734</v>
      </c>
      <c r="AQ340" s="2" t="s">
        <v>74</v>
      </c>
      <c r="AR340" s="2" t="s">
        <v>74</v>
      </c>
      <c r="AS340" s="2" t="s">
        <v>74</v>
      </c>
      <c r="AT340" s="2" t="s">
        <v>175</v>
      </c>
      <c r="AU340" s="2">
        <v>1998</v>
      </c>
      <c r="AV340" s="2">
        <v>95</v>
      </c>
      <c r="AW340" s="2">
        <v>2</v>
      </c>
      <c r="AX340" s="2" t="s">
        <v>74</v>
      </c>
      <c r="AY340" s="2" t="s">
        <v>74</v>
      </c>
      <c r="AZ340" s="2" t="s">
        <v>74</v>
      </c>
      <c r="BA340" s="2" t="s">
        <v>74</v>
      </c>
      <c r="BB340" s="2">
        <v>227</v>
      </c>
      <c r="BC340" s="2">
        <v>232</v>
      </c>
      <c r="BD340" s="2" t="s">
        <v>74</v>
      </c>
      <c r="BE340" s="2" t="s">
        <v>735</v>
      </c>
      <c r="BF340" s="2" t="str">
        <f>HYPERLINK("http://dx.doi.org/10.1016/S0166-4328(98)00048-5","http://dx.doi.org/10.1016/S0166-4328(98)00048-5")</f>
        <v>http://dx.doi.org/10.1016/S0166-4328(98)00048-5</v>
      </c>
      <c r="BG340" s="2" t="s">
        <v>74</v>
      </c>
      <c r="BH340" s="2" t="s">
        <v>74</v>
      </c>
      <c r="BI340" s="2" t="s">
        <v>74</v>
      </c>
      <c r="BJ340" s="2" t="s">
        <v>74</v>
      </c>
      <c r="BK340" s="2" t="s">
        <v>74</v>
      </c>
      <c r="BL340" s="2" t="s">
        <v>74</v>
      </c>
      <c r="BM340" s="2" t="s">
        <v>74</v>
      </c>
      <c r="BN340" s="2">
        <v>9806442</v>
      </c>
      <c r="BO340" s="2" t="s">
        <v>74</v>
      </c>
      <c r="BP340" s="2" t="s">
        <v>74</v>
      </c>
      <c r="BQ340" s="2" t="s">
        <v>74</v>
      </c>
      <c r="BR340" s="2" t="s">
        <v>74</v>
      </c>
      <c r="BS340" s="2" t="s">
        <v>736</v>
      </c>
      <c r="BT340" s="2" t="str">
        <f>HYPERLINK("https%3A%2F%2Fwww.webofscience.com%2Fwos%2Fwoscc%2Ffull-record%2FWOS:000076619000008","View Full Record in Web of Science")</f>
        <v>View Full Record in Web of Science</v>
      </c>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row>
    <row r="341" spans="1:314" s="2" customFormat="1" x14ac:dyDescent="0.4">
      <c r="A341" s="2" t="s">
        <v>72</v>
      </c>
      <c r="B341" s="2" t="s">
        <v>7597</v>
      </c>
      <c r="C341" s="2" t="s">
        <v>74</v>
      </c>
      <c r="D341" s="2" t="s">
        <v>74</v>
      </c>
      <c r="E341" s="2" t="s">
        <v>74</v>
      </c>
      <c r="F341" s="2" t="s">
        <v>7597</v>
      </c>
      <c r="G341" s="2" t="s">
        <v>74</v>
      </c>
      <c r="H341" s="2" t="s">
        <v>74</v>
      </c>
      <c r="I341" s="2" t="s">
        <v>7598</v>
      </c>
      <c r="J341" s="2" t="s">
        <v>7599</v>
      </c>
      <c r="K341" s="2" t="s">
        <v>74</v>
      </c>
      <c r="L341" s="2" t="s">
        <v>74</v>
      </c>
      <c r="M341" s="2" t="s">
        <v>74</v>
      </c>
      <c r="N341" s="2" t="s">
        <v>74</v>
      </c>
      <c r="O341" s="2" t="s">
        <v>74</v>
      </c>
      <c r="P341" s="2" t="s">
        <v>74</v>
      </c>
      <c r="Q341" s="2" t="s">
        <v>74</v>
      </c>
      <c r="R341" s="2" t="s">
        <v>74</v>
      </c>
      <c r="S341" s="2" t="s">
        <v>74</v>
      </c>
      <c r="T341" s="2" t="s">
        <v>74</v>
      </c>
      <c r="U341" s="2" t="s">
        <v>74</v>
      </c>
      <c r="V341" s="5" t="s">
        <v>7600</v>
      </c>
      <c r="W341" s="2" t="s">
        <v>74</v>
      </c>
      <c r="X341" s="2" t="s">
        <v>74</v>
      </c>
      <c r="Y341" s="2" t="s">
        <v>74</v>
      </c>
      <c r="Z341" s="2" t="s">
        <v>74</v>
      </c>
      <c r="AA341" s="2" t="s">
        <v>74</v>
      </c>
      <c r="AB341" s="2" t="s">
        <v>74</v>
      </c>
      <c r="AC341" s="2" t="s">
        <v>74</v>
      </c>
      <c r="AD341" s="2" t="s">
        <v>74</v>
      </c>
      <c r="AE341" s="2" t="s">
        <v>74</v>
      </c>
      <c r="AF341" s="2" t="s">
        <v>74</v>
      </c>
      <c r="AG341" s="2" t="s">
        <v>74</v>
      </c>
      <c r="AH341" s="2" t="s">
        <v>74</v>
      </c>
      <c r="AI341" s="2" t="s">
        <v>74</v>
      </c>
      <c r="AJ341" s="2" t="s">
        <v>74</v>
      </c>
      <c r="AK341" s="2" t="s">
        <v>74</v>
      </c>
      <c r="AL341" s="2" t="s">
        <v>74</v>
      </c>
      <c r="AM341" s="2" t="s">
        <v>74</v>
      </c>
      <c r="AN341" s="2" t="s">
        <v>74</v>
      </c>
      <c r="AO341" s="2" t="s">
        <v>7601</v>
      </c>
      <c r="AP341" s="2" t="s">
        <v>74</v>
      </c>
      <c r="AQ341" s="2" t="s">
        <v>74</v>
      </c>
      <c r="AR341" s="2" t="s">
        <v>74</v>
      </c>
      <c r="AS341" s="2" t="s">
        <v>74</v>
      </c>
      <c r="AT341" s="2" t="s">
        <v>7602</v>
      </c>
      <c r="AU341" s="2">
        <v>1991</v>
      </c>
      <c r="AV341" s="2">
        <v>104</v>
      </c>
      <c r="AW341" s="2">
        <v>2</v>
      </c>
      <c r="AX341" s="2" t="s">
        <v>74</v>
      </c>
      <c r="AY341" s="2" t="s">
        <v>74</v>
      </c>
      <c r="AZ341" s="2" t="s">
        <v>74</v>
      </c>
      <c r="BA341" s="2" t="s">
        <v>74</v>
      </c>
      <c r="BB341" s="2">
        <v>370</v>
      </c>
      <c r="BC341" s="2">
        <v>386</v>
      </c>
      <c r="BD341" s="2" t="s">
        <v>74</v>
      </c>
      <c r="BE341" s="2" t="s">
        <v>74</v>
      </c>
      <c r="BF341" s="2" t="s">
        <v>74</v>
      </c>
      <c r="BG341" s="2" t="s">
        <v>74</v>
      </c>
      <c r="BH341" s="2" t="s">
        <v>74</v>
      </c>
      <c r="BI341" s="2" t="s">
        <v>74</v>
      </c>
      <c r="BJ341" s="2" t="s">
        <v>74</v>
      </c>
      <c r="BK341" s="2" t="s">
        <v>74</v>
      </c>
      <c r="BL341" s="2" t="s">
        <v>74</v>
      </c>
      <c r="BM341" s="2" t="s">
        <v>74</v>
      </c>
      <c r="BN341" s="2" t="s">
        <v>74</v>
      </c>
      <c r="BO341" s="2" t="s">
        <v>74</v>
      </c>
      <c r="BP341" s="2" t="s">
        <v>74</v>
      </c>
      <c r="BQ341" s="2" t="s">
        <v>74</v>
      </c>
      <c r="BR341" s="2" t="s">
        <v>74</v>
      </c>
      <c r="BS341" s="2" t="s">
        <v>7603</v>
      </c>
      <c r="BT341" s="2" t="str">
        <f>HYPERLINK("https%3A%2F%2Fwww.webofscience.com%2Fwos%2Fwoscc%2Ffull-record%2FWOS:A1991FT32000019","View Full Record in Web of Science")</f>
        <v>View Full Record in Web of Science</v>
      </c>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row>
    <row r="342" spans="1:314" s="2" customFormat="1" x14ac:dyDescent="0.4">
      <c r="A342" s="2" t="s">
        <v>72</v>
      </c>
      <c r="B342" s="2" t="s">
        <v>7484</v>
      </c>
      <c r="C342" s="2" t="s">
        <v>74</v>
      </c>
      <c r="D342" s="2" t="s">
        <v>74</v>
      </c>
      <c r="E342" s="2" t="s">
        <v>74</v>
      </c>
      <c r="F342" s="2" t="s">
        <v>7484</v>
      </c>
      <c r="G342" s="2" t="s">
        <v>74</v>
      </c>
      <c r="H342" s="2" t="s">
        <v>74</v>
      </c>
      <c r="I342" s="2" t="s">
        <v>7485</v>
      </c>
      <c r="J342" s="2" t="s">
        <v>7486</v>
      </c>
      <c r="K342" s="2" t="s">
        <v>74</v>
      </c>
      <c r="L342" s="2" t="s">
        <v>74</v>
      </c>
      <c r="M342" s="2" t="s">
        <v>74</v>
      </c>
      <c r="N342" s="2" t="s">
        <v>74</v>
      </c>
      <c r="O342" s="2" t="s">
        <v>74</v>
      </c>
      <c r="P342" s="2" t="s">
        <v>74</v>
      </c>
      <c r="Q342" s="2" t="s">
        <v>74</v>
      </c>
      <c r="R342" s="2" t="s">
        <v>74</v>
      </c>
      <c r="S342" s="2" t="s">
        <v>74</v>
      </c>
      <c r="T342" s="2" t="s">
        <v>74</v>
      </c>
      <c r="U342" s="2" t="s">
        <v>74</v>
      </c>
      <c r="V342" s="5" t="s">
        <v>7487</v>
      </c>
      <c r="W342" s="2" t="s">
        <v>74</v>
      </c>
      <c r="X342" s="2" t="s">
        <v>74</v>
      </c>
      <c r="Y342" s="2" t="s">
        <v>74</v>
      </c>
      <c r="Z342" s="2" t="s">
        <v>74</v>
      </c>
      <c r="AA342" s="2" t="s">
        <v>74</v>
      </c>
      <c r="AB342" s="2" t="s">
        <v>74</v>
      </c>
      <c r="AC342" s="2" t="s">
        <v>74</v>
      </c>
      <c r="AD342" s="2" t="s">
        <v>74</v>
      </c>
      <c r="AE342" s="2" t="s">
        <v>74</v>
      </c>
      <c r="AF342" s="2" t="s">
        <v>74</v>
      </c>
      <c r="AG342" s="2" t="s">
        <v>74</v>
      </c>
      <c r="AH342" s="2" t="s">
        <v>74</v>
      </c>
      <c r="AI342" s="2" t="s">
        <v>74</v>
      </c>
      <c r="AJ342" s="2" t="s">
        <v>74</v>
      </c>
      <c r="AK342" s="2" t="s">
        <v>74</v>
      </c>
      <c r="AL342" s="2" t="s">
        <v>74</v>
      </c>
      <c r="AM342" s="2" t="s">
        <v>74</v>
      </c>
      <c r="AN342" s="2" t="s">
        <v>74</v>
      </c>
      <c r="AO342" s="2" t="s">
        <v>74</v>
      </c>
      <c r="AP342" s="2" t="s">
        <v>74</v>
      </c>
      <c r="AQ342" s="2" t="s">
        <v>74</v>
      </c>
      <c r="AR342" s="2" t="s">
        <v>74</v>
      </c>
      <c r="AS342" s="2" t="s">
        <v>74</v>
      </c>
      <c r="AT342" s="2" t="s">
        <v>74</v>
      </c>
      <c r="AU342" s="2">
        <v>1982</v>
      </c>
      <c r="AV342" s="2">
        <v>36</v>
      </c>
      <c r="AW342" s="2">
        <v>1</v>
      </c>
      <c r="AX342" s="2" t="s">
        <v>74</v>
      </c>
      <c r="AY342" s="2" t="s">
        <v>74</v>
      </c>
      <c r="AZ342" s="2" t="s">
        <v>74</v>
      </c>
      <c r="BA342" s="2" t="s">
        <v>74</v>
      </c>
      <c r="BB342" s="2">
        <v>37</v>
      </c>
      <c r="BC342" s="2">
        <v>78</v>
      </c>
      <c r="BD342" s="2" t="s">
        <v>74</v>
      </c>
      <c r="BE342" s="2" t="s">
        <v>74</v>
      </c>
      <c r="BF342" s="2" t="s">
        <v>74</v>
      </c>
      <c r="BG342" s="2" t="s">
        <v>74</v>
      </c>
      <c r="BH342" s="2" t="s">
        <v>74</v>
      </c>
      <c r="BI342" s="2" t="s">
        <v>74</v>
      </c>
      <c r="BJ342" s="2" t="s">
        <v>74</v>
      </c>
      <c r="BK342" s="2" t="s">
        <v>74</v>
      </c>
      <c r="BL342" s="2" t="s">
        <v>74</v>
      </c>
      <c r="BM342" s="2" t="s">
        <v>74</v>
      </c>
      <c r="BN342" s="2" t="s">
        <v>74</v>
      </c>
      <c r="BO342" s="2" t="s">
        <v>74</v>
      </c>
      <c r="BP342" s="2" t="s">
        <v>74</v>
      </c>
      <c r="BQ342" s="2" t="s">
        <v>74</v>
      </c>
      <c r="BR342" s="2" t="s">
        <v>74</v>
      </c>
      <c r="BS342" s="2" t="s">
        <v>7488</v>
      </c>
      <c r="BT342" s="2" t="str">
        <f>HYPERLINK("https%3A%2F%2Fwww.webofscience.com%2Fwos%2Fwoscc%2Ffull-record%2FWOS:A1982MW10500003","View Full Record in Web of Science")</f>
        <v>View Full Record in Web of Science</v>
      </c>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row>
    <row r="343" spans="1:314" s="2" customFormat="1" x14ac:dyDescent="0.4">
      <c r="A343" s="2" t="s">
        <v>72</v>
      </c>
      <c r="B343" s="2" t="s">
        <v>1491</v>
      </c>
      <c r="C343" s="2" t="s">
        <v>74</v>
      </c>
      <c r="D343" s="2" t="s">
        <v>74</v>
      </c>
      <c r="E343" s="2" t="s">
        <v>74</v>
      </c>
      <c r="F343" s="2" t="s">
        <v>1492</v>
      </c>
      <c r="G343" s="2" t="s">
        <v>74</v>
      </c>
      <c r="H343" s="2" t="s">
        <v>74</v>
      </c>
      <c r="I343" s="2" t="s">
        <v>1493</v>
      </c>
      <c r="J343" s="2" t="s">
        <v>1494</v>
      </c>
      <c r="K343" s="2" t="s">
        <v>74</v>
      </c>
      <c r="L343" s="2" t="s">
        <v>74</v>
      </c>
      <c r="M343" s="2" t="s">
        <v>74</v>
      </c>
      <c r="N343" s="2" t="s">
        <v>74</v>
      </c>
      <c r="O343" s="2" t="s">
        <v>74</v>
      </c>
      <c r="P343" s="2" t="s">
        <v>74</v>
      </c>
      <c r="Q343" s="2" t="s">
        <v>74</v>
      </c>
      <c r="R343" s="2" t="s">
        <v>74</v>
      </c>
      <c r="S343" s="2" t="s">
        <v>74</v>
      </c>
      <c r="T343" s="2" t="s">
        <v>74</v>
      </c>
      <c r="U343" s="2" t="s">
        <v>74</v>
      </c>
      <c r="V343" s="5" t="s">
        <v>1495</v>
      </c>
      <c r="W343" s="2" t="s">
        <v>74</v>
      </c>
      <c r="X343" s="2" t="s">
        <v>74</v>
      </c>
      <c r="Y343" s="2" t="s">
        <v>74</v>
      </c>
      <c r="Z343" s="2" t="s">
        <v>74</v>
      </c>
      <c r="AA343" s="2" t="s">
        <v>1496</v>
      </c>
      <c r="AB343" s="2" t="s">
        <v>1497</v>
      </c>
      <c r="AC343" s="2" t="s">
        <v>74</v>
      </c>
      <c r="AD343" s="2" t="s">
        <v>74</v>
      </c>
      <c r="AE343" s="2" t="s">
        <v>74</v>
      </c>
      <c r="AF343" s="2" t="s">
        <v>74</v>
      </c>
      <c r="AG343" s="2" t="s">
        <v>74</v>
      </c>
      <c r="AH343" s="2" t="s">
        <v>74</v>
      </c>
      <c r="AI343" s="2" t="s">
        <v>74</v>
      </c>
      <c r="AJ343" s="2" t="s">
        <v>74</v>
      </c>
      <c r="AK343" s="2" t="s">
        <v>74</v>
      </c>
      <c r="AL343" s="2" t="s">
        <v>74</v>
      </c>
      <c r="AM343" s="2" t="s">
        <v>74</v>
      </c>
      <c r="AN343" s="2" t="s">
        <v>74</v>
      </c>
      <c r="AO343" s="2" t="s">
        <v>1498</v>
      </c>
      <c r="AP343" s="2" t="s">
        <v>74</v>
      </c>
      <c r="AQ343" s="2" t="s">
        <v>74</v>
      </c>
      <c r="AR343" s="2" t="s">
        <v>74</v>
      </c>
      <c r="AS343" s="2" t="s">
        <v>74</v>
      </c>
      <c r="AT343" s="2" t="s">
        <v>74</v>
      </c>
      <c r="AU343" s="2">
        <v>2019</v>
      </c>
      <c r="AV343" s="2">
        <v>32</v>
      </c>
      <c r="AW343" s="2" t="s">
        <v>74</v>
      </c>
      <c r="AX343" s="2" t="s">
        <v>74</v>
      </c>
      <c r="AY343" s="2" t="s">
        <v>74</v>
      </c>
      <c r="AZ343" s="2" t="s">
        <v>74</v>
      </c>
      <c r="BA343" s="2" t="s">
        <v>74</v>
      </c>
      <c r="BB343" s="2">
        <v>95</v>
      </c>
      <c r="BC343" s="2">
        <v>99</v>
      </c>
      <c r="BD343" s="2" t="s">
        <v>74</v>
      </c>
      <c r="BE343" s="2" t="s">
        <v>1499</v>
      </c>
      <c r="BF343" s="2" t="str">
        <f>HYPERLINK("http://dx.doi.org/10.3897/herpetozoa.32.e36023","http://dx.doi.org/10.3897/herpetozoa.32.e36023")</f>
        <v>http://dx.doi.org/10.3897/herpetozoa.32.e36023</v>
      </c>
      <c r="BG343" s="2" t="s">
        <v>74</v>
      </c>
      <c r="BH343" s="2" t="s">
        <v>74</v>
      </c>
      <c r="BI343" s="2" t="s">
        <v>74</v>
      </c>
      <c r="BJ343" s="2" t="s">
        <v>74</v>
      </c>
      <c r="BK343" s="2" t="s">
        <v>74</v>
      </c>
      <c r="BL343" s="2" t="s">
        <v>74</v>
      </c>
      <c r="BM343" s="2" t="s">
        <v>74</v>
      </c>
      <c r="BN343" s="2" t="s">
        <v>74</v>
      </c>
      <c r="BO343" s="2" t="s">
        <v>74</v>
      </c>
      <c r="BP343" s="2" t="s">
        <v>74</v>
      </c>
      <c r="BQ343" s="2" t="s">
        <v>74</v>
      </c>
      <c r="BR343" s="2" t="s">
        <v>74</v>
      </c>
      <c r="BS343" s="2" t="s">
        <v>1500</v>
      </c>
      <c r="BT343" s="2" t="str">
        <f>HYPERLINK("https%3A%2F%2Fwww.webofscience.com%2Fwos%2Fwoscc%2Ffull-record%2FWOS:000471808100016","View Full Record in Web of Science")</f>
        <v>View Full Record in Web of Science</v>
      </c>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row>
    <row r="344" spans="1:314" s="2" customFormat="1" x14ac:dyDescent="0.4">
      <c r="A344" s="2" t="s">
        <v>72</v>
      </c>
      <c r="B344" s="2" t="s">
        <v>2205</v>
      </c>
      <c r="C344" s="2" t="s">
        <v>74</v>
      </c>
      <c r="D344" s="2" t="s">
        <v>74</v>
      </c>
      <c r="E344" s="2" t="s">
        <v>74</v>
      </c>
      <c r="F344" s="2" t="s">
        <v>2205</v>
      </c>
      <c r="G344" s="2" t="s">
        <v>74</v>
      </c>
      <c r="H344" s="2" t="s">
        <v>74</v>
      </c>
      <c r="I344" s="2" t="s">
        <v>2206</v>
      </c>
      <c r="J344" s="2" t="s">
        <v>2207</v>
      </c>
      <c r="K344" s="2" t="s">
        <v>74</v>
      </c>
      <c r="L344" s="2" t="s">
        <v>74</v>
      </c>
      <c r="M344" s="2" t="s">
        <v>74</v>
      </c>
      <c r="N344" s="2" t="s">
        <v>74</v>
      </c>
      <c r="O344" s="2" t="s">
        <v>74</v>
      </c>
      <c r="P344" s="2" t="s">
        <v>74</v>
      </c>
      <c r="Q344" s="2" t="s">
        <v>74</v>
      </c>
      <c r="R344" s="2" t="s">
        <v>74</v>
      </c>
      <c r="S344" s="2" t="s">
        <v>74</v>
      </c>
      <c r="T344" s="2" t="s">
        <v>74</v>
      </c>
      <c r="U344" s="2" t="s">
        <v>74</v>
      </c>
      <c r="V344" s="5" t="s">
        <v>2208</v>
      </c>
      <c r="W344" s="2" t="s">
        <v>74</v>
      </c>
      <c r="X344" s="2" t="s">
        <v>74</v>
      </c>
      <c r="Y344" s="2" t="s">
        <v>74</v>
      </c>
      <c r="Z344" s="2" t="s">
        <v>74</v>
      </c>
      <c r="AA344" s="2" t="s">
        <v>2209</v>
      </c>
      <c r="AB344" s="2" t="s">
        <v>2210</v>
      </c>
      <c r="AC344" s="2" t="s">
        <v>74</v>
      </c>
      <c r="AD344" s="2" t="s">
        <v>74</v>
      </c>
      <c r="AE344" s="2" t="s">
        <v>74</v>
      </c>
      <c r="AF344" s="2" t="s">
        <v>74</v>
      </c>
      <c r="AG344" s="2" t="s">
        <v>74</v>
      </c>
      <c r="AH344" s="2" t="s">
        <v>74</v>
      </c>
      <c r="AI344" s="2" t="s">
        <v>74</v>
      </c>
      <c r="AJ344" s="2" t="s">
        <v>74</v>
      </c>
      <c r="AK344" s="2" t="s">
        <v>74</v>
      </c>
      <c r="AL344" s="2" t="s">
        <v>74</v>
      </c>
      <c r="AM344" s="2" t="s">
        <v>74</v>
      </c>
      <c r="AN344" s="2" t="s">
        <v>74</v>
      </c>
      <c r="AO344" s="2" t="s">
        <v>2211</v>
      </c>
      <c r="AP344" s="2" t="s">
        <v>74</v>
      </c>
      <c r="AQ344" s="2" t="s">
        <v>74</v>
      </c>
      <c r="AR344" s="2" t="s">
        <v>74</v>
      </c>
      <c r="AS344" s="2" t="s">
        <v>74</v>
      </c>
      <c r="AT344" s="2" t="s">
        <v>204</v>
      </c>
      <c r="AU344" s="2">
        <v>2006</v>
      </c>
      <c r="AV344" s="2">
        <v>37</v>
      </c>
      <c r="AW344" s="2">
        <v>4</v>
      </c>
      <c r="AX344" s="2" t="s">
        <v>74</v>
      </c>
      <c r="AY344" s="2" t="s">
        <v>74</v>
      </c>
      <c r="AZ344" s="2" t="s">
        <v>74</v>
      </c>
      <c r="BA344" s="2" t="s">
        <v>74</v>
      </c>
      <c r="BB344" s="2">
        <v>339</v>
      </c>
      <c r="BC344" s="2">
        <v>348</v>
      </c>
      <c r="BD344" s="2" t="s">
        <v>74</v>
      </c>
      <c r="BE344" s="2" t="s">
        <v>2212</v>
      </c>
      <c r="BF344" s="2" t="str">
        <f>HYPERLINK("http://dx.doi.org/10.1111/j.2006.0908-8857.03655.x","http://dx.doi.org/10.1111/j.2006.0908-8857.03655.x")</f>
        <v>http://dx.doi.org/10.1111/j.2006.0908-8857.03655.x</v>
      </c>
      <c r="BG344" s="2" t="s">
        <v>74</v>
      </c>
      <c r="BH344" s="2" t="s">
        <v>74</v>
      </c>
      <c r="BI344" s="2" t="s">
        <v>74</v>
      </c>
      <c r="BJ344" s="2" t="s">
        <v>74</v>
      </c>
      <c r="BK344" s="2" t="s">
        <v>74</v>
      </c>
      <c r="BL344" s="2" t="s">
        <v>74</v>
      </c>
      <c r="BM344" s="2" t="s">
        <v>74</v>
      </c>
      <c r="BN344" s="2" t="s">
        <v>74</v>
      </c>
      <c r="BO344" s="2" t="s">
        <v>74</v>
      </c>
      <c r="BP344" s="2" t="s">
        <v>74</v>
      </c>
      <c r="BQ344" s="2" t="s">
        <v>74</v>
      </c>
      <c r="BR344" s="2" t="s">
        <v>74</v>
      </c>
      <c r="BS344" s="2" t="s">
        <v>2213</v>
      </c>
      <c r="BT344" s="2" t="str">
        <f>HYPERLINK("https%3A%2F%2Fwww.webofscience.com%2Fwos%2Fwoscc%2Ffull-record%2FWOS:000238486700008","View Full Record in Web of Science")</f>
        <v>View Full Record in Web of Science</v>
      </c>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row>
    <row r="345" spans="1:314" s="2" customFormat="1" x14ac:dyDescent="0.4">
      <c r="A345" s="2" t="s">
        <v>72</v>
      </c>
      <c r="B345" s="2" t="s">
        <v>7287</v>
      </c>
      <c r="C345" s="2" t="s">
        <v>74</v>
      </c>
      <c r="D345" s="2" t="s">
        <v>74</v>
      </c>
      <c r="E345" s="2" t="s">
        <v>74</v>
      </c>
      <c r="F345" s="2" t="s">
        <v>7287</v>
      </c>
      <c r="G345" s="2" t="s">
        <v>74</v>
      </c>
      <c r="H345" s="2" t="s">
        <v>74</v>
      </c>
      <c r="I345" s="2" t="s">
        <v>7288</v>
      </c>
      <c r="J345" s="2" t="s">
        <v>367</v>
      </c>
      <c r="K345" s="2" t="s">
        <v>74</v>
      </c>
      <c r="L345" s="2" t="s">
        <v>74</v>
      </c>
      <c r="M345" s="2" t="s">
        <v>74</v>
      </c>
      <c r="N345" s="2" t="s">
        <v>74</v>
      </c>
      <c r="O345" s="2" t="s">
        <v>74</v>
      </c>
      <c r="P345" s="2" t="s">
        <v>74</v>
      </c>
      <c r="Q345" s="2" t="s">
        <v>74</v>
      </c>
      <c r="R345" s="2" t="s">
        <v>74</v>
      </c>
      <c r="S345" s="2" t="s">
        <v>74</v>
      </c>
      <c r="T345" s="2" t="s">
        <v>74</v>
      </c>
      <c r="U345" s="2" t="s">
        <v>74</v>
      </c>
      <c r="V345" s="5" t="s">
        <v>7289</v>
      </c>
      <c r="W345" s="2" t="s">
        <v>74</v>
      </c>
      <c r="X345" s="2" t="s">
        <v>74</v>
      </c>
      <c r="Y345" s="2" t="s">
        <v>74</v>
      </c>
      <c r="Z345" s="2" t="s">
        <v>74</v>
      </c>
      <c r="AA345" s="2" t="s">
        <v>74</v>
      </c>
      <c r="AB345" s="2" t="s">
        <v>74</v>
      </c>
      <c r="AC345" s="2" t="s">
        <v>74</v>
      </c>
      <c r="AD345" s="2" t="s">
        <v>74</v>
      </c>
      <c r="AE345" s="2" t="s">
        <v>74</v>
      </c>
      <c r="AF345" s="2" t="s">
        <v>74</v>
      </c>
      <c r="AG345" s="2" t="s">
        <v>74</v>
      </c>
      <c r="AH345" s="2" t="s">
        <v>74</v>
      </c>
      <c r="AI345" s="2" t="s">
        <v>74</v>
      </c>
      <c r="AJ345" s="2" t="s">
        <v>74</v>
      </c>
      <c r="AK345" s="2" t="s">
        <v>74</v>
      </c>
      <c r="AL345" s="2" t="s">
        <v>74</v>
      </c>
      <c r="AM345" s="2" t="s">
        <v>74</v>
      </c>
      <c r="AN345" s="2" t="s">
        <v>74</v>
      </c>
      <c r="AO345" s="2" t="s">
        <v>371</v>
      </c>
      <c r="AP345" s="2" t="s">
        <v>372</v>
      </c>
      <c r="AQ345" s="2" t="s">
        <v>74</v>
      </c>
      <c r="AR345" s="2" t="s">
        <v>74</v>
      </c>
      <c r="AS345" s="2" t="s">
        <v>74</v>
      </c>
      <c r="AT345" s="2" t="s">
        <v>102</v>
      </c>
      <c r="AU345" s="2">
        <v>1992</v>
      </c>
      <c r="AV345" s="2">
        <v>106</v>
      </c>
      <c r="AW345" s="2">
        <v>2</v>
      </c>
      <c r="AX345" s="2" t="s">
        <v>74</v>
      </c>
      <c r="AY345" s="2" t="s">
        <v>74</v>
      </c>
      <c r="AZ345" s="2" t="s">
        <v>74</v>
      </c>
      <c r="BA345" s="2" t="s">
        <v>74</v>
      </c>
      <c r="BB345" s="2">
        <v>150</v>
      </c>
      <c r="BC345" s="2">
        <v>162</v>
      </c>
      <c r="BD345" s="2" t="s">
        <v>74</v>
      </c>
      <c r="BE345" s="2" t="s">
        <v>74</v>
      </c>
      <c r="BF345" s="2" t="s">
        <v>74</v>
      </c>
      <c r="BG345" s="2" t="s">
        <v>74</v>
      </c>
      <c r="BH345" s="2" t="s">
        <v>74</v>
      </c>
      <c r="BI345" s="2" t="s">
        <v>74</v>
      </c>
      <c r="BJ345" s="2" t="s">
        <v>74</v>
      </c>
      <c r="BK345" s="2" t="s">
        <v>74</v>
      </c>
      <c r="BL345" s="2" t="s">
        <v>74</v>
      </c>
      <c r="BM345" s="2" t="s">
        <v>74</v>
      </c>
      <c r="BN345" s="2" t="s">
        <v>74</v>
      </c>
      <c r="BO345" s="2" t="s">
        <v>74</v>
      </c>
      <c r="BP345" s="2" t="s">
        <v>74</v>
      </c>
      <c r="BQ345" s="2" t="s">
        <v>74</v>
      </c>
      <c r="BR345" s="2" t="s">
        <v>74</v>
      </c>
      <c r="BS345" s="2" t="s">
        <v>7290</v>
      </c>
      <c r="BT345" s="2" t="str">
        <f>HYPERLINK("https%3A%2F%2Fwww.webofscience.com%2Fwos%2Fwoscc%2Ffull-record%2FWOS:A1992HW96900007","View Full Record in Web of Science")</f>
        <v>View Full Record in Web of Science</v>
      </c>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row>
    <row r="346" spans="1:314" s="2" customFormat="1" x14ac:dyDescent="0.4">
      <c r="A346" s="2" t="s">
        <v>72</v>
      </c>
      <c r="B346" s="2" t="s">
        <v>4178</v>
      </c>
      <c r="C346" s="2" t="s">
        <v>74</v>
      </c>
      <c r="D346" s="2" t="s">
        <v>74</v>
      </c>
      <c r="E346" s="2" t="s">
        <v>74</v>
      </c>
      <c r="F346" s="2" t="s">
        <v>4178</v>
      </c>
      <c r="G346" s="2" t="s">
        <v>74</v>
      </c>
      <c r="H346" s="2" t="s">
        <v>74</v>
      </c>
      <c r="I346" s="2" t="s">
        <v>4179</v>
      </c>
      <c r="J346" s="2" t="s">
        <v>1126</v>
      </c>
      <c r="K346" s="2" t="s">
        <v>74</v>
      </c>
      <c r="L346" s="2" t="s">
        <v>74</v>
      </c>
      <c r="M346" s="2" t="s">
        <v>74</v>
      </c>
      <c r="N346" s="2" t="s">
        <v>74</v>
      </c>
      <c r="O346" s="2" t="s">
        <v>74</v>
      </c>
      <c r="P346" s="2" t="s">
        <v>74</v>
      </c>
      <c r="Q346" s="2" t="s">
        <v>74</v>
      </c>
      <c r="R346" s="2" t="s">
        <v>74</v>
      </c>
      <c r="S346" s="2" t="s">
        <v>74</v>
      </c>
      <c r="T346" s="2" t="s">
        <v>74</v>
      </c>
      <c r="U346" s="2" t="s">
        <v>74</v>
      </c>
      <c r="V346" s="5" t="s">
        <v>4180</v>
      </c>
      <c r="W346" s="2" t="s">
        <v>74</v>
      </c>
      <c r="X346" s="2" t="s">
        <v>74</v>
      </c>
      <c r="Y346" s="2" t="s">
        <v>74</v>
      </c>
      <c r="Z346" s="2" t="s">
        <v>74</v>
      </c>
      <c r="AA346" s="2" t="s">
        <v>4181</v>
      </c>
      <c r="AB346" s="2" t="s">
        <v>74</v>
      </c>
      <c r="AC346" s="2" t="s">
        <v>74</v>
      </c>
      <c r="AD346" s="2" t="s">
        <v>74</v>
      </c>
      <c r="AE346" s="2" t="s">
        <v>74</v>
      </c>
      <c r="AF346" s="2" t="s">
        <v>74</v>
      </c>
      <c r="AG346" s="2" t="s">
        <v>74</v>
      </c>
      <c r="AH346" s="2" t="s">
        <v>74</v>
      </c>
      <c r="AI346" s="2" t="s">
        <v>74</v>
      </c>
      <c r="AJ346" s="2" t="s">
        <v>74</v>
      </c>
      <c r="AK346" s="2" t="s">
        <v>74</v>
      </c>
      <c r="AL346" s="2" t="s">
        <v>74</v>
      </c>
      <c r="AM346" s="2" t="s">
        <v>74</v>
      </c>
      <c r="AN346" s="2" t="s">
        <v>74</v>
      </c>
      <c r="AO346" s="2" t="s">
        <v>1128</v>
      </c>
      <c r="AP346" s="2" t="s">
        <v>1129</v>
      </c>
      <c r="AQ346" s="2" t="s">
        <v>74</v>
      </c>
      <c r="AR346" s="2" t="s">
        <v>74</v>
      </c>
      <c r="AS346" s="2" t="s">
        <v>74</v>
      </c>
      <c r="AT346" s="2" t="s">
        <v>2028</v>
      </c>
      <c r="AU346" s="2">
        <v>1985</v>
      </c>
      <c r="AV346" s="2" t="s">
        <v>74</v>
      </c>
      <c r="AW346" s="2">
        <v>4</v>
      </c>
      <c r="AX346" s="2" t="s">
        <v>74</v>
      </c>
      <c r="AY346" s="2" t="s">
        <v>74</v>
      </c>
      <c r="AZ346" s="2" t="s">
        <v>74</v>
      </c>
      <c r="BA346" s="2" t="s">
        <v>74</v>
      </c>
      <c r="BB346" s="2">
        <v>966</v>
      </c>
      <c r="BC346" s="2">
        <v>975</v>
      </c>
      <c r="BD346" s="2" t="s">
        <v>74</v>
      </c>
      <c r="BE346" s="2" t="s">
        <v>74</v>
      </c>
      <c r="BF346" s="2" t="s">
        <v>74</v>
      </c>
      <c r="BG346" s="2" t="s">
        <v>74</v>
      </c>
      <c r="BH346" s="2" t="s">
        <v>74</v>
      </c>
      <c r="BI346" s="2" t="s">
        <v>74</v>
      </c>
      <c r="BJ346" s="2" t="s">
        <v>74</v>
      </c>
      <c r="BK346" s="2" t="s">
        <v>74</v>
      </c>
      <c r="BL346" s="2" t="s">
        <v>74</v>
      </c>
      <c r="BM346" s="2" t="s">
        <v>74</v>
      </c>
      <c r="BN346" s="2" t="s">
        <v>74</v>
      </c>
      <c r="BO346" s="2" t="s">
        <v>74</v>
      </c>
      <c r="BP346" s="2" t="s">
        <v>74</v>
      </c>
      <c r="BQ346" s="2" t="s">
        <v>74</v>
      </c>
      <c r="BR346" s="2" t="s">
        <v>74</v>
      </c>
      <c r="BS346" s="2" t="s">
        <v>4182</v>
      </c>
      <c r="BT346" s="2" t="str">
        <f>HYPERLINK("https%3A%2F%2Fwww.webofscience.com%2Fwos%2Fwoscc%2Ffull-record%2FWOS:A1985AXC0800019","View Full Record in Web of Science")</f>
        <v>View Full Record in Web of Science</v>
      </c>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row>
    <row r="347" spans="1:314" s="2" customFormat="1" x14ac:dyDescent="0.4">
      <c r="A347" s="2" t="s">
        <v>72</v>
      </c>
      <c r="B347" s="2" t="s">
        <v>920</v>
      </c>
      <c r="C347" s="2" t="s">
        <v>74</v>
      </c>
      <c r="D347" s="2" t="s">
        <v>74</v>
      </c>
      <c r="E347" s="2" t="s">
        <v>74</v>
      </c>
      <c r="F347" s="2" t="s">
        <v>921</v>
      </c>
      <c r="G347" s="2" t="s">
        <v>74</v>
      </c>
      <c r="H347" s="2" t="s">
        <v>74</v>
      </c>
      <c r="I347" s="2" t="s">
        <v>922</v>
      </c>
      <c r="J347" s="2" t="s">
        <v>108</v>
      </c>
      <c r="K347" s="2" t="s">
        <v>74</v>
      </c>
      <c r="L347" s="2" t="s">
        <v>74</v>
      </c>
      <c r="M347" s="2" t="s">
        <v>74</v>
      </c>
      <c r="N347" s="2" t="s">
        <v>74</v>
      </c>
      <c r="O347" s="2" t="s">
        <v>74</v>
      </c>
      <c r="P347" s="2" t="s">
        <v>74</v>
      </c>
      <c r="Q347" s="2" t="s">
        <v>74</v>
      </c>
      <c r="R347" s="2" t="s">
        <v>74</v>
      </c>
      <c r="S347" s="2" t="s">
        <v>74</v>
      </c>
      <c r="T347" s="2" t="s">
        <v>74</v>
      </c>
      <c r="U347" s="2" t="s">
        <v>74</v>
      </c>
      <c r="V347" s="5" t="s">
        <v>923</v>
      </c>
      <c r="W347" s="2" t="s">
        <v>74</v>
      </c>
      <c r="X347" s="2" t="s">
        <v>74</v>
      </c>
      <c r="Y347" s="2" t="s">
        <v>74</v>
      </c>
      <c r="Z347" s="2" t="s">
        <v>74</v>
      </c>
      <c r="AA347" s="2" t="s">
        <v>74</v>
      </c>
      <c r="AB347" s="2" t="s">
        <v>74</v>
      </c>
      <c r="AC347" s="2" t="s">
        <v>74</v>
      </c>
      <c r="AD347" s="2" t="s">
        <v>74</v>
      </c>
      <c r="AE347" s="2" t="s">
        <v>74</v>
      </c>
      <c r="AF347" s="2" t="s">
        <v>74</v>
      </c>
      <c r="AG347" s="2" t="s">
        <v>74</v>
      </c>
      <c r="AH347" s="2" t="s">
        <v>74</v>
      </c>
      <c r="AI347" s="2" t="s">
        <v>74</v>
      </c>
      <c r="AJ347" s="2" t="s">
        <v>74</v>
      </c>
      <c r="AK347" s="2" t="s">
        <v>74</v>
      </c>
      <c r="AL347" s="2" t="s">
        <v>74</v>
      </c>
      <c r="AM347" s="2" t="s">
        <v>74</v>
      </c>
      <c r="AN347" s="2" t="s">
        <v>74</v>
      </c>
      <c r="AO347" s="2" t="s">
        <v>111</v>
      </c>
      <c r="AP347" s="2" t="s">
        <v>112</v>
      </c>
      <c r="AQ347" s="2" t="s">
        <v>74</v>
      </c>
      <c r="AR347" s="2" t="s">
        <v>74</v>
      </c>
      <c r="AS347" s="2" t="s">
        <v>74</v>
      </c>
      <c r="AT347" s="2" t="s">
        <v>924</v>
      </c>
      <c r="AU347" s="2">
        <v>2007</v>
      </c>
      <c r="AV347" s="2">
        <v>274</v>
      </c>
      <c r="AW347" s="2">
        <v>1627</v>
      </c>
      <c r="AX347" s="2" t="s">
        <v>74</v>
      </c>
      <c r="AY347" s="2" t="s">
        <v>74</v>
      </c>
      <c r="AZ347" s="2" t="s">
        <v>74</v>
      </c>
      <c r="BA347" s="2" t="s">
        <v>74</v>
      </c>
      <c r="BB347" s="2">
        <v>2785</v>
      </c>
      <c r="BC347" s="2">
        <v>2790</v>
      </c>
      <c r="BD347" s="2" t="s">
        <v>74</v>
      </c>
      <c r="BE347" s="2" t="s">
        <v>925</v>
      </c>
      <c r="BF347" s="2" t="str">
        <f>HYPERLINK("http://dx.doi.org/10.1098/rspb.2007.1059","http://dx.doi.org/10.1098/rspb.2007.1059")</f>
        <v>http://dx.doi.org/10.1098/rspb.2007.1059</v>
      </c>
      <c r="BG347" s="2" t="s">
        <v>74</v>
      </c>
      <c r="BH347" s="2" t="s">
        <v>74</v>
      </c>
      <c r="BI347" s="2" t="s">
        <v>74</v>
      </c>
      <c r="BJ347" s="2" t="s">
        <v>74</v>
      </c>
      <c r="BK347" s="2" t="s">
        <v>74</v>
      </c>
      <c r="BL347" s="2" t="s">
        <v>74</v>
      </c>
      <c r="BM347" s="2" t="s">
        <v>74</v>
      </c>
      <c r="BN347" s="2">
        <v>17848366</v>
      </c>
      <c r="BO347" s="2" t="s">
        <v>74</v>
      </c>
      <c r="BP347" s="2" t="s">
        <v>74</v>
      </c>
      <c r="BQ347" s="2" t="s">
        <v>74</v>
      </c>
      <c r="BR347" s="2" t="s">
        <v>74</v>
      </c>
      <c r="BS347" s="2" t="s">
        <v>926</v>
      </c>
      <c r="BT347" s="2" t="str">
        <f>HYPERLINK("https%3A%2F%2Fwww.webofscience.com%2Fwos%2Fwoscc%2Ffull-record%2FWOS:000250555000002","View Full Record in Web of Science")</f>
        <v>View Full Record in Web of Science</v>
      </c>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row>
    <row r="348" spans="1:314" s="2" customFormat="1" x14ac:dyDescent="0.4">
      <c r="A348" s="2" t="s">
        <v>72</v>
      </c>
      <c r="B348" s="2" t="s">
        <v>7098</v>
      </c>
      <c r="C348" s="2" t="s">
        <v>74</v>
      </c>
      <c r="D348" s="2" t="s">
        <v>74</v>
      </c>
      <c r="E348" s="2" t="s">
        <v>74</v>
      </c>
      <c r="F348" s="2" t="s">
        <v>7098</v>
      </c>
      <c r="G348" s="2" t="s">
        <v>74</v>
      </c>
      <c r="H348" s="2" t="s">
        <v>74</v>
      </c>
      <c r="I348" s="2" t="s">
        <v>7099</v>
      </c>
      <c r="J348" s="2" t="s">
        <v>4064</v>
      </c>
      <c r="K348" s="2" t="s">
        <v>74</v>
      </c>
      <c r="L348" s="2" t="s">
        <v>74</v>
      </c>
      <c r="M348" s="2" t="s">
        <v>74</v>
      </c>
      <c r="N348" s="2" t="s">
        <v>74</v>
      </c>
      <c r="O348" s="2" t="s">
        <v>74</v>
      </c>
      <c r="P348" s="2" t="s">
        <v>74</v>
      </c>
      <c r="Q348" s="2" t="s">
        <v>74</v>
      </c>
      <c r="R348" s="2" t="s">
        <v>74</v>
      </c>
      <c r="S348" s="2" t="s">
        <v>74</v>
      </c>
      <c r="T348" s="2" t="s">
        <v>74</v>
      </c>
      <c r="U348" s="2" t="s">
        <v>74</v>
      </c>
      <c r="V348" s="5" t="s">
        <v>7100</v>
      </c>
      <c r="W348" s="2" t="s">
        <v>74</v>
      </c>
      <c r="X348" s="2" t="s">
        <v>74</v>
      </c>
      <c r="Y348" s="2" t="s">
        <v>74</v>
      </c>
      <c r="Z348" s="2" t="s">
        <v>74</v>
      </c>
      <c r="AA348" s="2" t="s">
        <v>74</v>
      </c>
      <c r="AB348" s="2" t="s">
        <v>74</v>
      </c>
      <c r="AC348" s="2" t="s">
        <v>74</v>
      </c>
      <c r="AD348" s="2" t="s">
        <v>74</v>
      </c>
      <c r="AE348" s="2" t="s">
        <v>74</v>
      </c>
      <c r="AF348" s="2" t="s">
        <v>74</v>
      </c>
      <c r="AG348" s="2" t="s">
        <v>74</v>
      </c>
      <c r="AH348" s="2" t="s">
        <v>74</v>
      </c>
      <c r="AI348" s="2" t="s">
        <v>74</v>
      </c>
      <c r="AJ348" s="2" t="s">
        <v>74</v>
      </c>
      <c r="AK348" s="2" t="s">
        <v>74</v>
      </c>
      <c r="AL348" s="2" t="s">
        <v>74</v>
      </c>
      <c r="AM348" s="2" t="s">
        <v>74</v>
      </c>
      <c r="AN348" s="2" t="s">
        <v>74</v>
      </c>
      <c r="AO348" s="2" t="s">
        <v>4068</v>
      </c>
      <c r="AP348" s="2" t="s">
        <v>4069</v>
      </c>
      <c r="AQ348" s="2" t="s">
        <v>74</v>
      </c>
      <c r="AR348" s="2" t="s">
        <v>74</v>
      </c>
      <c r="AS348" s="2" t="s">
        <v>74</v>
      </c>
      <c r="AT348" s="2" t="s">
        <v>7101</v>
      </c>
      <c r="AU348" s="2">
        <v>2005</v>
      </c>
      <c r="AV348" s="2">
        <v>15</v>
      </c>
      <c r="AW348" s="2">
        <v>23</v>
      </c>
      <c r="AX348" s="2" t="s">
        <v>74</v>
      </c>
      <c r="AY348" s="2" t="s">
        <v>74</v>
      </c>
      <c r="AZ348" s="2" t="s">
        <v>74</v>
      </c>
      <c r="BA348" s="2" t="s">
        <v>74</v>
      </c>
      <c r="BB348" s="2">
        <v>2170</v>
      </c>
      <c r="BC348" s="2">
        <v>2174</v>
      </c>
      <c r="BD348" s="2" t="s">
        <v>74</v>
      </c>
      <c r="BE348" s="2" t="s">
        <v>7102</v>
      </c>
      <c r="BF348" s="2" t="str">
        <f>HYPERLINK("http://dx.doi.org/10.1016/j.cub.2005.10.067","http://dx.doi.org/10.1016/j.cub.2005.10.067")</f>
        <v>http://dx.doi.org/10.1016/j.cub.2005.10.067</v>
      </c>
      <c r="BG348" s="2" t="s">
        <v>74</v>
      </c>
      <c r="BH348" s="2" t="s">
        <v>74</v>
      </c>
      <c r="BI348" s="2" t="s">
        <v>74</v>
      </c>
      <c r="BJ348" s="2" t="s">
        <v>74</v>
      </c>
      <c r="BK348" s="2" t="s">
        <v>74</v>
      </c>
      <c r="BL348" s="2" t="s">
        <v>74</v>
      </c>
      <c r="BM348" s="2" t="s">
        <v>74</v>
      </c>
      <c r="BN348" s="2">
        <v>16332544</v>
      </c>
      <c r="BO348" s="2" t="s">
        <v>74</v>
      </c>
      <c r="BP348" s="2" t="s">
        <v>74</v>
      </c>
      <c r="BQ348" s="2" t="s">
        <v>74</v>
      </c>
      <c r="BR348" s="2" t="s">
        <v>74</v>
      </c>
      <c r="BS348" s="2" t="s">
        <v>7103</v>
      </c>
      <c r="BT348" s="2" t="str">
        <f>HYPERLINK("https%3A%2F%2Fwww.webofscience.com%2Fwos%2Fwoscc%2Ffull-record%2FWOS:000234013400033","View Full Record in Web of Science")</f>
        <v>View Full Record in Web of Science</v>
      </c>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row>
    <row r="349" spans="1:314" s="2" customFormat="1" x14ac:dyDescent="0.4">
      <c r="A349" s="2" t="s">
        <v>72</v>
      </c>
      <c r="B349" s="2" t="s">
        <v>7460</v>
      </c>
      <c r="C349" s="2" t="s">
        <v>74</v>
      </c>
      <c r="D349" s="2" t="s">
        <v>74</v>
      </c>
      <c r="E349" s="2" t="s">
        <v>74</v>
      </c>
      <c r="F349" s="2" t="s">
        <v>7461</v>
      </c>
      <c r="G349" s="2" t="s">
        <v>74</v>
      </c>
      <c r="H349" s="2" t="s">
        <v>74</v>
      </c>
      <c r="I349" s="2" t="s">
        <v>7462</v>
      </c>
      <c r="J349" s="2" t="s">
        <v>1026</v>
      </c>
      <c r="K349" s="2" t="s">
        <v>74</v>
      </c>
      <c r="L349" s="2" t="s">
        <v>74</v>
      </c>
      <c r="M349" s="2" t="s">
        <v>74</v>
      </c>
      <c r="N349" s="2" t="s">
        <v>74</v>
      </c>
      <c r="O349" s="2" t="s">
        <v>7463</v>
      </c>
      <c r="P349" s="2" t="s">
        <v>7464</v>
      </c>
      <c r="Q349" s="2" t="s">
        <v>7465</v>
      </c>
      <c r="R349" s="2" t="s">
        <v>7466</v>
      </c>
      <c r="S349" s="2" t="s">
        <v>74</v>
      </c>
      <c r="T349" s="2" t="s">
        <v>74</v>
      </c>
      <c r="U349" s="2" t="s">
        <v>74</v>
      </c>
      <c r="V349" s="5" t="s">
        <v>7467</v>
      </c>
      <c r="W349" s="2" t="s">
        <v>74</v>
      </c>
      <c r="X349" s="2" t="s">
        <v>74</v>
      </c>
      <c r="Y349" s="2" t="s">
        <v>74</v>
      </c>
      <c r="Z349" s="2" t="s">
        <v>74</v>
      </c>
      <c r="AA349" s="2" t="s">
        <v>74</v>
      </c>
      <c r="AB349" s="2" t="s">
        <v>74</v>
      </c>
      <c r="AC349" s="2" t="s">
        <v>74</v>
      </c>
      <c r="AD349" s="2" t="s">
        <v>74</v>
      </c>
      <c r="AE349" s="2" t="s">
        <v>74</v>
      </c>
      <c r="AF349" s="2" t="s">
        <v>74</v>
      </c>
      <c r="AG349" s="2" t="s">
        <v>74</v>
      </c>
      <c r="AH349" s="2" t="s">
        <v>74</v>
      </c>
      <c r="AI349" s="2" t="s">
        <v>74</v>
      </c>
      <c r="AJ349" s="2" t="s">
        <v>74</v>
      </c>
      <c r="AK349" s="2" t="s">
        <v>74</v>
      </c>
      <c r="AL349" s="2" t="s">
        <v>74</v>
      </c>
      <c r="AM349" s="2" t="s">
        <v>74</v>
      </c>
      <c r="AN349" s="2" t="s">
        <v>74</v>
      </c>
      <c r="AO349" s="2" t="s">
        <v>1030</v>
      </c>
      <c r="AP349" s="2" t="s">
        <v>1031</v>
      </c>
      <c r="AQ349" s="2" t="s">
        <v>74</v>
      </c>
      <c r="AR349" s="2" t="s">
        <v>74</v>
      </c>
      <c r="AS349" s="2" t="s">
        <v>74</v>
      </c>
      <c r="AT349" s="2" t="s">
        <v>964</v>
      </c>
      <c r="AU349" s="2">
        <v>2019</v>
      </c>
      <c r="AV349" s="2">
        <v>40</v>
      </c>
      <c r="AW349" s="2">
        <v>1</v>
      </c>
      <c r="AX349" s="2" t="s">
        <v>74</v>
      </c>
      <c r="AY349" s="2" t="s">
        <v>74</v>
      </c>
      <c r="AZ349" s="2" t="s">
        <v>848</v>
      </c>
      <c r="BA349" s="2" t="s">
        <v>74</v>
      </c>
      <c r="BB349" s="2">
        <v>28</v>
      </c>
      <c r="BC349" s="2">
        <v>52</v>
      </c>
      <c r="BD349" s="2" t="s">
        <v>74</v>
      </c>
      <c r="BE349" s="2" t="s">
        <v>7468</v>
      </c>
      <c r="BF349" s="2" t="str">
        <f>HYPERLINK("http://dx.doi.org/10.1007/s10764-018-0029-7","http://dx.doi.org/10.1007/s10764-018-0029-7")</f>
        <v>http://dx.doi.org/10.1007/s10764-018-0029-7</v>
      </c>
      <c r="BG349" s="2" t="s">
        <v>74</v>
      </c>
      <c r="BH349" s="2" t="s">
        <v>74</v>
      </c>
      <c r="BI349" s="2" t="s">
        <v>74</v>
      </c>
      <c r="BJ349" s="2" t="s">
        <v>74</v>
      </c>
      <c r="BK349" s="2" t="s">
        <v>74</v>
      </c>
      <c r="BL349" s="2" t="s">
        <v>74</v>
      </c>
      <c r="BM349" s="2" t="s">
        <v>74</v>
      </c>
      <c r="BN349" s="2" t="s">
        <v>74</v>
      </c>
      <c r="BO349" s="2" t="s">
        <v>74</v>
      </c>
      <c r="BP349" s="2" t="s">
        <v>74</v>
      </c>
      <c r="BQ349" s="2" t="s">
        <v>74</v>
      </c>
      <c r="BR349" s="2" t="s">
        <v>74</v>
      </c>
      <c r="BS349" s="2" t="s">
        <v>7469</v>
      </c>
      <c r="BT349" s="2" t="str">
        <f>HYPERLINK("https%3A%2F%2Fwww.webofscience.com%2Fwos%2Fwoscc%2Ffull-record%2FWOS:000460006300003","View Full Record in Web of Science")</f>
        <v>View Full Record in Web of Science</v>
      </c>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row>
    <row r="350" spans="1:314" s="2" customFormat="1" x14ac:dyDescent="0.4">
      <c r="A350" s="2" t="s">
        <v>72</v>
      </c>
      <c r="B350" s="2" t="s">
        <v>2321</v>
      </c>
      <c r="C350" s="2" t="s">
        <v>74</v>
      </c>
      <c r="D350" s="2" t="s">
        <v>74</v>
      </c>
      <c r="E350" s="2" t="s">
        <v>74</v>
      </c>
      <c r="F350" s="2" t="s">
        <v>2322</v>
      </c>
      <c r="G350" s="2" t="s">
        <v>74</v>
      </c>
      <c r="H350" s="2" t="s">
        <v>74</v>
      </c>
      <c r="I350" s="2" t="s">
        <v>2323</v>
      </c>
      <c r="J350" s="2" t="s">
        <v>431</v>
      </c>
      <c r="K350" s="2" t="s">
        <v>74</v>
      </c>
      <c r="L350" s="2" t="s">
        <v>74</v>
      </c>
      <c r="M350" s="2" t="s">
        <v>74</v>
      </c>
      <c r="N350" s="2" t="s">
        <v>74</v>
      </c>
      <c r="O350" s="2" t="s">
        <v>74</v>
      </c>
      <c r="P350" s="2" t="s">
        <v>74</v>
      </c>
      <c r="Q350" s="2" t="s">
        <v>74</v>
      </c>
      <c r="R350" s="2" t="s">
        <v>74</v>
      </c>
      <c r="S350" s="2" t="s">
        <v>74</v>
      </c>
      <c r="T350" s="2" t="s">
        <v>74</v>
      </c>
      <c r="U350" s="2" t="s">
        <v>74</v>
      </c>
      <c r="V350" s="5" t="s">
        <v>2324</v>
      </c>
      <c r="W350" s="2" t="s">
        <v>74</v>
      </c>
      <c r="X350" s="2" t="s">
        <v>74</v>
      </c>
      <c r="Y350" s="2" t="s">
        <v>74</v>
      </c>
      <c r="Z350" s="2" t="s">
        <v>74</v>
      </c>
      <c r="AA350" s="2" t="s">
        <v>74</v>
      </c>
      <c r="AB350" s="2" t="s">
        <v>2325</v>
      </c>
      <c r="AC350" s="2" t="s">
        <v>74</v>
      </c>
      <c r="AD350" s="2" t="s">
        <v>74</v>
      </c>
      <c r="AE350" s="2" t="s">
        <v>74</v>
      </c>
      <c r="AF350" s="2" t="s">
        <v>74</v>
      </c>
      <c r="AG350" s="2" t="s">
        <v>74</v>
      </c>
      <c r="AH350" s="2" t="s">
        <v>74</v>
      </c>
      <c r="AI350" s="2" t="s">
        <v>74</v>
      </c>
      <c r="AJ350" s="2" t="s">
        <v>74</v>
      </c>
      <c r="AK350" s="2" t="s">
        <v>74</v>
      </c>
      <c r="AL350" s="2" t="s">
        <v>74</v>
      </c>
      <c r="AM350" s="2" t="s">
        <v>74</v>
      </c>
      <c r="AN350" s="2" t="s">
        <v>74</v>
      </c>
      <c r="AO350" s="2" t="s">
        <v>74</v>
      </c>
      <c r="AP350" s="2" t="s">
        <v>435</v>
      </c>
      <c r="AQ350" s="2" t="s">
        <v>74</v>
      </c>
      <c r="AR350" s="2" t="s">
        <v>74</v>
      </c>
      <c r="AS350" s="2" t="s">
        <v>74</v>
      </c>
      <c r="AT350" s="2" t="s">
        <v>633</v>
      </c>
      <c r="AU350" s="2">
        <v>2017</v>
      </c>
      <c r="AV350" s="2">
        <v>134</v>
      </c>
      <c r="AW350" s="2">
        <v>2</v>
      </c>
      <c r="AX350" s="2" t="s">
        <v>74</v>
      </c>
      <c r="AY350" s="2" t="s">
        <v>74</v>
      </c>
      <c r="AZ350" s="2" t="s">
        <v>74</v>
      </c>
      <c r="BA350" s="2" t="s">
        <v>74</v>
      </c>
      <c r="BB350" s="2">
        <v>317</v>
      </c>
      <c r="BC350" s="2">
        <v>329</v>
      </c>
      <c r="BD350" s="2" t="s">
        <v>74</v>
      </c>
      <c r="BE350" s="2" t="s">
        <v>2326</v>
      </c>
      <c r="BF350" s="2" t="str">
        <f>HYPERLINK("http://dx.doi.org/10.1642/AUK-16-119.1","http://dx.doi.org/10.1642/AUK-16-119.1")</f>
        <v>http://dx.doi.org/10.1642/AUK-16-119.1</v>
      </c>
      <c r="BG350" s="2" t="s">
        <v>74</v>
      </c>
      <c r="BH350" s="2" t="s">
        <v>74</v>
      </c>
      <c r="BI350" s="2" t="s">
        <v>74</v>
      </c>
      <c r="BJ350" s="2" t="s">
        <v>74</v>
      </c>
      <c r="BK350" s="2" t="s">
        <v>74</v>
      </c>
      <c r="BL350" s="2" t="s">
        <v>74</v>
      </c>
      <c r="BM350" s="2" t="s">
        <v>74</v>
      </c>
      <c r="BN350" s="2" t="s">
        <v>74</v>
      </c>
      <c r="BO350" s="2" t="s">
        <v>74</v>
      </c>
      <c r="BP350" s="2" t="s">
        <v>74</v>
      </c>
      <c r="BQ350" s="2" t="s">
        <v>74</v>
      </c>
      <c r="BR350" s="2" t="s">
        <v>74</v>
      </c>
      <c r="BS350" s="2" t="s">
        <v>2327</v>
      </c>
      <c r="BT350" s="2" t="str">
        <f>HYPERLINK("https%3A%2F%2Fwww.webofscience.com%2Fwos%2Fwoscc%2Ffull-record%2FWOS:000398573200004","View Full Record in Web of Science")</f>
        <v>View Full Record in Web of Science</v>
      </c>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row>
    <row r="351" spans="1:314" s="2" customFormat="1" x14ac:dyDescent="0.4">
      <c r="A351" s="2" t="s">
        <v>72</v>
      </c>
      <c r="B351" s="2" t="s">
        <v>3496</v>
      </c>
      <c r="C351" s="2" t="s">
        <v>74</v>
      </c>
      <c r="D351" s="2" t="s">
        <v>74</v>
      </c>
      <c r="E351" s="2" t="s">
        <v>74</v>
      </c>
      <c r="F351" s="2" t="s">
        <v>3496</v>
      </c>
      <c r="G351" s="2" t="s">
        <v>74</v>
      </c>
      <c r="H351" s="2" t="s">
        <v>74</v>
      </c>
      <c r="I351" s="2" t="s">
        <v>3497</v>
      </c>
      <c r="J351" s="2" t="s">
        <v>3498</v>
      </c>
      <c r="K351" s="2" t="s">
        <v>74</v>
      </c>
      <c r="L351" s="2" t="s">
        <v>74</v>
      </c>
      <c r="M351" s="2" t="s">
        <v>74</v>
      </c>
      <c r="N351" s="2" t="s">
        <v>74</v>
      </c>
      <c r="O351" s="2" t="s">
        <v>74</v>
      </c>
      <c r="P351" s="2" t="s">
        <v>74</v>
      </c>
      <c r="Q351" s="2" t="s">
        <v>74</v>
      </c>
      <c r="R351" s="2" t="s">
        <v>74</v>
      </c>
      <c r="S351" s="2" t="s">
        <v>74</v>
      </c>
      <c r="T351" s="2" t="s">
        <v>74</v>
      </c>
      <c r="U351" s="2" t="s">
        <v>74</v>
      </c>
      <c r="V351" s="5" t="s">
        <v>3499</v>
      </c>
      <c r="W351" s="2" t="s">
        <v>74</v>
      </c>
      <c r="X351" s="2" t="s">
        <v>74</v>
      </c>
      <c r="Y351" s="2" t="s">
        <v>74</v>
      </c>
      <c r="Z351" s="2" t="s">
        <v>74</v>
      </c>
      <c r="AA351" s="2" t="s">
        <v>74</v>
      </c>
      <c r="AB351" s="2" t="s">
        <v>3500</v>
      </c>
      <c r="AC351" s="2" t="s">
        <v>74</v>
      </c>
      <c r="AD351" s="2" t="s">
        <v>74</v>
      </c>
      <c r="AE351" s="2" t="s">
        <v>74</v>
      </c>
      <c r="AF351" s="2" t="s">
        <v>74</v>
      </c>
      <c r="AG351" s="2" t="s">
        <v>74</v>
      </c>
      <c r="AH351" s="2" t="s">
        <v>74</v>
      </c>
      <c r="AI351" s="2" t="s">
        <v>74</v>
      </c>
      <c r="AJ351" s="2" t="s">
        <v>74</v>
      </c>
      <c r="AK351" s="2" t="s">
        <v>74</v>
      </c>
      <c r="AL351" s="2" t="s">
        <v>74</v>
      </c>
      <c r="AM351" s="2" t="s">
        <v>74</v>
      </c>
      <c r="AN351" s="2" t="s">
        <v>74</v>
      </c>
      <c r="AO351" s="2" t="s">
        <v>3501</v>
      </c>
      <c r="AP351" s="2" t="s">
        <v>3502</v>
      </c>
      <c r="AQ351" s="2" t="s">
        <v>74</v>
      </c>
      <c r="AR351" s="2" t="s">
        <v>74</v>
      </c>
      <c r="AS351" s="2" t="s">
        <v>74</v>
      </c>
      <c r="AT351" s="2" t="s">
        <v>633</v>
      </c>
      <c r="AU351" s="2">
        <v>1997</v>
      </c>
      <c r="AV351" s="2">
        <v>26</v>
      </c>
      <c r="AW351" s="2">
        <v>2</v>
      </c>
      <c r="AX351" s="2" t="s">
        <v>74</v>
      </c>
      <c r="AY351" s="2" t="s">
        <v>74</v>
      </c>
      <c r="AZ351" s="2" t="s">
        <v>74</v>
      </c>
      <c r="BA351" s="2" t="s">
        <v>74</v>
      </c>
      <c r="BB351" s="2">
        <v>318</v>
      </c>
      <c r="BC351" s="2">
        <v>326</v>
      </c>
      <c r="BD351" s="2" t="s">
        <v>74</v>
      </c>
      <c r="BE351" s="2" t="s">
        <v>3503</v>
      </c>
      <c r="BF351" s="2" t="str">
        <f>HYPERLINK("http://dx.doi.org/10.1093/ee/26.2.318","http://dx.doi.org/10.1093/ee/26.2.318")</f>
        <v>http://dx.doi.org/10.1093/ee/26.2.318</v>
      </c>
      <c r="BG351" s="2" t="s">
        <v>74</v>
      </c>
      <c r="BH351" s="2" t="s">
        <v>74</v>
      </c>
      <c r="BI351" s="2" t="s">
        <v>74</v>
      </c>
      <c r="BJ351" s="2" t="s">
        <v>74</v>
      </c>
      <c r="BK351" s="2" t="s">
        <v>74</v>
      </c>
      <c r="BL351" s="2" t="s">
        <v>74</v>
      </c>
      <c r="BM351" s="2" t="s">
        <v>74</v>
      </c>
      <c r="BN351" s="2" t="s">
        <v>74</v>
      </c>
      <c r="BO351" s="2" t="s">
        <v>74</v>
      </c>
      <c r="BP351" s="2" t="s">
        <v>74</v>
      </c>
      <c r="BQ351" s="2" t="s">
        <v>74</v>
      </c>
      <c r="BR351" s="2" t="s">
        <v>74</v>
      </c>
      <c r="BS351" s="2" t="s">
        <v>3504</v>
      </c>
      <c r="BT351" s="2" t="str">
        <f>HYPERLINK("https%3A%2F%2Fwww.webofscience.com%2Fwos%2Fwoscc%2Ffull-record%2FWOS:A1997WZ11800024","View Full Record in Web of Science")</f>
        <v>View Full Record in Web of Science</v>
      </c>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row>
    <row r="352" spans="1:314" s="2" customFormat="1" x14ac:dyDescent="0.4">
      <c r="A352" s="2" t="s">
        <v>72</v>
      </c>
      <c r="B352" s="2" t="s">
        <v>6849</v>
      </c>
      <c r="C352" s="2" t="s">
        <v>74</v>
      </c>
      <c r="D352" s="2" t="s">
        <v>74</v>
      </c>
      <c r="E352" s="2" t="s">
        <v>74</v>
      </c>
      <c r="F352" s="2" t="s">
        <v>6850</v>
      </c>
      <c r="G352" s="2" t="s">
        <v>74</v>
      </c>
      <c r="H352" s="2" t="s">
        <v>74</v>
      </c>
      <c r="I352" s="2" t="s">
        <v>6851</v>
      </c>
      <c r="J352" s="2" t="s">
        <v>2901</v>
      </c>
      <c r="K352" s="2" t="s">
        <v>74</v>
      </c>
      <c r="L352" s="2" t="s">
        <v>74</v>
      </c>
      <c r="M352" s="2" t="s">
        <v>74</v>
      </c>
      <c r="N352" s="2" t="s">
        <v>74</v>
      </c>
      <c r="O352" s="2" t="s">
        <v>74</v>
      </c>
      <c r="P352" s="2" t="s">
        <v>74</v>
      </c>
      <c r="Q352" s="2" t="s">
        <v>74</v>
      </c>
      <c r="R352" s="2" t="s">
        <v>74</v>
      </c>
      <c r="S352" s="2" t="s">
        <v>74</v>
      </c>
      <c r="T352" s="2" t="s">
        <v>74</v>
      </c>
      <c r="U352" s="2" t="s">
        <v>74</v>
      </c>
      <c r="V352" s="5" t="s">
        <v>6852</v>
      </c>
      <c r="W352" s="2" t="s">
        <v>74</v>
      </c>
      <c r="X352" s="2" t="s">
        <v>74</v>
      </c>
      <c r="Y352" s="2" t="s">
        <v>74</v>
      </c>
      <c r="Z352" s="2" t="s">
        <v>74</v>
      </c>
      <c r="AA352" s="2" t="s">
        <v>6853</v>
      </c>
      <c r="AB352" s="2" t="s">
        <v>6854</v>
      </c>
      <c r="AC352" s="2" t="s">
        <v>74</v>
      </c>
      <c r="AD352" s="2" t="s">
        <v>74</v>
      </c>
      <c r="AE352" s="2" t="s">
        <v>74</v>
      </c>
      <c r="AF352" s="2" t="s">
        <v>74</v>
      </c>
      <c r="AG352" s="2" t="s">
        <v>74</v>
      </c>
      <c r="AH352" s="2" t="s">
        <v>74</v>
      </c>
      <c r="AI352" s="2" t="s">
        <v>74</v>
      </c>
      <c r="AJ352" s="2" t="s">
        <v>74</v>
      </c>
      <c r="AK352" s="2" t="s">
        <v>74</v>
      </c>
      <c r="AL352" s="2" t="s">
        <v>74</v>
      </c>
      <c r="AM352" s="2" t="s">
        <v>74</v>
      </c>
      <c r="AN352" s="2" t="s">
        <v>74</v>
      </c>
      <c r="AO352" s="2" t="s">
        <v>2903</v>
      </c>
      <c r="AP352" s="2" t="s">
        <v>2904</v>
      </c>
      <c r="AQ352" s="2" t="s">
        <v>74</v>
      </c>
      <c r="AR352" s="2" t="s">
        <v>74</v>
      </c>
      <c r="AS352" s="2" t="s">
        <v>74</v>
      </c>
      <c r="AT352" s="2" t="s">
        <v>74</v>
      </c>
      <c r="AU352" s="2">
        <v>2016</v>
      </c>
      <c r="AV352" s="2">
        <v>28</v>
      </c>
      <c r="AW352" s="2">
        <v>4</v>
      </c>
      <c r="AX352" s="2" t="s">
        <v>74</v>
      </c>
      <c r="AY352" s="2" t="s">
        <v>74</v>
      </c>
      <c r="AZ352" s="2" t="s">
        <v>74</v>
      </c>
      <c r="BA352" s="2" t="s">
        <v>74</v>
      </c>
      <c r="BB352" s="2">
        <v>462</v>
      </c>
      <c r="BC352" s="2">
        <v>476</v>
      </c>
      <c r="BD352" s="2" t="s">
        <v>74</v>
      </c>
      <c r="BE352" s="2" t="s">
        <v>6855</v>
      </c>
      <c r="BF352" s="2" t="str">
        <f>HYPERLINK("http://dx.doi.org/10.1080/03949370.2015.1077892","http://dx.doi.org/10.1080/03949370.2015.1077892")</f>
        <v>http://dx.doi.org/10.1080/03949370.2015.1077892</v>
      </c>
      <c r="BG352" s="2" t="s">
        <v>74</v>
      </c>
      <c r="BH352" s="2" t="s">
        <v>74</v>
      </c>
      <c r="BI352" s="2" t="s">
        <v>74</v>
      </c>
      <c r="BJ352" s="2" t="s">
        <v>74</v>
      </c>
      <c r="BK352" s="2" t="s">
        <v>74</v>
      </c>
      <c r="BL352" s="2" t="s">
        <v>74</v>
      </c>
      <c r="BM352" s="2" t="s">
        <v>74</v>
      </c>
      <c r="BN352" s="2" t="s">
        <v>74</v>
      </c>
      <c r="BO352" s="2" t="s">
        <v>74</v>
      </c>
      <c r="BP352" s="2" t="s">
        <v>74</v>
      </c>
      <c r="BQ352" s="2" t="s">
        <v>74</v>
      </c>
      <c r="BR352" s="2" t="s">
        <v>74</v>
      </c>
      <c r="BS352" s="2" t="s">
        <v>6856</v>
      </c>
      <c r="BT352" s="2" t="str">
        <f>HYPERLINK("https%3A%2F%2Fwww.webofscience.com%2Fwos%2Fwoscc%2Ffull-record%2FWOS:000384547700009","View Full Record in Web of Science")</f>
        <v>View Full Record in Web of Science</v>
      </c>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row>
    <row r="353" spans="1:314" s="1" customFormat="1" x14ac:dyDescent="0.4">
      <c r="A353" s="2" t="s">
        <v>72</v>
      </c>
      <c r="B353" s="2" t="s">
        <v>8135</v>
      </c>
      <c r="C353" s="2" t="s">
        <v>74</v>
      </c>
      <c r="D353" s="2" t="s">
        <v>74</v>
      </c>
      <c r="E353" s="2" t="s">
        <v>74</v>
      </c>
      <c r="F353" s="2" t="s">
        <v>8135</v>
      </c>
      <c r="G353" s="2" t="s">
        <v>74</v>
      </c>
      <c r="H353" s="2" t="s">
        <v>74</v>
      </c>
      <c r="I353" s="2" t="s">
        <v>8136</v>
      </c>
      <c r="J353" s="2" t="s">
        <v>1237</v>
      </c>
      <c r="K353" s="2" t="s">
        <v>74</v>
      </c>
      <c r="L353" s="2" t="s">
        <v>74</v>
      </c>
      <c r="M353" s="2" t="s">
        <v>74</v>
      </c>
      <c r="N353" s="2" t="s">
        <v>74</v>
      </c>
      <c r="O353" s="2" t="s">
        <v>74</v>
      </c>
      <c r="P353" s="2" t="s">
        <v>74</v>
      </c>
      <c r="Q353" s="2" t="s">
        <v>74</v>
      </c>
      <c r="R353" s="2" t="s">
        <v>74</v>
      </c>
      <c r="S353" s="2" t="s">
        <v>74</v>
      </c>
      <c r="T353" s="2" t="s">
        <v>74</v>
      </c>
      <c r="U353" s="2" t="s">
        <v>74</v>
      </c>
      <c r="V353" s="5" t="s">
        <v>8137</v>
      </c>
      <c r="W353" s="2" t="s">
        <v>74</v>
      </c>
      <c r="X353" s="2" t="s">
        <v>74</v>
      </c>
      <c r="Y353" s="2" t="s">
        <v>74</v>
      </c>
      <c r="Z353" s="2" t="s">
        <v>74</v>
      </c>
      <c r="AA353" s="2" t="s">
        <v>8138</v>
      </c>
      <c r="AB353" s="2" t="s">
        <v>8139</v>
      </c>
      <c r="AC353" s="2" t="s">
        <v>74</v>
      </c>
      <c r="AD353" s="2" t="s">
        <v>74</v>
      </c>
      <c r="AE353" s="2" t="s">
        <v>74</v>
      </c>
      <c r="AF353" s="2" t="s">
        <v>74</v>
      </c>
      <c r="AG353" s="2" t="s">
        <v>74</v>
      </c>
      <c r="AH353" s="2" t="s">
        <v>74</v>
      </c>
      <c r="AI353" s="2" t="s">
        <v>74</v>
      </c>
      <c r="AJ353" s="2" t="s">
        <v>74</v>
      </c>
      <c r="AK353" s="2" t="s">
        <v>74</v>
      </c>
      <c r="AL353" s="2" t="s">
        <v>74</v>
      </c>
      <c r="AM353" s="2" t="s">
        <v>74</v>
      </c>
      <c r="AN353" s="2" t="s">
        <v>74</v>
      </c>
      <c r="AO353" s="2" t="s">
        <v>1239</v>
      </c>
      <c r="AP353" s="2" t="s">
        <v>74</v>
      </c>
      <c r="AQ353" s="2" t="s">
        <v>74</v>
      </c>
      <c r="AR353" s="2" t="s">
        <v>74</v>
      </c>
      <c r="AS353" s="2" t="s">
        <v>74</v>
      </c>
      <c r="AT353" s="2" t="s">
        <v>102</v>
      </c>
      <c r="AU353" s="2">
        <v>1993</v>
      </c>
      <c r="AV353" s="2">
        <v>71</v>
      </c>
      <c r="AW353" s="2">
        <v>6</v>
      </c>
      <c r="AX353" s="2" t="s">
        <v>74</v>
      </c>
      <c r="AY353" s="2" t="s">
        <v>74</v>
      </c>
      <c r="AZ353" s="2" t="s">
        <v>74</v>
      </c>
      <c r="BA353" s="2" t="s">
        <v>74</v>
      </c>
      <c r="BB353" s="2">
        <v>1104</v>
      </c>
      <c r="BC353" s="2">
        <v>1110</v>
      </c>
      <c r="BD353" s="2" t="s">
        <v>74</v>
      </c>
      <c r="BE353" s="2" t="s">
        <v>8140</v>
      </c>
      <c r="BF353" s="2" t="str">
        <f>HYPERLINK("http://dx.doi.org/10.1139/z93-150","http://dx.doi.org/10.1139/z93-150")</f>
        <v>http://dx.doi.org/10.1139/z93-150</v>
      </c>
      <c r="BG353" s="2" t="s">
        <v>74</v>
      </c>
      <c r="BH353" s="2" t="s">
        <v>74</v>
      </c>
      <c r="BI353" s="2" t="s">
        <v>74</v>
      </c>
      <c r="BJ353" s="2" t="s">
        <v>74</v>
      </c>
      <c r="BK353" s="2" t="s">
        <v>74</v>
      </c>
      <c r="BL353" s="2" t="s">
        <v>74</v>
      </c>
      <c r="BM353" s="2" t="s">
        <v>74</v>
      </c>
      <c r="BN353" s="2" t="s">
        <v>74</v>
      </c>
      <c r="BO353" s="2" t="s">
        <v>74</v>
      </c>
      <c r="BP353" s="2" t="s">
        <v>74</v>
      </c>
      <c r="BQ353" s="2" t="s">
        <v>74</v>
      </c>
      <c r="BR353" s="2" t="s">
        <v>74</v>
      </c>
      <c r="BS353" s="2" t="s">
        <v>8141</v>
      </c>
      <c r="BT353" s="2" t="str">
        <f>HYPERLINK("https%3A%2F%2Fwww.webofscience.com%2Fwos%2Fwoscc%2Ffull-record%2FWOS:A1993LU73200006","View Full Record in Web of Science")</f>
        <v>View Full Record in Web of Science</v>
      </c>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row>
    <row r="354" spans="1:314" s="2" customFormat="1" x14ac:dyDescent="0.4">
      <c r="A354" s="2" t="s">
        <v>72</v>
      </c>
      <c r="B354" s="2" t="s">
        <v>480</v>
      </c>
      <c r="C354" s="2" t="s">
        <v>74</v>
      </c>
      <c r="D354" s="2" t="s">
        <v>74</v>
      </c>
      <c r="E354" s="2" t="s">
        <v>74</v>
      </c>
      <c r="F354" s="2" t="s">
        <v>481</v>
      </c>
      <c r="G354" s="2" t="s">
        <v>74</v>
      </c>
      <c r="H354" s="2" t="s">
        <v>74</v>
      </c>
      <c r="I354" s="2" t="s">
        <v>482</v>
      </c>
      <c r="J354" s="2" t="s">
        <v>218</v>
      </c>
      <c r="K354" s="2" t="s">
        <v>74</v>
      </c>
      <c r="L354" s="2" t="s">
        <v>74</v>
      </c>
      <c r="M354" s="2" t="s">
        <v>74</v>
      </c>
      <c r="N354" s="2" t="s">
        <v>74</v>
      </c>
      <c r="O354" s="2" t="s">
        <v>74</v>
      </c>
      <c r="P354" s="2" t="s">
        <v>74</v>
      </c>
      <c r="Q354" s="2" t="s">
        <v>74</v>
      </c>
      <c r="R354" s="2" t="s">
        <v>74</v>
      </c>
      <c r="S354" s="2" t="s">
        <v>74</v>
      </c>
      <c r="T354" s="2" t="s">
        <v>74</v>
      </c>
      <c r="U354" s="2" t="s">
        <v>74</v>
      </c>
      <c r="V354" s="5" t="s">
        <v>483</v>
      </c>
      <c r="W354" s="2" t="s">
        <v>74</v>
      </c>
      <c r="X354" s="2" t="s">
        <v>74</v>
      </c>
      <c r="Y354" s="2" t="s">
        <v>74</v>
      </c>
      <c r="Z354" s="2" t="s">
        <v>74</v>
      </c>
      <c r="AA354" s="2" t="s">
        <v>484</v>
      </c>
      <c r="AB354" s="2" t="s">
        <v>485</v>
      </c>
      <c r="AC354" s="2" t="s">
        <v>74</v>
      </c>
      <c r="AD354" s="2" t="s">
        <v>74</v>
      </c>
      <c r="AE354" s="2" t="s">
        <v>74</v>
      </c>
      <c r="AF354" s="2" t="s">
        <v>74</v>
      </c>
      <c r="AG354" s="2" t="s">
        <v>74</v>
      </c>
      <c r="AH354" s="2" t="s">
        <v>74</v>
      </c>
      <c r="AI354" s="2" t="s">
        <v>74</v>
      </c>
      <c r="AJ354" s="2" t="s">
        <v>74</v>
      </c>
      <c r="AK354" s="2" t="s">
        <v>74</v>
      </c>
      <c r="AL354" s="2" t="s">
        <v>74</v>
      </c>
      <c r="AM354" s="2" t="s">
        <v>74</v>
      </c>
      <c r="AN354" s="2" t="s">
        <v>74</v>
      </c>
      <c r="AO354" s="2" t="s">
        <v>221</v>
      </c>
      <c r="AP354" s="2" t="s">
        <v>222</v>
      </c>
      <c r="AQ354" s="2" t="s">
        <v>74</v>
      </c>
      <c r="AR354" s="2" t="s">
        <v>74</v>
      </c>
      <c r="AS354" s="2" t="s">
        <v>74</v>
      </c>
      <c r="AT354" s="2" t="s">
        <v>123</v>
      </c>
      <c r="AU354" s="2">
        <v>2007</v>
      </c>
      <c r="AV354" s="2">
        <v>20</v>
      </c>
      <c r="AW354" s="2">
        <v>2</v>
      </c>
      <c r="AX354" s="2" t="s">
        <v>74</v>
      </c>
      <c r="AY354" s="2" t="s">
        <v>74</v>
      </c>
      <c r="AZ354" s="2" t="s">
        <v>74</v>
      </c>
      <c r="BA354" s="2" t="s">
        <v>74</v>
      </c>
      <c r="BB354" s="2">
        <v>496</v>
      </c>
      <c r="BC354" s="2">
        <v>502</v>
      </c>
      <c r="BD354" s="2" t="s">
        <v>74</v>
      </c>
      <c r="BE354" s="2" t="s">
        <v>486</v>
      </c>
      <c r="BF354" s="2" t="str">
        <f>HYPERLINK("http://dx.doi.org/10.1111/j.1420-9101.2006.01266.x","http://dx.doi.org/10.1111/j.1420-9101.2006.01266.x")</f>
        <v>http://dx.doi.org/10.1111/j.1420-9101.2006.01266.x</v>
      </c>
      <c r="BG354" s="2" t="s">
        <v>74</v>
      </c>
      <c r="BH354" s="2" t="s">
        <v>74</v>
      </c>
      <c r="BI354" s="2" t="s">
        <v>74</v>
      </c>
      <c r="BJ354" s="2" t="s">
        <v>74</v>
      </c>
      <c r="BK354" s="2" t="s">
        <v>74</v>
      </c>
      <c r="BL354" s="2" t="s">
        <v>74</v>
      </c>
      <c r="BM354" s="2" t="s">
        <v>74</v>
      </c>
      <c r="BN354" s="2">
        <v>17305815</v>
      </c>
      <c r="BO354" s="2" t="s">
        <v>74</v>
      </c>
      <c r="BP354" s="2" t="s">
        <v>74</v>
      </c>
      <c r="BQ354" s="2" t="s">
        <v>74</v>
      </c>
      <c r="BR354" s="2" t="s">
        <v>74</v>
      </c>
      <c r="BS354" s="2" t="s">
        <v>487</v>
      </c>
      <c r="BT354" s="2" t="str">
        <f>HYPERLINK("https%3A%2F%2Fwww.webofscience.com%2Fwos%2Fwoscc%2Ffull-record%2FWOS:000244244300008","View Full Record in Web of Science")</f>
        <v>View Full Record in Web of Science</v>
      </c>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row>
    <row r="355" spans="1:314" s="2" customFormat="1" x14ac:dyDescent="0.4">
      <c r="A355" s="2" t="s">
        <v>72</v>
      </c>
      <c r="B355" s="2" t="s">
        <v>4678</v>
      </c>
      <c r="C355" s="2" t="s">
        <v>74</v>
      </c>
      <c r="D355" s="2" t="s">
        <v>74</v>
      </c>
      <c r="E355" s="2" t="s">
        <v>74</v>
      </c>
      <c r="F355" s="2" t="s">
        <v>4679</v>
      </c>
      <c r="G355" s="2" t="s">
        <v>74</v>
      </c>
      <c r="H355" s="2" t="s">
        <v>74</v>
      </c>
      <c r="I355" s="2" t="s">
        <v>4680</v>
      </c>
      <c r="J355" s="2" t="s">
        <v>218</v>
      </c>
      <c r="K355" s="2" t="s">
        <v>74</v>
      </c>
      <c r="L355" s="2" t="s">
        <v>74</v>
      </c>
      <c r="M355" s="2" t="s">
        <v>74</v>
      </c>
      <c r="N355" s="2" t="s">
        <v>74</v>
      </c>
      <c r="O355" s="2" t="s">
        <v>74</v>
      </c>
      <c r="P355" s="2" t="s">
        <v>74</v>
      </c>
      <c r="Q355" s="2" t="s">
        <v>74</v>
      </c>
      <c r="R355" s="2" t="s">
        <v>74</v>
      </c>
      <c r="S355" s="2" t="s">
        <v>74</v>
      </c>
      <c r="T355" s="2" t="s">
        <v>74</v>
      </c>
      <c r="U355" s="2" t="s">
        <v>74</v>
      </c>
      <c r="V355" s="5" t="s">
        <v>4681</v>
      </c>
      <c r="W355" s="2" t="s">
        <v>74</v>
      </c>
      <c r="X355" s="2" t="s">
        <v>74</v>
      </c>
      <c r="Y355" s="2" t="s">
        <v>74</v>
      </c>
      <c r="Z355" s="2" t="s">
        <v>74</v>
      </c>
      <c r="AA355" s="2" t="s">
        <v>4682</v>
      </c>
      <c r="AB355" s="2" t="s">
        <v>4683</v>
      </c>
      <c r="AC355" s="2" t="s">
        <v>74</v>
      </c>
      <c r="AD355" s="2" t="s">
        <v>74</v>
      </c>
      <c r="AE355" s="2" t="s">
        <v>74</v>
      </c>
      <c r="AF355" s="2" t="s">
        <v>74</v>
      </c>
      <c r="AG355" s="2" t="s">
        <v>74</v>
      </c>
      <c r="AH355" s="2" t="s">
        <v>74</v>
      </c>
      <c r="AI355" s="2" t="s">
        <v>74</v>
      </c>
      <c r="AJ355" s="2" t="s">
        <v>74</v>
      </c>
      <c r="AK355" s="2" t="s">
        <v>74</v>
      </c>
      <c r="AL355" s="2" t="s">
        <v>74</v>
      </c>
      <c r="AM355" s="2" t="s">
        <v>74</v>
      </c>
      <c r="AN355" s="2" t="s">
        <v>74</v>
      </c>
      <c r="AO355" s="2" t="s">
        <v>221</v>
      </c>
      <c r="AP355" s="2" t="s">
        <v>222</v>
      </c>
      <c r="AQ355" s="2" t="s">
        <v>74</v>
      </c>
      <c r="AR355" s="2" t="s">
        <v>74</v>
      </c>
      <c r="AS355" s="2" t="s">
        <v>74</v>
      </c>
      <c r="AT355" s="2" t="s">
        <v>305</v>
      </c>
      <c r="AU355" s="2">
        <v>2011</v>
      </c>
      <c r="AV355" s="2">
        <v>24</v>
      </c>
      <c r="AW355" s="2">
        <v>12</v>
      </c>
      <c r="AX355" s="2" t="s">
        <v>74</v>
      </c>
      <c r="AY355" s="2" t="s">
        <v>74</v>
      </c>
      <c r="AZ355" s="2" t="s">
        <v>74</v>
      </c>
      <c r="BA355" s="2" t="s">
        <v>74</v>
      </c>
      <c r="BB355" s="2">
        <v>2639</v>
      </c>
      <c r="BC355" s="2">
        <v>2652</v>
      </c>
      <c r="BD355" s="2" t="s">
        <v>74</v>
      </c>
      <c r="BE355" s="2" t="s">
        <v>4684</v>
      </c>
      <c r="BF355" s="2" t="str">
        <f>HYPERLINK("http://dx.doi.org/10.1111/j.1420-9101.2011.02389.x","http://dx.doi.org/10.1111/j.1420-9101.2011.02389.x")</f>
        <v>http://dx.doi.org/10.1111/j.1420-9101.2011.02389.x</v>
      </c>
      <c r="BG355" s="2" t="s">
        <v>74</v>
      </c>
      <c r="BH355" s="2" t="s">
        <v>74</v>
      </c>
      <c r="BI355" s="2" t="s">
        <v>74</v>
      </c>
      <c r="BJ355" s="2" t="s">
        <v>74</v>
      </c>
      <c r="BK355" s="2" t="s">
        <v>74</v>
      </c>
      <c r="BL355" s="2" t="s">
        <v>74</v>
      </c>
      <c r="BM355" s="2" t="s">
        <v>74</v>
      </c>
      <c r="BN355" s="2">
        <v>21955260</v>
      </c>
      <c r="BO355" s="2" t="s">
        <v>74</v>
      </c>
      <c r="BP355" s="2" t="s">
        <v>74</v>
      </c>
      <c r="BQ355" s="2" t="s">
        <v>74</v>
      </c>
      <c r="BR355" s="2" t="s">
        <v>74</v>
      </c>
      <c r="BS355" s="2" t="s">
        <v>4685</v>
      </c>
      <c r="BT355" s="2" t="str">
        <f>HYPERLINK("https%3A%2F%2Fwww.webofscience.com%2Fwos%2Fwoscc%2Ffull-record%2FWOS:000297639600010","View Full Record in Web of Science")</f>
        <v>View Full Record in Web of Science</v>
      </c>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row>
    <row r="356" spans="1:314" s="2" customFormat="1" x14ac:dyDescent="0.4">
      <c r="A356" s="2" t="s">
        <v>72</v>
      </c>
      <c r="B356" s="2" t="s">
        <v>1078</v>
      </c>
      <c r="C356" s="2" t="s">
        <v>74</v>
      </c>
      <c r="D356" s="2" t="s">
        <v>74</v>
      </c>
      <c r="E356" s="2" t="s">
        <v>74</v>
      </c>
      <c r="F356" s="2" t="s">
        <v>1078</v>
      </c>
      <c r="G356" s="2" t="s">
        <v>74</v>
      </c>
      <c r="H356" s="2" t="s">
        <v>74</v>
      </c>
      <c r="I356" s="2" t="s">
        <v>1079</v>
      </c>
      <c r="J356" s="2" t="s">
        <v>129</v>
      </c>
      <c r="K356" s="2" t="s">
        <v>74</v>
      </c>
      <c r="L356" s="2" t="s">
        <v>74</v>
      </c>
      <c r="M356" s="2" t="s">
        <v>74</v>
      </c>
      <c r="N356" s="2" t="s">
        <v>74</v>
      </c>
      <c r="O356" s="2" t="s">
        <v>74</v>
      </c>
      <c r="P356" s="2" t="s">
        <v>74</v>
      </c>
      <c r="Q356" s="2" t="s">
        <v>74</v>
      </c>
      <c r="R356" s="2" t="s">
        <v>74</v>
      </c>
      <c r="S356" s="2" t="s">
        <v>74</v>
      </c>
      <c r="T356" s="2" t="s">
        <v>74</v>
      </c>
      <c r="U356" s="2" t="s">
        <v>74</v>
      </c>
      <c r="V356" s="5" t="s">
        <v>1080</v>
      </c>
      <c r="W356" s="2" t="s">
        <v>74</v>
      </c>
      <c r="X356" s="2" t="s">
        <v>74</v>
      </c>
      <c r="Y356" s="2" t="s">
        <v>74</v>
      </c>
      <c r="Z356" s="2" t="s">
        <v>74</v>
      </c>
      <c r="AA356" s="2" t="s">
        <v>1081</v>
      </c>
      <c r="AB356" s="2" t="s">
        <v>1082</v>
      </c>
      <c r="AC356" s="2" t="s">
        <v>74</v>
      </c>
      <c r="AD356" s="2" t="s">
        <v>74</v>
      </c>
      <c r="AE356" s="2" t="s">
        <v>74</v>
      </c>
      <c r="AF356" s="2" t="s">
        <v>74</v>
      </c>
      <c r="AG356" s="2" t="s">
        <v>74</v>
      </c>
      <c r="AH356" s="2" t="s">
        <v>74</v>
      </c>
      <c r="AI356" s="2" t="s">
        <v>74</v>
      </c>
      <c r="AJ356" s="2" t="s">
        <v>74</v>
      </c>
      <c r="AK356" s="2" t="s">
        <v>74</v>
      </c>
      <c r="AL356" s="2" t="s">
        <v>74</v>
      </c>
      <c r="AM356" s="2" t="s">
        <v>74</v>
      </c>
      <c r="AN356" s="2" t="s">
        <v>74</v>
      </c>
      <c r="AO356" s="2" t="s">
        <v>132</v>
      </c>
      <c r="AP356" s="2" t="s">
        <v>133</v>
      </c>
      <c r="AQ356" s="2" t="s">
        <v>74</v>
      </c>
      <c r="AR356" s="2" t="s">
        <v>74</v>
      </c>
      <c r="AS356" s="2" t="s">
        <v>74</v>
      </c>
      <c r="AT356" s="2" t="s">
        <v>123</v>
      </c>
      <c r="AU356" s="2">
        <v>2006</v>
      </c>
      <c r="AV356" s="2">
        <v>59</v>
      </c>
      <c r="AW356" s="2">
        <v>5</v>
      </c>
      <c r="AX356" s="2" t="s">
        <v>74</v>
      </c>
      <c r="AY356" s="2" t="s">
        <v>74</v>
      </c>
      <c r="AZ356" s="2" t="s">
        <v>74</v>
      </c>
      <c r="BA356" s="2" t="s">
        <v>74</v>
      </c>
      <c r="BB356" s="2">
        <v>704</v>
      </c>
      <c r="BC356" s="2">
        <v>713</v>
      </c>
      <c r="BD356" s="2" t="s">
        <v>74</v>
      </c>
      <c r="BE356" s="2" t="s">
        <v>1083</v>
      </c>
      <c r="BF356" s="2" t="str">
        <f>HYPERLINK("http://dx.doi.org/10.1007/s00265-005-0100-1","http://dx.doi.org/10.1007/s00265-005-0100-1")</f>
        <v>http://dx.doi.org/10.1007/s00265-005-0100-1</v>
      </c>
      <c r="BG356" s="2" t="s">
        <v>74</v>
      </c>
      <c r="BH356" s="2" t="s">
        <v>74</v>
      </c>
      <c r="BI356" s="2" t="s">
        <v>74</v>
      </c>
      <c r="BJ356" s="2" t="s">
        <v>74</v>
      </c>
      <c r="BK356" s="2" t="s">
        <v>74</v>
      </c>
      <c r="BL356" s="2" t="s">
        <v>74</v>
      </c>
      <c r="BM356" s="2" t="s">
        <v>74</v>
      </c>
      <c r="BN356" s="2" t="s">
        <v>74</v>
      </c>
      <c r="BO356" s="2" t="s">
        <v>74</v>
      </c>
      <c r="BP356" s="2" t="s">
        <v>74</v>
      </c>
      <c r="BQ356" s="2" t="s">
        <v>74</v>
      </c>
      <c r="BR356" s="2" t="s">
        <v>74</v>
      </c>
      <c r="BS356" s="2" t="s">
        <v>1084</v>
      </c>
      <c r="BT356" s="2" t="str">
        <f>HYPERLINK("https%3A%2F%2Fwww.webofscience.com%2Fwos%2Fwoscc%2Ffull-record%2FWOS:000235219700015","View Full Record in Web of Science")</f>
        <v>View Full Record in Web of Science</v>
      </c>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row>
    <row r="357" spans="1:314" s="2" customFormat="1" x14ac:dyDescent="0.4">
      <c r="A357" s="2" t="s">
        <v>72</v>
      </c>
      <c r="B357" s="2" t="s">
        <v>1913</v>
      </c>
      <c r="C357" s="2" t="s">
        <v>74</v>
      </c>
      <c r="D357" s="2" t="s">
        <v>74</v>
      </c>
      <c r="E357" s="2" t="s">
        <v>74</v>
      </c>
      <c r="F357" s="2" t="s">
        <v>1914</v>
      </c>
      <c r="G357" s="2" t="s">
        <v>74</v>
      </c>
      <c r="H357" s="2" t="s">
        <v>74</v>
      </c>
      <c r="I357" s="2" t="s">
        <v>1915</v>
      </c>
      <c r="J357" s="2" t="s">
        <v>108</v>
      </c>
      <c r="K357" s="2" t="s">
        <v>74</v>
      </c>
      <c r="L357" s="2" t="s">
        <v>74</v>
      </c>
      <c r="M357" s="2" t="s">
        <v>74</v>
      </c>
      <c r="N357" s="2" t="s">
        <v>74</v>
      </c>
      <c r="O357" s="2" t="s">
        <v>74</v>
      </c>
      <c r="P357" s="2" t="s">
        <v>74</v>
      </c>
      <c r="Q357" s="2" t="s">
        <v>74</v>
      </c>
      <c r="R357" s="2" t="s">
        <v>74</v>
      </c>
      <c r="S357" s="2" t="s">
        <v>74</v>
      </c>
      <c r="T357" s="2" t="s">
        <v>74</v>
      </c>
      <c r="U357" s="2" t="s">
        <v>74</v>
      </c>
      <c r="V357" s="5" t="s">
        <v>1916</v>
      </c>
      <c r="W357" s="2" t="s">
        <v>74</v>
      </c>
      <c r="X357" s="2" t="s">
        <v>74</v>
      </c>
      <c r="Y357" s="2" t="s">
        <v>74</v>
      </c>
      <c r="Z357" s="2" t="s">
        <v>74</v>
      </c>
      <c r="AA357" s="2" t="s">
        <v>1917</v>
      </c>
      <c r="AB357" s="2" t="s">
        <v>1918</v>
      </c>
      <c r="AC357" s="2" t="s">
        <v>74</v>
      </c>
      <c r="AD357" s="2" t="s">
        <v>74</v>
      </c>
      <c r="AE357" s="2" t="s">
        <v>74</v>
      </c>
      <c r="AF357" s="2" t="s">
        <v>74</v>
      </c>
      <c r="AG357" s="2" t="s">
        <v>74</v>
      </c>
      <c r="AH357" s="2" t="s">
        <v>74</v>
      </c>
      <c r="AI357" s="2" t="s">
        <v>74</v>
      </c>
      <c r="AJ357" s="2" t="s">
        <v>74</v>
      </c>
      <c r="AK357" s="2" t="s">
        <v>74</v>
      </c>
      <c r="AL357" s="2" t="s">
        <v>74</v>
      </c>
      <c r="AM357" s="2" t="s">
        <v>74</v>
      </c>
      <c r="AN357" s="2" t="s">
        <v>74</v>
      </c>
      <c r="AO357" s="2" t="s">
        <v>111</v>
      </c>
      <c r="AP357" s="2" t="s">
        <v>112</v>
      </c>
      <c r="AQ357" s="2" t="s">
        <v>74</v>
      </c>
      <c r="AR357" s="2" t="s">
        <v>74</v>
      </c>
      <c r="AS357" s="2" t="s">
        <v>74</v>
      </c>
      <c r="AT357" s="2" t="s">
        <v>1919</v>
      </c>
      <c r="AU357" s="2">
        <v>2017</v>
      </c>
      <c r="AV357" s="2">
        <v>284</v>
      </c>
      <c r="AW357" s="2">
        <v>1851</v>
      </c>
      <c r="AX357" s="2" t="s">
        <v>74</v>
      </c>
      <c r="AY357" s="2" t="s">
        <v>74</v>
      </c>
      <c r="AZ357" s="2" t="s">
        <v>74</v>
      </c>
      <c r="BA357" s="2" t="s">
        <v>74</v>
      </c>
      <c r="BB357" s="2" t="s">
        <v>74</v>
      </c>
      <c r="BC357" s="2" t="s">
        <v>74</v>
      </c>
      <c r="BD357" s="2">
        <v>20162838</v>
      </c>
      <c r="BE357" s="2" t="s">
        <v>1920</v>
      </c>
      <c r="BF357" s="2" t="str">
        <f>HYPERLINK("http://dx.doi.org/10.1098/rspb.2016.2838","http://dx.doi.org/10.1098/rspb.2016.2838")</f>
        <v>http://dx.doi.org/10.1098/rspb.2016.2838</v>
      </c>
      <c r="BG357" s="2" t="s">
        <v>74</v>
      </c>
      <c r="BH357" s="2" t="s">
        <v>74</v>
      </c>
      <c r="BI357" s="2" t="s">
        <v>74</v>
      </c>
      <c r="BJ357" s="2" t="s">
        <v>74</v>
      </c>
      <c r="BK357" s="2" t="s">
        <v>74</v>
      </c>
      <c r="BL357" s="2" t="s">
        <v>74</v>
      </c>
      <c r="BM357" s="2" t="s">
        <v>74</v>
      </c>
      <c r="BN357" s="2">
        <v>28356453</v>
      </c>
      <c r="BO357" s="2" t="s">
        <v>74</v>
      </c>
      <c r="BP357" s="2" t="s">
        <v>74</v>
      </c>
      <c r="BQ357" s="2" t="s">
        <v>74</v>
      </c>
      <c r="BR357" s="2" t="s">
        <v>74</v>
      </c>
      <c r="BS357" s="2" t="s">
        <v>1921</v>
      </c>
      <c r="BT357" s="2" t="str">
        <f>HYPERLINK("https%3A%2F%2Fwww.webofscience.com%2Fwos%2Fwoscc%2Ffull-record%2FWOS:000397884000018","View Full Record in Web of Science")</f>
        <v>View Full Record in Web of Science</v>
      </c>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row>
    <row r="358" spans="1:314" s="2" customFormat="1" x14ac:dyDescent="0.4">
      <c r="A358" s="2" t="s">
        <v>72</v>
      </c>
      <c r="B358" s="2" t="s">
        <v>3398</v>
      </c>
      <c r="C358" s="2" t="s">
        <v>74</v>
      </c>
      <c r="D358" s="2" t="s">
        <v>74</v>
      </c>
      <c r="E358" s="2" t="s">
        <v>74</v>
      </c>
      <c r="F358" s="2" t="s">
        <v>3399</v>
      </c>
      <c r="G358" s="2" t="s">
        <v>74</v>
      </c>
      <c r="H358" s="2" t="s">
        <v>74</v>
      </c>
      <c r="I358" s="2" t="s">
        <v>3400</v>
      </c>
      <c r="J358" s="2" t="s">
        <v>192</v>
      </c>
      <c r="K358" s="2" t="s">
        <v>74</v>
      </c>
      <c r="L358" s="2" t="s">
        <v>74</v>
      </c>
      <c r="M358" s="2" t="s">
        <v>74</v>
      </c>
      <c r="N358" s="2" t="s">
        <v>74</v>
      </c>
      <c r="O358" s="2" t="s">
        <v>74</v>
      </c>
      <c r="P358" s="2" t="s">
        <v>74</v>
      </c>
      <c r="Q358" s="2" t="s">
        <v>74</v>
      </c>
      <c r="R358" s="2" t="s">
        <v>74</v>
      </c>
      <c r="S358" s="2" t="s">
        <v>74</v>
      </c>
      <c r="T358" s="2" t="s">
        <v>74</v>
      </c>
      <c r="U358" s="2" t="s">
        <v>74</v>
      </c>
      <c r="V358" s="5" t="s">
        <v>3401</v>
      </c>
      <c r="W358" s="2" t="s">
        <v>74</v>
      </c>
      <c r="X358" s="2" t="s">
        <v>74</v>
      </c>
      <c r="Y358" s="2" t="s">
        <v>74</v>
      </c>
      <c r="Z358" s="2" t="s">
        <v>74</v>
      </c>
      <c r="AA358" s="2" t="s">
        <v>3402</v>
      </c>
      <c r="AB358" s="2" t="s">
        <v>3403</v>
      </c>
      <c r="AC358" s="2" t="s">
        <v>74</v>
      </c>
      <c r="AD358" s="2" t="s">
        <v>74</v>
      </c>
      <c r="AE358" s="2" t="s">
        <v>74</v>
      </c>
      <c r="AF358" s="2" t="s">
        <v>74</v>
      </c>
      <c r="AG358" s="2" t="s">
        <v>74</v>
      </c>
      <c r="AH358" s="2" t="s">
        <v>74</v>
      </c>
      <c r="AI358" s="2" t="s">
        <v>74</v>
      </c>
      <c r="AJ358" s="2" t="s">
        <v>74</v>
      </c>
      <c r="AK358" s="2" t="s">
        <v>74</v>
      </c>
      <c r="AL358" s="2" t="s">
        <v>74</v>
      </c>
      <c r="AM358" s="2" t="s">
        <v>74</v>
      </c>
      <c r="AN358" s="2" t="s">
        <v>74</v>
      </c>
      <c r="AO358" s="2" t="s">
        <v>195</v>
      </c>
      <c r="AP358" s="2" t="s">
        <v>196</v>
      </c>
      <c r="AQ358" s="2" t="s">
        <v>74</v>
      </c>
      <c r="AR358" s="2" t="s">
        <v>74</v>
      </c>
      <c r="AS358" s="2" t="s">
        <v>74</v>
      </c>
      <c r="AT358" s="2" t="s">
        <v>102</v>
      </c>
      <c r="AU358" s="2">
        <v>2023</v>
      </c>
      <c r="AV358" s="2">
        <v>850</v>
      </c>
      <c r="AW358" s="2" t="s">
        <v>3404</v>
      </c>
      <c r="AX358" s="2" t="s">
        <v>74</v>
      </c>
      <c r="AY358" s="2" t="s">
        <v>74</v>
      </c>
      <c r="AZ358" s="2" t="s">
        <v>848</v>
      </c>
      <c r="BA358" s="2" t="s">
        <v>74</v>
      </c>
      <c r="BB358" s="2">
        <v>2405</v>
      </c>
      <c r="BC358" s="2">
        <v>2423</v>
      </c>
      <c r="BD358" s="2" t="s">
        <v>74</v>
      </c>
      <c r="BE358" s="2" t="s">
        <v>3405</v>
      </c>
      <c r="BF358" s="2" t="str">
        <f>HYPERLINK("http://dx.doi.org/10.1007/s10750-022-04980-z","http://dx.doi.org/10.1007/s10750-022-04980-z")</f>
        <v>http://dx.doi.org/10.1007/s10750-022-04980-z</v>
      </c>
      <c r="BG358" s="2" t="s">
        <v>74</v>
      </c>
      <c r="BH358" s="2" t="s">
        <v>3406</v>
      </c>
      <c r="BI358" s="2" t="s">
        <v>74</v>
      </c>
      <c r="BJ358" s="2" t="s">
        <v>74</v>
      </c>
      <c r="BK358" s="2" t="s">
        <v>74</v>
      </c>
      <c r="BL358" s="2" t="s">
        <v>74</v>
      </c>
      <c r="BM358" s="2" t="s">
        <v>74</v>
      </c>
      <c r="BN358" s="2" t="s">
        <v>74</v>
      </c>
      <c r="BO358" s="2" t="s">
        <v>74</v>
      </c>
      <c r="BP358" s="2" t="s">
        <v>74</v>
      </c>
      <c r="BQ358" s="2" t="s">
        <v>74</v>
      </c>
      <c r="BR358" s="2" t="s">
        <v>74</v>
      </c>
      <c r="BS358" s="2" t="s">
        <v>3407</v>
      </c>
      <c r="BT358" s="2" t="str">
        <f>HYPERLINK("https%3A%2F%2Fwww.webofscience.com%2Fwos%2Fwoscc%2Ffull-record%2FWOS:000849168800001","View Full Record in Web of Science")</f>
        <v>View Full Record in Web of Science</v>
      </c>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row>
    <row r="359" spans="1:314" s="2" customFormat="1" x14ac:dyDescent="0.4">
      <c r="A359" s="2" t="s">
        <v>72</v>
      </c>
      <c r="B359" s="2" t="s">
        <v>3960</v>
      </c>
      <c r="C359" s="2" t="s">
        <v>74</v>
      </c>
      <c r="D359" s="2" t="s">
        <v>74</v>
      </c>
      <c r="E359" s="2" t="s">
        <v>74</v>
      </c>
      <c r="F359" s="2" t="s">
        <v>3961</v>
      </c>
      <c r="G359" s="2" t="s">
        <v>74</v>
      </c>
      <c r="H359" s="2" t="s">
        <v>74</v>
      </c>
      <c r="I359" s="2" t="s">
        <v>3962</v>
      </c>
      <c r="J359" s="2" t="s">
        <v>108</v>
      </c>
      <c r="K359" s="2" t="s">
        <v>74</v>
      </c>
      <c r="L359" s="2" t="s">
        <v>74</v>
      </c>
      <c r="M359" s="2" t="s">
        <v>74</v>
      </c>
      <c r="N359" s="2" t="s">
        <v>74</v>
      </c>
      <c r="O359" s="2" t="s">
        <v>74</v>
      </c>
      <c r="P359" s="2" t="s">
        <v>74</v>
      </c>
      <c r="Q359" s="2" t="s">
        <v>74</v>
      </c>
      <c r="R359" s="2" t="s">
        <v>74</v>
      </c>
      <c r="S359" s="2" t="s">
        <v>74</v>
      </c>
      <c r="T359" s="2" t="s">
        <v>74</v>
      </c>
      <c r="U359" s="2" t="s">
        <v>74</v>
      </c>
      <c r="V359" s="5" t="s">
        <v>3963</v>
      </c>
      <c r="W359" s="2" t="s">
        <v>74</v>
      </c>
      <c r="X359" s="2" t="s">
        <v>74</v>
      </c>
      <c r="Y359" s="2" t="s">
        <v>74</v>
      </c>
      <c r="Z359" s="2" t="s">
        <v>74</v>
      </c>
      <c r="AA359" s="2" t="s">
        <v>74</v>
      </c>
      <c r="AB359" s="2" t="s">
        <v>2478</v>
      </c>
      <c r="AC359" s="2" t="s">
        <v>74</v>
      </c>
      <c r="AD359" s="2" t="s">
        <v>74</v>
      </c>
      <c r="AE359" s="2" t="s">
        <v>74</v>
      </c>
      <c r="AF359" s="2" t="s">
        <v>74</v>
      </c>
      <c r="AG359" s="2" t="s">
        <v>74</v>
      </c>
      <c r="AH359" s="2" t="s">
        <v>74</v>
      </c>
      <c r="AI359" s="2" t="s">
        <v>74</v>
      </c>
      <c r="AJ359" s="2" t="s">
        <v>74</v>
      </c>
      <c r="AK359" s="2" t="s">
        <v>74</v>
      </c>
      <c r="AL359" s="2" t="s">
        <v>74</v>
      </c>
      <c r="AM359" s="2" t="s">
        <v>74</v>
      </c>
      <c r="AN359" s="2" t="s">
        <v>74</v>
      </c>
      <c r="AO359" s="2" t="s">
        <v>111</v>
      </c>
      <c r="AP359" s="2" t="s">
        <v>112</v>
      </c>
      <c r="AQ359" s="2" t="s">
        <v>74</v>
      </c>
      <c r="AR359" s="2" t="s">
        <v>74</v>
      </c>
      <c r="AS359" s="2" t="s">
        <v>74</v>
      </c>
      <c r="AT359" s="2" t="s">
        <v>2345</v>
      </c>
      <c r="AU359" s="2">
        <v>2008</v>
      </c>
      <c r="AV359" s="2">
        <v>275</v>
      </c>
      <c r="AW359" s="2">
        <v>1639</v>
      </c>
      <c r="AX359" s="2" t="s">
        <v>74</v>
      </c>
      <c r="AY359" s="2" t="s">
        <v>74</v>
      </c>
      <c r="AZ359" s="2" t="s">
        <v>74</v>
      </c>
      <c r="BA359" s="2" t="s">
        <v>74</v>
      </c>
      <c r="BB359" s="2">
        <v>1157</v>
      </c>
      <c r="BC359" s="2">
        <v>1162</v>
      </c>
      <c r="BD359" s="2" t="s">
        <v>74</v>
      </c>
      <c r="BE359" s="2" t="s">
        <v>3964</v>
      </c>
      <c r="BF359" s="2" t="str">
        <f>HYPERLINK("http://dx.doi.org/10.1098/rspb.2007.1700","http://dx.doi.org/10.1098/rspb.2007.1700")</f>
        <v>http://dx.doi.org/10.1098/rspb.2007.1700</v>
      </c>
      <c r="BG359" s="2" t="s">
        <v>74</v>
      </c>
      <c r="BH359" s="2" t="s">
        <v>74</v>
      </c>
      <c r="BI359" s="2" t="s">
        <v>74</v>
      </c>
      <c r="BJ359" s="2" t="s">
        <v>74</v>
      </c>
      <c r="BK359" s="2" t="s">
        <v>74</v>
      </c>
      <c r="BL359" s="2" t="s">
        <v>74</v>
      </c>
      <c r="BM359" s="2" t="s">
        <v>74</v>
      </c>
      <c r="BN359" s="2">
        <v>18270157</v>
      </c>
      <c r="BO359" s="2" t="s">
        <v>74</v>
      </c>
      <c r="BP359" s="2" t="s">
        <v>74</v>
      </c>
      <c r="BQ359" s="2" t="s">
        <v>74</v>
      </c>
      <c r="BR359" s="2" t="s">
        <v>74</v>
      </c>
      <c r="BS359" s="2" t="s">
        <v>3965</v>
      </c>
      <c r="BT359" s="2" t="str">
        <f>HYPERLINK("https%3A%2F%2Fwww.webofscience.com%2Fwos%2Fwoscc%2Ffull-record%2FWOS:000254464000008","View Full Record in Web of Science")</f>
        <v>View Full Record in Web of Science</v>
      </c>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row>
    <row r="360" spans="1:314" s="2" customFormat="1" x14ac:dyDescent="0.4">
      <c r="A360" s="2" t="s">
        <v>72</v>
      </c>
      <c r="B360" s="2" t="s">
        <v>1700</v>
      </c>
      <c r="C360" s="2" t="s">
        <v>74</v>
      </c>
      <c r="D360" s="2" t="s">
        <v>74</v>
      </c>
      <c r="E360" s="2" t="s">
        <v>74</v>
      </c>
      <c r="F360" s="2" t="s">
        <v>1701</v>
      </c>
      <c r="G360" s="2" t="s">
        <v>74</v>
      </c>
      <c r="H360" s="2" t="s">
        <v>74</v>
      </c>
      <c r="I360" s="2" t="s">
        <v>1702</v>
      </c>
      <c r="J360" s="2" t="s">
        <v>140</v>
      </c>
      <c r="K360" s="2" t="s">
        <v>74</v>
      </c>
      <c r="L360" s="2" t="s">
        <v>74</v>
      </c>
      <c r="M360" s="2" t="s">
        <v>74</v>
      </c>
      <c r="N360" s="2" t="s">
        <v>74</v>
      </c>
      <c r="O360" s="2" t="s">
        <v>74</v>
      </c>
      <c r="P360" s="2" t="s">
        <v>74</v>
      </c>
      <c r="Q360" s="2" t="s">
        <v>74</v>
      </c>
      <c r="R360" s="2" t="s">
        <v>74</v>
      </c>
      <c r="S360" s="2" t="s">
        <v>74</v>
      </c>
      <c r="T360" s="2" t="s">
        <v>74</v>
      </c>
      <c r="U360" s="2" t="s">
        <v>74</v>
      </c>
      <c r="V360" s="5" t="s">
        <v>1703</v>
      </c>
      <c r="W360" s="2" t="s">
        <v>74</v>
      </c>
      <c r="X360" s="2" t="s">
        <v>74</v>
      </c>
      <c r="Y360" s="2" t="s">
        <v>74</v>
      </c>
      <c r="Z360" s="2" t="s">
        <v>74</v>
      </c>
      <c r="AA360" s="2" t="s">
        <v>1106</v>
      </c>
      <c r="AB360" s="2" t="s">
        <v>1704</v>
      </c>
      <c r="AC360" s="2" t="s">
        <v>74</v>
      </c>
      <c r="AD360" s="2" t="s">
        <v>74</v>
      </c>
      <c r="AE360" s="2" t="s">
        <v>74</v>
      </c>
      <c r="AF360" s="2" t="s">
        <v>74</v>
      </c>
      <c r="AG360" s="2" t="s">
        <v>74</v>
      </c>
      <c r="AH360" s="2" t="s">
        <v>74</v>
      </c>
      <c r="AI360" s="2" t="s">
        <v>74</v>
      </c>
      <c r="AJ360" s="2" t="s">
        <v>74</v>
      </c>
      <c r="AK360" s="2" t="s">
        <v>74</v>
      </c>
      <c r="AL360" s="2" t="s">
        <v>74</v>
      </c>
      <c r="AM360" s="2" t="s">
        <v>74</v>
      </c>
      <c r="AN360" s="2" t="s">
        <v>74</v>
      </c>
      <c r="AO360" s="2" t="s">
        <v>143</v>
      </c>
      <c r="AP360" s="2" t="s">
        <v>144</v>
      </c>
      <c r="AQ360" s="2" t="s">
        <v>74</v>
      </c>
      <c r="AR360" s="2" t="s">
        <v>74</v>
      </c>
      <c r="AS360" s="2" t="s">
        <v>74</v>
      </c>
      <c r="AT360" s="2" t="s">
        <v>352</v>
      </c>
      <c r="AU360" s="2">
        <v>2008</v>
      </c>
      <c r="AV360" s="2">
        <v>76</v>
      </c>
      <c r="AW360" s="2" t="s">
        <v>74</v>
      </c>
      <c r="AX360" s="2">
        <v>3</v>
      </c>
      <c r="AY360" s="2" t="s">
        <v>74</v>
      </c>
      <c r="AZ360" s="2" t="s">
        <v>74</v>
      </c>
      <c r="BA360" s="2" t="s">
        <v>74</v>
      </c>
      <c r="BB360" s="2">
        <v>649</v>
      </c>
      <c r="BC360" s="2">
        <v>655</v>
      </c>
      <c r="BD360" s="2" t="s">
        <v>74</v>
      </c>
      <c r="BE360" s="2" t="s">
        <v>1705</v>
      </c>
      <c r="BF360" s="2" t="str">
        <f>HYPERLINK("http://dx.doi.org/10.1016/j.anbehav.2008.03.013","http://dx.doi.org/10.1016/j.anbehav.2008.03.013")</f>
        <v>http://dx.doi.org/10.1016/j.anbehav.2008.03.013</v>
      </c>
      <c r="BG360" s="2" t="s">
        <v>74</v>
      </c>
      <c r="BH360" s="2" t="s">
        <v>74</v>
      </c>
      <c r="BI360" s="2" t="s">
        <v>74</v>
      </c>
      <c r="BJ360" s="2" t="s">
        <v>74</v>
      </c>
      <c r="BK360" s="2" t="s">
        <v>74</v>
      </c>
      <c r="BL360" s="2" t="s">
        <v>74</v>
      </c>
      <c r="BM360" s="2" t="s">
        <v>74</v>
      </c>
      <c r="BN360" s="2" t="s">
        <v>74</v>
      </c>
      <c r="BO360" s="2" t="s">
        <v>74</v>
      </c>
      <c r="BP360" s="2" t="s">
        <v>74</v>
      </c>
      <c r="BQ360" s="2" t="s">
        <v>74</v>
      </c>
      <c r="BR360" s="2" t="s">
        <v>74</v>
      </c>
      <c r="BS360" s="2" t="s">
        <v>1706</v>
      </c>
      <c r="BT360" s="2" t="str">
        <f>HYPERLINK("https%3A%2F%2Fwww.webofscience.com%2Fwos%2Fwoscc%2Ffull-record%2FWOS:000258490800015","View Full Record in Web of Science")</f>
        <v>View Full Record in Web of Science</v>
      </c>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row>
    <row r="361" spans="1:314" s="2" customFormat="1" x14ac:dyDescent="0.4">
      <c r="A361" s="2" t="s">
        <v>72</v>
      </c>
      <c r="B361" s="2" t="s">
        <v>1956</v>
      </c>
      <c r="C361" s="2" t="s">
        <v>74</v>
      </c>
      <c r="D361" s="2" t="s">
        <v>74</v>
      </c>
      <c r="E361" s="2" t="s">
        <v>74</v>
      </c>
      <c r="F361" s="2" t="s">
        <v>1957</v>
      </c>
      <c r="G361" s="2" t="s">
        <v>74</v>
      </c>
      <c r="H361" s="2" t="s">
        <v>74</v>
      </c>
      <c r="I361" s="2" t="s">
        <v>1958</v>
      </c>
      <c r="J361" s="2" t="s">
        <v>108</v>
      </c>
      <c r="K361" s="2" t="s">
        <v>74</v>
      </c>
      <c r="L361" s="2" t="s">
        <v>74</v>
      </c>
      <c r="M361" s="2" t="s">
        <v>74</v>
      </c>
      <c r="N361" s="2" t="s">
        <v>74</v>
      </c>
      <c r="O361" s="2" t="s">
        <v>74</v>
      </c>
      <c r="P361" s="2" t="s">
        <v>74</v>
      </c>
      <c r="Q361" s="2" t="s">
        <v>74</v>
      </c>
      <c r="R361" s="2" t="s">
        <v>74</v>
      </c>
      <c r="S361" s="2" t="s">
        <v>74</v>
      </c>
      <c r="T361" s="2" t="s">
        <v>74</v>
      </c>
      <c r="U361" s="2" t="s">
        <v>74</v>
      </c>
      <c r="V361" s="5" t="s">
        <v>1959</v>
      </c>
      <c r="W361" s="2" t="s">
        <v>74</v>
      </c>
      <c r="X361" s="2" t="s">
        <v>74</v>
      </c>
      <c r="Y361" s="2" t="s">
        <v>74</v>
      </c>
      <c r="Z361" s="2" t="s">
        <v>74</v>
      </c>
      <c r="AA361" s="2" t="s">
        <v>1106</v>
      </c>
      <c r="AB361" s="2" t="s">
        <v>1704</v>
      </c>
      <c r="AC361" s="2" t="s">
        <v>74</v>
      </c>
      <c r="AD361" s="2" t="s">
        <v>74</v>
      </c>
      <c r="AE361" s="2" t="s">
        <v>74</v>
      </c>
      <c r="AF361" s="2" t="s">
        <v>74</v>
      </c>
      <c r="AG361" s="2" t="s">
        <v>74</v>
      </c>
      <c r="AH361" s="2" t="s">
        <v>74</v>
      </c>
      <c r="AI361" s="2" t="s">
        <v>74</v>
      </c>
      <c r="AJ361" s="2" t="s">
        <v>74</v>
      </c>
      <c r="AK361" s="2" t="s">
        <v>74</v>
      </c>
      <c r="AL361" s="2" t="s">
        <v>74</v>
      </c>
      <c r="AM361" s="2" t="s">
        <v>74</v>
      </c>
      <c r="AN361" s="2" t="s">
        <v>74</v>
      </c>
      <c r="AO361" s="2" t="s">
        <v>111</v>
      </c>
      <c r="AP361" s="2" t="s">
        <v>112</v>
      </c>
      <c r="AQ361" s="2" t="s">
        <v>74</v>
      </c>
      <c r="AR361" s="2" t="s">
        <v>74</v>
      </c>
      <c r="AS361" s="2" t="s">
        <v>74</v>
      </c>
      <c r="AT361" s="2" t="s">
        <v>1960</v>
      </c>
      <c r="AU361" s="2">
        <v>2008</v>
      </c>
      <c r="AV361" s="2">
        <v>275</v>
      </c>
      <c r="AW361" s="2">
        <v>1634</v>
      </c>
      <c r="AX361" s="2" t="s">
        <v>74</v>
      </c>
      <c r="AY361" s="2" t="s">
        <v>74</v>
      </c>
      <c r="AZ361" s="2" t="s">
        <v>74</v>
      </c>
      <c r="BA361" s="2" t="s">
        <v>74</v>
      </c>
      <c r="BB361" s="2">
        <v>519</v>
      </c>
      <c r="BC361" s="2">
        <v>526</v>
      </c>
      <c r="BD361" s="2" t="s">
        <v>74</v>
      </c>
      <c r="BE361" s="2" t="s">
        <v>1961</v>
      </c>
      <c r="BF361" s="2" t="str">
        <f>HYPERLINK("http://dx.doi.org/10.1098/rspb.2007.1441","http://dx.doi.org/10.1098/rspb.2007.1441")</f>
        <v>http://dx.doi.org/10.1098/rspb.2007.1441</v>
      </c>
      <c r="BG361" s="2" t="s">
        <v>74</v>
      </c>
      <c r="BH361" s="2" t="s">
        <v>74</v>
      </c>
      <c r="BI361" s="2" t="s">
        <v>74</v>
      </c>
      <c r="BJ361" s="2" t="s">
        <v>74</v>
      </c>
      <c r="BK361" s="2" t="s">
        <v>74</v>
      </c>
      <c r="BL361" s="2" t="s">
        <v>74</v>
      </c>
      <c r="BM361" s="2" t="s">
        <v>74</v>
      </c>
      <c r="BN361" s="2">
        <v>18077255</v>
      </c>
      <c r="BO361" s="2" t="s">
        <v>74</v>
      </c>
      <c r="BP361" s="2" t="s">
        <v>74</v>
      </c>
      <c r="BQ361" s="2" t="s">
        <v>74</v>
      </c>
      <c r="BR361" s="2" t="s">
        <v>74</v>
      </c>
      <c r="BS361" s="2" t="s">
        <v>1962</v>
      </c>
      <c r="BT361" s="2" t="str">
        <f>HYPERLINK("https%3A%2F%2Fwww.webofscience.com%2Fwos%2Fwoscc%2Ffull-record%2FWOS:000252764800006","View Full Record in Web of Science")</f>
        <v>View Full Record in Web of Science</v>
      </c>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row>
    <row r="362" spans="1:314" s="2" customFormat="1" x14ac:dyDescent="0.4">
      <c r="A362" s="2" t="s">
        <v>72</v>
      </c>
      <c r="B362" s="2" t="s">
        <v>1905</v>
      </c>
      <c r="C362" s="2" t="s">
        <v>74</v>
      </c>
      <c r="D362" s="2" t="s">
        <v>74</v>
      </c>
      <c r="E362" s="2" t="s">
        <v>74</v>
      </c>
      <c r="F362" s="2" t="s">
        <v>1906</v>
      </c>
      <c r="G362" s="2" t="s">
        <v>74</v>
      </c>
      <c r="H362" s="2" t="s">
        <v>74</v>
      </c>
      <c r="I362" s="2" t="s">
        <v>1907</v>
      </c>
      <c r="J362" s="2" t="s">
        <v>509</v>
      </c>
      <c r="K362" s="2" t="s">
        <v>74</v>
      </c>
      <c r="L362" s="2" t="s">
        <v>74</v>
      </c>
      <c r="M362" s="2" t="s">
        <v>74</v>
      </c>
      <c r="N362" s="2" t="s">
        <v>74</v>
      </c>
      <c r="O362" s="2" t="s">
        <v>74</v>
      </c>
      <c r="P362" s="2" t="s">
        <v>74</v>
      </c>
      <c r="Q362" s="2" t="s">
        <v>74</v>
      </c>
      <c r="R362" s="2" t="s">
        <v>74</v>
      </c>
      <c r="S362" s="2" t="s">
        <v>74</v>
      </c>
      <c r="T362" s="2" t="s">
        <v>74</v>
      </c>
      <c r="U362" s="2" t="s">
        <v>74</v>
      </c>
      <c r="V362" s="5" t="s">
        <v>1908</v>
      </c>
      <c r="W362" s="2" t="s">
        <v>74</v>
      </c>
      <c r="X362" s="2" t="s">
        <v>74</v>
      </c>
      <c r="Y362" s="2" t="s">
        <v>74</v>
      </c>
      <c r="Z362" s="2" t="s">
        <v>74</v>
      </c>
      <c r="AA362" s="2" t="s">
        <v>1909</v>
      </c>
      <c r="AB362" s="2" t="s">
        <v>1910</v>
      </c>
      <c r="AC362" s="2" t="s">
        <v>74</v>
      </c>
      <c r="AD362" s="2" t="s">
        <v>74</v>
      </c>
      <c r="AE362" s="2" t="s">
        <v>74</v>
      </c>
      <c r="AF362" s="2" t="s">
        <v>74</v>
      </c>
      <c r="AG362" s="2" t="s">
        <v>74</v>
      </c>
      <c r="AH362" s="2" t="s">
        <v>74</v>
      </c>
      <c r="AI362" s="2" t="s">
        <v>74</v>
      </c>
      <c r="AJ362" s="2" t="s">
        <v>74</v>
      </c>
      <c r="AK362" s="2" t="s">
        <v>74</v>
      </c>
      <c r="AL362" s="2" t="s">
        <v>74</v>
      </c>
      <c r="AM362" s="2" t="s">
        <v>74</v>
      </c>
      <c r="AN362" s="2" t="s">
        <v>74</v>
      </c>
      <c r="AO362" s="2" t="s">
        <v>511</v>
      </c>
      <c r="AP362" s="2" t="s">
        <v>512</v>
      </c>
      <c r="AQ362" s="2" t="s">
        <v>74</v>
      </c>
      <c r="AR362" s="2" t="s">
        <v>74</v>
      </c>
      <c r="AS362" s="2" t="s">
        <v>74</v>
      </c>
      <c r="AT362" s="2" t="s">
        <v>633</v>
      </c>
      <c r="AU362" s="2">
        <v>2012</v>
      </c>
      <c r="AV362" s="2">
        <v>61</v>
      </c>
      <c r="AW362" s="2">
        <v>4</v>
      </c>
      <c r="AX362" s="2" t="s">
        <v>74</v>
      </c>
      <c r="AY362" s="2" t="s">
        <v>74</v>
      </c>
      <c r="AZ362" s="2" t="s">
        <v>74</v>
      </c>
      <c r="BA362" s="2" t="s">
        <v>74</v>
      </c>
      <c r="BB362" s="2">
        <v>518</v>
      </c>
      <c r="BC362" s="2">
        <v>526</v>
      </c>
      <c r="BD362" s="2" t="s">
        <v>74</v>
      </c>
      <c r="BE362" s="2" t="s">
        <v>1911</v>
      </c>
      <c r="BF362" s="2" t="str">
        <f>HYPERLINK("http://dx.doi.org/10.1016/j.yhbeh.2012.01.011","http://dx.doi.org/10.1016/j.yhbeh.2012.01.011")</f>
        <v>http://dx.doi.org/10.1016/j.yhbeh.2012.01.011</v>
      </c>
      <c r="BG362" s="2" t="s">
        <v>74</v>
      </c>
      <c r="BH362" s="2" t="s">
        <v>74</v>
      </c>
      <c r="BI362" s="2" t="s">
        <v>74</v>
      </c>
      <c r="BJ362" s="2" t="s">
        <v>74</v>
      </c>
      <c r="BK362" s="2" t="s">
        <v>74</v>
      </c>
      <c r="BL362" s="2" t="s">
        <v>74</v>
      </c>
      <c r="BM362" s="2" t="s">
        <v>74</v>
      </c>
      <c r="BN362" s="2">
        <v>22289206</v>
      </c>
      <c r="BO362" s="2" t="s">
        <v>74</v>
      </c>
      <c r="BP362" s="2" t="s">
        <v>74</v>
      </c>
      <c r="BQ362" s="2" t="s">
        <v>74</v>
      </c>
      <c r="BR362" s="2" t="s">
        <v>74</v>
      </c>
      <c r="BS362" s="2" t="s">
        <v>1912</v>
      </c>
      <c r="BT362" s="2" t="str">
        <f>HYPERLINK("https%3A%2F%2Fwww.webofscience.com%2Fwos%2Fwoscc%2Ffull-record%2FWOS:000302763700008","View Full Record in Web of Science")</f>
        <v>View Full Record in Web of Science</v>
      </c>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row>
    <row r="363" spans="1:314" s="2" customFormat="1" x14ac:dyDescent="0.4">
      <c r="A363" s="2" t="s">
        <v>72</v>
      </c>
      <c r="B363" s="2" t="s">
        <v>8485</v>
      </c>
      <c r="C363" s="2" t="s">
        <v>74</v>
      </c>
      <c r="D363" s="2" t="s">
        <v>74</v>
      </c>
      <c r="E363" s="2" t="s">
        <v>74</v>
      </c>
      <c r="F363" s="2" t="s">
        <v>8485</v>
      </c>
      <c r="G363" s="2" t="s">
        <v>74</v>
      </c>
      <c r="H363" s="2" t="s">
        <v>74</v>
      </c>
      <c r="I363" s="2" t="s">
        <v>8486</v>
      </c>
      <c r="J363" s="2" t="s">
        <v>333</v>
      </c>
      <c r="K363" s="2" t="s">
        <v>74</v>
      </c>
      <c r="L363" s="2" t="s">
        <v>74</v>
      </c>
      <c r="M363" s="2" t="s">
        <v>74</v>
      </c>
      <c r="N363" s="2" t="s">
        <v>74</v>
      </c>
      <c r="O363" s="2" t="s">
        <v>74</v>
      </c>
      <c r="P363" s="2" t="s">
        <v>74</v>
      </c>
      <c r="Q363" s="2" t="s">
        <v>74</v>
      </c>
      <c r="R363" s="2" t="s">
        <v>74</v>
      </c>
      <c r="S363" s="2" t="s">
        <v>74</v>
      </c>
      <c r="T363" s="2" t="s">
        <v>74</v>
      </c>
      <c r="U363" s="2" t="s">
        <v>74</v>
      </c>
      <c r="V363" s="5" t="s">
        <v>8487</v>
      </c>
      <c r="W363" s="2" t="s">
        <v>74</v>
      </c>
      <c r="X363" s="2" t="s">
        <v>74</v>
      </c>
      <c r="Y363" s="2" t="s">
        <v>74</v>
      </c>
      <c r="Z363" s="2" t="s">
        <v>74</v>
      </c>
      <c r="AA363" s="2" t="s">
        <v>8488</v>
      </c>
      <c r="AB363" s="2" t="s">
        <v>8489</v>
      </c>
      <c r="AC363" s="2" t="s">
        <v>74</v>
      </c>
      <c r="AD363" s="2" t="s">
        <v>74</v>
      </c>
      <c r="AE363" s="2" t="s">
        <v>74</v>
      </c>
      <c r="AF363" s="2" t="s">
        <v>74</v>
      </c>
      <c r="AG363" s="2" t="s">
        <v>74</v>
      </c>
      <c r="AH363" s="2" t="s">
        <v>74</v>
      </c>
      <c r="AI363" s="2" t="s">
        <v>74</v>
      </c>
      <c r="AJ363" s="2" t="s">
        <v>74</v>
      </c>
      <c r="AK363" s="2" t="s">
        <v>74</v>
      </c>
      <c r="AL363" s="2" t="s">
        <v>74</v>
      </c>
      <c r="AM363" s="2" t="s">
        <v>74</v>
      </c>
      <c r="AN363" s="2" t="s">
        <v>74</v>
      </c>
      <c r="AO363" s="2" t="s">
        <v>337</v>
      </c>
      <c r="AP363" s="2" t="s">
        <v>338</v>
      </c>
      <c r="AQ363" s="2" t="s">
        <v>74</v>
      </c>
      <c r="AR363" s="2" t="s">
        <v>74</v>
      </c>
      <c r="AS363" s="2" t="s">
        <v>74</v>
      </c>
      <c r="AT363" s="2" t="s">
        <v>213</v>
      </c>
      <c r="AU363" s="2">
        <v>2004</v>
      </c>
      <c r="AV363" s="2">
        <v>15</v>
      </c>
      <c r="AW363" s="2">
        <v>6</v>
      </c>
      <c r="AX363" s="2" t="s">
        <v>74</v>
      </c>
      <c r="AY363" s="2" t="s">
        <v>74</v>
      </c>
      <c r="AZ363" s="2" t="s">
        <v>74</v>
      </c>
      <c r="BA363" s="2" t="s">
        <v>74</v>
      </c>
      <c r="BB363" s="2">
        <v>1023</v>
      </c>
      <c r="BC363" s="2">
        <v>1030</v>
      </c>
      <c r="BD363" s="2" t="s">
        <v>74</v>
      </c>
      <c r="BE363" s="2" t="s">
        <v>8490</v>
      </c>
      <c r="BF363" s="2" t="str">
        <f>HYPERLINK("http://dx.doi.org/10.1093/beheco/arh115","http://dx.doi.org/10.1093/beheco/arh115")</f>
        <v>http://dx.doi.org/10.1093/beheco/arh115</v>
      </c>
      <c r="BG363" s="2" t="s">
        <v>74</v>
      </c>
      <c r="BH363" s="2" t="s">
        <v>74</v>
      </c>
      <c r="BI363" s="2" t="s">
        <v>74</v>
      </c>
      <c r="BJ363" s="2" t="s">
        <v>74</v>
      </c>
      <c r="BK363" s="2" t="s">
        <v>74</v>
      </c>
      <c r="BL363" s="2" t="s">
        <v>74</v>
      </c>
      <c r="BM363" s="2" t="s">
        <v>74</v>
      </c>
      <c r="BN363" s="2" t="s">
        <v>74</v>
      </c>
      <c r="BO363" s="2" t="s">
        <v>74</v>
      </c>
      <c r="BP363" s="2" t="s">
        <v>74</v>
      </c>
      <c r="BQ363" s="2" t="s">
        <v>74</v>
      </c>
      <c r="BR363" s="2" t="s">
        <v>74</v>
      </c>
      <c r="BS363" s="2" t="s">
        <v>8491</v>
      </c>
      <c r="BT363" s="2" t="str">
        <f>HYPERLINK("https%3A%2F%2Fwww.webofscience.com%2Fwos%2Fwoscc%2Ffull-record%2FWOS:000224482000019","View Full Record in Web of Science")</f>
        <v>View Full Record in Web of Science</v>
      </c>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row>
    <row r="364" spans="1:314" s="2" customFormat="1" x14ac:dyDescent="0.4">
      <c r="A364" s="2" t="s">
        <v>72</v>
      </c>
      <c r="B364" s="2" t="s">
        <v>7007</v>
      </c>
      <c r="C364" s="2" t="s">
        <v>74</v>
      </c>
      <c r="D364" s="2" t="s">
        <v>74</v>
      </c>
      <c r="E364" s="2" t="s">
        <v>74</v>
      </c>
      <c r="F364" s="2" t="s">
        <v>7007</v>
      </c>
      <c r="G364" s="2" t="s">
        <v>74</v>
      </c>
      <c r="H364" s="2" t="s">
        <v>74</v>
      </c>
      <c r="I364" s="2" t="s">
        <v>7008</v>
      </c>
      <c r="J364" s="2" t="s">
        <v>7009</v>
      </c>
      <c r="K364" s="2" t="s">
        <v>74</v>
      </c>
      <c r="L364" s="2" t="s">
        <v>74</v>
      </c>
      <c r="M364" s="2" t="s">
        <v>74</v>
      </c>
      <c r="N364" s="2" t="s">
        <v>74</v>
      </c>
      <c r="O364" s="2" t="s">
        <v>74</v>
      </c>
      <c r="P364" s="2" t="s">
        <v>74</v>
      </c>
      <c r="Q364" s="2" t="s">
        <v>74</v>
      </c>
      <c r="R364" s="2" t="s">
        <v>74</v>
      </c>
      <c r="S364" s="2" t="s">
        <v>74</v>
      </c>
      <c r="T364" s="2" t="s">
        <v>74</v>
      </c>
      <c r="U364" s="2" t="s">
        <v>74</v>
      </c>
      <c r="V364" s="5" t="s">
        <v>7010</v>
      </c>
      <c r="W364" s="2" t="s">
        <v>74</v>
      </c>
      <c r="X364" s="2" t="s">
        <v>74</v>
      </c>
      <c r="Y364" s="2" t="s">
        <v>74</v>
      </c>
      <c r="Z364" s="2" t="s">
        <v>74</v>
      </c>
      <c r="AA364" s="2" t="s">
        <v>74</v>
      </c>
      <c r="AB364" s="2" t="s">
        <v>74</v>
      </c>
      <c r="AC364" s="2" t="s">
        <v>74</v>
      </c>
      <c r="AD364" s="2" t="s">
        <v>74</v>
      </c>
      <c r="AE364" s="2" t="s">
        <v>74</v>
      </c>
      <c r="AF364" s="2" t="s">
        <v>74</v>
      </c>
      <c r="AG364" s="2" t="s">
        <v>74</v>
      </c>
      <c r="AH364" s="2" t="s">
        <v>74</v>
      </c>
      <c r="AI364" s="2" t="s">
        <v>74</v>
      </c>
      <c r="AJ364" s="2" t="s">
        <v>74</v>
      </c>
      <c r="AK364" s="2" t="s">
        <v>74</v>
      </c>
      <c r="AL364" s="2" t="s">
        <v>74</v>
      </c>
      <c r="AM364" s="2" t="s">
        <v>74</v>
      </c>
      <c r="AN364" s="2" t="s">
        <v>74</v>
      </c>
      <c r="AO364" s="2" t="s">
        <v>7011</v>
      </c>
      <c r="AP364" s="2" t="s">
        <v>74</v>
      </c>
      <c r="AQ364" s="2" t="s">
        <v>74</v>
      </c>
      <c r="AR364" s="2" t="s">
        <v>74</v>
      </c>
      <c r="AS364" s="2" t="s">
        <v>74</v>
      </c>
      <c r="AT364" s="2" t="s">
        <v>964</v>
      </c>
      <c r="AU364" s="2">
        <v>1998</v>
      </c>
      <c r="AV364" s="2">
        <v>33</v>
      </c>
      <c r="AW364" s="2">
        <v>1</v>
      </c>
      <c r="AX364" s="2" t="s">
        <v>74</v>
      </c>
      <c r="AY364" s="2" t="s">
        <v>74</v>
      </c>
      <c r="AZ364" s="2" t="s">
        <v>74</v>
      </c>
      <c r="BA364" s="2" t="s">
        <v>74</v>
      </c>
      <c r="BB364" s="2">
        <v>73</v>
      </c>
      <c r="BC364" s="2">
        <v>80</v>
      </c>
      <c r="BD364" s="2" t="s">
        <v>74</v>
      </c>
      <c r="BE364" s="2" t="s">
        <v>7012</v>
      </c>
      <c r="BF364" s="2" t="str">
        <f>HYPERLINK("http://dx.doi.org/10.1017/S0967026298001607","http://dx.doi.org/10.1017/S0967026298001607")</f>
        <v>http://dx.doi.org/10.1017/S0967026298001607</v>
      </c>
      <c r="BG364" s="2" t="s">
        <v>74</v>
      </c>
      <c r="BH364" s="2" t="s">
        <v>74</v>
      </c>
      <c r="BI364" s="2" t="s">
        <v>74</v>
      </c>
      <c r="BJ364" s="2" t="s">
        <v>74</v>
      </c>
      <c r="BK364" s="2" t="s">
        <v>74</v>
      </c>
      <c r="BL364" s="2" t="s">
        <v>74</v>
      </c>
      <c r="BM364" s="2" t="s">
        <v>74</v>
      </c>
      <c r="BN364" s="2" t="s">
        <v>74</v>
      </c>
      <c r="BO364" s="2" t="s">
        <v>74</v>
      </c>
      <c r="BP364" s="2" t="s">
        <v>74</v>
      </c>
      <c r="BQ364" s="2" t="s">
        <v>74</v>
      </c>
      <c r="BR364" s="2" t="s">
        <v>74</v>
      </c>
      <c r="BS364" s="2" t="s">
        <v>7013</v>
      </c>
      <c r="BT364" s="2" t="str">
        <f>HYPERLINK("https%3A%2F%2Fwww.webofscience.com%2Fwos%2Fwoscc%2Ffull-record%2FWOS:000073192900008","View Full Record in Web of Science")</f>
        <v>View Full Record in Web of Science</v>
      </c>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row>
    <row r="365" spans="1:314" s="2" customFormat="1" x14ac:dyDescent="0.4">
      <c r="A365" s="2" t="s">
        <v>72</v>
      </c>
      <c r="B365" s="2" t="s">
        <v>6643</v>
      </c>
      <c r="C365" s="2" t="s">
        <v>74</v>
      </c>
      <c r="D365" s="2" t="s">
        <v>74</v>
      </c>
      <c r="E365" s="2" t="s">
        <v>74</v>
      </c>
      <c r="F365" s="2" t="s">
        <v>6644</v>
      </c>
      <c r="G365" s="2" t="s">
        <v>74</v>
      </c>
      <c r="H365" s="2" t="s">
        <v>74</v>
      </c>
      <c r="I365" s="2" t="s">
        <v>6645</v>
      </c>
      <c r="J365" s="2" t="s">
        <v>171</v>
      </c>
      <c r="K365" s="2" t="s">
        <v>74</v>
      </c>
      <c r="L365" s="2" t="s">
        <v>74</v>
      </c>
      <c r="M365" s="2" t="s">
        <v>74</v>
      </c>
      <c r="N365" s="2" t="s">
        <v>74</v>
      </c>
      <c r="O365" s="2" t="s">
        <v>74</v>
      </c>
      <c r="P365" s="2" t="s">
        <v>74</v>
      </c>
      <c r="Q365" s="2" t="s">
        <v>74</v>
      </c>
      <c r="R365" s="2" t="s">
        <v>74</v>
      </c>
      <c r="S365" s="2" t="s">
        <v>74</v>
      </c>
      <c r="T365" s="2" t="s">
        <v>74</v>
      </c>
      <c r="U365" s="2" t="s">
        <v>74</v>
      </c>
      <c r="V365" s="5" t="s">
        <v>6646</v>
      </c>
      <c r="W365" s="2" t="s">
        <v>74</v>
      </c>
      <c r="X365" s="2" t="s">
        <v>74</v>
      </c>
      <c r="Y365" s="2" t="s">
        <v>74</v>
      </c>
      <c r="Z365" s="2" t="s">
        <v>74</v>
      </c>
      <c r="AA365" s="2" t="s">
        <v>74</v>
      </c>
      <c r="AB365" s="2" t="s">
        <v>6647</v>
      </c>
      <c r="AC365" s="2" t="s">
        <v>74</v>
      </c>
      <c r="AD365" s="2" t="s">
        <v>74</v>
      </c>
      <c r="AE365" s="2" t="s">
        <v>74</v>
      </c>
      <c r="AF365" s="2" t="s">
        <v>74</v>
      </c>
      <c r="AG365" s="2" t="s">
        <v>74</v>
      </c>
      <c r="AH365" s="2" t="s">
        <v>74</v>
      </c>
      <c r="AI365" s="2" t="s">
        <v>74</v>
      </c>
      <c r="AJ365" s="2" t="s">
        <v>74</v>
      </c>
      <c r="AK365" s="2" t="s">
        <v>74</v>
      </c>
      <c r="AL365" s="2" t="s">
        <v>74</v>
      </c>
      <c r="AM365" s="2" t="s">
        <v>74</v>
      </c>
      <c r="AN365" s="2" t="s">
        <v>74</v>
      </c>
      <c r="AO365" s="2" t="s">
        <v>173</v>
      </c>
      <c r="AP365" s="2" t="s">
        <v>174</v>
      </c>
      <c r="AQ365" s="2" t="s">
        <v>74</v>
      </c>
      <c r="AR365" s="2" t="s">
        <v>74</v>
      </c>
      <c r="AS365" s="2" t="s">
        <v>74</v>
      </c>
      <c r="AT365" s="2" t="s">
        <v>6648</v>
      </c>
      <c r="AU365" s="2">
        <v>2023</v>
      </c>
      <c r="AV365" s="2">
        <v>77</v>
      </c>
      <c r="AW365" s="2">
        <v>10</v>
      </c>
      <c r="AX365" s="2" t="s">
        <v>74</v>
      </c>
      <c r="AY365" s="2" t="s">
        <v>74</v>
      </c>
      <c r="AZ365" s="2" t="s">
        <v>74</v>
      </c>
      <c r="BA365" s="2" t="s">
        <v>74</v>
      </c>
      <c r="BB365" s="2">
        <v>2224</v>
      </c>
      <c r="BC365" s="2">
        <v>2233</v>
      </c>
      <c r="BD365" s="2" t="s">
        <v>74</v>
      </c>
      <c r="BE365" s="2" t="s">
        <v>6649</v>
      </c>
      <c r="BF365" s="2" t="str">
        <f>HYPERLINK("http://dx.doi.org/10.1093/evolut/qpad134","http://dx.doi.org/10.1093/evolut/qpad134")</f>
        <v>http://dx.doi.org/10.1093/evolut/qpad134</v>
      </c>
      <c r="BG365" s="2" t="s">
        <v>74</v>
      </c>
      <c r="BH365" s="2" t="s">
        <v>2726</v>
      </c>
      <c r="BI365" s="2" t="s">
        <v>74</v>
      </c>
      <c r="BJ365" s="2" t="s">
        <v>74</v>
      </c>
      <c r="BK365" s="2" t="s">
        <v>74</v>
      </c>
      <c r="BL365" s="2" t="s">
        <v>74</v>
      </c>
      <c r="BM365" s="2" t="s">
        <v>74</v>
      </c>
      <c r="BN365" s="2">
        <v>37482374</v>
      </c>
      <c r="BO365" s="2" t="s">
        <v>74</v>
      </c>
      <c r="BP365" s="2" t="s">
        <v>74</v>
      </c>
      <c r="BQ365" s="2" t="s">
        <v>74</v>
      </c>
      <c r="BR365" s="2" t="s">
        <v>74</v>
      </c>
      <c r="BS365" s="2" t="s">
        <v>6650</v>
      </c>
      <c r="BT365" s="2" t="str">
        <f>HYPERLINK("https%3A%2F%2Fwww.webofscience.com%2Fwos%2Fwoscc%2Ffull-record%2FWOS:001050661400001","View Full Record in Web of Science")</f>
        <v>View Full Record in Web of Science</v>
      </c>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row>
    <row r="366" spans="1:314" s="2" customFormat="1" x14ac:dyDescent="0.4">
      <c r="A366" s="2" t="s">
        <v>72</v>
      </c>
      <c r="B366" s="2" t="s">
        <v>5331</v>
      </c>
      <c r="C366" s="2" t="s">
        <v>74</v>
      </c>
      <c r="D366" s="2" t="s">
        <v>74</v>
      </c>
      <c r="E366" s="2" t="s">
        <v>74</v>
      </c>
      <c r="F366" s="2" t="s">
        <v>5331</v>
      </c>
      <c r="G366" s="2" t="s">
        <v>74</v>
      </c>
      <c r="H366" s="2" t="s">
        <v>74</v>
      </c>
      <c r="I366" s="2" t="s">
        <v>5332</v>
      </c>
      <c r="J366" s="2" t="s">
        <v>5333</v>
      </c>
      <c r="K366" s="2" t="s">
        <v>74</v>
      </c>
      <c r="L366" s="2" t="s">
        <v>74</v>
      </c>
      <c r="M366" s="2" t="s">
        <v>74</v>
      </c>
      <c r="N366" s="2" t="s">
        <v>74</v>
      </c>
      <c r="O366" s="2" t="s">
        <v>74</v>
      </c>
      <c r="P366" s="2" t="s">
        <v>74</v>
      </c>
      <c r="Q366" s="2" t="s">
        <v>74</v>
      </c>
      <c r="R366" s="2" t="s">
        <v>74</v>
      </c>
      <c r="S366" s="2" t="s">
        <v>74</v>
      </c>
      <c r="T366" s="2" t="s">
        <v>74</v>
      </c>
      <c r="U366" s="2" t="s">
        <v>74</v>
      </c>
      <c r="V366" s="5" t="s">
        <v>5334</v>
      </c>
      <c r="W366" s="2" t="s">
        <v>74</v>
      </c>
      <c r="X366" s="2" t="s">
        <v>74</v>
      </c>
      <c r="Y366" s="2" t="s">
        <v>74</v>
      </c>
      <c r="Z366" s="2" t="s">
        <v>74</v>
      </c>
      <c r="AA366" s="2" t="s">
        <v>74</v>
      </c>
      <c r="AB366" s="2" t="s">
        <v>74</v>
      </c>
      <c r="AC366" s="2" t="s">
        <v>74</v>
      </c>
      <c r="AD366" s="2" t="s">
        <v>74</v>
      </c>
      <c r="AE366" s="2" t="s">
        <v>74</v>
      </c>
      <c r="AF366" s="2" t="s">
        <v>74</v>
      </c>
      <c r="AG366" s="2" t="s">
        <v>74</v>
      </c>
      <c r="AH366" s="2" t="s">
        <v>74</v>
      </c>
      <c r="AI366" s="2" t="s">
        <v>74</v>
      </c>
      <c r="AJ366" s="2" t="s">
        <v>74</v>
      </c>
      <c r="AK366" s="2" t="s">
        <v>74</v>
      </c>
      <c r="AL366" s="2" t="s">
        <v>74</v>
      </c>
      <c r="AM366" s="2" t="s">
        <v>74</v>
      </c>
      <c r="AN366" s="2" t="s">
        <v>74</v>
      </c>
      <c r="AO366" s="2" t="s">
        <v>5335</v>
      </c>
      <c r="AP366" s="2" t="s">
        <v>74</v>
      </c>
      <c r="AQ366" s="2" t="s">
        <v>74</v>
      </c>
      <c r="AR366" s="2" t="s">
        <v>74</v>
      </c>
      <c r="AS366" s="2" t="s">
        <v>74</v>
      </c>
      <c r="AT366" s="2" t="s">
        <v>74</v>
      </c>
      <c r="AU366" s="2">
        <v>1981</v>
      </c>
      <c r="AV366" s="2">
        <v>46</v>
      </c>
      <c r="AW366" s="2">
        <v>3</v>
      </c>
      <c r="AX366" s="2" t="s">
        <v>74</v>
      </c>
      <c r="AY366" s="2" t="s">
        <v>74</v>
      </c>
      <c r="AZ366" s="2" t="s">
        <v>74</v>
      </c>
      <c r="BA366" s="2" t="s">
        <v>74</v>
      </c>
      <c r="BB366" s="2">
        <v>151</v>
      </c>
      <c r="BC366" s="2">
        <v>161</v>
      </c>
      <c r="BD366" s="2" t="s">
        <v>74</v>
      </c>
      <c r="BE366" s="2" t="s">
        <v>74</v>
      </c>
      <c r="BF366" s="2" t="s">
        <v>74</v>
      </c>
      <c r="BG366" s="2" t="s">
        <v>74</v>
      </c>
      <c r="BH366" s="2" t="s">
        <v>74</v>
      </c>
      <c r="BI366" s="2" t="s">
        <v>74</v>
      </c>
      <c r="BJ366" s="2" t="s">
        <v>74</v>
      </c>
      <c r="BK366" s="2" t="s">
        <v>74</v>
      </c>
      <c r="BL366" s="2" t="s">
        <v>74</v>
      </c>
      <c r="BM366" s="2" t="s">
        <v>74</v>
      </c>
      <c r="BN366" s="2" t="s">
        <v>74</v>
      </c>
      <c r="BO366" s="2" t="s">
        <v>74</v>
      </c>
      <c r="BP366" s="2" t="s">
        <v>74</v>
      </c>
      <c r="BQ366" s="2" t="s">
        <v>74</v>
      </c>
      <c r="BR366" s="2" t="s">
        <v>74</v>
      </c>
      <c r="BS366" s="2" t="s">
        <v>5336</v>
      </c>
      <c r="BT366" s="2" t="str">
        <f>HYPERLINK("https%3A%2F%2Fwww.webofscience.com%2Fwos%2Fwoscc%2Ffull-record%2FWOS:A1981LX86400004","View Full Record in Web of Science")</f>
        <v>View Full Record in Web of Science</v>
      </c>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row>
    <row r="367" spans="1:314" s="2" customFormat="1" x14ac:dyDescent="0.4">
      <c r="A367" s="2" t="s">
        <v>72</v>
      </c>
      <c r="B367" s="2" t="s">
        <v>3439</v>
      </c>
      <c r="C367" s="2" t="s">
        <v>74</v>
      </c>
      <c r="D367" s="2" t="s">
        <v>74</v>
      </c>
      <c r="E367" s="2" t="s">
        <v>74</v>
      </c>
      <c r="F367" s="2" t="s">
        <v>3440</v>
      </c>
      <c r="G367" s="2" t="s">
        <v>74</v>
      </c>
      <c r="H367" s="2" t="s">
        <v>74</v>
      </c>
      <c r="I367" s="2" t="s">
        <v>3441</v>
      </c>
      <c r="J367" s="2" t="s">
        <v>763</v>
      </c>
      <c r="K367" s="2" t="s">
        <v>74</v>
      </c>
      <c r="L367" s="2" t="s">
        <v>74</v>
      </c>
      <c r="M367" s="2" t="s">
        <v>74</v>
      </c>
      <c r="N367" s="2" t="s">
        <v>74</v>
      </c>
      <c r="O367" s="2" t="s">
        <v>74</v>
      </c>
      <c r="P367" s="2" t="s">
        <v>74</v>
      </c>
      <c r="Q367" s="2" t="s">
        <v>74</v>
      </c>
      <c r="R367" s="2" t="s">
        <v>74</v>
      </c>
      <c r="S367" s="2" t="s">
        <v>74</v>
      </c>
      <c r="T367" s="2" t="s">
        <v>74</v>
      </c>
      <c r="U367" s="2" t="s">
        <v>74</v>
      </c>
      <c r="V367" s="5" t="s">
        <v>3442</v>
      </c>
      <c r="W367" s="2" t="s">
        <v>74</v>
      </c>
      <c r="X367" s="2" t="s">
        <v>74</v>
      </c>
      <c r="Y367" s="2" t="s">
        <v>74</v>
      </c>
      <c r="Z367" s="2" t="s">
        <v>74</v>
      </c>
      <c r="AA367" s="2" t="s">
        <v>3443</v>
      </c>
      <c r="AB367" s="2" t="s">
        <v>3444</v>
      </c>
      <c r="AC367" s="2" t="s">
        <v>74</v>
      </c>
      <c r="AD367" s="2" t="s">
        <v>74</v>
      </c>
      <c r="AE367" s="2" t="s">
        <v>74</v>
      </c>
      <c r="AF367" s="2" t="s">
        <v>74</v>
      </c>
      <c r="AG367" s="2" t="s">
        <v>74</v>
      </c>
      <c r="AH367" s="2" t="s">
        <v>74</v>
      </c>
      <c r="AI367" s="2" t="s">
        <v>74</v>
      </c>
      <c r="AJ367" s="2" t="s">
        <v>74</v>
      </c>
      <c r="AK367" s="2" t="s">
        <v>74</v>
      </c>
      <c r="AL367" s="2" t="s">
        <v>74</v>
      </c>
      <c r="AM367" s="2" t="s">
        <v>74</v>
      </c>
      <c r="AN367" s="2" t="s">
        <v>74</v>
      </c>
      <c r="AO367" s="2" t="s">
        <v>767</v>
      </c>
      <c r="AP367" s="2" t="s">
        <v>768</v>
      </c>
      <c r="AQ367" s="2" t="s">
        <v>74</v>
      </c>
      <c r="AR367" s="2" t="s">
        <v>74</v>
      </c>
      <c r="AS367" s="2" t="s">
        <v>74</v>
      </c>
      <c r="AT367" s="2" t="s">
        <v>3445</v>
      </c>
      <c r="AU367" s="2">
        <v>2016</v>
      </c>
      <c r="AV367" s="2">
        <v>219</v>
      </c>
      <c r="AW367" s="2">
        <v>18</v>
      </c>
      <c r="AX367" s="2" t="s">
        <v>74</v>
      </c>
      <c r="AY367" s="2" t="s">
        <v>74</v>
      </c>
      <c r="AZ367" s="2" t="s">
        <v>74</v>
      </c>
      <c r="BA367" s="2" t="s">
        <v>74</v>
      </c>
      <c r="BB367" s="2">
        <v>2837</v>
      </c>
      <c r="BC367" s="2">
        <v>2843</v>
      </c>
      <c r="BD367" s="2" t="s">
        <v>74</v>
      </c>
      <c r="BE367" s="2" t="s">
        <v>3446</v>
      </c>
      <c r="BF367" s="2" t="str">
        <f>HYPERLINK("http://dx.doi.org/10.1242/jeb.137885","http://dx.doi.org/10.1242/jeb.137885")</f>
        <v>http://dx.doi.org/10.1242/jeb.137885</v>
      </c>
      <c r="BG367" s="2" t="s">
        <v>74</v>
      </c>
      <c r="BH367" s="2" t="s">
        <v>74</v>
      </c>
      <c r="BI367" s="2" t="s">
        <v>74</v>
      </c>
      <c r="BJ367" s="2" t="s">
        <v>74</v>
      </c>
      <c r="BK367" s="2" t="s">
        <v>74</v>
      </c>
      <c r="BL367" s="2" t="s">
        <v>74</v>
      </c>
      <c r="BM367" s="2" t="s">
        <v>74</v>
      </c>
      <c r="BN367" s="2">
        <v>27401761</v>
      </c>
      <c r="BO367" s="2" t="s">
        <v>74</v>
      </c>
      <c r="BP367" s="2" t="s">
        <v>74</v>
      </c>
      <c r="BQ367" s="2" t="s">
        <v>74</v>
      </c>
      <c r="BR367" s="2" t="s">
        <v>74</v>
      </c>
      <c r="BS367" s="2" t="s">
        <v>3447</v>
      </c>
      <c r="BT367" s="2" t="str">
        <f>HYPERLINK("https%3A%2F%2Fwww.webofscience.com%2Fwos%2Fwoscc%2Ffull-record%2FWOS:000384250600015","View Full Record in Web of Science")</f>
        <v>View Full Record in Web of Science</v>
      </c>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row>
    <row r="368" spans="1:314" s="2" customFormat="1" x14ac:dyDescent="0.4">
      <c r="A368" s="2" t="s">
        <v>72</v>
      </c>
      <c r="B368" s="2" t="s">
        <v>8591</v>
      </c>
      <c r="C368" s="2" t="s">
        <v>74</v>
      </c>
      <c r="D368" s="2" t="s">
        <v>74</v>
      </c>
      <c r="E368" s="2" t="s">
        <v>74</v>
      </c>
      <c r="F368" s="2" t="s">
        <v>8591</v>
      </c>
      <c r="G368" s="2" t="s">
        <v>74</v>
      </c>
      <c r="H368" s="2" t="s">
        <v>74</v>
      </c>
      <c r="I368" s="2" t="s">
        <v>8592</v>
      </c>
      <c r="J368" s="2" t="s">
        <v>8067</v>
      </c>
      <c r="K368" s="2" t="s">
        <v>74</v>
      </c>
      <c r="L368" s="2" t="s">
        <v>74</v>
      </c>
      <c r="M368" s="2" t="s">
        <v>74</v>
      </c>
      <c r="N368" s="2" t="s">
        <v>74</v>
      </c>
      <c r="O368" s="2" t="s">
        <v>74</v>
      </c>
      <c r="P368" s="2" t="s">
        <v>74</v>
      </c>
      <c r="Q368" s="2" t="s">
        <v>74</v>
      </c>
      <c r="R368" s="2" t="s">
        <v>74</v>
      </c>
      <c r="S368" s="2" t="s">
        <v>74</v>
      </c>
      <c r="T368" s="2" t="s">
        <v>74</v>
      </c>
      <c r="U368" s="2" t="s">
        <v>74</v>
      </c>
      <c r="V368" s="5" t="s">
        <v>8593</v>
      </c>
      <c r="W368" s="2" t="s">
        <v>74</v>
      </c>
      <c r="X368" s="2" t="s">
        <v>74</v>
      </c>
      <c r="Y368" s="2" t="s">
        <v>74</v>
      </c>
      <c r="Z368" s="2" t="s">
        <v>74</v>
      </c>
      <c r="AA368" s="2" t="s">
        <v>8594</v>
      </c>
      <c r="AB368" s="2" t="s">
        <v>8595</v>
      </c>
      <c r="AC368" s="2" t="s">
        <v>74</v>
      </c>
      <c r="AD368" s="2" t="s">
        <v>74</v>
      </c>
      <c r="AE368" s="2" t="s">
        <v>74</v>
      </c>
      <c r="AF368" s="2" t="s">
        <v>74</v>
      </c>
      <c r="AG368" s="2" t="s">
        <v>74</v>
      </c>
      <c r="AH368" s="2" t="s">
        <v>74</v>
      </c>
      <c r="AI368" s="2" t="s">
        <v>74</v>
      </c>
      <c r="AJ368" s="2" t="s">
        <v>74</v>
      </c>
      <c r="AK368" s="2" t="s">
        <v>74</v>
      </c>
      <c r="AL368" s="2" t="s">
        <v>74</v>
      </c>
      <c r="AM368" s="2" t="s">
        <v>74</v>
      </c>
      <c r="AN368" s="2" t="s">
        <v>74</v>
      </c>
      <c r="AO368" s="2" t="s">
        <v>8071</v>
      </c>
      <c r="AP368" s="2" t="s">
        <v>74</v>
      </c>
      <c r="AQ368" s="2" t="s">
        <v>74</v>
      </c>
      <c r="AR368" s="2" t="s">
        <v>74</v>
      </c>
      <c r="AS368" s="2" t="s">
        <v>74</v>
      </c>
      <c r="AT368" s="2" t="s">
        <v>305</v>
      </c>
      <c r="AU368" s="2">
        <v>1995</v>
      </c>
      <c r="AV368" s="2">
        <v>189</v>
      </c>
      <c r="AW368" s="2">
        <v>3</v>
      </c>
      <c r="AX368" s="2" t="s">
        <v>74</v>
      </c>
      <c r="AY368" s="2" t="s">
        <v>74</v>
      </c>
      <c r="AZ368" s="2" t="s">
        <v>74</v>
      </c>
      <c r="BA368" s="2" t="s">
        <v>74</v>
      </c>
      <c r="BB368" s="2">
        <v>288</v>
      </c>
      <c r="BC368" s="2">
        <v>297</v>
      </c>
      <c r="BD368" s="2" t="s">
        <v>74</v>
      </c>
      <c r="BE368" s="2" t="s">
        <v>8596</v>
      </c>
      <c r="BF368" s="2" t="str">
        <f>HYPERLINK("http://dx.doi.org/10.2307/1542146","http://dx.doi.org/10.2307/1542146")</f>
        <v>http://dx.doi.org/10.2307/1542146</v>
      </c>
      <c r="BG368" s="2" t="s">
        <v>74</v>
      </c>
      <c r="BH368" s="2" t="s">
        <v>74</v>
      </c>
      <c r="BI368" s="2" t="s">
        <v>74</v>
      </c>
      <c r="BJ368" s="2" t="s">
        <v>74</v>
      </c>
      <c r="BK368" s="2" t="s">
        <v>74</v>
      </c>
      <c r="BL368" s="2" t="s">
        <v>74</v>
      </c>
      <c r="BM368" s="2" t="s">
        <v>74</v>
      </c>
      <c r="BN368" s="2">
        <v>29244570</v>
      </c>
      <c r="BO368" s="2" t="s">
        <v>74</v>
      </c>
      <c r="BP368" s="2" t="s">
        <v>74</v>
      </c>
      <c r="BQ368" s="2" t="s">
        <v>74</v>
      </c>
      <c r="BR368" s="2" t="s">
        <v>74</v>
      </c>
      <c r="BS368" s="2" t="s">
        <v>8597</v>
      </c>
      <c r="BT368" s="2" t="str">
        <f>HYPERLINK("https%3A%2F%2Fwww.webofscience.com%2Fwos%2Fwoscc%2Ffull-record%2FWOS:A1995TL76800004","View Full Record in Web of Science")</f>
        <v>View Full Record in Web of Science</v>
      </c>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row>
    <row r="369" spans="1:314" s="2" customFormat="1" x14ac:dyDescent="0.4">
      <c r="A369" s="2" t="s">
        <v>72</v>
      </c>
      <c r="B369" s="2" t="s">
        <v>6529</v>
      </c>
      <c r="C369" s="2" t="s">
        <v>74</v>
      </c>
      <c r="D369" s="2" t="s">
        <v>74</v>
      </c>
      <c r="E369" s="2" t="s">
        <v>74</v>
      </c>
      <c r="F369" s="2" t="s">
        <v>6530</v>
      </c>
      <c r="G369" s="2" t="s">
        <v>74</v>
      </c>
      <c r="H369" s="2" t="s">
        <v>74</v>
      </c>
      <c r="I369" s="2" t="s">
        <v>6531</v>
      </c>
      <c r="J369" s="2" t="s">
        <v>1302</v>
      </c>
      <c r="K369" s="2" t="s">
        <v>74</v>
      </c>
      <c r="L369" s="2" t="s">
        <v>74</v>
      </c>
      <c r="M369" s="2" t="s">
        <v>74</v>
      </c>
      <c r="N369" s="2" t="s">
        <v>74</v>
      </c>
      <c r="O369" s="2" t="s">
        <v>74</v>
      </c>
      <c r="P369" s="2" t="s">
        <v>74</v>
      </c>
      <c r="Q369" s="2" t="s">
        <v>74</v>
      </c>
      <c r="R369" s="2" t="s">
        <v>74</v>
      </c>
      <c r="S369" s="2" t="s">
        <v>74</v>
      </c>
      <c r="T369" s="2" t="s">
        <v>74</v>
      </c>
      <c r="U369" s="2" t="s">
        <v>74</v>
      </c>
      <c r="V369" s="5" t="s">
        <v>6532</v>
      </c>
      <c r="W369" s="2" t="s">
        <v>74</v>
      </c>
      <c r="X369" s="2" t="s">
        <v>74</v>
      </c>
      <c r="Y369" s="2" t="s">
        <v>74</v>
      </c>
      <c r="Z369" s="2" t="s">
        <v>74</v>
      </c>
      <c r="AA369" s="2" t="s">
        <v>74</v>
      </c>
      <c r="AB369" s="2" t="s">
        <v>6533</v>
      </c>
      <c r="AC369" s="2" t="s">
        <v>74</v>
      </c>
      <c r="AD369" s="2" t="s">
        <v>74</v>
      </c>
      <c r="AE369" s="2" t="s">
        <v>74</v>
      </c>
      <c r="AF369" s="2" t="s">
        <v>74</v>
      </c>
      <c r="AG369" s="2" t="s">
        <v>74</v>
      </c>
      <c r="AH369" s="2" t="s">
        <v>74</v>
      </c>
      <c r="AI369" s="2" t="s">
        <v>74</v>
      </c>
      <c r="AJ369" s="2" t="s">
        <v>74</v>
      </c>
      <c r="AK369" s="2" t="s">
        <v>74</v>
      </c>
      <c r="AL369" s="2" t="s">
        <v>74</v>
      </c>
      <c r="AM369" s="2" t="s">
        <v>74</v>
      </c>
      <c r="AN369" s="2" t="s">
        <v>74</v>
      </c>
      <c r="AO369" s="2" t="s">
        <v>1306</v>
      </c>
      <c r="AP369" s="2" t="s">
        <v>74</v>
      </c>
      <c r="AQ369" s="2" t="s">
        <v>74</v>
      </c>
      <c r="AR369" s="2" t="s">
        <v>74</v>
      </c>
      <c r="AS369" s="2" t="s">
        <v>74</v>
      </c>
      <c r="AT369" s="2" t="s">
        <v>74</v>
      </c>
      <c r="AU369" s="2">
        <v>2022</v>
      </c>
      <c r="AV369" s="2">
        <v>20</v>
      </c>
      <c r="AW369" s="2">
        <v>4</v>
      </c>
      <c r="AX369" s="2" t="s">
        <v>74</v>
      </c>
      <c r="AY369" s="2" t="s">
        <v>74</v>
      </c>
      <c r="AZ369" s="2" t="s">
        <v>74</v>
      </c>
      <c r="BA369" s="2" t="s">
        <v>74</v>
      </c>
      <c r="BB369" s="2" t="s">
        <v>74</v>
      </c>
      <c r="BC369" s="2" t="s">
        <v>74</v>
      </c>
      <c r="BD369" s="2" t="s">
        <v>6534</v>
      </c>
      <c r="BE369" s="2" t="s">
        <v>6535</v>
      </c>
      <c r="BF369" s="2" t="str">
        <f>HYPERLINK("http://dx.doi.org/10.1590/1982-0224-2022-0067","http://dx.doi.org/10.1590/1982-0224-2022-0067")</f>
        <v>http://dx.doi.org/10.1590/1982-0224-2022-0067</v>
      </c>
      <c r="BG369" s="2" t="s">
        <v>74</v>
      </c>
      <c r="BH369" s="2" t="s">
        <v>74</v>
      </c>
      <c r="BI369" s="2" t="s">
        <v>74</v>
      </c>
      <c r="BJ369" s="2" t="s">
        <v>74</v>
      </c>
      <c r="BK369" s="2" t="s">
        <v>74</v>
      </c>
      <c r="BL369" s="2" t="s">
        <v>74</v>
      </c>
      <c r="BM369" s="2" t="s">
        <v>74</v>
      </c>
      <c r="BN369" s="2" t="s">
        <v>74</v>
      </c>
      <c r="BO369" s="2" t="s">
        <v>74</v>
      </c>
      <c r="BP369" s="2" t="s">
        <v>74</v>
      </c>
      <c r="BQ369" s="2" t="s">
        <v>74</v>
      </c>
      <c r="BR369" s="2" t="s">
        <v>74</v>
      </c>
      <c r="BS369" s="2" t="s">
        <v>6536</v>
      </c>
      <c r="BT369" s="2" t="str">
        <f>HYPERLINK("https%3A%2F%2Fwww.webofscience.com%2Fwos%2Fwoscc%2Ffull-record%2FWOS:000889065500001","View Full Record in Web of Science")</f>
        <v>View Full Record in Web of Science</v>
      </c>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row>
    <row r="370" spans="1:314" s="2" customFormat="1" x14ac:dyDescent="0.4">
      <c r="A370" s="2" t="s">
        <v>72</v>
      </c>
      <c r="B370" s="2" t="s">
        <v>5890</v>
      </c>
      <c r="C370" s="2" t="s">
        <v>74</v>
      </c>
      <c r="D370" s="2" t="s">
        <v>74</v>
      </c>
      <c r="E370" s="2" t="s">
        <v>74</v>
      </c>
      <c r="F370" s="2" t="s">
        <v>5890</v>
      </c>
      <c r="G370" s="2" t="s">
        <v>74</v>
      </c>
      <c r="H370" s="2" t="s">
        <v>74</v>
      </c>
      <c r="I370" s="2" t="s">
        <v>5891</v>
      </c>
      <c r="J370" s="2" t="s">
        <v>367</v>
      </c>
      <c r="K370" s="2" t="s">
        <v>74</v>
      </c>
      <c r="L370" s="2" t="s">
        <v>74</v>
      </c>
      <c r="M370" s="2" t="s">
        <v>74</v>
      </c>
      <c r="N370" s="2" t="s">
        <v>74</v>
      </c>
      <c r="O370" s="2" t="s">
        <v>74</v>
      </c>
      <c r="P370" s="2" t="s">
        <v>74</v>
      </c>
      <c r="Q370" s="2" t="s">
        <v>74</v>
      </c>
      <c r="R370" s="2" t="s">
        <v>74</v>
      </c>
      <c r="S370" s="2" t="s">
        <v>74</v>
      </c>
      <c r="T370" s="2" t="s">
        <v>74</v>
      </c>
      <c r="U370" s="2" t="s">
        <v>74</v>
      </c>
      <c r="V370" s="5" t="s">
        <v>5892</v>
      </c>
      <c r="W370" s="2" t="s">
        <v>74</v>
      </c>
      <c r="X370" s="2" t="s">
        <v>74</v>
      </c>
      <c r="Y370" s="2" t="s">
        <v>74</v>
      </c>
      <c r="Z370" s="2" t="s">
        <v>74</v>
      </c>
      <c r="AA370" s="2" t="s">
        <v>74</v>
      </c>
      <c r="AB370" s="2" t="s">
        <v>74</v>
      </c>
      <c r="AC370" s="2" t="s">
        <v>74</v>
      </c>
      <c r="AD370" s="2" t="s">
        <v>74</v>
      </c>
      <c r="AE370" s="2" t="s">
        <v>74</v>
      </c>
      <c r="AF370" s="2" t="s">
        <v>74</v>
      </c>
      <c r="AG370" s="2" t="s">
        <v>74</v>
      </c>
      <c r="AH370" s="2" t="s">
        <v>74</v>
      </c>
      <c r="AI370" s="2" t="s">
        <v>74</v>
      </c>
      <c r="AJ370" s="2" t="s">
        <v>74</v>
      </c>
      <c r="AK370" s="2" t="s">
        <v>74</v>
      </c>
      <c r="AL370" s="2" t="s">
        <v>74</v>
      </c>
      <c r="AM370" s="2" t="s">
        <v>74</v>
      </c>
      <c r="AN370" s="2" t="s">
        <v>74</v>
      </c>
      <c r="AO370" s="2" t="s">
        <v>371</v>
      </c>
      <c r="AP370" s="2" t="s">
        <v>74</v>
      </c>
      <c r="AQ370" s="2" t="s">
        <v>74</v>
      </c>
      <c r="AR370" s="2" t="s">
        <v>74</v>
      </c>
      <c r="AS370" s="2" t="s">
        <v>74</v>
      </c>
      <c r="AT370" s="2" t="s">
        <v>102</v>
      </c>
      <c r="AU370" s="2">
        <v>1998</v>
      </c>
      <c r="AV370" s="2">
        <v>112</v>
      </c>
      <c r="AW370" s="2">
        <v>2</v>
      </c>
      <c r="AX370" s="2" t="s">
        <v>74</v>
      </c>
      <c r="AY370" s="2" t="s">
        <v>74</v>
      </c>
      <c r="AZ370" s="2" t="s">
        <v>74</v>
      </c>
      <c r="BA370" s="2" t="s">
        <v>74</v>
      </c>
      <c r="BB370" s="2">
        <v>170</v>
      </c>
      <c r="BC370" s="2">
        <v>182</v>
      </c>
      <c r="BD370" s="2" t="s">
        <v>74</v>
      </c>
      <c r="BE370" s="2" t="s">
        <v>5893</v>
      </c>
      <c r="BF370" s="2" t="str">
        <f>HYPERLINK("http://dx.doi.org/10.1037/0735-7036.112.2.170","http://dx.doi.org/10.1037/0735-7036.112.2.170")</f>
        <v>http://dx.doi.org/10.1037/0735-7036.112.2.170</v>
      </c>
      <c r="BG370" s="2" t="s">
        <v>74</v>
      </c>
      <c r="BH370" s="2" t="s">
        <v>74</v>
      </c>
      <c r="BI370" s="2" t="s">
        <v>74</v>
      </c>
      <c r="BJ370" s="2" t="s">
        <v>74</v>
      </c>
      <c r="BK370" s="2" t="s">
        <v>74</v>
      </c>
      <c r="BL370" s="2" t="s">
        <v>74</v>
      </c>
      <c r="BM370" s="2" t="s">
        <v>74</v>
      </c>
      <c r="BN370" s="2">
        <v>9642786</v>
      </c>
      <c r="BO370" s="2" t="s">
        <v>74</v>
      </c>
      <c r="BP370" s="2" t="s">
        <v>74</v>
      </c>
      <c r="BQ370" s="2" t="s">
        <v>74</v>
      </c>
      <c r="BR370" s="2" t="s">
        <v>74</v>
      </c>
      <c r="BS370" s="2" t="s">
        <v>5894</v>
      </c>
      <c r="BT370" s="2" t="str">
        <f>HYPERLINK("https%3A%2F%2Fwww.webofscience.com%2Fwos%2Fwoscc%2Ffull-record%2FWOS:000074164800007","View Full Record in Web of Science")</f>
        <v>View Full Record in Web of Science</v>
      </c>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row>
    <row r="371" spans="1:314" s="7" customFormat="1" x14ac:dyDescent="0.4">
      <c r="A371" s="2" t="s">
        <v>72</v>
      </c>
      <c r="B371" s="2" t="s">
        <v>4463</v>
      </c>
      <c r="C371" s="2" t="s">
        <v>74</v>
      </c>
      <c r="D371" s="2" t="s">
        <v>74</v>
      </c>
      <c r="E371" s="2" t="s">
        <v>74</v>
      </c>
      <c r="F371" s="2" t="s">
        <v>4464</v>
      </c>
      <c r="G371" s="2" t="s">
        <v>74</v>
      </c>
      <c r="H371" s="2" t="s">
        <v>74</v>
      </c>
      <c r="I371" s="2" t="s">
        <v>4465</v>
      </c>
      <c r="J371" s="2" t="s">
        <v>129</v>
      </c>
      <c r="K371" s="2" t="s">
        <v>74</v>
      </c>
      <c r="L371" s="2" t="s">
        <v>74</v>
      </c>
      <c r="M371" s="2" t="s">
        <v>74</v>
      </c>
      <c r="N371" s="2" t="s">
        <v>74</v>
      </c>
      <c r="O371" s="2" t="s">
        <v>74</v>
      </c>
      <c r="P371" s="2" t="s">
        <v>74</v>
      </c>
      <c r="Q371" s="2" t="s">
        <v>74</v>
      </c>
      <c r="R371" s="2" t="s">
        <v>74</v>
      </c>
      <c r="S371" s="2" t="s">
        <v>74</v>
      </c>
      <c r="T371" s="2" t="s">
        <v>74</v>
      </c>
      <c r="U371" s="2" t="s">
        <v>74</v>
      </c>
      <c r="V371" s="5" t="s">
        <v>4466</v>
      </c>
      <c r="W371" s="2" t="s">
        <v>74</v>
      </c>
      <c r="X371" s="2" t="s">
        <v>74</v>
      </c>
      <c r="Y371" s="2" t="s">
        <v>74</v>
      </c>
      <c r="Z371" s="2" t="s">
        <v>74</v>
      </c>
      <c r="AA371" s="2" t="s">
        <v>4467</v>
      </c>
      <c r="AB371" s="2" t="s">
        <v>4468</v>
      </c>
      <c r="AC371" s="2" t="s">
        <v>74</v>
      </c>
      <c r="AD371" s="2" t="s">
        <v>74</v>
      </c>
      <c r="AE371" s="2" t="s">
        <v>74</v>
      </c>
      <c r="AF371" s="2" t="s">
        <v>74</v>
      </c>
      <c r="AG371" s="2" t="s">
        <v>74</v>
      </c>
      <c r="AH371" s="2" t="s">
        <v>74</v>
      </c>
      <c r="AI371" s="2" t="s">
        <v>74</v>
      </c>
      <c r="AJ371" s="2" t="s">
        <v>74</v>
      </c>
      <c r="AK371" s="2" t="s">
        <v>74</v>
      </c>
      <c r="AL371" s="2" t="s">
        <v>74</v>
      </c>
      <c r="AM371" s="2" t="s">
        <v>74</v>
      </c>
      <c r="AN371" s="2" t="s">
        <v>74</v>
      </c>
      <c r="AO371" s="2" t="s">
        <v>132</v>
      </c>
      <c r="AP371" s="2" t="s">
        <v>133</v>
      </c>
      <c r="AQ371" s="2" t="s">
        <v>74</v>
      </c>
      <c r="AR371" s="2" t="s">
        <v>74</v>
      </c>
      <c r="AS371" s="2" t="s">
        <v>74</v>
      </c>
      <c r="AT371" s="2" t="s">
        <v>145</v>
      </c>
      <c r="AU371" s="2">
        <v>2015</v>
      </c>
      <c r="AV371" s="2">
        <v>69</v>
      </c>
      <c r="AW371" s="2">
        <v>8</v>
      </c>
      <c r="AX371" s="2" t="s">
        <v>74</v>
      </c>
      <c r="AY371" s="2" t="s">
        <v>74</v>
      </c>
      <c r="AZ371" s="2" t="s">
        <v>74</v>
      </c>
      <c r="BA371" s="2" t="s">
        <v>74</v>
      </c>
      <c r="BB371" s="2">
        <v>1251</v>
      </c>
      <c r="BC371" s="2">
        <v>1264</v>
      </c>
      <c r="BD371" s="2" t="s">
        <v>74</v>
      </c>
      <c r="BE371" s="2" t="s">
        <v>4469</v>
      </c>
      <c r="BF371" s="2" t="str">
        <f>HYPERLINK("http://dx.doi.org/10.1007/s00265-015-1938-5","http://dx.doi.org/10.1007/s00265-015-1938-5")</f>
        <v>http://dx.doi.org/10.1007/s00265-015-1938-5</v>
      </c>
      <c r="BG371" s="2" t="s">
        <v>74</v>
      </c>
      <c r="BH371" s="2" t="s">
        <v>74</v>
      </c>
      <c r="BI371" s="2" t="s">
        <v>74</v>
      </c>
      <c r="BJ371" s="2" t="s">
        <v>74</v>
      </c>
      <c r="BK371" s="2" t="s">
        <v>74</v>
      </c>
      <c r="BL371" s="2" t="s">
        <v>74</v>
      </c>
      <c r="BM371" s="2" t="s">
        <v>74</v>
      </c>
      <c r="BN371" s="2" t="s">
        <v>74</v>
      </c>
      <c r="BO371" s="2" t="s">
        <v>74</v>
      </c>
      <c r="BP371" s="2" t="s">
        <v>74</v>
      </c>
      <c r="BQ371" s="2" t="s">
        <v>74</v>
      </c>
      <c r="BR371" s="2" t="s">
        <v>74</v>
      </c>
      <c r="BS371" s="2" t="s">
        <v>4470</v>
      </c>
      <c r="BT371" s="2" t="str">
        <f>HYPERLINK("https%3A%2F%2Fwww.webofscience.com%2Fwos%2Fwoscc%2Ffull-record%2FWOS:000358734700002","View Full Record in Web of Science")</f>
        <v>View Full Record in Web of Science</v>
      </c>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row>
    <row r="372" spans="1:314" s="2" customFormat="1" x14ac:dyDescent="0.4">
      <c r="A372" s="2" t="s">
        <v>72</v>
      </c>
      <c r="B372" s="2" t="s">
        <v>3929</v>
      </c>
      <c r="C372" s="2" t="s">
        <v>74</v>
      </c>
      <c r="D372" s="2" t="s">
        <v>74</v>
      </c>
      <c r="E372" s="2" t="s">
        <v>74</v>
      </c>
      <c r="F372" s="2" t="s">
        <v>3930</v>
      </c>
      <c r="G372" s="2" t="s">
        <v>74</v>
      </c>
      <c r="H372" s="2" t="s">
        <v>74</v>
      </c>
      <c r="I372" s="2" t="s">
        <v>3931</v>
      </c>
      <c r="J372" s="2" t="s">
        <v>763</v>
      </c>
      <c r="K372" s="2" t="s">
        <v>74</v>
      </c>
      <c r="L372" s="2" t="s">
        <v>74</v>
      </c>
      <c r="M372" s="2" t="s">
        <v>74</v>
      </c>
      <c r="N372" s="2" t="s">
        <v>74</v>
      </c>
      <c r="O372" s="2" t="s">
        <v>74</v>
      </c>
      <c r="P372" s="2" t="s">
        <v>74</v>
      </c>
      <c r="Q372" s="2" t="s">
        <v>74</v>
      </c>
      <c r="R372" s="2" t="s">
        <v>74</v>
      </c>
      <c r="S372" s="2" t="s">
        <v>74</v>
      </c>
      <c r="T372" s="2" t="s">
        <v>74</v>
      </c>
      <c r="U372" s="2" t="s">
        <v>74</v>
      </c>
      <c r="V372" s="5" t="s">
        <v>3932</v>
      </c>
      <c r="W372" s="2" t="s">
        <v>74</v>
      </c>
      <c r="X372" s="2" t="s">
        <v>74</v>
      </c>
      <c r="Y372" s="2" t="s">
        <v>74</v>
      </c>
      <c r="Z372" s="2" t="s">
        <v>74</v>
      </c>
      <c r="AA372" s="2" t="s">
        <v>3933</v>
      </c>
      <c r="AB372" s="2" t="s">
        <v>3934</v>
      </c>
      <c r="AC372" s="2" t="s">
        <v>74</v>
      </c>
      <c r="AD372" s="2" t="s">
        <v>74</v>
      </c>
      <c r="AE372" s="2" t="s">
        <v>74</v>
      </c>
      <c r="AF372" s="2" t="s">
        <v>74</v>
      </c>
      <c r="AG372" s="2" t="s">
        <v>74</v>
      </c>
      <c r="AH372" s="2" t="s">
        <v>74</v>
      </c>
      <c r="AI372" s="2" t="s">
        <v>74</v>
      </c>
      <c r="AJ372" s="2" t="s">
        <v>74</v>
      </c>
      <c r="AK372" s="2" t="s">
        <v>74</v>
      </c>
      <c r="AL372" s="2" t="s">
        <v>74</v>
      </c>
      <c r="AM372" s="2" t="s">
        <v>74</v>
      </c>
      <c r="AN372" s="2" t="s">
        <v>74</v>
      </c>
      <c r="AO372" s="2" t="s">
        <v>767</v>
      </c>
      <c r="AP372" s="2" t="s">
        <v>768</v>
      </c>
      <c r="AQ372" s="2" t="s">
        <v>74</v>
      </c>
      <c r="AR372" s="2" t="s">
        <v>74</v>
      </c>
      <c r="AS372" s="2" t="s">
        <v>74</v>
      </c>
      <c r="AT372" s="2" t="s">
        <v>134</v>
      </c>
      <c r="AU372" s="2">
        <v>2022</v>
      </c>
      <c r="AV372" s="2">
        <v>225</v>
      </c>
      <c r="AW372" s="2">
        <v>10</v>
      </c>
      <c r="AX372" s="2" t="s">
        <v>74</v>
      </c>
      <c r="AY372" s="2" t="s">
        <v>74</v>
      </c>
      <c r="AZ372" s="2" t="s">
        <v>74</v>
      </c>
      <c r="BA372" s="2" t="s">
        <v>74</v>
      </c>
      <c r="BB372" s="2" t="s">
        <v>74</v>
      </c>
      <c r="BC372" s="2" t="s">
        <v>74</v>
      </c>
      <c r="BD372" s="2" t="s">
        <v>3935</v>
      </c>
      <c r="BE372" s="2" t="s">
        <v>3936</v>
      </c>
      <c r="BF372" s="2" t="str">
        <f>HYPERLINK("http://dx.doi.org/10.1242/jeb.242955","http://dx.doi.org/10.1242/jeb.242955")</f>
        <v>http://dx.doi.org/10.1242/jeb.242955</v>
      </c>
      <c r="BG372" s="2" t="s">
        <v>74</v>
      </c>
      <c r="BH372" s="2" t="s">
        <v>74</v>
      </c>
      <c r="BI372" s="2" t="s">
        <v>74</v>
      </c>
      <c r="BJ372" s="2" t="s">
        <v>74</v>
      </c>
      <c r="BK372" s="2" t="s">
        <v>74</v>
      </c>
      <c r="BL372" s="2" t="s">
        <v>74</v>
      </c>
      <c r="BM372" s="2" t="s">
        <v>74</v>
      </c>
      <c r="BN372" s="2">
        <v>35514228</v>
      </c>
      <c r="BO372" s="2" t="s">
        <v>74</v>
      </c>
      <c r="BP372" s="2" t="s">
        <v>74</v>
      </c>
      <c r="BQ372" s="2" t="s">
        <v>74</v>
      </c>
      <c r="BR372" s="2" t="s">
        <v>74</v>
      </c>
      <c r="BS372" s="2" t="s">
        <v>3937</v>
      </c>
      <c r="BT372" s="2" t="str">
        <f>HYPERLINK("https%3A%2F%2Fwww.webofscience.com%2Fwos%2Fwoscc%2Ffull-record%2FWOS:000806042900004","View Full Record in Web of Science")</f>
        <v>View Full Record in Web of Science</v>
      </c>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row>
    <row r="373" spans="1:314" s="2" customFormat="1" x14ac:dyDescent="0.4">
      <c r="A373" s="2" t="s">
        <v>72</v>
      </c>
      <c r="B373" s="2" t="s">
        <v>3304</v>
      </c>
      <c r="C373" s="2" t="s">
        <v>74</v>
      </c>
      <c r="D373" s="2" t="s">
        <v>74</v>
      </c>
      <c r="E373" s="2" t="s">
        <v>74</v>
      </c>
      <c r="F373" s="2" t="s">
        <v>3305</v>
      </c>
      <c r="G373" s="2" t="s">
        <v>74</v>
      </c>
      <c r="H373" s="2" t="s">
        <v>74</v>
      </c>
      <c r="I373" s="2" t="s">
        <v>3306</v>
      </c>
      <c r="J373" s="2" t="s">
        <v>218</v>
      </c>
      <c r="K373" s="2" t="s">
        <v>74</v>
      </c>
      <c r="L373" s="2" t="s">
        <v>74</v>
      </c>
      <c r="M373" s="2" t="s">
        <v>74</v>
      </c>
      <c r="N373" s="2" t="s">
        <v>74</v>
      </c>
      <c r="O373" s="2" t="s">
        <v>74</v>
      </c>
      <c r="P373" s="2" t="s">
        <v>74</v>
      </c>
      <c r="Q373" s="2" t="s">
        <v>74</v>
      </c>
      <c r="R373" s="2" t="s">
        <v>74</v>
      </c>
      <c r="S373" s="2" t="s">
        <v>74</v>
      </c>
      <c r="T373" s="2" t="s">
        <v>74</v>
      </c>
      <c r="U373" s="2" t="s">
        <v>74</v>
      </c>
      <c r="V373" s="5" t="s">
        <v>3307</v>
      </c>
      <c r="W373" s="2" t="s">
        <v>74</v>
      </c>
      <c r="X373" s="2" t="s">
        <v>74</v>
      </c>
      <c r="Y373" s="2" t="s">
        <v>74</v>
      </c>
      <c r="Z373" s="2" t="s">
        <v>74</v>
      </c>
      <c r="AA373" s="2" t="s">
        <v>623</v>
      </c>
      <c r="AB373" s="2" t="s">
        <v>1336</v>
      </c>
      <c r="AC373" s="2" t="s">
        <v>74</v>
      </c>
      <c r="AD373" s="2" t="s">
        <v>74</v>
      </c>
      <c r="AE373" s="2" t="s">
        <v>74</v>
      </c>
      <c r="AF373" s="2" t="s">
        <v>74</v>
      </c>
      <c r="AG373" s="2" t="s">
        <v>74</v>
      </c>
      <c r="AH373" s="2" t="s">
        <v>74</v>
      </c>
      <c r="AI373" s="2" t="s">
        <v>74</v>
      </c>
      <c r="AJ373" s="2" t="s">
        <v>74</v>
      </c>
      <c r="AK373" s="2" t="s">
        <v>74</v>
      </c>
      <c r="AL373" s="2" t="s">
        <v>74</v>
      </c>
      <c r="AM373" s="2" t="s">
        <v>74</v>
      </c>
      <c r="AN373" s="2" t="s">
        <v>74</v>
      </c>
      <c r="AO373" s="2" t="s">
        <v>221</v>
      </c>
      <c r="AP373" s="2" t="s">
        <v>222</v>
      </c>
      <c r="AQ373" s="2" t="s">
        <v>74</v>
      </c>
      <c r="AR373" s="2" t="s">
        <v>74</v>
      </c>
      <c r="AS373" s="2" t="s">
        <v>74</v>
      </c>
      <c r="AT373" s="2" t="s">
        <v>145</v>
      </c>
      <c r="AU373" s="2">
        <v>2015</v>
      </c>
      <c r="AV373" s="2">
        <v>28</v>
      </c>
      <c r="AW373" s="2">
        <v>8</v>
      </c>
      <c r="AX373" s="2" t="s">
        <v>74</v>
      </c>
      <c r="AY373" s="2" t="s">
        <v>74</v>
      </c>
      <c r="AZ373" s="2" t="s">
        <v>74</v>
      </c>
      <c r="BA373" s="2" t="s">
        <v>74</v>
      </c>
      <c r="BB373" s="2">
        <v>1439</v>
      </c>
      <c r="BC373" s="2">
        <v>1452</v>
      </c>
      <c r="BD373" s="2" t="s">
        <v>74</v>
      </c>
      <c r="BE373" s="2" t="s">
        <v>3308</v>
      </c>
      <c r="BF373" s="2" t="str">
        <f>HYPERLINK("http://dx.doi.org/10.1111/jeb.12665","http://dx.doi.org/10.1111/jeb.12665")</f>
        <v>http://dx.doi.org/10.1111/jeb.12665</v>
      </c>
      <c r="BG373" s="2" t="s">
        <v>74</v>
      </c>
      <c r="BH373" s="2" t="s">
        <v>74</v>
      </c>
      <c r="BI373" s="2" t="s">
        <v>74</v>
      </c>
      <c r="BJ373" s="2" t="s">
        <v>74</v>
      </c>
      <c r="BK373" s="2" t="s">
        <v>74</v>
      </c>
      <c r="BL373" s="2" t="s">
        <v>74</v>
      </c>
      <c r="BM373" s="2" t="s">
        <v>74</v>
      </c>
      <c r="BN373" s="2">
        <v>26033550</v>
      </c>
      <c r="BO373" s="2" t="s">
        <v>74</v>
      </c>
      <c r="BP373" s="2" t="s">
        <v>74</v>
      </c>
      <c r="BQ373" s="2" t="s">
        <v>74</v>
      </c>
      <c r="BR373" s="2" t="s">
        <v>74</v>
      </c>
      <c r="BS373" s="2" t="s">
        <v>3309</v>
      </c>
      <c r="BT373" s="2" t="str">
        <f>HYPERLINK("https%3A%2F%2Fwww.webofscience.com%2Fwos%2Fwoscc%2Ffull-record%2FWOS:000359606200002","View Full Record in Web of Science")</f>
        <v>View Full Record in Web of Science</v>
      </c>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row>
    <row r="374" spans="1:314" s="2" customFormat="1" x14ac:dyDescent="0.4">
      <c r="A374" s="2" t="s">
        <v>72</v>
      </c>
      <c r="B374" s="2" t="s">
        <v>1332</v>
      </c>
      <c r="C374" s="2" t="s">
        <v>74</v>
      </c>
      <c r="D374" s="2" t="s">
        <v>74</v>
      </c>
      <c r="E374" s="2" t="s">
        <v>74</v>
      </c>
      <c r="F374" s="2" t="s">
        <v>1333</v>
      </c>
      <c r="G374" s="2" t="s">
        <v>74</v>
      </c>
      <c r="H374" s="2" t="s">
        <v>74</v>
      </c>
      <c r="I374" s="2" t="s">
        <v>1334</v>
      </c>
      <c r="J374" s="2" t="s">
        <v>108</v>
      </c>
      <c r="K374" s="2" t="s">
        <v>74</v>
      </c>
      <c r="L374" s="2" t="s">
        <v>74</v>
      </c>
      <c r="M374" s="2" t="s">
        <v>74</v>
      </c>
      <c r="N374" s="2" t="s">
        <v>74</v>
      </c>
      <c r="O374" s="2" t="s">
        <v>74</v>
      </c>
      <c r="P374" s="2" t="s">
        <v>74</v>
      </c>
      <c r="Q374" s="2" t="s">
        <v>74</v>
      </c>
      <c r="R374" s="2" t="s">
        <v>74</v>
      </c>
      <c r="S374" s="2" t="s">
        <v>74</v>
      </c>
      <c r="T374" s="2" t="s">
        <v>74</v>
      </c>
      <c r="U374" s="2" t="s">
        <v>74</v>
      </c>
      <c r="V374" s="5" t="s">
        <v>1335</v>
      </c>
      <c r="W374" s="2" t="s">
        <v>74</v>
      </c>
      <c r="X374" s="2" t="s">
        <v>74</v>
      </c>
      <c r="Y374" s="2" t="s">
        <v>74</v>
      </c>
      <c r="Z374" s="2" t="s">
        <v>74</v>
      </c>
      <c r="AA374" s="2" t="s">
        <v>623</v>
      </c>
      <c r="AB374" s="2" t="s">
        <v>1336</v>
      </c>
      <c r="AC374" s="2" t="s">
        <v>74</v>
      </c>
      <c r="AD374" s="2" t="s">
        <v>74</v>
      </c>
      <c r="AE374" s="2" t="s">
        <v>74</v>
      </c>
      <c r="AF374" s="2" t="s">
        <v>74</v>
      </c>
      <c r="AG374" s="2" t="s">
        <v>74</v>
      </c>
      <c r="AH374" s="2" t="s">
        <v>74</v>
      </c>
      <c r="AI374" s="2" t="s">
        <v>74</v>
      </c>
      <c r="AJ374" s="2" t="s">
        <v>74</v>
      </c>
      <c r="AK374" s="2" t="s">
        <v>74</v>
      </c>
      <c r="AL374" s="2" t="s">
        <v>74</v>
      </c>
      <c r="AM374" s="2" t="s">
        <v>74</v>
      </c>
      <c r="AN374" s="2" t="s">
        <v>74</v>
      </c>
      <c r="AO374" s="2" t="s">
        <v>111</v>
      </c>
      <c r="AP374" s="2" t="s">
        <v>112</v>
      </c>
      <c r="AQ374" s="2" t="s">
        <v>74</v>
      </c>
      <c r="AR374" s="2" t="s">
        <v>74</v>
      </c>
      <c r="AS374" s="2" t="s">
        <v>74</v>
      </c>
      <c r="AT374" s="2" t="s">
        <v>939</v>
      </c>
      <c r="AU374" s="2">
        <v>2014</v>
      </c>
      <c r="AV374" s="2">
        <v>281</v>
      </c>
      <c r="AW374" s="2">
        <v>1796</v>
      </c>
      <c r="AX374" s="2" t="s">
        <v>74</v>
      </c>
      <c r="AY374" s="2" t="s">
        <v>74</v>
      </c>
      <c r="AZ374" s="2" t="s">
        <v>74</v>
      </c>
      <c r="BA374" s="2" t="s">
        <v>74</v>
      </c>
      <c r="BB374" s="2" t="s">
        <v>74</v>
      </c>
      <c r="BC374" s="2" t="s">
        <v>74</v>
      </c>
      <c r="BD374" s="2">
        <v>20141737</v>
      </c>
      <c r="BE374" s="2" t="s">
        <v>1337</v>
      </c>
      <c r="BF374" s="2" t="str">
        <f>HYPERLINK("http://dx.doi.org/10.1098/rspb.2014.1737","http://dx.doi.org/10.1098/rspb.2014.1737")</f>
        <v>http://dx.doi.org/10.1098/rspb.2014.1737</v>
      </c>
      <c r="BG374" s="2" t="s">
        <v>74</v>
      </c>
      <c r="BH374" s="2" t="s">
        <v>74</v>
      </c>
      <c r="BI374" s="2" t="s">
        <v>74</v>
      </c>
      <c r="BJ374" s="2" t="s">
        <v>74</v>
      </c>
      <c r="BK374" s="2" t="s">
        <v>74</v>
      </c>
      <c r="BL374" s="2" t="s">
        <v>74</v>
      </c>
      <c r="BM374" s="2" t="s">
        <v>74</v>
      </c>
      <c r="BN374" s="2">
        <v>25339724</v>
      </c>
      <c r="BO374" s="2" t="s">
        <v>74</v>
      </c>
      <c r="BP374" s="2" t="s">
        <v>74</v>
      </c>
      <c r="BQ374" s="2" t="s">
        <v>74</v>
      </c>
      <c r="BR374" s="2" t="s">
        <v>74</v>
      </c>
      <c r="BS374" s="2" t="s">
        <v>1338</v>
      </c>
      <c r="BT374" s="2" t="str">
        <f>HYPERLINK("https%3A%2F%2Fwww.webofscience.com%2Fwos%2Fwoscc%2Ffull-record%2FWOS:000343674500017","View Full Record in Web of Science")</f>
        <v>View Full Record in Web of Science</v>
      </c>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row>
    <row r="375" spans="1:314" s="2" customFormat="1" x14ac:dyDescent="0.4">
      <c r="A375" s="2" t="s">
        <v>72</v>
      </c>
      <c r="B375" s="2" t="s">
        <v>1979</v>
      </c>
      <c r="C375" s="2" t="s">
        <v>74</v>
      </c>
      <c r="D375" s="2" t="s">
        <v>74</v>
      </c>
      <c r="E375" s="2" t="s">
        <v>74</v>
      </c>
      <c r="F375" s="2" t="s">
        <v>1979</v>
      </c>
      <c r="G375" s="2" t="s">
        <v>74</v>
      </c>
      <c r="H375" s="2" t="s">
        <v>74</v>
      </c>
      <c r="I375" s="2" t="s">
        <v>1980</v>
      </c>
      <c r="J375" s="2" t="s">
        <v>1981</v>
      </c>
      <c r="K375" s="2" t="s">
        <v>74</v>
      </c>
      <c r="L375" s="2" t="s">
        <v>74</v>
      </c>
      <c r="M375" s="2" t="s">
        <v>74</v>
      </c>
      <c r="N375" s="2" t="s">
        <v>74</v>
      </c>
      <c r="O375" s="2" t="s">
        <v>74</v>
      </c>
      <c r="P375" s="2" t="s">
        <v>74</v>
      </c>
      <c r="Q375" s="2" t="s">
        <v>74</v>
      </c>
      <c r="R375" s="2" t="s">
        <v>74</v>
      </c>
      <c r="S375" s="2" t="s">
        <v>74</v>
      </c>
      <c r="T375" s="2" t="s">
        <v>74</v>
      </c>
      <c r="U375" s="2" t="s">
        <v>74</v>
      </c>
      <c r="V375" s="5" t="s">
        <v>1982</v>
      </c>
      <c r="W375" s="2" t="s">
        <v>74</v>
      </c>
      <c r="X375" s="2" t="s">
        <v>74</v>
      </c>
      <c r="Y375" s="2" t="s">
        <v>74</v>
      </c>
      <c r="Z375" s="2" t="s">
        <v>74</v>
      </c>
      <c r="AA375" s="2" t="s">
        <v>74</v>
      </c>
      <c r="AB375" s="2" t="s">
        <v>74</v>
      </c>
      <c r="AC375" s="2" t="s">
        <v>74</v>
      </c>
      <c r="AD375" s="2" t="s">
        <v>74</v>
      </c>
      <c r="AE375" s="2" t="s">
        <v>74</v>
      </c>
      <c r="AF375" s="2" t="s">
        <v>74</v>
      </c>
      <c r="AG375" s="2" t="s">
        <v>74</v>
      </c>
      <c r="AH375" s="2" t="s">
        <v>74</v>
      </c>
      <c r="AI375" s="2" t="s">
        <v>74</v>
      </c>
      <c r="AJ375" s="2" t="s">
        <v>74</v>
      </c>
      <c r="AK375" s="2" t="s">
        <v>74</v>
      </c>
      <c r="AL375" s="2" t="s">
        <v>74</v>
      </c>
      <c r="AM375" s="2" t="s">
        <v>74</v>
      </c>
      <c r="AN375" s="2" t="s">
        <v>74</v>
      </c>
      <c r="AO375" s="2" t="s">
        <v>1983</v>
      </c>
      <c r="AP375" s="2" t="s">
        <v>74</v>
      </c>
      <c r="AQ375" s="2" t="s">
        <v>74</v>
      </c>
      <c r="AR375" s="2" t="s">
        <v>74</v>
      </c>
      <c r="AS375" s="2" t="s">
        <v>74</v>
      </c>
      <c r="AT375" s="2" t="s">
        <v>102</v>
      </c>
      <c r="AU375" s="2">
        <v>1991</v>
      </c>
      <c r="AV375" s="2">
        <v>29</v>
      </c>
      <c r="AW375" s="2">
        <v>2</v>
      </c>
      <c r="AX375" s="2" t="s">
        <v>74</v>
      </c>
      <c r="AY375" s="2" t="s">
        <v>74</v>
      </c>
      <c r="AZ375" s="2" t="s">
        <v>74</v>
      </c>
      <c r="BA375" s="2" t="s">
        <v>74</v>
      </c>
      <c r="BB375" s="2">
        <v>123</v>
      </c>
      <c r="BC375" s="2">
        <v>138</v>
      </c>
      <c r="BD375" s="2" t="s">
        <v>74</v>
      </c>
      <c r="BE375" s="2" t="s">
        <v>74</v>
      </c>
      <c r="BF375" s="2" t="s">
        <v>74</v>
      </c>
      <c r="BG375" s="2" t="s">
        <v>74</v>
      </c>
      <c r="BH375" s="2" t="s">
        <v>74</v>
      </c>
      <c r="BI375" s="2" t="s">
        <v>74</v>
      </c>
      <c r="BJ375" s="2" t="s">
        <v>74</v>
      </c>
      <c r="BK375" s="2" t="s">
        <v>74</v>
      </c>
      <c r="BL375" s="2" t="s">
        <v>74</v>
      </c>
      <c r="BM375" s="2" t="s">
        <v>74</v>
      </c>
      <c r="BN375" s="2" t="s">
        <v>74</v>
      </c>
      <c r="BO375" s="2" t="s">
        <v>74</v>
      </c>
      <c r="BP375" s="2" t="s">
        <v>74</v>
      </c>
      <c r="BQ375" s="2" t="s">
        <v>74</v>
      </c>
      <c r="BR375" s="2" t="s">
        <v>74</v>
      </c>
      <c r="BS375" s="2" t="s">
        <v>1984</v>
      </c>
      <c r="BT375" s="2" t="str">
        <f>HYPERLINK("https%3A%2F%2Fwww.webofscience.com%2Fwos%2Fwoscc%2Ffull-record%2FWOS:A1991FW08800006","View Full Record in Web of Science")</f>
        <v>View Full Record in Web of Science</v>
      </c>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row>
    <row r="376" spans="1:314" s="2" customFormat="1" x14ac:dyDescent="0.4">
      <c r="A376" s="2" t="s">
        <v>72</v>
      </c>
      <c r="B376" s="2" t="s">
        <v>7477</v>
      </c>
      <c r="C376" s="2" t="s">
        <v>74</v>
      </c>
      <c r="D376" s="2" t="s">
        <v>74</v>
      </c>
      <c r="E376" s="2" t="s">
        <v>74</v>
      </c>
      <c r="F376" s="2" t="s">
        <v>7477</v>
      </c>
      <c r="G376" s="2" t="s">
        <v>74</v>
      </c>
      <c r="H376" s="2" t="s">
        <v>74</v>
      </c>
      <c r="I376" s="2" t="s">
        <v>7478</v>
      </c>
      <c r="J376" s="2" t="s">
        <v>408</v>
      </c>
      <c r="K376" s="2" t="s">
        <v>74</v>
      </c>
      <c r="L376" s="2" t="s">
        <v>74</v>
      </c>
      <c r="M376" s="2" t="s">
        <v>74</v>
      </c>
      <c r="N376" s="2" t="s">
        <v>74</v>
      </c>
      <c r="O376" s="2" t="s">
        <v>74</v>
      </c>
      <c r="P376" s="2" t="s">
        <v>74</v>
      </c>
      <c r="Q376" s="2" t="s">
        <v>74</v>
      </c>
      <c r="R376" s="2" t="s">
        <v>74</v>
      </c>
      <c r="S376" s="2" t="s">
        <v>74</v>
      </c>
      <c r="T376" s="2" t="s">
        <v>74</v>
      </c>
      <c r="U376" s="2" t="s">
        <v>74</v>
      </c>
      <c r="V376" s="5" t="s">
        <v>7479</v>
      </c>
      <c r="W376" s="2" t="s">
        <v>74</v>
      </c>
      <c r="X376" s="2" t="s">
        <v>74</v>
      </c>
      <c r="Y376" s="2" t="s">
        <v>74</v>
      </c>
      <c r="Z376" s="2" t="s">
        <v>74</v>
      </c>
      <c r="AA376" s="2" t="s">
        <v>7480</v>
      </c>
      <c r="AB376" s="2" t="s">
        <v>7481</v>
      </c>
      <c r="AC376" s="2" t="s">
        <v>74</v>
      </c>
      <c r="AD376" s="2" t="s">
        <v>74</v>
      </c>
      <c r="AE376" s="2" t="s">
        <v>74</v>
      </c>
      <c r="AF376" s="2" t="s">
        <v>74</v>
      </c>
      <c r="AG376" s="2" t="s">
        <v>74</v>
      </c>
      <c r="AH376" s="2" t="s">
        <v>74</v>
      </c>
      <c r="AI376" s="2" t="s">
        <v>74</v>
      </c>
      <c r="AJ376" s="2" t="s">
        <v>74</v>
      </c>
      <c r="AK376" s="2" t="s">
        <v>74</v>
      </c>
      <c r="AL376" s="2" t="s">
        <v>74</v>
      </c>
      <c r="AM376" s="2" t="s">
        <v>74</v>
      </c>
      <c r="AN376" s="2" t="s">
        <v>74</v>
      </c>
      <c r="AO376" s="2" t="s">
        <v>412</v>
      </c>
      <c r="AP376" s="2" t="s">
        <v>74</v>
      </c>
      <c r="AQ376" s="2" t="s">
        <v>74</v>
      </c>
      <c r="AR376" s="2" t="s">
        <v>74</v>
      </c>
      <c r="AS376" s="2" t="s">
        <v>74</v>
      </c>
      <c r="AT376" s="2" t="s">
        <v>204</v>
      </c>
      <c r="AU376" s="2">
        <v>1996</v>
      </c>
      <c r="AV376" s="2">
        <v>58</v>
      </c>
      <c r="AW376" s="2">
        <v>3</v>
      </c>
      <c r="AX376" s="2" t="s">
        <v>74</v>
      </c>
      <c r="AY376" s="2" t="s">
        <v>74</v>
      </c>
      <c r="AZ376" s="2" t="s">
        <v>74</v>
      </c>
      <c r="BA376" s="2" t="s">
        <v>74</v>
      </c>
      <c r="BB376" s="2">
        <v>307</v>
      </c>
      <c r="BC376" s="2">
        <v>324</v>
      </c>
      <c r="BD376" s="2" t="s">
        <v>74</v>
      </c>
      <c r="BE376" s="2" t="s">
        <v>7482</v>
      </c>
      <c r="BF376" s="2" t="str">
        <f>HYPERLINK("http://dx.doi.org/10.1111/j.1095-8312.1996.tb01437.x","http://dx.doi.org/10.1111/j.1095-8312.1996.tb01437.x")</f>
        <v>http://dx.doi.org/10.1111/j.1095-8312.1996.tb01437.x</v>
      </c>
      <c r="BG376" s="2" t="s">
        <v>74</v>
      </c>
      <c r="BH376" s="2" t="s">
        <v>74</v>
      </c>
      <c r="BI376" s="2" t="s">
        <v>74</v>
      </c>
      <c r="BJ376" s="2" t="s">
        <v>74</v>
      </c>
      <c r="BK376" s="2" t="s">
        <v>74</v>
      </c>
      <c r="BL376" s="2" t="s">
        <v>74</v>
      </c>
      <c r="BM376" s="2" t="s">
        <v>74</v>
      </c>
      <c r="BN376" s="2" t="s">
        <v>74</v>
      </c>
      <c r="BO376" s="2" t="s">
        <v>74</v>
      </c>
      <c r="BP376" s="2" t="s">
        <v>74</v>
      </c>
      <c r="BQ376" s="2" t="s">
        <v>74</v>
      </c>
      <c r="BR376" s="2" t="s">
        <v>74</v>
      </c>
      <c r="BS376" s="2" t="s">
        <v>7483</v>
      </c>
      <c r="BT376" s="2" t="str">
        <f>HYPERLINK("https%3A%2F%2Fwww.webofscience.com%2Fwos%2Fwoscc%2Ffull-record%2FWOS:A1996UY83000004","View Full Record in Web of Science")</f>
        <v>View Full Record in Web of Science</v>
      </c>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row>
    <row r="377" spans="1:314" s="2" customFormat="1" x14ac:dyDescent="0.4">
      <c r="A377" s="2" t="s">
        <v>72</v>
      </c>
      <c r="B377" s="2" t="s">
        <v>6091</v>
      </c>
      <c r="C377" s="2" t="s">
        <v>74</v>
      </c>
      <c r="D377" s="2" t="s">
        <v>74</v>
      </c>
      <c r="E377" s="2" t="s">
        <v>74</v>
      </c>
      <c r="F377" s="2" t="s">
        <v>6092</v>
      </c>
      <c r="G377" s="2" t="s">
        <v>74</v>
      </c>
      <c r="H377" s="2" t="s">
        <v>74</v>
      </c>
      <c r="I377" s="2" t="s">
        <v>6093</v>
      </c>
      <c r="J377" s="2" t="s">
        <v>4064</v>
      </c>
      <c r="K377" s="2" t="s">
        <v>74</v>
      </c>
      <c r="L377" s="2" t="s">
        <v>74</v>
      </c>
      <c r="M377" s="2" t="s">
        <v>74</v>
      </c>
      <c r="N377" s="2" t="s">
        <v>74</v>
      </c>
      <c r="O377" s="2" t="s">
        <v>74</v>
      </c>
      <c r="P377" s="2" t="s">
        <v>74</v>
      </c>
      <c r="Q377" s="2" t="s">
        <v>74</v>
      </c>
      <c r="R377" s="2" t="s">
        <v>74</v>
      </c>
      <c r="S377" s="2" t="s">
        <v>74</v>
      </c>
      <c r="T377" s="2" t="s">
        <v>74</v>
      </c>
      <c r="U377" s="2" t="s">
        <v>74</v>
      </c>
      <c r="V377" s="5" t="s">
        <v>6094</v>
      </c>
      <c r="W377" s="2" t="s">
        <v>74</v>
      </c>
      <c r="X377" s="2" t="s">
        <v>74</v>
      </c>
      <c r="Y377" s="2" t="s">
        <v>74</v>
      </c>
      <c r="Z377" s="2" t="s">
        <v>74</v>
      </c>
      <c r="AA377" s="2" t="s">
        <v>74</v>
      </c>
      <c r="AB377" s="2" t="s">
        <v>6095</v>
      </c>
      <c r="AC377" s="2" t="s">
        <v>74</v>
      </c>
      <c r="AD377" s="2" t="s">
        <v>74</v>
      </c>
      <c r="AE377" s="2" t="s">
        <v>74</v>
      </c>
      <c r="AF377" s="2" t="s">
        <v>74</v>
      </c>
      <c r="AG377" s="2" t="s">
        <v>74</v>
      </c>
      <c r="AH377" s="2" t="s">
        <v>74</v>
      </c>
      <c r="AI377" s="2" t="s">
        <v>74</v>
      </c>
      <c r="AJ377" s="2" t="s">
        <v>74</v>
      </c>
      <c r="AK377" s="2" t="s">
        <v>74</v>
      </c>
      <c r="AL377" s="2" t="s">
        <v>74</v>
      </c>
      <c r="AM377" s="2" t="s">
        <v>74</v>
      </c>
      <c r="AN377" s="2" t="s">
        <v>74</v>
      </c>
      <c r="AO377" s="2" t="s">
        <v>4068</v>
      </c>
      <c r="AP377" s="2" t="s">
        <v>4069</v>
      </c>
      <c r="AQ377" s="2" t="s">
        <v>74</v>
      </c>
      <c r="AR377" s="2" t="s">
        <v>74</v>
      </c>
      <c r="AS377" s="2" t="s">
        <v>74</v>
      </c>
      <c r="AT377" s="2" t="s">
        <v>6096</v>
      </c>
      <c r="AU377" s="2">
        <v>2016</v>
      </c>
      <c r="AV377" s="2">
        <v>26</v>
      </c>
      <c r="AW377" s="2">
        <v>9</v>
      </c>
      <c r="AX377" s="2" t="s">
        <v>74</v>
      </c>
      <c r="AY377" s="2" t="s">
        <v>74</v>
      </c>
      <c r="AZ377" s="2" t="s">
        <v>74</v>
      </c>
      <c r="BA377" s="2" t="s">
        <v>74</v>
      </c>
      <c r="BB377" s="2">
        <v>1195</v>
      </c>
      <c r="BC377" s="2">
        <v>1199</v>
      </c>
      <c r="BD377" s="2" t="s">
        <v>74</v>
      </c>
      <c r="BE377" s="2" t="s">
        <v>6097</v>
      </c>
      <c r="BF377" s="2" t="str">
        <f>HYPERLINK("http://dx.doi.org/10.1016/j.cub.2016.03.009","http://dx.doi.org/10.1016/j.cub.2016.03.009")</f>
        <v>http://dx.doi.org/10.1016/j.cub.2016.03.009</v>
      </c>
      <c r="BG377" s="2" t="s">
        <v>74</v>
      </c>
      <c r="BH377" s="2" t="s">
        <v>74</v>
      </c>
      <c r="BI377" s="2" t="s">
        <v>74</v>
      </c>
      <c r="BJ377" s="2" t="s">
        <v>74</v>
      </c>
      <c r="BK377" s="2" t="s">
        <v>74</v>
      </c>
      <c r="BL377" s="2" t="s">
        <v>74</v>
      </c>
      <c r="BM377" s="2" t="s">
        <v>74</v>
      </c>
      <c r="BN377" s="2">
        <v>27133871</v>
      </c>
      <c r="BO377" s="2" t="s">
        <v>74</v>
      </c>
      <c r="BP377" s="2" t="s">
        <v>74</v>
      </c>
      <c r="BQ377" s="2" t="s">
        <v>74</v>
      </c>
      <c r="BR377" s="2" t="s">
        <v>74</v>
      </c>
      <c r="BS377" s="2" t="s">
        <v>6098</v>
      </c>
      <c r="BT377" s="2" t="str">
        <f>HYPERLINK("https%3A%2F%2Fwww.webofscience.com%2Fwos%2Fwoscc%2Ffull-record%2FWOS:000375413700026","View Full Record in Web of Science")</f>
        <v>View Full Record in Web of Science</v>
      </c>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row>
    <row r="378" spans="1:314" s="2" customFormat="1" x14ac:dyDescent="0.4">
      <c r="A378" s="2" t="s">
        <v>72</v>
      </c>
      <c r="B378" s="2" t="s">
        <v>8037</v>
      </c>
      <c r="C378" s="2" t="s">
        <v>74</v>
      </c>
      <c r="D378" s="2" t="s">
        <v>74</v>
      </c>
      <c r="E378" s="2" t="s">
        <v>74</v>
      </c>
      <c r="F378" s="2" t="s">
        <v>8037</v>
      </c>
      <c r="G378" s="2" t="s">
        <v>74</v>
      </c>
      <c r="H378" s="2" t="s">
        <v>74</v>
      </c>
      <c r="I378" s="2" t="s">
        <v>8038</v>
      </c>
      <c r="J378" s="2" t="s">
        <v>77</v>
      </c>
      <c r="K378" s="2" t="s">
        <v>74</v>
      </c>
      <c r="L378" s="2" t="s">
        <v>74</v>
      </c>
      <c r="M378" s="2" t="s">
        <v>74</v>
      </c>
      <c r="N378" s="2" t="s">
        <v>74</v>
      </c>
      <c r="O378" s="2" t="s">
        <v>74</v>
      </c>
      <c r="P378" s="2" t="s">
        <v>74</v>
      </c>
      <c r="Q378" s="2" t="s">
        <v>74</v>
      </c>
      <c r="R378" s="2" t="s">
        <v>74</v>
      </c>
      <c r="S378" s="2" t="s">
        <v>74</v>
      </c>
      <c r="T378" s="2" t="s">
        <v>74</v>
      </c>
      <c r="U378" s="2" t="s">
        <v>74</v>
      </c>
      <c r="V378" s="5" t="s">
        <v>8039</v>
      </c>
      <c r="W378" s="2" t="s">
        <v>74</v>
      </c>
      <c r="X378" s="2" t="s">
        <v>74</v>
      </c>
      <c r="Y378" s="2" t="s">
        <v>74</v>
      </c>
      <c r="Z378" s="2" t="s">
        <v>74</v>
      </c>
      <c r="AA378" s="2" t="s">
        <v>74</v>
      </c>
      <c r="AB378" s="2" t="s">
        <v>74</v>
      </c>
      <c r="AC378" s="2" t="s">
        <v>74</v>
      </c>
      <c r="AD378" s="2" t="s">
        <v>74</v>
      </c>
      <c r="AE378" s="2" t="s">
        <v>74</v>
      </c>
      <c r="AF378" s="2" t="s">
        <v>74</v>
      </c>
      <c r="AG378" s="2" t="s">
        <v>74</v>
      </c>
      <c r="AH378" s="2" t="s">
        <v>74</v>
      </c>
      <c r="AI378" s="2" t="s">
        <v>74</v>
      </c>
      <c r="AJ378" s="2" t="s">
        <v>74</v>
      </c>
      <c r="AK378" s="2" t="s">
        <v>74</v>
      </c>
      <c r="AL378" s="2" t="s">
        <v>74</v>
      </c>
      <c r="AM378" s="2" t="s">
        <v>74</v>
      </c>
      <c r="AN378" s="2" t="s">
        <v>74</v>
      </c>
      <c r="AO378" s="2" t="s">
        <v>81</v>
      </c>
      <c r="AP378" s="2" t="s">
        <v>74</v>
      </c>
      <c r="AQ378" s="2" t="s">
        <v>74</v>
      </c>
      <c r="AR378" s="2" t="s">
        <v>74</v>
      </c>
      <c r="AS378" s="2" t="s">
        <v>74</v>
      </c>
      <c r="AT378" s="2" t="s">
        <v>964</v>
      </c>
      <c r="AU378" s="2">
        <v>1997</v>
      </c>
      <c r="AV378" s="2">
        <v>134</v>
      </c>
      <c r="AW378" s="2" t="s">
        <v>74</v>
      </c>
      <c r="AX378" s="2" t="s">
        <v>548</v>
      </c>
      <c r="AY378" s="2" t="s">
        <v>74</v>
      </c>
      <c r="AZ378" s="2" t="s">
        <v>74</v>
      </c>
      <c r="BA378" s="2" t="s">
        <v>74</v>
      </c>
      <c r="BB378" s="2">
        <v>127</v>
      </c>
      <c r="BC378" s="2">
        <v>142</v>
      </c>
      <c r="BD378" s="2" t="s">
        <v>74</v>
      </c>
      <c r="BE378" s="2" t="s">
        <v>8040</v>
      </c>
      <c r="BF378" s="2" t="str">
        <f>HYPERLINK("http://dx.doi.org/10.1163/156853997X00313","http://dx.doi.org/10.1163/156853997X00313")</f>
        <v>http://dx.doi.org/10.1163/156853997X00313</v>
      </c>
      <c r="BG378" s="2" t="s">
        <v>74</v>
      </c>
      <c r="BH378" s="2" t="s">
        <v>74</v>
      </c>
      <c r="BI378" s="2" t="s">
        <v>74</v>
      </c>
      <c r="BJ378" s="2" t="s">
        <v>74</v>
      </c>
      <c r="BK378" s="2" t="s">
        <v>74</v>
      </c>
      <c r="BL378" s="2" t="s">
        <v>74</v>
      </c>
      <c r="BM378" s="2" t="s">
        <v>74</v>
      </c>
      <c r="BN378" s="2" t="s">
        <v>74</v>
      </c>
      <c r="BO378" s="2" t="s">
        <v>74</v>
      </c>
      <c r="BP378" s="2" t="s">
        <v>74</v>
      </c>
      <c r="BQ378" s="2" t="s">
        <v>74</v>
      </c>
      <c r="BR378" s="2" t="s">
        <v>74</v>
      </c>
      <c r="BS378" s="2" t="s">
        <v>8041</v>
      </c>
      <c r="BT378" s="2" t="str">
        <f>HYPERLINK("https%3A%2F%2Fwww.webofscience.com%2Fwos%2Fwoscc%2Ffull-record%2FWOS:A1997WJ21600007","View Full Record in Web of Science")</f>
        <v>View Full Record in Web of Science</v>
      </c>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row>
    <row r="379" spans="1:314" s="2" customFormat="1" x14ac:dyDescent="0.4">
      <c r="A379" s="2" t="s">
        <v>72</v>
      </c>
      <c r="B379" s="2" t="s">
        <v>2659</v>
      </c>
      <c r="C379" s="2" t="s">
        <v>74</v>
      </c>
      <c r="D379" s="2" t="s">
        <v>74</v>
      </c>
      <c r="E379" s="2" t="s">
        <v>74</v>
      </c>
      <c r="F379" s="2" t="s">
        <v>2660</v>
      </c>
      <c r="G379" s="2" t="s">
        <v>74</v>
      </c>
      <c r="H379" s="2" t="s">
        <v>74</v>
      </c>
      <c r="I379" s="2" t="s">
        <v>2661</v>
      </c>
      <c r="J379" s="2" t="s">
        <v>2662</v>
      </c>
      <c r="K379" s="2" t="s">
        <v>74</v>
      </c>
      <c r="L379" s="2" t="s">
        <v>74</v>
      </c>
      <c r="M379" s="2" t="s">
        <v>74</v>
      </c>
      <c r="N379" s="2" t="s">
        <v>74</v>
      </c>
      <c r="O379" s="2" t="s">
        <v>74</v>
      </c>
      <c r="P379" s="2" t="s">
        <v>74</v>
      </c>
      <c r="Q379" s="2" t="s">
        <v>74</v>
      </c>
      <c r="R379" s="2" t="s">
        <v>74</v>
      </c>
      <c r="S379" s="2" t="s">
        <v>74</v>
      </c>
      <c r="T379" s="2" t="s">
        <v>74</v>
      </c>
      <c r="U379" s="2" t="s">
        <v>74</v>
      </c>
      <c r="V379" s="5" t="s">
        <v>2663</v>
      </c>
      <c r="W379" s="2" t="s">
        <v>74</v>
      </c>
      <c r="X379" s="2" t="s">
        <v>74</v>
      </c>
      <c r="Y379" s="2" t="s">
        <v>74</v>
      </c>
      <c r="Z379" s="2" t="s">
        <v>74</v>
      </c>
      <c r="AA379" s="2" t="s">
        <v>74</v>
      </c>
      <c r="AB379" s="2" t="s">
        <v>74</v>
      </c>
      <c r="AC379" s="2" t="s">
        <v>74</v>
      </c>
      <c r="AD379" s="2" t="s">
        <v>74</v>
      </c>
      <c r="AE379" s="2" t="s">
        <v>74</v>
      </c>
      <c r="AF379" s="2" t="s">
        <v>74</v>
      </c>
      <c r="AG379" s="2" t="s">
        <v>74</v>
      </c>
      <c r="AH379" s="2" t="s">
        <v>74</v>
      </c>
      <c r="AI379" s="2" t="s">
        <v>74</v>
      </c>
      <c r="AJ379" s="2" t="s">
        <v>74</v>
      </c>
      <c r="AK379" s="2" t="s">
        <v>74</v>
      </c>
      <c r="AL379" s="2" t="s">
        <v>74</v>
      </c>
      <c r="AM379" s="2" t="s">
        <v>74</v>
      </c>
      <c r="AN379" s="2" t="s">
        <v>74</v>
      </c>
      <c r="AO379" s="2" t="s">
        <v>2664</v>
      </c>
      <c r="AP379" s="2" t="s">
        <v>2665</v>
      </c>
      <c r="AQ379" s="2" t="s">
        <v>74</v>
      </c>
      <c r="AR379" s="2" t="s">
        <v>74</v>
      </c>
      <c r="AS379" s="2" t="s">
        <v>74</v>
      </c>
      <c r="AT379" s="2" t="s">
        <v>352</v>
      </c>
      <c r="AU379" s="2">
        <v>2014</v>
      </c>
      <c r="AV379" s="2">
        <v>48</v>
      </c>
      <c r="AW379" s="2">
        <v>3</v>
      </c>
      <c r="AX379" s="2" t="s">
        <v>74</v>
      </c>
      <c r="AY379" s="2" t="s">
        <v>74</v>
      </c>
      <c r="AZ379" s="2" t="s">
        <v>74</v>
      </c>
      <c r="BA379" s="2" t="s">
        <v>74</v>
      </c>
      <c r="BB379" s="2">
        <v>240</v>
      </c>
      <c r="BC379" s="2">
        <v>247</v>
      </c>
      <c r="BD379" s="2" t="s">
        <v>74</v>
      </c>
      <c r="BE379" s="2" t="s">
        <v>2666</v>
      </c>
      <c r="BF379" s="2" t="str">
        <f>HYPERLINK("http://dx.doi.org/10.3356/0892-1016-48.3.240","http://dx.doi.org/10.3356/0892-1016-48.3.240")</f>
        <v>http://dx.doi.org/10.3356/0892-1016-48.3.240</v>
      </c>
      <c r="BG379" s="2" t="s">
        <v>74</v>
      </c>
      <c r="BH379" s="2" t="s">
        <v>74</v>
      </c>
      <c r="BI379" s="2" t="s">
        <v>74</v>
      </c>
      <c r="BJ379" s="2" t="s">
        <v>74</v>
      </c>
      <c r="BK379" s="2" t="s">
        <v>74</v>
      </c>
      <c r="BL379" s="2" t="s">
        <v>74</v>
      </c>
      <c r="BM379" s="2" t="s">
        <v>74</v>
      </c>
      <c r="BN379" s="2" t="s">
        <v>74</v>
      </c>
      <c r="BO379" s="2" t="s">
        <v>74</v>
      </c>
      <c r="BP379" s="2" t="s">
        <v>74</v>
      </c>
      <c r="BQ379" s="2" t="s">
        <v>74</v>
      </c>
      <c r="BR379" s="2" t="s">
        <v>74</v>
      </c>
      <c r="BS379" s="2" t="s">
        <v>2667</v>
      </c>
      <c r="BT379" s="2" t="str">
        <f>HYPERLINK("https%3A%2F%2Fwww.webofscience.com%2Fwos%2Fwoscc%2Ffull-record%2FWOS:000341096200005","View Full Record in Web of Science")</f>
        <v>View Full Record in Web of Science</v>
      </c>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row>
    <row r="380" spans="1:314" s="2" customFormat="1" x14ac:dyDescent="0.4">
      <c r="A380" s="2" t="s">
        <v>72</v>
      </c>
      <c r="B380" s="2" t="s">
        <v>1624</v>
      </c>
      <c r="C380" s="2" t="s">
        <v>74</v>
      </c>
      <c r="D380" s="2" t="s">
        <v>74</v>
      </c>
      <c r="E380" s="2" t="s">
        <v>74</v>
      </c>
      <c r="F380" s="2" t="s">
        <v>1625</v>
      </c>
      <c r="G380" s="2" t="s">
        <v>74</v>
      </c>
      <c r="H380" s="2" t="s">
        <v>74</v>
      </c>
      <c r="I380" s="2" t="s">
        <v>1626</v>
      </c>
      <c r="J380" s="2" t="s">
        <v>129</v>
      </c>
      <c r="K380" s="2" t="s">
        <v>74</v>
      </c>
      <c r="L380" s="2" t="s">
        <v>74</v>
      </c>
      <c r="M380" s="2" t="s">
        <v>74</v>
      </c>
      <c r="N380" s="2" t="s">
        <v>74</v>
      </c>
      <c r="O380" s="2" t="s">
        <v>74</v>
      </c>
      <c r="P380" s="2" t="s">
        <v>74</v>
      </c>
      <c r="Q380" s="2" t="s">
        <v>74</v>
      </c>
      <c r="R380" s="2" t="s">
        <v>74</v>
      </c>
      <c r="S380" s="2" t="s">
        <v>74</v>
      </c>
      <c r="T380" s="2" t="s">
        <v>74</v>
      </c>
      <c r="U380" s="2" t="s">
        <v>74</v>
      </c>
      <c r="V380" s="5" t="s">
        <v>1627</v>
      </c>
      <c r="W380" s="2" t="s">
        <v>74</v>
      </c>
      <c r="X380" s="2" t="s">
        <v>74</v>
      </c>
      <c r="Y380" s="2" t="s">
        <v>74</v>
      </c>
      <c r="Z380" s="2" t="s">
        <v>74</v>
      </c>
      <c r="AA380" s="2" t="s">
        <v>74</v>
      </c>
      <c r="AB380" s="2" t="s">
        <v>1628</v>
      </c>
      <c r="AC380" s="2" t="s">
        <v>74</v>
      </c>
      <c r="AD380" s="2" t="s">
        <v>74</v>
      </c>
      <c r="AE380" s="2" t="s">
        <v>74</v>
      </c>
      <c r="AF380" s="2" t="s">
        <v>74</v>
      </c>
      <c r="AG380" s="2" t="s">
        <v>74</v>
      </c>
      <c r="AH380" s="2" t="s">
        <v>74</v>
      </c>
      <c r="AI380" s="2" t="s">
        <v>74</v>
      </c>
      <c r="AJ380" s="2" t="s">
        <v>74</v>
      </c>
      <c r="AK380" s="2" t="s">
        <v>74</v>
      </c>
      <c r="AL380" s="2" t="s">
        <v>74</v>
      </c>
      <c r="AM380" s="2" t="s">
        <v>74</v>
      </c>
      <c r="AN380" s="2" t="s">
        <v>74</v>
      </c>
      <c r="AO380" s="2" t="s">
        <v>132</v>
      </c>
      <c r="AP380" s="2" t="s">
        <v>133</v>
      </c>
      <c r="AQ380" s="2" t="s">
        <v>74</v>
      </c>
      <c r="AR380" s="2" t="s">
        <v>74</v>
      </c>
      <c r="AS380" s="2" t="s">
        <v>74</v>
      </c>
      <c r="AT380" s="2" t="s">
        <v>1629</v>
      </c>
      <c r="AU380" s="2">
        <v>2020</v>
      </c>
      <c r="AV380" s="2">
        <v>74</v>
      </c>
      <c r="AW380" s="2">
        <v>10</v>
      </c>
      <c r="AX380" s="2" t="s">
        <v>74</v>
      </c>
      <c r="AY380" s="2" t="s">
        <v>74</v>
      </c>
      <c r="AZ380" s="2" t="s">
        <v>74</v>
      </c>
      <c r="BA380" s="2" t="s">
        <v>74</v>
      </c>
      <c r="BB380" s="2" t="s">
        <v>74</v>
      </c>
      <c r="BC380" s="2" t="s">
        <v>74</v>
      </c>
      <c r="BD380" s="2">
        <v>116</v>
      </c>
      <c r="BE380" s="2" t="s">
        <v>1630</v>
      </c>
      <c r="BF380" s="2" t="str">
        <f>HYPERLINK("http://dx.doi.org/10.1007/s00265-020-02899-w","http://dx.doi.org/10.1007/s00265-020-02899-w")</f>
        <v>http://dx.doi.org/10.1007/s00265-020-02899-w</v>
      </c>
      <c r="BG380" s="2" t="s">
        <v>74</v>
      </c>
      <c r="BH380" s="2" t="s">
        <v>74</v>
      </c>
      <c r="BI380" s="2" t="s">
        <v>74</v>
      </c>
      <c r="BJ380" s="2" t="s">
        <v>74</v>
      </c>
      <c r="BK380" s="2" t="s">
        <v>74</v>
      </c>
      <c r="BL380" s="2" t="s">
        <v>74</v>
      </c>
      <c r="BM380" s="2" t="s">
        <v>74</v>
      </c>
      <c r="BN380" s="2" t="s">
        <v>74</v>
      </c>
      <c r="BO380" s="2" t="s">
        <v>74</v>
      </c>
      <c r="BP380" s="2" t="s">
        <v>74</v>
      </c>
      <c r="BQ380" s="2" t="s">
        <v>74</v>
      </c>
      <c r="BR380" s="2" t="s">
        <v>74</v>
      </c>
      <c r="BS380" s="2" t="s">
        <v>1631</v>
      </c>
      <c r="BT380" s="2" t="str">
        <f>HYPERLINK("https%3A%2F%2Fwww.webofscience.com%2Fwos%2Fwoscc%2Ffull-record%2FWOS:000565883300001","View Full Record in Web of Science")</f>
        <v>View Full Record in Web of Science</v>
      </c>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row>
    <row r="381" spans="1:314" s="2" customFormat="1" x14ac:dyDescent="0.4">
      <c r="A381" s="2" t="s">
        <v>72</v>
      </c>
      <c r="B381" s="2" t="s">
        <v>3408</v>
      </c>
      <c r="C381" s="2" t="s">
        <v>74</v>
      </c>
      <c r="D381" s="2" t="s">
        <v>74</v>
      </c>
      <c r="E381" s="2" t="s">
        <v>74</v>
      </c>
      <c r="F381" s="2" t="s">
        <v>3409</v>
      </c>
      <c r="G381" s="2" t="s">
        <v>74</v>
      </c>
      <c r="H381" s="2" t="s">
        <v>74</v>
      </c>
      <c r="I381" s="2" t="s">
        <v>3410</v>
      </c>
      <c r="J381" s="2" t="s">
        <v>3411</v>
      </c>
      <c r="K381" s="2" t="s">
        <v>74</v>
      </c>
      <c r="L381" s="2" t="s">
        <v>74</v>
      </c>
      <c r="M381" s="2" t="s">
        <v>74</v>
      </c>
      <c r="N381" s="2" t="s">
        <v>74</v>
      </c>
      <c r="O381" s="2" t="s">
        <v>74</v>
      </c>
      <c r="P381" s="2" t="s">
        <v>74</v>
      </c>
      <c r="Q381" s="2" t="s">
        <v>74</v>
      </c>
      <c r="R381" s="2" t="s">
        <v>74</v>
      </c>
      <c r="S381" s="2" t="s">
        <v>74</v>
      </c>
      <c r="T381" s="2" t="s">
        <v>74</v>
      </c>
      <c r="U381" s="2" t="s">
        <v>74</v>
      </c>
      <c r="V381" s="5" t="s">
        <v>3412</v>
      </c>
      <c r="W381" s="2" t="s">
        <v>74</v>
      </c>
      <c r="X381" s="2" t="s">
        <v>74</v>
      </c>
      <c r="Y381" s="2" t="s">
        <v>74</v>
      </c>
      <c r="Z381" s="2" t="s">
        <v>74</v>
      </c>
      <c r="AA381" s="2" t="s">
        <v>3413</v>
      </c>
      <c r="AB381" s="2" t="s">
        <v>3414</v>
      </c>
      <c r="AC381" s="2" t="s">
        <v>74</v>
      </c>
      <c r="AD381" s="2" t="s">
        <v>74</v>
      </c>
      <c r="AE381" s="2" t="s">
        <v>74</v>
      </c>
      <c r="AF381" s="2" t="s">
        <v>74</v>
      </c>
      <c r="AG381" s="2" t="s">
        <v>74</v>
      </c>
      <c r="AH381" s="2" t="s">
        <v>74</v>
      </c>
      <c r="AI381" s="2" t="s">
        <v>74</v>
      </c>
      <c r="AJ381" s="2" t="s">
        <v>74</v>
      </c>
      <c r="AK381" s="2" t="s">
        <v>74</v>
      </c>
      <c r="AL381" s="2" t="s">
        <v>74</v>
      </c>
      <c r="AM381" s="2" t="s">
        <v>74</v>
      </c>
      <c r="AN381" s="2" t="s">
        <v>74</v>
      </c>
      <c r="AO381" s="2" t="s">
        <v>3415</v>
      </c>
      <c r="AP381" s="2" t="s">
        <v>3416</v>
      </c>
      <c r="AQ381" s="2" t="s">
        <v>74</v>
      </c>
      <c r="AR381" s="2" t="s">
        <v>74</v>
      </c>
      <c r="AS381" s="2" t="s">
        <v>74</v>
      </c>
      <c r="AT381" s="2" t="s">
        <v>74</v>
      </c>
      <c r="AU381" s="2">
        <v>2018</v>
      </c>
      <c r="AV381" s="2">
        <v>118</v>
      </c>
      <c r="AW381" s="2">
        <v>4</v>
      </c>
      <c r="AX381" s="2" t="s">
        <v>74</v>
      </c>
      <c r="AY381" s="2" t="s">
        <v>74</v>
      </c>
      <c r="AZ381" s="2" t="s">
        <v>74</v>
      </c>
      <c r="BA381" s="2" t="s">
        <v>74</v>
      </c>
      <c r="BB381" s="2">
        <v>369</v>
      </c>
      <c r="BC381" s="2">
        <v>374</v>
      </c>
      <c r="BD381" s="2" t="s">
        <v>74</v>
      </c>
      <c r="BE381" s="2" t="s">
        <v>3417</v>
      </c>
      <c r="BF381" s="2" t="str">
        <f>HYPERLINK("http://dx.doi.org/10.1080/01584197.2018.1453304","http://dx.doi.org/10.1080/01584197.2018.1453304")</f>
        <v>http://dx.doi.org/10.1080/01584197.2018.1453304</v>
      </c>
      <c r="BG381" s="2" t="s">
        <v>74</v>
      </c>
      <c r="BH381" s="2" t="s">
        <v>74</v>
      </c>
      <c r="BI381" s="2" t="s">
        <v>74</v>
      </c>
      <c r="BJ381" s="2" t="s">
        <v>74</v>
      </c>
      <c r="BK381" s="2" t="s">
        <v>74</v>
      </c>
      <c r="BL381" s="2" t="s">
        <v>74</v>
      </c>
      <c r="BM381" s="2" t="s">
        <v>74</v>
      </c>
      <c r="BN381" s="2" t="s">
        <v>74</v>
      </c>
      <c r="BO381" s="2" t="s">
        <v>74</v>
      </c>
      <c r="BP381" s="2" t="s">
        <v>74</v>
      </c>
      <c r="BQ381" s="2" t="s">
        <v>74</v>
      </c>
      <c r="BR381" s="2" t="s">
        <v>74</v>
      </c>
      <c r="BS381" s="2" t="s">
        <v>3418</v>
      </c>
      <c r="BT381" s="2" t="str">
        <f>HYPERLINK("https%3A%2F%2Fwww.webofscience.com%2Fwos%2Fwoscc%2Ffull-record%2FWOS:000451715900007","View Full Record in Web of Science")</f>
        <v>View Full Record in Web of Science</v>
      </c>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row>
    <row r="382" spans="1:314" s="2" customFormat="1" x14ac:dyDescent="0.4">
      <c r="A382" s="2" t="s">
        <v>72</v>
      </c>
      <c r="B382" s="2" t="s">
        <v>2356</v>
      </c>
      <c r="C382" s="2" t="s">
        <v>74</v>
      </c>
      <c r="D382" s="2" t="s">
        <v>74</v>
      </c>
      <c r="E382" s="2" t="s">
        <v>74</v>
      </c>
      <c r="F382" s="2" t="s">
        <v>2357</v>
      </c>
      <c r="G382" s="2" t="s">
        <v>74</v>
      </c>
      <c r="H382" s="2" t="s">
        <v>74</v>
      </c>
      <c r="I382" s="2" t="s">
        <v>2358</v>
      </c>
      <c r="J382" s="2" t="s">
        <v>509</v>
      </c>
      <c r="K382" s="2" t="s">
        <v>74</v>
      </c>
      <c r="L382" s="2" t="s">
        <v>74</v>
      </c>
      <c r="M382" s="2" t="s">
        <v>74</v>
      </c>
      <c r="N382" s="2" t="s">
        <v>74</v>
      </c>
      <c r="O382" s="2" t="s">
        <v>74</v>
      </c>
      <c r="P382" s="2" t="s">
        <v>74</v>
      </c>
      <c r="Q382" s="2" t="s">
        <v>74</v>
      </c>
      <c r="R382" s="2" t="s">
        <v>74</v>
      </c>
      <c r="S382" s="2" t="s">
        <v>74</v>
      </c>
      <c r="T382" s="2" t="s">
        <v>74</v>
      </c>
      <c r="U382" s="2" t="s">
        <v>74</v>
      </c>
      <c r="V382" s="5" t="s">
        <v>2359</v>
      </c>
      <c r="W382" s="2" t="s">
        <v>74</v>
      </c>
      <c r="X382" s="2" t="s">
        <v>74</v>
      </c>
      <c r="Y382" s="2" t="s">
        <v>74</v>
      </c>
      <c r="Z382" s="2" t="s">
        <v>74</v>
      </c>
      <c r="AA382" s="2" t="s">
        <v>2360</v>
      </c>
      <c r="AB382" s="2" t="s">
        <v>2361</v>
      </c>
      <c r="AC382" s="2" t="s">
        <v>74</v>
      </c>
      <c r="AD382" s="2" t="s">
        <v>74</v>
      </c>
      <c r="AE382" s="2" t="s">
        <v>74</v>
      </c>
      <c r="AF382" s="2" t="s">
        <v>74</v>
      </c>
      <c r="AG382" s="2" t="s">
        <v>74</v>
      </c>
      <c r="AH382" s="2" t="s">
        <v>74</v>
      </c>
      <c r="AI382" s="2" t="s">
        <v>74</v>
      </c>
      <c r="AJ382" s="2" t="s">
        <v>74</v>
      </c>
      <c r="AK382" s="2" t="s">
        <v>74</v>
      </c>
      <c r="AL382" s="2" t="s">
        <v>74</v>
      </c>
      <c r="AM382" s="2" t="s">
        <v>74</v>
      </c>
      <c r="AN382" s="2" t="s">
        <v>74</v>
      </c>
      <c r="AO382" s="2" t="s">
        <v>511</v>
      </c>
      <c r="AP382" s="2" t="s">
        <v>512</v>
      </c>
      <c r="AQ382" s="2" t="s">
        <v>74</v>
      </c>
      <c r="AR382" s="2" t="s">
        <v>74</v>
      </c>
      <c r="AS382" s="2" t="s">
        <v>74</v>
      </c>
      <c r="AT382" s="2" t="s">
        <v>134</v>
      </c>
      <c r="AU382" s="2">
        <v>2015</v>
      </c>
      <c r="AV382" s="2">
        <v>71</v>
      </c>
      <c r="AW382" s="2" t="s">
        <v>74</v>
      </c>
      <c r="AX382" s="2" t="s">
        <v>74</v>
      </c>
      <c r="AY382" s="2" t="s">
        <v>74</v>
      </c>
      <c r="AZ382" s="2" t="s">
        <v>74</v>
      </c>
      <c r="BA382" s="2" t="s">
        <v>74</v>
      </c>
      <c r="BB382" s="2">
        <v>10</v>
      </c>
      <c r="BC382" s="2">
        <v>15</v>
      </c>
      <c r="BD382" s="2" t="s">
        <v>74</v>
      </c>
      <c r="BE382" s="2" t="s">
        <v>2362</v>
      </c>
      <c r="BF382" s="2" t="str">
        <f>HYPERLINK("http://dx.doi.org/10.1016/j.yhbeh.2015.03.005","http://dx.doi.org/10.1016/j.yhbeh.2015.03.005")</f>
        <v>http://dx.doi.org/10.1016/j.yhbeh.2015.03.005</v>
      </c>
      <c r="BG382" s="2" t="s">
        <v>74</v>
      </c>
      <c r="BH382" s="2" t="s">
        <v>74</v>
      </c>
      <c r="BI382" s="2" t="s">
        <v>74</v>
      </c>
      <c r="BJ382" s="2" t="s">
        <v>74</v>
      </c>
      <c r="BK382" s="2" t="s">
        <v>74</v>
      </c>
      <c r="BL382" s="2" t="s">
        <v>74</v>
      </c>
      <c r="BM382" s="2" t="s">
        <v>74</v>
      </c>
      <c r="BN382" s="2">
        <v>25840012</v>
      </c>
      <c r="BO382" s="2" t="s">
        <v>74</v>
      </c>
      <c r="BP382" s="2" t="s">
        <v>74</v>
      </c>
      <c r="BQ382" s="2" t="s">
        <v>74</v>
      </c>
      <c r="BR382" s="2" t="s">
        <v>74</v>
      </c>
      <c r="BS382" s="2" t="s">
        <v>2363</v>
      </c>
      <c r="BT382" s="2" t="str">
        <f>HYPERLINK("https%3A%2F%2Fwww.webofscience.com%2Fwos%2Fwoscc%2Ffull-record%2FWOS:000355573500002","View Full Record in Web of Science")</f>
        <v>View Full Record in Web of Science</v>
      </c>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row>
    <row r="383" spans="1:314" s="2" customFormat="1" x14ac:dyDescent="0.4">
      <c r="A383" s="2" t="s">
        <v>72</v>
      </c>
      <c r="B383" s="2" t="s">
        <v>5806</v>
      </c>
      <c r="C383" s="2" t="s">
        <v>74</v>
      </c>
      <c r="D383" s="2" t="s">
        <v>74</v>
      </c>
      <c r="E383" s="2" t="s">
        <v>74</v>
      </c>
      <c r="F383" s="2" t="s">
        <v>5806</v>
      </c>
      <c r="G383" s="2" t="s">
        <v>74</v>
      </c>
      <c r="H383" s="2" t="s">
        <v>74</v>
      </c>
      <c r="I383" s="2" t="s">
        <v>5807</v>
      </c>
      <c r="J383" s="2" t="s">
        <v>1533</v>
      </c>
      <c r="K383" s="2" t="s">
        <v>74</v>
      </c>
      <c r="L383" s="2" t="s">
        <v>74</v>
      </c>
      <c r="M383" s="2" t="s">
        <v>74</v>
      </c>
      <c r="N383" s="2" t="s">
        <v>74</v>
      </c>
      <c r="O383" s="2" t="s">
        <v>74</v>
      </c>
      <c r="P383" s="2" t="s">
        <v>74</v>
      </c>
      <c r="Q383" s="2" t="s">
        <v>74</v>
      </c>
      <c r="R383" s="2" t="s">
        <v>74</v>
      </c>
      <c r="S383" s="2" t="s">
        <v>74</v>
      </c>
      <c r="T383" s="2" t="s">
        <v>74</v>
      </c>
      <c r="U383" s="2" t="s">
        <v>74</v>
      </c>
      <c r="V383" s="5" t="s">
        <v>5808</v>
      </c>
      <c r="W383" s="2" t="s">
        <v>74</v>
      </c>
      <c r="X383" s="2" t="s">
        <v>74</v>
      </c>
      <c r="Y383" s="2" t="s">
        <v>74</v>
      </c>
      <c r="Z383" s="2" t="s">
        <v>74</v>
      </c>
      <c r="AA383" s="2" t="s">
        <v>74</v>
      </c>
      <c r="AB383" s="2" t="s">
        <v>74</v>
      </c>
      <c r="AC383" s="2" t="s">
        <v>74</v>
      </c>
      <c r="AD383" s="2" t="s">
        <v>74</v>
      </c>
      <c r="AE383" s="2" t="s">
        <v>74</v>
      </c>
      <c r="AF383" s="2" t="s">
        <v>74</v>
      </c>
      <c r="AG383" s="2" t="s">
        <v>74</v>
      </c>
      <c r="AH383" s="2" t="s">
        <v>74</v>
      </c>
      <c r="AI383" s="2" t="s">
        <v>74</v>
      </c>
      <c r="AJ383" s="2" t="s">
        <v>74</v>
      </c>
      <c r="AK383" s="2" t="s">
        <v>74</v>
      </c>
      <c r="AL383" s="2" t="s">
        <v>74</v>
      </c>
      <c r="AM383" s="2" t="s">
        <v>74</v>
      </c>
      <c r="AN383" s="2" t="s">
        <v>74</v>
      </c>
      <c r="AO383" s="2" t="s">
        <v>1535</v>
      </c>
      <c r="AP383" s="2" t="s">
        <v>1536</v>
      </c>
      <c r="AQ383" s="2" t="s">
        <v>74</v>
      </c>
      <c r="AR383" s="2" t="s">
        <v>74</v>
      </c>
      <c r="AS383" s="2" t="s">
        <v>74</v>
      </c>
      <c r="AT383" s="2" t="s">
        <v>74</v>
      </c>
      <c r="AU383" s="2">
        <v>1980</v>
      </c>
      <c r="AV383" s="2">
        <v>33</v>
      </c>
      <c r="AW383" s="2">
        <v>3</v>
      </c>
      <c r="AX383" s="2" t="s">
        <v>74</v>
      </c>
      <c r="AY383" s="2" t="s">
        <v>74</v>
      </c>
      <c r="AZ383" s="2" t="s">
        <v>74</v>
      </c>
      <c r="BA383" s="2" t="s">
        <v>74</v>
      </c>
      <c r="BB383" s="2">
        <v>383</v>
      </c>
      <c r="BC383" s="2">
        <v>395</v>
      </c>
      <c r="BD383" s="2" t="s">
        <v>74</v>
      </c>
      <c r="BE383" s="2" t="s">
        <v>5809</v>
      </c>
      <c r="BF383" s="2" t="str">
        <f>HYPERLINK("http://dx.doi.org/10.1901/jeab.1980.33-383","http://dx.doi.org/10.1901/jeab.1980.33-383")</f>
        <v>http://dx.doi.org/10.1901/jeab.1980.33-383</v>
      </c>
      <c r="BG383" s="2" t="s">
        <v>74</v>
      </c>
      <c r="BH383" s="2" t="s">
        <v>74</v>
      </c>
      <c r="BI383" s="2" t="s">
        <v>74</v>
      </c>
      <c r="BJ383" s="2" t="s">
        <v>74</v>
      </c>
      <c r="BK383" s="2" t="s">
        <v>74</v>
      </c>
      <c r="BL383" s="2" t="s">
        <v>74</v>
      </c>
      <c r="BM383" s="2" t="s">
        <v>74</v>
      </c>
      <c r="BN383" s="2">
        <v>16812171</v>
      </c>
      <c r="BO383" s="2" t="s">
        <v>74</v>
      </c>
      <c r="BP383" s="2" t="s">
        <v>74</v>
      </c>
      <c r="BQ383" s="2" t="s">
        <v>74</v>
      </c>
      <c r="BR383" s="2" t="s">
        <v>74</v>
      </c>
      <c r="BS383" s="2" t="s">
        <v>5810</v>
      </c>
      <c r="BT383" s="2" t="str">
        <f>HYPERLINK("https%3A%2F%2Fwww.webofscience.com%2Fwos%2Fwoscc%2Ffull-record%2FWOS:A1980JR70200008","View Full Record in Web of Science")</f>
        <v>View Full Record in Web of Science</v>
      </c>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row>
    <row r="384" spans="1:314" s="2" customFormat="1" x14ac:dyDescent="0.4">
      <c r="A384" s="2" t="s">
        <v>72</v>
      </c>
      <c r="B384" s="2" t="s">
        <v>7332</v>
      </c>
      <c r="C384" s="2" t="s">
        <v>74</v>
      </c>
      <c r="D384" s="2" t="s">
        <v>74</v>
      </c>
      <c r="E384" s="2" t="s">
        <v>74</v>
      </c>
      <c r="F384" s="2" t="s">
        <v>7333</v>
      </c>
      <c r="G384" s="2" t="s">
        <v>74</v>
      </c>
      <c r="H384" s="2" t="s">
        <v>74</v>
      </c>
      <c r="I384" s="2" t="s">
        <v>7334</v>
      </c>
      <c r="J384" s="2" t="s">
        <v>1384</v>
      </c>
      <c r="K384" s="2" t="s">
        <v>74</v>
      </c>
      <c r="L384" s="2" t="s">
        <v>74</v>
      </c>
      <c r="M384" s="2" t="s">
        <v>74</v>
      </c>
      <c r="N384" s="2" t="s">
        <v>74</v>
      </c>
      <c r="O384" s="2" t="s">
        <v>74</v>
      </c>
      <c r="P384" s="2" t="s">
        <v>74</v>
      </c>
      <c r="Q384" s="2" t="s">
        <v>74</v>
      </c>
      <c r="R384" s="2" t="s">
        <v>74</v>
      </c>
      <c r="S384" s="2" t="s">
        <v>74</v>
      </c>
      <c r="T384" s="2" t="s">
        <v>74</v>
      </c>
      <c r="U384" s="2" t="s">
        <v>74</v>
      </c>
      <c r="V384" s="5" t="s">
        <v>7335</v>
      </c>
      <c r="W384" s="2" t="s">
        <v>74</v>
      </c>
      <c r="X384" s="2" t="s">
        <v>74</v>
      </c>
      <c r="Y384" s="2" t="s">
        <v>74</v>
      </c>
      <c r="Z384" s="2" t="s">
        <v>74</v>
      </c>
      <c r="AA384" s="2" t="s">
        <v>7336</v>
      </c>
      <c r="AB384" s="2" t="s">
        <v>7337</v>
      </c>
      <c r="AC384" s="2" t="s">
        <v>74</v>
      </c>
      <c r="AD384" s="2" t="s">
        <v>74</v>
      </c>
      <c r="AE384" s="2" t="s">
        <v>74</v>
      </c>
      <c r="AF384" s="2" t="s">
        <v>74</v>
      </c>
      <c r="AG384" s="2" t="s">
        <v>74</v>
      </c>
      <c r="AH384" s="2" t="s">
        <v>74</v>
      </c>
      <c r="AI384" s="2" t="s">
        <v>74</v>
      </c>
      <c r="AJ384" s="2" t="s">
        <v>74</v>
      </c>
      <c r="AK384" s="2" t="s">
        <v>74</v>
      </c>
      <c r="AL384" s="2" t="s">
        <v>74</v>
      </c>
      <c r="AM384" s="2" t="s">
        <v>74</v>
      </c>
      <c r="AN384" s="2" t="s">
        <v>74</v>
      </c>
      <c r="AO384" s="2" t="s">
        <v>1388</v>
      </c>
      <c r="AP384" s="2" t="s">
        <v>1389</v>
      </c>
      <c r="AQ384" s="2" t="s">
        <v>74</v>
      </c>
      <c r="AR384" s="2" t="s">
        <v>74</v>
      </c>
      <c r="AS384" s="2" t="s">
        <v>74</v>
      </c>
      <c r="AT384" s="2" t="s">
        <v>633</v>
      </c>
      <c r="AU384" s="2">
        <v>2007</v>
      </c>
      <c r="AV384" s="2">
        <v>149</v>
      </c>
      <c r="AW384" s="2">
        <v>2</v>
      </c>
      <c r="AX384" s="2" t="s">
        <v>74</v>
      </c>
      <c r="AY384" s="2" t="s">
        <v>74</v>
      </c>
      <c r="AZ384" s="2" t="s">
        <v>74</v>
      </c>
      <c r="BA384" s="2" t="s">
        <v>74</v>
      </c>
      <c r="BB384" s="2">
        <v>313</v>
      </c>
      <c r="BC384" s="2">
        <v>320</v>
      </c>
      <c r="BD384" s="2" t="s">
        <v>74</v>
      </c>
      <c r="BE384" s="2" t="s">
        <v>7338</v>
      </c>
      <c r="BF384" s="2" t="str">
        <f>HYPERLINK("http://dx.doi.org/10.1111/j.1474-919X.2006.00632.x","http://dx.doi.org/10.1111/j.1474-919X.2006.00632.x")</f>
        <v>http://dx.doi.org/10.1111/j.1474-919X.2006.00632.x</v>
      </c>
      <c r="BG384" s="2" t="s">
        <v>74</v>
      </c>
      <c r="BH384" s="2" t="s">
        <v>74</v>
      </c>
      <c r="BI384" s="2" t="s">
        <v>74</v>
      </c>
      <c r="BJ384" s="2" t="s">
        <v>74</v>
      </c>
      <c r="BK384" s="2" t="s">
        <v>74</v>
      </c>
      <c r="BL384" s="2" t="s">
        <v>74</v>
      </c>
      <c r="BM384" s="2" t="s">
        <v>74</v>
      </c>
      <c r="BN384" s="2" t="s">
        <v>74</v>
      </c>
      <c r="BO384" s="2" t="s">
        <v>74</v>
      </c>
      <c r="BP384" s="2" t="s">
        <v>74</v>
      </c>
      <c r="BQ384" s="2" t="s">
        <v>74</v>
      </c>
      <c r="BR384" s="2" t="s">
        <v>74</v>
      </c>
      <c r="BS384" s="2" t="s">
        <v>7339</v>
      </c>
      <c r="BT384" s="2" t="str">
        <f>HYPERLINK("https%3A%2F%2Fwww.webofscience.com%2Fwos%2Fwoscc%2Ffull-record%2FWOS:000245312000012","View Full Record in Web of Science")</f>
        <v>View Full Record in Web of Science</v>
      </c>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row>
    <row r="385" spans="1:314" s="2" customFormat="1" x14ac:dyDescent="0.4">
      <c r="A385" s="2" t="s">
        <v>72</v>
      </c>
      <c r="B385" s="2" t="s">
        <v>8550</v>
      </c>
      <c r="C385" s="2" t="s">
        <v>74</v>
      </c>
      <c r="D385" s="2" t="s">
        <v>74</v>
      </c>
      <c r="E385" s="2" t="s">
        <v>74</v>
      </c>
      <c r="F385" s="2" t="s">
        <v>8551</v>
      </c>
      <c r="G385" s="2" t="s">
        <v>74</v>
      </c>
      <c r="H385" s="2" t="s">
        <v>74</v>
      </c>
      <c r="I385" s="2" t="s">
        <v>8552</v>
      </c>
      <c r="J385" s="2" t="s">
        <v>3595</v>
      </c>
      <c r="K385" s="2" t="s">
        <v>74</v>
      </c>
      <c r="L385" s="2" t="s">
        <v>74</v>
      </c>
      <c r="M385" s="2" t="s">
        <v>74</v>
      </c>
      <c r="N385" s="2" t="s">
        <v>74</v>
      </c>
      <c r="O385" s="2" t="s">
        <v>74</v>
      </c>
      <c r="P385" s="2" t="s">
        <v>74</v>
      </c>
      <c r="Q385" s="2" t="s">
        <v>74</v>
      </c>
      <c r="R385" s="2" t="s">
        <v>74</v>
      </c>
      <c r="S385" s="2" t="s">
        <v>74</v>
      </c>
      <c r="T385" s="2" t="s">
        <v>74</v>
      </c>
      <c r="U385" s="2" t="s">
        <v>74</v>
      </c>
      <c r="V385" s="5" t="s">
        <v>8553</v>
      </c>
      <c r="W385" s="2" t="s">
        <v>74</v>
      </c>
      <c r="X385" s="2" t="s">
        <v>74</v>
      </c>
      <c r="Y385" s="2" t="s">
        <v>74</v>
      </c>
      <c r="Z385" s="2" t="s">
        <v>74</v>
      </c>
      <c r="AA385" s="2" t="s">
        <v>74</v>
      </c>
      <c r="AB385" s="2" t="s">
        <v>8554</v>
      </c>
      <c r="AC385" s="2" t="s">
        <v>74</v>
      </c>
      <c r="AD385" s="2" t="s">
        <v>74</v>
      </c>
      <c r="AE385" s="2" t="s">
        <v>74</v>
      </c>
      <c r="AF385" s="2" t="s">
        <v>74</v>
      </c>
      <c r="AG385" s="2" t="s">
        <v>74</v>
      </c>
      <c r="AH385" s="2" t="s">
        <v>74</v>
      </c>
      <c r="AI385" s="2" t="s">
        <v>74</v>
      </c>
      <c r="AJ385" s="2" t="s">
        <v>74</v>
      </c>
      <c r="AK385" s="2" t="s">
        <v>74</v>
      </c>
      <c r="AL385" s="2" t="s">
        <v>74</v>
      </c>
      <c r="AM385" s="2" t="s">
        <v>74</v>
      </c>
      <c r="AN385" s="2" t="s">
        <v>74</v>
      </c>
      <c r="AO385" s="2" t="s">
        <v>3599</v>
      </c>
      <c r="AP385" s="2" t="s">
        <v>3600</v>
      </c>
      <c r="AQ385" s="2" t="s">
        <v>74</v>
      </c>
      <c r="AR385" s="2" t="s">
        <v>74</v>
      </c>
      <c r="AS385" s="2" t="s">
        <v>74</v>
      </c>
      <c r="AT385" s="2" t="s">
        <v>134</v>
      </c>
      <c r="AU385" s="2">
        <v>2020</v>
      </c>
      <c r="AV385" s="2">
        <v>172</v>
      </c>
      <c r="AW385" s="2">
        <v>1</v>
      </c>
      <c r="AX385" s="2" t="s">
        <v>74</v>
      </c>
      <c r="AY385" s="2" t="s">
        <v>74</v>
      </c>
      <c r="AZ385" s="2" t="s">
        <v>74</v>
      </c>
      <c r="BA385" s="2" t="s">
        <v>74</v>
      </c>
      <c r="BB385" s="2">
        <v>140</v>
      </c>
      <c r="BC385" s="2">
        <v>147</v>
      </c>
      <c r="BD385" s="2" t="s">
        <v>74</v>
      </c>
      <c r="BE385" s="2" t="s">
        <v>8555</v>
      </c>
      <c r="BF385" s="2" t="str">
        <f>HYPERLINK("http://dx.doi.org/10.1002/ajpa.24049","http://dx.doi.org/10.1002/ajpa.24049")</f>
        <v>http://dx.doi.org/10.1002/ajpa.24049</v>
      </c>
      <c r="BG385" s="2" t="s">
        <v>74</v>
      </c>
      <c r="BH385" s="2" t="s">
        <v>74</v>
      </c>
      <c r="BI385" s="2" t="s">
        <v>74</v>
      </c>
      <c r="BJ385" s="2" t="s">
        <v>74</v>
      </c>
      <c r="BK385" s="2" t="s">
        <v>74</v>
      </c>
      <c r="BL385" s="2" t="s">
        <v>74</v>
      </c>
      <c r="BM385" s="2" t="s">
        <v>74</v>
      </c>
      <c r="BN385" s="2">
        <v>32170724</v>
      </c>
      <c r="BO385" s="2" t="s">
        <v>74</v>
      </c>
      <c r="BP385" s="2" t="s">
        <v>74</v>
      </c>
      <c r="BQ385" s="2" t="s">
        <v>74</v>
      </c>
      <c r="BR385" s="2" t="s">
        <v>74</v>
      </c>
      <c r="BS385" s="2" t="s">
        <v>8556</v>
      </c>
      <c r="BT385" s="2" t="str">
        <f>HYPERLINK("https%3A%2F%2Fwww.webofscience.com%2Fwos%2Fwoscc%2Ffull-record%2FWOS:000527838500012","View Full Record in Web of Science")</f>
        <v>View Full Record in Web of Science</v>
      </c>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row>
    <row r="386" spans="1:314" s="2" customFormat="1" x14ac:dyDescent="0.4">
      <c r="A386" s="2" t="s">
        <v>72</v>
      </c>
      <c r="B386" s="2" t="s">
        <v>8114</v>
      </c>
      <c r="C386" s="2" t="s">
        <v>74</v>
      </c>
      <c r="D386" s="2" t="s">
        <v>74</v>
      </c>
      <c r="E386" s="2" t="s">
        <v>74</v>
      </c>
      <c r="F386" s="2" t="s">
        <v>8115</v>
      </c>
      <c r="G386" s="2" t="s">
        <v>74</v>
      </c>
      <c r="H386" s="2" t="s">
        <v>74</v>
      </c>
      <c r="I386" s="2" t="s">
        <v>8116</v>
      </c>
      <c r="J386" s="2" t="s">
        <v>2662</v>
      </c>
      <c r="K386" s="2" t="s">
        <v>74</v>
      </c>
      <c r="L386" s="2" t="s">
        <v>74</v>
      </c>
      <c r="M386" s="2" t="s">
        <v>74</v>
      </c>
      <c r="N386" s="2" t="s">
        <v>74</v>
      </c>
      <c r="O386" s="2" t="s">
        <v>74</v>
      </c>
      <c r="P386" s="2" t="s">
        <v>74</v>
      </c>
      <c r="Q386" s="2" t="s">
        <v>74</v>
      </c>
      <c r="R386" s="2" t="s">
        <v>74</v>
      </c>
      <c r="S386" s="2" t="s">
        <v>74</v>
      </c>
      <c r="T386" s="2" t="s">
        <v>74</v>
      </c>
      <c r="U386" s="2" t="s">
        <v>74</v>
      </c>
      <c r="V386" s="5" t="s">
        <v>8117</v>
      </c>
      <c r="W386" s="2" t="s">
        <v>74</v>
      </c>
      <c r="X386" s="2" t="s">
        <v>74</v>
      </c>
      <c r="Y386" s="2" t="s">
        <v>74</v>
      </c>
      <c r="Z386" s="2" t="s">
        <v>74</v>
      </c>
      <c r="AA386" s="2" t="s">
        <v>74</v>
      </c>
      <c r="AB386" s="2" t="s">
        <v>2537</v>
      </c>
      <c r="AC386" s="2" t="s">
        <v>74</v>
      </c>
      <c r="AD386" s="2" t="s">
        <v>74</v>
      </c>
      <c r="AE386" s="2" t="s">
        <v>74</v>
      </c>
      <c r="AF386" s="2" t="s">
        <v>74</v>
      </c>
      <c r="AG386" s="2" t="s">
        <v>74</v>
      </c>
      <c r="AH386" s="2" t="s">
        <v>74</v>
      </c>
      <c r="AI386" s="2" t="s">
        <v>74</v>
      </c>
      <c r="AJ386" s="2" t="s">
        <v>74</v>
      </c>
      <c r="AK386" s="2" t="s">
        <v>74</v>
      </c>
      <c r="AL386" s="2" t="s">
        <v>74</v>
      </c>
      <c r="AM386" s="2" t="s">
        <v>74</v>
      </c>
      <c r="AN386" s="2" t="s">
        <v>74</v>
      </c>
      <c r="AO386" s="2" t="s">
        <v>2664</v>
      </c>
      <c r="AP386" s="2" t="s">
        <v>2665</v>
      </c>
      <c r="AQ386" s="2" t="s">
        <v>74</v>
      </c>
      <c r="AR386" s="2" t="s">
        <v>74</v>
      </c>
      <c r="AS386" s="2" t="s">
        <v>74</v>
      </c>
      <c r="AT386" s="2" t="s">
        <v>123</v>
      </c>
      <c r="AU386" s="2">
        <v>2006</v>
      </c>
      <c r="AV386" s="2">
        <v>40</v>
      </c>
      <c r="AW386" s="2">
        <v>1</v>
      </c>
      <c r="AX386" s="2" t="s">
        <v>74</v>
      </c>
      <c r="AY386" s="2" t="s">
        <v>74</v>
      </c>
      <c r="AZ386" s="2" t="s">
        <v>74</v>
      </c>
      <c r="BA386" s="2" t="s">
        <v>74</v>
      </c>
      <c r="BB386" s="2">
        <v>1</v>
      </c>
      <c r="BC386" s="2">
        <v>28</v>
      </c>
      <c r="BD386" s="2" t="s">
        <v>74</v>
      </c>
      <c r="BE386" s="2" t="s">
        <v>8118</v>
      </c>
      <c r="BF386" s="2" t="str">
        <f>HYPERLINK("http://dx.doi.org/10.3356/0892-1016(2006)40[1:TAFAOG]2.0.CO;2","http://dx.doi.org/10.3356/0892-1016(2006)40[1:TAFAOG]2.0.CO;2")</f>
        <v>http://dx.doi.org/10.3356/0892-1016(2006)40[1:TAFAOG]2.0.CO;2</v>
      </c>
      <c r="BG386" s="2" t="s">
        <v>74</v>
      </c>
      <c r="BH386" s="2" t="s">
        <v>74</v>
      </c>
      <c r="BI386" s="2" t="s">
        <v>74</v>
      </c>
      <c r="BJ386" s="2" t="s">
        <v>74</v>
      </c>
      <c r="BK386" s="2" t="s">
        <v>74</v>
      </c>
      <c r="BL386" s="2" t="s">
        <v>74</v>
      </c>
      <c r="BM386" s="2" t="s">
        <v>74</v>
      </c>
      <c r="BN386" s="2" t="s">
        <v>74</v>
      </c>
      <c r="BO386" s="2" t="s">
        <v>74</v>
      </c>
      <c r="BP386" s="2" t="s">
        <v>74</v>
      </c>
      <c r="BQ386" s="2" t="s">
        <v>74</v>
      </c>
      <c r="BR386" s="2" t="s">
        <v>74</v>
      </c>
      <c r="BS386" s="2" t="s">
        <v>8119</v>
      </c>
      <c r="BT386" s="2" t="str">
        <f>HYPERLINK("https%3A%2F%2Fwww.webofscience.com%2Fwos%2Fwoscc%2Ffull-record%2FWOS:000237905000001","View Full Record in Web of Science")</f>
        <v>View Full Record in Web of Science</v>
      </c>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row>
    <row r="387" spans="1:314" s="2" customFormat="1" x14ac:dyDescent="0.4">
      <c r="A387" s="2" t="s">
        <v>72</v>
      </c>
      <c r="B387" s="2" t="s">
        <v>2534</v>
      </c>
      <c r="C387" s="2" t="s">
        <v>74</v>
      </c>
      <c r="D387" s="2" t="s">
        <v>74</v>
      </c>
      <c r="E387" s="2" t="s">
        <v>74</v>
      </c>
      <c r="F387" s="2" t="s">
        <v>2534</v>
      </c>
      <c r="G387" s="2" t="s">
        <v>74</v>
      </c>
      <c r="H387" s="2" t="s">
        <v>74</v>
      </c>
      <c r="I387" s="2" t="s">
        <v>2535</v>
      </c>
      <c r="J387" s="2" t="s">
        <v>431</v>
      </c>
      <c r="K387" s="2" t="s">
        <v>74</v>
      </c>
      <c r="L387" s="2" t="s">
        <v>74</v>
      </c>
      <c r="M387" s="2" t="s">
        <v>74</v>
      </c>
      <c r="N387" s="2" t="s">
        <v>74</v>
      </c>
      <c r="O387" s="2" t="s">
        <v>74</v>
      </c>
      <c r="P387" s="2" t="s">
        <v>74</v>
      </c>
      <c r="Q387" s="2" t="s">
        <v>74</v>
      </c>
      <c r="R387" s="2" t="s">
        <v>74</v>
      </c>
      <c r="S387" s="2" t="s">
        <v>74</v>
      </c>
      <c r="T387" s="2" t="s">
        <v>74</v>
      </c>
      <c r="U387" s="2" t="s">
        <v>74</v>
      </c>
      <c r="V387" s="5" t="s">
        <v>2536</v>
      </c>
      <c r="W387" s="2" t="s">
        <v>74</v>
      </c>
      <c r="X387" s="2" t="s">
        <v>74</v>
      </c>
      <c r="Y387" s="2" t="s">
        <v>74</v>
      </c>
      <c r="Z387" s="2" t="s">
        <v>74</v>
      </c>
      <c r="AA387" s="2" t="s">
        <v>74</v>
      </c>
      <c r="AB387" s="2" t="s">
        <v>2537</v>
      </c>
      <c r="AC387" s="2" t="s">
        <v>74</v>
      </c>
      <c r="AD387" s="2" t="s">
        <v>74</v>
      </c>
      <c r="AE387" s="2" t="s">
        <v>74</v>
      </c>
      <c r="AF387" s="2" t="s">
        <v>74</v>
      </c>
      <c r="AG387" s="2" t="s">
        <v>74</v>
      </c>
      <c r="AH387" s="2" t="s">
        <v>74</v>
      </c>
      <c r="AI387" s="2" t="s">
        <v>74</v>
      </c>
      <c r="AJ387" s="2" t="s">
        <v>74</v>
      </c>
      <c r="AK387" s="2" t="s">
        <v>74</v>
      </c>
      <c r="AL387" s="2" t="s">
        <v>74</v>
      </c>
      <c r="AM387" s="2" t="s">
        <v>74</v>
      </c>
      <c r="AN387" s="2" t="s">
        <v>74</v>
      </c>
      <c r="AO387" s="2" t="s">
        <v>74</v>
      </c>
      <c r="AP387" s="2" t="s">
        <v>435</v>
      </c>
      <c r="AQ387" s="2" t="s">
        <v>74</v>
      </c>
      <c r="AR387" s="2" t="s">
        <v>74</v>
      </c>
      <c r="AS387" s="2" t="s">
        <v>74</v>
      </c>
      <c r="AT387" s="2" t="s">
        <v>74</v>
      </c>
      <c r="AU387" s="2">
        <v>1983</v>
      </c>
      <c r="AV387" s="2">
        <v>100</v>
      </c>
      <c r="AW387" s="2">
        <v>2</v>
      </c>
      <c r="AX387" s="2" t="s">
        <v>74</v>
      </c>
      <c r="AY387" s="2" t="s">
        <v>74</v>
      </c>
      <c r="AZ387" s="2" t="s">
        <v>74</v>
      </c>
      <c r="BA387" s="2" t="s">
        <v>74</v>
      </c>
      <c r="BB387" s="2">
        <v>269</v>
      </c>
      <c r="BC387" s="2" t="s">
        <v>726</v>
      </c>
      <c r="BD387" s="2" t="s">
        <v>74</v>
      </c>
      <c r="BE387" s="2" t="s">
        <v>2538</v>
      </c>
      <c r="BF387" s="2" t="str">
        <f>HYPERLINK("http://dx.doi.org/10.1093/auk/100.2.269","http://dx.doi.org/10.1093/auk/100.2.269")</f>
        <v>http://dx.doi.org/10.1093/auk/100.2.269</v>
      </c>
      <c r="BG387" s="2" t="s">
        <v>74</v>
      </c>
      <c r="BH387" s="2" t="s">
        <v>74</v>
      </c>
      <c r="BI387" s="2" t="s">
        <v>74</v>
      </c>
      <c r="BJ387" s="2" t="s">
        <v>74</v>
      </c>
      <c r="BK387" s="2" t="s">
        <v>74</v>
      </c>
      <c r="BL387" s="2" t="s">
        <v>74</v>
      </c>
      <c r="BM387" s="2" t="s">
        <v>74</v>
      </c>
      <c r="BN387" s="2" t="s">
        <v>74</v>
      </c>
      <c r="BO387" s="2" t="s">
        <v>74</v>
      </c>
      <c r="BP387" s="2" t="s">
        <v>74</v>
      </c>
      <c r="BQ387" s="2" t="s">
        <v>74</v>
      </c>
      <c r="BR387" s="2" t="s">
        <v>74</v>
      </c>
      <c r="BS387" s="2" t="s">
        <v>2539</v>
      </c>
      <c r="BT387" s="2" t="str">
        <f>HYPERLINK("https%3A%2F%2Fwww.webofscience.com%2Fwos%2Fwoscc%2Ffull-record%2FWOS:A1983QX26300001","View Full Record in Web of Science")</f>
        <v>View Full Record in Web of Science</v>
      </c>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row>
    <row r="388" spans="1:314" s="2" customFormat="1" x14ac:dyDescent="0.4">
      <c r="A388" s="2" t="s">
        <v>72</v>
      </c>
      <c r="B388" s="2" t="s">
        <v>707</v>
      </c>
      <c r="C388" s="2" t="s">
        <v>74</v>
      </c>
      <c r="D388" s="2" t="s">
        <v>74</v>
      </c>
      <c r="E388" s="2" t="s">
        <v>74</v>
      </c>
      <c r="F388" s="2" t="s">
        <v>707</v>
      </c>
      <c r="G388" s="2" t="s">
        <v>74</v>
      </c>
      <c r="H388" s="2" t="s">
        <v>74</v>
      </c>
      <c r="I388" s="2" t="s">
        <v>708</v>
      </c>
      <c r="J388" s="2" t="s">
        <v>408</v>
      </c>
      <c r="K388" s="2" t="s">
        <v>74</v>
      </c>
      <c r="L388" s="2" t="s">
        <v>74</v>
      </c>
      <c r="M388" s="2" t="s">
        <v>74</v>
      </c>
      <c r="N388" s="2" t="s">
        <v>74</v>
      </c>
      <c r="O388" s="2" t="s">
        <v>74</v>
      </c>
      <c r="P388" s="2" t="s">
        <v>74</v>
      </c>
      <c r="Q388" s="2" t="s">
        <v>74</v>
      </c>
      <c r="R388" s="2" t="s">
        <v>74</v>
      </c>
      <c r="S388" s="2" t="s">
        <v>74</v>
      </c>
      <c r="T388" s="2" t="s">
        <v>74</v>
      </c>
      <c r="U388" s="2" t="s">
        <v>74</v>
      </c>
      <c r="V388" s="5" t="s">
        <v>709</v>
      </c>
      <c r="W388" s="2" t="s">
        <v>74</v>
      </c>
      <c r="X388" s="2" t="s">
        <v>74</v>
      </c>
      <c r="Y388" s="2" t="s">
        <v>74</v>
      </c>
      <c r="Z388" s="2" t="s">
        <v>74</v>
      </c>
      <c r="AA388" s="2" t="s">
        <v>710</v>
      </c>
      <c r="AB388" s="2" t="s">
        <v>711</v>
      </c>
      <c r="AC388" s="2" t="s">
        <v>74</v>
      </c>
      <c r="AD388" s="2" t="s">
        <v>74</v>
      </c>
      <c r="AE388" s="2" t="s">
        <v>74</v>
      </c>
      <c r="AF388" s="2" t="s">
        <v>74</v>
      </c>
      <c r="AG388" s="2" t="s">
        <v>74</v>
      </c>
      <c r="AH388" s="2" t="s">
        <v>74</v>
      </c>
      <c r="AI388" s="2" t="s">
        <v>74</v>
      </c>
      <c r="AJ388" s="2" t="s">
        <v>74</v>
      </c>
      <c r="AK388" s="2" t="s">
        <v>74</v>
      </c>
      <c r="AL388" s="2" t="s">
        <v>74</v>
      </c>
      <c r="AM388" s="2" t="s">
        <v>74</v>
      </c>
      <c r="AN388" s="2" t="s">
        <v>74</v>
      </c>
      <c r="AO388" s="2" t="s">
        <v>412</v>
      </c>
      <c r="AP388" s="2" t="s">
        <v>413</v>
      </c>
      <c r="AQ388" s="2" t="s">
        <v>74</v>
      </c>
      <c r="AR388" s="2" t="s">
        <v>74</v>
      </c>
      <c r="AS388" s="2" t="s">
        <v>74</v>
      </c>
      <c r="AT388" s="2" t="s">
        <v>305</v>
      </c>
      <c r="AU388" s="2">
        <v>1990</v>
      </c>
      <c r="AV388" s="2">
        <v>41</v>
      </c>
      <c r="AW388" s="2">
        <v>4</v>
      </c>
      <c r="AX388" s="2" t="s">
        <v>74</v>
      </c>
      <c r="AY388" s="2" t="s">
        <v>74</v>
      </c>
      <c r="AZ388" s="2" t="s">
        <v>74</v>
      </c>
      <c r="BA388" s="2" t="s">
        <v>74</v>
      </c>
      <c r="BB388" s="2">
        <v>315</v>
      </c>
      <c r="BC388" s="2">
        <v>352</v>
      </c>
      <c r="BD388" s="2" t="s">
        <v>74</v>
      </c>
      <c r="BE388" s="2" t="s">
        <v>712</v>
      </c>
      <c r="BF388" s="2" t="str">
        <f>HYPERLINK("http://dx.doi.org/10.1111/j.1095-8312.1990.tb00839.x","http://dx.doi.org/10.1111/j.1095-8312.1990.tb00839.x")</f>
        <v>http://dx.doi.org/10.1111/j.1095-8312.1990.tb00839.x</v>
      </c>
      <c r="BG388" s="2" t="s">
        <v>74</v>
      </c>
      <c r="BH388" s="2" t="s">
        <v>74</v>
      </c>
      <c r="BI388" s="2" t="s">
        <v>74</v>
      </c>
      <c r="BJ388" s="2" t="s">
        <v>74</v>
      </c>
      <c r="BK388" s="2" t="s">
        <v>74</v>
      </c>
      <c r="BL388" s="2" t="s">
        <v>74</v>
      </c>
      <c r="BM388" s="2" t="s">
        <v>74</v>
      </c>
      <c r="BN388" s="2" t="s">
        <v>74</v>
      </c>
      <c r="BO388" s="2" t="s">
        <v>74</v>
      </c>
      <c r="BP388" s="2" t="s">
        <v>74</v>
      </c>
      <c r="BQ388" s="2" t="s">
        <v>74</v>
      </c>
      <c r="BR388" s="2" t="s">
        <v>74</v>
      </c>
      <c r="BS388" s="2" t="s">
        <v>713</v>
      </c>
      <c r="BT388" s="2" t="str">
        <f>HYPERLINK("https%3A%2F%2Fwww.webofscience.com%2Fwos%2Fwoscc%2Ffull-record%2FWOS:A1990EQ25300002","View Full Record in Web of Science")</f>
        <v>View Full Record in Web of Science</v>
      </c>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row>
    <row r="389" spans="1:314" s="2" customFormat="1" x14ac:dyDescent="0.4">
      <c r="A389" s="2" t="s">
        <v>72</v>
      </c>
      <c r="B389" s="2" t="s">
        <v>5434</v>
      </c>
      <c r="C389" s="2" t="s">
        <v>74</v>
      </c>
      <c r="D389" s="2" t="s">
        <v>74</v>
      </c>
      <c r="E389" s="2" t="s">
        <v>74</v>
      </c>
      <c r="F389" s="2" t="s">
        <v>5435</v>
      </c>
      <c r="G389" s="2" t="s">
        <v>74</v>
      </c>
      <c r="H389" s="2" t="s">
        <v>74</v>
      </c>
      <c r="I389" s="2" t="s">
        <v>5436</v>
      </c>
      <c r="J389" s="2" t="s">
        <v>229</v>
      </c>
      <c r="K389" s="2" t="s">
        <v>74</v>
      </c>
      <c r="L389" s="2" t="s">
        <v>74</v>
      </c>
      <c r="M389" s="2" t="s">
        <v>74</v>
      </c>
      <c r="N389" s="2" t="s">
        <v>74</v>
      </c>
      <c r="O389" s="2" t="s">
        <v>74</v>
      </c>
      <c r="P389" s="2" t="s">
        <v>74</v>
      </c>
      <c r="Q389" s="2" t="s">
        <v>74</v>
      </c>
      <c r="R389" s="2" t="s">
        <v>74</v>
      </c>
      <c r="S389" s="2" t="s">
        <v>74</v>
      </c>
      <c r="T389" s="2" t="s">
        <v>74</v>
      </c>
      <c r="U389" s="2" t="s">
        <v>74</v>
      </c>
      <c r="V389" s="5" t="s">
        <v>5437</v>
      </c>
      <c r="W389" s="2" t="s">
        <v>74</v>
      </c>
      <c r="X389" s="2" t="s">
        <v>74</v>
      </c>
      <c r="Y389" s="2" t="s">
        <v>74</v>
      </c>
      <c r="Z389" s="2" t="s">
        <v>74</v>
      </c>
      <c r="AA389" s="2" t="s">
        <v>5438</v>
      </c>
      <c r="AB389" s="2" t="s">
        <v>5439</v>
      </c>
      <c r="AC389" s="2" t="s">
        <v>74</v>
      </c>
      <c r="AD389" s="2" t="s">
        <v>74</v>
      </c>
      <c r="AE389" s="2" t="s">
        <v>74</v>
      </c>
      <c r="AF389" s="2" t="s">
        <v>74</v>
      </c>
      <c r="AG389" s="2" t="s">
        <v>74</v>
      </c>
      <c r="AH389" s="2" t="s">
        <v>74</v>
      </c>
      <c r="AI389" s="2" t="s">
        <v>74</v>
      </c>
      <c r="AJ389" s="2" t="s">
        <v>74</v>
      </c>
      <c r="AK389" s="2" t="s">
        <v>74</v>
      </c>
      <c r="AL389" s="2" t="s">
        <v>74</v>
      </c>
      <c r="AM389" s="2" t="s">
        <v>74</v>
      </c>
      <c r="AN389" s="2" t="s">
        <v>74</v>
      </c>
      <c r="AO389" s="2" t="s">
        <v>233</v>
      </c>
      <c r="AP389" s="2" t="s">
        <v>234</v>
      </c>
      <c r="AQ389" s="2" t="s">
        <v>74</v>
      </c>
      <c r="AR389" s="2" t="s">
        <v>74</v>
      </c>
      <c r="AS389" s="2" t="s">
        <v>74</v>
      </c>
      <c r="AT389" s="2" t="s">
        <v>123</v>
      </c>
      <c r="AU389" s="2">
        <v>2014</v>
      </c>
      <c r="AV389" s="2">
        <v>40</v>
      </c>
      <c r="AW389" s="2">
        <v>2</v>
      </c>
      <c r="AX389" s="2" t="s">
        <v>74</v>
      </c>
      <c r="AY389" s="2" t="s">
        <v>74</v>
      </c>
      <c r="AZ389" s="2" t="s">
        <v>74</v>
      </c>
      <c r="BA389" s="2" t="s">
        <v>74</v>
      </c>
      <c r="BB389" s="2">
        <v>109</v>
      </c>
      <c r="BC389" s="2">
        <v>119</v>
      </c>
      <c r="BD389" s="2" t="s">
        <v>74</v>
      </c>
      <c r="BE389" s="2" t="s">
        <v>5440</v>
      </c>
      <c r="BF389" s="2" t="str">
        <f>HYPERLINK("http://dx.doi.org/10.1002/ab.21508","http://dx.doi.org/10.1002/ab.21508")</f>
        <v>http://dx.doi.org/10.1002/ab.21508</v>
      </c>
      <c r="BG389" s="2" t="s">
        <v>74</v>
      </c>
      <c r="BH389" s="2" t="s">
        <v>74</v>
      </c>
      <c r="BI389" s="2" t="s">
        <v>74</v>
      </c>
      <c r="BJ389" s="2" t="s">
        <v>74</v>
      </c>
      <c r="BK389" s="2" t="s">
        <v>74</v>
      </c>
      <c r="BL389" s="2" t="s">
        <v>74</v>
      </c>
      <c r="BM389" s="2" t="s">
        <v>74</v>
      </c>
      <c r="BN389" s="2">
        <v>24497000</v>
      </c>
      <c r="BO389" s="2" t="s">
        <v>74</v>
      </c>
      <c r="BP389" s="2" t="s">
        <v>74</v>
      </c>
      <c r="BQ389" s="2" t="s">
        <v>74</v>
      </c>
      <c r="BR389" s="2" t="s">
        <v>74</v>
      </c>
      <c r="BS389" s="2" t="s">
        <v>5441</v>
      </c>
      <c r="BT389" s="2" t="str">
        <f>HYPERLINK("https%3A%2F%2Fwww.webofscience.com%2Fwos%2Fwoscc%2Ffull-record%2FWOS:000331255700002","View Full Record in Web of Science")</f>
        <v>View Full Record in Web of Science</v>
      </c>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row>
    <row r="390" spans="1:314" s="2" customFormat="1" x14ac:dyDescent="0.4">
      <c r="A390" s="2" t="s">
        <v>72</v>
      </c>
      <c r="B390" s="2" t="s">
        <v>5383</v>
      </c>
      <c r="C390" s="2" t="s">
        <v>74</v>
      </c>
      <c r="D390" s="2" t="s">
        <v>74</v>
      </c>
      <c r="E390" s="2" t="s">
        <v>74</v>
      </c>
      <c r="F390" s="2" t="s">
        <v>5383</v>
      </c>
      <c r="G390" s="2" t="s">
        <v>74</v>
      </c>
      <c r="H390" s="2" t="s">
        <v>74</v>
      </c>
      <c r="I390" s="2" t="s">
        <v>5384</v>
      </c>
      <c r="J390" s="2" t="s">
        <v>5385</v>
      </c>
      <c r="K390" s="2" t="s">
        <v>74</v>
      </c>
      <c r="L390" s="2" t="s">
        <v>74</v>
      </c>
      <c r="M390" s="2" t="s">
        <v>74</v>
      </c>
      <c r="N390" s="2" t="s">
        <v>74</v>
      </c>
      <c r="O390" s="2" t="s">
        <v>74</v>
      </c>
      <c r="P390" s="2" t="s">
        <v>74</v>
      </c>
      <c r="Q390" s="2" t="s">
        <v>74</v>
      </c>
      <c r="R390" s="2" t="s">
        <v>74</v>
      </c>
      <c r="S390" s="2" t="s">
        <v>74</v>
      </c>
      <c r="T390" s="2" t="s">
        <v>74</v>
      </c>
      <c r="U390" s="2" t="s">
        <v>74</v>
      </c>
      <c r="V390" s="5" t="s">
        <v>5386</v>
      </c>
      <c r="W390" s="2" t="s">
        <v>74</v>
      </c>
      <c r="X390" s="2" t="s">
        <v>74</v>
      </c>
      <c r="Y390" s="2" t="s">
        <v>74</v>
      </c>
      <c r="Z390" s="2" t="s">
        <v>74</v>
      </c>
      <c r="AA390" s="2" t="s">
        <v>74</v>
      </c>
      <c r="AB390" s="2" t="s">
        <v>74</v>
      </c>
      <c r="AC390" s="2" t="s">
        <v>74</v>
      </c>
      <c r="AD390" s="2" t="s">
        <v>74</v>
      </c>
      <c r="AE390" s="2" t="s">
        <v>74</v>
      </c>
      <c r="AF390" s="2" t="s">
        <v>74</v>
      </c>
      <c r="AG390" s="2" t="s">
        <v>74</v>
      </c>
      <c r="AH390" s="2" t="s">
        <v>74</v>
      </c>
      <c r="AI390" s="2" t="s">
        <v>74</v>
      </c>
      <c r="AJ390" s="2" t="s">
        <v>74</v>
      </c>
      <c r="AK390" s="2" t="s">
        <v>74</v>
      </c>
      <c r="AL390" s="2" t="s">
        <v>74</v>
      </c>
      <c r="AM390" s="2" t="s">
        <v>74</v>
      </c>
      <c r="AN390" s="2" t="s">
        <v>74</v>
      </c>
      <c r="AO390" s="2" t="s">
        <v>5387</v>
      </c>
      <c r="AP390" s="2" t="s">
        <v>74</v>
      </c>
      <c r="AQ390" s="2" t="s">
        <v>74</v>
      </c>
      <c r="AR390" s="2" t="s">
        <v>74</v>
      </c>
      <c r="AS390" s="2" t="s">
        <v>74</v>
      </c>
      <c r="AT390" s="2" t="s">
        <v>74</v>
      </c>
      <c r="AU390" s="2">
        <v>1993</v>
      </c>
      <c r="AV390" s="2">
        <v>35</v>
      </c>
      <c r="AW390" s="2">
        <v>2</v>
      </c>
      <c r="AX390" s="2" t="s">
        <v>74</v>
      </c>
      <c r="AY390" s="2" t="s">
        <v>74</v>
      </c>
      <c r="AZ390" s="2" t="s">
        <v>74</v>
      </c>
      <c r="BA390" s="2" t="s">
        <v>74</v>
      </c>
      <c r="BB390" s="2">
        <v>371</v>
      </c>
      <c r="BC390" s="2">
        <v>388</v>
      </c>
      <c r="BD390" s="2" t="s">
        <v>74</v>
      </c>
      <c r="BE390" s="2" t="s">
        <v>74</v>
      </c>
      <c r="BF390" s="2" t="s">
        <v>74</v>
      </c>
      <c r="BG390" s="2" t="s">
        <v>74</v>
      </c>
      <c r="BH390" s="2" t="s">
        <v>74</v>
      </c>
      <c r="BI390" s="2" t="s">
        <v>74</v>
      </c>
      <c r="BJ390" s="2" t="s">
        <v>74</v>
      </c>
      <c r="BK390" s="2" t="s">
        <v>74</v>
      </c>
      <c r="BL390" s="2" t="s">
        <v>74</v>
      </c>
      <c r="BM390" s="2" t="s">
        <v>74</v>
      </c>
      <c r="BN390" s="2" t="s">
        <v>74</v>
      </c>
      <c r="BO390" s="2" t="s">
        <v>74</v>
      </c>
      <c r="BP390" s="2" t="s">
        <v>74</v>
      </c>
      <c r="BQ390" s="2" t="s">
        <v>74</v>
      </c>
      <c r="BR390" s="2" t="s">
        <v>74</v>
      </c>
      <c r="BS390" s="2" t="s">
        <v>5388</v>
      </c>
      <c r="BT390" s="2" t="str">
        <f>HYPERLINK("https%3A%2F%2Fwww.webofscience.com%2Fwos%2Fwoscc%2Ffull-record%2FWOS:A1993MK18700007","View Full Record in Web of Science")</f>
        <v>View Full Record in Web of Science</v>
      </c>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row>
    <row r="391" spans="1:314" s="2" customFormat="1" x14ac:dyDescent="0.4">
      <c r="A391" s="2" t="s">
        <v>72</v>
      </c>
      <c r="B391" s="2" t="s">
        <v>7131</v>
      </c>
      <c r="C391" s="2" t="s">
        <v>74</v>
      </c>
      <c r="D391" s="2" t="s">
        <v>74</v>
      </c>
      <c r="E391" s="2" t="s">
        <v>74</v>
      </c>
      <c r="F391" s="2" t="s">
        <v>7132</v>
      </c>
      <c r="G391" s="2" t="s">
        <v>74</v>
      </c>
      <c r="H391" s="2" t="s">
        <v>74</v>
      </c>
      <c r="I391" s="2" t="s">
        <v>7133</v>
      </c>
      <c r="J391" s="2" t="s">
        <v>119</v>
      </c>
      <c r="K391" s="2" t="s">
        <v>74</v>
      </c>
      <c r="L391" s="2" t="s">
        <v>74</v>
      </c>
      <c r="M391" s="2" t="s">
        <v>74</v>
      </c>
      <c r="N391" s="2" t="s">
        <v>74</v>
      </c>
      <c r="O391" s="2" t="s">
        <v>74</v>
      </c>
      <c r="P391" s="2" t="s">
        <v>74</v>
      </c>
      <c r="Q391" s="2" t="s">
        <v>74</v>
      </c>
      <c r="R391" s="2" t="s">
        <v>74</v>
      </c>
      <c r="S391" s="2" t="s">
        <v>74</v>
      </c>
      <c r="T391" s="2" t="s">
        <v>74</v>
      </c>
      <c r="U391" s="2" t="s">
        <v>74</v>
      </c>
      <c r="V391" s="5" t="s">
        <v>7134</v>
      </c>
      <c r="W391" s="2" t="s">
        <v>74</v>
      </c>
      <c r="X391" s="2" t="s">
        <v>74</v>
      </c>
      <c r="Y391" s="2" t="s">
        <v>74</v>
      </c>
      <c r="Z391" s="2" t="s">
        <v>74</v>
      </c>
      <c r="AA391" s="2" t="s">
        <v>7135</v>
      </c>
      <c r="AB391" s="2" t="s">
        <v>7136</v>
      </c>
      <c r="AC391" s="2" t="s">
        <v>74</v>
      </c>
      <c r="AD391" s="2" t="s">
        <v>74</v>
      </c>
      <c r="AE391" s="2" t="s">
        <v>74</v>
      </c>
      <c r="AF391" s="2" t="s">
        <v>74</v>
      </c>
      <c r="AG391" s="2" t="s">
        <v>74</v>
      </c>
      <c r="AH391" s="2" t="s">
        <v>74</v>
      </c>
      <c r="AI391" s="2" t="s">
        <v>74</v>
      </c>
      <c r="AJ391" s="2" t="s">
        <v>74</v>
      </c>
      <c r="AK391" s="2" t="s">
        <v>74</v>
      </c>
      <c r="AL391" s="2" t="s">
        <v>74</v>
      </c>
      <c r="AM391" s="2" t="s">
        <v>74</v>
      </c>
      <c r="AN391" s="2" t="s">
        <v>74</v>
      </c>
      <c r="AO391" s="2" t="s">
        <v>121</v>
      </c>
      <c r="AP391" s="2" t="s">
        <v>122</v>
      </c>
      <c r="AQ391" s="2" t="s">
        <v>74</v>
      </c>
      <c r="AR391" s="2" t="s">
        <v>74</v>
      </c>
      <c r="AS391" s="2" t="s">
        <v>74</v>
      </c>
      <c r="AT391" s="2" t="s">
        <v>352</v>
      </c>
      <c r="AU391" s="2">
        <v>2017</v>
      </c>
      <c r="AV391" s="2">
        <v>142</v>
      </c>
      <c r="AW391" s="2" t="s">
        <v>74</v>
      </c>
      <c r="AX391" s="2" t="s">
        <v>74</v>
      </c>
      <c r="AY391" s="2" t="s">
        <v>74</v>
      </c>
      <c r="AZ391" s="2" t="s">
        <v>74</v>
      </c>
      <c r="BA391" s="2" t="s">
        <v>74</v>
      </c>
      <c r="BB391" s="2">
        <v>116</v>
      </c>
      <c r="BC391" s="2">
        <v>118</v>
      </c>
      <c r="BD391" s="2" t="s">
        <v>74</v>
      </c>
      <c r="BE391" s="2" t="s">
        <v>7137</v>
      </c>
      <c r="BF391" s="2" t="str">
        <f>HYPERLINK("http://dx.doi.org/10.1016/j.beproc.2017.07.002","http://dx.doi.org/10.1016/j.beproc.2017.07.002")</f>
        <v>http://dx.doi.org/10.1016/j.beproc.2017.07.002</v>
      </c>
      <c r="BG391" s="2" t="s">
        <v>74</v>
      </c>
      <c r="BH391" s="2" t="s">
        <v>74</v>
      </c>
      <c r="BI391" s="2" t="s">
        <v>74</v>
      </c>
      <c r="BJ391" s="2" t="s">
        <v>74</v>
      </c>
      <c r="BK391" s="2" t="s">
        <v>74</v>
      </c>
      <c r="BL391" s="2" t="s">
        <v>74</v>
      </c>
      <c r="BM391" s="2" t="s">
        <v>74</v>
      </c>
      <c r="BN391" s="2">
        <v>28694127</v>
      </c>
      <c r="BO391" s="2" t="s">
        <v>74</v>
      </c>
      <c r="BP391" s="2" t="s">
        <v>74</v>
      </c>
      <c r="BQ391" s="2" t="s">
        <v>74</v>
      </c>
      <c r="BR391" s="2" t="s">
        <v>74</v>
      </c>
      <c r="BS391" s="2" t="s">
        <v>7138</v>
      </c>
      <c r="BT391" s="2" t="str">
        <f>HYPERLINK("https%3A%2F%2Fwww.webofscience.com%2Fwos%2Fwoscc%2Ffull-record%2FWOS:000411539500017","View Full Record in Web of Science")</f>
        <v>View Full Record in Web of Science</v>
      </c>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row>
    <row r="392" spans="1:314" s="2" customFormat="1" x14ac:dyDescent="0.4">
      <c r="A392" s="2" t="s">
        <v>72</v>
      </c>
      <c r="B392" s="2" t="s">
        <v>6651</v>
      </c>
      <c r="C392" s="2" t="s">
        <v>74</v>
      </c>
      <c r="D392" s="2" t="s">
        <v>74</v>
      </c>
      <c r="E392" s="2" t="s">
        <v>74</v>
      </c>
      <c r="F392" s="2" t="s">
        <v>6652</v>
      </c>
      <c r="G392" s="2" t="s">
        <v>74</v>
      </c>
      <c r="H392" s="2" t="s">
        <v>74</v>
      </c>
      <c r="I392" s="2" t="s">
        <v>6653</v>
      </c>
      <c r="J392" s="2" t="s">
        <v>824</v>
      </c>
      <c r="K392" s="2" t="s">
        <v>74</v>
      </c>
      <c r="L392" s="2" t="s">
        <v>74</v>
      </c>
      <c r="M392" s="2" t="s">
        <v>74</v>
      </c>
      <c r="N392" s="2" t="s">
        <v>74</v>
      </c>
      <c r="O392" s="2" t="s">
        <v>74</v>
      </c>
      <c r="P392" s="2" t="s">
        <v>74</v>
      </c>
      <c r="Q392" s="2" t="s">
        <v>74</v>
      </c>
      <c r="R392" s="2" t="s">
        <v>74</v>
      </c>
      <c r="S392" s="2" t="s">
        <v>74</v>
      </c>
      <c r="T392" s="2" t="s">
        <v>74</v>
      </c>
      <c r="U392" s="2" t="s">
        <v>74</v>
      </c>
      <c r="V392" s="5" t="s">
        <v>6654</v>
      </c>
      <c r="W392" s="2" t="s">
        <v>74</v>
      </c>
      <c r="X392" s="2" t="s">
        <v>74</v>
      </c>
      <c r="Y392" s="2" t="s">
        <v>74</v>
      </c>
      <c r="Z392" s="2" t="s">
        <v>74</v>
      </c>
      <c r="AA392" s="2" t="s">
        <v>6655</v>
      </c>
      <c r="AB392" s="2" t="s">
        <v>6656</v>
      </c>
      <c r="AC392" s="2" t="s">
        <v>74</v>
      </c>
      <c r="AD392" s="2" t="s">
        <v>74</v>
      </c>
      <c r="AE392" s="2" t="s">
        <v>74</v>
      </c>
      <c r="AF392" s="2" t="s">
        <v>74</v>
      </c>
      <c r="AG392" s="2" t="s">
        <v>74</v>
      </c>
      <c r="AH392" s="2" t="s">
        <v>74</v>
      </c>
      <c r="AI392" s="2" t="s">
        <v>74</v>
      </c>
      <c r="AJ392" s="2" t="s">
        <v>74</v>
      </c>
      <c r="AK392" s="2" t="s">
        <v>74</v>
      </c>
      <c r="AL392" s="2" t="s">
        <v>74</v>
      </c>
      <c r="AM392" s="2" t="s">
        <v>74</v>
      </c>
      <c r="AN392" s="2" t="s">
        <v>74</v>
      </c>
      <c r="AO392" s="2" t="s">
        <v>828</v>
      </c>
      <c r="AP392" s="2" t="s">
        <v>829</v>
      </c>
      <c r="AQ392" s="2" t="s">
        <v>74</v>
      </c>
      <c r="AR392" s="2" t="s">
        <v>74</v>
      </c>
      <c r="AS392" s="2" t="s">
        <v>74</v>
      </c>
      <c r="AT392" s="2" t="s">
        <v>352</v>
      </c>
      <c r="AU392" s="2">
        <v>2018</v>
      </c>
      <c r="AV392" s="2">
        <v>87</v>
      </c>
      <c r="AW392" s="2">
        <v>5</v>
      </c>
      <c r="AX392" s="2" t="s">
        <v>74</v>
      </c>
      <c r="AY392" s="2" t="s">
        <v>74</v>
      </c>
      <c r="AZ392" s="2" t="s">
        <v>74</v>
      </c>
      <c r="BA392" s="2" t="s">
        <v>74</v>
      </c>
      <c r="BB392" s="2">
        <v>1274</v>
      </c>
      <c r="BC392" s="2">
        <v>1285</v>
      </c>
      <c r="BD392" s="2" t="s">
        <v>74</v>
      </c>
      <c r="BE392" s="2" t="s">
        <v>6657</v>
      </c>
      <c r="BF392" s="2" t="str">
        <f>HYPERLINK("http://dx.doi.org/10.1111/1365-2656.12855","http://dx.doi.org/10.1111/1365-2656.12855")</f>
        <v>http://dx.doi.org/10.1111/1365-2656.12855</v>
      </c>
      <c r="BG392" s="2" t="s">
        <v>74</v>
      </c>
      <c r="BH392" s="2" t="s">
        <v>74</v>
      </c>
      <c r="BI392" s="2" t="s">
        <v>74</v>
      </c>
      <c r="BJ392" s="2" t="s">
        <v>74</v>
      </c>
      <c r="BK392" s="2" t="s">
        <v>74</v>
      </c>
      <c r="BL392" s="2" t="s">
        <v>74</v>
      </c>
      <c r="BM392" s="2" t="s">
        <v>74</v>
      </c>
      <c r="BN392" s="2">
        <v>29943467</v>
      </c>
      <c r="BO392" s="2" t="s">
        <v>74</v>
      </c>
      <c r="BP392" s="2" t="s">
        <v>74</v>
      </c>
      <c r="BQ392" s="2" t="s">
        <v>74</v>
      </c>
      <c r="BR392" s="2" t="s">
        <v>74</v>
      </c>
      <c r="BS392" s="2" t="s">
        <v>6658</v>
      </c>
      <c r="BT392" s="2" t="str">
        <f>HYPERLINK("https%3A%2F%2Fwww.webofscience.com%2Fwos%2Fwoscc%2Ffull-record%2FWOS:000441246100008","View Full Record in Web of Science")</f>
        <v>View Full Record in Web of Science</v>
      </c>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row>
    <row r="393" spans="1:314" s="2" customFormat="1" x14ac:dyDescent="0.4">
      <c r="A393" s="2" t="s">
        <v>72</v>
      </c>
      <c r="B393" s="2" t="s">
        <v>6470</v>
      </c>
      <c r="C393" s="2" t="s">
        <v>74</v>
      </c>
      <c r="D393" s="2" t="s">
        <v>74</v>
      </c>
      <c r="E393" s="2" t="s">
        <v>74</v>
      </c>
      <c r="F393" s="2" t="s">
        <v>6470</v>
      </c>
      <c r="G393" s="2" t="s">
        <v>74</v>
      </c>
      <c r="H393" s="2" t="s">
        <v>74</v>
      </c>
      <c r="I393" s="2" t="s">
        <v>6471</v>
      </c>
      <c r="J393" s="2" t="s">
        <v>77</v>
      </c>
      <c r="K393" s="2" t="s">
        <v>74</v>
      </c>
      <c r="L393" s="2" t="s">
        <v>74</v>
      </c>
      <c r="M393" s="2" t="s">
        <v>74</v>
      </c>
      <c r="N393" s="2" t="s">
        <v>74</v>
      </c>
      <c r="O393" s="2" t="s">
        <v>74</v>
      </c>
      <c r="P393" s="2" t="s">
        <v>74</v>
      </c>
      <c r="Q393" s="2" t="s">
        <v>74</v>
      </c>
      <c r="R393" s="2" t="s">
        <v>74</v>
      </c>
      <c r="S393" s="2" t="s">
        <v>74</v>
      </c>
      <c r="T393" s="2" t="s">
        <v>74</v>
      </c>
      <c r="U393" s="2" t="s">
        <v>74</v>
      </c>
      <c r="V393" s="5" t="s">
        <v>6472</v>
      </c>
      <c r="W393" s="2" t="s">
        <v>74</v>
      </c>
      <c r="X393" s="2" t="s">
        <v>74</v>
      </c>
      <c r="Y393" s="2" t="s">
        <v>74</v>
      </c>
      <c r="Z393" s="2" t="s">
        <v>74</v>
      </c>
      <c r="AA393" s="2" t="s">
        <v>6473</v>
      </c>
      <c r="AB393" s="2" t="s">
        <v>74</v>
      </c>
      <c r="AC393" s="2" t="s">
        <v>74</v>
      </c>
      <c r="AD393" s="2" t="s">
        <v>74</v>
      </c>
      <c r="AE393" s="2" t="s">
        <v>74</v>
      </c>
      <c r="AF393" s="2" t="s">
        <v>74</v>
      </c>
      <c r="AG393" s="2" t="s">
        <v>74</v>
      </c>
      <c r="AH393" s="2" t="s">
        <v>74</v>
      </c>
      <c r="AI393" s="2" t="s">
        <v>74</v>
      </c>
      <c r="AJ393" s="2" t="s">
        <v>74</v>
      </c>
      <c r="AK393" s="2" t="s">
        <v>74</v>
      </c>
      <c r="AL393" s="2" t="s">
        <v>74</v>
      </c>
      <c r="AM393" s="2" t="s">
        <v>74</v>
      </c>
      <c r="AN393" s="2" t="s">
        <v>74</v>
      </c>
      <c r="AO393" s="2" t="s">
        <v>81</v>
      </c>
      <c r="AP393" s="2" t="s">
        <v>82</v>
      </c>
      <c r="AQ393" s="2" t="s">
        <v>74</v>
      </c>
      <c r="AR393" s="2" t="s">
        <v>74</v>
      </c>
      <c r="AS393" s="2" t="s">
        <v>74</v>
      </c>
      <c r="AT393" s="2" t="s">
        <v>74</v>
      </c>
      <c r="AU393" s="2">
        <v>1980</v>
      </c>
      <c r="AV393" s="2">
        <v>74</v>
      </c>
      <c r="AW393" s="2" t="s">
        <v>74</v>
      </c>
      <c r="AX393" s="2" t="s">
        <v>548</v>
      </c>
      <c r="AY393" s="2" t="s">
        <v>74</v>
      </c>
      <c r="AZ393" s="2" t="s">
        <v>74</v>
      </c>
      <c r="BA393" s="2" t="s">
        <v>74</v>
      </c>
      <c r="BB393" s="2">
        <v>38</v>
      </c>
      <c r="BC393" s="2">
        <v>91</v>
      </c>
      <c r="BD393" s="2" t="s">
        <v>74</v>
      </c>
      <c r="BE393" s="2" t="s">
        <v>6474</v>
      </c>
      <c r="BF393" s="2" t="str">
        <f>HYPERLINK("http://dx.doi.org/10.1163/156853980X00311","http://dx.doi.org/10.1163/156853980X00311")</f>
        <v>http://dx.doi.org/10.1163/156853980X00311</v>
      </c>
      <c r="BG393" s="2" t="s">
        <v>74</v>
      </c>
      <c r="BH393" s="2" t="s">
        <v>74</v>
      </c>
      <c r="BI393" s="2" t="s">
        <v>74</v>
      </c>
      <c r="BJ393" s="2" t="s">
        <v>74</v>
      </c>
      <c r="BK393" s="2" t="s">
        <v>74</v>
      </c>
      <c r="BL393" s="2" t="s">
        <v>74</v>
      </c>
      <c r="BM393" s="2" t="s">
        <v>74</v>
      </c>
      <c r="BN393" s="2" t="s">
        <v>74</v>
      </c>
      <c r="BO393" s="2" t="s">
        <v>74</v>
      </c>
      <c r="BP393" s="2" t="s">
        <v>74</v>
      </c>
      <c r="BQ393" s="2" t="s">
        <v>74</v>
      </c>
      <c r="BR393" s="2" t="s">
        <v>74</v>
      </c>
      <c r="BS393" s="2" t="s">
        <v>6475</v>
      </c>
      <c r="BT393" s="2" t="str">
        <f>HYPERLINK("https%3A%2F%2Fwww.webofscience.com%2Fwos%2Fwoscc%2Ffull-record%2FWOS:A1980KK26100003","View Full Record in Web of Science")</f>
        <v>View Full Record in Web of Science</v>
      </c>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row>
    <row r="394" spans="1:314" s="2" customFormat="1" x14ac:dyDescent="0.4">
      <c r="A394" s="2" t="s">
        <v>72</v>
      </c>
      <c r="B394" s="2" t="s">
        <v>3886</v>
      </c>
      <c r="C394" s="2" t="s">
        <v>74</v>
      </c>
      <c r="D394" s="2" t="s">
        <v>74</v>
      </c>
      <c r="E394" s="2" t="s">
        <v>74</v>
      </c>
      <c r="F394" s="2" t="s">
        <v>3887</v>
      </c>
      <c r="G394" s="2" t="s">
        <v>74</v>
      </c>
      <c r="H394" s="2" t="s">
        <v>74</v>
      </c>
      <c r="I394" s="2" t="s">
        <v>3888</v>
      </c>
      <c r="J394" s="2" t="s">
        <v>140</v>
      </c>
      <c r="K394" s="2" t="s">
        <v>74</v>
      </c>
      <c r="L394" s="2" t="s">
        <v>74</v>
      </c>
      <c r="M394" s="2" t="s">
        <v>74</v>
      </c>
      <c r="N394" s="2" t="s">
        <v>74</v>
      </c>
      <c r="O394" s="2" t="s">
        <v>74</v>
      </c>
      <c r="P394" s="2" t="s">
        <v>74</v>
      </c>
      <c r="Q394" s="2" t="s">
        <v>74</v>
      </c>
      <c r="R394" s="2" t="s">
        <v>74</v>
      </c>
      <c r="S394" s="2" t="s">
        <v>74</v>
      </c>
      <c r="T394" s="2" t="s">
        <v>74</v>
      </c>
      <c r="U394" s="2" t="s">
        <v>74</v>
      </c>
      <c r="V394" s="5" t="s">
        <v>3889</v>
      </c>
      <c r="W394" s="2" t="s">
        <v>74</v>
      </c>
      <c r="X394" s="2" t="s">
        <v>74</v>
      </c>
      <c r="Y394" s="2" t="s">
        <v>74</v>
      </c>
      <c r="Z394" s="2" t="s">
        <v>74</v>
      </c>
      <c r="AA394" s="2" t="s">
        <v>74</v>
      </c>
      <c r="AB394" s="2" t="s">
        <v>74</v>
      </c>
      <c r="AC394" s="2" t="s">
        <v>74</v>
      </c>
      <c r="AD394" s="2" t="s">
        <v>74</v>
      </c>
      <c r="AE394" s="2" t="s">
        <v>74</v>
      </c>
      <c r="AF394" s="2" t="s">
        <v>74</v>
      </c>
      <c r="AG394" s="2" t="s">
        <v>74</v>
      </c>
      <c r="AH394" s="2" t="s">
        <v>74</v>
      </c>
      <c r="AI394" s="2" t="s">
        <v>74</v>
      </c>
      <c r="AJ394" s="2" t="s">
        <v>74</v>
      </c>
      <c r="AK394" s="2" t="s">
        <v>74</v>
      </c>
      <c r="AL394" s="2" t="s">
        <v>74</v>
      </c>
      <c r="AM394" s="2" t="s">
        <v>74</v>
      </c>
      <c r="AN394" s="2" t="s">
        <v>74</v>
      </c>
      <c r="AO394" s="2" t="s">
        <v>143</v>
      </c>
      <c r="AP394" s="2" t="s">
        <v>144</v>
      </c>
      <c r="AQ394" s="2" t="s">
        <v>74</v>
      </c>
      <c r="AR394" s="2" t="s">
        <v>74</v>
      </c>
      <c r="AS394" s="2" t="s">
        <v>74</v>
      </c>
      <c r="AT394" s="2" t="s">
        <v>134</v>
      </c>
      <c r="AU394" s="2">
        <v>2006</v>
      </c>
      <c r="AV394" s="2">
        <v>71</v>
      </c>
      <c r="AW394" s="2" t="s">
        <v>74</v>
      </c>
      <c r="AX394" s="2">
        <v>5</v>
      </c>
      <c r="AY394" s="2" t="s">
        <v>74</v>
      </c>
      <c r="AZ394" s="2" t="s">
        <v>74</v>
      </c>
      <c r="BA394" s="2" t="s">
        <v>74</v>
      </c>
      <c r="BB394" s="2">
        <v>1155</v>
      </c>
      <c r="BC394" s="2">
        <v>1164</v>
      </c>
      <c r="BD394" s="2" t="s">
        <v>74</v>
      </c>
      <c r="BE394" s="2" t="s">
        <v>3890</v>
      </c>
      <c r="BF394" s="2" t="str">
        <f>HYPERLINK("http://dx.doi.org/10.1016/j.anbehav.2005.10.006","http://dx.doi.org/10.1016/j.anbehav.2005.10.006")</f>
        <v>http://dx.doi.org/10.1016/j.anbehav.2005.10.006</v>
      </c>
      <c r="BG394" s="2" t="s">
        <v>74</v>
      </c>
      <c r="BH394" s="2" t="s">
        <v>74</v>
      </c>
      <c r="BI394" s="2" t="s">
        <v>74</v>
      </c>
      <c r="BJ394" s="2" t="s">
        <v>74</v>
      </c>
      <c r="BK394" s="2" t="s">
        <v>74</v>
      </c>
      <c r="BL394" s="2" t="s">
        <v>74</v>
      </c>
      <c r="BM394" s="2" t="s">
        <v>74</v>
      </c>
      <c r="BN394" s="2" t="s">
        <v>74</v>
      </c>
      <c r="BO394" s="2" t="s">
        <v>74</v>
      </c>
      <c r="BP394" s="2" t="s">
        <v>74</v>
      </c>
      <c r="BQ394" s="2" t="s">
        <v>74</v>
      </c>
      <c r="BR394" s="2" t="s">
        <v>74</v>
      </c>
      <c r="BS394" s="2" t="s">
        <v>3891</v>
      </c>
      <c r="BT394" s="2" t="str">
        <f>HYPERLINK("https%3A%2F%2Fwww.webofscience.com%2Fwos%2Fwoscc%2Ffull-record%2FWOS:000238108600018","View Full Record in Web of Science")</f>
        <v>View Full Record in Web of Science</v>
      </c>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row>
    <row r="395" spans="1:314" s="2" customFormat="1" x14ac:dyDescent="0.4">
      <c r="A395" s="2" t="s">
        <v>72</v>
      </c>
      <c r="B395" s="2" t="s">
        <v>8276</v>
      </c>
      <c r="C395" s="2" t="s">
        <v>74</v>
      </c>
      <c r="D395" s="2" t="s">
        <v>74</v>
      </c>
      <c r="E395" s="2" t="s">
        <v>74</v>
      </c>
      <c r="F395" s="2" t="s">
        <v>8277</v>
      </c>
      <c r="G395" s="2" t="s">
        <v>74</v>
      </c>
      <c r="H395" s="2" t="s">
        <v>74</v>
      </c>
      <c r="I395" s="2" t="s">
        <v>8278</v>
      </c>
      <c r="J395" s="2" t="s">
        <v>108</v>
      </c>
      <c r="K395" s="2" t="s">
        <v>74</v>
      </c>
      <c r="L395" s="2" t="s">
        <v>74</v>
      </c>
      <c r="M395" s="2" t="s">
        <v>74</v>
      </c>
      <c r="N395" s="2" t="s">
        <v>74</v>
      </c>
      <c r="O395" s="2" t="s">
        <v>74</v>
      </c>
      <c r="P395" s="2" t="s">
        <v>74</v>
      </c>
      <c r="Q395" s="2" t="s">
        <v>74</v>
      </c>
      <c r="R395" s="2" t="s">
        <v>74</v>
      </c>
      <c r="S395" s="2" t="s">
        <v>74</v>
      </c>
      <c r="T395" s="2" t="s">
        <v>74</v>
      </c>
      <c r="U395" s="2" t="s">
        <v>74</v>
      </c>
      <c r="V395" s="5" t="s">
        <v>8279</v>
      </c>
      <c r="W395" s="2" t="s">
        <v>74</v>
      </c>
      <c r="X395" s="2" t="s">
        <v>74</v>
      </c>
      <c r="Y395" s="2" t="s">
        <v>74</v>
      </c>
      <c r="Z395" s="2" t="s">
        <v>74</v>
      </c>
      <c r="AA395" s="2" t="s">
        <v>8280</v>
      </c>
      <c r="AB395" s="2" t="s">
        <v>8281</v>
      </c>
      <c r="AC395" s="2" t="s">
        <v>74</v>
      </c>
      <c r="AD395" s="2" t="s">
        <v>74</v>
      </c>
      <c r="AE395" s="2" t="s">
        <v>74</v>
      </c>
      <c r="AF395" s="2" t="s">
        <v>74</v>
      </c>
      <c r="AG395" s="2" t="s">
        <v>74</v>
      </c>
      <c r="AH395" s="2" t="s">
        <v>74</v>
      </c>
      <c r="AI395" s="2" t="s">
        <v>74</v>
      </c>
      <c r="AJ395" s="2" t="s">
        <v>74</v>
      </c>
      <c r="AK395" s="2" t="s">
        <v>74</v>
      </c>
      <c r="AL395" s="2" t="s">
        <v>74</v>
      </c>
      <c r="AM395" s="2" t="s">
        <v>74</v>
      </c>
      <c r="AN395" s="2" t="s">
        <v>74</v>
      </c>
      <c r="AO395" s="2" t="s">
        <v>111</v>
      </c>
      <c r="AP395" s="2" t="s">
        <v>112</v>
      </c>
      <c r="AQ395" s="2" t="s">
        <v>74</v>
      </c>
      <c r="AR395" s="2" t="s">
        <v>74</v>
      </c>
      <c r="AS395" s="2" t="s">
        <v>74</v>
      </c>
      <c r="AT395" s="2" t="s">
        <v>8282</v>
      </c>
      <c r="AU395" s="2">
        <v>2020</v>
      </c>
      <c r="AV395" s="2">
        <v>287</v>
      </c>
      <c r="AW395" s="2">
        <v>1924</v>
      </c>
      <c r="AX395" s="2" t="s">
        <v>74</v>
      </c>
      <c r="AY395" s="2" t="s">
        <v>74</v>
      </c>
      <c r="AZ395" s="2" t="s">
        <v>74</v>
      </c>
      <c r="BA395" s="2" t="s">
        <v>74</v>
      </c>
      <c r="BB395" s="2" t="s">
        <v>74</v>
      </c>
      <c r="BC395" s="2" t="s">
        <v>74</v>
      </c>
      <c r="BD395" s="2" t="s">
        <v>74</v>
      </c>
      <c r="BE395" s="2" t="s">
        <v>8283</v>
      </c>
      <c r="BF395" s="2" t="str">
        <f>HYPERLINK("http://dx.doi.org/10.1098/rspb.2020.0270","http://dx.doi.org/10.1098/rspb.2020.0270")</f>
        <v>http://dx.doi.org/10.1098/rspb.2020.0270</v>
      </c>
      <c r="BG395" s="2" t="s">
        <v>74</v>
      </c>
      <c r="BH395" s="2" t="s">
        <v>74</v>
      </c>
      <c r="BI395" s="2" t="s">
        <v>74</v>
      </c>
      <c r="BJ395" s="2" t="s">
        <v>74</v>
      </c>
      <c r="BK395" s="2" t="s">
        <v>74</v>
      </c>
      <c r="BL395" s="2" t="s">
        <v>74</v>
      </c>
      <c r="BM395" s="2" t="s">
        <v>74</v>
      </c>
      <c r="BN395" s="2">
        <v>32259470</v>
      </c>
      <c r="BO395" s="2" t="s">
        <v>74</v>
      </c>
      <c r="BP395" s="2" t="s">
        <v>74</v>
      </c>
      <c r="BQ395" s="2" t="s">
        <v>74</v>
      </c>
      <c r="BR395" s="2" t="s">
        <v>74</v>
      </c>
      <c r="BS395" s="2" t="s">
        <v>8284</v>
      </c>
      <c r="BT395" s="2" t="str">
        <f>HYPERLINK("https%3A%2F%2Fwww.webofscience.com%2Fwos%2Fwoscc%2Ffull-record%2FWOS:000546947600014","View Full Record in Web of Science")</f>
        <v>View Full Record in Web of Science</v>
      </c>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row>
    <row r="396" spans="1:314" s="2" customFormat="1" x14ac:dyDescent="0.4">
      <c r="A396" s="2" t="s">
        <v>72</v>
      </c>
      <c r="B396" s="2" t="s">
        <v>2487</v>
      </c>
      <c r="C396" s="2" t="s">
        <v>74</v>
      </c>
      <c r="D396" s="2" t="s">
        <v>74</v>
      </c>
      <c r="E396" s="2" t="s">
        <v>74</v>
      </c>
      <c r="F396" s="2" t="s">
        <v>2487</v>
      </c>
      <c r="G396" s="2" t="s">
        <v>74</v>
      </c>
      <c r="H396" s="2" t="s">
        <v>74</v>
      </c>
      <c r="I396" s="2" t="s">
        <v>2488</v>
      </c>
      <c r="J396" s="2" t="s">
        <v>119</v>
      </c>
      <c r="K396" s="2" t="s">
        <v>74</v>
      </c>
      <c r="L396" s="2" t="s">
        <v>74</v>
      </c>
      <c r="M396" s="2" t="s">
        <v>74</v>
      </c>
      <c r="N396" s="2" t="s">
        <v>74</v>
      </c>
      <c r="O396" s="2" t="s">
        <v>74</v>
      </c>
      <c r="P396" s="2" t="s">
        <v>74</v>
      </c>
      <c r="Q396" s="2" t="s">
        <v>74</v>
      </c>
      <c r="R396" s="2" t="s">
        <v>74</v>
      </c>
      <c r="S396" s="2" t="s">
        <v>74</v>
      </c>
      <c r="T396" s="2" t="s">
        <v>74</v>
      </c>
      <c r="U396" s="2" t="s">
        <v>74</v>
      </c>
      <c r="V396" s="5" t="s">
        <v>2489</v>
      </c>
      <c r="W396" s="2" t="s">
        <v>74</v>
      </c>
      <c r="X396" s="2" t="s">
        <v>74</v>
      </c>
      <c r="Y396" s="2" t="s">
        <v>74</v>
      </c>
      <c r="Z396" s="2" t="s">
        <v>74</v>
      </c>
      <c r="AA396" s="2" t="s">
        <v>2490</v>
      </c>
      <c r="AB396" s="2" t="s">
        <v>2491</v>
      </c>
      <c r="AC396" s="2" t="s">
        <v>74</v>
      </c>
      <c r="AD396" s="2" t="s">
        <v>74</v>
      </c>
      <c r="AE396" s="2" t="s">
        <v>74</v>
      </c>
      <c r="AF396" s="2" t="s">
        <v>74</v>
      </c>
      <c r="AG396" s="2" t="s">
        <v>74</v>
      </c>
      <c r="AH396" s="2" t="s">
        <v>74</v>
      </c>
      <c r="AI396" s="2" t="s">
        <v>74</v>
      </c>
      <c r="AJ396" s="2" t="s">
        <v>74</v>
      </c>
      <c r="AK396" s="2" t="s">
        <v>74</v>
      </c>
      <c r="AL396" s="2" t="s">
        <v>74</v>
      </c>
      <c r="AM396" s="2" t="s">
        <v>74</v>
      </c>
      <c r="AN396" s="2" t="s">
        <v>74</v>
      </c>
      <c r="AO396" s="2" t="s">
        <v>121</v>
      </c>
      <c r="AP396" s="2" t="s">
        <v>74</v>
      </c>
      <c r="AQ396" s="2" t="s">
        <v>74</v>
      </c>
      <c r="AR396" s="2" t="s">
        <v>74</v>
      </c>
      <c r="AS396" s="2" t="s">
        <v>74</v>
      </c>
      <c r="AT396" s="2" t="s">
        <v>2492</v>
      </c>
      <c r="AU396" s="2">
        <v>2004</v>
      </c>
      <c r="AV396" s="2">
        <v>67</v>
      </c>
      <c r="AW396" s="2">
        <v>3</v>
      </c>
      <c r="AX396" s="2" t="s">
        <v>74</v>
      </c>
      <c r="AY396" s="2" t="s">
        <v>74</v>
      </c>
      <c r="AZ396" s="2" t="s">
        <v>74</v>
      </c>
      <c r="BA396" s="2" t="s">
        <v>74</v>
      </c>
      <c r="BB396" s="2">
        <v>491</v>
      </c>
      <c r="BC396" s="2">
        <v>499</v>
      </c>
      <c r="BD396" s="2" t="s">
        <v>74</v>
      </c>
      <c r="BE396" s="2" t="s">
        <v>2493</v>
      </c>
      <c r="BF396" s="2" t="str">
        <f>HYPERLINK("http://dx.doi.org/10.1016/j.beproc.2004.08.005","http://dx.doi.org/10.1016/j.beproc.2004.08.005")</f>
        <v>http://dx.doi.org/10.1016/j.beproc.2004.08.005</v>
      </c>
      <c r="BG396" s="2" t="s">
        <v>74</v>
      </c>
      <c r="BH396" s="2" t="s">
        <v>74</v>
      </c>
      <c r="BI396" s="2" t="s">
        <v>74</v>
      </c>
      <c r="BJ396" s="2" t="s">
        <v>74</v>
      </c>
      <c r="BK396" s="2" t="s">
        <v>74</v>
      </c>
      <c r="BL396" s="2" t="s">
        <v>74</v>
      </c>
      <c r="BM396" s="2" t="s">
        <v>74</v>
      </c>
      <c r="BN396" s="2">
        <v>15518998</v>
      </c>
      <c r="BO396" s="2" t="s">
        <v>74</v>
      </c>
      <c r="BP396" s="2" t="s">
        <v>74</v>
      </c>
      <c r="BQ396" s="2" t="s">
        <v>74</v>
      </c>
      <c r="BR396" s="2" t="s">
        <v>74</v>
      </c>
      <c r="BS396" s="2" t="s">
        <v>2494</v>
      </c>
      <c r="BT396" s="2" t="str">
        <f>HYPERLINK("https%3A%2F%2Fwww.webofscience.com%2Fwos%2Fwoscc%2Ffull-record%2FWOS:000225051100016","View Full Record in Web of Science")</f>
        <v>View Full Record in Web of Science</v>
      </c>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row>
    <row r="397" spans="1:314" s="2" customFormat="1" x14ac:dyDescent="0.4">
      <c r="A397" s="2" t="s">
        <v>72</v>
      </c>
      <c r="B397" s="2" t="s">
        <v>2142</v>
      </c>
      <c r="C397" s="2" t="s">
        <v>74</v>
      </c>
      <c r="D397" s="2" t="s">
        <v>74</v>
      </c>
      <c r="E397" s="2" t="s">
        <v>74</v>
      </c>
      <c r="F397" s="2" t="s">
        <v>2142</v>
      </c>
      <c r="G397" s="2" t="s">
        <v>74</v>
      </c>
      <c r="H397" s="2" t="s">
        <v>74</v>
      </c>
      <c r="I397" s="2" t="s">
        <v>2143</v>
      </c>
      <c r="J397" s="2" t="s">
        <v>2144</v>
      </c>
      <c r="K397" s="2" t="s">
        <v>74</v>
      </c>
      <c r="L397" s="2" t="s">
        <v>74</v>
      </c>
      <c r="M397" s="2" t="s">
        <v>74</v>
      </c>
      <c r="N397" s="2" t="s">
        <v>74</v>
      </c>
      <c r="O397" s="2" t="s">
        <v>74</v>
      </c>
      <c r="P397" s="2" t="s">
        <v>74</v>
      </c>
      <c r="Q397" s="2" t="s">
        <v>74</v>
      </c>
      <c r="R397" s="2" t="s">
        <v>74</v>
      </c>
      <c r="S397" s="2" t="s">
        <v>74</v>
      </c>
      <c r="T397" s="2" t="s">
        <v>74</v>
      </c>
      <c r="U397" s="2" t="s">
        <v>74</v>
      </c>
      <c r="V397" s="5" t="s">
        <v>2145</v>
      </c>
      <c r="W397" s="2" t="s">
        <v>74</v>
      </c>
      <c r="X397" s="2" t="s">
        <v>74</v>
      </c>
      <c r="Y397" s="2" t="s">
        <v>74</v>
      </c>
      <c r="Z397" s="2" t="s">
        <v>74</v>
      </c>
      <c r="AA397" s="2" t="s">
        <v>74</v>
      </c>
      <c r="AB397" s="2" t="s">
        <v>74</v>
      </c>
      <c r="AC397" s="2" t="s">
        <v>74</v>
      </c>
      <c r="AD397" s="2" t="s">
        <v>74</v>
      </c>
      <c r="AE397" s="2" t="s">
        <v>74</v>
      </c>
      <c r="AF397" s="2" t="s">
        <v>74</v>
      </c>
      <c r="AG397" s="2" t="s">
        <v>74</v>
      </c>
      <c r="AH397" s="2" t="s">
        <v>74</v>
      </c>
      <c r="AI397" s="2" t="s">
        <v>74</v>
      </c>
      <c r="AJ397" s="2" t="s">
        <v>74</v>
      </c>
      <c r="AK397" s="2" t="s">
        <v>74</v>
      </c>
      <c r="AL397" s="2" t="s">
        <v>74</v>
      </c>
      <c r="AM397" s="2" t="s">
        <v>74</v>
      </c>
      <c r="AN397" s="2" t="s">
        <v>74</v>
      </c>
      <c r="AO397" s="2" t="s">
        <v>2146</v>
      </c>
      <c r="AP397" s="2" t="s">
        <v>2147</v>
      </c>
      <c r="AQ397" s="2" t="s">
        <v>74</v>
      </c>
      <c r="AR397" s="2" t="s">
        <v>74</v>
      </c>
      <c r="AS397" s="2" t="s">
        <v>74</v>
      </c>
      <c r="AT397" s="2" t="s">
        <v>74</v>
      </c>
      <c r="AU397" s="2">
        <v>1980</v>
      </c>
      <c r="AV397" s="2">
        <v>7</v>
      </c>
      <c r="AW397" s="2">
        <v>2</v>
      </c>
      <c r="AX397" s="2" t="s">
        <v>74</v>
      </c>
      <c r="AY397" s="2" t="s">
        <v>74</v>
      </c>
      <c r="AZ397" s="2" t="s">
        <v>74</v>
      </c>
      <c r="BA397" s="2" t="s">
        <v>74</v>
      </c>
      <c r="BB397" s="2">
        <v>211</v>
      </c>
      <c r="BC397" s="2">
        <v>220</v>
      </c>
      <c r="BD397" s="2" t="s">
        <v>74</v>
      </c>
      <c r="BE397" s="2" t="s">
        <v>2148</v>
      </c>
      <c r="BF397" s="2" t="str">
        <f>HYPERLINK("http://dx.doi.org/10.1080/03014223.1980.10423778","http://dx.doi.org/10.1080/03014223.1980.10423778")</f>
        <v>http://dx.doi.org/10.1080/03014223.1980.10423778</v>
      </c>
      <c r="BG397" s="2" t="s">
        <v>74</v>
      </c>
      <c r="BH397" s="2" t="s">
        <v>74</v>
      </c>
      <c r="BI397" s="2" t="s">
        <v>74</v>
      </c>
      <c r="BJ397" s="2" t="s">
        <v>74</v>
      </c>
      <c r="BK397" s="2" t="s">
        <v>74</v>
      </c>
      <c r="BL397" s="2" t="s">
        <v>74</v>
      </c>
      <c r="BM397" s="2" t="s">
        <v>74</v>
      </c>
      <c r="BN397" s="2" t="s">
        <v>74</v>
      </c>
      <c r="BO397" s="2" t="s">
        <v>74</v>
      </c>
      <c r="BP397" s="2" t="s">
        <v>74</v>
      </c>
      <c r="BQ397" s="2" t="s">
        <v>74</v>
      </c>
      <c r="BR397" s="2" t="s">
        <v>74</v>
      </c>
      <c r="BS397" s="2" t="s">
        <v>2149</v>
      </c>
      <c r="BT397" s="2" t="str">
        <f>HYPERLINK("https%3A%2F%2Fwww.webofscience.com%2Fwos%2Fwoscc%2Ffull-record%2FWOS:A1980JX22800006","View Full Record in Web of Science")</f>
        <v>View Full Record in Web of Science</v>
      </c>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row>
    <row r="398" spans="1:314" s="2" customFormat="1" x14ac:dyDescent="0.4">
      <c r="A398" s="2" t="s">
        <v>72</v>
      </c>
      <c r="B398" s="2" t="s">
        <v>2985</v>
      </c>
      <c r="C398" s="2" t="s">
        <v>74</v>
      </c>
      <c r="D398" s="2" t="s">
        <v>74</v>
      </c>
      <c r="E398" s="2" t="s">
        <v>74</v>
      </c>
      <c r="F398" s="2" t="s">
        <v>2986</v>
      </c>
      <c r="G398" s="2" t="s">
        <v>74</v>
      </c>
      <c r="H398" s="2" t="s">
        <v>74</v>
      </c>
      <c r="I398" s="2" t="s">
        <v>2987</v>
      </c>
      <c r="J398" s="2" t="s">
        <v>129</v>
      </c>
      <c r="K398" s="2" t="s">
        <v>74</v>
      </c>
      <c r="L398" s="2" t="s">
        <v>74</v>
      </c>
      <c r="M398" s="2" t="s">
        <v>74</v>
      </c>
      <c r="N398" s="2" t="s">
        <v>74</v>
      </c>
      <c r="O398" s="2" t="s">
        <v>74</v>
      </c>
      <c r="P398" s="2" t="s">
        <v>74</v>
      </c>
      <c r="Q398" s="2" t="s">
        <v>74</v>
      </c>
      <c r="R398" s="2" t="s">
        <v>74</v>
      </c>
      <c r="S398" s="2" t="s">
        <v>74</v>
      </c>
      <c r="T398" s="2" t="s">
        <v>74</v>
      </c>
      <c r="U398" s="2" t="s">
        <v>74</v>
      </c>
      <c r="V398" s="5" t="s">
        <v>2988</v>
      </c>
      <c r="W398" s="2" t="s">
        <v>74</v>
      </c>
      <c r="X398" s="2" t="s">
        <v>74</v>
      </c>
      <c r="Y398" s="2" t="s">
        <v>74</v>
      </c>
      <c r="Z398" s="2" t="s">
        <v>74</v>
      </c>
      <c r="AA398" s="2" t="s">
        <v>2989</v>
      </c>
      <c r="AB398" s="2" t="s">
        <v>2990</v>
      </c>
      <c r="AC398" s="2" t="s">
        <v>74</v>
      </c>
      <c r="AD398" s="2" t="s">
        <v>74</v>
      </c>
      <c r="AE398" s="2" t="s">
        <v>74</v>
      </c>
      <c r="AF398" s="2" t="s">
        <v>74</v>
      </c>
      <c r="AG398" s="2" t="s">
        <v>74</v>
      </c>
      <c r="AH398" s="2" t="s">
        <v>74</v>
      </c>
      <c r="AI398" s="2" t="s">
        <v>74</v>
      </c>
      <c r="AJ398" s="2" t="s">
        <v>74</v>
      </c>
      <c r="AK398" s="2" t="s">
        <v>74</v>
      </c>
      <c r="AL398" s="2" t="s">
        <v>74</v>
      </c>
      <c r="AM398" s="2" t="s">
        <v>74</v>
      </c>
      <c r="AN398" s="2" t="s">
        <v>74</v>
      </c>
      <c r="AO398" s="2" t="s">
        <v>132</v>
      </c>
      <c r="AP398" s="2" t="s">
        <v>133</v>
      </c>
      <c r="AQ398" s="2" t="s">
        <v>74</v>
      </c>
      <c r="AR398" s="2" t="s">
        <v>74</v>
      </c>
      <c r="AS398" s="2" t="s">
        <v>74</v>
      </c>
      <c r="AT398" s="2" t="s">
        <v>134</v>
      </c>
      <c r="AU398" s="2">
        <v>2007</v>
      </c>
      <c r="AV398" s="2">
        <v>61</v>
      </c>
      <c r="AW398" s="2">
        <v>7</v>
      </c>
      <c r="AX398" s="2" t="s">
        <v>74</v>
      </c>
      <c r="AY398" s="2" t="s">
        <v>74</v>
      </c>
      <c r="AZ398" s="2" t="s">
        <v>74</v>
      </c>
      <c r="BA398" s="2" t="s">
        <v>74</v>
      </c>
      <c r="BB398" s="2">
        <v>1121</v>
      </c>
      <c r="BC398" s="2">
        <v>1131</v>
      </c>
      <c r="BD398" s="2" t="s">
        <v>74</v>
      </c>
      <c r="BE398" s="2" t="s">
        <v>2991</v>
      </c>
      <c r="BF398" s="2" t="str">
        <f>HYPERLINK("http://dx.doi.org/10.1007/s00265-006-0345-3","http://dx.doi.org/10.1007/s00265-006-0345-3")</f>
        <v>http://dx.doi.org/10.1007/s00265-006-0345-3</v>
      </c>
      <c r="BG398" s="2" t="s">
        <v>74</v>
      </c>
      <c r="BH398" s="2" t="s">
        <v>74</v>
      </c>
      <c r="BI398" s="2" t="s">
        <v>74</v>
      </c>
      <c r="BJ398" s="2" t="s">
        <v>74</v>
      </c>
      <c r="BK398" s="2" t="s">
        <v>74</v>
      </c>
      <c r="BL398" s="2" t="s">
        <v>74</v>
      </c>
      <c r="BM398" s="2" t="s">
        <v>74</v>
      </c>
      <c r="BN398" s="2" t="s">
        <v>74</v>
      </c>
      <c r="BO398" s="2" t="s">
        <v>74</v>
      </c>
      <c r="BP398" s="2" t="s">
        <v>74</v>
      </c>
      <c r="BQ398" s="2" t="s">
        <v>74</v>
      </c>
      <c r="BR398" s="2" t="s">
        <v>74</v>
      </c>
      <c r="BS398" s="2" t="s">
        <v>2992</v>
      </c>
      <c r="BT398" s="2" t="str">
        <f>HYPERLINK("https%3A%2F%2Fwww.webofscience.com%2Fwos%2Fwoscc%2Ffull-record%2FWOS:000245519700015","View Full Record in Web of Science")</f>
        <v>View Full Record in Web of Science</v>
      </c>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row>
    <row r="399" spans="1:314" s="2" customFormat="1" x14ac:dyDescent="0.4">
      <c r="A399" s="2" t="s">
        <v>72</v>
      </c>
      <c r="B399" s="2" t="s">
        <v>7291</v>
      </c>
      <c r="C399" s="2" t="s">
        <v>74</v>
      </c>
      <c r="D399" s="2" t="s">
        <v>74</v>
      </c>
      <c r="E399" s="2" t="s">
        <v>74</v>
      </c>
      <c r="F399" s="2" t="s">
        <v>7291</v>
      </c>
      <c r="G399" s="2" t="s">
        <v>74</v>
      </c>
      <c r="H399" s="2" t="s">
        <v>74</v>
      </c>
      <c r="I399" s="2" t="s">
        <v>7292</v>
      </c>
      <c r="J399" s="2" t="s">
        <v>2629</v>
      </c>
      <c r="K399" s="2" t="s">
        <v>74</v>
      </c>
      <c r="L399" s="2" t="s">
        <v>74</v>
      </c>
      <c r="M399" s="2" t="s">
        <v>74</v>
      </c>
      <c r="N399" s="2" t="s">
        <v>74</v>
      </c>
      <c r="O399" s="2" t="s">
        <v>74</v>
      </c>
      <c r="P399" s="2" t="s">
        <v>74</v>
      </c>
      <c r="Q399" s="2" t="s">
        <v>74</v>
      </c>
      <c r="R399" s="2" t="s">
        <v>74</v>
      </c>
      <c r="S399" s="2" t="s">
        <v>74</v>
      </c>
      <c r="T399" s="2" t="s">
        <v>74</v>
      </c>
      <c r="U399" s="2" t="s">
        <v>74</v>
      </c>
      <c r="V399" s="5" t="s">
        <v>7293</v>
      </c>
      <c r="W399" s="2" t="s">
        <v>74</v>
      </c>
      <c r="X399" s="2" t="s">
        <v>74</v>
      </c>
      <c r="Y399" s="2" t="s">
        <v>74</v>
      </c>
      <c r="Z399" s="2" t="s">
        <v>74</v>
      </c>
      <c r="AA399" s="2" t="s">
        <v>74</v>
      </c>
      <c r="AB399" s="2" t="s">
        <v>74</v>
      </c>
      <c r="AC399" s="2" t="s">
        <v>74</v>
      </c>
      <c r="AD399" s="2" t="s">
        <v>74</v>
      </c>
      <c r="AE399" s="2" t="s">
        <v>74</v>
      </c>
      <c r="AF399" s="2" t="s">
        <v>74</v>
      </c>
      <c r="AG399" s="2" t="s">
        <v>74</v>
      </c>
      <c r="AH399" s="2" t="s">
        <v>74</v>
      </c>
      <c r="AI399" s="2" t="s">
        <v>74</v>
      </c>
      <c r="AJ399" s="2" t="s">
        <v>74</v>
      </c>
      <c r="AK399" s="2" t="s">
        <v>74</v>
      </c>
      <c r="AL399" s="2" t="s">
        <v>74</v>
      </c>
      <c r="AM399" s="2" t="s">
        <v>74</v>
      </c>
      <c r="AN399" s="2" t="s">
        <v>74</v>
      </c>
      <c r="AO399" s="2" t="s">
        <v>2632</v>
      </c>
      <c r="AP399" s="2" t="s">
        <v>74</v>
      </c>
      <c r="AQ399" s="2" t="s">
        <v>74</v>
      </c>
      <c r="AR399" s="2" t="s">
        <v>74</v>
      </c>
      <c r="AS399" s="2" t="s">
        <v>74</v>
      </c>
      <c r="AT399" s="2" t="s">
        <v>74</v>
      </c>
      <c r="AU399" s="2">
        <v>2000</v>
      </c>
      <c r="AV399" s="2">
        <v>48</v>
      </c>
      <c r="AW399" s="2">
        <v>4</v>
      </c>
      <c r="AX399" s="2" t="s">
        <v>74</v>
      </c>
      <c r="AY399" s="2" t="s">
        <v>74</v>
      </c>
      <c r="AZ399" s="2" t="s">
        <v>74</v>
      </c>
      <c r="BA399" s="2" t="s">
        <v>74</v>
      </c>
      <c r="BB399" s="2">
        <v>393</v>
      </c>
      <c r="BC399" s="2">
        <v>409</v>
      </c>
      <c r="BD399" s="2" t="s">
        <v>74</v>
      </c>
      <c r="BE399" s="2" t="s">
        <v>7294</v>
      </c>
      <c r="BF399" s="2" t="str">
        <f>HYPERLINK("http://dx.doi.org/10.1071/ZO00046","http://dx.doi.org/10.1071/ZO00046")</f>
        <v>http://dx.doi.org/10.1071/ZO00046</v>
      </c>
      <c r="BG399" s="2" t="s">
        <v>74</v>
      </c>
      <c r="BH399" s="2" t="s">
        <v>74</v>
      </c>
      <c r="BI399" s="2" t="s">
        <v>74</v>
      </c>
      <c r="BJ399" s="2" t="s">
        <v>74</v>
      </c>
      <c r="BK399" s="2" t="s">
        <v>74</v>
      </c>
      <c r="BL399" s="2" t="s">
        <v>74</v>
      </c>
      <c r="BM399" s="2" t="s">
        <v>74</v>
      </c>
      <c r="BN399" s="2" t="s">
        <v>74</v>
      </c>
      <c r="BO399" s="2" t="s">
        <v>74</v>
      </c>
      <c r="BP399" s="2" t="s">
        <v>74</v>
      </c>
      <c r="BQ399" s="2" t="s">
        <v>74</v>
      </c>
      <c r="BR399" s="2" t="s">
        <v>74</v>
      </c>
      <c r="BS399" s="2" t="s">
        <v>7295</v>
      </c>
      <c r="BT399" s="2" t="str">
        <f>HYPERLINK("https%3A%2F%2Fwww.webofscience.com%2Fwos%2Fwoscc%2Ffull-record%2FWOS:000089592900007","View Full Record in Web of Science")</f>
        <v>View Full Record in Web of Science</v>
      </c>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row>
    <row r="400" spans="1:314" s="2" customFormat="1" x14ac:dyDescent="0.4">
      <c r="A400" s="2" t="s">
        <v>72</v>
      </c>
      <c r="B400" s="2" t="s">
        <v>8175</v>
      </c>
      <c r="C400" s="2" t="s">
        <v>74</v>
      </c>
      <c r="D400" s="2" t="s">
        <v>74</v>
      </c>
      <c r="E400" s="2" t="s">
        <v>74</v>
      </c>
      <c r="F400" s="2" t="s">
        <v>8176</v>
      </c>
      <c r="G400" s="2" t="s">
        <v>74</v>
      </c>
      <c r="H400" s="2" t="s">
        <v>74</v>
      </c>
      <c r="I400" s="2" t="s">
        <v>8177</v>
      </c>
      <c r="J400" s="2" t="s">
        <v>8178</v>
      </c>
      <c r="K400" s="2" t="s">
        <v>74</v>
      </c>
      <c r="L400" s="2" t="s">
        <v>74</v>
      </c>
      <c r="M400" s="2" t="s">
        <v>74</v>
      </c>
      <c r="N400" s="2" t="s">
        <v>74</v>
      </c>
      <c r="O400" s="2" t="s">
        <v>74</v>
      </c>
      <c r="P400" s="2" t="s">
        <v>74</v>
      </c>
      <c r="Q400" s="2" t="s">
        <v>74</v>
      </c>
      <c r="R400" s="2" t="s">
        <v>74</v>
      </c>
      <c r="S400" s="2" t="s">
        <v>74</v>
      </c>
      <c r="T400" s="2" t="s">
        <v>74</v>
      </c>
      <c r="U400" s="2" t="s">
        <v>74</v>
      </c>
      <c r="V400" s="5" t="s">
        <v>8179</v>
      </c>
      <c r="W400" s="2" t="s">
        <v>74</v>
      </c>
      <c r="X400" s="2" t="s">
        <v>74</v>
      </c>
      <c r="Y400" s="2" t="s">
        <v>74</v>
      </c>
      <c r="Z400" s="2" t="s">
        <v>74</v>
      </c>
      <c r="AA400" s="2" t="s">
        <v>74</v>
      </c>
      <c r="AB400" s="2" t="s">
        <v>74</v>
      </c>
      <c r="AC400" s="2" t="s">
        <v>74</v>
      </c>
      <c r="AD400" s="2" t="s">
        <v>74</v>
      </c>
      <c r="AE400" s="2" t="s">
        <v>74</v>
      </c>
      <c r="AF400" s="2" t="s">
        <v>74</v>
      </c>
      <c r="AG400" s="2" t="s">
        <v>74</v>
      </c>
      <c r="AH400" s="2" t="s">
        <v>74</v>
      </c>
      <c r="AI400" s="2" t="s">
        <v>74</v>
      </c>
      <c r="AJ400" s="2" t="s">
        <v>74</v>
      </c>
      <c r="AK400" s="2" t="s">
        <v>74</v>
      </c>
      <c r="AL400" s="2" t="s">
        <v>74</v>
      </c>
      <c r="AM400" s="2" t="s">
        <v>74</v>
      </c>
      <c r="AN400" s="2" t="s">
        <v>74</v>
      </c>
      <c r="AO400" s="2" t="s">
        <v>8180</v>
      </c>
      <c r="AP400" s="2" t="s">
        <v>8181</v>
      </c>
      <c r="AQ400" s="2" t="s">
        <v>74</v>
      </c>
      <c r="AR400" s="2" t="s">
        <v>74</v>
      </c>
      <c r="AS400" s="2" t="s">
        <v>74</v>
      </c>
      <c r="AT400" s="2" t="s">
        <v>134</v>
      </c>
      <c r="AU400" s="2">
        <v>2020</v>
      </c>
      <c r="AV400" s="2">
        <v>148</v>
      </c>
      <c r="AW400" s="2" t="s">
        <v>74</v>
      </c>
      <c r="AX400" s="2" t="s">
        <v>74</v>
      </c>
      <c r="AY400" s="2" t="s">
        <v>74</v>
      </c>
      <c r="AZ400" s="2" t="s">
        <v>74</v>
      </c>
      <c r="BA400" s="2" t="s">
        <v>74</v>
      </c>
      <c r="BB400" s="2">
        <v>132</v>
      </c>
      <c r="BC400" s="2">
        <v>139</v>
      </c>
      <c r="BD400" s="2" t="s">
        <v>74</v>
      </c>
      <c r="BE400" s="2" t="s">
        <v>8182</v>
      </c>
      <c r="BF400" s="2" t="str">
        <f>HYPERLINK("http://dx.doi.org/10.1016/j.theriogenology.2020.03.004","http://dx.doi.org/10.1016/j.theriogenology.2020.03.004")</f>
        <v>http://dx.doi.org/10.1016/j.theriogenology.2020.03.004</v>
      </c>
      <c r="BG400" s="2" t="s">
        <v>74</v>
      </c>
      <c r="BH400" s="2" t="s">
        <v>74</v>
      </c>
      <c r="BI400" s="2" t="s">
        <v>74</v>
      </c>
      <c r="BJ400" s="2" t="s">
        <v>74</v>
      </c>
      <c r="BK400" s="2" t="s">
        <v>74</v>
      </c>
      <c r="BL400" s="2" t="s">
        <v>74</v>
      </c>
      <c r="BM400" s="2" t="s">
        <v>74</v>
      </c>
      <c r="BN400" s="2">
        <v>32171972</v>
      </c>
      <c r="BO400" s="2" t="s">
        <v>74</v>
      </c>
      <c r="BP400" s="2" t="s">
        <v>74</v>
      </c>
      <c r="BQ400" s="2" t="s">
        <v>74</v>
      </c>
      <c r="BR400" s="2" t="s">
        <v>74</v>
      </c>
      <c r="BS400" s="2" t="s">
        <v>8183</v>
      </c>
      <c r="BT400" s="2" t="str">
        <f>HYPERLINK("https%3A%2F%2Fwww.webofscience.com%2Fwos%2Fwoscc%2Ffull-record%2FWOS:000527365800015","View Full Record in Web of Science")</f>
        <v>View Full Record in Web of Science</v>
      </c>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row>
    <row r="401" spans="1:314" s="2" customFormat="1" x14ac:dyDescent="0.4">
      <c r="A401" s="2" t="s">
        <v>72</v>
      </c>
      <c r="B401" s="2" t="s">
        <v>7871</v>
      </c>
      <c r="C401" s="2" t="s">
        <v>74</v>
      </c>
      <c r="D401" s="2" t="s">
        <v>74</v>
      </c>
      <c r="E401" s="2" t="s">
        <v>74</v>
      </c>
      <c r="F401" s="2" t="s">
        <v>7871</v>
      </c>
      <c r="G401" s="2" t="s">
        <v>74</v>
      </c>
      <c r="H401" s="2" t="s">
        <v>74</v>
      </c>
      <c r="I401" s="2" t="s">
        <v>7872</v>
      </c>
      <c r="J401" s="2" t="s">
        <v>576</v>
      </c>
      <c r="K401" s="2" t="s">
        <v>74</v>
      </c>
      <c r="L401" s="2" t="s">
        <v>74</v>
      </c>
      <c r="M401" s="2" t="s">
        <v>74</v>
      </c>
      <c r="N401" s="2" t="s">
        <v>74</v>
      </c>
      <c r="O401" s="2" t="s">
        <v>74</v>
      </c>
      <c r="P401" s="2" t="s">
        <v>74</v>
      </c>
      <c r="Q401" s="2" t="s">
        <v>74</v>
      </c>
      <c r="R401" s="2" t="s">
        <v>74</v>
      </c>
      <c r="S401" s="2" t="s">
        <v>74</v>
      </c>
      <c r="T401" s="2" t="s">
        <v>74</v>
      </c>
      <c r="U401" s="2" t="s">
        <v>74</v>
      </c>
      <c r="V401" s="5" t="s">
        <v>7873</v>
      </c>
      <c r="W401" s="2" t="s">
        <v>74</v>
      </c>
      <c r="X401" s="2" t="s">
        <v>74</v>
      </c>
      <c r="Y401" s="2" t="s">
        <v>74</v>
      </c>
      <c r="Z401" s="2" t="s">
        <v>74</v>
      </c>
      <c r="AA401" s="2" t="s">
        <v>74</v>
      </c>
      <c r="AB401" s="2" t="s">
        <v>74</v>
      </c>
      <c r="AC401" s="2" t="s">
        <v>74</v>
      </c>
      <c r="AD401" s="2" t="s">
        <v>74</v>
      </c>
      <c r="AE401" s="2" t="s">
        <v>74</v>
      </c>
      <c r="AF401" s="2" t="s">
        <v>74</v>
      </c>
      <c r="AG401" s="2" t="s">
        <v>74</v>
      </c>
      <c r="AH401" s="2" t="s">
        <v>74</v>
      </c>
      <c r="AI401" s="2" t="s">
        <v>74</v>
      </c>
      <c r="AJ401" s="2" t="s">
        <v>74</v>
      </c>
      <c r="AK401" s="2" t="s">
        <v>74</v>
      </c>
      <c r="AL401" s="2" t="s">
        <v>74</v>
      </c>
      <c r="AM401" s="2" t="s">
        <v>74</v>
      </c>
      <c r="AN401" s="2" t="s">
        <v>74</v>
      </c>
      <c r="AO401" s="2" t="s">
        <v>579</v>
      </c>
      <c r="AP401" s="2" t="s">
        <v>74</v>
      </c>
      <c r="AQ401" s="2" t="s">
        <v>74</v>
      </c>
      <c r="AR401" s="2" t="s">
        <v>74</v>
      </c>
      <c r="AS401" s="2" t="s">
        <v>74</v>
      </c>
      <c r="AT401" s="2" t="s">
        <v>204</v>
      </c>
      <c r="AU401" s="2">
        <v>1994</v>
      </c>
      <c r="AV401" s="2">
        <v>8</v>
      </c>
      <c r="AW401" s="2">
        <v>4</v>
      </c>
      <c r="AX401" s="2" t="s">
        <v>74</v>
      </c>
      <c r="AY401" s="2" t="s">
        <v>74</v>
      </c>
      <c r="AZ401" s="2" t="s">
        <v>74</v>
      </c>
      <c r="BA401" s="2" t="s">
        <v>74</v>
      </c>
      <c r="BB401" s="2">
        <v>348</v>
      </c>
      <c r="BC401" s="2">
        <v>356</v>
      </c>
      <c r="BD401" s="2" t="s">
        <v>74</v>
      </c>
      <c r="BE401" s="2" t="s">
        <v>7874</v>
      </c>
      <c r="BF401" s="2" t="str">
        <f>HYPERLINK("http://dx.doi.org/10.1007/BF01238187","http://dx.doi.org/10.1007/BF01238187")</f>
        <v>http://dx.doi.org/10.1007/BF01238187</v>
      </c>
      <c r="BG401" s="2" t="s">
        <v>74</v>
      </c>
      <c r="BH401" s="2" t="s">
        <v>74</v>
      </c>
      <c r="BI401" s="2" t="s">
        <v>74</v>
      </c>
      <c r="BJ401" s="2" t="s">
        <v>74</v>
      </c>
      <c r="BK401" s="2" t="s">
        <v>74</v>
      </c>
      <c r="BL401" s="2" t="s">
        <v>74</v>
      </c>
      <c r="BM401" s="2" t="s">
        <v>74</v>
      </c>
      <c r="BN401" s="2" t="s">
        <v>74</v>
      </c>
      <c r="BO401" s="2" t="s">
        <v>74</v>
      </c>
      <c r="BP401" s="2" t="s">
        <v>74</v>
      </c>
      <c r="BQ401" s="2" t="s">
        <v>74</v>
      </c>
      <c r="BR401" s="2" t="s">
        <v>74</v>
      </c>
      <c r="BS401" s="2" t="s">
        <v>7875</v>
      </c>
      <c r="BT401" s="2" t="str">
        <f>HYPERLINK("https%3A%2F%2Fwww.webofscience.com%2Fwos%2Fwoscc%2Ffull-record%2FWOS:A1994NY27800002","View Full Record in Web of Science")</f>
        <v>View Full Record in Web of Science</v>
      </c>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row>
    <row r="402" spans="1:314" s="2" customFormat="1" x14ac:dyDescent="0.4">
      <c r="A402" s="2" t="s">
        <v>72</v>
      </c>
      <c r="B402" s="2" t="s">
        <v>4047</v>
      </c>
      <c r="C402" s="2" t="s">
        <v>74</v>
      </c>
      <c r="D402" s="2" t="s">
        <v>74</v>
      </c>
      <c r="E402" s="2" t="s">
        <v>74</v>
      </c>
      <c r="F402" s="2" t="s">
        <v>4048</v>
      </c>
      <c r="G402" s="2" t="s">
        <v>74</v>
      </c>
      <c r="H402" s="2" t="s">
        <v>74</v>
      </c>
      <c r="I402" s="2" t="s">
        <v>4049</v>
      </c>
      <c r="J402" s="2" t="s">
        <v>763</v>
      </c>
      <c r="K402" s="2" t="s">
        <v>74</v>
      </c>
      <c r="L402" s="2" t="s">
        <v>74</v>
      </c>
      <c r="M402" s="2" t="s">
        <v>74</v>
      </c>
      <c r="N402" s="2" t="s">
        <v>74</v>
      </c>
      <c r="O402" s="2" t="s">
        <v>74</v>
      </c>
      <c r="P402" s="2" t="s">
        <v>74</v>
      </c>
      <c r="Q402" s="2" t="s">
        <v>74</v>
      </c>
      <c r="R402" s="2" t="s">
        <v>74</v>
      </c>
      <c r="S402" s="2" t="s">
        <v>74</v>
      </c>
      <c r="T402" s="2" t="s">
        <v>74</v>
      </c>
      <c r="U402" s="2" t="s">
        <v>74</v>
      </c>
      <c r="V402" s="5" t="s">
        <v>4050</v>
      </c>
      <c r="W402" s="2" t="s">
        <v>74</v>
      </c>
      <c r="X402" s="2" t="s">
        <v>74</v>
      </c>
      <c r="Y402" s="2" t="s">
        <v>74</v>
      </c>
      <c r="Z402" s="2" t="s">
        <v>74</v>
      </c>
      <c r="AA402" s="2" t="s">
        <v>74</v>
      </c>
      <c r="AB402" s="2" t="s">
        <v>74</v>
      </c>
      <c r="AC402" s="2" t="s">
        <v>74</v>
      </c>
      <c r="AD402" s="2" t="s">
        <v>74</v>
      </c>
      <c r="AE402" s="2" t="s">
        <v>74</v>
      </c>
      <c r="AF402" s="2" t="s">
        <v>74</v>
      </c>
      <c r="AG402" s="2" t="s">
        <v>74</v>
      </c>
      <c r="AH402" s="2" t="s">
        <v>74</v>
      </c>
      <c r="AI402" s="2" t="s">
        <v>74</v>
      </c>
      <c r="AJ402" s="2" t="s">
        <v>74</v>
      </c>
      <c r="AK402" s="2" t="s">
        <v>74</v>
      </c>
      <c r="AL402" s="2" t="s">
        <v>74</v>
      </c>
      <c r="AM402" s="2" t="s">
        <v>74</v>
      </c>
      <c r="AN402" s="2" t="s">
        <v>74</v>
      </c>
      <c r="AO402" s="2" t="s">
        <v>767</v>
      </c>
      <c r="AP402" s="2" t="s">
        <v>768</v>
      </c>
      <c r="AQ402" s="2" t="s">
        <v>74</v>
      </c>
      <c r="AR402" s="2" t="s">
        <v>74</v>
      </c>
      <c r="AS402" s="2" t="s">
        <v>74</v>
      </c>
      <c r="AT402" s="2" t="s">
        <v>145</v>
      </c>
      <c r="AU402" s="2">
        <v>2013</v>
      </c>
      <c r="AV402" s="2">
        <v>216</v>
      </c>
      <c r="AW402" s="2">
        <v>15</v>
      </c>
      <c r="AX402" s="2" t="s">
        <v>74</v>
      </c>
      <c r="AY402" s="2" t="s">
        <v>74</v>
      </c>
      <c r="AZ402" s="2" t="s">
        <v>74</v>
      </c>
      <c r="BA402" s="2" t="s">
        <v>74</v>
      </c>
      <c r="BB402" s="2">
        <v>2806</v>
      </c>
      <c r="BC402" s="2">
        <v>2812</v>
      </c>
      <c r="BD402" s="2" t="s">
        <v>74</v>
      </c>
      <c r="BE402" s="2" t="s">
        <v>4051</v>
      </c>
      <c r="BF402" s="2" t="str">
        <f>HYPERLINK("http://dx.doi.org/10.1242/jeb.084889","http://dx.doi.org/10.1242/jeb.084889")</f>
        <v>http://dx.doi.org/10.1242/jeb.084889</v>
      </c>
      <c r="BG402" s="2" t="s">
        <v>74</v>
      </c>
      <c r="BH402" s="2" t="s">
        <v>74</v>
      </c>
      <c r="BI402" s="2" t="s">
        <v>74</v>
      </c>
      <c r="BJ402" s="2" t="s">
        <v>74</v>
      </c>
      <c r="BK402" s="2" t="s">
        <v>74</v>
      </c>
      <c r="BL402" s="2" t="s">
        <v>74</v>
      </c>
      <c r="BM402" s="2" t="s">
        <v>74</v>
      </c>
      <c r="BN402" s="2">
        <v>23580716</v>
      </c>
      <c r="BO402" s="2" t="s">
        <v>74</v>
      </c>
      <c r="BP402" s="2" t="s">
        <v>74</v>
      </c>
      <c r="BQ402" s="2" t="s">
        <v>74</v>
      </c>
      <c r="BR402" s="2" t="s">
        <v>74</v>
      </c>
      <c r="BS402" s="2" t="s">
        <v>4052</v>
      </c>
      <c r="BT402" s="2" t="str">
        <f>HYPERLINK("https%3A%2F%2Fwww.webofscience.com%2Fwos%2Fwoscc%2Ffull-record%2FWOS:000321614700015","View Full Record in Web of Science")</f>
        <v>View Full Record in Web of Science</v>
      </c>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row>
    <row r="403" spans="1:314" s="7" customFormat="1" x14ac:dyDescent="0.4">
      <c r="A403" s="2" t="s">
        <v>72</v>
      </c>
      <c r="B403" s="2" t="s">
        <v>3134</v>
      </c>
      <c r="C403" s="2" t="s">
        <v>74</v>
      </c>
      <c r="D403" s="2" t="s">
        <v>74</v>
      </c>
      <c r="E403" s="2" t="s">
        <v>74</v>
      </c>
      <c r="F403" s="2" t="s">
        <v>3135</v>
      </c>
      <c r="G403" s="2" t="s">
        <v>74</v>
      </c>
      <c r="H403" s="2" t="s">
        <v>74</v>
      </c>
      <c r="I403" s="2" t="s">
        <v>3136</v>
      </c>
      <c r="J403" s="2" t="s">
        <v>108</v>
      </c>
      <c r="K403" s="2" t="s">
        <v>74</v>
      </c>
      <c r="L403" s="2" t="s">
        <v>74</v>
      </c>
      <c r="M403" s="2" t="s">
        <v>74</v>
      </c>
      <c r="N403" s="2" t="s">
        <v>74</v>
      </c>
      <c r="O403" s="2" t="s">
        <v>74</v>
      </c>
      <c r="P403" s="2" t="s">
        <v>74</v>
      </c>
      <c r="Q403" s="2" t="s">
        <v>74</v>
      </c>
      <c r="R403" s="2" t="s">
        <v>74</v>
      </c>
      <c r="S403" s="2" t="s">
        <v>74</v>
      </c>
      <c r="T403" s="2" t="s">
        <v>74</v>
      </c>
      <c r="U403" s="2" t="s">
        <v>74</v>
      </c>
      <c r="V403" s="5" t="s">
        <v>3137</v>
      </c>
      <c r="W403" s="2" t="s">
        <v>74</v>
      </c>
      <c r="X403" s="2" t="s">
        <v>74</v>
      </c>
      <c r="Y403" s="2" t="s">
        <v>74</v>
      </c>
      <c r="Z403" s="2" t="s">
        <v>74</v>
      </c>
      <c r="AA403" s="2" t="s">
        <v>3138</v>
      </c>
      <c r="AB403" s="2" t="s">
        <v>3139</v>
      </c>
      <c r="AC403" s="2" t="s">
        <v>74</v>
      </c>
      <c r="AD403" s="2" t="s">
        <v>74</v>
      </c>
      <c r="AE403" s="2" t="s">
        <v>74</v>
      </c>
      <c r="AF403" s="2" t="s">
        <v>74</v>
      </c>
      <c r="AG403" s="2" t="s">
        <v>74</v>
      </c>
      <c r="AH403" s="2" t="s">
        <v>74</v>
      </c>
      <c r="AI403" s="2" t="s">
        <v>74</v>
      </c>
      <c r="AJ403" s="2" t="s">
        <v>74</v>
      </c>
      <c r="AK403" s="2" t="s">
        <v>74</v>
      </c>
      <c r="AL403" s="2" t="s">
        <v>74</v>
      </c>
      <c r="AM403" s="2" t="s">
        <v>74</v>
      </c>
      <c r="AN403" s="2" t="s">
        <v>74</v>
      </c>
      <c r="AO403" s="2" t="s">
        <v>111</v>
      </c>
      <c r="AP403" s="2" t="s">
        <v>74</v>
      </c>
      <c r="AQ403" s="2" t="s">
        <v>74</v>
      </c>
      <c r="AR403" s="2" t="s">
        <v>74</v>
      </c>
      <c r="AS403" s="2" t="s">
        <v>74</v>
      </c>
      <c r="AT403" s="2" t="s">
        <v>3140</v>
      </c>
      <c r="AU403" s="2">
        <v>2011</v>
      </c>
      <c r="AV403" s="2">
        <v>278</v>
      </c>
      <c r="AW403" s="2">
        <v>1720</v>
      </c>
      <c r="AX403" s="2" t="s">
        <v>74</v>
      </c>
      <c r="AY403" s="2" t="s">
        <v>74</v>
      </c>
      <c r="AZ403" s="2" t="s">
        <v>74</v>
      </c>
      <c r="BA403" s="2" t="s">
        <v>74</v>
      </c>
      <c r="BB403" s="2">
        <v>2891</v>
      </c>
      <c r="BC403" s="2">
        <v>2899</v>
      </c>
      <c r="BD403" s="2" t="s">
        <v>74</v>
      </c>
      <c r="BE403" s="2" t="s">
        <v>3141</v>
      </c>
      <c r="BF403" s="2" t="str">
        <f>HYPERLINK("http://dx.doi.org/10.1098/rspb.2011.0118","http://dx.doi.org/10.1098/rspb.2011.0118")</f>
        <v>http://dx.doi.org/10.1098/rspb.2011.0118</v>
      </c>
      <c r="BG403" s="2" t="s">
        <v>74</v>
      </c>
      <c r="BH403" s="2" t="s">
        <v>74</v>
      </c>
      <c r="BI403" s="2" t="s">
        <v>74</v>
      </c>
      <c r="BJ403" s="2" t="s">
        <v>74</v>
      </c>
      <c r="BK403" s="2" t="s">
        <v>74</v>
      </c>
      <c r="BL403" s="2" t="s">
        <v>74</v>
      </c>
      <c r="BM403" s="2" t="s">
        <v>74</v>
      </c>
      <c r="BN403" s="2">
        <v>21389031</v>
      </c>
      <c r="BO403" s="2" t="s">
        <v>74</v>
      </c>
      <c r="BP403" s="2" t="s">
        <v>74</v>
      </c>
      <c r="BQ403" s="2" t="s">
        <v>74</v>
      </c>
      <c r="BR403" s="2" t="s">
        <v>74</v>
      </c>
      <c r="BS403" s="2" t="s">
        <v>3142</v>
      </c>
      <c r="BT403" s="2" t="str">
        <f>HYPERLINK("https%3A%2F%2Fwww.webofscience.com%2Fwos%2Fwoscc%2Ffull-record%2FWOS:000294244900005","View Full Record in Web of Science")</f>
        <v>View Full Record in Web of Science</v>
      </c>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row>
    <row r="404" spans="1:314" s="2" customFormat="1" x14ac:dyDescent="0.4">
      <c r="A404" s="2" t="s">
        <v>72</v>
      </c>
      <c r="B404" s="2" t="s">
        <v>2873</v>
      </c>
      <c r="C404" s="2" t="s">
        <v>74</v>
      </c>
      <c r="D404" s="2" t="s">
        <v>74</v>
      </c>
      <c r="E404" s="2" t="s">
        <v>74</v>
      </c>
      <c r="F404" s="2" t="s">
        <v>2874</v>
      </c>
      <c r="G404" s="2" t="s">
        <v>74</v>
      </c>
      <c r="H404" s="2" t="s">
        <v>74</v>
      </c>
      <c r="I404" s="2" t="s">
        <v>2875</v>
      </c>
      <c r="J404" s="2" t="s">
        <v>312</v>
      </c>
      <c r="K404" s="2" t="s">
        <v>74</v>
      </c>
      <c r="L404" s="2" t="s">
        <v>74</v>
      </c>
      <c r="M404" s="2" t="s">
        <v>74</v>
      </c>
      <c r="N404" s="2" t="s">
        <v>74</v>
      </c>
      <c r="O404" s="2" t="s">
        <v>74</v>
      </c>
      <c r="P404" s="2" t="s">
        <v>74</v>
      </c>
      <c r="Q404" s="2" t="s">
        <v>74</v>
      </c>
      <c r="R404" s="2" t="s">
        <v>74</v>
      </c>
      <c r="S404" s="2" t="s">
        <v>74</v>
      </c>
      <c r="T404" s="2" t="s">
        <v>74</v>
      </c>
      <c r="U404" s="2" t="s">
        <v>74</v>
      </c>
      <c r="V404" s="5" t="s">
        <v>2876</v>
      </c>
      <c r="W404" s="2" t="s">
        <v>74</v>
      </c>
      <c r="X404" s="2" t="s">
        <v>74</v>
      </c>
      <c r="Y404" s="2" t="s">
        <v>74</v>
      </c>
      <c r="Z404" s="2" t="s">
        <v>74</v>
      </c>
      <c r="AA404" s="2" t="s">
        <v>74</v>
      </c>
      <c r="AB404" s="2" t="s">
        <v>931</v>
      </c>
      <c r="AC404" s="2" t="s">
        <v>74</v>
      </c>
      <c r="AD404" s="2" t="s">
        <v>74</v>
      </c>
      <c r="AE404" s="2" t="s">
        <v>74</v>
      </c>
      <c r="AF404" s="2" t="s">
        <v>74</v>
      </c>
      <c r="AG404" s="2" t="s">
        <v>74</v>
      </c>
      <c r="AH404" s="2" t="s">
        <v>74</v>
      </c>
      <c r="AI404" s="2" t="s">
        <v>74</v>
      </c>
      <c r="AJ404" s="2" t="s">
        <v>74</v>
      </c>
      <c r="AK404" s="2" t="s">
        <v>74</v>
      </c>
      <c r="AL404" s="2" t="s">
        <v>74</v>
      </c>
      <c r="AM404" s="2" t="s">
        <v>74</v>
      </c>
      <c r="AN404" s="2" t="s">
        <v>74</v>
      </c>
      <c r="AO404" s="2" t="s">
        <v>314</v>
      </c>
      <c r="AP404" s="2" t="s">
        <v>315</v>
      </c>
      <c r="AQ404" s="2" t="s">
        <v>74</v>
      </c>
      <c r="AR404" s="2" t="s">
        <v>74</v>
      </c>
      <c r="AS404" s="2" t="s">
        <v>74</v>
      </c>
      <c r="AT404" s="2" t="s">
        <v>1146</v>
      </c>
      <c r="AU404" s="2">
        <v>2022</v>
      </c>
      <c r="AV404" s="2">
        <v>200</v>
      </c>
      <c r="AW404" s="2">
        <v>2</v>
      </c>
      <c r="AX404" s="2" t="s">
        <v>74</v>
      </c>
      <c r="AY404" s="2" t="s">
        <v>74</v>
      </c>
      <c r="AZ404" s="2" t="s">
        <v>74</v>
      </c>
      <c r="BA404" s="2" t="s">
        <v>74</v>
      </c>
      <c r="BB404" s="2">
        <v>236</v>
      </c>
      <c r="BC404" s="2">
        <v>249</v>
      </c>
      <c r="BD404" s="2" t="s">
        <v>74</v>
      </c>
      <c r="BE404" s="2" t="s">
        <v>2877</v>
      </c>
      <c r="BF404" s="2" t="str">
        <f>HYPERLINK("http://dx.doi.org/10.1086/720267","http://dx.doi.org/10.1086/720267")</f>
        <v>http://dx.doi.org/10.1086/720267</v>
      </c>
      <c r="BG404" s="2" t="s">
        <v>74</v>
      </c>
      <c r="BH404" s="2" t="s">
        <v>307</v>
      </c>
      <c r="BI404" s="2" t="s">
        <v>74</v>
      </c>
      <c r="BJ404" s="2" t="s">
        <v>74</v>
      </c>
      <c r="BK404" s="2" t="s">
        <v>74</v>
      </c>
      <c r="BL404" s="2" t="s">
        <v>74</v>
      </c>
      <c r="BM404" s="2" t="s">
        <v>74</v>
      </c>
      <c r="BN404" s="2">
        <v>35905402</v>
      </c>
      <c r="BO404" s="2" t="s">
        <v>74</v>
      </c>
      <c r="BP404" s="2" t="s">
        <v>74</v>
      </c>
      <c r="BQ404" s="2" t="s">
        <v>74</v>
      </c>
      <c r="BR404" s="2" t="s">
        <v>74</v>
      </c>
      <c r="BS404" s="2" t="s">
        <v>2878</v>
      </c>
      <c r="BT404" s="2" t="str">
        <f>HYPERLINK("https%3A%2F%2Fwww.webofscience.com%2Fwos%2Fwoscc%2Ffull-record%2FWOS:000815766400001","View Full Record in Web of Science")</f>
        <v>View Full Record in Web of Science</v>
      </c>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row>
    <row r="405" spans="1:314" s="2" customFormat="1" x14ac:dyDescent="0.4">
      <c r="A405" s="2" t="s">
        <v>72</v>
      </c>
      <c r="B405" s="2" t="s">
        <v>927</v>
      </c>
      <c r="C405" s="2" t="s">
        <v>74</v>
      </c>
      <c r="D405" s="2" t="s">
        <v>74</v>
      </c>
      <c r="E405" s="2" t="s">
        <v>74</v>
      </c>
      <c r="F405" s="2" t="s">
        <v>928</v>
      </c>
      <c r="G405" s="2" t="s">
        <v>74</v>
      </c>
      <c r="H405" s="2" t="s">
        <v>74</v>
      </c>
      <c r="I405" s="2" t="s">
        <v>929</v>
      </c>
      <c r="J405" s="2" t="s">
        <v>763</v>
      </c>
      <c r="K405" s="2" t="s">
        <v>74</v>
      </c>
      <c r="L405" s="2" t="s">
        <v>74</v>
      </c>
      <c r="M405" s="2" t="s">
        <v>74</v>
      </c>
      <c r="N405" s="2" t="s">
        <v>74</v>
      </c>
      <c r="O405" s="2" t="s">
        <v>74</v>
      </c>
      <c r="P405" s="2" t="s">
        <v>74</v>
      </c>
      <c r="Q405" s="2" t="s">
        <v>74</v>
      </c>
      <c r="R405" s="2" t="s">
        <v>74</v>
      </c>
      <c r="S405" s="2" t="s">
        <v>74</v>
      </c>
      <c r="T405" s="2" t="s">
        <v>74</v>
      </c>
      <c r="U405" s="2" t="s">
        <v>74</v>
      </c>
      <c r="V405" s="5" t="s">
        <v>930</v>
      </c>
      <c r="W405" s="2" t="s">
        <v>74</v>
      </c>
      <c r="X405" s="2" t="s">
        <v>74</v>
      </c>
      <c r="Y405" s="2" t="s">
        <v>74</v>
      </c>
      <c r="Z405" s="2" t="s">
        <v>74</v>
      </c>
      <c r="AA405" s="2" t="s">
        <v>74</v>
      </c>
      <c r="AB405" s="2" t="s">
        <v>931</v>
      </c>
      <c r="AC405" s="2" t="s">
        <v>74</v>
      </c>
      <c r="AD405" s="2" t="s">
        <v>74</v>
      </c>
      <c r="AE405" s="2" t="s">
        <v>74</v>
      </c>
      <c r="AF405" s="2" t="s">
        <v>74</v>
      </c>
      <c r="AG405" s="2" t="s">
        <v>74</v>
      </c>
      <c r="AH405" s="2" t="s">
        <v>74</v>
      </c>
      <c r="AI405" s="2" t="s">
        <v>74</v>
      </c>
      <c r="AJ405" s="2" t="s">
        <v>74</v>
      </c>
      <c r="AK405" s="2" t="s">
        <v>74</v>
      </c>
      <c r="AL405" s="2" t="s">
        <v>74</v>
      </c>
      <c r="AM405" s="2" t="s">
        <v>74</v>
      </c>
      <c r="AN405" s="2" t="s">
        <v>74</v>
      </c>
      <c r="AO405" s="2" t="s">
        <v>767</v>
      </c>
      <c r="AP405" s="2" t="s">
        <v>768</v>
      </c>
      <c r="AQ405" s="2" t="s">
        <v>74</v>
      </c>
      <c r="AR405" s="2" t="s">
        <v>74</v>
      </c>
      <c r="AS405" s="2" t="s">
        <v>74</v>
      </c>
      <c r="AT405" s="2" t="s">
        <v>932</v>
      </c>
      <c r="AU405" s="2">
        <v>2017</v>
      </c>
      <c r="AV405" s="2">
        <v>220</v>
      </c>
      <c r="AW405" s="2">
        <v>12</v>
      </c>
      <c r="AX405" s="2" t="s">
        <v>74</v>
      </c>
      <c r="AY405" s="2" t="s">
        <v>74</v>
      </c>
      <c r="AZ405" s="2" t="s">
        <v>74</v>
      </c>
      <c r="BA405" s="2" t="s">
        <v>74</v>
      </c>
      <c r="BB405" s="2">
        <v>2154</v>
      </c>
      <c r="BC405" s="2">
        <v>2158</v>
      </c>
      <c r="BD405" s="2" t="s">
        <v>74</v>
      </c>
      <c r="BE405" s="2" t="s">
        <v>933</v>
      </c>
      <c r="BF405" s="2" t="str">
        <f>HYPERLINK("http://dx.doi.org/10.1242/jeb.150458","http://dx.doi.org/10.1242/jeb.150458")</f>
        <v>http://dx.doi.org/10.1242/jeb.150458</v>
      </c>
      <c r="BG405" s="2" t="s">
        <v>74</v>
      </c>
      <c r="BH405" s="2" t="s">
        <v>74</v>
      </c>
      <c r="BI405" s="2" t="s">
        <v>74</v>
      </c>
      <c r="BJ405" s="2" t="s">
        <v>74</v>
      </c>
      <c r="BK405" s="2" t="s">
        <v>74</v>
      </c>
      <c r="BL405" s="2" t="s">
        <v>74</v>
      </c>
      <c r="BM405" s="2" t="s">
        <v>74</v>
      </c>
      <c r="BN405" s="2">
        <v>28385798</v>
      </c>
      <c r="BO405" s="2" t="s">
        <v>74</v>
      </c>
      <c r="BP405" s="2" t="s">
        <v>74</v>
      </c>
      <c r="BQ405" s="2" t="s">
        <v>74</v>
      </c>
      <c r="BR405" s="2" t="s">
        <v>74</v>
      </c>
      <c r="BS405" s="2" t="s">
        <v>934</v>
      </c>
      <c r="BT405" s="2" t="str">
        <f>HYPERLINK("https%3A%2F%2Fwww.webofscience.com%2Fwos%2Fwoscc%2Ffull-record%2FWOS:000403337600009","View Full Record in Web of Science")</f>
        <v>View Full Record in Web of Science</v>
      </c>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row>
    <row r="406" spans="1:314" s="2" customFormat="1" x14ac:dyDescent="0.4">
      <c r="A406" s="2" t="s">
        <v>72</v>
      </c>
      <c r="B406" s="2" t="s">
        <v>5211</v>
      </c>
      <c r="C406" s="2" t="s">
        <v>74</v>
      </c>
      <c r="D406" s="2" t="s">
        <v>74</v>
      </c>
      <c r="E406" s="2" t="s">
        <v>74</v>
      </c>
      <c r="F406" s="2" t="s">
        <v>5212</v>
      </c>
      <c r="G406" s="2" t="s">
        <v>74</v>
      </c>
      <c r="H406" s="2" t="s">
        <v>74</v>
      </c>
      <c r="I406" s="2" t="s">
        <v>5213</v>
      </c>
      <c r="J406" s="2" t="s">
        <v>431</v>
      </c>
      <c r="K406" s="2" t="s">
        <v>74</v>
      </c>
      <c r="L406" s="2" t="s">
        <v>74</v>
      </c>
      <c r="M406" s="2" t="s">
        <v>74</v>
      </c>
      <c r="N406" s="2" t="s">
        <v>74</v>
      </c>
      <c r="O406" s="2" t="s">
        <v>74</v>
      </c>
      <c r="P406" s="2" t="s">
        <v>74</v>
      </c>
      <c r="Q406" s="2" t="s">
        <v>74</v>
      </c>
      <c r="R406" s="2" t="s">
        <v>74</v>
      </c>
      <c r="S406" s="2" t="s">
        <v>74</v>
      </c>
      <c r="T406" s="2" t="s">
        <v>74</v>
      </c>
      <c r="U406" s="2" t="s">
        <v>74</v>
      </c>
      <c r="V406" s="5" t="s">
        <v>5214</v>
      </c>
      <c r="W406" s="2" t="s">
        <v>74</v>
      </c>
      <c r="X406" s="2" t="s">
        <v>74</v>
      </c>
      <c r="Y406" s="2" t="s">
        <v>74</v>
      </c>
      <c r="Z406" s="2" t="s">
        <v>74</v>
      </c>
      <c r="AA406" s="2" t="s">
        <v>5215</v>
      </c>
      <c r="AB406" s="2" t="s">
        <v>5216</v>
      </c>
      <c r="AC406" s="2" t="s">
        <v>74</v>
      </c>
      <c r="AD406" s="2" t="s">
        <v>74</v>
      </c>
      <c r="AE406" s="2" t="s">
        <v>74</v>
      </c>
      <c r="AF406" s="2" t="s">
        <v>74</v>
      </c>
      <c r="AG406" s="2" t="s">
        <v>74</v>
      </c>
      <c r="AH406" s="2" t="s">
        <v>74</v>
      </c>
      <c r="AI406" s="2" t="s">
        <v>74</v>
      </c>
      <c r="AJ406" s="2" t="s">
        <v>74</v>
      </c>
      <c r="AK406" s="2" t="s">
        <v>74</v>
      </c>
      <c r="AL406" s="2" t="s">
        <v>74</v>
      </c>
      <c r="AM406" s="2" t="s">
        <v>74</v>
      </c>
      <c r="AN406" s="2" t="s">
        <v>74</v>
      </c>
      <c r="AO406" s="2" t="s">
        <v>1458</v>
      </c>
      <c r="AP406" s="2" t="s">
        <v>435</v>
      </c>
      <c r="AQ406" s="2" t="s">
        <v>74</v>
      </c>
      <c r="AR406" s="2" t="s">
        <v>74</v>
      </c>
      <c r="AS406" s="2" t="s">
        <v>74</v>
      </c>
      <c r="AT406" s="2" t="s">
        <v>633</v>
      </c>
      <c r="AU406" s="2">
        <v>2009</v>
      </c>
      <c r="AV406" s="2">
        <v>126</v>
      </c>
      <c r="AW406" s="2">
        <v>2</v>
      </c>
      <c r="AX406" s="2" t="s">
        <v>74</v>
      </c>
      <c r="AY406" s="2" t="s">
        <v>74</v>
      </c>
      <c r="AZ406" s="2" t="s">
        <v>74</v>
      </c>
      <c r="BA406" s="2" t="s">
        <v>74</v>
      </c>
      <c r="BB406" s="2">
        <v>351</v>
      </c>
      <c r="BC406" s="2">
        <v>358</v>
      </c>
      <c r="BD406" s="2" t="s">
        <v>74</v>
      </c>
      <c r="BE406" s="2" t="s">
        <v>5217</v>
      </c>
      <c r="BF406" s="2" t="str">
        <f>HYPERLINK("http://dx.doi.org/10.1525/auk.2009.08086","http://dx.doi.org/10.1525/auk.2009.08086")</f>
        <v>http://dx.doi.org/10.1525/auk.2009.08086</v>
      </c>
      <c r="BG406" s="2" t="s">
        <v>74</v>
      </c>
      <c r="BH406" s="2" t="s">
        <v>74</v>
      </c>
      <c r="BI406" s="2" t="s">
        <v>74</v>
      </c>
      <c r="BJ406" s="2" t="s">
        <v>74</v>
      </c>
      <c r="BK406" s="2" t="s">
        <v>74</v>
      </c>
      <c r="BL406" s="2" t="s">
        <v>74</v>
      </c>
      <c r="BM406" s="2" t="s">
        <v>74</v>
      </c>
      <c r="BN406" s="2" t="s">
        <v>74</v>
      </c>
      <c r="BO406" s="2" t="s">
        <v>74</v>
      </c>
      <c r="BP406" s="2" t="s">
        <v>74</v>
      </c>
      <c r="BQ406" s="2" t="s">
        <v>74</v>
      </c>
      <c r="BR406" s="2" t="s">
        <v>74</v>
      </c>
      <c r="BS406" s="2" t="s">
        <v>5218</v>
      </c>
      <c r="BT406" s="2" t="str">
        <f>HYPERLINK("https%3A%2F%2Fwww.webofscience.com%2Fwos%2Fwoscc%2Ffull-record%2FWOS:000265754300013","View Full Record in Web of Science")</f>
        <v>View Full Record in Web of Science</v>
      </c>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row>
    <row r="407" spans="1:314" s="2" customFormat="1" x14ac:dyDescent="0.4">
      <c r="A407" s="2" t="s">
        <v>72</v>
      </c>
      <c r="B407" s="2" t="s">
        <v>5337</v>
      </c>
      <c r="C407" s="2" t="s">
        <v>74</v>
      </c>
      <c r="D407" s="2" t="s">
        <v>74</v>
      </c>
      <c r="E407" s="2" t="s">
        <v>74</v>
      </c>
      <c r="F407" s="2" t="s">
        <v>5337</v>
      </c>
      <c r="G407" s="2" t="s">
        <v>74</v>
      </c>
      <c r="H407" s="2" t="s">
        <v>74</v>
      </c>
      <c r="I407" s="2" t="s">
        <v>5338</v>
      </c>
      <c r="J407" s="2" t="s">
        <v>129</v>
      </c>
      <c r="K407" s="2" t="s">
        <v>74</v>
      </c>
      <c r="L407" s="2" t="s">
        <v>74</v>
      </c>
      <c r="M407" s="2" t="s">
        <v>74</v>
      </c>
      <c r="N407" s="2" t="s">
        <v>74</v>
      </c>
      <c r="O407" s="2" t="s">
        <v>74</v>
      </c>
      <c r="P407" s="2" t="s">
        <v>74</v>
      </c>
      <c r="Q407" s="2" t="s">
        <v>74</v>
      </c>
      <c r="R407" s="2" t="s">
        <v>74</v>
      </c>
      <c r="S407" s="2" t="s">
        <v>74</v>
      </c>
      <c r="T407" s="2" t="s">
        <v>74</v>
      </c>
      <c r="U407" s="2" t="s">
        <v>74</v>
      </c>
      <c r="V407" s="5" t="s">
        <v>5339</v>
      </c>
      <c r="W407" s="2" t="s">
        <v>74</v>
      </c>
      <c r="X407" s="2" t="s">
        <v>74</v>
      </c>
      <c r="Y407" s="2" t="s">
        <v>74</v>
      </c>
      <c r="Z407" s="2" t="s">
        <v>74</v>
      </c>
      <c r="AA407" s="2" t="s">
        <v>74</v>
      </c>
      <c r="AB407" s="2" t="s">
        <v>74</v>
      </c>
      <c r="AC407" s="2" t="s">
        <v>74</v>
      </c>
      <c r="AD407" s="2" t="s">
        <v>74</v>
      </c>
      <c r="AE407" s="2" t="s">
        <v>74</v>
      </c>
      <c r="AF407" s="2" t="s">
        <v>74</v>
      </c>
      <c r="AG407" s="2" t="s">
        <v>74</v>
      </c>
      <c r="AH407" s="2" t="s">
        <v>74</v>
      </c>
      <c r="AI407" s="2" t="s">
        <v>74</v>
      </c>
      <c r="AJ407" s="2" t="s">
        <v>74</v>
      </c>
      <c r="AK407" s="2" t="s">
        <v>74</v>
      </c>
      <c r="AL407" s="2" t="s">
        <v>74</v>
      </c>
      <c r="AM407" s="2" t="s">
        <v>74</v>
      </c>
      <c r="AN407" s="2" t="s">
        <v>74</v>
      </c>
      <c r="AO407" s="2" t="s">
        <v>132</v>
      </c>
      <c r="AP407" s="2" t="s">
        <v>133</v>
      </c>
      <c r="AQ407" s="2" t="s">
        <v>74</v>
      </c>
      <c r="AR407" s="2" t="s">
        <v>74</v>
      </c>
      <c r="AS407" s="2" t="s">
        <v>74</v>
      </c>
      <c r="AT407" s="2" t="s">
        <v>74</v>
      </c>
      <c r="AU407" s="2">
        <v>1989</v>
      </c>
      <c r="AV407" s="2">
        <v>25</v>
      </c>
      <c r="AW407" s="2">
        <v>1</v>
      </c>
      <c r="AX407" s="2" t="s">
        <v>74</v>
      </c>
      <c r="AY407" s="2" t="s">
        <v>74</v>
      </c>
      <c r="AZ407" s="2" t="s">
        <v>74</v>
      </c>
      <c r="BA407" s="2" t="s">
        <v>74</v>
      </c>
      <c r="BB407" s="2">
        <v>49</v>
      </c>
      <c r="BC407" s="2">
        <v>56</v>
      </c>
      <c r="BD407" s="2" t="s">
        <v>74</v>
      </c>
      <c r="BE407" s="2" t="s">
        <v>5340</v>
      </c>
      <c r="BF407" s="2" t="str">
        <f>HYPERLINK("http://dx.doi.org/10.1007/BF00299710","http://dx.doi.org/10.1007/BF00299710")</f>
        <v>http://dx.doi.org/10.1007/BF00299710</v>
      </c>
      <c r="BG407" s="2" t="s">
        <v>74</v>
      </c>
      <c r="BH407" s="2" t="s">
        <v>74</v>
      </c>
      <c r="BI407" s="2" t="s">
        <v>74</v>
      </c>
      <c r="BJ407" s="2" t="s">
        <v>74</v>
      </c>
      <c r="BK407" s="2" t="s">
        <v>74</v>
      </c>
      <c r="BL407" s="2" t="s">
        <v>74</v>
      </c>
      <c r="BM407" s="2" t="s">
        <v>74</v>
      </c>
      <c r="BN407" s="2" t="s">
        <v>74</v>
      </c>
      <c r="BO407" s="2" t="s">
        <v>74</v>
      </c>
      <c r="BP407" s="2" t="s">
        <v>74</v>
      </c>
      <c r="BQ407" s="2" t="s">
        <v>74</v>
      </c>
      <c r="BR407" s="2" t="s">
        <v>74</v>
      </c>
      <c r="BS407" s="2" t="s">
        <v>5341</v>
      </c>
      <c r="BT407" s="2" t="str">
        <f>HYPERLINK("https%3A%2F%2Fwww.webofscience.com%2Fwos%2Fwoscc%2Ffull-record%2FWOS:A1989AJ00400006","View Full Record in Web of Science")</f>
        <v>View Full Record in Web of Science</v>
      </c>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row>
    <row r="408" spans="1:314" s="2" customFormat="1" ht="14.25" customHeight="1" x14ac:dyDescent="0.4">
      <c r="A408" s="2" t="s">
        <v>72</v>
      </c>
      <c r="B408" s="2" t="s">
        <v>5337</v>
      </c>
      <c r="C408" s="2" t="s">
        <v>74</v>
      </c>
      <c r="D408" s="2" t="s">
        <v>74</v>
      </c>
      <c r="E408" s="2" t="s">
        <v>74</v>
      </c>
      <c r="F408" s="2" t="s">
        <v>5337</v>
      </c>
      <c r="G408" s="2" t="s">
        <v>74</v>
      </c>
      <c r="H408" s="2" t="s">
        <v>74</v>
      </c>
      <c r="I408" s="2" t="s">
        <v>7139</v>
      </c>
      <c r="J408" s="2" t="s">
        <v>171</v>
      </c>
      <c r="K408" s="2" t="s">
        <v>74</v>
      </c>
      <c r="L408" s="2" t="s">
        <v>74</v>
      </c>
      <c r="M408" s="2" t="s">
        <v>74</v>
      </c>
      <c r="N408" s="2" t="s">
        <v>74</v>
      </c>
      <c r="O408" s="2" t="s">
        <v>74</v>
      </c>
      <c r="P408" s="2" t="s">
        <v>74</v>
      </c>
      <c r="Q408" s="2" t="s">
        <v>74</v>
      </c>
      <c r="R408" s="2" t="s">
        <v>74</v>
      </c>
      <c r="S408" s="2" t="s">
        <v>74</v>
      </c>
      <c r="T408" s="2" t="s">
        <v>74</v>
      </c>
      <c r="U408" s="2" t="s">
        <v>74</v>
      </c>
      <c r="V408" s="5" t="s">
        <v>7140</v>
      </c>
      <c r="W408" s="2" t="s">
        <v>74</v>
      </c>
      <c r="X408" s="2" t="s">
        <v>74</v>
      </c>
      <c r="Y408" s="2" t="s">
        <v>74</v>
      </c>
      <c r="Z408" s="2" t="s">
        <v>74</v>
      </c>
      <c r="AA408" s="2" t="s">
        <v>74</v>
      </c>
      <c r="AB408" s="2" t="s">
        <v>74</v>
      </c>
      <c r="AC408" s="2" t="s">
        <v>74</v>
      </c>
      <c r="AD408" s="2" t="s">
        <v>74</v>
      </c>
      <c r="AE408" s="2" t="s">
        <v>74</v>
      </c>
      <c r="AF408" s="2" t="s">
        <v>74</v>
      </c>
      <c r="AG408" s="2" t="s">
        <v>74</v>
      </c>
      <c r="AH408" s="2" t="s">
        <v>74</v>
      </c>
      <c r="AI408" s="2" t="s">
        <v>74</v>
      </c>
      <c r="AJ408" s="2" t="s">
        <v>74</v>
      </c>
      <c r="AK408" s="2" t="s">
        <v>74</v>
      </c>
      <c r="AL408" s="2" t="s">
        <v>74</v>
      </c>
      <c r="AM408" s="2" t="s">
        <v>74</v>
      </c>
      <c r="AN408" s="2" t="s">
        <v>74</v>
      </c>
      <c r="AO408" s="2" t="s">
        <v>173</v>
      </c>
      <c r="AP408" s="2" t="s">
        <v>174</v>
      </c>
      <c r="AQ408" s="2" t="s">
        <v>74</v>
      </c>
      <c r="AR408" s="2" t="s">
        <v>74</v>
      </c>
      <c r="AS408" s="2" t="s">
        <v>74</v>
      </c>
      <c r="AT408" s="2" t="s">
        <v>74</v>
      </c>
      <c r="AU408" s="2">
        <v>1984</v>
      </c>
      <c r="AV408" s="2">
        <v>38</v>
      </c>
      <c r="AW408" s="2">
        <v>2</v>
      </c>
      <c r="AX408" s="2" t="s">
        <v>74</v>
      </c>
      <c r="AY408" s="2" t="s">
        <v>74</v>
      </c>
      <c r="AZ408" s="2" t="s">
        <v>74</v>
      </c>
      <c r="BA408" s="2" t="s">
        <v>74</v>
      </c>
      <c r="BB408" s="2">
        <v>267</v>
      </c>
      <c r="BC408" s="2">
        <v>279</v>
      </c>
      <c r="BD408" s="2" t="s">
        <v>74</v>
      </c>
      <c r="BE408" s="2" t="s">
        <v>7141</v>
      </c>
      <c r="BF408" s="2" t="str">
        <f>HYPERLINK("http://dx.doi.org/10.2307/2408486","http://dx.doi.org/10.2307/2408486")</f>
        <v>http://dx.doi.org/10.2307/2408486</v>
      </c>
      <c r="BG408" s="2" t="s">
        <v>74</v>
      </c>
      <c r="BH408" s="2" t="s">
        <v>74</v>
      </c>
      <c r="BI408" s="2" t="s">
        <v>74</v>
      </c>
      <c r="BJ408" s="2" t="s">
        <v>74</v>
      </c>
      <c r="BK408" s="2" t="s">
        <v>74</v>
      </c>
      <c r="BL408" s="2" t="s">
        <v>74</v>
      </c>
      <c r="BM408" s="2" t="s">
        <v>74</v>
      </c>
      <c r="BN408" s="2">
        <v>28555921</v>
      </c>
      <c r="BO408" s="2" t="s">
        <v>74</v>
      </c>
      <c r="BP408" s="2" t="s">
        <v>74</v>
      </c>
      <c r="BQ408" s="2" t="s">
        <v>74</v>
      </c>
      <c r="BR408" s="2" t="s">
        <v>74</v>
      </c>
      <c r="BS408" s="2" t="s">
        <v>7142</v>
      </c>
      <c r="BT408" s="2" t="str">
        <f>HYPERLINK("https%3A%2F%2Fwww.webofscience.com%2Fwos%2Fwoscc%2Ffull-record%2FWOS:A1984SL13500004","View Full Record in Web of Science")</f>
        <v>View Full Record in Web of Science</v>
      </c>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row>
    <row r="409" spans="1:314" s="2" customFormat="1" x14ac:dyDescent="0.4">
      <c r="A409" s="2" t="s">
        <v>72</v>
      </c>
      <c r="B409" s="2" t="s">
        <v>1922</v>
      </c>
      <c r="C409" s="2" t="s">
        <v>74</v>
      </c>
      <c r="D409" s="2" t="s">
        <v>74</v>
      </c>
      <c r="E409" s="2" t="s">
        <v>74</v>
      </c>
      <c r="F409" s="2" t="s">
        <v>1923</v>
      </c>
      <c r="G409" s="2" t="s">
        <v>74</v>
      </c>
      <c r="H409" s="2" t="s">
        <v>74</v>
      </c>
      <c r="I409" s="2" t="s">
        <v>1924</v>
      </c>
      <c r="J409" s="2" t="s">
        <v>119</v>
      </c>
      <c r="K409" s="2" t="s">
        <v>74</v>
      </c>
      <c r="L409" s="2" t="s">
        <v>74</v>
      </c>
      <c r="M409" s="2" t="s">
        <v>74</v>
      </c>
      <c r="N409" s="2" t="s">
        <v>74</v>
      </c>
      <c r="O409" s="2" t="s">
        <v>74</v>
      </c>
      <c r="P409" s="2" t="s">
        <v>74</v>
      </c>
      <c r="Q409" s="2" t="s">
        <v>74</v>
      </c>
      <c r="R409" s="2" t="s">
        <v>74</v>
      </c>
      <c r="S409" s="2" t="s">
        <v>74</v>
      </c>
      <c r="T409" s="2" t="s">
        <v>74</v>
      </c>
      <c r="U409" s="2" t="s">
        <v>74</v>
      </c>
      <c r="V409" s="5" t="s">
        <v>1925</v>
      </c>
      <c r="W409" s="2" t="s">
        <v>74</v>
      </c>
      <c r="X409" s="2" t="s">
        <v>74</v>
      </c>
      <c r="Y409" s="2" t="s">
        <v>74</v>
      </c>
      <c r="Z409" s="2" t="s">
        <v>74</v>
      </c>
      <c r="AA409" s="2" t="s">
        <v>1926</v>
      </c>
      <c r="AB409" s="2" t="s">
        <v>1927</v>
      </c>
      <c r="AC409" s="2" t="s">
        <v>74</v>
      </c>
      <c r="AD409" s="2" t="s">
        <v>74</v>
      </c>
      <c r="AE409" s="2" t="s">
        <v>74</v>
      </c>
      <c r="AF409" s="2" t="s">
        <v>74</v>
      </c>
      <c r="AG409" s="2" t="s">
        <v>74</v>
      </c>
      <c r="AH409" s="2" t="s">
        <v>74</v>
      </c>
      <c r="AI409" s="2" t="s">
        <v>74</v>
      </c>
      <c r="AJ409" s="2" t="s">
        <v>74</v>
      </c>
      <c r="AK409" s="2" t="s">
        <v>74</v>
      </c>
      <c r="AL409" s="2" t="s">
        <v>74</v>
      </c>
      <c r="AM409" s="2" t="s">
        <v>74</v>
      </c>
      <c r="AN409" s="2" t="s">
        <v>74</v>
      </c>
      <c r="AO409" s="2" t="s">
        <v>121</v>
      </c>
      <c r="AP409" s="2" t="s">
        <v>122</v>
      </c>
      <c r="AQ409" s="2" t="s">
        <v>74</v>
      </c>
      <c r="AR409" s="2" t="s">
        <v>74</v>
      </c>
      <c r="AS409" s="2" t="s">
        <v>74</v>
      </c>
      <c r="AT409" s="2" t="s">
        <v>964</v>
      </c>
      <c r="AU409" s="2">
        <v>2018</v>
      </c>
      <c r="AV409" s="2">
        <v>147</v>
      </c>
      <c r="AW409" s="2" t="s">
        <v>74</v>
      </c>
      <c r="AX409" s="2" t="s">
        <v>74</v>
      </c>
      <c r="AY409" s="2" t="s">
        <v>74</v>
      </c>
      <c r="AZ409" s="2" t="s">
        <v>74</v>
      </c>
      <c r="BA409" s="2" t="s">
        <v>74</v>
      </c>
      <c r="BB409" s="2">
        <v>61</v>
      </c>
      <c r="BC409" s="2">
        <v>69</v>
      </c>
      <c r="BD409" s="2" t="s">
        <v>74</v>
      </c>
      <c r="BE409" s="2" t="s">
        <v>1928</v>
      </c>
      <c r="BF409" s="2" t="str">
        <f>HYPERLINK("http://dx.doi.org/10.1016/j.beproc.2017.12.015","http://dx.doi.org/10.1016/j.beproc.2017.12.015")</f>
        <v>http://dx.doi.org/10.1016/j.beproc.2017.12.015</v>
      </c>
      <c r="BG409" s="2" t="s">
        <v>74</v>
      </c>
      <c r="BH409" s="2" t="s">
        <v>74</v>
      </c>
      <c r="BI409" s="2" t="s">
        <v>74</v>
      </c>
      <c r="BJ409" s="2" t="s">
        <v>74</v>
      </c>
      <c r="BK409" s="2" t="s">
        <v>74</v>
      </c>
      <c r="BL409" s="2" t="s">
        <v>74</v>
      </c>
      <c r="BM409" s="2" t="s">
        <v>74</v>
      </c>
      <c r="BN409" s="2">
        <v>29273550</v>
      </c>
      <c r="BO409" s="2" t="s">
        <v>74</v>
      </c>
      <c r="BP409" s="2" t="s">
        <v>74</v>
      </c>
      <c r="BQ409" s="2" t="s">
        <v>74</v>
      </c>
      <c r="BR409" s="2" t="s">
        <v>74</v>
      </c>
      <c r="BS409" s="2" t="s">
        <v>1929</v>
      </c>
      <c r="BT409" s="2" t="str">
        <f>HYPERLINK("https%3A%2F%2Fwww.webofscience.com%2Fwos%2Fwoscc%2Ffull-record%2FWOS:000423645400009","View Full Record in Web of Science")</f>
        <v>View Full Record in Web of Science</v>
      </c>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row>
    <row r="410" spans="1:314" s="2" customFormat="1" x14ac:dyDescent="0.4">
      <c r="A410" s="2" t="s">
        <v>72</v>
      </c>
      <c r="B410" s="2" t="s">
        <v>6394</v>
      </c>
      <c r="C410" s="2" t="s">
        <v>74</v>
      </c>
      <c r="D410" s="2" t="s">
        <v>74</v>
      </c>
      <c r="E410" s="2" t="s">
        <v>74</v>
      </c>
      <c r="F410" s="2" t="s">
        <v>6394</v>
      </c>
      <c r="G410" s="2" t="s">
        <v>74</v>
      </c>
      <c r="H410" s="2" t="s">
        <v>74</v>
      </c>
      <c r="I410" s="2" t="s">
        <v>6395</v>
      </c>
      <c r="J410" s="2" t="s">
        <v>691</v>
      </c>
      <c r="K410" s="2" t="s">
        <v>74</v>
      </c>
      <c r="L410" s="2" t="s">
        <v>74</v>
      </c>
      <c r="M410" s="2" t="s">
        <v>74</v>
      </c>
      <c r="N410" s="2" t="s">
        <v>74</v>
      </c>
      <c r="O410" s="2" t="s">
        <v>74</v>
      </c>
      <c r="P410" s="2" t="s">
        <v>74</v>
      </c>
      <c r="Q410" s="2" t="s">
        <v>74</v>
      </c>
      <c r="R410" s="2" t="s">
        <v>74</v>
      </c>
      <c r="S410" s="2" t="s">
        <v>74</v>
      </c>
      <c r="T410" s="2" t="s">
        <v>74</v>
      </c>
      <c r="U410" s="2" t="s">
        <v>74</v>
      </c>
      <c r="V410" s="5" t="s">
        <v>6396</v>
      </c>
      <c r="W410" s="2" t="s">
        <v>74</v>
      </c>
      <c r="X410" s="2" t="s">
        <v>74</v>
      </c>
      <c r="Y410" s="2" t="s">
        <v>74</v>
      </c>
      <c r="Z410" s="2" t="s">
        <v>74</v>
      </c>
      <c r="AA410" s="2" t="s">
        <v>74</v>
      </c>
      <c r="AB410" s="2" t="s">
        <v>74</v>
      </c>
      <c r="AC410" s="2" t="s">
        <v>74</v>
      </c>
      <c r="AD410" s="2" t="s">
        <v>74</v>
      </c>
      <c r="AE410" s="2" t="s">
        <v>74</v>
      </c>
      <c r="AF410" s="2" t="s">
        <v>74</v>
      </c>
      <c r="AG410" s="2" t="s">
        <v>74</v>
      </c>
      <c r="AH410" s="2" t="s">
        <v>74</v>
      </c>
      <c r="AI410" s="2" t="s">
        <v>74</v>
      </c>
      <c r="AJ410" s="2" t="s">
        <v>74</v>
      </c>
      <c r="AK410" s="2" t="s">
        <v>74</v>
      </c>
      <c r="AL410" s="2" t="s">
        <v>74</v>
      </c>
      <c r="AM410" s="2" t="s">
        <v>74</v>
      </c>
      <c r="AN410" s="2" t="s">
        <v>74</v>
      </c>
      <c r="AO410" s="2" t="s">
        <v>695</v>
      </c>
      <c r="AP410" s="2" t="s">
        <v>981</v>
      </c>
      <c r="AQ410" s="2" t="s">
        <v>74</v>
      </c>
      <c r="AR410" s="2" t="s">
        <v>74</v>
      </c>
      <c r="AS410" s="2" t="s">
        <v>74</v>
      </c>
      <c r="AT410" s="2" t="s">
        <v>74</v>
      </c>
      <c r="AU410" s="2">
        <v>1985</v>
      </c>
      <c r="AV410" s="2">
        <v>34</v>
      </c>
      <c r="AW410" s="2">
        <v>3</v>
      </c>
      <c r="AX410" s="2" t="s">
        <v>74</v>
      </c>
      <c r="AY410" s="2" t="s">
        <v>74</v>
      </c>
      <c r="AZ410" s="2" t="s">
        <v>74</v>
      </c>
      <c r="BA410" s="2" t="s">
        <v>74</v>
      </c>
      <c r="BB410" s="2">
        <v>341</v>
      </c>
      <c r="BC410" s="2">
        <v>348</v>
      </c>
      <c r="BD410" s="2" t="s">
        <v>74</v>
      </c>
      <c r="BE410" s="2" t="s">
        <v>6397</v>
      </c>
      <c r="BF410" s="2" t="str">
        <f>HYPERLINK("http://dx.doi.org/10.1016/0031-9384(85)90193-3","http://dx.doi.org/10.1016/0031-9384(85)90193-3")</f>
        <v>http://dx.doi.org/10.1016/0031-9384(85)90193-3</v>
      </c>
      <c r="BG410" s="2" t="s">
        <v>74</v>
      </c>
      <c r="BH410" s="2" t="s">
        <v>74</v>
      </c>
      <c r="BI410" s="2" t="s">
        <v>74</v>
      </c>
      <c r="BJ410" s="2" t="s">
        <v>74</v>
      </c>
      <c r="BK410" s="2" t="s">
        <v>74</v>
      </c>
      <c r="BL410" s="2" t="s">
        <v>74</v>
      </c>
      <c r="BM410" s="2" t="s">
        <v>74</v>
      </c>
      <c r="BN410" s="2">
        <v>4040250</v>
      </c>
      <c r="BO410" s="2" t="s">
        <v>74</v>
      </c>
      <c r="BP410" s="2" t="s">
        <v>74</v>
      </c>
      <c r="BQ410" s="2" t="s">
        <v>74</v>
      </c>
      <c r="BR410" s="2" t="s">
        <v>74</v>
      </c>
      <c r="BS410" s="2" t="s">
        <v>6398</v>
      </c>
      <c r="BT410" s="2" t="str">
        <f>HYPERLINK("https%3A%2F%2Fwww.webofscience.com%2Fwos%2Fwoscc%2Ffull-record%2FWOS:A1985AFN3500003","View Full Record in Web of Science")</f>
        <v>View Full Record in Web of Science</v>
      </c>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row>
    <row r="411" spans="1:314" s="2" customFormat="1" x14ac:dyDescent="0.4">
      <c r="A411" s="2" t="s">
        <v>72</v>
      </c>
      <c r="B411" s="2" t="s">
        <v>1531</v>
      </c>
      <c r="C411" s="2" t="s">
        <v>74</v>
      </c>
      <c r="D411" s="2" t="s">
        <v>74</v>
      </c>
      <c r="E411" s="2" t="s">
        <v>74</v>
      </c>
      <c r="F411" s="2" t="s">
        <v>1531</v>
      </c>
      <c r="G411" s="2" t="s">
        <v>74</v>
      </c>
      <c r="H411" s="2" t="s">
        <v>74</v>
      </c>
      <c r="I411" s="2" t="s">
        <v>1532</v>
      </c>
      <c r="J411" s="2" t="s">
        <v>1533</v>
      </c>
      <c r="K411" s="2" t="s">
        <v>74</v>
      </c>
      <c r="L411" s="2" t="s">
        <v>74</v>
      </c>
      <c r="M411" s="2" t="s">
        <v>74</v>
      </c>
      <c r="N411" s="2" t="s">
        <v>74</v>
      </c>
      <c r="O411" s="2" t="s">
        <v>74</v>
      </c>
      <c r="P411" s="2" t="s">
        <v>74</v>
      </c>
      <c r="Q411" s="2" t="s">
        <v>74</v>
      </c>
      <c r="R411" s="2" t="s">
        <v>74</v>
      </c>
      <c r="S411" s="2" t="s">
        <v>74</v>
      </c>
      <c r="T411" s="2" t="s">
        <v>74</v>
      </c>
      <c r="U411" s="2" t="s">
        <v>74</v>
      </c>
      <c r="V411" s="5" t="s">
        <v>1534</v>
      </c>
      <c r="W411" s="2" t="s">
        <v>74</v>
      </c>
      <c r="X411" s="2" t="s">
        <v>74</v>
      </c>
      <c r="Y411" s="2" t="s">
        <v>74</v>
      </c>
      <c r="Z411" s="2" t="s">
        <v>74</v>
      </c>
      <c r="AA411" s="2" t="s">
        <v>74</v>
      </c>
      <c r="AB411" s="2" t="s">
        <v>74</v>
      </c>
      <c r="AC411" s="2" t="s">
        <v>74</v>
      </c>
      <c r="AD411" s="2" t="s">
        <v>74</v>
      </c>
      <c r="AE411" s="2" t="s">
        <v>74</v>
      </c>
      <c r="AF411" s="2" t="s">
        <v>74</v>
      </c>
      <c r="AG411" s="2" t="s">
        <v>74</v>
      </c>
      <c r="AH411" s="2" t="s">
        <v>74</v>
      </c>
      <c r="AI411" s="2" t="s">
        <v>74</v>
      </c>
      <c r="AJ411" s="2" t="s">
        <v>74</v>
      </c>
      <c r="AK411" s="2" t="s">
        <v>74</v>
      </c>
      <c r="AL411" s="2" t="s">
        <v>74</v>
      </c>
      <c r="AM411" s="2" t="s">
        <v>74</v>
      </c>
      <c r="AN411" s="2" t="s">
        <v>74</v>
      </c>
      <c r="AO411" s="2" t="s">
        <v>1535</v>
      </c>
      <c r="AP411" s="2" t="s">
        <v>1536</v>
      </c>
      <c r="AQ411" s="2" t="s">
        <v>74</v>
      </c>
      <c r="AR411" s="2" t="s">
        <v>74</v>
      </c>
      <c r="AS411" s="2" t="s">
        <v>74</v>
      </c>
      <c r="AT411" s="2" t="s">
        <v>74</v>
      </c>
      <c r="AU411" s="2">
        <v>1977</v>
      </c>
      <c r="AV411" s="2">
        <v>27</v>
      </c>
      <c r="AW411" s="2">
        <v>1</v>
      </c>
      <c r="AX411" s="2" t="s">
        <v>74</v>
      </c>
      <c r="AY411" s="2" t="s">
        <v>74</v>
      </c>
      <c r="AZ411" s="2" t="s">
        <v>74</v>
      </c>
      <c r="BA411" s="2" t="s">
        <v>74</v>
      </c>
      <c r="BB411" s="2">
        <v>5</v>
      </c>
      <c r="BC411" s="2">
        <v>15</v>
      </c>
      <c r="BD411" s="2" t="s">
        <v>74</v>
      </c>
      <c r="BE411" s="2" t="s">
        <v>1537</v>
      </c>
      <c r="BF411" s="2" t="str">
        <f>HYPERLINK("http://dx.doi.org/10.1901/jeab.1977.27-5","http://dx.doi.org/10.1901/jeab.1977.27-5")</f>
        <v>http://dx.doi.org/10.1901/jeab.1977.27-5</v>
      </c>
      <c r="BG411" s="2" t="s">
        <v>74</v>
      </c>
      <c r="BH411" s="2" t="s">
        <v>74</v>
      </c>
      <c r="BI411" s="2" t="s">
        <v>74</v>
      </c>
      <c r="BJ411" s="2" t="s">
        <v>74</v>
      </c>
      <c r="BK411" s="2" t="s">
        <v>74</v>
      </c>
      <c r="BL411" s="2" t="s">
        <v>74</v>
      </c>
      <c r="BM411" s="2" t="s">
        <v>74</v>
      </c>
      <c r="BN411" s="2">
        <v>556755</v>
      </c>
      <c r="BO411" s="2" t="s">
        <v>74</v>
      </c>
      <c r="BP411" s="2" t="s">
        <v>74</v>
      </c>
      <c r="BQ411" s="2" t="s">
        <v>74</v>
      </c>
      <c r="BR411" s="2" t="s">
        <v>74</v>
      </c>
      <c r="BS411" s="2" t="s">
        <v>1538</v>
      </c>
      <c r="BT411" s="2" t="str">
        <f>HYPERLINK("https%3A%2F%2Fwww.webofscience.com%2Fwos%2Fwoscc%2Ffull-record%2FWOS:A1977CV62300001","View Full Record in Web of Science")</f>
        <v>View Full Record in Web of Science</v>
      </c>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row>
    <row r="412" spans="1:314" s="2" customFormat="1" x14ac:dyDescent="0.4">
      <c r="A412" s="2" t="s">
        <v>72</v>
      </c>
      <c r="B412" s="2" t="s">
        <v>1875</v>
      </c>
      <c r="C412" s="2" t="s">
        <v>74</v>
      </c>
      <c r="D412" s="2" t="s">
        <v>74</v>
      </c>
      <c r="E412" s="2" t="s">
        <v>74</v>
      </c>
      <c r="F412" s="2" t="s">
        <v>1876</v>
      </c>
      <c r="G412" s="2" t="s">
        <v>74</v>
      </c>
      <c r="H412" s="2" t="s">
        <v>74</v>
      </c>
      <c r="I412" s="2" t="s">
        <v>1877</v>
      </c>
      <c r="J412" s="2" t="s">
        <v>1878</v>
      </c>
      <c r="K412" s="2" t="s">
        <v>74</v>
      </c>
      <c r="L412" s="2" t="s">
        <v>74</v>
      </c>
      <c r="M412" s="2" t="s">
        <v>74</v>
      </c>
      <c r="N412" s="2" t="s">
        <v>74</v>
      </c>
      <c r="O412" s="2" t="s">
        <v>74</v>
      </c>
      <c r="P412" s="2" t="s">
        <v>74</v>
      </c>
      <c r="Q412" s="2" t="s">
        <v>74</v>
      </c>
      <c r="R412" s="2" t="s">
        <v>74</v>
      </c>
      <c r="S412" s="2" t="s">
        <v>74</v>
      </c>
      <c r="T412" s="2" t="s">
        <v>74</v>
      </c>
      <c r="U412" s="2" t="s">
        <v>74</v>
      </c>
      <c r="V412" s="5" t="s">
        <v>1879</v>
      </c>
      <c r="W412" s="2" t="s">
        <v>74</v>
      </c>
      <c r="X412" s="2" t="s">
        <v>74</v>
      </c>
      <c r="Y412" s="2" t="s">
        <v>74</v>
      </c>
      <c r="Z412" s="2" t="s">
        <v>74</v>
      </c>
      <c r="AA412" s="2" t="s">
        <v>1880</v>
      </c>
      <c r="AB412" s="2" t="s">
        <v>1881</v>
      </c>
      <c r="AC412" s="2" t="s">
        <v>74</v>
      </c>
      <c r="AD412" s="2" t="s">
        <v>74</v>
      </c>
      <c r="AE412" s="2" t="s">
        <v>74</v>
      </c>
      <c r="AF412" s="2" t="s">
        <v>74</v>
      </c>
      <c r="AG412" s="2" t="s">
        <v>74</v>
      </c>
      <c r="AH412" s="2" t="s">
        <v>74</v>
      </c>
      <c r="AI412" s="2" t="s">
        <v>74</v>
      </c>
      <c r="AJ412" s="2" t="s">
        <v>74</v>
      </c>
      <c r="AK412" s="2" t="s">
        <v>74</v>
      </c>
      <c r="AL412" s="2" t="s">
        <v>74</v>
      </c>
      <c r="AM412" s="2" t="s">
        <v>74</v>
      </c>
      <c r="AN412" s="2" t="s">
        <v>74</v>
      </c>
      <c r="AO412" s="2" t="s">
        <v>1882</v>
      </c>
      <c r="AP412" s="2" t="s">
        <v>1883</v>
      </c>
      <c r="AQ412" s="2" t="s">
        <v>74</v>
      </c>
      <c r="AR412" s="2" t="s">
        <v>74</v>
      </c>
      <c r="AS412" s="2" t="s">
        <v>74</v>
      </c>
      <c r="AT412" s="2" t="s">
        <v>964</v>
      </c>
      <c r="AU412" s="2">
        <v>2016</v>
      </c>
      <c r="AV412" s="2">
        <v>141</v>
      </c>
      <c r="AW412" s="2" t="s">
        <v>74</v>
      </c>
      <c r="AX412" s="2" t="s">
        <v>74</v>
      </c>
      <c r="AY412" s="2" t="s">
        <v>74</v>
      </c>
      <c r="AZ412" s="2" t="s">
        <v>74</v>
      </c>
      <c r="BA412" s="2" t="s">
        <v>74</v>
      </c>
      <c r="BB412" s="2">
        <v>18</v>
      </c>
      <c r="BC412" s="2">
        <v>27</v>
      </c>
      <c r="BD412" s="2" t="s">
        <v>74</v>
      </c>
      <c r="BE412" s="2" t="s">
        <v>1884</v>
      </c>
      <c r="BF412" s="2" t="str">
        <f>HYPERLINK("http://dx.doi.org/10.1016/j.pbb.2015.11.011","http://dx.doi.org/10.1016/j.pbb.2015.11.011")</f>
        <v>http://dx.doi.org/10.1016/j.pbb.2015.11.011</v>
      </c>
      <c r="BG412" s="2" t="s">
        <v>74</v>
      </c>
      <c r="BH412" s="2" t="s">
        <v>74</v>
      </c>
      <c r="BI412" s="2" t="s">
        <v>74</v>
      </c>
      <c r="BJ412" s="2" t="s">
        <v>74</v>
      </c>
      <c r="BK412" s="2" t="s">
        <v>74</v>
      </c>
      <c r="BL412" s="2" t="s">
        <v>74</v>
      </c>
      <c r="BM412" s="2" t="s">
        <v>74</v>
      </c>
      <c r="BN412" s="2">
        <v>26631619</v>
      </c>
      <c r="BO412" s="2" t="s">
        <v>74</v>
      </c>
      <c r="BP412" s="2" t="s">
        <v>74</v>
      </c>
      <c r="BQ412" s="2" t="s">
        <v>74</v>
      </c>
      <c r="BR412" s="2" t="s">
        <v>74</v>
      </c>
      <c r="BS412" s="2" t="s">
        <v>1885</v>
      </c>
      <c r="BT412" s="2" t="str">
        <f>HYPERLINK("https%3A%2F%2Fwww.webofscience.com%2Fwos%2Fwoscc%2Ffull-record%2FWOS:000369466100003","View Full Record in Web of Science")</f>
        <v>View Full Record in Web of Science</v>
      </c>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row>
    <row r="413" spans="1:314" s="2" customFormat="1" x14ac:dyDescent="0.4">
      <c r="A413" s="2" t="s">
        <v>72</v>
      </c>
      <c r="B413" s="2" t="s">
        <v>6715</v>
      </c>
      <c r="C413" s="2" t="s">
        <v>74</v>
      </c>
      <c r="D413" s="2" t="s">
        <v>74</v>
      </c>
      <c r="E413" s="2" t="s">
        <v>74</v>
      </c>
      <c r="F413" s="2" t="s">
        <v>6715</v>
      </c>
      <c r="G413" s="2" t="s">
        <v>74</v>
      </c>
      <c r="H413" s="2" t="s">
        <v>74</v>
      </c>
      <c r="I413" s="2" t="s">
        <v>6716</v>
      </c>
      <c r="J413" s="2" t="s">
        <v>2087</v>
      </c>
      <c r="K413" s="2" t="s">
        <v>74</v>
      </c>
      <c r="L413" s="2" t="s">
        <v>74</v>
      </c>
      <c r="M413" s="2" t="s">
        <v>74</v>
      </c>
      <c r="N413" s="2" t="s">
        <v>74</v>
      </c>
      <c r="O413" s="2" t="s">
        <v>74</v>
      </c>
      <c r="P413" s="2" t="s">
        <v>74</v>
      </c>
      <c r="Q413" s="2" t="s">
        <v>74</v>
      </c>
      <c r="R413" s="2" t="s">
        <v>74</v>
      </c>
      <c r="S413" s="2" t="s">
        <v>74</v>
      </c>
      <c r="T413" s="2" t="s">
        <v>74</v>
      </c>
      <c r="U413" s="2" t="s">
        <v>74</v>
      </c>
      <c r="V413" s="5" t="s">
        <v>6717</v>
      </c>
      <c r="W413" s="2" t="s">
        <v>74</v>
      </c>
      <c r="X413" s="2" t="s">
        <v>74</v>
      </c>
      <c r="Y413" s="2" t="s">
        <v>74</v>
      </c>
      <c r="Z413" s="2" t="s">
        <v>74</v>
      </c>
      <c r="AA413" s="2" t="s">
        <v>6718</v>
      </c>
      <c r="AB413" s="2" t="s">
        <v>6719</v>
      </c>
      <c r="AC413" s="2" t="s">
        <v>74</v>
      </c>
      <c r="AD413" s="2" t="s">
        <v>74</v>
      </c>
      <c r="AE413" s="2" t="s">
        <v>74</v>
      </c>
      <c r="AF413" s="2" t="s">
        <v>74</v>
      </c>
      <c r="AG413" s="2" t="s">
        <v>74</v>
      </c>
      <c r="AH413" s="2" t="s">
        <v>74</v>
      </c>
      <c r="AI413" s="2" t="s">
        <v>74</v>
      </c>
      <c r="AJ413" s="2" t="s">
        <v>74</v>
      </c>
      <c r="AK413" s="2" t="s">
        <v>74</v>
      </c>
      <c r="AL413" s="2" t="s">
        <v>74</v>
      </c>
      <c r="AM413" s="2" t="s">
        <v>74</v>
      </c>
      <c r="AN413" s="2" t="s">
        <v>74</v>
      </c>
      <c r="AO413" s="2" t="s">
        <v>2089</v>
      </c>
      <c r="AP413" s="2" t="s">
        <v>6720</v>
      </c>
      <c r="AQ413" s="2" t="s">
        <v>74</v>
      </c>
      <c r="AR413" s="2" t="s">
        <v>74</v>
      </c>
      <c r="AS413" s="2" t="s">
        <v>74</v>
      </c>
      <c r="AT413" s="2" t="s">
        <v>74</v>
      </c>
      <c r="AU413" s="2">
        <v>1995</v>
      </c>
      <c r="AV413" s="2">
        <v>2</v>
      </c>
      <c r="AW413" s="2">
        <v>1</v>
      </c>
      <c r="AX413" s="2" t="s">
        <v>74</v>
      </c>
      <c r="AY413" s="2" t="s">
        <v>74</v>
      </c>
      <c r="AZ413" s="2" t="s">
        <v>74</v>
      </c>
      <c r="BA413" s="2" t="s">
        <v>74</v>
      </c>
      <c r="BB413" s="2">
        <v>28</v>
      </c>
      <c r="BC413" s="2">
        <v>33</v>
      </c>
      <c r="BD413" s="2" t="s">
        <v>74</v>
      </c>
      <c r="BE413" s="2" t="s">
        <v>6721</v>
      </c>
      <c r="BF413" s="2" t="str">
        <f>HYPERLINK("http://dx.doi.org/10.1080/11956860.1995.11682265","http://dx.doi.org/10.1080/11956860.1995.11682265")</f>
        <v>http://dx.doi.org/10.1080/11956860.1995.11682265</v>
      </c>
      <c r="BG413" s="2" t="s">
        <v>74</v>
      </c>
      <c r="BH413" s="2" t="s">
        <v>74</v>
      </c>
      <c r="BI413" s="2" t="s">
        <v>74</v>
      </c>
      <c r="BJ413" s="2" t="s">
        <v>74</v>
      </c>
      <c r="BK413" s="2" t="s">
        <v>74</v>
      </c>
      <c r="BL413" s="2" t="s">
        <v>74</v>
      </c>
      <c r="BM413" s="2" t="s">
        <v>74</v>
      </c>
      <c r="BN413" s="2" t="s">
        <v>74</v>
      </c>
      <c r="BO413" s="2" t="s">
        <v>74</v>
      </c>
      <c r="BP413" s="2" t="s">
        <v>74</v>
      </c>
      <c r="BQ413" s="2" t="s">
        <v>74</v>
      </c>
      <c r="BR413" s="2" t="s">
        <v>74</v>
      </c>
      <c r="BS413" s="2" t="s">
        <v>6722</v>
      </c>
      <c r="BT413" s="2" t="str">
        <f>HYPERLINK("https%3A%2F%2Fwww.webofscience.com%2Fwos%2Fwoscc%2Ffull-record%2FWOS:A1995TF50700003","View Full Record in Web of Science")</f>
        <v>View Full Record in Web of Science</v>
      </c>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row>
    <row r="414" spans="1:314" s="2" customFormat="1" x14ac:dyDescent="0.4">
      <c r="A414" s="2" t="s">
        <v>72</v>
      </c>
      <c r="B414" s="2" t="s">
        <v>8379</v>
      </c>
      <c r="C414" s="2" t="s">
        <v>74</v>
      </c>
      <c r="D414" s="2" t="s">
        <v>74</v>
      </c>
      <c r="E414" s="2" t="s">
        <v>74</v>
      </c>
      <c r="F414" s="2" t="s">
        <v>8380</v>
      </c>
      <c r="G414" s="2" t="s">
        <v>74</v>
      </c>
      <c r="H414" s="2" t="s">
        <v>74</v>
      </c>
      <c r="I414" s="2" t="s">
        <v>8381</v>
      </c>
      <c r="J414" s="2" t="s">
        <v>8382</v>
      </c>
      <c r="K414" s="2" t="s">
        <v>74</v>
      </c>
      <c r="L414" s="2" t="s">
        <v>74</v>
      </c>
      <c r="M414" s="2" t="s">
        <v>74</v>
      </c>
      <c r="N414" s="2" t="s">
        <v>74</v>
      </c>
      <c r="O414" s="2" t="s">
        <v>74</v>
      </c>
      <c r="P414" s="2" t="s">
        <v>74</v>
      </c>
      <c r="Q414" s="2" t="s">
        <v>74</v>
      </c>
      <c r="R414" s="2" t="s">
        <v>74</v>
      </c>
      <c r="S414" s="2" t="s">
        <v>74</v>
      </c>
      <c r="T414" s="2" t="s">
        <v>74</v>
      </c>
      <c r="U414" s="2" t="s">
        <v>74</v>
      </c>
      <c r="V414" s="5" t="s">
        <v>8383</v>
      </c>
      <c r="W414" s="2" t="s">
        <v>74</v>
      </c>
      <c r="X414" s="2" t="s">
        <v>74</v>
      </c>
      <c r="Y414" s="2" t="s">
        <v>74</v>
      </c>
      <c r="Z414" s="2" t="s">
        <v>74</v>
      </c>
      <c r="AA414" s="2" t="s">
        <v>8384</v>
      </c>
      <c r="AB414" s="2" t="s">
        <v>8385</v>
      </c>
      <c r="AC414" s="2" t="s">
        <v>74</v>
      </c>
      <c r="AD414" s="2" t="s">
        <v>74</v>
      </c>
      <c r="AE414" s="2" t="s">
        <v>74</v>
      </c>
      <c r="AF414" s="2" t="s">
        <v>74</v>
      </c>
      <c r="AG414" s="2" t="s">
        <v>74</v>
      </c>
      <c r="AH414" s="2" t="s">
        <v>74</v>
      </c>
      <c r="AI414" s="2" t="s">
        <v>74</v>
      </c>
      <c r="AJ414" s="2" t="s">
        <v>74</v>
      </c>
      <c r="AK414" s="2" t="s">
        <v>74</v>
      </c>
      <c r="AL414" s="2" t="s">
        <v>74</v>
      </c>
      <c r="AM414" s="2" t="s">
        <v>74</v>
      </c>
      <c r="AN414" s="2" t="s">
        <v>74</v>
      </c>
      <c r="AO414" s="2" t="s">
        <v>8386</v>
      </c>
      <c r="AP414" s="2" t="s">
        <v>8387</v>
      </c>
      <c r="AQ414" s="2" t="s">
        <v>74</v>
      </c>
      <c r="AR414" s="2" t="s">
        <v>74</v>
      </c>
      <c r="AS414" s="2" t="s">
        <v>74</v>
      </c>
      <c r="AT414" s="2" t="s">
        <v>352</v>
      </c>
      <c r="AU414" s="2">
        <v>2021</v>
      </c>
      <c r="AV414" s="2">
        <v>35</v>
      </c>
      <c r="AW414" s="2">
        <v>3</v>
      </c>
      <c r="AX414" s="2" t="s">
        <v>74</v>
      </c>
      <c r="AY414" s="2" t="s">
        <v>74</v>
      </c>
      <c r="AZ414" s="2" t="s">
        <v>74</v>
      </c>
      <c r="BA414" s="2" t="s">
        <v>74</v>
      </c>
      <c r="BB414" s="2">
        <v>313</v>
      </c>
      <c r="BC414" s="2">
        <v>324</v>
      </c>
      <c r="BD414" s="2" t="s">
        <v>74</v>
      </c>
      <c r="BE414" s="2" t="s">
        <v>8388</v>
      </c>
      <c r="BF414" s="2" t="str">
        <f>HYPERLINK("http://dx.doi.org/10.1647/20-00009","http://dx.doi.org/10.1647/20-00009")</f>
        <v>http://dx.doi.org/10.1647/20-00009</v>
      </c>
      <c r="BG414" s="2" t="s">
        <v>74</v>
      </c>
      <c r="BH414" s="2" t="s">
        <v>74</v>
      </c>
      <c r="BI414" s="2" t="s">
        <v>74</v>
      </c>
      <c r="BJ414" s="2" t="s">
        <v>74</v>
      </c>
      <c r="BK414" s="2" t="s">
        <v>74</v>
      </c>
      <c r="BL414" s="2" t="s">
        <v>74</v>
      </c>
      <c r="BM414" s="2" t="s">
        <v>74</v>
      </c>
      <c r="BN414" s="2">
        <v>34677030</v>
      </c>
      <c r="BO414" s="2" t="s">
        <v>74</v>
      </c>
      <c r="BP414" s="2" t="s">
        <v>74</v>
      </c>
      <c r="BQ414" s="2" t="s">
        <v>74</v>
      </c>
      <c r="BR414" s="2" t="s">
        <v>74</v>
      </c>
      <c r="BS414" s="2" t="s">
        <v>8389</v>
      </c>
      <c r="BT414" s="2" t="str">
        <f>HYPERLINK("https%3A%2F%2Fwww.webofscience.com%2Fwos%2Fwoscc%2Ffull-record%2FWOS:000704164200007","View Full Record in Web of Science")</f>
        <v>View Full Record in Web of Science</v>
      </c>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row>
    <row r="415" spans="1:314" s="2" customFormat="1" x14ac:dyDescent="0.4">
      <c r="A415" s="2" t="s">
        <v>72</v>
      </c>
      <c r="B415" s="2" t="s">
        <v>4084</v>
      </c>
      <c r="C415" s="2" t="s">
        <v>74</v>
      </c>
      <c r="D415" s="2" t="s">
        <v>74</v>
      </c>
      <c r="E415" s="2" t="s">
        <v>74</v>
      </c>
      <c r="F415" s="2" t="s">
        <v>4084</v>
      </c>
      <c r="G415" s="2" t="s">
        <v>74</v>
      </c>
      <c r="H415" s="2" t="s">
        <v>74</v>
      </c>
      <c r="I415" s="2" t="s">
        <v>4085</v>
      </c>
      <c r="J415" s="2" t="s">
        <v>3605</v>
      </c>
      <c r="K415" s="2" t="s">
        <v>74</v>
      </c>
      <c r="L415" s="2" t="s">
        <v>74</v>
      </c>
      <c r="M415" s="2" t="s">
        <v>74</v>
      </c>
      <c r="N415" s="2" t="s">
        <v>74</v>
      </c>
      <c r="O415" s="2" t="s">
        <v>74</v>
      </c>
      <c r="P415" s="2" t="s">
        <v>74</v>
      </c>
      <c r="Q415" s="2" t="s">
        <v>74</v>
      </c>
      <c r="R415" s="2" t="s">
        <v>74</v>
      </c>
      <c r="S415" s="2" t="s">
        <v>74</v>
      </c>
      <c r="T415" s="2" t="s">
        <v>74</v>
      </c>
      <c r="U415" s="2" t="s">
        <v>74</v>
      </c>
      <c r="V415" s="5" t="s">
        <v>4086</v>
      </c>
      <c r="W415" s="2" t="s">
        <v>74</v>
      </c>
      <c r="X415" s="2" t="s">
        <v>74</v>
      </c>
      <c r="Y415" s="2" t="s">
        <v>74</v>
      </c>
      <c r="Z415" s="2" t="s">
        <v>74</v>
      </c>
      <c r="AA415" s="2" t="s">
        <v>74</v>
      </c>
      <c r="AB415" s="2" t="s">
        <v>74</v>
      </c>
      <c r="AC415" s="2" t="s">
        <v>74</v>
      </c>
      <c r="AD415" s="2" t="s">
        <v>74</v>
      </c>
      <c r="AE415" s="2" t="s">
        <v>74</v>
      </c>
      <c r="AF415" s="2" t="s">
        <v>74</v>
      </c>
      <c r="AG415" s="2" t="s">
        <v>74</v>
      </c>
      <c r="AH415" s="2" t="s">
        <v>74</v>
      </c>
      <c r="AI415" s="2" t="s">
        <v>74</v>
      </c>
      <c r="AJ415" s="2" t="s">
        <v>74</v>
      </c>
      <c r="AK415" s="2" t="s">
        <v>74</v>
      </c>
      <c r="AL415" s="2" t="s">
        <v>74</v>
      </c>
      <c r="AM415" s="2" t="s">
        <v>74</v>
      </c>
      <c r="AN415" s="2" t="s">
        <v>74</v>
      </c>
      <c r="AO415" s="2" t="s">
        <v>3607</v>
      </c>
      <c r="AP415" s="2" t="s">
        <v>3608</v>
      </c>
      <c r="AQ415" s="2" t="s">
        <v>74</v>
      </c>
      <c r="AR415" s="2" t="s">
        <v>74</v>
      </c>
      <c r="AS415" s="2" t="s">
        <v>74</v>
      </c>
      <c r="AT415" s="2" t="s">
        <v>74</v>
      </c>
      <c r="AU415" s="2">
        <v>1965</v>
      </c>
      <c r="AV415" s="2">
        <v>45</v>
      </c>
      <c r="AW415" s="2">
        <v>3</v>
      </c>
      <c r="AX415" s="2" t="s">
        <v>74</v>
      </c>
      <c r="AY415" s="2" t="s">
        <v>74</v>
      </c>
      <c r="AZ415" s="2" t="s">
        <v>74</v>
      </c>
      <c r="BA415" s="2" t="s">
        <v>74</v>
      </c>
      <c r="BB415" s="2">
        <v>773</v>
      </c>
      <c r="BC415" s="2" t="s">
        <v>726</v>
      </c>
      <c r="BD415" s="2" t="s">
        <v>74</v>
      </c>
      <c r="BE415" s="2" t="s">
        <v>4087</v>
      </c>
      <c r="BF415" s="2" t="str">
        <f>HYPERLINK("http://dx.doi.org/10.1017/S0025315400016581","http://dx.doi.org/10.1017/S0025315400016581")</f>
        <v>http://dx.doi.org/10.1017/S0025315400016581</v>
      </c>
      <c r="BG415" s="2" t="s">
        <v>74</v>
      </c>
      <c r="BH415" s="2" t="s">
        <v>74</v>
      </c>
      <c r="BI415" s="2" t="s">
        <v>74</v>
      </c>
      <c r="BJ415" s="2" t="s">
        <v>74</v>
      </c>
      <c r="BK415" s="2" t="s">
        <v>74</v>
      </c>
      <c r="BL415" s="2" t="s">
        <v>74</v>
      </c>
      <c r="BM415" s="2" t="s">
        <v>74</v>
      </c>
      <c r="BN415" s="2" t="s">
        <v>74</v>
      </c>
      <c r="BO415" s="2" t="s">
        <v>74</v>
      </c>
      <c r="BP415" s="2" t="s">
        <v>74</v>
      </c>
      <c r="BQ415" s="2" t="s">
        <v>74</v>
      </c>
      <c r="BR415" s="2" t="s">
        <v>74</v>
      </c>
      <c r="BS415" s="2" t="s">
        <v>4088</v>
      </c>
      <c r="BT415" s="2" t="str">
        <f>HYPERLINK("https%3A%2F%2Fwww.webofscience.com%2Fwos%2Fwoscc%2Ffull-record%2FWOS:A19657014900017","View Full Record in Web of Science")</f>
        <v>View Full Record in Web of Science</v>
      </c>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row>
    <row r="416" spans="1:314" s="2" customFormat="1" x14ac:dyDescent="0.4">
      <c r="A416" s="2" t="s">
        <v>72</v>
      </c>
      <c r="B416" s="2" t="s">
        <v>6789</v>
      </c>
      <c r="C416" s="2" t="s">
        <v>74</v>
      </c>
      <c r="D416" s="2" t="s">
        <v>74</v>
      </c>
      <c r="E416" s="2" t="s">
        <v>74</v>
      </c>
      <c r="F416" s="2" t="s">
        <v>6789</v>
      </c>
      <c r="G416" s="2" t="s">
        <v>74</v>
      </c>
      <c r="H416" s="2" t="s">
        <v>74</v>
      </c>
      <c r="I416" s="2" t="s">
        <v>6790</v>
      </c>
      <c r="J416" s="2" t="s">
        <v>140</v>
      </c>
      <c r="K416" s="2" t="s">
        <v>74</v>
      </c>
      <c r="L416" s="2" t="s">
        <v>74</v>
      </c>
      <c r="M416" s="2" t="s">
        <v>74</v>
      </c>
      <c r="N416" s="2" t="s">
        <v>74</v>
      </c>
      <c r="O416" s="2" t="s">
        <v>74</v>
      </c>
      <c r="P416" s="2" t="s">
        <v>74</v>
      </c>
      <c r="Q416" s="2" t="s">
        <v>74</v>
      </c>
      <c r="R416" s="2" t="s">
        <v>74</v>
      </c>
      <c r="S416" s="2" t="s">
        <v>74</v>
      </c>
      <c r="T416" s="2" t="s">
        <v>74</v>
      </c>
      <c r="U416" s="2" t="s">
        <v>74</v>
      </c>
      <c r="V416" s="5" t="s">
        <v>6791</v>
      </c>
      <c r="W416" s="2" t="s">
        <v>74</v>
      </c>
      <c r="X416" s="2" t="s">
        <v>74</v>
      </c>
      <c r="Y416" s="2" t="s">
        <v>74</v>
      </c>
      <c r="Z416" s="2" t="s">
        <v>74</v>
      </c>
      <c r="AA416" s="2" t="s">
        <v>74</v>
      </c>
      <c r="AB416" s="2" t="s">
        <v>74</v>
      </c>
      <c r="AC416" s="2" t="s">
        <v>74</v>
      </c>
      <c r="AD416" s="2" t="s">
        <v>74</v>
      </c>
      <c r="AE416" s="2" t="s">
        <v>74</v>
      </c>
      <c r="AF416" s="2" t="s">
        <v>74</v>
      </c>
      <c r="AG416" s="2" t="s">
        <v>74</v>
      </c>
      <c r="AH416" s="2" t="s">
        <v>74</v>
      </c>
      <c r="AI416" s="2" t="s">
        <v>74</v>
      </c>
      <c r="AJ416" s="2" t="s">
        <v>74</v>
      </c>
      <c r="AK416" s="2" t="s">
        <v>74</v>
      </c>
      <c r="AL416" s="2" t="s">
        <v>74</v>
      </c>
      <c r="AM416" s="2" t="s">
        <v>74</v>
      </c>
      <c r="AN416" s="2" t="s">
        <v>74</v>
      </c>
      <c r="AO416" s="2" t="s">
        <v>143</v>
      </c>
      <c r="AP416" s="2" t="s">
        <v>144</v>
      </c>
      <c r="AQ416" s="2" t="s">
        <v>74</v>
      </c>
      <c r="AR416" s="2" t="s">
        <v>74</v>
      </c>
      <c r="AS416" s="2" t="s">
        <v>74</v>
      </c>
      <c r="AT416" s="2" t="s">
        <v>213</v>
      </c>
      <c r="AU416" s="2">
        <v>2004</v>
      </c>
      <c r="AV416" s="2">
        <v>68</v>
      </c>
      <c r="AW416" s="2" t="s">
        <v>74</v>
      </c>
      <c r="AX416" s="2">
        <v>5</v>
      </c>
      <c r="AY416" s="2" t="s">
        <v>74</v>
      </c>
      <c r="AZ416" s="2" t="s">
        <v>74</v>
      </c>
      <c r="BA416" s="2" t="s">
        <v>74</v>
      </c>
      <c r="BB416" s="2">
        <v>1005</v>
      </c>
      <c r="BC416" s="2">
        <v>1015</v>
      </c>
      <c r="BD416" s="2" t="s">
        <v>74</v>
      </c>
      <c r="BE416" s="2" t="s">
        <v>6792</v>
      </c>
      <c r="BF416" s="2" t="str">
        <f>HYPERLINK("http://dx.doi.org/10.1016/j.anbehav.2004.02.003","http://dx.doi.org/10.1016/j.anbehav.2004.02.003")</f>
        <v>http://dx.doi.org/10.1016/j.anbehav.2004.02.003</v>
      </c>
      <c r="BG416" s="2" t="s">
        <v>74</v>
      </c>
      <c r="BH416" s="2" t="s">
        <v>74</v>
      </c>
      <c r="BI416" s="2" t="s">
        <v>74</v>
      </c>
      <c r="BJ416" s="2" t="s">
        <v>74</v>
      </c>
      <c r="BK416" s="2" t="s">
        <v>74</v>
      </c>
      <c r="BL416" s="2" t="s">
        <v>74</v>
      </c>
      <c r="BM416" s="2" t="s">
        <v>74</v>
      </c>
      <c r="BN416" s="2" t="s">
        <v>74</v>
      </c>
      <c r="BO416" s="2" t="s">
        <v>74</v>
      </c>
      <c r="BP416" s="2" t="s">
        <v>74</v>
      </c>
      <c r="BQ416" s="2" t="s">
        <v>74</v>
      </c>
      <c r="BR416" s="2" t="s">
        <v>74</v>
      </c>
      <c r="BS416" s="2" t="s">
        <v>6793</v>
      </c>
      <c r="BT416" s="2" t="str">
        <f>HYPERLINK("https%3A%2F%2Fwww.webofscience.com%2Fwos%2Fwoscc%2Ffull-record%2FWOS:000225064400004","View Full Record in Web of Science")</f>
        <v>View Full Record in Web of Science</v>
      </c>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row>
    <row r="417" spans="1:314" s="2" customFormat="1" x14ac:dyDescent="0.4">
      <c r="A417" s="2" t="s">
        <v>72</v>
      </c>
      <c r="B417" s="2" t="s">
        <v>6822</v>
      </c>
      <c r="C417" s="2" t="s">
        <v>74</v>
      </c>
      <c r="D417" s="2" t="s">
        <v>74</v>
      </c>
      <c r="E417" s="2" t="s">
        <v>74</v>
      </c>
      <c r="F417" s="2" t="s">
        <v>6822</v>
      </c>
      <c r="G417" s="2" t="s">
        <v>74</v>
      </c>
      <c r="H417" s="2" t="s">
        <v>74</v>
      </c>
      <c r="I417" s="2" t="s">
        <v>6823</v>
      </c>
      <c r="J417" s="2" t="s">
        <v>1237</v>
      </c>
      <c r="K417" s="2" t="s">
        <v>74</v>
      </c>
      <c r="L417" s="2" t="s">
        <v>74</v>
      </c>
      <c r="M417" s="2" t="s">
        <v>74</v>
      </c>
      <c r="N417" s="2" t="s">
        <v>74</v>
      </c>
      <c r="O417" s="2" t="s">
        <v>74</v>
      </c>
      <c r="P417" s="2" t="s">
        <v>74</v>
      </c>
      <c r="Q417" s="2" t="s">
        <v>74</v>
      </c>
      <c r="R417" s="2" t="s">
        <v>74</v>
      </c>
      <c r="S417" s="2" t="s">
        <v>74</v>
      </c>
      <c r="T417" s="2" t="s">
        <v>74</v>
      </c>
      <c r="U417" s="2" t="s">
        <v>74</v>
      </c>
      <c r="V417" s="5" t="s">
        <v>6824</v>
      </c>
      <c r="W417" s="2" t="s">
        <v>74</v>
      </c>
      <c r="X417" s="2" t="s">
        <v>74</v>
      </c>
      <c r="Y417" s="2" t="s">
        <v>74</v>
      </c>
      <c r="Z417" s="2" t="s">
        <v>74</v>
      </c>
      <c r="AA417" s="2" t="s">
        <v>74</v>
      </c>
      <c r="AB417" s="2" t="s">
        <v>74</v>
      </c>
      <c r="AC417" s="2" t="s">
        <v>74</v>
      </c>
      <c r="AD417" s="2" t="s">
        <v>74</v>
      </c>
      <c r="AE417" s="2" t="s">
        <v>74</v>
      </c>
      <c r="AF417" s="2" t="s">
        <v>74</v>
      </c>
      <c r="AG417" s="2" t="s">
        <v>74</v>
      </c>
      <c r="AH417" s="2" t="s">
        <v>74</v>
      </c>
      <c r="AI417" s="2" t="s">
        <v>74</v>
      </c>
      <c r="AJ417" s="2" t="s">
        <v>74</v>
      </c>
      <c r="AK417" s="2" t="s">
        <v>74</v>
      </c>
      <c r="AL417" s="2" t="s">
        <v>74</v>
      </c>
      <c r="AM417" s="2" t="s">
        <v>74</v>
      </c>
      <c r="AN417" s="2" t="s">
        <v>74</v>
      </c>
      <c r="AO417" s="2" t="s">
        <v>1239</v>
      </c>
      <c r="AP417" s="2" t="s">
        <v>74</v>
      </c>
      <c r="AQ417" s="2" t="s">
        <v>74</v>
      </c>
      <c r="AR417" s="2" t="s">
        <v>74</v>
      </c>
      <c r="AS417" s="2" t="s">
        <v>74</v>
      </c>
      <c r="AT417" s="2" t="s">
        <v>134</v>
      </c>
      <c r="AU417" s="2">
        <v>1995</v>
      </c>
      <c r="AV417" s="2">
        <v>73</v>
      </c>
      <c r="AW417" s="2">
        <v>5</v>
      </c>
      <c r="AX417" s="2" t="s">
        <v>74</v>
      </c>
      <c r="AY417" s="2" t="s">
        <v>74</v>
      </c>
      <c r="AZ417" s="2" t="s">
        <v>74</v>
      </c>
      <c r="BA417" s="2" t="s">
        <v>74</v>
      </c>
      <c r="BB417" s="2">
        <v>858</v>
      </c>
      <c r="BC417" s="2">
        <v>868</v>
      </c>
      <c r="BD417" s="2" t="s">
        <v>74</v>
      </c>
      <c r="BE417" s="2" t="s">
        <v>6825</v>
      </c>
      <c r="BF417" s="2" t="str">
        <f>HYPERLINK("http://dx.doi.org/10.1139/z95-101","http://dx.doi.org/10.1139/z95-101")</f>
        <v>http://dx.doi.org/10.1139/z95-101</v>
      </c>
      <c r="BG417" s="2" t="s">
        <v>74</v>
      </c>
      <c r="BH417" s="2" t="s">
        <v>74</v>
      </c>
      <c r="BI417" s="2" t="s">
        <v>74</v>
      </c>
      <c r="BJ417" s="2" t="s">
        <v>74</v>
      </c>
      <c r="BK417" s="2" t="s">
        <v>74</v>
      </c>
      <c r="BL417" s="2" t="s">
        <v>74</v>
      </c>
      <c r="BM417" s="2" t="s">
        <v>74</v>
      </c>
      <c r="BN417" s="2" t="s">
        <v>74</v>
      </c>
      <c r="BO417" s="2" t="s">
        <v>74</v>
      </c>
      <c r="BP417" s="2" t="s">
        <v>74</v>
      </c>
      <c r="BQ417" s="2" t="s">
        <v>74</v>
      </c>
      <c r="BR417" s="2" t="s">
        <v>74</v>
      </c>
      <c r="BS417" s="2" t="s">
        <v>6826</v>
      </c>
      <c r="BT417" s="2" t="str">
        <f>HYPERLINK("https%3A%2F%2Fwww.webofscience.com%2Fwos%2Fwoscc%2Ffull-record%2FWOS:A1995RR09100006","View Full Record in Web of Science")</f>
        <v>View Full Record in Web of Science</v>
      </c>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row>
    <row r="418" spans="1:314" s="2" customFormat="1" x14ac:dyDescent="0.4">
      <c r="A418" s="2" t="s">
        <v>72</v>
      </c>
      <c r="B418" s="2" t="s">
        <v>6334</v>
      </c>
      <c r="C418" s="2" t="s">
        <v>74</v>
      </c>
      <c r="D418" s="2" t="s">
        <v>74</v>
      </c>
      <c r="E418" s="2" t="s">
        <v>74</v>
      </c>
      <c r="F418" s="2" t="s">
        <v>6335</v>
      </c>
      <c r="G418" s="2" t="s">
        <v>74</v>
      </c>
      <c r="H418" s="2" t="s">
        <v>74</v>
      </c>
      <c r="I418" s="2" t="s">
        <v>6336</v>
      </c>
      <c r="J418" s="2" t="s">
        <v>408</v>
      </c>
      <c r="K418" s="2" t="s">
        <v>74</v>
      </c>
      <c r="L418" s="2" t="s">
        <v>74</v>
      </c>
      <c r="M418" s="2" t="s">
        <v>74</v>
      </c>
      <c r="N418" s="2" t="s">
        <v>74</v>
      </c>
      <c r="O418" s="2" t="s">
        <v>74</v>
      </c>
      <c r="P418" s="2" t="s">
        <v>74</v>
      </c>
      <c r="Q418" s="2" t="s">
        <v>74</v>
      </c>
      <c r="R418" s="2" t="s">
        <v>74</v>
      </c>
      <c r="S418" s="2" t="s">
        <v>74</v>
      </c>
      <c r="T418" s="2" t="s">
        <v>74</v>
      </c>
      <c r="U418" s="2" t="s">
        <v>74</v>
      </c>
      <c r="V418" s="5" t="s">
        <v>6337</v>
      </c>
      <c r="W418" s="2" t="s">
        <v>74</v>
      </c>
      <c r="X418" s="2" t="s">
        <v>74</v>
      </c>
      <c r="Y418" s="2" t="s">
        <v>74</v>
      </c>
      <c r="Z418" s="2" t="s">
        <v>74</v>
      </c>
      <c r="AA418" s="2" t="s">
        <v>74</v>
      </c>
      <c r="AB418" s="2" t="s">
        <v>74</v>
      </c>
      <c r="AC418" s="2" t="s">
        <v>74</v>
      </c>
      <c r="AD418" s="2" t="s">
        <v>74</v>
      </c>
      <c r="AE418" s="2" t="s">
        <v>74</v>
      </c>
      <c r="AF418" s="2" t="s">
        <v>74</v>
      </c>
      <c r="AG418" s="2" t="s">
        <v>74</v>
      </c>
      <c r="AH418" s="2" t="s">
        <v>74</v>
      </c>
      <c r="AI418" s="2" t="s">
        <v>74</v>
      </c>
      <c r="AJ418" s="2" t="s">
        <v>74</v>
      </c>
      <c r="AK418" s="2" t="s">
        <v>74</v>
      </c>
      <c r="AL418" s="2" t="s">
        <v>74</v>
      </c>
      <c r="AM418" s="2" t="s">
        <v>74</v>
      </c>
      <c r="AN418" s="2" t="s">
        <v>74</v>
      </c>
      <c r="AO418" s="2" t="s">
        <v>412</v>
      </c>
      <c r="AP418" s="2" t="s">
        <v>413</v>
      </c>
      <c r="AQ418" s="2" t="s">
        <v>74</v>
      </c>
      <c r="AR418" s="2" t="s">
        <v>74</v>
      </c>
      <c r="AS418" s="2" t="s">
        <v>74</v>
      </c>
      <c r="AT418" s="2" t="s">
        <v>102</v>
      </c>
      <c r="AU418" s="2">
        <v>2020</v>
      </c>
      <c r="AV418" s="2">
        <v>130</v>
      </c>
      <c r="AW418" s="2">
        <v>2</v>
      </c>
      <c r="AX418" s="2" t="s">
        <v>74</v>
      </c>
      <c r="AY418" s="2" t="s">
        <v>74</v>
      </c>
      <c r="AZ418" s="2" t="s">
        <v>74</v>
      </c>
      <c r="BA418" s="2" t="s">
        <v>74</v>
      </c>
      <c r="BB418" s="2">
        <v>336</v>
      </c>
      <c r="BC418" s="2">
        <v>344</v>
      </c>
      <c r="BD418" s="2" t="s">
        <v>74</v>
      </c>
      <c r="BE418" s="2" t="s">
        <v>6338</v>
      </c>
      <c r="BF418" s="2" t="str">
        <f>HYPERLINK("http://dx.doi.org/10.1093/biolinnean/blaa045","http://dx.doi.org/10.1093/biolinnean/blaa045")</f>
        <v>http://dx.doi.org/10.1093/biolinnean/blaa045</v>
      </c>
      <c r="BG418" s="2" t="s">
        <v>74</v>
      </c>
      <c r="BH418" s="2" t="s">
        <v>74</v>
      </c>
      <c r="BI418" s="2" t="s">
        <v>74</v>
      </c>
      <c r="BJ418" s="2" t="s">
        <v>74</v>
      </c>
      <c r="BK418" s="2" t="s">
        <v>74</v>
      </c>
      <c r="BL418" s="2" t="s">
        <v>74</v>
      </c>
      <c r="BM418" s="2" t="s">
        <v>74</v>
      </c>
      <c r="BN418" s="2" t="s">
        <v>74</v>
      </c>
      <c r="BO418" s="2" t="s">
        <v>74</v>
      </c>
      <c r="BP418" s="2" t="s">
        <v>74</v>
      </c>
      <c r="BQ418" s="2" t="s">
        <v>74</v>
      </c>
      <c r="BR418" s="2" t="s">
        <v>74</v>
      </c>
      <c r="BS418" s="2" t="s">
        <v>6339</v>
      </c>
      <c r="BT418" s="2" t="str">
        <f>HYPERLINK("https%3A%2F%2Fwww.webofscience.com%2Fwos%2Fwoscc%2Ffull-record%2FWOS:000562378200007","View Full Record in Web of Science")</f>
        <v>View Full Record in Web of Science</v>
      </c>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row>
    <row r="419" spans="1:314" s="2" customFormat="1" x14ac:dyDescent="0.4">
      <c r="A419" s="2" t="s">
        <v>72</v>
      </c>
      <c r="B419" s="2" t="s">
        <v>7228</v>
      </c>
      <c r="C419" s="2" t="s">
        <v>74</v>
      </c>
      <c r="D419" s="2" t="s">
        <v>74</v>
      </c>
      <c r="E419" s="2" t="s">
        <v>74</v>
      </c>
      <c r="F419" s="2" t="s">
        <v>7229</v>
      </c>
      <c r="G419" s="2" t="s">
        <v>74</v>
      </c>
      <c r="H419" s="2" t="s">
        <v>74</v>
      </c>
      <c r="I419" s="2" t="s">
        <v>7230</v>
      </c>
      <c r="J419" s="2" t="s">
        <v>333</v>
      </c>
      <c r="K419" s="2" t="s">
        <v>74</v>
      </c>
      <c r="L419" s="2" t="s">
        <v>74</v>
      </c>
      <c r="M419" s="2" t="s">
        <v>74</v>
      </c>
      <c r="N419" s="2" t="s">
        <v>74</v>
      </c>
      <c r="O419" s="2" t="s">
        <v>74</v>
      </c>
      <c r="P419" s="2" t="s">
        <v>74</v>
      </c>
      <c r="Q419" s="2" t="s">
        <v>74</v>
      </c>
      <c r="R419" s="2" t="s">
        <v>74</v>
      </c>
      <c r="S419" s="2" t="s">
        <v>74</v>
      </c>
      <c r="T419" s="2" t="s">
        <v>74</v>
      </c>
      <c r="U419" s="2" t="s">
        <v>74</v>
      </c>
      <c r="V419" s="5" t="s">
        <v>7231</v>
      </c>
      <c r="W419" s="2" t="s">
        <v>74</v>
      </c>
      <c r="X419" s="2" t="s">
        <v>74</v>
      </c>
      <c r="Y419" s="2" t="s">
        <v>74</v>
      </c>
      <c r="Z419" s="2" t="s">
        <v>74</v>
      </c>
      <c r="AA419" s="2" t="s">
        <v>74</v>
      </c>
      <c r="AB419" s="2" t="s">
        <v>7232</v>
      </c>
      <c r="AC419" s="2" t="s">
        <v>74</v>
      </c>
      <c r="AD419" s="2" t="s">
        <v>74</v>
      </c>
      <c r="AE419" s="2" t="s">
        <v>74</v>
      </c>
      <c r="AF419" s="2" t="s">
        <v>74</v>
      </c>
      <c r="AG419" s="2" t="s">
        <v>74</v>
      </c>
      <c r="AH419" s="2" t="s">
        <v>74</v>
      </c>
      <c r="AI419" s="2" t="s">
        <v>74</v>
      </c>
      <c r="AJ419" s="2" t="s">
        <v>74</v>
      </c>
      <c r="AK419" s="2" t="s">
        <v>74</v>
      </c>
      <c r="AL419" s="2" t="s">
        <v>74</v>
      </c>
      <c r="AM419" s="2" t="s">
        <v>74</v>
      </c>
      <c r="AN419" s="2" t="s">
        <v>74</v>
      </c>
      <c r="AO419" s="2" t="s">
        <v>337</v>
      </c>
      <c r="AP419" s="2" t="s">
        <v>338</v>
      </c>
      <c r="AQ419" s="2" t="s">
        <v>74</v>
      </c>
      <c r="AR419" s="2" t="s">
        <v>74</v>
      </c>
      <c r="AS419" s="2" t="s">
        <v>74</v>
      </c>
      <c r="AT419" s="2" t="s">
        <v>1013</v>
      </c>
      <c r="AU419" s="2">
        <v>2017</v>
      </c>
      <c r="AV419" s="2">
        <v>28</v>
      </c>
      <c r="AW419" s="2">
        <v>5</v>
      </c>
      <c r="AX419" s="2" t="s">
        <v>74</v>
      </c>
      <c r="AY419" s="2" t="s">
        <v>74</v>
      </c>
      <c r="AZ419" s="2" t="s">
        <v>74</v>
      </c>
      <c r="BA419" s="2" t="s">
        <v>74</v>
      </c>
      <c r="BB419" s="2">
        <v>1329</v>
      </c>
      <c r="BC419" s="2">
        <v>1336</v>
      </c>
      <c r="BD419" s="2" t="s">
        <v>74</v>
      </c>
      <c r="BE419" s="2" t="s">
        <v>7233</v>
      </c>
      <c r="BF419" s="2" t="str">
        <f>HYPERLINK("http://dx.doi.org/10.1093/beheco/arx096","http://dx.doi.org/10.1093/beheco/arx096")</f>
        <v>http://dx.doi.org/10.1093/beheco/arx096</v>
      </c>
      <c r="BG419" s="2" t="s">
        <v>74</v>
      </c>
      <c r="BH419" s="2" t="s">
        <v>74</v>
      </c>
      <c r="BI419" s="2" t="s">
        <v>74</v>
      </c>
      <c r="BJ419" s="2" t="s">
        <v>74</v>
      </c>
      <c r="BK419" s="2" t="s">
        <v>74</v>
      </c>
      <c r="BL419" s="2" t="s">
        <v>74</v>
      </c>
      <c r="BM419" s="2" t="s">
        <v>74</v>
      </c>
      <c r="BN419" s="2" t="s">
        <v>74</v>
      </c>
      <c r="BO419" s="2" t="s">
        <v>74</v>
      </c>
      <c r="BP419" s="2" t="s">
        <v>74</v>
      </c>
      <c r="BQ419" s="2" t="s">
        <v>74</v>
      </c>
      <c r="BR419" s="2" t="s">
        <v>74</v>
      </c>
      <c r="BS419" s="2" t="s">
        <v>7234</v>
      </c>
      <c r="BT419" s="2" t="str">
        <f>HYPERLINK("https%3A%2F%2Fwww.webofscience.com%2Fwos%2Fwoscc%2Ffull-record%2FWOS:000412182400016","View Full Record in Web of Science")</f>
        <v>View Full Record in Web of Science</v>
      </c>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row>
    <row r="420" spans="1:314" s="2" customFormat="1" x14ac:dyDescent="0.4">
      <c r="A420" s="2" t="s">
        <v>72</v>
      </c>
      <c r="B420" s="2" t="s">
        <v>879</v>
      </c>
      <c r="C420" s="2" t="s">
        <v>74</v>
      </c>
      <c r="D420" s="2" t="s">
        <v>74</v>
      </c>
      <c r="E420" s="2" t="s">
        <v>74</v>
      </c>
      <c r="F420" s="2" t="s">
        <v>880</v>
      </c>
      <c r="G420" s="2" t="s">
        <v>74</v>
      </c>
      <c r="H420" s="2" t="s">
        <v>74</v>
      </c>
      <c r="I420" s="2" t="s">
        <v>881</v>
      </c>
      <c r="J420" s="2" t="s">
        <v>882</v>
      </c>
      <c r="K420" s="2" t="s">
        <v>74</v>
      </c>
      <c r="L420" s="2" t="s">
        <v>74</v>
      </c>
      <c r="M420" s="2" t="s">
        <v>74</v>
      </c>
      <c r="N420" s="2" t="s">
        <v>74</v>
      </c>
      <c r="O420" s="2" t="s">
        <v>74</v>
      </c>
      <c r="P420" s="2" t="s">
        <v>74</v>
      </c>
      <c r="Q420" s="2" t="s">
        <v>74</v>
      </c>
      <c r="R420" s="2" t="s">
        <v>74</v>
      </c>
      <c r="S420" s="2" t="s">
        <v>74</v>
      </c>
      <c r="T420" s="2" t="s">
        <v>74</v>
      </c>
      <c r="U420" s="2" t="s">
        <v>74</v>
      </c>
      <c r="V420" s="5" t="s">
        <v>883</v>
      </c>
      <c r="W420" s="2" t="s">
        <v>74</v>
      </c>
      <c r="X420" s="2" t="s">
        <v>74</v>
      </c>
      <c r="Y420" s="2" t="s">
        <v>74</v>
      </c>
      <c r="Z420" s="2" t="s">
        <v>74</v>
      </c>
      <c r="AA420" s="2" t="s">
        <v>884</v>
      </c>
      <c r="AB420" s="2" t="s">
        <v>885</v>
      </c>
      <c r="AC420" s="2" t="s">
        <v>74</v>
      </c>
      <c r="AD420" s="2" t="s">
        <v>74</v>
      </c>
      <c r="AE420" s="2" t="s">
        <v>74</v>
      </c>
      <c r="AF420" s="2" t="s">
        <v>74</v>
      </c>
      <c r="AG420" s="2" t="s">
        <v>74</v>
      </c>
      <c r="AH420" s="2" t="s">
        <v>74</v>
      </c>
      <c r="AI420" s="2" t="s">
        <v>74</v>
      </c>
      <c r="AJ420" s="2" t="s">
        <v>74</v>
      </c>
      <c r="AK420" s="2" t="s">
        <v>74</v>
      </c>
      <c r="AL420" s="2" t="s">
        <v>74</v>
      </c>
      <c r="AM420" s="2" t="s">
        <v>74</v>
      </c>
      <c r="AN420" s="2" t="s">
        <v>74</v>
      </c>
      <c r="AO420" s="2" t="s">
        <v>886</v>
      </c>
      <c r="AP420" s="2" t="s">
        <v>887</v>
      </c>
      <c r="AQ420" s="2" t="s">
        <v>74</v>
      </c>
      <c r="AR420" s="2" t="s">
        <v>74</v>
      </c>
      <c r="AS420" s="2" t="s">
        <v>74</v>
      </c>
      <c r="AT420" s="2" t="s">
        <v>74</v>
      </c>
      <c r="AU420" s="2">
        <v>2010</v>
      </c>
      <c r="AV420" s="2">
        <v>9</v>
      </c>
      <c r="AW420" s="2">
        <v>3</v>
      </c>
      <c r="AX420" s="2" t="s">
        <v>74</v>
      </c>
      <c r="AY420" s="2" t="s">
        <v>74</v>
      </c>
      <c r="AZ420" s="2" t="s">
        <v>74</v>
      </c>
      <c r="BA420" s="2" t="s">
        <v>74</v>
      </c>
      <c r="BB420" s="2">
        <v>271</v>
      </c>
      <c r="BC420" s="2">
        <v>277</v>
      </c>
      <c r="BD420" s="2" t="s">
        <v>74</v>
      </c>
      <c r="BE420" s="2" t="s">
        <v>888</v>
      </c>
      <c r="BF420" s="2" t="str">
        <f>HYPERLINK("http://dx.doi.org/10.3354/ab00257","http://dx.doi.org/10.3354/ab00257")</f>
        <v>http://dx.doi.org/10.3354/ab00257</v>
      </c>
      <c r="BG420" s="2" t="s">
        <v>74</v>
      </c>
      <c r="BH420" s="2" t="s">
        <v>74</v>
      </c>
      <c r="BI420" s="2" t="s">
        <v>74</v>
      </c>
      <c r="BJ420" s="2" t="s">
        <v>74</v>
      </c>
      <c r="BK420" s="2" t="s">
        <v>74</v>
      </c>
      <c r="BL420" s="2" t="s">
        <v>74</v>
      </c>
      <c r="BM420" s="2" t="s">
        <v>74</v>
      </c>
      <c r="BN420" s="2" t="s">
        <v>74</v>
      </c>
      <c r="BO420" s="2" t="s">
        <v>74</v>
      </c>
      <c r="BP420" s="2" t="s">
        <v>74</v>
      </c>
      <c r="BQ420" s="2" t="s">
        <v>74</v>
      </c>
      <c r="BR420" s="2" t="s">
        <v>74</v>
      </c>
      <c r="BS420" s="2" t="s">
        <v>889</v>
      </c>
      <c r="BT420" s="2" t="str">
        <f>HYPERLINK("https%3A%2F%2Fwww.webofscience.com%2Fwos%2Fwoscc%2Ffull-record%2FWOS:000278977700007","View Full Record in Web of Science")</f>
        <v>View Full Record in Web of Science</v>
      </c>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row>
    <row r="421" spans="1:314" s="2" customFormat="1" x14ac:dyDescent="0.4">
      <c r="A421" s="2" t="s">
        <v>72</v>
      </c>
      <c r="B421" s="2" t="s">
        <v>488</v>
      </c>
      <c r="C421" s="2" t="s">
        <v>74</v>
      </c>
      <c r="D421" s="2" t="s">
        <v>74</v>
      </c>
      <c r="E421" s="2" t="s">
        <v>74</v>
      </c>
      <c r="F421" s="2" t="s">
        <v>488</v>
      </c>
      <c r="G421" s="2" t="s">
        <v>74</v>
      </c>
      <c r="H421" s="2" t="s">
        <v>74</v>
      </c>
      <c r="I421" s="2" t="s">
        <v>489</v>
      </c>
      <c r="J421" s="2" t="s">
        <v>108</v>
      </c>
      <c r="K421" s="2" t="s">
        <v>74</v>
      </c>
      <c r="L421" s="2" t="s">
        <v>74</v>
      </c>
      <c r="M421" s="2" t="s">
        <v>74</v>
      </c>
      <c r="N421" s="2" t="s">
        <v>74</v>
      </c>
      <c r="O421" s="2" t="s">
        <v>74</v>
      </c>
      <c r="P421" s="2" t="s">
        <v>74</v>
      </c>
      <c r="Q421" s="2" t="s">
        <v>74</v>
      </c>
      <c r="R421" s="2" t="s">
        <v>74</v>
      </c>
      <c r="S421" s="2" t="s">
        <v>74</v>
      </c>
      <c r="T421" s="2" t="s">
        <v>74</v>
      </c>
      <c r="U421" s="2" t="s">
        <v>74</v>
      </c>
      <c r="V421" s="5" t="s">
        <v>490</v>
      </c>
      <c r="W421" s="2" t="s">
        <v>74</v>
      </c>
      <c r="X421" s="2" t="s">
        <v>74</v>
      </c>
      <c r="Y421" s="2" t="s">
        <v>74</v>
      </c>
      <c r="Z421" s="2" t="s">
        <v>74</v>
      </c>
      <c r="AA421" s="2" t="s">
        <v>491</v>
      </c>
      <c r="AB421" s="2" t="s">
        <v>492</v>
      </c>
      <c r="AC421" s="2" t="s">
        <v>74</v>
      </c>
      <c r="AD421" s="2" t="s">
        <v>74</v>
      </c>
      <c r="AE421" s="2" t="s">
        <v>74</v>
      </c>
      <c r="AF421" s="2" t="s">
        <v>74</v>
      </c>
      <c r="AG421" s="2" t="s">
        <v>74</v>
      </c>
      <c r="AH421" s="2" t="s">
        <v>74</v>
      </c>
      <c r="AI421" s="2" t="s">
        <v>74</v>
      </c>
      <c r="AJ421" s="2" t="s">
        <v>74</v>
      </c>
      <c r="AK421" s="2" t="s">
        <v>74</v>
      </c>
      <c r="AL421" s="2" t="s">
        <v>74</v>
      </c>
      <c r="AM421" s="2" t="s">
        <v>74</v>
      </c>
      <c r="AN421" s="2" t="s">
        <v>74</v>
      </c>
      <c r="AO421" s="2" t="s">
        <v>111</v>
      </c>
      <c r="AP421" s="2" t="s">
        <v>112</v>
      </c>
      <c r="AQ421" s="2" t="s">
        <v>74</v>
      </c>
      <c r="AR421" s="2" t="s">
        <v>74</v>
      </c>
      <c r="AS421" s="2" t="s">
        <v>74</v>
      </c>
      <c r="AT421" s="2" t="s">
        <v>493</v>
      </c>
      <c r="AU421" s="2">
        <v>2001</v>
      </c>
      <c r="AV421" s="2">
        <v>268</v>
      </c>
      <c r="AW421" s="2">
        <v>1475</v>
      </c>
      <c r="AX421" s="2" t="s">
        <v>74</v>
      </c>
      <c r="AY421" s="2" t="s">
        <v>74</v>
      </c>
      <c r="AZ421" s="2" t="s">
        <v>74</v>
      </c>
      <c r="BA421" s="2" t="s">
        <v>74</v>
      </c>
      <c r="BB421" s="2">
        <v>1519</v>
      </c>
      <c r="BC421" s="2">
        <v>1526</v>
      </c>
      <c r="BD421" s="2" t="s">
        <v>74</v>
      </c>
      <c r="BE421" s="2" t="s">
        <v>494</v>
      </c>
      <c r="BF421" s="2" t="str">
        <f>HYPERLINK("http://dx.doi.org/10.1098/rspb.2001.1701","http://dx.doi.org/10.1098/rspb.2001.1701")</f>
        <v>http://dx.doi.org/10.1098/rspb.2001.1701</v>
      </c>
      <c r="BG421" s="2" t="s">
        <v>74</v>
      </c>
      <c r="BH421" s="2" t="s">
        <v>74</v>
      </c>
      <c r="BI421" s="2" t="s">
        <v>74</v>
      </c>
      <c r="BJ421" s="2" t="s">
        <v>74</v>
      </c>
      <c r="BK421" s="2" t="s">
        <v>74</v>
      </c>
      <c r="BL421" s="2" t="s">
        <v>74</v>
      </c>
      <c r="BM421" s="2" t="s">
        <v>74</v>
      </c>
      <c r="BN421" s="2">
        <v>11454297</v>
      </c>
      <c r="BO421" s="2" t="s">
        <v>74</v>
      </c>
      <c r="BP421" s="2" t="s">
        <v>74</v>
      </c>
      <c r="BQ421" s="2" t="s">
        <v>74</v>
      </c>
      <c r="BR421" s="2" t="s">
        <v>74</v>
      </c>
      <c r="BS421" s="2" t="s">
        <v>495</v>
      </c>
      <c r="BT421" s="2" t="str">
        <f>HYPERLINK("https%3A%2F%2Fwww.webofscience.com%2Fwos%2Fwoscc%2Ffull-record%2FWOS:000170003600013","View Full Record in Web of Science")</f>
        <v>View Full Record in Web of Science</v>
      </c>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row>
    <row r="422" spans="1:314" s="2" customFormat="1" x14ac:dyDescent="0.4">
      <c r="A422" s="2" t="s">
        <v>72</v>
      </c>
      <c r="B422" s="2" t="s">
        <v>5024</v>
      </c>
      <c r="C422" s="2" t="s">
        <v>74</v>
      </c>
      <c r="D422" s="2" t="s">
        <v>74</v>
      </c>
      <c r="E422" s="2" t="s">
        <v>74</v>
      </c>
      <c r="F422" s="2" t="s">
        <v>5025</v>
      </c>
      <c r="G422" s="2" t="s">
        <v>74</v>
      </c>
      <c r="H422" s="2" t="s">
        <v>74</v>
      </c>
      <c r="I422" s="2" t="s">
        <v>5026</v>
      </c>
      <c r="J422" s="2" t="s">
        <v>2578</v>
      </c>
      <c r="K422" s="2" t="s">
        <v>74</v>
      </c>
      <c r="L422" s="2" t="s">
        <v>74</v>
      </c>
      <c r="M422" s="2" t="s">
        <v>74</v>
      </c>
      <c r="N422" s="2" t="s">
        <v>74</v>
      </c>
      <c r="O422" s="2" t="s">
        <v>74</v>
      </c>
      <c r="P422" s="2" t="s">
        <v>74</v>
      </c>
      <c r="Q422" s="2" t="s">
        <v>74</v>
      </c>
      <c r="R422" s="2" t="s">
        <v>74</v>
      </c>
      <c r="S422" s="2" t="s">
        <v>74</v>
      </c>
      <c r="T422" s="2" t="s">
        <v>74</v>
      </c>
      <c r="U422" s="2" t="s">
        <v>74</v>
      </c>
      <c r="V422" s="5" t="s">
        <v>5027</v>
      </c>
      <c r="W422" s="2" t="s">
        <v>74</v>
      </c>
      <c r="X422" s="2" t="s">
        <v>74</v>
      </c>
      <c r="Y422" s="2" t="s">
        <v>74</v>
      </c>
      <c r="Z422" s="2" t="s">
        <v>74</v>
      </c>
      <c r="AA422" s="2" t="s">
        <v>74</v>
      </c>
      <c r="AB422" s="2" t="s">
        <v>74</v>
      </c>
      <c r="AC422" s="2" t="s">
        <v>74</v>
      </c>
      <c r="AD422" s="2" t="s">
        <v>74</v>
      </c>
      <c r="AE422" s="2" t="s">
        <v>74</v>
      </c>
      <c r="AF422" s="2" t="s">
        <v>74</v>
      </c>
      <c r="AG422" s="2" t="s">
        <v>74</v>
      </c>
      <c r="AH422" s="2" t="s">
        <v>74</v>
      </c>
      <c r="AI422" s="2" t="s">
        <v>74</v>
      </c>
      <c r="AJ422" s="2" t="s">
        <v>74</v>
      </c>
      <c r="AK422" s="2" t="s">
        <v>74</v>
      </c>
      <c r="AL422" s="2" t="s">
        <v>74</v>
      </c>
      <c r="AM422" s="2" t="s">
        <v>74</v>
      </c>
      <c r="AN422" s="2" t="s">
        <v>74</v>
      </c>
      <c r="AO422" s="2" t="s">
        <v>2582</v>
      </c>
      <c r="AP422" s="2" t="s">
        <v>2583</v>
      </c>
      <c r="AQ422" s="2" t="s">
        <v>74</v>
      </c>
      <c r="AR422" s="2" t="s">
        <v>74</v>
      </c>
      <c r="AS422" s="2" t="s">
        <v>74</v>
      </c>
      <c r="AT422" s="2" t="s">
        <v>5028</v>
      </c>
      <c r="AU422" s="2">
        <v>2024</v>
      </c>
      <c r="AV422" s="2" t="s">
        <v>74</v>
      </c>
      <c r="AW422" s="2" t="s">
        <v>74</v>
      </c>
      <c r="AX422" s="2" t="s">
        <v>74</v>
      </c>
      <c r="AY422" s="2" t="s">
        <v>74</v>
      </c>
      <c r="AZ422" s="2" t="s">
        <v>74</v>
      </c>
      <c r="BA422" s="2" t="s">
        <v>74</v>
      </c>
      <c r="BB422" s="2" t="s">
        <v>74</v>
      </c>
      <c r="BC422" s="2" t="s">
        <v>74</v>
      </c>
      <c r="BD422" s="2" t="s">
        <v>74</v>
      </c>
      <c r="BE422" s="2" t="s">
        <v>5029</v>
      </c>
      <c r="BF422" s="2" t="str">
        <f>HYPERLINK("http://dx.doi.org/10.3758/s13420-024-00638-z","http://dx.doi.org/10.3758/s13420-024-00638-z")</f>
        <v>http://dx.doi.org/10.3758/s13420-024-00638-z</v>
      </c>
      <c r="BG422" s="2" t="s">
        <v>74</v>
      </c>
      <c r="BH422" s="2" t="s">
        <v>5030</v>
      </c>
      <c r="BI422" s="2" t="s">
        <v>74</v>
      </c>
      <c r="BJ422" s="2" t="s">
        <v>74</v>
      </c>
      <c r="BK422" s="2" t="s">
        <v>74</v>
      </c>
      <c r="BL422" s="2" t="s">
        <v>74</v>
      </c>
      <c r="BM422" s="2" t="s">
        <v>74</v>
      </c>
      <c r="BN422" s="2">
        <v>39150659</v>
      </c>
      <c r="BO422" s="2" t="s">
        <v>74</v>
      </c>
      <c r="BP422" s="2" t="s">
        <v>74</v>
      </c>
      <c r="BQ422" s="2" t="s">
        <v>74</v>
      </c>
      <c r="BR422" s="2" t="s">
        <v>74</v>
      </c>
      <c r="BS422" s="2" t="s">
        <v>5031</v>
      </c>
      <c r="BT422" s="2" t="str">
        <f>HYPERLINK("https%3A%2F%2Fwww.webofscience.com%2Fwos%2Fwoscc%2Ffull-record%2FWOS:001291940700001","View Full Record in Web of Science")</f>
        <v>View Full Record in Web of Science</v>
      </c>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row>
    <row r="423" spans="1:314" s="2" customFormat="1" x14ac:dyDescent="0.4">
      <c r="A423" s="2" t="s">
        <v>72</v>
      </c>
      <c r="B423" s="2" t="s">
        <v>7026</v>
      </c>
      <c r="C423" s="2" t="s">
        <v>74</v>
      </c>
      <c r="D423" s="2" t="s">
        <v>74</v>
      </c>
      <c r="E423" s="2" t="s">
        <v>74</v>
      </c>
      <c r="F423" s="2" t="s">
        <v>7027</v>
      </c>
      <c r="G423" s="2" t="s">
        <v>74</v>
      </c>
      <c r="H423" s="2" t="s">
        <v>74</v>
      </c>
      <c r="I423" s="2" t="s">
        <v>7028</v>
      </c>
      <c r="J423" s="2" t="s">
        <v>814</v>
      </c>
      <c r="K423" s="2" t="s">
        <v>74</v>
      </c>
      <c r="L423" s="2" t="s">
        <v>74</v>
      </c>
      <c r="M423" s="2" t="s">
        <v>74</v>
      </c>
      <c r="N423" s="2" t="s">
        <v>74</v>
      </c>
      <c r="O423" s="2" t="s">
        <v>74</v>
      </c>
      <c r="P423" s="2" t="s">
        <v>74</v>
      </c>
      <c r="Q423" s="2" t="s">
        <v>74</v>
      </c>
      <c r="R423" s="2" t="s">
        <v>74</v>
      </c>
      <c r="S423" s="2" t="s">
        <v>74</v>
      </c>
      <c r="T423" s="2" t="s">
        <v>74</v>
      </c>
      <c r="U423" s="2" t="s">
        <v>74</v>
      </c>
      <c r="V423" s="5" t="s">
        <v>7029</v>
      </c>
      <c r="W423" s="2" t="s">
        <v>74</v>
      </c>
      <c r="X423" s="2" t="s">
        <v>74</v>
      </c>
      <c r="Y423" s="2" t="s">
        <v>74</v>
      </c>
      <c r="Z423" s="2" t="s">
        <v>74</v>
      </c>
      <c r="AA423" s="2" t="s">
        <v>7030</v>
      </c>
      <c r="AB423" s="2" t="s">
        <v>7031</v>
      </c>
      <c r="AC423" s="2" t="s">
        <v>74</v>
      </c>
      <c r="AD423" s="2" t="s">
        <v>74</v>
      </c>
      <c r="AE423" s="2" t="s">
        <v>74</v>
      </c>
      <c r="AF423" s="2" t="s">
        <v>74</v>
      </c>
      <c r="AG423" s="2" t="s">
        <v>74</v>
      </c>
      <c r="AH423" s="2" t="s">
        <v>74</v>
      </c>
      <c r="AI423" s="2" t="s">
        <v>74</v>
      </c>
      <c r="AJ423" s="2" t="s">
        <v>74</v>
      </c>
      <c r="AK423" s="2" t="s">
        <v>74</v>
      </c>
      <c r="AL423" s="2" t="s">
        <v>74</v>
      </c>
      <c r="AM423" s="2" t="s">
        <v>74</v>
      </c>
      <c r="AN423" s="2" t="s">
        <v>74</v>
      </c>
      <c r="AO423" s="2" t="s">
        <v>818</v>
      </c>
      <c r="AP423" s="2" t="s">
        <v>1505</v>
      </c>
      <c r="AQ423" s="2" t="s">
        <v>74</v>
      </c>
      <c r="AR423" s="2" t="s">
        <v>74</v>
      </c>
      <c r="AS423" s="2" t="s">
        <v>74</v>
      </c>
      <c r="AT423" s="2" t="s">
        <v>102</v>
      </c>
      <c r="AU423" s="2">
        <v>2014</v>
      </c>
      <c r="AV423" s="2">
        <v>117</v>
      </c>
      <c r="AW423" s="2">
        <v>3</v>
      </c>
      <c r="AX423" s="2" t="s">
        <v>74</v>
      </c>
      <c r="AY423" s="2" t="s">
        <v>74</v>
      </c>
      <c r="AZ423" s="2" t="s">
        <v>74</v>
      </c>
      <c r="BA423" s="2" t="s">
        <v>74</v>
      </c>
      <c r="BB423" s="2">
        <v>179</v>
      </c>
      <c r="BC423" s="2">
        <v>184</v>
      </c>
      <c r="BD423" s="2" t="s">
        <v>74</v>
      </c>
      <c r="BE423" s="2" t="s">
        <v>7032</v>
      </c>
      <c r="BF423" s="2" t="str">
        <f>HYPERLINK("http://dx.doi.org/10.1016/j.zool.2013.09.005","http://dx.doi.org/10.1016/j.zool.2013.09.005")</f>
        <v>http://dx.doi.org/10.1016/j.zool.2013.09.005</v>
      </c>
      <c r="BG423" s="2" t="s">
        <v>74</v>
      </c>
      <c r="BH423" s="2" t="s">
        <v>74</v>
      </c>
      <c r="BI423" s="2" t="s">
        <v>74</v>
      </c>
      <c r="BJ423" s="2" t="s">
        <v>74</v>
      </c>
      <c r="BK423" s="2" t="s">
        <v>74</v>
      </c>
      <c r="BL423" s="2" t="s">
        <v>74</v>
      </c>
      <c r="BM423" s="2" t="s">
        <v>74</v>
      </c>
      <c r="BN423" s="2">
        <v>24783997</v>
      </c>
      <c r="BO423" s="2" t="s">
        <v>74</v>
      </c>
      <c r="BP423" s="2" t="s">
        <v>74</v>
      </c>
      <c r="BQ423" s="2" t="s">
        <v>74</v>
      </c>
      <c r="BR423" s="2" t="s">
        <v>74</v>
      </c>
      <c r="BS423" s="2" t="s">
        <v>7033</v>
      </c>
      <c r="BT423" s="2" t="str">
        <f>HYPERLINK("https%3A%2F%2Fwww.webofscience.com%2Fwos%2Fwoscc%2Ffull-record%2FWOS:000337884800004","View Full Record in Web of Science")</f>
        <v>View Full Record in Web of Science</v>
      </c>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row>
    <row r="424" spans="1:314" s="2" customFormat="1" x14ac:dyDescent="0.4">
      <c r="A424" s="2" t="s">
        <v>72</v>
      </c>
      <c r="B424" s="2" t="s">
        <v>912</v>
      </c>
      <c r="C424" s="2" t="s">
        <v>74</v>
      </c>
      <c r="D424" s="2" t="s">
        <v>74</v>
      </c>
      <c r="E424" s="2" t="s">
        <v>74</v>
      </c>
      <c r="F424" s="2" t="s">
        <v>913</v>
      </c>
      <c r="G424" s="2" t="s">
        <v>74</v>
      </c>
      <c r="H424" s="2" t="s">
        <v>74</v>
      </c>
      <c r="I424" s="2" t="s">
        <v>914</v>
      </c>
      <c r="J424" s="2" t="s">
        <v>140</v>
      </c>
      <c r="K424" s="2" t="s">
        <v>74</v>
      </c>
      <c r="L424" s="2" t="s">
        <v>74</v>
      </c>
      <c r="M424" s="2" t="s">
        <v>74</v>
      </c>
      <c r="N424" s="2" t="s">
        <v>74</v>
      </c>
      <c r="O424" s="2" t="s">
        <v>74</v>
      </c>
      <c r="P424" s="2" t="s">
        <v>74</v>
      </c>
      <c r="Q424" s="2" t="s">
        <v>74</v>
      </c>
      <c r="R424" s="2" t="s">
        <v>74</v>
      </c>
      <c r="S424" s="2" t="s">
        <v>74</v>
      </c>
      <c r="T424" s="2" t="s">
        <v>74</v>
      </c>
      <c r="U424" s="2" t="s">
        <v>74</v>
      </c>
      <c r="V424" s="5" t="s">
        <v>915</v>
      </c>
      <c r="W424" s="2" t="s">
        <v>74</v>
      </c>
      <c r="X424" s="2" t="s">
        <v>74</v>
      </c>
      <c r="Y424" s="2" t="s">
        <v>74</v>
      </c>
      <c r="Z424" s="2" t="s">
        <v>74</v>
      </c>
      <c r="AA424" s="2" t="s">
        <v>916</v>
      </c>
      <c r="AB424" s="2" t="s">
        <v>917</v>
      </c>
      <c r="AC424" s="2" t="s">
        <v>74</v>
      </c>
      <c r="AD424" s="2" t="s">
        <v>74</v>
      </c>
      <c r="AE424" s="2" t="s">
        <v>74</v>
      </c>
      <c r="AF424" s="2" t="s">
        <v>74</v>
      </c>
      <c r="AG424" s="2" t="s">
        <v>74</v>
      </c>
      <c r="AH424" s="2" t="s">
        <v>74</v>
      </c>
      <c r="AI424" s="2" t="s">
        <v>74</v>
      </c>
      <c r="AJ424" s="2" t="s">
        <v>74</v>
      </c>
      <c r="AK424" s="2" t="s">
        <v>74</v>
      </c>
      <c r="AL424" s="2" t="s">
        <v>74</v>
      </c>
      <c r="AM424" s="2" t="s">
        <v>74</v>
      </c>
      <c r="AN424" s="2" t="s">
        <v>74</v>
      </c>
      <c r="AO424" s="2" t="s">
        <v>143</v>
      </c>
      <c r="AP424" s="2" t="s">
        <v>144</v>
      </c>
      <c r="AQ424" s="2" t="s">
        <v>74</v>
      </c>
      <c r="AR424" s="2" t="s">
        <v>74</v>
      </c>
      <c r="AS424" s="2" t="s">
        <v>74</v>
      </c>
      <c r="AT424" s="2" t="s">
        <v>633</v>
      </c>
      <c r="AU424" s="2">
        <v>2015</v>
      </c>
      <c r="AV424" s="2">
        <v>102</v>
      </c>
      <c r="AW424" s="2" t="s">
        <v>74</v>
      </c>
      <c r="AX424" s="2" t="s">
        <v>74</v>
      </c>
      <c r="AY424" s="2" t="s">
        <v>74</v>
      </c>
      <c r="AZ424" s="2" t="s">
        <v>74</v>
      </c>
      <c r="BA424" s="2" t="s">
        <v>74</v>
      </c>
      <c r="BB424" s="2">
        <v>59</v>
      </c>
      <c r="BC424" s="2">
        <v>67</v>
      </c>
      <c r="BD424" s="2" t="s">
        <v>74</v>
      </c>
      <c r="BE424" s="2" t="s">
        <v>918</v>
      </c>
      <c r="BF424" s="2" t="str">
        <f>HYPERLINK("http://dx.doi.org/10.1016/j.anbehav.2015.01.004","http://dx.doi.org/10.1016/j.anbehav.2015.01.004")</f>
        <v>http://dx.doi.org/10.1016/j.anbehav.2015.01.004</v>
      </c>
      <c r="BG424" s="2" t="s">
        <v>74</v>
      </c>
      <c r="BH424" s="2" t="s">
        <v>74</v>
      </c>
      <c r="BI424" s="2" t="s">
        <v>74</v>
      </c>
      <c r="BJ424" s="2" t="s">
        <v>74</v>
      </c>
      <c r="BK424" s="2" t="s">
        <v>74</v>
      </c>
      <c r="BL424" s="2" t="s">
        <v>74</v>
      </c>
      <c r="BM424" s="2" t="s">
        <v>74</v>
      </c>
      <c r="BN424" s="2" t="s">
        <v>74</v>
      </c>
      <c r="BO424" s="2" t="s">
        <v>74</v>
      </c>
      <c r="BP424" s="2" t="s">
        <v>74</v>
      </c>
      <c r="BQ424" s="2" t="s">
        <v>74</v>
      </c>
      <c r="BR424" s="2" t="s">
        <v>74</v>
      </c>
      <c r="BS424" s="2" t="s">
        <v>919</v>
      </c>
      <c r="BT424" s="2" t="str">
        <f>HYPERLINK("https%3A%2F%2Fwww.webofscience.com%2Fwos%2Fwoscc%2Ffull-record%2FWOS:000351058700007","View Full Record in Web of Science")</f>
        <v>View Full Record in Web of Science</v>
      </c>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row>
    <row r="425" spans="1:314" s="2" customFormat="1" x14ac:dyDescent="0.4">
      <c r="A425" s="2" t="s">
        <v>72</v>
      </c>
      <c r="B425" s="2" t="s">
        <v>2853</v>
      </c>
      <c r="C425" s="2" t="s">
        <v>74</v>
      </c>
      <c r="D425" s="2" t="s">
        <v>74</v>
      </c>
      <c r="E425" s="2" t="s">
        <v>74</v>
      </c>
      <c r="F425" s="2" t="s">
        <v>2854</v>
      </c>
      <c r="G425" s="2" t="s">
        <v>74</v>
      </c>
      <c r="H425" s="2" t="s">
        <v>74</v>
      </c>
      <c r="I425" s="2" t="s">
        <v>2855</v>
      </c>
      <c r="J425" s="2" t="s">
        <v>2856</v>
      </c>
      <c r="K425" s="2" t="s">
        <v>74</v>
      </c>
      <c r="L425" s="2" t="s">
        <v>74</v>
      </c>
      <c r="M425" s="2" t="s">
        <v>74</v>
      </c>
      <c r="N425" s="2" t="s">
        <v>74</v>
      </c>
      <c r="O425" s="2" t="s">
        <v>2857</v>
      </c>
      <c r="P425" s="2" t="s">
        <v>2858</v>
      </c>
      <c r="Q425" s="2" t="s">
        <v>2859</v>
      </c>
      <c r="R425" s="2" t="s">
        <v>74</v>
      </c>
      <c r="S425" s="2" t="s">
        <v>74</v>
      </c>
      <c r="T425" s="2" t="s">
        <v>74</v>
      </c>
      <c r="U425" s="2" t="s">
        <v>74</v>
      </c>
      <c r="V425" s="5" t="s">
        <v>2860</v>
      </c>
      <c r="W425" s="2" t="s">
        <v>74</v>
      </c>
      <c r="X425" s="2" t="s">
        <v>74</v>
      </c>
      <c r="Y425" s="2" t="s">
        <v>74</v>
      </c>
      <c r="Z425" s="2" t="s">
        <v>74</v>
      </c>
      <c r="AA425" s="2" t="s">
        <v>74</v>
      </c>
      <c r="AB425" s="2" t="s">
        <v>74</v>
      </c>
      <c r="AC425" s="2" t="s">
        <v>74</v>
      </c>
      <c r="AD425" s="2" t="s">
        <v>74</v>
      </c>
      <c r="AE425" s="2" t="s">
        <v>74</v>
      </c>
      <c r="AF425" s="2" t="s">
        <v>74</v>
      </c>
      <c r="AG425" s="2" t="s">
        <v>74</v>
      </c>
      <c r="AH425" s="2" t="s">
        <v>74</v>
      </c>
      <c r="AI425" s="2" t="s">
        <v>74</v>
      </c>
      <c r="AJ425" s="2" t="s">
        <v>74</v>
      </c>
      <c r="AK425" s="2" t="s">
        <v>74</v>
      </c>
      <c r="AL425" s="2" t="s">
        <v>74</v>
      </c>
      <c r="AM425" s="2" t="s">
        <v>74</v>
      </c>
      <c r="AN425" s="2" t="s">
        <v>74</v>
      </c>
      <c r="AO425" s="2" t="s">
        <v>2861</v>
      </c>
      <c r="AP425" s="2" t="s">
        <v>2862</v>
      </c>
      <c r="AQ425" s="2" t="s">
        <v>74</v>
      </c>
      <c r="AR425" s="2" t="s">
        <v>74</v>
      </c>
      <c r="AS425" s="2" t="s">
        <v>74</v>
      </c>
      <c r="AT425" s="2" t="s">
        <v>123</v>
      </c>
      <c r="AU425" s="2">
        <v>2019</v>
      </c>
      <c r="AV425" s="2">
        <v>14</v>
      </c>
      <c r="AW425" s="2">
        <v>2</v>
      </c>
      <c r="AX425" s="2" t="s">
        <v>74</v>
      </c>
      <c r="AY425" s="2" t="s">
        <v>74</v>
      </c>
      <c r="AZ425" s="2" t="s">
        <v>848</v>
      </c>
      <c r="BA425" s="2" t="s">
        <v>74</v>
      </c>
      <c r="BB425" s="2">
        <v>214</v>
      </c>
      <c r="BC425" s="2">
        <v>222</v>
      </c>
      <c r="BD425" s="2" t="s">
        <v>74</v>
      </c>
      <c r="BE425" s="2" t="s">
        <v>2863</v>
      </c>
      <c r="BF425" s="2" t="str">
        <f>HYPERLINK("http://dx.doi.org/10.1111/1749-4877.12303","http://dx.doi.org/10.1111/1749-4877.12303")</f>
        <v>http://dx.doi.org/10.1111/1749-4877.12303</v>
      </c>
      <c r="BG425" s="2" t="s">
        <v>74</v>
      </c>
      <c r="BH425" s="2" t="s">
        <v>74</v>
      </c>
      <c r="BI425" s="2" t="s">
        <v>74</v>
      </c>
      <c r="BJ425" s="2" t="s">
        <v>74</v>
      </c>
      <c r="BK425" s="2" t="s">
        <v>74</v>
      </c>
      <c r="BL425" s="2" t="s">
        <v>74</v>
      </c>
      <c r="BM425" s="2" t="s">
        <v>74</v>
      </c>
      <c r="BN425" s="2">
        <v>29316228</v>
      </c>
      <c r="BO425" s="2" t="s">
        <v>74</v>
      </c>
      <c r="BP425" s="2" t="s">
        <v>74</v>
      </c>
      <c r="BQ425" s="2" t="s">
        <v>74</v>
      </c>
      <c r="BR425" s="2" t="s">
        <v>74</v>
      </c>
      <c r="BS425" s="2" t="s">
        <v>2864</v>
      </c>
      <c r="BT425" s="2" t="str">
        <f>HYPERLINK("https%3A%2F%2Fwww.webofscience.com%2Fwos%2Fwoscc%2Ffull-record%2FWOS:000462130200009","View Full Record in Web of Science")</f>
        <v>View Full Record in Web of Science</v>
      </c>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row>
    <row r="426" spans="1:314" s="2" customFormat="1" x14ac:dyDescent="0.4">
      <c r="A426" s="2" t="s">
        <v>72</v>
      </c>
      <c r="B426" s="2" t="s">
        <v>7280</v>
      </c>
      <c r="C426" s="2" t="s">
        <v>74</v>
      </c>
      <c r="D426" s="2" t="s">
        <v>74</v>
      </c>
      <c r="E426" s="2" t="s">
        <v>74</v>
      </c>
      <c r="F426" s="2" t="s">
        <v>7281</v>
      </c>
      <c r="G426" s="2" t="s">
        <v>74</v>
      </c>
      <c r="H426" s="2" t="s">
        <v>74</v>
      </c>
      <c r="I426" s="2" t="s">
        <v>7282</v>
      </c>
      <c r="J426" s="2" t="s">
        <v>77</v>
      </c>
      <c r="K426" s="2" t="s">
        <v>74</v>
      </c>
      <c r="L426" s="2" t="s">
        <v>74</v>
      </c>
      <c r="M426" s="2" t="s">
        <v>74</v>
      </c>
      <c r="N426" s="2" t="s">
        <v>74</v>
      </c>
      <c r="O426" s="2" t="s">
        <v>74</v>
      </c>
      <c r="P426" s="2" t="s">
        <v>74</v>
      </c>
      <c r="Q426" s="2" t="s">
        <v>74</v>
      </c>
      <c r="R426" s="2" t="s">
        <v>74</v>
      </c>
      <c r="S426" s="2" t="s">
        <v>74</v>
      </c>
      <c r="T426" s="2" t="s">
        <v>74</v>
      </c>
      <c r="U426" s="2" t="s">
        <v>74</v>
      </c>
      <c r="V426" s="5" t="s">
        <v>7283</v>
      </c>
      <c r="W426" s="2" t="s">
        <v>74</v>
      </c>
      <c r="X426" s="2" t="s">
        <v>74</v>
      </c>
      <c r="Y426" s="2" t="s">
        <v>74</v>
      </c>
      <c r="Z426" s="2" t="s">
        <v>74</v>
      </c>
      <c r="AA426" s="2" t="s">
        <v>7284</v>
      </c>
      <c r="AB426" s="2" t="s">
        <v>6078</v>
      </c>
      <c r="AC426" s="2" t="s">
        <v>74</v>
      </c>
      <c r="AD426" s="2" t="s">
        <v>74</v>
      </c>
      <c r="AE426" s="2" t="s">
        <v>74</v>
      </c>
      <c r="AF426" s="2" t="s">
        <v>74</v>
      </c>
      <c r="AG426" s="2" t="s">
        <v>74</v>
      </c>
      <c r="AH426" s="2" t="s">
        <v>74</v>
      </c>
      <c r="AI426" s="2" t="s">
        <v>74</v>
      </c>
      <c r="AJ426" s="2" t="s">
        <v>74</v>
      </c>
      <c r="AK426" s="2" t="s">
        <v>74</v>
      </c>
      <c r="AL426" s="2" t="s">
        <v>74</v>
      </c>
      <c r="AM426" s="2" t="s">
        <v>74</v>
      </c>
      <c r="AN426" s="2" t="s">
        <v>74</v>
      </c>
      <c r="AO426" s="2" t="s">
        <v>81</v>
      </c>
      <c r="AP426" s="2" t="s">
        <v>82</v>
      </c>
      <c r="AQ426" s="2" t="s">
        <v>74</v>
      </c>
      <c r="AR426" s="2" t="s">
        <v>74</v>
      </c>
      <c r="AS426" s="2" t="s">
        <v>74</v>
      </c>
      <c r="AT426" s="2" t="s">
        <v>74</v>
      </c>
      <c r="AU426" s="2">
        <v>2015</v>
      </c>
      <c r="AV426" s="2">
        <v>152</v>
      </c>
      <c r="AW426" s="2" t="s">
        <v>6362</v>
      </c>
      <c r="AX426" s="2" t="s">
        <v>74</v>
      </c>
      <c r="AY426" s="2" t="s">
        <v>74</v>
      </c>
      <c r="AZ426" s="2" t="s">
        <v>74</v>
      </c>
      <c r="BA426" s="2" t="s">
        <v>74</v>
      </c>
      <c r="BB426" s="2">
        <v>1769</v>
      </c>
      <c r="BC426" s="2">
        <v>1781</v>
      </c>
      <c r="BD426" s="2" t="s">
        <v>74</v>
      </c>
      <c r="BE426" s="2" t="s">
        <v>7285</v>
      </c>
      <c r="BF426" s="2" t="str">
        <f>HYPERLINK("http://dx.doi.org/10.1163/1568539X-00003303","http://dx.doi.org/10.1163/1568539X-00003303")</f>
        <v>http://dx.doi.org/10.1163/1568539X-00003303</v>
      </c>
      <c r="BG426" s="2" t="s">
        <v>74</v>
      </c>
      <c r="BH426" s="2" t="s">
        <v>74</v>
      </c>
      <c r="BI426" s="2" t="s">
        <v>74</v>
      </c>
      <c r="BJ426" s="2" t="s">
        <v>74</v>
      </c>
      <c r="BK426" s="2" t="s">
        <v>74</v>
      </c>
      <c r="BL426" s="2" t="s">
        <v>74</v>
      </c>
      <c r="BM426" s="2" t="s">
        <v>74</v>
      </c>
      <c r="BN426" s="2" t="s">
        <v>74</v>
      </c>
      <c r="BO426" s="2" t="s">
        <v>74</v>
      </c>
      <c r="BP426" s="2" t="s">
        <v>74</v>
      </c>
      <c r="BQ426" s="2" t="s">
        <v>74</v>
      </c>
      <c r="BR426" s="2" t="s">
        <v>74</v>
      </c>
      <c r="BS426" s="2" t="s">
        <v>7286</v>
      </c>
      <c r="BT426" s="2" t="str">
        <f>HYPERLINK("https%3A%2F%2Fwww.webofscience.com%2Fwos%2Fwoscc%2Ffull-record%2FWOS:000362911000009","View Full Record in Web of Science")</f>
        <v>View Full Record in Web of Science</v>
      </c>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row>
    <row r="427" spans="1:314" s="2" customFormat="1" x14ac:dyDescent="0.4">
      <c r="A427" s="2" t="s">
        <v>72</v>
      </c>
      <c r="B427" s="2" t="s">
        <v>3511</v>
      </c>
      <c r="C427" s="2" t="s">
        <v>74</v>
      </c>
      <c r="D427" s="2" t="s">
        <v>74</v>
      </c>
      <c r="E427" s="2" t="s">
        <v>74</v>
      </c>
      <c r="F427" s="2" t="s">
        <v>3511</v>
      </c>
      <c r="G427" s="2" t="s">
        <v>74</v>
      </c>
      <c r="H427" s="2" t="s">
        <v>74</v>
      </c>
      <c r="I427" s="2" t="s">
        <v>3512</v>
      </c>
      <c r="J427" s="2" t="s">
        <v>344</v>
      </c>
      <c r="K427" s="2" t="s">
        <v>74</v>
      </c>
      <c r="L427" s="2" t="s">
        <v>74</v>
      </c>
      <c r="M427" s="2" t="s">
        <v>74</v>
      </c>
      <c r="N427" s="2" t="s">
        <v>74</v>
      </c>
      <c r="O427" s="2" t="s">
        <v>74</v>
      </c>
      <c r="P427" s="2" t="s">
        <v>74</v>
      </c>
      <c r="Q427" s="2" t="s">
        <v>74</v>
      </c>
      <c r="R427" s="2" t="s">
        <v>74</v>
      </c>
      <c r="S427" s="2" t="s">
        <v>74</v>
      </c>
      <c r="T427" s="2" t="s">
        <v>74</v>
      </c>
      <c r="U427" s="2" t="s">
        <v>74</v>
      </c>
      <c r="V427" s="5" t="s">
        <v>3513</v>
      </c>
      <c r="W427" s="2" t="s">
        <v>74</v>
      </c>
      <c r="X427" s="2" t="s">
        <v>74</v>
      </c>
      <c r="Y427" s="2" t="s">
        <v>74</v>
      </c>
      <c r="Z427" s="2" t="s">
        <v>74</v>
      </c>
      <c r="AA427" s="2" t="s">
        <v>74</v>
      </c>
      <c r="AB427" s="2" t="s">
        <v>3514</v>
      </c>
      <c r="AC427" s="2" t="s">
        <v>74</v>
      </c>
      <c r="AD427" s="2" t="s">
        <v>74</v>
      </c>
      <c r="AE427" s="2" t="s">
        <v>74</v>
      </c>
      <c r="AF427" s="2" t="s">
        <v>74</v>
      </c>
      <c r="AG427" s="2" t="s">
        <v>74</v>
      </c>
      <c r="AH427" s="2" t="s">
        <v>74</v>
      </c>
      <c r="AI427" s="2" t="s">
        <v>74</v>
      </c>
      <c r="AJ427" s="2" t="s">
        <v>74</v>
      </c>
      <c r="AK427" s="2" t="s">
        <v>74</v>
      </c>
      <c r="AL427" s="2" t="s">
        <v>74</v>
      </c>
      <c r="AM427" s="2" t="s">
        <v>74</v>
      </c>
      <c r="AN427" s="2" t="s">
        <v>74</v>
      </c>
      <c r="AO427" s="2" t="s">
        <v>346</v>
      </c>
      <c r="AP427" s="2" t="s">
        <v>74</v>
      </c>
      <c r="AQ427" s="2" t="s">
        <v>74</v>
      </c>
      <c r="AR427" s="2" t="s">
        <v>74</v>
      </c>
      <c r="AS427" s="2" t="s">
        <v>74</v>
      </c>
      <c r="AT427" s="2" t="s">
        <v>145</v>
      </c>
      <c r="AU427" s="2">
        <v>2001</v>
      </c>
      <c r="AV427" s="2">
        <v>61</v>
      </c>
      <c r="AW427" s="2">
        <v>4</v>
      </c>
      <c r="AX427" s="2" t="s">
        <v>74</v>
      </c>
      <c r="AY427" s="2" t="s">
        <v>74</v>
      </c>
      <c r="AZ427" s="2" t="s">
        <v>74</v>
      </c>
      <c r="BA427" s="2" t="s">
        <v>74</v>
      </c>
      <c r="BB427" s="2">
        <v>419</v>
      </c>
      <c r="BC427" s="2">
        <v>426</v>
      </c>
      <c r="BD427" s="2" t="s">
        <v>74</v>
      </c>
      <c r="BE427" s="2" t="s">
        <v>3515</v>
      </c>
      <c r="BF427" s="2" t="str">
        <f>HYPERLINK("http://dx.doi.org/10.1023/A:1011658503017","http://dx.doi.org/10.1023/A:1011658503017")</f>
        <v>http://dx.doi.org/10.1023/A:1011658503017</v>
      </c>
      <c r="BG427" s="2" t="s">
        <v>74</v>
      </c>
      <c r="BH427" s="2" t="s">
        <v>74</v>
      </c>
      <c r="BI427" s="2" t="s">
        <v>74</v>
      </c>
      <c r="BJ427" s="2" t="s">
        <v>74</v>
      </c>
      <c r="BK427" s="2" t="s">
        <v>74</v>
      </c>
      <c r="BL427" s="2" t="s">
        <v>74</v>
      </c>
      <c r="BM427" s="2" t="s">
        <v>74</v>
      </c>
      <c r="BN427" s="2" t="s">
        <v>74</v>
      </c>
      <c r="BO427" s="2" t="s">
        <v>74</v>
      </c>
      <c r="BP427" s="2" t="s">
        <v>74</v>
      </c>
      <c r="BQ427" s="2" t="s">
        <v>74</v>
      </c>
      <c r="BR427" s="2" t="s">
        <v>74</v>
      </c>
      <c r="BS427" s="2" t="s">
        <v>3516</v>
      </c>
      <c r="BT427" s="2" t="str">
        <f>HYPERLINK("https%3A%2F%2Fwww.webofscience.com%2Fwos%2Fwoscc%2Ffull-record%2FWOS:000170725900008","View Full Record in Web of Science")</f>
        <v>View Full Record in Web of Science</v>
      </c>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row>
    <row r="428" spans="1:314" s="2" customFormat="1" x14ac:dyDescent="0.4">
      <c r="A428" s="2" t="s">
        <v>72</v>
      </c>
      <c r="B428" s="2" t="s">
        <v>2375</v>
      </c>
      <c r="C428" s="2" t="s">
        <v>74</v>
      </c>
      <c r="D428" s="2" t="s">
        <v>74</v>
      </c>
      <c r="E428" s="2" t="s">
        <v>74</v>
      </c>
      <c r="F428" s="2" t="s">
        <v>2376</v>
      </c>
      <c r="G428" s="2" t="s">
        <v>74</v>
      </c>
      <c r="H428" s="2" t="s">
        <v>74</v>
      </c>
      <c r="I428" s="2" t="s">
        <v>2377</v>
      </c>
      <c r="J428" s="2" t="s">
        <v>775</v>
      </c>
      <c r="K428" s="2" t="s">
        <v>74</v>
      </c>
      <c r="L428" s="2" t="s">
        <v>74</v>
      </c>
      <c r="M428" s="2" t="s">
        <v>74</v>
      </c>
      <c r="N428" s="2" t="s">
        <v>74</v>
      </c>
      <c r="O428" s="2" t="s">
        <v>74</v>
      </c>
      <c r="P428" s="2" t="s">
        <v>74</v>
      </c>
      <c r="Q428" s="2" t="s">
        <v>74</v>
      </c>
      <c r="R428" s="2" t="s">
        <v>74</v>
      </c>
      <c r="S428" s="2" t="s">
        <v>74</v>
      </c>
      <c r="T428" s="2" t="s">
        <v>74</v>
      </c>
      <c r="U428" s="2" t="s">
        <v>74</v>
      </c>
      <c r="V428" s="5" t="s">
        <v>2378</v>
      </c>
      <c r="W428" s="2" t="s">
        <v>74</v>
      </c>
      <c r="X428" s="2" t="s">
        <v>74</v>
      </c>
      <c r="Y428" s="2" t="s">
        <v>74</v>
      </c>
      <c r="Z428" s="2" t="s">
        <v>74</v>
      </c>
      <c r="AA428" s="2" t="s">
        <v>74</v>
      </c>
      <c r="AB428" s="2" t="s">
        <v>74</v>
      </c>
      <c r="AC428" s="2" t="s">
        <v>74</v>
      </c>
      <c r="AD428" s="2" t="s">
        <v>74</v>
      </c>
      <c r="AE428" s="2" t="s">
        <v>74</v>
      </c>
      <c r="AF428" s="2" t="s">
        <v>74</v>
      </c>
      <c r="AG428" s="2" t="s">
        <v>74</v>
      </c>
      <c r="AH428" s="2" t="s">
        <v>74</v>
      </c>
      <c r="AI428" s="2" t="s">
        <v>74</v>
      </c>
      <c r="AJ428" s="2" t="s">
        <v>74</v>
      </c>
      <c r="AK428" s="2" t="s">
        <v>74</v>
      </c>
      <c r="AL428" s="2" t="s">
        <v>74</v>
      </c>
      <c r="AM428" s="2" t="s">
        <v>74</v>
      </c>
      <c r="AN428" s="2" t="s">
        <v>74</v>
      </c>
      <c r="AO428" s="2" t="s">
        <v>778</v>
      </c>
      <c r="AP428" s="2" t="s">
        <v>779</v>
      </c>
      <c r="AQ428" s="2" t="s">
        <v>74</v>
      </c>
      <c r="AR428" s="2" t="s">
        <v>74</v>
      </c>
      <c r="AS428" s="2" t="s">
        <v>74</v>
      </c>
      <c r="AT428" s="2" t="s">
        <v>102</v>
      </c>
      <c r="AU428" s="2">
        <v>2019</v>
      </c>
      <c r="AV428" s="2">
        <v>65</v>
      </c>
      <c r="AW428" s="2">
        <v>3</v>
      </c>
      <c r="AX428" s="2" t="s">
        <v>74</v>
      </c>
      <c r="AY428" s="2" t="s">
        <v>74</v>
      </c>
      <c r="AZ428" s="2" t="s">
        <v>74</v>
      </c>
      <c r="BA428" s="2" t="s">
        <v>74</v>
      </c>
      <c r="BB428" s="2">
        <v>323</v>
      </c>
      <c r="BC428" s="2">
        <v>332</v>
      </c>
      <c r="BD428" s="2" t="s">
        <v>74</v>
      </c>
      <c r="BE428" s="2" t="s">
        <v>2379</v>
      </c>
      <c r="BF428" s="2" t="str">
        <f>HYPERLINK("http://dx.doi.org/10.1093/cz/zoz029","http://dx.doi.org/10.1093/cz/zoz029")</f>
        <v>http://dx.doi.org/10.1093/cz/zoz029</v>
      </c>
      <c r="BG428" s="2" t="s">
        <v>74</v>
      </c>
      <c r="BH428" s="2" t="s">
        <v>74</v>
      </c>
      <c r="BI428" s="2" t="s">
        <v>74</v>
      </c>
      <c r="BJ428" s="2" t="s">
        <v>74</v>
      </c>
      <c r="BK428" s="2" t="s">
        <v>74</v>
      </c>
      <c r="BL428" s="2" t="s">
        <v>74</v>
      </c>
      <c r="BM428" s="2" t="s">
        <v>74</v>
      </c>
      <c r="BN428" s="2">
        <v>31263491</v>
      </c>
      <c r="BO428" s="2" t="s">
        <v>74</v>
      </c>
      <c r="BP428" s="2" t="s">
        <v>74</v>
      </c>
      <c r="BQ428" s="2" t="s">
        <v>74</v>
      </c>
      <c r="BR428" s="2" t="s">
        <v>74</v>
      </c>
      <c r="BS428" s="2" t="s">
        <v>2380</v>
      </c>
      <c r="BT428" s="2" t="str">
        <f>HYPERLINK("https%3A%2F%2Fwww.webofscience.com%2Fwos%2Fwoscc%2Ffull-record%2FWOS:000475905500012","View Full Record in Web of Science")</f>
        <v>View Full Record in Web of Science</v>
      </c>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row>
    <row r="429" spans="1:314" s="2" customFormat="1" x14ac:dyDescent="0.4">
      <c r="A429" s="2" t="s">
        <v>72</v>
      </c>
      <c r="B429" s="2" t="s">
        <v>7445</v>
      </c>
      <c r="C429" s="2" t="s">
        <v>74</v>
      </c>
      <c r="D429" s="2" t="s">
        <v>74</v>
      </c>
      <c r="E429" s="2" t="s">
        <v>74</v>
      </c>
      <c r="F429" s="2" t="s">
        <v>7446</v>
      </c>
      <c r="G429" s="2" t="s">
        <v>74</v>
      </c>
      <c r="H429" s="2" t="s">
        <v>74</v>
      </c>
      <c r="I429" s="2" t="s">
        <v>7447</v>
      </c>
      <c r="J429" s="2" t="s">
        <v>6226</v>
      </c>
      <c r="K429" s="2" t="s">
        <v>74</v>
      </c>
      <c r="L429" s="2" t="s">
        <v>74</v>
      </c>
      <c r="M429" s="2" t="s">
        <v>74</v>
      </c>
      <c r="N429" s="2" t="s">
        <v>74</v>
      </c>
      <c r="O429" s="2" t="s">
        <v>74</v>
      </c>
      <c r="P429" s="2" t="s">
        <v>74</v>
      </c>
      <c r="Q429" s="2" t="s">
        <v>74</v>
      </c>
      <c r="R429" s="2" t="s">
        <v>74</v>
      </c>
      <c r="S429" s="2" t="s">
        <v>74</v>
      </c>
      <c r="T429" s="2" t="s">
        <v>74</v>
      </c>
      <c r="U429" s="2" t="s">
        <v>74</v>
      </c>
      <c r="V429" s="5" t="s">
        <v>7448</v>
      </c>
      <c r="W429" s="2" t="s">
        <v>74</v>
      </c>
      <c r="X429" s="2" t="s">
        <v>74</v>
      </c>
      <c r="Y429" s="2" t="s">
        <v>74</v>
      </c>
      <c r="Z429" s="2" t="s">
        <v>74</v>
      </c>
      <c r="AA429" s="2" t="s">
        <v>74</v>
      </c>
      <c r="AB429" s="2" t="s">
        <v>74</v>
      </c>
      <c r="AC429" s="2" t="s">
        <v>74</v>
      </c>
      <c r="AD429" s="2" t="s">
        <v>74</v>
      </c>
      <c r="AE429" s="2" t="s">
        <v>74</v>
      </c>
      <c r="AF429" s="2" t="s">
        <v>74</v>
      </c>
      <c r="AG429" s="2" t="s">
        <v>74</v>
      </c>
      <c r="AH429" s="2" t="s">
        <v>74</v>
      </c>
      <c r="AI429" s="2" t="s">
        <v>74</v>
      </c>
      <c r="AJ429" s="2" t="s">
        <v>74</v>
      </c>
      <c r="AK429" s="2" t="s">
        <v>74</v>
      </c>
      <c r="AL429" s="2" t="s">
        <v>74</v>
      </c>
      <c r="AM429" s="2" t="s">
        <v>74</v>
      </c>
      <c r="AN429" s="2" t="s">
        <v>74</v>
      </c>
      <c r="AO429" s="2" t="s">
        <v>6228</v>
      </c>
      <c r="AP429" s="2" t="s">
        <v>6229</v>
      </c>
      <c r="AQ429" s="2" t="s">
        <v>74</v>
      </c>
      <c r="AR429" s="2" t="s">
        <v>74</v>
      </c>
      <c r="AS429" s="2" t="s">
        <v>74</v>
      </c>
      <c r="AT429" s="2" t="s">
        <v>2177</v>
      </c>
      <c r="AU429" s="2">
        <v>2022</v>
      </c>
      <c r="AV429" s="2">
        <v>61</v>
      </c>
      <c r="AW429" s="2" t="s">
        <v>74</v>
      </c>
      <c r="AX429" s="2" t="s">
        <v>74</v>
      </c>
      <c r="AY429" s="2" t="s">
        <v>74</v>
      </c>
      <c r="AZ429" s="2" t="s">
        <v>74</v>
      </c>
      <c r="BA429" s="2" t="s">
        <v>74</v>
      </c>
      <c r="BB429" s="2" t="s">
        <v>74</v>
      </c>
      <c r="BC429" s="2" t="s">
        <v>74</v>
      </c>
      <c r="BD429" s="2">
        <v>76</v>
      </c>
      <c r="BE429" s="2" t="s">
        <v>7449</v>
      </c>
      <c r="BF429" s="2" t="str">
        <f>HYPERLINK("http://dx.doi.org/10.6620/ZS.2022.61-76","http://dx.doi.org/10.6620/ZS.2022.61-76")</f>
        <v>http://dx.doi.org/10.6620/ZS.2022.61-76</v>
      </c>
      <c r="BG429" s="2" t="s">
        <v>74</v>
      </c>
      <c r="BH429" s="2" t="s">
        <v>74</v>
      </c>
      <c r="BI429" s="2" t="s">
        <v>74</v>
      </c>
      <c r="BJ429" s="2" t="s">
        <v>74</v>
      </c>
      <c r="BK429" s="2" t="s">
        <v>74</v>
      </c>
      <c r="BL429" s="2" t="s">
        <v>74</v>
      </c>
      <c r="BM429" s="2" t="s">
        <v>74</v>
      </c>
      <c r="BN429" s="2">
        <v>37007821</v>
      </c>
      <c r="BO429" s="2" t="s">
        <v>74</v>
      </c>
      <c r="BP429" s="2" t="s">
        <v>74</v>
      </c>
      <c r="BQ429" s="2" t="s">
        <v>74</v>
      </c>
      <c r="BR429" s="2" t="s">
        <v>74</v>
      </c>
      <c r="BS429" s="2" t="s">
        <v>7450</v>
      </c>
      <c r="BT429" s="2" t="str">
        <f>HYPERLINK("https%3A%2F%2Fwww.webofscience.com%2Fwos%2Fwoscc%2Ffull-record%2FWOS:001026426500001","View Full Record in Web of Science")</f>
        <v>View Full Record in Web of Science</v>
      </c>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row>
    <row r="430" spans="1:314" s="2" customFormat="1" x14ac:dyDescent="0.4">
      <c r="A430" s="2" t="s">
        <v>72</v>
      </c>
      <c r="B430" s="2" t="s">
        <v>8149</v>
      </c>
      <c r="C430" s="2" t="s">
        <v>74</v>
      </c>
      <c r="D430" s="2" t="s">
        <v>74</v>
      </c>
      <c r="E430" s="2" t="s">
        <v>74</v>
      </c>
      <c r="F430" s="2" t="s">
        <v>8149</v>
      </c>
      <c r="G430" s="2" t="s">
        <v>74</v>
      </c>
      <c r="H430" s="2" t="s">
        <v>74</v>
      </c>
      <c r="I430" s="2" t="s">
        <v>8150</v>
      </c>
      <c r="J430" s="2" t="s">
        <v>129</v>
      </c>
      <c r="K430" s="2" t="s">
        <v>74</v>
      </c>
      <c r="L430" s="2" t="s">
        <v>74</v>
      </c>
      <c r="M430" s="2" t="s">
        <v>74</v>
      </c>
      <c r="N430" s="2" t="s">
        <v>74</v>
      </c>
      <c r="O430" s="2" t="s">
        <v>74</v>
      </c>
      <c r="P430" s="2" t="s">
        <v>74</v>
      </c>
      <c r="Q430" s="2" t="s">
        <v>74</v>
      </c>
      <c r="R430" s="2" t="s">
        <v>74</v>
      </c>
      <c r="S430" s="2" t="s">
        <v>74</v>
      </c>
      <c r="T430" s="2" t="s">
        <v>74</v>
      </c>
      <c r="U430" s="2" t="s">
        <v>74</v>
      </c>
      <c r="V430" s="5" t="s">
        <v>8151</v>
      </c>
      <c r="W430" s="2" t="s">
        <v>74</v>
      </c>
      <c r="X430" s="2" t="s">
        <v>74</v>
      </c>
      <c r="Y430" s="2" t="s">
        <v>74</v>
      </c>
      <c r="Z430" s="2" t="s">
        <v>74</v>
      </c>
      <c r="AA430" s="2" t="s">
        <v>8152</v>
      </c>
      <c r="AB430" s="2" t="s">
        <v>8153</v>
      </c>
      <c r="AC430" s="2" t="s">
        <v>74</v>
      </c>
      <c r="AD430" s="2" t="s">
        <v>74</v>
      </c>
      <c r="AE430" s="2" t="s">
        <v>74</v>
      </c>
      <c r="AF430" s="2" t="s">
        <v>74</v>
      </c>
      <c r="AG430" s="2" t="s">
        <v>74</v>
      </c>
      <c r="AH430" s="2" t="s">
        <v>74</v>
      </c>
      <c r="AI430" s="2" t="s">
        <v>74</v>
      </c>
      <c r="AJ430" s="2" t="s">
        <v>74</v>
      </c>
      <c r="AK430" s="2" t="s">
        <v>74</v>
      </c>
      <c r="AL430" s="2" t="s">
        <v>74</v>
      </c>
      <c r="AM430" s="2" t="s">
        <v>74</v>
      </c>
      <c r="AN430" s="2" t="s">
        <v>74</v>
      </c>
      <c r="AO430" s="2" t="s">
        <v>132</v>
      </c>
      <c r="AP430" s="2" t="s">
        <v>74</v>
      </c>
      <c r="AQ430" s="2" t="s">
        <v>74</v>
      </c>
      <c r="AR430" s="2" t="s">
        <v>74</v>
      </c>
      <c r="AS430" s="2" t="s">
        <v>74</v>
      </c>
      <c r="AT430" s="2" t="s">
        <v>175</v>
      </c>
      <c r="AU430" s="2">
        <v>1999</v>
      </c>
      <c r="AV430" s="2">
        <v>46</v>
      </c>
      <c r="AW430" s="2">
        <v>5</v>
      </c>
      <c r="AX430" s="2" t="s">
        <v>74</v>
      </c>
      <c r="AY430" s="2" t="s">
        <v>74</v>
      </c>
      <c r="AZ430" s="2" t="s">
        <v>74</v>
      </c>
      <c r="BA430" s="2" t="s">
        <v>74</v>
      </c>
      <c r="BB430" s="2">
        <v>333</v>
      </c>
      <c r="BC430" s="2">
        <v>340</v>
      </c>
      <c r="BD430" s="2" t="s">
        <v>74</v>
      </c>
      <c r="BE430" s="2" t="s">
        <v>8154</v>
      </c>
      <c r="BF430" s="2" t="str">
        <f>HYPERLINK("http://dx.doi.org/10.1007/s002650050627","http://dx.doi.org/10.1007/s002650050627")</f>
        <v>http://dx.doi.org/10.1007/s002650050627</v>
      </c>
      <c r="BG430" s="2" t="s">
        <v>74</v>
      </c>
      <c r="BH430" s="2" t="s">
        <v>74</v>
      </c>
      <c r="BI430" s="2" t="s">
        <v>74</v>
      </c>
      <c r="BJ430" s="2" t="s">
        <v>74</v>
      </c>
      <c r="BK430" s="2" t="s">
        <v>74</v>
      </c>
      <c r="BL430" s="2" t="s">
        <v>74</v>
      </c>
      <c r="BM430" s="2" t="s">
        <v>74</v>
      </c>
      <c r="BN430" s="2" t="s">
        <v>74</v>
      </c>
      <c r="BO430" s="2" t="s">
        <v>74</v>
      </c>
      <c r="BP430" s="2" t="s">
        <v>74</v>
      </c>
      <c r="BQ430" s="2" t="s">
        <v>74</v>
      </c>
      <c r="BR430" s="2" t="s">
        <v>74</v>
      </c>
      <c r="BS430" s="2" t="s">
        <v>8155</v>
      </c>
      <c r="BT430" s="2" t="str">
        <f>HYPERLINK("https%3A%2F%2Fwww.webofscience.com%2Fwos%2Fwoscc%2Ffull-record%2FWOS:000083089800006","View Full Record in Web of Science")</f>
        <v>View Full Record in Web of Science</v>
      </c>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row>
    <row r="431" spans="1:314" s="2" customFormat="1" x14ac:dyDescent="0.4">
      <c r="A431" s="2" t="s">
        <v>72</v>
      </c>
      <c r="B431" s="2" t="s">
        <v>1060</v>
      </c>
      <c r="C431" s="2" t="s">
        <v>74</v>
      </c>
      <c r="D431" s="2" t="s">
        <v>74</v>
      </c>
      <c r="E431" s="2" t="s">
        <v>74</v>
      </c>
      <c r="F431" s="2" t="s">
        <v>1061</v>
      </c>
      <c r="G431" s="2" t="s">
        <v>74</v>
      </c>
      <c r="H431" s="2" t="s">
        <v>74</v>
      </c>
      <c r="I431" s="2" t="s">
        <v>1062</v>
      </c>
      <c r="J431" s="2" t="s">
        <v>654</v>
      </c>
      <c r="K431" s="2" t="s">
        <v>74</v>
      </c>
      <c r="L431" s="2" t="s">
        <v>74</v>
      </c>
      <c r="M431" s="2" t="s">
        <v>74</v>
      </c>
      <c r="N431" s="2" t="s">
        <v>74</v>
      </c>
      <c r="O431" s="2" t="s">
        <v>74</v>
      </c>
      <c r="P431" s="2" t="s">
        <v>74</v>
      </c>
      <c r="Q431" s="2" t="s">
        <v>74</v>
      </c>
      <c r="R431" s="2" t="s">
        <v>74</v>
      </c>
      <c r="S431" s="2" t="s">
        <v>74</v>
      </c>
      <c r="T431" s="2" t="s">
        <v>74</v>
      </c>
      <c r="U431" s="2" t="s">
        <v>74</v>
      </c>
      <c r="V431" s="5" t="s">
        <v>1063</v>
      </c>
      <c r="W431" s="2" t="s">
        <v>74</v>
      </c>
      <c r="X431" s="2" t="s">
        <v>74</v>
      </c>
      <c r="Y431" s="2" t="s">
        <v>74</v>
      </c>
      <c r="Z431" s="2" t="s">
        <v>74</v>
      </c>
      <c r="AA431" s="2" t="s">
        <v>1064</v>
      </c>
      <c r="AB431" s="2" t="s">
        <v>1065</v>
      </c>
      <c r="AC431" s="2" t="s">
        <v>74</v>
      </c>
      <c r="AD431" s="2" t="s">
        <v>74</v>
      </c>
      <c r="AE431" s="2" t="s">
        <v>74</v>
      </c>
      <c r="AF431" s="2" t="s">
        <v>74</v>
      </c>
      <c r="AG431" s="2" t="s">
        <v>74</v>
      </c>
      <c r="AH431" s="2" t="s">
        <v>74</v>
      </c>
      <c r="AI431" s="2" t="s">
        <v>74</v>
      </c>
      <c r="AJ431" s="2" t="s">
        <v>74</v>
      </c>
      <c r="AK431" s="2" t="s">
        <v>74</v>
      </c>
      <c r="AL431" s="2" t="s">
        <v>74</v>
      </c>
      <c r="AM431" s="2" t="s">
        <v>74</v>
      </c>
      <c r="AN431" s="2" t="s">
        <v>74</v>
      </c>
      <c r="AO431" s="2" t="s">
        <v>658</v>
      </c>
      <c r="AP431" s="2" t="s">
        <v>74</v>
      </c>
      <c r="AQ431" s="2" t="s">
        <v>74</v>
      </c>
      <c r="AR431" s="2" t="s">
        <v>74</v>
      </c>
      <c r="AS431" s="2" t="s">
        <v>74</v>
      </c>
      <c r="AT431" s="2" t="s">
        <v>352</v>
      </c>
      <c r="AU431" s="2">
        <v>2020</v>
      </c>
      <c r="AV431" s="2">
        <v>10</v>
      </c>
      <c r="AW431" s="2">
        <v>18</v>
      </c>
      <c r="AX431" s="2" t="s">
        <v>74</v>
      </c>
      <c r="AY431" s="2" t="s">
        <v>74</v>
      </c>
      <c r="AZ431" s="2" t="s">
        <v>74</v>
      </c>
      <c r="BA431" s="2" t="s">
        <v>74</v>
      </c>
      <c r="BB431" s="2">
        <v>9663</v>
      </c>
      <c r="BC431" s="2">
        <v>9681</v>
      </c>
      <c r="BD431" s="2" t="s">
        <v>74</v>
      </c>
      <c r="BE431" s="2" t="s">
        <v>1066</v>
      </c>
      <c r="BF431" s="2" t="str">
        <f>HYPERLINK("http://dx.doi.org/10.1002/ece3.6566","http://dx.doi.org/10.1002/ece3.6566")</f>
        <v>http://dx.doi.org/10.1002/ece3.6566</v>
      </c>
      <c r="BG431" s="2" t="s">
        <v>74</v>
      </c>
      <c r="BH431" s="2" t="s">
        <v>1067</v>
      </c>
      <c r="BI431" s="2" t="s">
        <v>74</v>
      </c>
      <c r="BJ431" s="2" t="s">
        <v>74</v>
      </c>
      <c r="BK431" s="2" t="s">
        <v>74</v>
      </c>
      <c r="BL431" s="2" t="s">
        <v>74</v>
      </c>
      <c r="BM431" s="2" t="s">
        <v>74</v>
      </c>
      <c r="BN431" s="2">
        <v>33005338</v>
      </c>
      <c r="BO431" s="2" t="s">
        <v>74</v>
      </c>
      <c r="BP431" s="2" t="s">
        <v>74</v>
      </c>
      <c r="BQ431" s="2" t="s">
        <v>74</v>
      </c>
      <c r="BR431" s="2" t="s">
        <v>74</v>
      </c>
      <c r="BS431" s="2" t="s">
        <v>1068</v>
      </c>
      <c r="BT431" s="2" t="str">
        <f>HYPERLINK("https%3A%2F%2Fwww.webofscience.com%2Fwos%2Fwoscc%2Ffull-record%2FWOS:000565433500001","View Full Record in Web of Science")</f>
        <v>View Full Record in Web of Science</v>
      </c>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row>
    <row r="432" spans="1:314" s="2" customFormat="1" x14ac:dyDescent="0.4">
      <c r="A432" s="2" t="s">
        <v>72</v>
      </c>
      <c r="B432" s="2" t="s">
        <v>2712</v>
      </c>
      <c r="C432" s="2" t="s">
        <v>74</v>
      </c>
      <c r="D432" s="2" t="s">
        <v>74</v>
      </c>
      <c r="E432" s="2" t="s">
        <v>74</v>
      </c>
      <c r="F432" s="2" t="s">
        <v>2713</v>
      </c>
      <c r="G432" s="2" t="s">
        <v>74</v>
      </c>
      <c r="H432" s="2" t="s">
        <v>74</v>
      </c>
      <c r="I432" s="2" t="s">
        <v>2714</v>
      </c>
      <c r="J432" s="2" t="s">
        <v>129</v>
      </c>
      <c r="K432" s="2" t="s">
        <v>74</v>
      </c>
      <c r="L432" s="2" t="s">
        <v>74</v>
      </c>
      <c r="M432" s="2" t="s">
        <v>74</v>
      </c>
      <c r="N432" s="2" t="s">
        <v>74</v>
      </c>
      <c r="O432" s="2" t="s">
        <v>74</v>
      </c>
      <c r="P432" s="2" t="s">
        <v>74</v>
      </c>
      <c r="Q432" s="2" t="s">
        <v>74</v>
      </c>
      <c r="R432" s="2" t="s">
        <v>74</v>
      </c>
      <c r="S432" s="2" t="s">
        <v>74</v>
      </c>
      <c r="T432" s="2" t="s">
        <v>74</v>
      </c>
      <c r="U432" s="2" t="s">
        <v>74</v>
      </c>
      <c r="V432" s="5" t="s">
        <v>2715</v>
      </c>
      <c r="W432" s="2" t="s">
        <v>74</v>
      </c>
      <c r="X432" s="2" t="s">
        <v>74</v>
      </c>
      <c r="Y432" s="2" t="s">
        <v>74</v>
      </c>
      <c r="Z432" s="2" t="s">
        <v>74</v>
      </c>
      <c r="AA432" s="2" t="s">
        <v>2716</v>
      </c>
      <c r="AB432" s="2" t="s">
        <v>2717</v>
      </c>
      <c r="AC432" s="2" t="s">
        <v>74</v>
      </c>
      <c r="AD432" s="2" t="s">
        <v>74</v>
      </c>
      <c r="AE432" s="2" t="s">
        <v>74</v>
      </c>
      <c r="AF432" s="2" t="s">
        <v>74</v>
      </c>
      <c r="AG432" s="2" t="s">
        <v>74</v>
      </c>
      <c r="AH432" s="2" t="s">
        <v>74</v>
      </c>
      <c r="AI432" s="2" t="s">
        <v>74</v>
      </c>
      <c r="AJ432" s="2" t="s">
        <v>74</v>
      </c>
      <c r="AK432" s="2" t="s">
        <v>74</v>
      </c>
      <c r="AL432" s="2" t="s">
        <v>74</v>
      </c>
      <c r="AM432" s="2" t="s">
        <v>74</v>
      </c>
      <c r="AN432" s="2" t="s">
        <v>74</v>
      </c>
      <c r="AO432" s="2" t="s">
        <v>132</v>
      </c>
      <c r="AP432" s="2" t="s">
        <v>133</v>
      </c>
      <c r="AQ432" s="2" t="s">
        <v>74</v>
      </c>
      <c r="AR432" s="2" t="s">
        <v>74</v>
      </c>
      <c r="AS432" s="2" t="s">
        <v>74</v>
      </c>
      <c r="AT432" s="2" t="s">
        <v>255</v>
      </c>
      <c r="AU432" s="2">
        <v>2016</v>
      </c>
      <c r="AV432" s="2">
        <v>70</v>
      </c>
      <c r="AW432" s="2">
        <v>1</v>
      </c>
      <c r="AX432" s="2" t="s">
        <v>74</v>
      </c>
      <c r="AY432" s="2" t="s">
        <v>74</v>
      </c>
      <c r="AZ432" s="2" t="s">
        <v>74</v>
      </c>
      <c r="BA432" s="2" t="s">
        <v>74</v>
      </c>
      <c r="BB432" s="2">
        <v>83</v>
      </c>
      <c r="BC432" s="2">
        <v>97</v>
      </c>
      <c r="BD432" s="2" t="s">
        <v>74</v>
      </c>
      <c r="BE432" s="2" t="s">
        <v>2718</v>
      </c>
      <c r="BF432" s="2" t="str">
        <f>HYPERLINK("http://dx.doi.org/10.1007/s00265-015-2027-5","http://dx.doi.org/10.1007/s00265-015-2027-5")</f>
        <v>http://dx.doi.org/10.1007/s00265-015-2027-5</v>
      </c>
      <c r="BG432" s="2" t="s">
        <v>74</v>
      </c>
      <c r="BH432" s="2" t="s">
        <v>74</v>
      </c>
      <c r="BI432" s="2" t="s">
        <v>74</v>
      </c>
      <c r="BJ432" s="2" t="s">
        <v>74</v>
      </c>
      <c r="BK432" s="2" t="s">
        <v>74</v>
      </c>
      <c r="BL432" s="2" t="s">
        <v>74</v>
      </c>
      <c r="BM432" s="2" t="s">
        <v>74</v>
      </c>
      <c r="BN432" s="2" t="s">
        <v>74</v>
      </c>
      <c r="BO432" s="2" t="s">
        <v>74</v>
      </c>
      <c r="BP432" s="2" t="s">
        <v>74</v>
      </c>
      <c r="BQ432" s="2" t="s">
        <v>74</v>
      </c>
      <c r="BR432" s="2" t="s">
        <v>74</v>
      </c>
      <c r="BS432" s="2" t="s">
        <v>2719</v>
      </c>
      <c r="BT432" s="2" t="str">
        <f>HYPERLINK("https%3A%2F%2Fwww.webofscience.com%2Fwos%2Fwoscc%2Ffull-record%2FWOS:000367686200008","View Full Record in Web of Science")</f>
        <v>View Full Record in Web of Science</v>
      </c>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row>
    <row r="433" spans="1:314" s="2" customFormat="1" x14ac:dyDescent="0.4">
      <c r="A433" s="2" t="s">
        <v>72</v>
      </c>
      <c r="B433" s="2" t="s">
        <v>4361</v>
      </c>
      <c r="C433" s="2" t="s">
        <v>74</v>
      </c>
      <c r="D433" s="2" t="s">
        <v>74</v>
      </c>
      <c r="E433" s="2" t="s">
        <v>74</v>
      </c>
      <c r="F433" s="2" t="s">
        <v>4362</v>
      </c>
      <c r="G433" s="2" t="s">
        <v>74</v>
      </c>
      <c r="H433" s="2" t="s">
        <v>74</v>
      </c>
      <c r="I433" s="2" t="s">
        <v>4363</v>
      </c>
      <c r="J433" s="2" t="s">
        <v>4364</v>
      </c>
      <c r="K433" s="2" t="s">
        <v>74</v>
      </c>
      <c r="L433" s="2" t="s">
        <v>74</v>
      </c>
      <c r="M433" s="2" t="s">
        <v>74</v>
      </c>
      <c r="N433" s="2" t="s">
        <v>74</v>
      </c>
      <c r="O433" s="2" t="s">
        <v>74</v>
      </c>
      <c r="P433" s="2" t="s">
        <v>74</v>
      </c>
      <c r="Q433" s="2" t="s">
        <v>74</v>
      </c>
      <c r="R433" s="2" t="s">
        <v>74</v>
      </c>
      <c r="S433" s="2" t="s">
        <v>74</v>
      </c>
      <c r="T433" s="2" t="s">
        <v>74</v>
      </c>
      <c r="U433" s="2" t="s">
        <v>74</v>
      </c>
      <c r="V433" s="5" t="s">
        <v>4365</v>
      </c>
      <c r="W433" s="2" t="s">
        <v>74</v>
      </c>
      <c r="X433" s="2" t="s">
        <v>74</v>
      </c>
      <c r="Y433" s="2" t="s">
        <v>74</v>
      </c>
      <c r="Z433" s="2" t="s">
        <v>74</v>
      </c>
      <c r="AA433" s="2" t="s">
        <v>4366</v>
      </c>
      <c r="AB433" s="2" t="s">
        <v>4367</v>
      </c>
      <c r="AC433" s="2" t="s">
        <v>74</v>
      </c>
      <c r="AD433" s="2" t="s">
        <v>74</v>
      </c>
      <c r="AE433" s="2" t="s">
        <v>74</v>
      </c>
      <c r="AF433" s="2" t="s">
        <v>74</v>
      </c>
      <c r="AG433" s="2" t="s">
        <v>74</v>
      </c>
      <c r="AH433" s="2" t="s">
        <v>74</v>
      </c>
      <c r="AI433" s="2" t="s">
        <v>74</v>
      </c>
      <c r="AJ433" s="2" t="s">
        <v>74</v>
      </c>
      <c r="AK433" s="2" t="s">
        <v>74</v>
      </c>
      <c r="AL433" s="2" t="s">
        <v>74</v>
      </c>
      <c r="AM433" s="2" t="s">
        <v>74</v>
      </c>
      <c r="AN433" s="2" t="s">
        <v>74</v>
      </c>
      <c r="AO433" s="2" t="s">
        <v>4368</v>
      </c>
      <c r="AP433" s="2" t="s">
        <v>4369</v>
      </c>
      <c r="AQ433" s="2" t="s">
        <v>74</v>
      </c>
      <c r="AR433" s="2" t="s">
        <v>74</v>
      </c>
      <c r="AS433" s="2" t="s">
        <v>74</v>
      </c>
      <c r="AT433" s="2" t="s">
        <v>4370</v>
      </c>
      <c r="AU433" s="2">
        <v>2009</v>
      </c>
      <c r="AV433" s="2">
        <v>46</v>
      </c>
      <c r="AW433" s="2">
        <v>4</v>
      </c>
      <c r="AX433" s="2" t="s">
        <v>74</v>
      </c>
      <c r="AY433" s="2" t="s">
        <v>74</v>
      </c>
      <c r="AZ433" s="2" t="s">
        <v>74</v>
      </c>
      <c r="BA433" s="2" t="s">
        <v>74</v>
      </c>
      <c r="BB433" s="2">
        <v>271</v>
      </c>
      <c r="BC433" s="2">
        <v>282</v>
      </c>
      <c r="BD433" s="2" t="s">
        <v>74</v>
      </c>
      <c r="BE433" s="2" t="s">
        <v>4371</v>
      </c>
      <c r="BF433" s="2" t="str">
        <f>HYPERLINK("http://dx.doi.org/10.5735/086.046.0404","http://dx.doi.org/10.5735/086.046.0404")</f>
        <v>http://dx.doi.org/10.5735/086.046.0404</v>
      </c>
      <c r="BG433" s="2" t="s">
        <v>74</v>
      </c>
      <c r="BH433" s="2" t="s">
        <v>74</v>
      </c>
      <c r="BI433" s="2" t="s">
        <v>74</v>
      </c>
      <c r="BJ433" s="2" t="s">
        <v>74</v>
      </c>
      <c r="BK433" s="2" t="s">
        <v>74</v>
      </c>
      <c r="BL433" s="2" t="s">
        <v>74</v>
      </c>
      <c r="BM433" s="2" t="s">
        <v>74</v>
      </c>
      <c r="BN433" s="2" t="s">
        <v>74</v>
      </c>
      <c r="BO433" s="2" t="s">
        <v>74</v>
      </c>
      <c r="BP433" s="2" t="s">
        <v>74</v>
      </c>
      <c r="BQ433" s="2" t="s">
        <v>74</v>
      </c>
      <c r="BR433" s="2" t="s">
        <v>74</v>
      </c>
      <c r="BS433" s="2" t="s">
        <v>4372</v>
      </c>
      <c r="BT433" s="2" t="str">
        <f>HYPERLINK("https%3A%2F%2Fwww.webofscience.com%2Fwos%2Fwoscc%2Ffull-record%2FWOS:000269935900004","View Full Record in Web of Science")</f>
        <v>View Full Record in Web of Science</v>
      </c>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row>
    <row r="434" spans="1:314" s="2" customFormat="1" x14ac:dyDescent="0.4">
      <c r="A434" s="2" t="s">
        <v>72</v>
      </c>
      <c r="B434" s="2" t="s">
        <v>1256</v>
      </c>
      <c r="C434" s="2" t="s">
        <v>74</v>
      </c>
      <c r="D434" s="2" t="s">
        <v>74</v>
      </c>
      <c r="E434" s="2" t="s">
        <v>74</v>
      </c>
      <c r="F434" s="2" t="s">
        <v>1257</v>
      </c>
      <c r="G434" s="2" t="s">
        <v>74</v>
      </c>
      <c r="H434" s="2" t="s">
        <v>74</v>
      </c>
      <c r="I434" s="2" t="s">
        <v>1258</v>
      </c>
      <c r="J434" s="2" t="s">
        <v>333</v>
      </c>
      <c r="K434" s="2" t="s">
        <v>74</v>
      </c>
      <c r="L434" s="2" t="s">
        <v>74</v>
      </c>
      <c r="M434" s="2" t="s">
        <v>74</v>
      </c>
      <c r="N434" s="2" t="s">
        <v>74</v>
      </c>
      <c r="O434" s="2" t="s">
        <v>74</v>
      </c>
      <c r="P434" s="2" t="s">
        <v>74</v>
      </c>
      <c r="Q434" s="2" t="s">
        <v>74</v>
      </c>
      <c r="R434" s="2" t="s">
        <v>74</v>
      </c>
      <c r="S434" s="2" t="s">
        <v>74</v>
      </c>
      <c r="T434" s="2" t="s">
        <v>74</v>
      </c>
      <c r="U434" s="2" t="s">
        <v>74</v>
      </c>
      <c r="V434" s="5" t="s">
        <v>1259</v>
      </c>
      <c r="W434" s="2" t="s">
        <v>74</v>
      </c>
      <c r="X434" s="2" t="s">
        <v>74</v>
      </c>
      <c r="Y434" s="2" t="s">
        <v>74</v>
      </c>
      <c r="Z434" s="2" t="s">
        <v>74</v>
      </c>
      <c r="AA434" s="2" t="s">
        <v>1260</v>
      </c>
      <c r="AB434" s="2" t="s">
        <v>1261</v>
      </c>
      <c r="AC434" s="2" t="s">
        <v>74</v>
      </c>
      <c r="AD434" s="2" t="s">
        <v>74</v>
      </c>
      <c r="AE434" s="2" t="s">
        <v>74</v>
      </c>
      <c r="AF434" s="2" t="s">
        <v>74</v>
      </c>
      <c r="AG434" s="2" t="s">
        <v>74</v>
      </c>
      <c r="AH434" s="2" t="s">
        <v>74</v>
      </c>
      <c r="AI434" s="2" t="s">
        <v>74</v>
      </c>
      <c r="AJ434" s="2" t="s">
        <v>74</v>
      </c>
      <c r="AK434" s="2" t="s">
        <v>74</v>
      </c>
      <c r="AL434" s="2" t="s">
        <v>74</v>
      </c>
      <c r="AM434" s="2" t="s">
        <v>74</v>
      </c>
      <c r="AN434" s="2" t="s">
        <v>74</v>
      </c>
      <c r="AO434" s="2" t="s">
        <v>337</v>
      </c>
      <c r="AP434" s="2" t="s">
        <v>338</v>
      </c>
      <c r="AQ434" s="2" t="s">
        <v>74</v>
      </c>
      <c r="AR434" s="2" t="s">
        <v>74</v>
      </c>
      <c r="AS434" s="2" t="s">
        <v>74</v>
      </c>
      <c r="AT434" s="2" t="s">
        <v>1075</v>
      </c>
      <c r="AU434" s="2">
        <v>2018</v>
      </c>
      <c r="AV434" s="2">
        <v>29</v>
      </c>
      <c r="AW434" s="2">
        <v>6</v>
      </c>
      <c r="AX434" s="2" t="s">
        <v>74</v>
      </c>
      <c r="AY434" s="2" t="s">
        <v>74</v>
      </c>
      <c r="AZ434" s="2" t="s">
        <v>74</v>
      </c>
      <c r="BA434" s="2" t="s">
        <v>74</v>
      </c>
      <c r="BB434" s="2">
        <v>1286</v>
      </c>
      <c r="BC434" s="2">
        <v>1297</v>
      </c>
      <c r="BD434" s="2" t="s">
        <v>74</v>
      </c>
      <c r="BE434" s="2" t="s">
        <v>1262</v>
      </c>
      <c r="BF434" s="2" t="str">
        <f>HYPERLINK("http://dx.doi.org/10.1093/beheco/ary127","http://dx.doi.org/10.1093/beheco/ary127")</f>
        <v>http://dx.doi.org/10.1093/beheco/ary127</v>
      </c>
      <c r="BG434" s="2" t="s">
        <v>74</v>
      </c>
      <c r="BH434" s="2" t="s">
        <v>74</v>
      </c>
      <c r="BI434" s="2" t="s">
        <v>74</v>
      </c>
      <c r="BJ434" s="2" t="s">
        <v>74</v>
      </c>
      <c r="BK434" s="2" t="s">
        <v>74</v>
      </c>
      <c r="BL434" s="2" t="s">
        <v>74</v>
      </c>
      <c r="BM434" s="2" t="s">
        <v>74</v>
      </c>
      <c r="BN434" s="2" t="s">
        <v>74</v>
      </c>
      <c r="BO434" s="2" t="s">
        <v>74</v>
      </c>
      <c r="BP434" s="2" t="s">
        <v>74</v>
      </c>
      <c r="BQ434" s="2" t="s">
        <v>74</v>
      </c>
      <c r="BR434" s="2" t="s">
        <v>74</v>
      </c>
      <c r="BS434" s="2" t="s">
        <v>1263</v>
      </c>
      <c r="BT434" s="2" t="str">
        <f>HYPERLINK("https%3A%2F%2Fwww.webofscience.com%2Fwos%2Fwoscc%2Ffull-record%2FWOS:000453209600018","View Full Record in Web of Science")</f>
        <v>View Full Record in Web of Science</v>
      </c>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row>
    <row r="435" spans="1:314" s="2" customFormat="1" x14ac:dyDescent="0.4">
      <c r="A435" s="2" t="s">
        <v>72</v>
      </c>
      <c r="B435" s="2" t="s">
        <v>3419</v>
      </c>
      <c r="C435" s="2" t="s">
        <v>74</v>
      </c>
      <c r="D435" s="2" t="s">
        <v>74</v>
      </c>
      <c r="E435" s="2" t="s">
        <v>74</v>
      </c>
      <c r="F435" s="2" t="s">
        <v>3419</v>
      </c>
      <c r="G435" s="2" t="s">
        <v>74</v>
      </c>
      <c r="H435" s="2" t="s">
        <v>74</v>
      </c>
      <c r="I435" s="2" t="s">
        <v>3420</v>
      </c>
      <c r="J435" s="2" t="s">
        <v>2207</v>
      </c>
      <c r="K435" s="2" t="s">
        <v>74</v>
      </c>
      <c r="L435" s="2" t="s">
        <v>74</v>
      </c>
      <c r="M435" s="2" t="s">
        <v>74</v>
      </c>
      <c r="N435" s="2" t="s">
        <v>74</v>
      </c>
      <c r="O435" s="2" t="s">
        <v>74</v>
      </c>
      <c r="P435" s="2" t="s">
        <v>74</v>
      </c>
      <c r="Q435" s="2" t="s">
        <v>74</v>
      </c>
      <c r="R435" s="2" t="s">
        <v>74</v>
      </c>
      <c r="S435" s="2" t="s">
        <v>74</v>
      </c>
      <c r="T435" s="2" t="s">
        <v>74</v>
      </c>
      <c r="U435" s="2" t="s">
        <v>74</v>
      </c>
      <c r="V435" s="5" t="s">
        <v>3421</v>
      </c>
      <c r="W435" s="2" t="s">
        <v>74</v>
      </c>
      <c r="X435" s="2" t="s">
        <v>74</v>
      </c>
      <c r="Y435" s="2" t="s">
        <v>74</v>
      </c>
      <c r="Z435" s="2" t="s">
        <v>74</v>
      </c>
      <c r="AA435" s="2" t="s">
        <v>3422</v>
      </c>
      <c r="AB435" s="2" t="s">
        <v>3423</v>
      </c>
      <c r="AC435" s="2" t="s">
        <v>74</v>
      </c>
      <c r="AD435" s="2" t="s">
        <v>74</v>
      </c>
      <c r="AE435" s="2" t="s">
        <v>74</v>
      </c>
      <c r="AF435" s="2" t="s">
        <v>74</v>
      </c>
      <c r="AG435" s="2" t="s">
        <v>74</v>
      </c>
      <c r="AH435" s="2" t="s">
        <v>74</v>
      </c>
      <c r="AI435" s="2" t="s">
        <v>74</v>
      </c>
      <c r="AJ435" s="2" t="s">
        <v>74</v>
      </c>
      <c r="AK435" s="2" t="s">
        <v>74</v>
      </c>
      <c r="AL435" s="2" t="s">
        <v>74</v>
      </c>
      <c r="AM435" s="2" t="s">
        <v>74</v>
      </c>
      <c r="AN435" s="2" t="s">
        <v>74</v>
      </c>
      <c r="AO435" s="2" t="s">
        <v>2211</v>
      </c>
      <c r="AP435" s="2" t="s">
        <v>2461</v>
      </c>
      <c r="AQ435" s="2" t="s">
        <v>74</v>
      </c>
      <c r="AR435" s="2" t="s">
        <v>74</v>
      </c>
      <c r="AS435" s="2" t="s">
        <v>74</v>
      </c>
      <c r="AT435" s="2" t="s">
        <v>305</v>
      </c>
      <c r="AU435" s="2">
        <v>2003</v>
      </c>
      <c r="AV435" s="2">
        <v>34</v>
      </c>
      <c r="AW435" s="2">
        <v>4</v>
      </c>
      <c r="AX435" s="2" t="s">
        <v>74</v>
      </c>
      <c r="AY435" s="2" t="s">
        <v>74</v>
      </c>
      <c r="AZ435" s="2" t="s">
        <v>74</v>
      </c>
      <c r="BA435" s="2" t="s">
        <v>74</v>
      </c>
      <c r="BB435" s="2">
        <v>402</v>
      </c>
      <c r="BC435" s="2">
        <v>408</v>
      </c>
      <c r="BD435" s="2" t="s">
        <v>74</v>
      </c>
      <c r="BE435" s="2" t="s">
        <v>3424</v>
      </c>
      <c r="BF435" s="2" t="str">
        <f>HYPERLINK("http://dx.doi.org/10.1111/j.0908-8857.2003.03064.x","http://dx.doi.org/10.1111/j.0908-8857.2003.03064.x")</f>
        <v>http://dx.doi.org/10.1111/j.0908-8857.2003.03064.x</v>
      </c>
      <c r="BG435" s="2" t="s">
        <v>74</v>
      </c>
      <c r="BH435" s="2" t="s">
        <v>74</v>
      </c>
      <c r="BI435" s="2" t="s">
        <v>74</v>
      </c>
      <c r="BJ435" s="2" t="s">
        <v>74</v>
      </c>
      <c r="BK435" s="2" t="s">
        <v>74</v>
      </c>
      <c r="BL435" s="2" t="s">
        <v>74</v>
      </c>
      <c r="BM435" s="2" t="s">
        <v>74</v>
      </c>
      <c r="BN435" s="2" t="s">
        <v>74</v>
      </c>
      <c r="BO435" s="2" t="s">
        <v>74</v>
      </c>
      <c r="BP435" s="2" t="s">
        <v>74</v>
      </c>
      <c r="BQ435" s="2" t="s">
        <v>74</v>
      </c>
      <c r="BR435" s="2" t="s">
        <v>74</v>
      </c>
      <c r="BS435" s="2" t="s">
        <v>3425</v>
      </c>
      <c r="BT435" s="2" t="str">
        <f>HYPERLINK("https%3A%2F%2Fwww.webofscience.com%2Fwos%2Fwoscc%2Ffull-record%2FWOS:000187792000014","View Full Record in Web of Science")</f>
        <v>View Full Record in Web of Science</v>
      </c>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row>
    <row r="436" spans="1:314" s="2" customFormat="1" x14ac:dyDescent="0.4">
      <c r="A436" s="2" t="s">
        <v>72</v>
      </c>
      <c r="B436" s="2" t="s">
        <v>5008</v>
      </c>
      <c r="C436" s="2" t="s">
        <v>74</v>
      </c>
      <c r="D436" s="2" t="s">
        <v>74</v>
      </c>
      <c r="E436" s="2" t="s">
        <v>74</v>
      </c>
      <c r="F436" s="2" t="s">
        <v>5009</v>
      </c>
      <c r="G436" s="2" t="s">
        <v>74</v>
      </c>
      <c r="H436" s="2" t="s">
        <v>74</v>
      </c>
      <c r="I436" s="2" t="s">
        <v>5010</v>
      </c>
      <c r="J436" s="2" t="s">
        <v>545</v>
      </c>
      <c r="K436" s="2" t="s">
        <v>74</v>
      </c>
      <c r="L436" s="2" t="s">
        <v>74</v>
      </c>
      <c r="M436" s="2" t="s">
        <v>74</v>
      </c>
      <c r="N436" s="2" t="s">
        <v>74</v>
      </c>
      <c r="O436" s="2" t="s">
        <v>74</v>
      </c>
      <c r="P436" s="2" t="s">
        <v>74</v>
      </c>
      <c r="Q436" s="2" t="s">
        <v>74</v>
      </c>
      <c r="R436" s="2" t="s">
        <v>74</v>
      </c>
      <c r="S436" s="2" t="s">
        <v>74</v>
      </c>
      <c r="T436" s="2" t="s">
        <v>74</v>
      </c>
      <c r="U436" s="2" t="s">
        <v>74</v>
      </c>
      <c r="V436" s="5" t="s">
        <v>5011</v>
      </c>
      <c r="W436" s="2" t="s">
        <v>74</v>
      </c>
      <c r="X436" s="2" t="s">
        <v>74</v>
      </c>
      <c r="Y436" s="2" t="s">
        <v>74</v>
      </c>
      <c r="Z436" s="2" t="s">
        <v>74</v>
      </c>
      <c r="AA436" s="2" t="s">
        <v>5012</v>
      </c>
      <c r="AB436" s="2" t="s">
        <v>5013</v>
      </c>
      <c r="AC436" s="2" t="s">
        <v>74</v>
      </c>
      <c r="AD436" s="2" t="s">
        <v>74</v>
      </c>
      <c r="AE436" s="2" t="s">
        <v>74</v>
      </c>
      <c r="AF436" s="2" t="s">
        <v>74</v>
      </c>
      <c r="AG436" s="2" t="s">
        <v>74</v>
      </c>
      <c r="AH436" s="2" t="s">
        <v>74</v>
      </c>
      <c r="AI436" s="2" t="s">
        <v>74</v>
      </c>
      <c r="AJ436" s="2" t="s">
        <v>74</v>
      </c>
      <c r="AK436" s="2" t="s">
        <v>74</v>
      </c>
      <c r="AL436" s="2" t="s">
        <v>74</v>
      </c>
      <c r="AM436" s="2" t="s">
        <v>74</v>
      </c>
      <c r="AN436" s="2" t="s">
        <v>74</v>
      </c>
      <c r="AO436" s="2" t="s">
        <v>547</v>
      </c>
      <c r="AP436" s="2" t="s">
        <v>74</v>
      </c>
      <c r="AQ436" s="2" t="s">
        <v>74</v>
      </c>
      <c r="AR436" s="2" t="s">
        <v>74</v>
      </c>
      <c r="AS436" s="2" t="s">
        <v>74</v>
      </c>
      <c r="AT436" s="2" t="s">
        <v>74</v>
      </c>
      <c r="AU436" s="2">
        <v>2017</v>
      </c>
      <c r="AV436" s="2">
        <v>267</v>
      </c>
      <c r="AW436" s="2" t="s">
        <v>74</v>
      </c>
      <c r="AX436" s="2" t="s">
        <v>74</v>
      </c>
      <c r="AY436" s="2" t="s">
        <v>74</v>
      </c>
      <c r="AZ436" s="2" t="s">
        <v>74</v>
      </c>
      <c r="BA436" s="2" t="s">
        <v>74</v>
      </c>
      <c r="BB436" s="2">
        <v>21</v>
      </c>
      <c r="BC436" s="2">
        <v>30</v>
      </c>
      <c r="BD436" s="2" t="s">
        <v>74</v>
      </c>
      <c r="BE436" s="2" t="s">
        <v>5014</v>
      </c>
      <c r="BF436" s="2" t="str">
        <f>HYPERLINK("http://dx.doi.org/10.1016/j.jcz.2017.01.002","http://dx.doi.org/10.1016/j.jcz.2017.01.002")</f>
        <v>http://dx.doi.org/10.1016/j.jcz.2017.01.002</v>
      </c>
      <c r="BG436" s="2" t="s">
        <v>74</v>
      </c>
      <c r="BH436" s="2" t="s">
        <v>74</v>
      </c>
      <c r="BI436" s="2" t="s">
        <v>74</v>
      </c>
      <c r="BJ436" s="2" t="s">
        <v>74</v>
      </c>
      <c r="BK436" s="2" t="s">
        <v>74</v>
      </c>
      <c r="BL436" s="2" t="s">
        <v>74</v>
      </c>
      <c r="BM436" s="2" t="s">
        <v>74</v>
      </c>
      <c r="BN436" s="2" t="s">
        <v>74</v>
      </c>
      <c r="BO436" s="2" t="s">
        <v>74</v>
      </c>
      <c r="BP436" s="2" t="s">
        <v>74</v>
      </c>
      <c r="BQ436" s="2" t="s">
        <v>74</v>
      </c>
      <c r="BR436" s="2" t="s">
        <v>74</v>
      </c>
      <c r="BS436" s="2" t="s">
        <v>5015</v>
      </c>
      <c r="BT436" s="2" t="str">
        <f>HYPERLINK("https%3A%2F%2Fwww.webofscience.com%2Fwos%2Fwoscc%2Ffull-record%2FWOS:000403123700004","View Full Record in Web of Science")</f>
        <v>View Full Record in Web of Science</v>
      </c>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row>
    <row r="437" spans="1:314" s="2" customFormat="1" x14ac:dyDescent="0.4">
      <c r="A437" s="2" t="s">
        <v>72</v>
      </c>
      <c r="B437" s="2" t="s">
        <v>7510</v>
      </c>
      <c r="C437" s="2" t="s">
        <v>74</v>
      </c>
      <c r="D437" s="2" t="s">
        <v>74</v>
      </c>
      <c r="E437" s="2" t="s">
        <v>74</v>
      </c>
      <c r="F437" s="2" t="s">
        <v>7510</v>
      </c>
      <c r="G437" s="2" t="s">
        <v>74</v>
      </c>
      <c r="H437" s="2" t="s">
        <v>74</v>
      </c>
      <c r="I437" s="2" t="s">
        <v>7511</v>
      </c>
      <c r="J437" s="2" t="s">
        <v>140</v>
      </c>
      <c r="K437" s="2" t="s">
        <v>74</v>
      </c>
      <c r="L437" s="2" t="s">
        <v>74</v>
      </c>
      <c r="M437" s="2" t="s">
        <v>74</v>
      </c>
      <c r="N437" s="2" t="s">
        <v>74</v>
      </c>
      <c r="O437" s="2" t="s">
        <v>74</v>
      </c>
      <c r="P437" s="2" t="s">
        <v>74</v>
      </c>
      <c r="Q437" s="2" t="s">
        <v>74</v>
      </c>
      <c r="R437" s="2" t="s">
        <v>74</v>
      </c>
      <c r="S437" s="2" t="s">
        <v>74</v>
      </c>
      <c r="T437" s="2" t="s">
        <v>74</v>
      </c>
      <c r="U437" s="2" t="s">
        <v>74</v>
      </c>
      <c r="V437" s="5" t="s">
        <v>7512</v>
      </c>
      <c r="W437" s="2" t="s">
        <v>74</v>
      </c>
      <c r="X437" s="2" t="s">
        <v>74</v>
      </c>
      <c r="Y437" s="2" t="s">
        <v>74</v>
      </c>
      <c r="Z437" s="2" t="s">
        <v>74</v>
      </c>
      <c r="AA437" s="2" t="s">
        <v>7513</v>
      </c>
      <c r="AB437" s="2" t="s">
        <v>7514</v>
      </c>
      <c r="AC437" s="2" t="s">
        <v>74</v>
      </c>
      <c r="AD437" s="2" t="s">
        <v>74</v>
      </c>
      <c r="AE437" s="2" t="s">
        <v>74</v>
      </c>
      <c r="AF437" s="2" t="s">
        <v>74</v>
      </c>
      <c r="AG437" s="2" t="s">
        <v>74</v>
      </c>
      <c r="AH437" s="2" t="s">
        <v>74</v>
      </c>
      <c r="AI437" s="2" t="s">
        <v>74</v>
      </c>
      <c r="AJ437" s="2" t="s">
        <v>74</v>
      </c>
      <c r="AK437" s="2" t="s">
        <v>74</v>
      </c>
      <c r="AL437" s="2" t="s">
        <v>74</v>
      </c>
      <c r="AM437" s="2" t="s">
        <v>74</v>
      </c>
      <c r="AN437" s="2" t="s">
        <v>74</v>
      </c>
      <c r="AO437" s="2" t="s">
        <v>143</v>
      </c>
      <c r="AP437" s="2" t="s">
        <v>74</v>
      </c>
      <c r="AQ437" s="2" t="s">
        <v>74</v>
      </c>
      <c r="AR437" s="2" t="s">
        <v>74</v>
      </c>
      <c r="AS437" s="2" t="s">
        <v>74</v>
      </c>
      <c r="AT437" s="2" t="s">
        <v>352</v>
      </c>
      <c r="AU437" s="2">
        <v>2003</v>
      </c>
      <c r="AV437" s="2">
        <v>66</v>
      </c>
      <c r="AW437" s="2" t="s">
        <v>74</v>
      </c>
      <c r="AX437" s="2">
        <v>3</v>
      </c>
      <c r="AY437" s="2" t="s">
        <v>74</v>
      </c>
      <c r="AZ437" s="2" t="s">
        <v>74</v>
      </c>
      <c r="BA437" s="2" t="s">
        <v>74</v>
      </c>
      <c r="BB437" s="2">
        <v>521</v>
      </c>
      <c r="BC437" s="2">
        <v>530</v>
      </c>
      <c r="BD437" s="2" t="s">
        <v>74</v>
      </c>
      <c r="BE437" s="2" t="s">
        <v>7515</v>
      </c>
      <c r="BF437" s="2" t="str">
        <f>HYPERLINK("http://dx.doi.org/10.1006/anbe.2003.2206","http://dx.doi.org/10.1006/anbe.2003.2206")</f>
        <v>http://dx.doi.org/10.1006/anbe.2003.2206</v>
      </c>
      <c r="BG437" s="2" t="s">
        <v>74</v>
      </c>
      <c r="BH437" s="2" t="s">
        <v>74</v>
      </c>
      <c r="BI437" s="2" t="s">
        <v>74</v>
      </c>
      <c r="BJ437" s="2" t="s">
        <v>74</v>
      </c>
      <c r="BK437" s="2" t="s">
        <v>74</v>
      </c>
      <c r="BL437" s="2" t="s">
        <v>74</v>
      </c>
      <c r="BM437" s="2" t="s">
        <v>74</v>
      </c>
      <c r="BN437" s="2" t="s">
        <v>74</v>
      </c>
      <c r="BO437" s="2" t="s">
        <v>74</v>
      </c>
      <c r="BP437" s="2" t="s">
        <v>74</v>
      </c>
      <c r="BQ437" s="2" t="s">
        <v>74</v>
      </c>
      <c r="BR437" s="2" t="s">
        <v>74</v>
      </c>
      <c r="BS437" s="2" t="s">
        <v>7516</v>
      </c>
      <c r="BT437" s="2" t="str">
        <f>HYPERLINK("https%3A%2F%2Fwww.webofscience.com%2Fwos%2Fwoscc%2Ffull-record%2FWOS:000185477900013","View Full Record in Web of Science")</f>
        <v>View Full Record in Web of Science</v>
      </c>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row>
    <row r="438" spans="1:314" s="2" customFormat="1" x14ac:dyDescent="0.4">
      <c r="A438" s="2" t="s">
        <v>72</v>
      </c>
      <c r="B438" s="2" t="s">
        <v>1085</v>
      </c>
      <c r="C438" s="2" t="s">
        <v>74</v>
      </c>
      <c r="D438" s="2" t="s">
        <v>74</v>
      </c>
      <c r="E438" s="2" t="s">
        <v>74</v>
      </c>
      <c r="F438" s="2" t="s">
        <v>1086</v>
      </c>
      <c r="G438" s="2" t="s">
        <v>74</v>
      </c>
      <c r="H438" s="2" t="s">
        <v>74</v>
      </c>
      <c r="I438" s="2" t="s">
        <v>1087</v>
      </c>
      <c r="J438" s="2" t="s">
        <v>475</v>
      </c>
      <c r="K438" s="2" t="s">
        <v>74</v>
      </c>
      <c r="L438" s="2" t="s">
        <v>74</v>
      </c>
      <c r="M438" s="2" t="s">
        <v>74</v>
      </c>
      <c r="N438" s="2" t="s">
        <v>74</v>
      </c>
      <c r="O438" s="2" t="s">
        <v>74</v>
      </c>
      <c r="P438" s="2" t="s">
        <v>74</v>
      </c>
      <c r="Q438" s="2" t="s">
        <v>74</v>
      </c>
      <c r="R438" s="2" t="s">
        <v>74</v>
      </c>
      <c r="S438" s="2" t="s">
        <v>74</v>
      </c>
      <c r="T438" s="2" t="s">
        <v>74</v>
      </c>
      <c r="U438" s="2" t="s">
        <v>74</v>
      </c>
      <c r="V438" s="5" t="s">
        <v>1088</v>
      </c>
      <c r="W438" s="2" t="s">
        <v>74</v>
      </c>
      <c r="X438" s="2" t="s">
        <v>74</v>
      </c>
      <c r="Y438" s="2" t="s">
        <v>74</v>
      </c>
      <c r="Z438" s="2" t="s">
        <v>74</v>
      </c>
      <c r="AA438" s="2" t="s">
        <v>74</v>
      </c>
      <c r="AB438" s="2" t="s">
        <v>74</v>
      </c>
      <c r="AC438" s="2" t="s">
        <v>74</v>
      </c>
      <c r="AD438" s="2" t="s">
        <v>74</v>
      </c>
      <c r="AE438" s="2" t="s">
        <v>74</v>
      </c>
      <c r="AF438" s="2" t="s">
        <v>74</v>
      </c>
      <c r="AG438" s="2" t="s">
        <v>74</v>
      </c>
      <c r="AH438" s="2" t="s">
        <v>74</v>
      </c>
      <c r="AI438" s="2" t="s">
        <v>74</v>
      </c>
      <c r="AJ438" s="2" t="s">
        <v>74</v>
      </c>
      <c r="AK438" s="2" t="s">
        <v>74</v>
      </c>
      <c r="AL438" s="2" t="s">
        <v>74</v>
      </c>
      <c r="AM438" s="2" t="s">
        <v>74</v>
      </c>
      <c r="AN438" s="2" t="s">
        <v>74</v>
      </c>
      <c r="AO438" s="2" t="s">
        <v>477</v>
      </c>
      <c r="AP438" s="2" t="s">
        <v>1089</v>
      </c>
      <c r="AQ438" s="2" t="s">
        <v>74</v>
      </c>
      <c r="AR438" s="2" t="s">
        <v>74</v>
      </c>
      <c r="AS438" s="2" t="s">
        <v>74</v>
      </c>
      <c r="AT438" s="2" t="s">
        <v>1090</v>
      </c>
      <c r="AU438" s="2">
        <v>2020</v>
      </c>
      <c r="AV438" s="2">
        <v>285</v>
      </c>
      <c r="AW438" s="2" t="s">
        <v>74</v>
      </c>
      <c r="AX438" s="2" t="s">
        <v>74</v>
      </c>
      <c r="AY438" s="2" t="s">
        <v>74</v>
      </c>
      <c r="AZ438" s="2" t="s">
        <v>74</v>
      </c>
      <c r="BA438" s="2" t="s">
        <v>74</v>
      </c>
      <c r="BB438" s="2" t="s">
        <v>74</v>
      </c>
      <c r="BC438" s="2" t="s">
        <v>74</v>
      </c>
      <c r="BD438" s="2">
        <v>113292</v>
      </c>
      <c r="BE438" s="2" t="s">
        <v>1091</v>
      </c>
      <c r="BF438" s="2" t="str">
        <f>HYPERLINK("http://dx.doi.org/10.1016/j.ygcen.2019.113292","http://dx.doi.org/10.1016/j.ygcen.2019.113292")</f>
        <v>http://dx.doi.org/10.1016/j.ygcen.2019.113292</v>
      </c>
      <c r="BG438" s="2" t="s">
        <v>74</v>
      </c>
      <c r="BH438" s="2" t="s">
        <v>74</v>
      </c>
      <c r="BI438" s="2" t="s">
        <v>74</v>
      </c>
      <c r="BJ438" s="2" t="s">
        <v>74</v>
      </c>
      <c r="BK438" s="2" t="s">
        <v>74</v>
      </c>
      <c r="BL438" s="2" t="s">
        <v>74</v>
      </c>
      <c r="BM438" s="2" t="s">
        <v>74</v>
      </c>
      <c r="BN438" s="2">
        <v>31580882</v>
      </c>
      <c r="BO438" s="2" t="s">
        <v>74</v>
      </c>
      <c r="BP438" s="2" t="s">
        <v>74</v>
      </c>
      <c r="BQ438" s="2" t="s">
        <v>74</v>
      </c>
      <c r="BR438" s="2" t="s">
        <v>74</v>
      </c>
      <c r="BS438" s="2" t="s">
        <v>1092</v>
      </c>
      <c r="BT438" s="2" t="str">
        <f>HYPERLINK("https%3A%2F%2Fwww.webofscience.com%2Fwos%2Fwoscc%2Ffull-record%2FWOS:000504341800024","View Full Record in Web of Science")</f>
        <v>View Full Record in Web of Science</v>
      </c>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row>
    <row r="439" spans="1:314" s="2" customFormat="1" x14ac:dyDescent="0.4">
      <c r="A439" s="2" t="s">
        <v>72</v>
      </c>
      <c r="B439" s="2" t="s">
        <v>3383</v>
      </c>
      <c r="C439" s="2" t="s">
        <v>74</v>
      </c>
      <c r="D439" s="2" t="s">
        <v>74</v>
      </c>
      <c r="E439" s="2" t="s">
        <v>74</v>
      </c>
      <c r="F439" s="2" t="s">
        <v>3384</v>
      </c>
      <c r="G439" s="2" t="s">
        <v>74</v>
      </c>
      <c r="H439" s="2" t="s">
        <v>74</v>
      </c>
      <c r="I439" s="2" t="s">
        <v>3385</v>
      </c>
      <c r="J439" s="2" t="s">
        <v>610</v>
      </c>
      <c r="K439" s="2" t="s">
        <v>74</v>
      </c>
      <c r="L439" s="2" t="s">
        <v>74</v>
      </c>
      <c r="M439" s="2" t="s">
        <v>74</v>
      </c>
      <c r="N439" s="2" t="s">
        <v>74</v>
      </c>
      <c r="O439" s="2" t="s">
        <v>74</v>
      </c>
      <c r="P439" s="2" t="s">
        <v>74</v>
      </c>
      <c r="Q439" s="2" t="s">
        <v>74</v>
      </c>
      <c r="R439" s="2" t="s">
        <v>74</v>
      </c>
      <c r="S439" s="2" t="s">
        <v>74</v>
      </c>
      <c r="T439" s="2" t="s">
        <v>74</v>
      </c>
      <c r="U439" s="2" t="s">
        <v>74</v>
      </c>
      <c r="V439" s="5" t="s">
        <v>3386</v>
      </c>
      <c r="W439" s="2" t="s">
        <v>74</v>
      </c>
      <c r="X439" s="2" t="s">
        <v>74</v>
      </c>
      <c r="Y439" s="2" t="s">
        <v>74</v>
      </c>
      <c r="Z439" s="2" t="s">
        <v>74</v>
      </c>
      <c r="AA439" s="2" t="s">
        <v>74</v>
      </c>
      <c r="AB439" s="2" t="s">
        <v>3387</v>
      </c>
      <c r="AC439" s="2" t="s">
        <v>74</v>
      </c>
      <c r="AD439" s="2" t="s">
        <v>74</v>
      </c>
      <c r="AE439" s="2" t="s">
        <v>74</v>
      </c>
      <c r="AF439" s="2" t="s">
        <v>74</v>
      </c>
      <c r="AG439" s="2" t="s">
        <v>74</v>
      </c>
      <c r="AH439" s="2" t="s">
        <v>74</v>
      </c>
      <c r="AI439" s="2" t="s">
        <v>74</v>
      </c>
      <c r="AJ439" s="2" t="s">
        <v>74</v>
      </c>
      <c r="AK439" s="2" t="s">
        <v>74</v>
      </c>
      <c r="AL439" s="2" t="s">
        <v>74</v>
      </c>
      <c r="AM439" s="2" t="s">
        <v>74</v>
      </c>
      <c r="AN439" s="2" t="s">
        <v>74</v>
      </c>
      <c r="AO439" s="2" t="s">
        <v>614</v>
      </c>
      <c r="AP439" s="2" t="s">
        <v>615</v>
      </c>
      <c r="AQ439" s="2" t="s">
        <v>74</v>
      </c>
      <c r="AR439" s="2" t="s">
        <v>74</v>
      </c>
      <c r="AS439" s="2" t="s">
        <v>74</v>
      </c>
      <c r="AT439" s="2" t="s">
        <v>102</v>
      </c>
      <c r="AU439" s="2">
        <v>2021</v>
      </c>
      <c r="AV439" s="2">
        <v>127</v>
      </c>
      <c r="AW439" s="2">
        <v>6</v>
      </c>
      <c r="AX439" s="2" t="s">
        <v>74</v>
      </c>
      <c r="AY439" s="2" t="s">
        <v>74</v>
      </c>
      <c r="AZ439" s="2" t="s">
        <v>74</v>
      </c>
      <c r="BA439" s="2" t="s">
        <v>74</v>
      </c>
      <c r="BB439" s="2">
        <v>475</v>
      </c>
      <c r="BC439" s="2">
        <v>483</v>
      </c>
      <c r="BD439" s="2" t="s">
        <v>74</v>
      </c>
      <c r="BE439" s="2" t="s">
        <v>3388</v>
      </c>
      <c r="BF439" s="2" t="str">
        <f>HYPERLINK("http://dx.doi.org/10.1111/eth.13156","http://dx.doi.org/10.1111/eth.13156")</f>
        <v>http://dx.doi.org/10.1111/eth.13156</v>
      </c>
      <c r="BG439" s="2" t="s">
        <v>74</v>
      </c>
      <c r="BH439" s="2" t="s">
        <v>1051</v>
      </c>
      <c r="BI439" s="2" t="s">
        <v>74</v>
      </c>
      <c r="BJ439" s="2" t="s">
        <v>74</v>
      </c>
      <c r="BK439" s="2" t="s">
        <v>74</v>
      </c>
      <c r="BL439" s="2" t="s">
        <v>74</v>
      </c>
      <c r="BM439" s="2" t="s">
        <v>74</v>
      </c>
      <c r="BN439" s="2" t="s">
        <v>74</v>
      </c>
      <c r="BO439" s="2" t="s">
        <v>74</v>
      </c>
      <c r="BP439" s="2" t="s">
        <v>74</v>
      </c>
      <c r="BQ439" s="2" t="s">
        <v>74</v>
      </c>
      <c r="BR439" s="2" t="s">
        <v>74</v>
      </c>
      <c r="BS439" s="2" t="s">
        <v>3389</v>
      </c>
      <c r="BT439" s="2" t="str">
        <f>HYPERLINK("https%3A%2F%2Fwww.webofscience.com%2Fwos%2Fwoscc%2Ffull-record%2FWOS:000640929900001","View Full Record in Web of Science")</f>
        <v>View Full Record in Web of Science</v>
      </c>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row>
    <row r="440" spans="1:314" s="2" customFormat="1" x14ac:dyDescent="0.4">
      <c r="A440" s="2" t="s">
        <v>72</v>
      </c>
      <c r="B440" s="2" t="s">
        <v>7432</v>
      </c>
      <c r="C440" s="2" t="s">
        <v>74</v>
      </c>
      <c r="D440" s="2" t="s">
        <v>74</v>
      </c>
      <c r="E440" s="2" t="s">
        <v>74</v>
      </c>
      <c r="F440" s="2" t="s">
        <v>7433</v>
      </c>
      <c r="G440" s="2" t="s">
        <v>74</v>
      </c>
      <c r="H440" s="2" t="s">
        <v>74</v>
      </c>
      <c r="I440" s="2" t="s">
        <v>7434</v>
      </c>
      <c r="J440" s="2" t="s">
        <v>1995</v>
      </c>
      <c r="K440" s="2" t="s">
        <v>74</v>
      </c>
      <c r="L440" s="2" t="s">
        <v>74</v>
      </c>
      <c r="M440" s="2" t="s">
        <v>74</v>
      </c>
      <c r="N440" s="2" t="s">
        <v>74</v>
      </c>
      <c r="O440" s="2" t="s">
        <v>74</v>
      </c>
      <c r="P440" s="2" t="s">
        <v>74</v>
      </c>
      <c r="Q440" s="2" t="s">
        <v>74</v>
      </c>
      <c r="R440" s="2" t="s">
        <v>74</v>
      </c>
      <c r="S440" s="2" t="s">
        <v>74</v>
      </c>
      <c r="T440" s="2" t="s">
        <v>74</v>
      </c>
      <c r="U440" s="2" t="s">
        <v>74</v>
      </c>
      <c r="V440" s="5" t="s">
        <v>7435</v>
      </c>
      <c r="W440" s="2" t="s">
        <v>74</v>
      </c>
      <c r="X440" s="2" t="s">
        <v>74</v>
      </c>
      <c r="Y440" s="2" t="s">
        <v>74</v>
      </c>
      <c r="Z440" s="2" t="s">
        <v>74</v>
      </c>
      <c r="AA440" s="2" t="s">
        <v>74</v>
      </c>
      <c r="AB440" s="2" t="s">
        <v>7436</v>
      </c>
      <c r="AC440" s="2" t="s">
        <v>74</v>
      </c>
      <c r="AD440" s="2" t="s">
        <v>74</v>
      </c>
      <c r="AE440" s="2" t="s">
        <v>74</v>
      </c>
      <c r="AF440" s="2" t="s">
        <v>74</v>
      </c>
      <c r="AG440" s="2" t="s">
        <v>74</v>
      </c>
      <c r="AH440" s="2" t="s">
        <v>74</v>
      </c>
      <c r="AI440" s="2" t="s">
        <v>74</v>
      </c>
      <c r="AJ440" s="2" t="s">
        <v>74</v>
      </c>
      <c r="AK440" s="2" t="s">
        <v>74</v>
      </c>
      <c r="AL440" s="2" t="s">
        <v>74</v>
      </c>
      <c r="AM440" s="2" t="s">
        <v>74</v>
      </c>
      <c r="AN440" s="2" t="s">
        <v>74</v>
      </c>
      <c r="AO440" s="2" t="s">
        <v>1997</v>
      </c>
      <c r="AP440" s="2" t="s">
        <v>3917</v>
      </c>
      <c r="AQ440" s="2" t="s">
        <v>74</v>
      </c>
      <c r="AR440" s="2" t="s">
        <v>74</v>
      </c>
      <c r="AS440" s="2" t="s">
        <v>74</v>
      </c>
      <c r="AT440" s="2" t="s">
        <v>305</v>
      </c>
      <c r="AU440" s="2">
        <v>2021</v>
      </c>
      <c r="AV440" s="2">
        <v>92</v>
      </c>
      <c r="AW440" s="2">
        <v>4</v>
      </c>
      <c r="AX440" s="2" t="s">
        <v>74</v>
      </c>
      <c r="AY440" s="2" t="s">
        <v>74</v>
      </c>
      <c r="AZ440" s="2" t="s">
        <v>74</v>
      </c>
      <c r="BA440" s="2" t="s">
        <v>74</v>
      </c>
      <c r="BB440" s="2">
        <v>365</v>
      </c>
      <c r="BC440" s="2">
        <v>376</v>
      </c>
      <c r="BD440" s="2" t="s">
        <v>74</v>
      </c>
      <c r="BE440" s="2" t="s">
        <v>7437</v>
      </c>
      <c r="BF440" s="2" t="str">
        <f>HYPERLINK("http://dx.doi.org/10.1111/jofo.12395","http://dx.doi.org/10.1111/jofo.12395")</f>
        <v>http://dx.doi.org/10.1111/jofo.12395</v>
      </c>
      <c r="BG440" s="2" t="s">
        <v>74</v>
      </c>
      <c r="BH440" s="2" t="s">
        <v>7438</v>
      </c>
      <c r="BI440" s="2" t="s">
        <v>74</v>
      </c>
      <c r="BJ440" s="2" t="s">
        <v>74</v>
      </c>
      <c r="BK440" s="2" t="s">
        <v>74</v>
      </c>
      <c r="BL440" s="2" t="s">
        <v>74</v>
      </c>
      <c r="BM440" s="2" t="s">
        <v>74</v>
      </c>
      <c r="BN440" s="2" t="s">
        <v>74</v>
      </c>
      <c r="BO440" s="2" t="s">
        <v>74</v>
      </c>
      <c r="BP440" s="2" t="s">
        <v>74</v>
      </c>
      <c r="BQ440" s="2" t="s">
        <v>74</v>
      </c>
      <c r="BR440" s="2" t="s">
        <v>74</v>
      </c>
      <c r="BS440" s="2" t="s">
        <v>7439</v>
      </c>
      <c r="BT440" s="2" t="str">
        <f>HYPERLINK("https%3A%2F%2Fwww.webofscience.com%2Fwos%2Fwoscc%2Ffull-record%2FWOS:000751937600001","View Full Record in Web of Science")</f>
        <v>View Full Record in Web of Science</v>
      </c>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row>
    <row r="441" spans="1:314" s="2" customFormat="1" x14ac:dyDescent="0.4">
      <c r="A441" s="2" t="s">
        <v>72</v>
      </c>
      <c r="B441" s="2" t="s">
        <v>8324</v>
      </c>
      <c r="C441" s="2" t="s">
        <v>74</v>
      </c>
      <c r="D441" s="2" t="s">
        <v>74</v>
      </c>
      <c r="E441" s="2" t="s">
        <v>74</v>
      </c>
      <c r="F441" s="2" t="s">
        <v>8325</v>
      </c>
      <c r="G441" s="2" t="s">
        <v>74</v>
      </c>
      <c r="H441" s="2" t="s">
        <v>74</v>
      </c>
      <c r="I441" s="2" t="s">
        <v>8326</v>
      </c>
      <c r="J441" s="2" t="s">
        <v>408</v>
      </c>
      <c r="K441" s="2" t="s">
        <v>74</v>
      </c>
      <c r="L441" s="2" t="s">
        <v>74</v>
      </c>
      <c r="M441" s="2" t="s">
        <v>74</v>
      </c>
      <c r="N441" s="2" t="s">
        <v>74</v>
      </c>
      <c r="O441" s="2" t="s">
        <v>74</v>
      </c>
      <c r="P441" s="2" t="s">
        <v>74</v>
      </c>
      <c r="Q441" s="2" t="s">
        <v>74</v>
      </c>
      <c r="R441" s="2" t="s">
        <v>74</v>
      </c>
      <c r="S441" s="2" t="s">
        <v>74</v>
      </c>
      <c r="T441" s="2" t="s">
        <v>74</v>
      </c>
      <c r="U441" s="2" t="s">
        <v>74</v>
      </c>
      <c r="V441" s="5" t="s">
        <v>8327</v>
      </c>
      <c r="W441" s="2" t="s">
        <v>74</v>
      </c>
      <c r="X441" s="2" t="s">
        <v>74</v>
      </c>
      <c r="Y441" s="2" t="s">
        <v>74</v>
      </c>
      <c r="Z441" s="2" t="s">
        <v>74</v>
      </c>
      <c r="AA441" s="2" t="s">
        <v>8328</v>
      </c>
      <c r="AB441" s="2" t="s">
        <v>8329</v>
      </c>
      <c r="AC441" s="2" t="s">
        <v>74</v>
      </c>
      <c r="AD441" s="2" t="s">
        <v>74</v>
      </c>
      <c r="AE441" s="2" t="s">
        <v>74</v>
      </c>
      <c r="AF441" s="2" t="s">
        <v>74</v>
      </c>
      <c r="AG441" s="2" t="s">
        <v>74</v>
      </c>
      <c r="AH441" s="2" t="s">
        <v>74</v>
      </c>
      <c r="AI441" s="2" t="s">
        <v>74</v>
      </c>
      <c r="AJ441" s="2" t="s">
        <v>74</v>
      </c>
      <c r="AK441" s="2" t="s">
        <v>74</v>
      </c>
      <c r="AL441" s="2" t="s">
        <v>74</v>
      </c>
      <c r="AM441" s="2" t="s">
        <v>74</v>
      </c>
      <c r="AN441" s="2" t="s">
        <v>74</v>
      </c>
      <c r="AO441" s="2" t="s">
        <v>412</v>
      </c>
      <c r="AP441" s="2" t="s">
        <v>413</v>
      </c>
      <c r="AQ441" s="2" t="s">
        <v>74</v>
      </c>
      <c r="AR441" s="2" t="s">
        <v>74</v>
      </c>
      <c r="AS441" s="2" t="s">
        <v>74</v>
      </c>
      <c r="AT441" s="2" t="s">
        <v>175</v>
      </c>
      <c r="AU441" s="2">
        <v>2013</v>
      </c>
      <c r="AV441" s="2">
        <v>110</v>
      </c>
      <c r="AW441" s="2">
        <v>2</v>
      </c>
      <c r="AX441" s="2" t="s">
        <v>74</v>
      </c>
      <c r="AY441" s="2" t="s">
        <v>74</v>
      </c>
      <c r="AZ441" s="2" t="s">
        <v>74</v>
      </c>
      <c r="BA441" s="2" t="s">
        <v>74</v>
      </c>
      <c r="BB441" s="2">
        <v>409</v>
      </c>
      <c r="BC441" s="2">
        <v>426</v>
      </c>
      <c r="BD441" s="2" t="s">
        <v>74</v>
      </c>
      <c r="BE441" s="2" t="s">
        <v>8330</v>
      </c>
      <c r="BF441" s="2" t="str">
        <f>HYPERLINK("http://dx.doi.org/10.1111/bij.12131","http://dx.doi.org/10.1111/bij.12131")</f>
        <v>http://dx.doi.org/10.1111/bij.12131</v>
      </c>
      <c r="BG441" s="2" t="s">
        <v>74</v>
      </c>
      <c r="BH441" s="2" t="s">
        <v>74</v>
      </c>
      <c r="BI441" s="2" t="s">
        <v>74</v>
      </c>
      <c r="BJ441" s="2" t="s">
        <v>74</v>
      </c>
      <c r="BK441" s="2" t="s">
        <v>74</v>
      </c>
      <c r="BL441" s="2" t="s">
        <v>74</v>
      </c>
      <c r="BM441" s="2" t="s">
        <v>74</v>
      </c>
      <c r="BN441" s="2" t="s">
        <v>74</v>
      </c>
      <c r="BO441" s="2" t="s">
        <v>74</v>
      </c>
      <c r="BP441" s="2" t="s">
        <v>74</v>
      </c>
      <c r="BQ441" s="2" t="s">
        <v>74</v>
      </c>
      <c r="BR441" s="2" t="s">
        <v>74</v>
      </c>
      <c r="BS441" s="2" t="s">
        <v>8331</v>
      </c>
      <c r="BT441" s="2" t="str">
        <f>HYPERLINK("https%3A%2F%2Fwww.webofscience.com%2Fwos%2Fwoscc%2Ffull-record%2FWOS:000324302400012","View Full Record in Web of Science")</f>
        <v>View Full Record in Web of Science</v>
      </c>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row>
    <row r="442" spans="1:314" s="2" customFormat="1" x14ac:dyDescent="0.4">
      <c r="A442" s="2" t="s">
        <v>72</v>
      </c>
      <c r="B442" s="2" t="s">
        <v>7777</v>
      </c>
      <c r="C442" s="2" t="s">
        <v>74</v>
      </c>
      <c r="D442" s="2" t="s">
        <v>74</v>
      </c>
      <c r="E442" s="2" t="s">
        <v>74</v>
      </c>
      <c r="F442" s="2" t="s">
        <v>7777</v>
      </c>
      <c r="G442" s="2" t="s">
        <v>74</v>
      </c>
      <c r="H442" s="2" t="s">
        <v>74</v>
      </c>
      <c r="I442" s="2" t="s">
        <v>7778</v>
      </c>
      <c r="J442" s="2" t="s">
        <v>129</v>
      </c>
      <c r="K442" s="2" t="s">
        <v>74</v>
      </c>
      <c r="L442" s="2" t="s">
        <v>74</v>
      </c>
      <c r="M442" s="2" t="s">
        <v>74</v>
      </c>
      <c r="N442" s="2" t="s">
        <v>74</v>
      </c>
      <c r="O442" s="2" t="s">
        <v>74</v>
      </c>
      <c r="P442" s="2" t="s">
        <v>74</v>
      </c>
      <c r="Q442" s="2" t="s">
        <v>74</v>
      </c>
      <c r="R442" s="2" t="s">
        <v>74</v>
      </c>
      <c r="S442" s="2" t="s">
        <v>74</v>
      </c>
      <c r="T442" s="2" t="s">
        <v>74</v>
      </c>
      <c r="U442" s="2" t="s">
        <v>74</v>
      </c>
      <c r="V442" s="5" t="s">
        <v>7779</v>
      </c>
      <c r="W442" s="2" t="s">
        <v>74</v>
      </c>
      <c r="X442" s="2" t="s">
        <v>74</v>
      </c>
      <c r="Y442" s="2" t="s">
        <v>74</v>
      </c>
      <c r="Z442" s="2" t="s">
        <v>74</v>
      </c>
      <c r="AA442" s="2" t="s">
        <v>7780</v>
      </c>
      <c r="AB442" s="2" t="s">
        <v>7781</v>
      </c>
      <c r="AC442" s="2" t="s">
        <v>74</v>
      </c>
      <c r="AD442" s="2" t="s">
        <v>74</v>
      </c>
      <c r="AE442" s="2" t="s">
        <v>74</v>
      </c>
      <c r="AF442" s="2" t="s">
        <v>74</v>
      </c>
      <c r="AG442" s="2" t="s">
        <v>74</v>
      </c>
      <c r="AH442" s="2" t="s">
        <v>74</v>
      </c>
      <c r="AI442" s="2" t="s">
        <v>74</v>
      </c>
      <c r="AJ442" s="2" t="s">
        <v>74</v>
      </c>
      <c r="AK442" s="2" t="s">
        <v>74</v>
      </c>
      <c r="AL442" s="2" t="s">
        <v>74</v>
      </c>
      <c r="AM442" s="2" t="s">
        <v>74</v>
      </c>
      <c r="AN442" s="2" t="s">
        <v>74</v>
      </c>
      <c r="AO442" s="2" t="s">
        <v>132</v>
      </c>
      <c r="AP442" s="2" t="s">
        <v>74</v>
      </c>
      <c r="AQ442" s="2" t="s">
        <v>74</v>
      </c>
      <c r="AR442" s="2" t="s">
        <v>74</v>
      </c>
      <c r="AS442" s="2" t="s">
        <v>74</v>
      </c>
      <c r="AT442" s="2" t="s">
        <v>123</v>
      </c>
      <c r="AU442" s="2">
        <v>1994</v>
      </c>
      <c r="AV442" s="2">
        <v>34</v>
      </c>
      <c r="AW442" s="2">
        <v>3</v>
      </c>
      <c r="AX442" s="2" t="s">
        <v>74</v>
      </c>
      <c r="AY442" s="2" t="s">
        <v>74</v>
      </c>
      <c r="AZ442" s="2" t="s">
        <v>74</v>
      </c>
      <c r="BA442" s="2" t="s">
        <v>74</v>
      </c>
      <c r="BB442" s="2">
        <v>203</v>
      </c>
      <c r="BC442" s="2">
        <v>210</v>
      </c>
      <c r="BD442" s="2" t="s">
        <v>74</v>
      </c>
      <c r="BE442" s="2" t="s">
        <v>7782</v>
      </c>
      <c r="BF442" s="2" t="str">
        <f>HYPERLINK("http://dx.doi.org/10.1007/s002650050034","http://dx.doi.org/10.1007/s002650050034")</f>
        <v>http://dx.doi.org/10.1007/s002650050034</v>
      </c>
      <c r="BG442" s="2" t="s">
        <v>74</v>
      </c>
      <c r="BH442" s="2" t="s">
        <v>74</v>
      </c>
      <c r="BI442" s="2" t="s">
        <v>74</v>
      </c>
      <c r="BJ442" s="2" t="s">
        <v>74</v>
      </c>
      <c r="BK442" s="2" t="s">
        <v>74</v>
      </c>
      <c r="BL442" s="2" t="s">
        <v>74</v>
      </c>
      <c r="BM442" s="2" t="s">
        <v>74</v>
      </c>
      <c r="BN442" s="2" t="s">
        <v>74</v>
      </c>
      <c r="BO442" s="2" t="s">
        <v>74</v>
      </c>
      <c r="BP442" s="2" t="s">
        <v>74</v>
      </c>
      <c r="BQ442" s="2" t="s">
        <v>74</v>
      </c>
      <c r="BR442" s="2" t="s">
        <v>74</v>
      </c>
      <c r="BS442" s="2" t="s">
        <v>7783</v>
      </c>
      <c r="BT442" s="2" t="str">
        <f>HYPERLINK("https%3A%2F%2Fwww.webofscience.com%2Fwos%2Fwoscc%2Ffull-record%2FWOS:A1994NG04500006","View Full Record in Web of Science")</f>
        <v>View Full Record in Web of Science</v>
      </c>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row>
    <row r="443" spans="1:314" s="2" customFormat="1" x14ac:dyDescent="0.4">
      <c r="A443" s="2" t="s">
        <v>72</v>
      </c>
      <c r="B443" s="2" t="s">
        <v>5575</v>
      </c>
      <c r="C443" s="2" t="s">
        <v>74</v>
      </c>
      <c r="D443" s="2" t="s">
        <v>74</v>
      </c>
      <c r="E443" s="2" t="s">
        <v>74</v>
      </c>
      <c r="F443" s="2" t="s">
        <v>5575</v>
      </c>
      <c r="G443" s="2" t="s">
        <v>74</v>
      </c>
      <c r="H443" s="2" t="s">
        <v>74</v>
      </c>
      <c r="I443" s="2" t="s">
        <v>5576</v>
      </c>
      <c r="J443" s="2" t="s">
        <v>5577</v>
      </c>
      <c r="K443" s="2" t="s">
        <v>74</v>
      </c>
      <c r="L443" s="2" t="s">
        <v>74</v>
      </c>
      <c r="M443" s="2" t="s">
        <v>74</v>
      </c>
      <c r="N443" s="2" t="s">
        <v>74</v>
      </c>
      <c r="O443" s="2" t="s">
        <v>74</v>
      </c>
      <c r="P443" s="2" t="s">
        <v>74</v>
      </c>
      <c r="Q443" s="2" t="s">
        <v>74</v>
      </c>
      <c r="R443" s="2" t="s">
        <v>74</v>
      </c>
      <c r="S443" s="2" t="s">
        <v>74</v>
      </c>
      <c r="T443" s="2" t="s">
        <v>74</v>
      </c>
      <c r="U443" s="2" t="s">
        <v>74</v>
      </c>
      <c r="V443" s="5" t="s">
        <v>5578</v>
      </c>
      <c r="W443" s="2" t="s">
        <v>74</v>
      </c>
      <c r="X443" s="2" t="s">
        <v>74</v>
      </c>
      <c r="Y443" s="2" t="s">
        <v>74</v>
      </c>
      <c r="Z443" s="2" t="s">
        <v>74</v>
      </c>
      <c r="AA443" s="2" t="s">
        <v>74</v>
      </c>
      <c r="AB443" s="2" t="s">
        <v>74</v>
      </c>
      <c r="AC443" s="2" t="s">
        <v>74</v>
      </c>
      <c r="AD443" s="2" t="s">
        <v>74</v>
      </c>
      <c r="AE443" s="2" t="s">
        <v>74</v>
      </c>
      <c r="AF443" s="2" t="s">
        <v>74</v>
      </c>
      <c r="AG443" s="2" t="s">
        <v>74</v>
      </c>
      <c r="AH443" s="2" t="s">
        <v>74</v>
      </c>
      <c r="AI443" s="2" t="s">
        <v>74</v>
      </c>
      <c r="AJ443" s="2" t="s">
        <v>74</v>
      </c>
      <c r="AK443" s="2" t="s">
        <v>74</v>
      </c>
      <c r="AL443" s="2" t="s">
        <v>74</v>
      </c>
      <c r="AM443" s="2" t="s">
        <v>74</v>
      </c>
      <c r="AN443" s="2" t="s">
        <v>74</v>
      </c>
      <c r="AO443" s="2" t="s">
        <v>5579</v>
      </c>
      <c r="AP443" s="2" t="s">
        <v>74</v>
      </c>
      <c r="AQ443" s="2" t="s">
        <v>74</v>
      </c>
      <c r="AR443" s="2" t="s">
        <v>74</v>
      </c>
      <c r="AS443" s="2" t="s">
        <v>74</v>
      </c>
      <c r="AT443" s="2" t="s">
        <v>123</v>
      </c>
      <c r="AU443" s="2">
        <v>1989</v>
      </c>
      <c r="AV443" s="2">
        <v>68</v>
      </c>
      <c r="AW443" s="2">
        <v>3</v>
      </c>
      <c r="AX443" s="2" t="s">
        <v>74</v>
      </c>
      <c r="AY443" s="2" t="s">
        <v>74</v>
      </c>
      <c r="AZ443" s="2" t="s">
        <v>74</v>
      </c>
      <c r="BA443" s="2" t="s">
        <v>74</v>
      </c>
      <c r="BB443" s="2">
        <v>67</v>
      </c>
      <c r="BC443" s="2">
        <v>76</v>
      </c>
      <c r="BD443" s="2" t="s">
        <v>74</v>
      </c>
      <c r="BE443" s="2" t="s">
        <v>74</v>
      </c>
      <c r="BF443" s="2" t="s">
        <v>74</v>
      </c>
      <c r="BG443" s="2" t="s">
        <v>74</v>
      </c>
      <c r="BH443" s="2" t="s">
        <v>74</v>
      </c>
      <c r="BI443" s="2" t="s">
        <v>74</v>
      </c>
      <c r="BJ443" s="2" t="s">
        <v>74</v>
      </c>
      <c r="BK443" s="2" t="s">
        <v>74</v>
      </c>
      <c r="BL443" s="2" t="s">
        <v>74</v>
      </c>
      <c r="BM443" s="2" t="s">
        <v>74</v>
      </c>
      <c r="BN443" s="2" t="s">
        <v>74</v>
      </c>
      <c r="BO443" s="2" t="s">
        <v>74</v>
      </c>
      <c r="BP443" s="2" t="s">
        <v>74</v>
      </c>
      <c r="BQ443" s="2" t="s">
        <v>74</v>
      </c>
      <c r="BR443" s="2" t="s">
        <v>74</v>
      </c>
      <c r="BS443" s="2" t="s">
        <v>5580</v>
      </c>
      <c r="BT443" s="2" t="str">
        <f>HYPERLINK("https%3A%2F%2Fwww.webofscience.com%2Fwos%2Fwoscc%2Ffull-record%2FWOS:A1989U136200008","View Full Record in Web of Science")</f>
        <v>View Full Record in Web of Science</v>
      </c>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row>
    <row r="444" spans="1:314" s="2" customFormat="1" x14ac:dyDescent="0.4">
      <c r="A444" s="2" t="s">
        <v>72</v>
      </c>
      <c r="B444" s="2" t="s">
        <v>6932</v>
      </c>
      <c r="C444" s="2" t="s">
        <v>74</v>
      </c>
      <c r="D444" s="2" t="s">
        <v>74</v>
      </c>
      <c r="E444" s="2" t="s">
        <v>74</v>
      </c>
      <c r="F444" s="2" t="s">
        <v>6933</v>
      </c>
      <c r="G444" s="2" t="s">
        <v>74</v>
      </c>
      <c r="H444" s="2" t="s">
        <v>74</v>
      </c>
      <c r="I444" s="2" t="s">
        <v>6934</v>
      </c>
      <c r="J444" s="2" t="s">
        <v>129</v>
      </c>
      <c r="K444" s="2" t="s">
        <v>74</v>
      </c>
      <c r="L444" s="2" t="s">
        <v>74</v>
      </c>
      <c r="M444" s="2" t="s">
        <v>74</v>
      </c>
      <c r="N444" s="2" t="s">
        <v>74</v>
      </c>
      <c r="O444" s="2" t="s">
        <v>74</v>
      </c>
      <c r="P444" s="2" t="s">
        <v>74</v>
      </c>
      <c r="Q444" s="2" t="s">
        <v>74</v>
      </c>
      <c r="R444" s="2" t="s">
        <v>74</v>
      </c>
      <c r="S444" s="2" t="s">
        <v>74</v>
      </c>
      <c r="T444" s="2" t="s">
        <v>74</v>
      </c>
      <c r="U444" s="2" t="s">
        <v>74</v>
      </c>
      <c r="V444" s="5" t="s">
        <v>6935</v>
      </c>
      <c r="W444" s="2" t="s">
        <v>74</v>
      </c>
      <c r="X444" s="2" t="s">
        <v>74</v>
      </c>
      <c r="Y444" s="2" t="s">
        <v>74</v>
      </c>
      <c r="Z444" s="2" t="s">
        <v>74</v>
      </c>
      <c r="AA444" s="2" t="s">
        <v>6936</v>
      </c>
      <c r="AB444" s="2" t="s">
        <v>6937</v>
      </c>
      <c r="AC444" s="2" t="s">
        <v>74</v>
      </c>
      <c r="AD444" s="2" t="s">
        <v>74</v>
      </c>
      <c r="AE444" s="2" t="s">
        <v>74</v>
      </c>
      <c r="AF444" s="2" t="s">
        <v>74</v>
      </c>
      <c r="AG444" s="2" t="s">
        <v>74</v>
      </c>
      <c r="AH444" s="2" t="s">
        <v>74</v>
      </c>
      <c r="AI444" s="2" t="s">
        <v>74</v>
      </c>
      <c r="AJ444" s="2" t="s">
        <v>74</v>
      </c>
      <c r="AK444" s="2" t="s">
        <v>74</v>
      </c>
      <c r="AL444" s="2" t="s">
        <v>74</v>
      </c>
      <c r="AM444" s="2" t="s">
        <v>74</v>
      </c>
      <c r="AN444" s="2" t="s">
        <v>74</v>
      </c>
      <c r="AO444" s="2" t="s">
        <v>132</v>
      </c>
      <c r="AP444" s="2" t="s">
        <v>133</v>
      </c>
      <c r="AQ444" s="2" t="s">
        <v>74</v>
      </c>
      <c r="AR444" s="2" t="s">
        <v>74</v>
      </c>
      <c r="AS444" s="2" t="s">
        <v>74</v>
      </c>
      <c r="AT444" s="2" t="s">
        <v>255</v>
      </c>
      <c r="AU444" s="2">
        <v>2022</v>
      </c>
      <c r="AV444" s="2">
        <v>76</v>
      </c>
      <c r="AW444" s="2">
        <v>1</v>
      </c>
      <c r="AX444" s="2" t="s">
        <v>74</v>
      </c>
      <c r="AY444" s="2" t="s">
        <v>74</v>
      </c>
      <c r="AZ444" s="2" t="s">
        <v>74</v>
      </c>
      <c r="BA444" s="2" t="s">
        <v>74</v>
      </c>
      <c r="BB444" s="2" t="s">
        <v>74</v>
      </c>
      <c r="BC444" s="2" t="s">
        <v>74</v>
      </c>
      <c r="BD444" s="2">
        <v>5</v>
      </c>
      <c r="BE444" s="2" t="s">
        <v>6938</v>
      </c>
      <c r="BF444" s="2" t="str">
        <f>HYPERLINK("http://dx.doi.org/10.1007/s00265-021-03122-0","http://dx.doi.org/10.1007/s00265-021-03122-0")</f>
        <v>http://dx.doi.org/10.1007/s00265-021-03122-0</v>
      </c>
      <c r="BG444" s="2" t="s">
        <v>74</v>
      </c>
      <c r="BH444" s="2" t="s">
        <v>74</v>
      </c>
      <c r="BI444" s="2" t="s">
        <v>74</v>
      </c>
      <c r="BJ444" s="2" t="s">
        <v>74</v>
      </c>
      <c r="BK444" s="2" t="s">
        <v>74</v>
      </c>
      <c r="BL444" s="2" t="s">
        <v>74</v>
      </c>
      <c r="BM444" s="2" t="s">
        <v>74</v>
      </c>
      <c r="BN444" s="2" t="s">
        <v>74</v>
      </c>
      <c r="BO444" s="2" t="s">
        <v>74</v>
      </c>
      <c r="BP444" s="2" t="s">
        <v>74</v>
      </c>
      <c r="BQ444" s="2" t="s">
        <v>74</v>
      </c>
      <c r="BR444" s="2" t="s">
        <v>74</v>
      </c>
      <c r="BS444" s="2" t="s">
        <v>6939</v>
      </c>
      <c r="BT444" s="2" t="str">
        <f>HYPERLINK("https%3A%2F%2Fwww.webofscience.com%2Fwos%2Fwoscc%2Ffull-record%2FWOS:000736712500001","View Full Record in Web of Science")</f>
        <v>View Full Record in Web of Science</v>
      </c>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row>
    <row r="445" spans="1:314" s="2" customFormat="1" x14ac:dyDescent="0.4">
      <c r="A445" s="2" t="s">
        <v>72</v>
      </c>
      <c r="B445" s="2" t="s">
        <v>2507</v>
      </c>
      <c r="C445" s="2" t="s">
        <v>74</v>
      </c>
      <c r="D445" s="2" t="s">
        <v>74</v>
      </c>
      <c r="E445" s="2" t="s">
        <v>74</v>
      </c>
      <c r="F445" s="2" t="s">
        <v>2508</v>
      </c>
      <c r="G445" s="2" t="s">
        <v>74</v>
      </c>
      <c r="H445" s="2" t="s">
        <v>74</v>
      </c>
      <c r="I445" s="2" t="s">
        <v>2509</v>
      </c>
      <c r="J445" s="2" t="s">
        <v>509</v>
      </c>
      <c r="K445" s="2" t="s">
        <v>74</v>
      </c>
      <c r="L445" s="2" t="s">
        <v>74</v>
      </c>
      <c r="M445" s="2" t="s">
        <v>74</v>
      </c>
      <c r="N445" s="2" t="s">
        <v>74</v>
      </c>
      <c r="O445" s="2" t="s">
        <v>74</v>
      </c>
      <c r="P445" s="2" t="s">
        <v>74</v>
      </c>
      <c r="Q445" s="2" t="s">
        <v>74</v>
      </c>
      <c r="R445" s="2" t="s">
        <v>74</v>
      </c>
      <c r="S445" s="2" t="s">
        <v>74</v>
      </c>
      <c r="T445" s="2" t="s">
        <v>74</v>
      </c>
      <c r="U445" s="2" t="s">
        <v>74</v>
      </c>
      <c r="V445" s="5" t="s">
        <v>2510</v>
      </c>
      <c r="W445" s="2" t="s">
        <v>74</v>
      </c>
      <c r="X445" s="2" t="s">
        <v>74</v>
      </c>
      <c r="Y445" s="2" t="s">
        <v>74</v>
      </c>
      <c r="Z445" s="2" t="s">
        <v>74</v>
      </c>
      <c r="AA445" s="2" t="s">
        <v>2511</v>
      </c>
      <c r="AB445" s="2" t="s">
        <v>2512</v>
      </c>
      <c r="AC445" s="2" t="s">
        <v>74</v>
      </c>
      <c r="AD445" s="2" t="s">
        <v>74</v>
      </c>
      <c r="AE445" s="2" t="s">
        <v>74</v>
      </c>
      <c r="AF445" s="2" t="s">
        <v>74</v>
      </c>
      <c r="AG445" s="2" t="s">
        <v>74</v>
      </c>
      <c r="AH445" s="2" t="s">
        <v>74</v>
      </c>
      <c r="AI445" s="2" t="s">
        <v>74</v>
      </c>
      <c r="AJ445" s="2" t="s">
        <v>74</v>
      </c>
      <c r="AK445" s="2" t="s">
        <v>74</v>
      </c>
      <c r="AL445" s="2" t="s">
        <v>74</v>
      </c>
      <c r="AM445" s="2" t="s">
        <v>74</v>
      </c>
      <c r="AN445" s="2" t="s">
        <v>74</v>
      </c>
      <c r="AO445" s="2" t="s">
        <v>511</v>
      </c>
      <c r="AP445" s="2" t="s">
        <v>512</v>
      </c>
      <c r="AQ445" s="2" t="s">
        <v>74</v>
      </c>
      <c r="AR445" s="2" t="s">
        <v>74</v>
      </c>
      <c r="AS445" s="2" t="s">
        <v>74</v>
      </c>
      <c r="AT445" s="2" t="s">
        <v>204</v>
      </c>
      <c r="AU445" s="2">
        <v>2018</v>
      </c>
      <c r="AV445" s="2">
        <v>103</v>
      </c>
      <c r="AW445" s="2" t="s">
        <v>74</v>
      </c>
      <c r="AX445" s="2" t="s">
        <v>74</v>
      </c>
      <c r="AY445" s="2" t="s">
        <v>74</v>
      </c>
      <c r="AZ445" s="2" t="s">
        <v>74</v>
      </c>
      <c r="BA445" s="2" t="s">
        <v>74</v>
      </c>
      <c r="BB445" s="2">
        <v>28</v>
      </c>
      <c r="BC445" s="2">
        <v>35</v>
      </c>
      <c r="BD445" s="2" t="s">
        <v>74</v>
      </c>
      <c r="BE445" s="2" t="s">
        <v>2513</v>
      </c>
      <c r="BF445" s="2" t="str">
        <f>HYPERLINK("http://dx.doi.org/10.1016/j.yhbeh.2018.05.015","http://dx.doi.org/10.1016/j.yhbeh.2018.05.015")</f>
        <v>http://dx.doi.org/10.1016/j.yhbeh.2018.05.015</v>
      </c>
      <c r="BG445" s="2" t="s">
        <v>74</v>
      </c>
      <c r="BH445" s="2" t="s">
        <v>74</v>
      </c>
      <c r="BI445" s="2" t="s">
        <v>74</v>
      </c>
      <c r="BJ445" s="2" t="s">
        <v>74</v>
      </c>
      <c r="BK445" s="2" t="s">
        <v>74</v>
      </c>
      <c r="BL445" s="2" t="s">
        <v>74</v>
      </c>
      <c r="BM445" s="2" t="s">
        <v>74</v>
      </c>
      <c r="BN445" s="2">
        <v>29807035</v>
      </c>
      <c r="BO445" s="2" t="s">
        <v>74</v>
      </c>
      <c r="BP445" s="2" t="s">
        <v>74</v>
      </c>
      <c r="BQ445" s="2" t="s">
        <v>74</v>
      </c>
      <c r="BR445" s="2" t="s">
        <v>74</v>
      </c>
      <c r="BS445" s="2" t="s">
        <v>2514</v>
      </c>
      <c r="BT445" s="2" t="str">
        <f>HYPERLINK("https%3A%2F%2Fwww.webofscience.com%2Fwos%2Fwoscc%2Ffull-record%2FWOS:000441368400004","View Full Record in Web of Science")</f>
        <v>View Full Record in Web of Science</v>
      </c>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row>
    <row r="446" spans="1:314" s="2" customFormat="1" x14ac:dyDescent="0.4">
      <c r="A446" s="2" t="s">
        <v>72</v>
      </c>
      <c r="B446" s="2" t="s">
        <v>5095</v>
      </c>
      <c r="C446" s="2" t="s">
        <v>74</v>
      </c>
      <c r="D446" s="2" t="s">
        <v>74</v>
      </c>
      <c r="E446" s="2" t="s">
        <v>74</v>
      </c>
      <c r="F446" s="2" t="s">
        <v>5096</v>
      </c>
      <c r="G446" s="2" t="s">
        <v>74</v>
      </c>
      <c r="H446" s="2" t="s">
        <v>74</v>
      </c>
      <c r="I446" s="2" t="s">
        <v>5097</v>
      </c>
      <c r="J446" s="2" t="s">
        <v>333</v>
      </c>
      <c r="K446" s="2" t="s">
        <v>74</v>
      </c>
      <c r="L446" s="2" t="s">
        <v>74</v>
      </c>
      <c r="M446" s="2" t="s">
        <v>74</v>
      </c>
      <c r="N446" s="2" t="s">
        <v>74</v>
      </c>
      <c r="O446" s="2" t="s">
        <v>74</v>
      </c>
      <c r="P446" s="2" t="s">
        <v>74</v>
      </c>
      <c r="Q446" s="2" t="s">
        <v>74</v>
      </c>
      <c r="R446" s="2" t="s">
        <v>74</v>
      </c>
      <c r="S446" s="2" t="s">
        <v>74</v>
      </c>
      <c r="T446" s="2" t="s">
        <v>74</v>
      </c>
      <c r="U446" s="2" t="s">
        <v>74</v>
      </c>
      <c r="V446" s="5" t="s">
        <v>5098</v>
      </c>
      <c r="W446" s="2" t="s">
        <v>74</v>
      </c>
      <c r="X446" s="2" t="s">
        <v>74</v>
      </c>
      <c r="Y446" s="2" t="s">
        <v>74</v>
      </c>
      <c r="Z446" s="2" t="s">
        <v>74</v>
      </c>
      <c r="AA446" s="2" t="s">
        <v>2511</v>
      </c>
      <c r="AB446" s="2" t="s">
        <v>5099</v>
      </c>
      <c r="AC446" s="2" t="s">
        <v>74</v>
      </c>
      <c r="AD446" s="2" t="s">
        <v>74</v>
      </c>
      <c r="AE446" s="2" t="s">
        <v>74</v>
      </c>
      <c r="AF446" s="2" t="s">
        <v>74</v>
      </c>
      <c r="AG446" s="2" t="s">
        <v>74</v>
      </c>
      <c r="AH446" s="2" t="s">
        <v>74</v>
      </c>
      <c r="AI446" s="2" t="s">
        <v>74</v>
      </c>
      <c r="AJ446" s="2" t="s">
        <v>74</v>
      </c>
      <c r="AK446" s="2" t="s">
        <v>74</v>
      </c>
      <c r="AL446" s="2" t="s">
        <v>74</v>
      </c>
      <c r="AM446" s="2" t="s">
        <v>74</v>
      </c>
      <c r="AN446" s="2" t="s">
        <v>74</v>
      </c>
      <c r="AO446" s="2" t="s">
        <v>337</v>
      </c>
      <c r="AP446" s="2" t="s">
        <v>338</v>
      </c>
      <c r="AQ446" s="2" t="s">
        <v>74</v>
      </c>
      <c r="AR446" s="2" t="s">
        <v>74</v>
      </c>
      <c r="AS446" s="2" t="s">
        <v>74</v>
      </c>
      <c r="AT446" s="2" t="s">
        <v>5100</v>
      </c>
      <c r="AU446" s="2">
        <v>2022</v>
      </c>
      <c r="AV446" s="2">
        <v>33</v>
      </c>
      <c r="AW446" s="2">
        <v>1</v>
      </c>
      <c r="AX446" s="2" t="s">
        <v>74</v>
      </c>
      <c r="AY446" s="2" t="s">
        <v>74</v>
      </c>
      <c r="AZ446" s="2" t="s">
        <v>74</v>
      </c>
      <c r="BA446" s="2" t="s">
        <v>74</v>
      </c>
      <c r="BB446" s="2">
        <v>233</v>
      </c>
      <c r="BC446" s="2">
        <v>244</v>
      </c>
      <c r="BD446" s="2" t="s">
        <v>5101</v>
      </c>
      <c r="BE446" s="2" t="s">
        <v>5102</v>
      </c>
      <c r="BF446" s="2" t="str">
        <f>HYPERLINK("http://dx.doi.org/10.1093/beheco/arab129","http://dx.doi.org/10.1093/beheco/arab129")</f>
        <v>http://dx.doi.org/10.1093/beheco/arab129</v>
      </c>
      <c r="BG446" s="2" t="s">
        <v>74</v>
      </c>
      <c r="BH446" s="2" t="s">
        <v>5103</v>
      </c>
      <c r="BI446" s="2" t="s">
        <v>74</v>
      </c>
      <c r="BJ446" s="2" t="s">
        <v>74</v>
      </c>
      <c r="BK446" s="2" t="s">
        <v>74</v>
      </c>
      <c r="BL446" s="2" t="s">
        <v>74</v>
      </c>
      <c r="BM446" s="2" t="s">
        <v>74</v>
      </c>
      <c r="BN446" s="2">
        <v>35210941</v>
      </c>
      <c r="BO446" s="2" t="s">
        <v>74</v>
      </c>
      <c r="BP446" s="2" t="s">
        <v>74</v>
      </c>
      <c r="BQ446" s="2" t="s">
        <v>74</v>
      </c>
      <c r="BR446" s="2" t="s">
        <v>74</v>
      </c>
      <c r="BS446" s="2" t="s">
        <v>5104</v>
      </c>
      <c r="BT446" s="2" t="str">
        <f>HYPERLINK("https%3A%2F%2Fwww.webofscience.com%2Fwos%2Fwoscc%2Ffull-record%2FWOS:000757960400024","View Full Record in Web of Science")</f>
        <v>View Full Record in Web of Science</v>
      </c>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row>
    <row r="447" spans="1:314" s="2" customFormat="1" x14ac:dyDescent="0.4">
      <c r="A447" s="2" t="s">
        <v>72</v>
      </c>
      <c r="B447" s="2" t="s">
        <v>7619</v>
      </c>
      <c r="C447" s="2" t="s">
        <v>74</v>
      </c>
      <c r="D447" s="2" t="s">
        <v>74</v>
      </c>
      <c r="E447" s="2" t="s">
        <v>74</v>
      </c>
      <c r="F447" s="2" t="s">
        <v>7620</v>
      </c>
      <c r="G447" s="2" t="s">
        <v>74</v>
      </c>
      <c r="H447" s="2" t="s">
        <v>74</v>
      </c>
      <c r="I447" s="2" t="s">
        <v>7621</v>
      </c>
      <c r="J447" s="2" t="s">
        <v>7622</v>
      </c>
      <c r="K447" s="2" t="s">
        <v>74</v>
      </c>
      <c r="L447" s="2" t="s">
        <v>74</v>
      </c>
      <c r="M447" s="2" t="s">
        <v>74</v>
      </c>
      <c r="N447" s="2" t="s">
        <v>74</v>
      </c>
      <c r="O447" s="2" t="s">
        <v>74</v>
      </c>
      <c r="P447" s="2" t="s">
        <v>74</v>
      </c>
      <c r="Q447" s="2" t="s">
        <v>74</v>
      </c>
      <c r="R447" s="2" t="s">
        <v>74</v>
      </c>
      <c r="S447" s="2" t="s">
        <v>74</v>
      </c>
      <c r="T447" s="2" t="s">
        <v>74</v>
      </c>
      <c r="U447" s="2" t="s">
        <v>74</v>
      </c>
      <c r="V447" s="5" t="s">
        <v>7623</v>
      </c>
      <c r="W447" s="2" t="s">
        <v>74</v>
      </c>
      <c r="X447" s="2" t="s">
        <v>74</v>
      </c>
      <c r="Y447" s="2" t="s">
        <v>74</v>
      </c>
      <c r="Z447" s="2" t="s">
        <v>74</v>
      </c>
      <c r="AA447" s="2" t="s">
        <v>74</v>
      </c>
      <c r="AB447" s="2" t="s">
        <v>74</v>
      </c>
      <c r="AC447" s="2" t="s">
        <v>74</v>
      </c>
      <c r="AD447" s="2" t="s">
        <v>74</v>
      </c>
      <c r="AE447" s="2" t="s">
        <v>74</v>
      </c>
      <c r="AF447" s="2" t="s">
        <v>74</v>
      </c>
      <c r="AG447" s="2" t="s">
        <v>74</v>
      </c>
      <c r="AH447" s="2" t="s">
        <v>74</v>
      </c>
      <c r="AI447" s="2" t="s">
        <v>74</v>
      </c>
      <c r="AJ447" s="2" t="s">
        <v>74</v>
      </c>
      <c r="AK447" s="2" t="s">
        <v>74</v>
      </c>
      <c r="AL447" s="2" t="s">
        <v>74</v>
      </c>
      <c r="AM447" s="2" t="s">
        <v>74</v>
      </c>
      <c r="AN447" s="2" t="s">
        <v>74</v>
      </c>
      <c r="AO447" s="2" t="s">
        <v>7624</v>
      </c>
      <c r="AP447" s="2" t="s">
        <v>74</v>
      </c>
      <c r="AQ447" s="2" t="s">
        <v>74</v>
      </c>
      <c r="AR447" s="2" t="s">
        <v>74</v>
      </c>
      <c r="AS447" s="2" t="s">
        <v>74</v>
      </c>
      <c r="AT447" s="2" t="s">
        <v>305</v>
      </c>
      <c r="AU447" s="2">
        <v>2007</v>
      </c>
      <c r="AV447" s="2">
        <v>36</v>
      </c>
      <c r="AW447" s="2">
        <v>6</v>
      </c>
      <c r="AX447" s="2" t="s">
        <v>74</v>
      </c>
      <c r="AY447" s="2" t="s">
        <v>74</v>
      </c>
      <c r="AZ447" s="2" t="s">
        <v>74</v>
      </c>
      <c r="BA447" s="2" t="s">
        <v>74</v>
      </c>
      <c r="BB447" s="2">
        <v>348</v>
      </c>
      <c r="BC447" s="2">
        <v>354</v>
      </c>
      <c r="BD447" s="2" t="s">
        <v>74</v>
      </c>
      <c r="BE447" s="2" t="s">
        <v>7625</v>
      </c>
      <c r="BF447" s="2" t="str">
        <f>HYPERLINK("http://dx.doi.org/10.1111/j.1600-0684.2007.00227.x","http://dx.doi.org/10.1111/j.1600-0684.2007.00227.x")</f>
        <v>http://dx.doi.org/10.1111/j.1600-0684.2007.00227.x</v>
      </c>
      <c r="BG447" s="2" t="s">
        <v>74</v>
      </c>
      <c r="BH447" s="2" t="s">
        <v>74</v>
      </c>
      <c r="BI447" s="2" t="s">
        <v>74</v>
      </c>
      <c r="BJ447" s="2" t="s">
        <v>74</v>
      </c>
      <c r="BK447" s="2" t="s">
        <v>74</v>
      </c>
      <c r="BL447" s="2" t="s">
        <v>74</v>
      </c>
      <c r="BM447" s="2" t="s">
        <v>74</v>
      </c>
      <c r="BN447" s="2">
        <v>17976039</v>
      </c>
      <c r="BO447" s="2" t="s">
        <v>74</v>
      </c>
      <c r="BP447" s="2" t="s">
        <v>74</v>
      </c>
      <c r="BQ447" s="2" t="s">
        <v>74</v>
      </c>
      <c r="BR447" s="2" t="s">
        <v>74</v>
      </c>
      <c r="BS447" s="2" t="s">
        <v>7626</v>
      </c>
      <c r="BT447" s="2" t="str">
        <f>HYPERLINK("https%3A%2F%2Fwww.webofscience.com%2Fwos%2Fwoscc%2Ffull-record%2FWOS:000250553200003","View Full Record in Web of Science")</f>
        <v>View Full Record in Web of Science</v>
      </c>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row>
    <row r="448" spans="1:314" s="2" customFormat="1" x14ac:dyDescent="0.4">
      <c r="A448" s="2" t="s">
        <v>72</v>
      </c>
      <c r="B448" s="2" t="s">
        <v>207</v>
      </c>
      <c r="C448" s="2" t="s">
        <v>74</v>
      </c>
      <c r="D448" s="2" t="s">
        <v>74</v>
      </c>
      <c r="E448" s="2" t="s">
        <v>74</v>
      </c>
      <c r="F448" s="2" t="s">
        <v>208</v>
      </c>
      <c r="G448" s="2" t="s">
        <v>74</v>
      </c>
      <c r="H448" s="2" t="s">
        <v>74</v>
      </c>
      <c r="I448" s="2" t="s">
        <v>209</v>
      </c>
      <c r="J448" s="2" t="s">
        <v>210</v>
      </c>
      <c r="K448" s="2" t="s">
        <v>74</v>
      </c>
      <c r="L448" s="2" t="s">
        <v>74</v>
      </c>
      <c r="M448" s="2" t="s">
        <v>74</v>
      </c>
      <c r="N448" s="2" t="s">
        <v>74</v>
      </c>
      <c r="O448" s="2" t="s">
        <v>74</v>
      </c>
      <c r="P448" s="2" t="s">
        <v>74</v>
      </c>
      <c r="Q448" s="2" t="s">
        <v>74</v>
      </c>
      <c r="R448" s="2" t="s">
        <v>74</v>
      </c>
      <c r="S448" s="2" t="s">
        <v>74</v>
      </c>
      <c r="T448" s="2" t="s">
        <v>74</v>
      </c>
      <c r="U448" s="2" t="s">
        <v>74</v>
      </c>
      <c r="V448" s="5" t="s">
        <v>211</v>
      </c>
      <c r="W448" s="2" t="s">
        <v>74</v>
      </c>
      <c r="X448" s="2" t="s">
        <v>74</v>
      </c>
      <c r="Y448" s="2" t="s">
        <v>74</v>
      </c>
      <c r="Z448" s="2" t="s">
        <v>74</v>
      </c>
      <c r="AA448" s="2" t="s">
        <v>74</v>
      </c>
      <c r="AB448" s="2" t="s">
        <v>74</v>
      </c>
      <c r="AC448" s="2" t="s">
        <v>74</v>
      </c>
      <c r="AD448" s="2" t="s">
        <v>74</v>
      </c>
      <c r="AE448" s="2" t="s">
        <v>74</v>
      </c>
      <c r="AF448" s="2" t="s">
        <v>74</v>
      </c>
      <c r="AG448" s="2" t="s">
        <v>74</v>
      </c>
      <c r="AH448" s="2" t="s">
        <v>74</v>
      </c>
      <c r="AI448" s="2" t="s">
        <v>74</v>
      </c>
      <c r="AJ448" s="2" t="s">
        <v>74</v>
      </c>
      <c r="AK448" s="2" t="s">
        <v>74</v>
      </c>
      <c r="AL448" s="2" t="s">
        <v>74</v>
      </c>
      <c r="AM448" s="2" t="s">
        <v>74</v>
      </c>
      <c r="AN448" s="2" t="s">
        <v>74</v>
      </c>
      <c r="AO448" s="2" t="s">
        <v>212</v>
      </c>
      <c r="AP448" s="2" t="s">
        <v>74</v>
      </c>
      <c r="AQ448" s="2" t="s">
        <v>74</v>
      </c>
      <c r="AR448" s="2" t="s">
        <v>74</v>
      </c>
      <c r="AS448" s="2" t="s">
        <v>74</v>
      </c>
      <c r="AT448" s="2" t="s">
        <v>213</v>
      </c>
      <c r="AU448" s="2">
        <v>2006</v>
      </c>
      <c r="AV448" s="2">
        <v>15</v>
      </c>
      <c r="AW448" s="2">
        <v>4</v>
      </c>
      <c r="AX448" s="2" t="s">
        <v>74</v>
      </c>
      <c r="AY448" s="2" t="s">
        <v>74</v>
      </c>
      <c r="AZ448" s="2" t="s">
        <v>74</v>
      </c>
      <c r="BA448" s="2" t="s">
        <v>74</v>
      </c>
      <c r="BB448" s="2">
        <v>363</v>
      </c>
      <c r="BC448" s="2">
        <v>369</v>
      </c>
      <c r="BD448" s="2" t="s">
        <v>74</v>
      </c>
      <c r="BE448" s="2" t="s">
        <v>74</v>
      </c>
      <c r="BF448" s="2" t="s">
        <v>74</v>
      </c>
      <c r="BG448" s="2" t="s">
        <v>74</v>
      </c>
      <c r="BH448" s="2" t="s">
        <v>74</v>
      </c>
      <c r="BI448" s="2" t="s">
        <v>74</v>
      </c>
      <c r="BJ448" s="2" t="s">
        <v>74</v>
      </c>
      <c r="BK448" s="2" t="s">
        <v>74</v>
      </c>
      <c r="BL448" s="2" t="s">
        <v>74</v>
      </c>
      <c r="BM448" s="2" t="s">
        <v>74</v>
      </c>
      <c r="BN448" s="2" t="s">
        <v>74</v>
      </c>
      <c r="BO448" s="2" t="s">
        <v>74</v>
      </c>
      <c r="BP448" s="2" t="s">
        <v>74</v>
      </c>
      <c r="BQ448" s="2" t="s">
        <v>74</v>
      </c>
      <c r="BR448" s="2" t="s">
        <v>74</v>
      </c>
      <c r="BS448" s="2" t="s">
        <v>214</v>
      </c>
      <c r="BT448" s="2" t="str">
        <f>HYPERLINK("https%3A%2F%2Fwww.webofscience.com%2Fwos%2Fwoscc%2Ffull-record%2FWOS:000241770100007","View Full Record in Web of Science")</f>
        <v>View Full Record in Web of Science</v>
      </c>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row>
    <row r="449" spans="1:314" s="2" customFormat="1" x14ac:dyDescent="0.4">
      <c r="A449" s="2" t="s">
        <v>72</v>
      </c>
      <c r="B449" s="2" t="s">
        <v>3316</v>
      </c>
      <c r="C449" s="2" t="s">
        <v>74</v>
      </c>
      <c r="D449" s="2" t="s">
        <v>74</v>
      </c>
      <c r="E449" s="2" t="s">
        <v>74</v>
      </c>
      <c r="F449" s="2" t="s">
        <v>3317</v>
      </c>
      <c r="G449" s="2" t="s">
        <v>74</v>
      </c>
      <c r="H449" s="2" t="s">
        <v>74</v>
      </c>
      <c r="I449" s="2" t="s">
        <v>3318</v>
      </c>
      <c r="J449" s="2" t="s">
        <v>119</v>
      </c>
      <c r="K449" s="2" t="s">
        <v>74</v>
      </c>
      <c r="L449" s="2" t="s">
        <v>74</v>
      </c>
      <c r="M449" s="2" t="s">
        <v>74</v>
      </c>
      <c r="N449" s="2" t="s">
        <v>74</v>
      </c>
      <c r="O449" s="2" t="s">
        <v>74</v>
      </c>
      <c r="P449" s="2" t="s">
        <v>74</v>
      </c>
      <c r="Q449" s="2" t="s">
        <v>74</v>
      </c>
      <c r="R449" s="2" t="s">
        <v>74</v>
      </c>
      <c r="S449" s="2" t="s">
        <v>74</v>
      </c>
      <c r="T449" s="2" t="s">
        <v>74</v>
      </c>
      <c r="U449" s="2" t="s">
        <v>74</v>
      </c>
      <c r="V449" s="5" t="s">
        <v>3319</v>
      </c>
      <c r="W449" s="2" t="s">
        <v>74</v>
      </c>
      <c r="X449" s="2" t="s">
        <v>74</v>
      </c>
      <c r="Y449" s="2" t="s">
        <v>74</v>
      </c>
      <c r="Z449" s="2" t="s">
        <v>74</v>
      </c>
      <c r="AA449" s="2" t="s">
        <v>1028</v>
      </c>
      <c r="AB449" s="2" t="s">
        <v>1029</v>
      </c>
      <c r="AC449" s="2" t="s">
        <v>74</v>
      </c>
      <c r="AD449" s="2" t="s">
        <v>74</v>
      </c>
      <c r="AE449" s="2" t="s">
        <v>74</v>
      </c>
      <c r="AF449" s="2" t="s">
        <v>74</v>
      </c>
      <c r="AG449" s="2" t="s">
        <v>74</v>
      </c>
      <c r="AH449" s="2" t="s">
        <v>74</v>
      </c>
      <c r="AI449" s="2" t="s">
        <v>74</v>
      </c>
      <c r="AJ449" s="2" t="s">
        <v>74</v>
      </c>
      <c r="AK449" s="2" t="s">
        <v>74</v>
      </c>
      <c r="AL449" s="2" t="s">
        <v>74</v>
      </c>
      <c r="AM449" s="2" t="s">
        <v>74</v>
      </c>
      <c r="AN449" s="2" t="s">
        <v>74</v>
      </c>
      <c r="AO449" s="2" t="s">
        <v>121</v>
      </c>
      <c r="AP449" s="2" t="s">
        <v>74</v>
      </c>
      <c r="AQ449" s="2" t="s">
        <v>74</v>
      </c>
      <c r="AR449" s="2" t="s">
        <v>74</v>
      </c>
      <c r="AS449" s="2" t="s">
        <v>74</v>
      </c>
      <c r="AT449" s="2" t="s">
        <v>255</v>
      </c>
      <c r="AU449" s="2">
        <v>2009</v>
      </c>
      <c r="AV449" s="2">
        <v>80</v>
      </c>
      <c r="AW449" s="2">
        <v>1</v>
      </c>
      <c r="AX449" s="2" t="s">
        <v>74</v>
      </c>
      <c r="AY449" s="2" t="s">
        <v>74</v>
      </c>
      <c r="AZ449" s="2" t="s">
        <v>74</v>
      </c>
      <c r="BA449" s="2" t="s">
        <v>74</v>
      </c>
      <c r="BB449" s="2">
        <v>7</v>
      </c>
      <c r="BC449" s="2">
        <v>11</v>
      </c>
      <c r="BD449" s="2" t="s">
        <v>74</v>
      </c>
      <c r="BE449" s="2" t="s">
        <v>3320</v>
      </c>
      <c r="BF449" s="2" t="str">
        <f>HYPERLINK("http://dx.doi.org/10.1016/j.beproc.2008.08.001","http://dx.doi.org/10.1016/j.beproc.2008.08.001")</f>
        <v>http://dx.doi.org/10.1016/j.beproc.2008.08.001</v>
      </c>
      <c r="BG449" s="2" t="s">
        <v>74</v>
      </c>
      <c r="BH449" s="2" t="s">
        <v>74</v>
      </c>
      <c r="BI449" s="2" t="s">
        <v>74</v>
      </c>
      <c r="BJ449" s="2" t="s">
        <v>74</v>
      </c>
      <c r="BK449" s="2" t="s">
        <v>74</v>
      </c>
      <c r="BL449" s="2" t="s">
        <v>74</v>
      </c>
      <c r="BM449" s="2" t="s">
        <v>74</v>
      </c>
      <c r="BN449" s="2">
        <v>18761061</v>
      </c>
      <c r="BO449" s="2" t="s">
        <v>74</v>
      </c>
      <c r="BP449" s="2" t="s">
        <v>74</v>
      </c>
      <c r="BQ449" s="2" t="s">
        <v>74</v>
      </c>
      <c r="BR449" s="2" t="s">
        <v>74</v>
      </c>
      <c r="BS449" s="2" t="s">
        <v>3321</v>
      </c>
      <c r="BT449" s="2" t="str">
        <f>HYPERLINK("https%3A%2F%2Fwww.webofscience.com%2Fwos%2Fwoscc%2Ffull-record%2FWOS:000262546900002","View Full Record in Web of Science")</f>
        <v>View Full Record in Web of Science</v>
      </c>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row>
    <row r="450" spans="1:314" s="2" customFormat="1" x14ac:dyDescent="0.4">
      <c r="A450" s="2" t="s">
        <v>72</v>
      </c>
      <c r="B450" s="2" t="s">
        <v>1023</v>
      </c>
      <c r="C450" s="2" t="s">
        <v>74</v>
      </c>
      <c r="D450" s="2" t="s">
        <v>74</v>
      </c>
      <c r="E450" s="2" t="s">
        <v>74</v>
      </c>
      <c r="F450" s="2" t="s">
        <v>1024</v>
      </c>
      <c r="G450" s="2" t="s">
        <v>74</v>
      </c>
      <c r="H450" s="2" t="s">
        <v>74</v>
      </c>
      <c r="I450" s="2" t="s">
        <v>1025</v>
      </c>
      <c r="J450" s="2" t="s">
        <v>1026</v>
      </c>
      <c r="K450" s="2" t="s">
        <v>74</v>
      </c>
      <c r="L450" s="2" t="s">
        <v>74</v>
      </c>
      <c r="M450" s="2" t="s">
        <v>74</v>
      </c>
      <c r="N450" s="2" t="s">
        <v>74</v>
      </c>
      <c r="O450" s="2" t="s">
        <v>74</v>
      </c>
      <c r="P450" s="2" t="s">
        <v>74</v>
      </c>
      <c r="Q450" s="2" t="s">
        <v>74</v>
      </c>
      <c r="R450" s="2" t="s">
        <v>74</v>
      </c>
      <c r="S450" s="2" t="s">
        <v>74</v>
      </c>
      <c r="T450" s="2" t="s">
        <v>74</v>
      </c>
      <c r="U450" s="2" t="s">
        <v>74</v>
      </c>
      <c r="V450" s="5" t="s">
        <v>1027</v>
      </c>
      <c r="W450" s="2" t="s">
        <v>74</v>
      </c>
      <c r="X450" s="2" t="s">
        <v>74</v>
      </c>
      <c r="Y450" s="2" t="s">
        <v>74</v>
      </c>
      <c r="Z450" s="2" t="s">
        <v>74</v>
      </c>
      <c r="AA450" s="2" t="s">
        <v>1028</v>
      </c>
      <c r="AB450" s="2" t="s">
        <v>1029</v>
      </c>
      <c r="AC450" s="2" t="s">
        <v>74</v>
      </c>
      <c r="AD450" s="2" t="s">
        <v>74</v>
      </c>
      <c r="AE450" s="2" t="s">
        <v>74</v>
      </c>
      <c r="AF450" s="2" t="s">
        <v>74</v>
      </c>
      <c r="AG450" s="2" t="s">
        <v>74</v>
      </c>
      <c r="AH450" s="2" t="s">
        <v>74</v>
      </c>
      <c r="AI450" s="2" t="s">
        <v>74</v>
      </c>
      <c r="AJ450" s="2" t="s">
        <v>74</v>
      </c>
      <c r="AK450" s="2" t="s">
        <v>74</v>
      </c>
      <c r="AL450" s="2" t="s">
        <v>74</v>
      </c>
      <c r="AM450" s="2" t="s">
        <v>74</v>
      </c>
      <c r="AN450" s="2" t="s">
        <v>74</v>
      </c>
      <c r="AO450" s="2" t="s">
        <v>1030</v>
      </c>
      <c r="AP450" s="2" t="s">
        <v>1031</v>
      </c>
      <c r="AQ450" s="2" t="s">
        <v>74</v>
      </c>
      <c r="AR450" s="2" t="s">
        <v>74</v>
      </c>
      <c r="AS450" s="2" t="s">
        <v>74</v>
      </c>
      <c r="AT450" s="2" t="s">
        <v>964</v>
      </c>
      <c r="AU450" s="2">
        <v>2007</v>
      </c>
      <c r="AV450" s="2">
        <v>28</v>
      </c>
      <c r="AW450" s="2">
        <v>1</v>
      </c>
      <c r="AX450" s="2" t="s">
        <v>74</v>
      </c>
      <c r="AY450" s="2" t="s">
        <v>74</v>
      </c>
      <c r="AZ450" s="2" t="s">
        <v>74</v>
      </c>
      <c r="BA450" s="2" t="s">
        <v>74</v>
      </c>
      <c r="BB450" s="2">
        <v>1</v>
      </c>
      <c r="BC450" s="2">
        <v>7</v>
      </c>
      <c r="BD450" s="2" t="s">
        <v>74</v>
      </c>
      <c r="BE450" s="2" t="s">
        <v>1032</v>
      </c>
      <c r="BF450" s="2" t="str">
        <f>HYPERLINK("http://dx.doi.org/10.1007/s10764-006-9110-8","http://dx.doi.org/10.1007/s10764-006-9110-8")</f>
        <v>http://dx.doi.org/10.1007/s10764-006-9110-8</v>
      </c>
      <c r="BG450" s="2" t="s">
        <v>74</v>
      </c>
      <c r="BH450" s="2" t="s">
        <v>74</v>
      </c>
      <c r="BI450" s="2" t="s">
        <v>74</v>
      </c>
      <c r="BJ450" s="2" t="s">
        <v>74</v>
      </c>
      <c r="BK450" s="2" t="s">
        <v>74</v>
      </c>
      <c r="BL450" s="2" t="s">
        <v>74</v>
      </c>
      <c r="BM450" s="2" t="s">
        <v>74</v>
      </c>
      <c r="BN450" s="2" t="s">
        <v>74</v>
      </c>
      <c r="BO450" s="2" t="s">
        <v>74</v>
      </c>
      <c r="BP450" s="2" t="s">
        <v>74</v>
      </c>
      <c r="BQ450" s="2" t="s">
        <v>74</v>
      </c>
      <c r="BR450" s="2" t="s">
        <v>74</v>
      </c>
      <c r="BS450" s="2" t="s">
        <v>1033</v>
      </c>
      <c r="BT450" s="2" t="str">
        <f>HYPERLINK("https%3A%2F%2Fwww.webofscience.com%2Fwos%2Fwoscc%2Ffull-record%2FWOS:000246843800001","View Full Record in Web of Science")</f>
        <v>View Full Record in Web of Science</v>
      </c>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row>
    <row r="451" spans="1:314" s="2" customFormat="1" x14ac:dyDescent="0.4">
      <c r="A451" s="2" t="s">
        <v>72</v>
      </c>
      <c r="B451" s="2" t="s">
        <v>7627</v>
      </c>
      <c r="C451" s="2" t="s">
        <v>74</v>
      </c>
      <c r="D451" s="2" t="s">
        <v>74</v>
      </c>
      <c r="E451" s="2" t="s">
        <v>74</v>
      </c>
      <c r="F451" s="2" t="s">
        <v>7628</v>
      </c>
      <c r="G451" s="2" t="s">
        <v>74</v>
      </c>
      <c r="H451" s="2" t="s">
        <v>74</v>
      </c>
      <c r="I451" s="2" t="s">
        <v>7629</v>
      </c>
      <c r="J451" s="2" t="s">
        <v>1526</v>
      </c>
      <c r="K451" s="2" t="s">
        <v>74</v>
      </c>
      <c r="L451" s="2" t="s">
        <v>74</v>
      </c>
      <c r="M451" s="2" t="s">
        <v>74</v>
      </c>
      <c r="N451" s="2" t="s">
        <v>74</v>
      </c>
      <c r="O451" s="2" t="s">
        <v>74</v>
      </c>
      <c r="P451" s="2" t="s">
        <v>74</v>
      </c>
      <c r="Q451" s="2" t="s">
        <v>74</v>
      </c>
      <c r="R451" s="2" t="s">
        <v>74</v>
      </c>
      <c r="S451" s="2" t="s">
        <v>74</v>
      </c>
      <c r="T451" s="2" t="s">
        <v>74</v>
      </c>
      <c r="U451" s="2" t="s">
        <v>74</v>
      </c>
      <c r="V451" s="5" t="s">
        <v>7630</v>
      </c>
      <c r="W451" s="2" t="s">
        <v>74</v>
      </c>
      <c r="X451" s="2" t="s">
        <v>74</v>
      </c>
      <c r="Y451" s="2" t="s">
        <v>74</v>
      </c>
      <c r="Z451" s="2" t="s">
        <v>74</v>
      </c>
      <c r="AA451" s="2" t="s">
        <v>7631</v>
      </c>
      <c r="AB451" s="2" t="s">
        <v>7632</v>
      </c>
      <c r="AC451" s="2" t="s">
        <v>74</v>
      </c>
      <c r="AD451" s="2" t="s">
        <v>74</v>
      </c>
      <c r="AE451" s="2" t="s">
        <v>74</v>
      </c>
      <c r="AF451" s="2" t="s">
        <v>74</v>
      </c>
      <c r="AG451" s="2" t="s">
        <v>74</v>
      </c>
      <c r="AH451" s="2" t="s">
        <v>74</v>
      </c>
      <c r="AI451" s="2" t="s">
        <v>74</v>
      </c>
      <c r="AJ451" s="2" t="s">
        <v>74</v>
      </c>
      <c r="AK451" s="2" t="s">
        <v>74</v>
      </c>
      <c r="AL451" s="2" t="s">
        <v>74</v>
      </c>
      <c r="AM451" s="2" t="s">
        <v>74</v>
      </c>
      <c r="AN451" s="2" t="s">
        <v>74</v>
      </c>
      <c r="AO451" s="2" t="s">
        <v>1528</v>
      </c>
      <c r="AP451" s="2" t="s">
        <v>74</v>
      </c>
      <c r="AQ451" s="2" t="s">
        <v>74</v>
      </c>
      <c r="AR451" s="2" t="s">
        <v>74</v>
      </c>
      <c r="AS451" s="2" t="s">
        <v>74</v>
      </c>
      <c r="AT451" s="2" t="s">
        <v>213</v>
      </c>
      <c r="AU451" s="2">
        <v>2010</v>
      </c>
      <c r="AV451" s="2">
        <v>112</v>
      </c>
      <c r="AW451" s="2">
        <v>4</v>
      </c>
      <c r="AX451" s="2" t="s">
        <v>74</v>
      </c>
      <c r="AY451" s="2" t="s">
        <v>74</v>
      </c>
      <c r="AZ451" s="2" t="s">
        <v>74</v>
      </c>
      <c r="BA451" s="2" t="s">
        <v>74</v>
      </c>
      <c r="BB451" s="2">
        <v>676</v>
      </c>
      <c r="BC451" s="2">
        <v>682</v>
      </c>
      <c r="BD451" s="2" t="s">
        <v>74</v>
      </c>
      <c r="BE451" s="2" t="s">
        <v>7633</v>
      </c>
      <c r="BF451" s="2" t="str">
        <f>HYPERLINK("http://dx.doi.org/10.1525/cond.2010.090193","http://dx.doi.org/10.1525/cond.2010.090193")</f>
        <v>http://dx.doi.org/10.1525/cond.2010.090193</v>
      </c>
      <c r="BG451" s="2" t="s">
        <v>74</v>
      </c>
      <c r="BH451" s="2" t="s">
        <v>74</v>
      </c>
      <c r="BI451" s="2" t="s">
        <v>74</v>
      </c>
      <c r="BJ451" s="2" t="s">
        <v>74</v>
      </c>
      <c r="BK451" s="2" t="s">
        <v>74</v>
      </c>
      <c r="BL451" s="2" t="s">
        <v>74</v>
      </c>
      <c r="BM451" s="2" t="s">
        <v>74</v>
      </c>
      <c r="BN451" s="2" t="s">
        <v>74</v>
      </c>
      <c r="BO451" s="2" t="s">
        <v>74</v>
      </c>
      <c r="BP451" s="2" t="s">
        <v>74</v>
      </c>
      <c r="BQ451" s="2" t="s">
        <v>74</v>
      </c>
      <c r="BR451" s="2" t="s">
        <v>74</v>
      </c>
      <c r="BS451" s="2" t="s">
        <v>7634</v>
      </c>
      <c r="BT451" s="2" t="str">
        <f>HYPERLINK("https%3A%2F%2Fwww.webofscience.com%2Fwos%2Fwoscc%2Ffull-record%2FWOS:000285727700006","View Full Record in Web of Science")</f>
        <v>View Full Record in Web of Science</v>
      </c>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row>
    <row r="452" spans="1:314" s="2" customFormat="1" x14ac:dyDescent="0.4">
      <c r="A452" s="2" t="s">
        <v>72</v>
      </c>
      <c r="B452" s="2" t="s">
        <v>4659</v>
      </c>
      <c r="C452" s="2" t="s">
        <v>74</v>
      </c>
      <c r="D452" s="2" t="s">
        <v>74</v>
      </c>
      <c r="E452" s="2" t="s">
        <v>74</v>
      </c>
      <c r="F452" s="2" t="s">
        <v>4659</v>
      </c>
      <c r="G452" s="2" t="s">
        <v>74</v>
      </c>
      <c r="H452" s="2" t="s">
        <v>74</v>
      </c>
      <c r="I452" s="2" t="s">
        <v>4660</v>
      </c>
      <c r="J452" s="2" t="s">
        <v>4661</v>
      </c>
      <c r="K452" s="2" t="s">
        <v>74</v>
      </c>
      <c r="L452" s="2" t="s">
        <v>74</v>
      </c>
      <c r="M452" s="2" t="s">
        <v>74</v>
      </c>
      <c r="N452" s="2" t="s">
        <v>74</v>
      </c>
      <c r="O452" s="2" t="s">
        <v>74</v>
      </c>
      <c r="P452" s="2" t="s">
        <v>74</v>
      </c>
      <c r="Q452" s="2" t="s">
        <v>74</v>
      </c>
      <c r="R452" s="2" t="s">
        <v>74</v>
      </c>
      <c r="S452" s="2" t="s">
        <v>74</v>
      </c>
      <c r="T452" s="2" t="s">
        <v>74</v>
      </c>
      <c r="U452" s="2" t="s">
        <v>74</v>
      </c>
      <c r="V452" s="5" t="s">
        <v>4662</v>
      </c>
      <c r="W452" s="2" t="s">
        <v>74</v>
      </c>
      <c r="X452" s="2" t="s">
        <v>74</v>
      </c>
      <c r="Y452" s="2" t="s">
        <v>74</v>
      </c>
      <c r="Z452" s="2" t="s">
        <v>74</v>
      </c>
      <c r="AA452" s="2" t="s">
        <v>74</v>
      </c>
      <c r="AB452" s="2" t="s">
        <v>74</v>
      </c>
      <c r="AC452" s="2" t="s">
        <v>74</v>
      </c>
      <c r="AD452" s="2" t="s">
        <v>74</v>
      </c>
      <c r="AE452" s="2" t="s">
        <v>74</v>
      </c>
      <c r="AF452" s="2" t="s">
        <v>74</v>
      </c>
      <c r="AG452" s="2" t="s">
        <v>74</v>
      </c>
      <c r="AH452" s="2" t="s">
        <v>74</v>
      </c>
      <c r="AI452" s="2" t="s">
        <v>74</v>
      </c>
      <c r="AJ452" s="2" t="s">
        <v>74</v>
      </c>
      <c r="AK452" s="2" t="s">
        <v>74</v>
      </c>
      <c r="AL452" s="2" t="s">
        <v>74</v>
      </c>
      <c r="AM452" s="2" t="s">
        <v>74</v>
      </c>
      <c r="AN452" s="2" t="s">
        <v>74</v>
      </c>
      <c r="AO452" s="2" t="s">
        <v>4663</v>
      </c>
      <c r="AP452" s="2" t="s">
        <v>74</v>
      </c>
      <c r="AQ452" s="2" t="s">
        <v>74</v>
      </c>
      <c r="AR452" s="2" t="s">
        <v>74</v>
      </c>
      <c r="AS452" s="2" t="s">
        <v>74</v>
      </c>
      <c r="AT452" s="2" t="s">
        <v>74</v>
      </c>
      <c r="AU452" s="2">
        <v>1996</v>
      </c>
      <c r="AV452" s="2">
        <v>24</v>
      </c>
      <c r="AW452" s="2">
        <v>2</v>
      </c>
      <c r="AX452" s="2" t="s">
        <v>74</v>
      </c>
      <c r="AY452" s="2" t="s">
        <v>74</v>
      </c>
      <c r="AZ452" s="2" t="s">
        <v>74</v>
      </c>
      <c r="BA452" s="2" t="s">
        <v>74</v>
      </c>
      <c r="BB452" s="2">
        <v>93</v>
      </c>
      <c r="BC452" s="2">
        <v>100</v>
      </c>
      <c r="BD452" s="2" t="s">
        <v>74</v>
      </c>
      <c r="BE452" s="2" t="s">
        <v>74</v>
      </c>
      <c r="BF452" s="2" t="s">
        <v>74</v>
      </c>
      <c r="BG452" s="2" t="s">
        <v>74</v>
      </c>
      <c r="BH452" s="2" t="s">
        <v>74</v>
      </c>
      <c r="BI452" s="2" t="s">
        <v>74</v>
      </c>
      <c r="BJ452" s="2" t="s">
        <v>74</v>
      </c>
      <c r="BK452" s="2" t="s">
        <v>74</v>
      </c>
      <c r="BL452" s="2" t="s">
        <v>74</v>
      </c>
      <c r="BM452" s="2" t="s">
        <v>74</v>
      </c>
      <c r="BN452" s="2" t="s">
        <v>74</v>
      </c>
      <c r="BO452" s="2" t="s">
        <v>74</v>
      </c>
      <c r="BP452" s="2" t="s">
        <v>74</v>
      </c>
      <c r="BQ452" s="2" t="s">
        <v>74</v>
      </c>
      <c r="BR452" s="2" t="s">
        <v>74</v>
      </c>
      <c r="BS452" s="2" t="s">
        <v>4664</v>
      </c>
      <c r="BT452" s="2" t="str">
        <f>HYPERLINK("https%3A%2F%2Fwww.webofscience.com%2Fwos%2Fwoscc%2Ffull-record%2FWOS:A1996VW78600003","View Full Record in Web of Science")</f>
        <v>View Full Record in Web of Science</v>
      </c>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row>
    <row r="453" spans="1:314" s="2" customFormat="1" x14ac:dyDescent="0.4">
      <c r="A453" s="2" t="s">
        <v>72</v>
      </c>
      <c r="B453" s="2" t="s">
        <v>7730</v>
      </c>
      <c r="C453" s="2" t="s">
        <v>74</v>
      </c>
      <c r="D453" s="2" t="s">
        <v>74</v>
      </c>
      <c r="E453" s="2" t="s">
        <v>74</v>
      </c>
      <c r="F453" s="2" t="s">
        <v>7731</v>
      </c>
      <c r="G453" s="2" t="s">
        <v>74</v>
      </c>
      <c r="H453" s="2" t="s">
        <v>74</v>
      </c>
      <c r="I453" s="2" t="s">
        <v>7732</v>
      </c>
      <c r="J453" s="2" t="s">
        <v>1656</v>
      </c>
      <c r="K453" s="2" t="s">
        <v>74</v>
      </c>
      <c r="L453" s="2" t="s">
        <v>74</v>
      </c>
      <c r="M453" s="2" t="s">
        <v>74</v>
      </c>
      <c r="N453" s="2" t="s">
        <v>74</v>
      </c>
      <c r="O453" s="2" t="s">
        <v>74</v>
      </c>
      <c r="P453" s="2" t="s">
        <v>74</v>
      </c>
      <c r="Q453" s="2" t="s">
        <v>74</v>
      </c>
      <c r="R453" s="2" t="s">
        <v>74</v>
      </c>
      <c r="S453" s="2" t="s">
        <v>74</v>
      </c>
      <c r="T453" s="2" t="s">
        <v>74</v>
      </c>
      <c r="U453" s="2" t="s">
        <v>74</v>
      </c>
      <c r="V453" s="5" t="s">
        <v>7733</v>
      </c>
      <c r="W453" s="2" t="s">
        <v>74</v>
      </c>
      <c r="X453" s="2" t="s">
        <v>74</v>
      </c>
      <c r="Y453" s="2" t="s">
        <v>74</v>
      </c>
      <c r="Z453" s="2" t="s">
        <v>74</v>
      </c>
      <c r="AA453" s="2" t="s">
        <v>7734</v>
      </c>
      <c r="AB453" s="2" t="s">
        <v>7735</v>
      </c>
      <c r="AC453" s="2" t="s">
        <v>74</v>
      </c>
      <c r="AD453" s="2" t="s">
        <v>74</v>
      </c>
      <c r="AE453" s="2" t="s">
        <v>74</v>
      </c>
      <c r="AF453" s="2" t="s">
        <v>74</v>
      </c>
      <c r="AG453" s="2" t="s">
        <v>74</v>
      </c>
      <c r="AH453" s="2" t="s">
        <v>74</v>
      </c>
      <c r="AI453" s="2" t="s">
        <v>74</v>
      </c>
      <c r="AJ453" s="2" t="s">
        <v>74</v>
      </c>
      <c r="AK453" s="2" t="s">
        <v>74</v>
      </c>
      <c r="AL453" s="2" t="s">
        <v>74</v>
      </c>
      <c r="AM453" s="2" t="s">
        <v>74</v>
      </c>
      <c r="AN453" s="2" t="s">
        <v>74</v>
      </c>
      <c r="AO453" s="2" t="s">
        <v>1658</v>
      </c>
      <c r="AP453" s="2" t="s">
        <v>1659</v>
      </c>
      <c r="AQ453" s="2" t="s">
        <v>74</v>
      </c>
      <c r="AR453" s="2" t="s">
        <v>74</v>
      </c>
      <c r="AS453" s="2" t="s">
        <v>74</v>
      </c>
      <c r="AT453" s="2" t="s">
        <v>275</v>
      </c>
      <c r="AU453" s="2">
        <v>2022</v>
      </c>
      <c r="AV453" s="2">
        <v>5128</v>
      </c>
      <c r="AW453" s="2">
        <v>4</v>
      </c>
      <c r="AX453" s="2" t="s">
        <v>74</v>
      </c>
      <c r="AY453" s="2" t="s">
        <v>74</v>
      </c>
      <c r="AZ453" s="2" t="s">
        <v>74</v>
      </c>
      <c r="BA453" s="2" t="s">
        <v>74</v>
      </c>
      <c r="BB453" s="2">
        <v>486</v>
      </c>
      <c r="BC453" s="2">
        <v>502</v>
      </c>
      <c r="BD453" s="2" t="s">
        <v>74</v>
      </c>
      <c r="BE453" s="2" t="s">
        <v>7736</v>
      </c>
      <c r="BF453" s="2" t="str">
        <f>HYPERLINK("http://dx.doi.org/10.11646/zootaxa.5128.4.2","http://dx.doi.org/10.11646/zootaxa.5128.4.2")</f>
        <v>http://dx.doi.org/10.11646/zootaxa.5128.4.2</v>
      </c>
      <c r="BG453" s="2" t="s">
        <v>74</v>
      </c>
      <c r="BH453" s="2" t="s">
        <v>74</v>
      </c>
      <c r="BI453" s="2" t="s">
        <v>74</v>
      </c>
      <c r="BJ453" s="2" t="s">
        <v>74</v>
      </c>
      <c r="BK453" s="2" t="s">
        <v>74</v>
      </c>
      <c r="BL453" s="2" t="s">
        <v>74</v>
      </c>
      <c r="BM453" s="2" t="s">
        <v>74</v>
      </c>
      <c r="BN453" s="2">
        <v>36101160</v>
      </c>
      <c r="BO453" s="2" t="s">
        <v>74</v>
      </c>
      <c r="BP453" s="2" t="s">
        <v>74</v>
      </c>
      <c r="BQ453" s="2" t="s">
        <v>74</v>
      </c>
      <c r="BR453" s="2" t="s">
        <v>74</v>
      </c>
      <c r="BS453" s="2" t="s">
        <v>7737</v>
      </c>
      <c r="BT453" s="2" t="str">
        <f>HYPERLINK("https%3A%2F%2Fwww.webofscience.com%2Fwos%2Fwoscc%2Ffull-record%2FWOS:000792772900002","View Full Record in Web of Science")</f>
        <v>View Full Record in Web of Science</v>
      </c>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row>
    <row r="454" spans="1:314" s="2" customFormat="1" x14ac:dyDescent="0.4">
      <c r="A454" s="2" t="s">
        <v>72</v>
      </c>
      <c r="B454" s="2" t="s">
        <v>6811</v>
      </c>
      <c r="C454" s="2" t="s">
        <v>74</v>
      </c>
      <c r="D454" s="2" t="s">
        <v>74</v>
      </c>
      <c r="E454" s="2" t="s">
        <v>74</v>
      </c>
      <c r="F454" s="2" t="s">
        <v>6812</v>
      </c>
      <c r="G454" s="2" t="s">
        <v>74</v>
      </c>
      <c r="H454" s="2" t="s">
        <v>74</v>
      </c>
      <c r="I454" s="2" t="s">
        <v>6813</v>
      </c>
      <c r="J454" s="2" t="s">
        <v>6814</v>
      </c>
      <c r="K454" s="2" t="s">
        <v>74</v>
      </c>
      <c r="L454" s="2" t="s">
        <v>74</v>
      </c>
      <c r="M454" s="2" t="s">
        <v>74</v>
      </c>
      <c r="N454" s="2" t="s">
        <v>74</v>
      </c>
      <c r="O454" s="2" t="s">
        <v>74</v>
      </c>
      <c r="P454" s="2" t="s">
        <v>74</v>
      </c>
      <c r="Q454" s="2" t="s">
        <v>74</v>
      </c>
      <c r="R454" s="2" t="s">
        <v>74</v>
      </c>
      <c r="S454" s="2" t="s">
        <v>74</v>
      </c>
      <c r="T454" s="2" t="s">
        <v>74</v>
      </c>
      <c r="U454" s="2" t="s">
        <v>74</v>
      </c>
      <c r="V454" s="5" t="s">
        <v>6815</v>
      </c>
      <c r="W454" s="2" t="s">
        <v>74</v>
      </c>
      <c r="X454" s="2" t="s">
        <v>74</v>
      </c>
      <c r="Y454" s="2" t="s">
        <v>74</v>
      </c>
      <c r="Z454" s="2" t="s">
        <v>74</v>
      </c>
      <c r="AA454" s="2" t="s">
        <v>6816</v>
      </c>
      <c r="AB454" s="2" t="s">
        <v>6817</v>
      </c>
      <c r="AC454" s="2" t="s">
        <v>74</v>
      </c>
      <c r="AD454" s="2" t="s">
        <v>74</v>
      </c>
      <c r="AE454" s="2" t="s">
        <v>74</v>
      </c>
      <c r="AF454" s="2" t="s">
        <v>74</v>
      </c>
      <c r="AG454" s="2" t="s">
        <v>74</v>
      </c>
      <c r="AH454" s="2" t="s">
        <v>74</v>
      </c>
      <c r="AI454" s="2" t="s">
        <v>74</v>
      </c>
      <c r="AJ454" s="2" t="s">
        <v>74</v>
      </c>
      <c r="AK454" s="2" t="s">
        <v>74</v>
      </c>
      <c r="AL454" s="2" t="s">
        <v>74</v>
      </c>
      <c r="AM454" s="2" t="s">
        <v>74</v>
      </c>
      <c r="AN454" s="2" t="s">
        <v>74</v>
      </c>
      <c r="AO454" s="2" t="s">
        <v>6818</v>
      </c>
      <c r="AP454" s="2" t="s">
        <v>6819</v>
      </c>
      <c r="AQ454" s="2" t="s">
        <v>74</v>
      </c>
      <c r="AR454" s="2" t="s">
        <v>74</v>
      </c>
      <c r="AS454" s="2" t="s">
        <v>74</v>
      </c>
      <c r="AT454" s="2" t="s">
        <v>352</v>
      </c>
      <c r="AU454" s="2">
        <v>2021</v>
      </c>
      <c r="AV454" s="2">
        <v>14</v>
      </c>
      <c r="AW454" s="2">
        <v>5</v>
      </c>
      <c r="AX454" s="2" t="s">
        <v>74</v>
      </c>
      <c r="AY454" s="2" t="s">
        <v>74</v>
      </c>
      <c r="AZ454" s="2" t="s">
        <v>74</v>
      </c>
      <c r="BA454" s="2" t="s">
        <v>74</v>
      </c>
      <c r="BB454" s="2">
        <v>661</v>
      </c>
      <c r="BC454" s="2">
        <v>674</v>
      </c>
      <c r="BD454" s="2" t="s">
        <v>74</v>
      </c>
      <c r="BE454" s="2" t="s">
        <v>6820</v>
      </c>
      <c r="BF454" s="2" t="str">
        <f>HYPERLINK("http://dx.doi.org/10.1111/icad.12500","http://dx.doi.org/10.1111/icad.12500")</f>
        <v>http://dx.doi.org/10.1111/icad.12500</v>
      </c>
      <c r="BG454" s="2" t="s">
        <v>74</v>
      </c>
      <c r="BH454" s="2" t="s">
        <v>571</v>
      </c>
      <c r="BI454" s="2" t="s">
        <v>74</v>
      </c>
      <c r="BJ454" s="2" t="s">
        <v>74</v>
      </c>
      <c r="BK454" s="2" t="s">
        <v>74</v>
      </c>
      <c r="BL454" s="2" t="s">
        <v>74</v>
      </c>
      <c r="BM454" s="2" t="s">
        <v>74</v>
      </c>
      <c r="BN454" s="2" t="s">
        <v>74</v>
      </c>
      <c r="BO454" s="2" t="s">
        <v>74</v>
      </c>
      <c r="BP454" s="2" t="s">
        <v>74</v>
      </c>
      <c r="BQ454" s="2" t="s">
        <v>74</v>
      </c>
      <c r="BR454" s="2" t="s">
        <v>74</v>
      </c>
      <c r="BS454" s="2" t="s">
        <v>6821</v>
      </c>
      <c r="BT454" s="2" t="str">
        <f>HYPERLINK("https%3A%2F%2Fwww.webofscience.com%2Fwos%2Fwoscc%2Ffull-record%2FWOS:000653231000001","View Full Record in Web of Science")</f>
        <v>View Full Record in Web of Science</v>
      </c>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row>
    <row r="455" spans="1:314" s="2" customFormat="1" x14ac:dyDescent="0.4">
      <c r="A455" s="2" t="s">
        <v>72</v>
      </c>
      <c r="B455" s="2" t="s">
        <v>7206</v>
      </c>
      <c r="C455" s="2" t="s">
        <v>74</v>
      </c>
      <c r="D455" s="2" t="s">
        <v>74</v>
      </c>
      <c r="E455" s="2" t="s">
        <v>74</v>
      </c>
      <c r="F455" s="2" t="s">
        <v>7207</v>
      </c>
      <c r="G455" s="2" t="s">
        <v>74</v>
      </c>
      <c r="H455" s="2" t="s">
        <v>74</v>
      </c>
      <c r="I455" s="2" t="s">
        <v>7208</v>
      </c>
      <c r="J455" s="2" t="s">
        <v>1237</v>
      </c>
      <c r="K455" s="2" t="s">
        <v>74</v>
      </c>
      <c r="L455" s="2" t="s">
        <v>74</v>
      </c>
      <c r="M455" s="2" t="s">
        <v>74</v>
      </c>
      <c r="N455" s="2" t="s">
        <v>74</v>
      </c>
      <c r="O455" s="2" t="s">
        <v>74</v>
      </c>
      <c r="P455" s="2" t="s">
        <v>74</v>
      </c>
      <c r="Q455" s="2" t="s">
        <v>74</v>
      </c>
      <c r="R455" s="2" t="s">
        <v>74</v>
      </c>
      <c r="S455" s="2" t="s">
        <v>74</v>
      </c>
      <c r="T455" s="2" t="s">
        <v>74</v>
      </c>
      <c r="U455" s="2" t="s">
        <v>74</v>
      </c>
      <c r="V455" s="5" t="s">
        <v>7209</v>
      </c>
      <c r="W455" s="2" t="s">
        <v>74</v>
      </c>
      <c r="X455" s="2" t="s">
        <v>74</v>
      </c>
      <c r="Y455" s="2" t="s">
        <v>74</v>
      </c>
      <c r="Z455" s="2" t="s">
        <v>74</v>
      </c>
      <c r="AA455" s="2" t="s">
        <v>74</v>
      </c>
      <c r="AB455" s="2" t="s">
        <v>74</v>
      </c>
      <c r="AC455" s="2" t="s">
        <v>74</v>
      </c>
      <c r="AD455" s="2" t="s">
        <v>74</v>
      </c>
      <c r="AE455" s="2" t="s">
        <v>74</v>
      </c>
      <c r="AF455" s="2" t="s">
        <v>74</v>
      </c>
      <c r="AG455" s="2" t="s">
        <v>74</v>
      </c>
      <c r="AH455" s="2" t="s">
        <v>74</v>
      </c>
      <c r="AI455" s="2" t="s">
        <v>74</v>
      </c>
      <c r="AJ455" s="2" t="s">
        <v>74</v>
      </c>
      <c r="AK455" s="2" t="s">
        <v>74</v>
      </c>
      <c r="AL455" s="2" t="s">
        <v>74</v>
      </c>
      <c r="AM455" s="2" t="s">
        <v>74</v>
      </c>
      <c r="AN455" s="2" t="s">
        <v>74</v>
      </c>
      <c r="AO455" s="2" t="s">
        <v>1239</v>
      </c>
      <c r="AP455" s="2" t="s">
        <v>74</v>
      </c>
      <c r="AQ455" s="2" t="s">
        <v>74</v>
      </c>
      <c r="AR455" s="2" t="s">
        <v>74</v>
      </c>
      <c r="AS455" s="2" t="s">
        <v>74</v>
      </c>
      <c r="AT455" s="2" t="s">
        <v>102</v>
      </c>
      <c r="AU455" s="2">
        <v>2009</v>
      </c>
      <c r="AV455" s="2">
        <v>87</v>
      </c>
      <c r="AW455" s="2">
        <v>6</v>
      </c>
      <c r="AX455" s="2" t="s">
        <v>74</v>
      </c>
      <c r="AY455" s="2" t="s">
        <v>74</v>
      </c>
      <c r="AZ455" s="2" t="s">
        <v>74</v>
      </c>
      <c r="BA455" s="2" t="s">
        <v>74</v>
      </c>
      <c r="BB455" s="2">
        <v>529</v>
      </c>
      <c r="BC455" s="2">
        <v>536</v>
      </c>
      <c r="BD455" s="2" t="s">
        <v>74</v>
      </c>
      <c r="BE455" s="2" t="s">
        <v>7210</v>
      </c>
      <c r="BF455" s="2" t="str">
        <f>HYPERLINK("http://dx.doi.org/10.1139/Z09-039","http://dx.doi.org/10.1139/Z09-039")</f>
        <v>http://dx.doi.org/10.1139/Z09-039</v>
      </c>
      <c r="BG455" s="2" t="s">
        <v>74</v>
      </c>
      <c r="BH455" s="2" t="s">
        <v>74</v>
      </c>
      <c r="BI455" s="2" t="s">
        <v>74</v>
      </c>
      <c r="BJ455" s="2" t="s">
        <v>74</v>
      </c>
      <c r="BK455" s="2" t="s">
        <v>74</v>
      </c>
      <c r="BL455" s="2" t="s">
        <v>74</v>
      </c>
      <c r="BM455" s="2" t="s">
        <v>74</v>
      </c>
      <c r="BN455" s="2" t="s">
        <v>74</v>
      </c>
      <c r="BO455" s="2" t="s">
        <v>74</v>
      </c>
      <c r="BP455" s="2" t="s">
        <v>74</v>
      </c>
      <c r="BQ455" s="2" t="s">
        <v>74</v>
      </c>
      <c r="BR455" s="2" t="s">
        <v>74</v>
      </c>
      <c r="BS455" s="2" t="s">
        <v>7211</v>
      </c>
      <c r="BT455" s="2" t="str">
        <f>HYPERLINK("https%3A%2F%2Fwww.webofscience.com%2Fwos%2Fwoscc%2Ffull-record%2FWOS:000267075500008","View Full Record in Web of Science")</f>
        <v>View Full Record in Web of Science</v>
      </c>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row>
    <row r="456" spans="1:314" s="2" customFormat="1" x14ac:dyDescent="0.4">
      <c r="A456" s="2" t="s">
        <v>72</v>
      </c>
      <c r="B456" s="2" t="s">
        <v>4257</v>
      </c>
      <c r="C456" s="2" t="s">
        <v>74</v>
      </c>
      <c r="D456" s="2" t="s">
        <v>74</v>
      </c>
      <c r="E456" s="2" t="s">
        <v>74</v>
      </c>
      <c r="F456" s="2" t="s">
        <v>4257</v>
      </c>
      <c r="G456" s="2" t="s">
        <v>74</v>
      </c>
      <c r="H456" s="2" t="s">
        <v>74</v>
      </c>
      <c r="I456" s="2" t="s">
        <v>4258</v>
      </c>
      <c r="J456" s="2" t="s">
        <v>431</v>
      </c>
      <c r="K456" s="2" t="s">
        <v>74</v>
      </c>
      <c r="L456" s="2" t="s">
        <v>74</v>
      </c>
      <c r="M456" s="2" t="s">
        <v>74</v>
      </c>
      <c r="N456" s="2" t="s">
        <v>74</v>
      </c>
      <c r="O456" s="2" t="s">
        <v>74</v>
      </c>
      <c r="P456" s="2" t="s">
        <v>74</v>
      </c>
      <c r="Q456" s="2" t="s">
        <v>74</v>
      </c>
      <c r="R456" s="2" t="s">
        <v>74</v>
      </c>
      <c r="S456" s="2" t="s">
        <v>74</v>
      </c>
      <c r="T456" s="2" t="s">
        <v>74</v>
      </c>
      <c r="U456" s="2" t="s">
        <v>74</v>
      </c>
      <c r="V456" s="5" t="s">
        <v>4259</v>
      </c>
      <c r="W456" s="2" t="s">
        <v>74</v>
      </c>
      <c r="X456" s="2" t="s">
        <v>74</v>
      </c>
      <c r="Y456" s="2" t="s">
        <v>74</v>
      </c>
      <c r="Z456" s="2" t="s">
        <v>74</v>
      </c>
      <c r="AA456" s="2" t="s">
        <v>74</v>
      </c>
      <c r="AB456" s="2" t="s">
        <v>74</v>
      </c>
      <c r="AC456" s="2" t="s">
        <v>74</v>
      </c>
      <c r="AD456" s="2" t="s">
        <v>74</v>
      </c>
      <c r="AE456" s="2" t="s">
        <v>74</v>
      </c>
      <c r="AF456" s="2" t="s">
        <v>74</v>
      </c>
      <c r="AG456" s="2" t="s">
        <v>74</v>
      </c>
      <c r="AH456" s="2" t="s">
        <v>74</v>
      </c>
      <c r="AI456" s="2" t="s">
        <v>74</v>
      </c>
      <c r="AJ456" s="2" t="s">
        <v>74</v>
      </c>
      <c r="AK456" s="2" t="s">
        <v>74</v>
      </c>
      <c r="AL456" s="2" t="s">
        <v>74</v>
      </c>
      <c r="AM456" s="2" t="s">
        <v>74</v>
      </c>
      <c r="AN456" s="2" t="s">
        <v>74</v>
      </c>
      <c r="AO456" s="2" t="s">
        <v>74</v>
      </c>
      <c r="AP456" s="2" t="s">
        <v>435</v>
      </c>
      <c r="AQ456" s="2" t="s">
        <v>74</v>
      </c>
      <c r="AR456" s="2" t="s">
        <v>74</v>
      </c>
      <c r="AS456" s="2" t="s">
        <v>74</v>
      </c>
      <c r="AT456" s="2" t="s">
        <v>204</v>
      </c>
      <c r="AU456" s="2">
        <v>1987</v>
      </c>
      <c r="AV456" s="2">
        <v>104</v>
      </c>
      <c r="AW456" s="2">
        <v>3</v>
      </c>
      <c r="AX456" s="2" t="s">
        <v>74</v>
      </c>
      <c r="AY456" s="2" t="s">
        <v>74</v>
      </c>
      <c r="AZ456" s="2" t="s">
        <v>74</v>
      </c>
      <c r="BA456" s="2" t="s">
        <v>74</v>
      </c>
      <c r="BB456" s="2">
        <v>444</v>
      </c>
      <c r="BC456" s="2">
        <v>449</v>
      </c>
      <c r="BD456" s="2" t="s">
        <v>74</v>
      </c>
      <c r="BE456" s="2" t="s">
        <v>4260</v>
      </c>
      <c r="BF456" s="2" t="str">
        <f>HYPERLINK("http://dx.doi.org/10.2307/4087543","http://dx.doi.org/10.2307/4087543")</f>
        <v>http://dx.doi.org/10.2307/4087543</v>
      </c>
      <c r="BG456" s="2" t="s">
        <v>74</v>
      </c>
      <c r="BH456" s="2" t="s">
        <v>74</v>
      </c>
      <c r="BI456" s="2" t="s">
        <v>74</v>
      </c>
      <c r="BJ456" s="2" t="s">
        <v>74</v>
      </c>
      <c r="BK456" s="2" t="s">
        <v>74</v>
      </c>
      <c r="BL456" s="2" t="s">
        <v>74</v>
      </c>
      <c r="BM456" s="2" t="s">
        <v>74</v>
      </c>
      <c r="BN456" s="2" t="s">
        <v>74</v>
      </c>
      <c r="BO456" s="2" t="s">
        <v>74</v>
      </c>
      <c r="BP456" s="2" t="s">
        <v>74</v>
      </c>
      <c r="BQ456" s="2" t="s">
        <v>74</v>
      </c>
      <c r="BR456" s="2" t="s">
        <v>74</v>
      </c>
      <c r="BS456" s="2" t="s">
        <v>4261</v>
      </c>
      <c r="BT456" s="2" t="str">
        <f>HYPERLINK("https%3A%2F%2Fwww.webofscience.com%2Fwos%2Fwoscc%2Ffull-record%2FWOS:A1987J266100010","View Full Record in Web of Science")</f>
        <v>View Full Record in Web of Science</v>
      </c>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row>
    <row r="457" spans="1:314" s="2" customFormat="1" x14ac:dyDescent="0.4">
      <c r="A457" s="2" t="s">
        <v>72</v>
      </c>
      <c r="B457" s="2" t="s">
        <v>2794</v>
      </c>
      <c r="C457" s="2" t="s">
        <v>74</v>
      </c>
      <c r="D457" s="2" t="s">
        <v>74</v>
      </c>
      <c r="E457" s="2" t="s">
        <v>74</v>
      </c>
      <c r="F457" s="2" t="s">
        <v>2795</v>
      </c>
      <c r="G457" s="2" t="s">
        <v>74</v>
      </c>
      <c r="H457" s="2" t="s">
        <v>74</v>
      </c>
      <c r="I457" s="2" t="s">
        <v>2796</v>
      </c>
      <c r="J457" s="2" t="s">
        <v>1656</v>
      </c>
      <c r="K457" s="2" t="s">
        <v>74</v>
      </c>
      <c r="L457" s="2" t="s">
        <v>74</v>
      </c>
      <c r="M457" s="2" t="s">
        <v>74</v>
      </c>
      <c r="N457" s="2" t="s">
        <v>74</v>
      </c>
      <c r="O457" s="2" t="s">
        <v>74</v>
      </c>
      <c r="P457" s="2" t="s">
        <v>74</v>
      </c>
      <c r="Q457" s="2" t="s">
        <v>74</v>
      </c>
      <c r="R457" s="2" t="s">
        <v>74</v>
      </c>
      <c r="S457" s="2" t="s">
        <v>74</v>
      </c>
      <c r="T457" s="2" t="s">
        <v>74</v>
      </c>
      <c r="U457" s="2" t="s">
        <v>74</v>
      </c>
      <c r="V457" s="5" t="s">
        <v>2797</v>
      </c>
      <c r="W457" s="2" t="s">
        <v>74</v>
      </c>
      <c r="X457" s="2" t="s">
        <v>74</v>
      </c>
      <c r="Y457" s="2" t="s">
        <v>74</v>
      </c>
      <c r="Z457" s="2" t="s">
        <v>74</v>
      </c>
      <c r="AA457" s="2" t="s">
        <v>2798</v>
      </c>
      <c r="AB457" s="2" t="s">
        <v>2799</v>
      </c>
      <c r="AC457" s="2" t="s">
        <v>74</v>
      </c>
      <c r="AD457" s="2" t="s">
        <v>74</v>
      </c>
      <c r="AE457" s="2" t="s">
        <v>74</v>
      </c>
      <c r="AF457" s="2" t="s">
        <v>74</v>
      </c>
      <c r="AG457" s="2" t="s">
        <v>74</v>
      </c>
      <c r="AH457" s="2" t="s">
        <v>74</v>
      </c>
      <c r="AI457" s="2" t="s">
        <v>74</v>
      </c>
      <c r="AJ457" s="2" t="s">
        <v>74</v>
      </c>
      <c r="AK457" s="2" t="s">
        <v>74</v>
      </c>
      <c r="AL457" s="2" t="s">
        <v>74</v>
      </c>
      <c r="AM457" s="2" t="s">
        <v>74</v>
      </c>
      <c r="AN457" s="2" t="s">
        <v>74</v>
      </c>
      <c r="AO457" s="2" t="s">
        <v>1658</v>
      </c>
      <c r="AP457" s="2" t="s">
        <v>1659</v>
      </c>
      <c r="AQ457" s="2" t="s">
        <v>74</v>
      </c>
      <c r="AR457" s="2" t="s">
        <v>74</v>
      </c>
      <c r="AS457" s="2" t="s">
        <v>74</v>
      </c>
      <c r="AT457" s="2" t="s">
        <v>2800</v>
      </c>
      <c r="AU457" s="2">
        <v>2013</v>
      </c>
      <c r="AV457" s="2">
        <v>3700</v>
      </c>
      <c r="AW457" s="2">
        <v>3</v>
      </c>
      <c r="AX457" s="2" t="s">
        <v>74</v>
      </c>
      <c r="AY457" s="2" t="s">
        <v>74</v>
      </c>
      <c r="AZ457" s="2" t="s">
        <v>74</v>
      </c>
      <c r="BA457" s="2" t="s">
        <v>74</v>
      </c>
      <c r="BB457" s="2">
        <v>348</v>
      </c>
      <c r="BC457" s="2">
        <v>360</v>
      </c>
      <c r="BD457" s="2" t="s">
        <v>74</v>
      </c>
      <c r="BE457" s="2" t="s">
        <v>2801</v>
      </c>
      <c r="BF457" s="2" t="str">
        <f>HYPERLINK("http://dx.doi.org/10.11646/zootaxa.3700.3.2","http://dx.doi.org/10.11646/zootaxa.3700.3.2")</f>
        <v>http://dx.doi.org/10.11646/zootaxa.3700.3.2</v>
      </c>
      <c r="BG457" s="2" t="s">
        <v>74</v>
      </c>
      <c r="BH457" s="2" t="s">
        <v>74</v>
      </c>
      <c r="BI457" s="2" t="s">
        <v>74</v>
      </c>
      <c r="BJ457" s="2" t="s">
        <v>74</v>
      </c>
      <c r="BK457" s="2" t="s">
        <v>74</v>
      </c>
      <c r="BL457" s="2" t="s">
        <v>74</v>
      </c>
      <c r="BM457" s="2" t="s">
        <v>74</v>
      </c>
      <c r="BN457" s="2">
        <v>26106731</v>
      </c>
      <c r="BO457" s="2" t="s">
        <v>74</v>
      </c>
      <c r="BP457" s="2" t="s">
        <v>74</v>
      </c>
      <c r="BQ457" s="2" t="s">
        <v>74</v>
      </c>
      <c r="BR457" s="2" t="s">
        <v>74</v>
      </c>
      <c r="BS457" s="2" t="s">
        <v>2802</v>
      </c>
      <c r="BT457" s="2" t="str">
        <f>HYPERLINK("https%3A%2F%2Fwww.webofscience.com%2Fwos%2Fwoscc%2Ffull-record%2FWOS:000323105800002","View Full Record in Web of Science")</f>
        <v>View Full Record in Web of Science</v>
      </c>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row>
    <row r="458" spans="1:314" s="2" customFormat="1" x14ac:dyDescent="0.4">
      <c r="A458" s="2" t="s">
        <v>72</v>
      </c>
      <c r="B458" s="2" t="s">
        <v>6424</v>
      </c>
      <c r="C458" s="2" t="s">
        <v>74</v>
      </c>
      <c r="D458" s="2" t="s">
        <v>74</v>
      </c>
      <c r="E458" s="2" t="s">
        <v>74</v>
      </c>
      <c r="F458" s="2" t="s">
        <v>6425</v>
      </c>
      <c r="G458" s="2" t="s">
        <v>74</v>
      </c>
      <c r="H458" s="2" t="s">
        <v>74</v>
      </c>
      <c r="I458" s="2" t="s">
        <v>6426</v>
      </c>
      <c r="J458" s="2" t="s">
        <v>6427</v>
      </c>
      <c r="K458" s="2" t="s">
        <v>74</v>
      </c>
      <c r="L458" s="2" t="s">
        <v>74</v>
      </c>
      <c r="M458" s="2" t="s">
        <v>74</v>
      </c>
      <c r="N458" s="2" t="s">
        <v>74</v>
      </c>
      <c r="O458" s="2" t="s">
        <v>74</v>
      </c>
      <c r="P458" s="2" t="s">
        <v>74</v>
      </c>
      <c r="Q458" s="2" t="s">
        <v>74</v>
      </c>
      <c r="R458" s="2" t="s">
        <v>74</v>
      </c>
      <c r="S458" s="2" t="s">
        <v>74</v>
      </c>
      <c r="T458" s="2" t="s">
        <v>74</v>
      </c>
      <c r="U458" s="2" t="s">
        <v>74</v>
      </c>
      <c r="V458" s="5" t="s">
        <v>6428</v>
      </c>
      <c r="W458" s="2" t="s">
        <v>74</v>
      </c>
      <c r="X458" s="2" t="s">
        <v>74</v>
      </c>
      <c r="Y458" s="2" t="s">
        <v>74</v>
      </c>
      <c r="Z458" s="2" t="s">
        <v>74</v>
      </c>
      <c r="AA458" s="2" t="s">
        <v>6429</v>
      </c>
      <c r="AB458" s="2" t="s">
        <v>6430</v>
      </c>
      <c r="AC458" s="2" t="s">
        <v>74</v>
      </c>
      <c r="AD458" s="2" t="s">
        <v>74</v>
      </c>
      <c r="AE458" s="2" t="s">
        <v>74</v>
      </c>
      <c r="AF458" s="2" t="s">
        <v>74</v>
      </c>
      <c r="AG458" s="2" t="s">
        <v>74</v>
      </c>
      <c r="AH458" s="2" t="s">
        <v>74</v>
      </c>
      <c r="AI458" s="2" t="s">
        <v>74</v>
      </c>
      <c r="AJ458" s="2" t="s">
        <v>74</v>
      </c>
      <c r="AK458" s="2" t="s">
        <v>74</v>
      </c>
      <c r="AL458" s="2" t="s">
        <v>74</v>
      </c>
      <c r="AM458" s="2" t="s">
        <v>74</v>
      </c>
      <c r="AN458" s="2" t="s">
        <v>74</v>
      </c>
      <c r="AO458" s="2" t="s">
        <v>6431</v>
      </c>
      <c r="AP458" s="2" t="s">
        <v>74</v>
      </c>
      <c r="AQ458" s="2" t="s">
        <v>74</v>
      </c>
      <c r="AR458" s="2" t="s">
        <v>74</v>
      </c>
      <c r="AS458" s="2" t="s">
        <v>74</v>
      </c>
      <c r="AT458" s="2" t="s">
        <v>113</v>
      </c>
      <c r="AU458" s="2">
        <v>2023</v>
      </c>
      <c r="AV458" s="2">
        <v>59</v>
      </c>
      <c r="AW458" s="2">
        <v>3</v>
      </c>
      <c r="AX458" s="2" t="s">
        <v>74</v>
      </c>
      <c r="AY458" s="2" t="s">
        <v>74</v>
      </c>
      <c r="AZ458" s="2" t="s">
        <v>74</v>
      </c>
      <c r="BA458" s="2" t="s">
        <v>74</v>
      </c>
      <c r="BB458" s="2">
        <v>239</v>
      </c>
      <c r="BC458" s="2">
        <v>261</v>
      </c>
      <c r="BD458" s="2" t="s">
        <v>74</v>
      </c>
      <c r="BE458" s="2" t="s">
        <v>74</v>
      </c>
      <c r="BF458" s="2" t="s">
        <v>74</v>
      </c>
      <c r="BG458" s="2" t="s">
        <v>74</v>
      </c>
      <c r="BH458" s="2" t="s">
        <v>74</v>
      </c>
      <c r="BI458" s="2" t="s">
        <v>74</v>
      </c>
      <c r="BJ458" s="2" t="s">
        <v>74</v>
      </c>
      <c r="BK458" s="2" t="s">
        <v>74</v>
      </c>
      <c r="BL458" s="2" t="s">
        <v>74</v>
      </c>
      <c r="BM458" s="2" t="s">
        <v>74</v>
      </c>
      <c r="BN458" s="2" t="s">
        <v>74</v>
      </c>
      <c r="BO458" s="2" t="s">
        <v>74</v>
      </c>
      <c r="BP458" s="2" t="s">
        <v>74</v>
      </c>
      <c r="BQ458" s="2" t="s">
        <v>74</v>
      </c>
      <c r="BR458" s="2" t="s">
        <v>74</v>
      </c>
      <c r="BS458" s="2" t="s">
        <v>6432</v>
      </c>
      <c r="BT458" s="2" t="str">
        <f>HYPERLINK("https%3A%2F%2Fwww.webofscience.com%2Fwos%2Fwoscc%2Ffull-record%2FWOS:001051428100001","View Full Record in Web of Science")</f>
        <v>View Full Record in Web of Science</v>
      </c>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row>
    <row r="459" spans="1:314" s="2" customFormat="1" x14ac:dyDescent="0.4">
      <c r="A459" s="2" t="s">
        <v>72</v>
      </c>
      <c r="B459" s="2" t="s">
        <v>7841</v>
      </c>
      <c r="C459" s="2" t="s">
        <v>74</v>
      </c>
      <c r="D459" s="2" t="s">
        <v>74</v>
      </c>
      <c r="E459" s="2" t="s">
        <v>74</v>
      </c>
      <c r="F459" s="2" t="s">
        <v>7842</v>
      </c>
      <c r="G459" s="2" t="s">
        <v>74</v>
      </c>
      <c r="H459" s="2" t="s">
        <v>74</v>
      </c>
      <c r="I459" s="2" t="s">
        <v>7843</v>
      </c>
      <c r="J459" s="2" t="s">
        <v>7612</v>
      </c>
      <c r="K459" s="2" t="s">
        <v>74</v>
      </c>
      <c r="L459" s="2" t="s">
        <v>74</v>
      </c>
      <c r="M459" s="2" t="s">
        <v>74</v>
      </c>
      <c r="N459" s="2" t="s">
        <v>74</v>
      </c>
      <c r="O459" s="2" t="s">
        <v>74</v>
      </c>
      <c r="P459" s="2" t="s">
        <v>74</v>
      </c>
      <c r="Q459" s="2" t="s">
        <v>74</v>
      </c>
      <c r="R459" s="2" t="s">
        <v>74</v>
      </c>
      <c r="S459" s="2" t="s">
        <v>74</v>
      </c>
      <c r="T459" s="2" t="s">
        <v>74</v>
      </c>
      <c r="U459" s="2" t="s">
        <v>74</v>
      </c>
      <c r="V459" s="5" t="s">
        <v>7844</v>
      </c>
      <c r="W459" s="2" t="s">
        <v>74</v>
      </c>
      <c r="X459" s="2" t="s">
        <v>74</v>
      </c>
      <c r="Y459" s="2" t="s">
        <v>74</v>
      </c>
      <c r="Z459" s="2" t="s">
        <v>74</v>
      </c>
      <c r="AA459" s="2" t="s">
        <v>74</v>
      </c>
      <c r="AB459" s="2" t="s">
        <v>7845</v>
      </c>
      <c r="AC459" s="2" t="s">
        <v>74</v>
      </c>
      <c r="AD459" s="2" t="s">
        <v>74</v>
      </c>
      <c r="AE459" s="2" t="s">
        <v>74</v>
      </c>
      <c r="AF459" s="2" t="s">
        <v>74</v>
      </c>
      <c r="AG459" s="2" t="s">
        <v>74</v>
      </c>
      <c r="AH459" s="2" t="s">
        <v>74</v>
      </c>
      <c r="AI459" s="2" t="s">
        <v>74</v>
      </c>
      <c r="AJ459" s="2" t="s">
        <v>74</v>
      </c>
      <c r="AK459" s="2" t="s">
        <v>74</v>
      </c>
      <c r="AL459" s="2" t="s">
        <v>74</v>
      </c>
      <c r="AM459" s="2" t="s">
        <v>74</v>
      </c>
      <c r="AN459" s="2" t="s">
        <v>74</v>
      </c>
      <c r="AO459" s="2" t="s">
        <v>7615</v>
      </c>
      <c r="AP459" s="2" t="s">
        <v>7616</v>
      </c>
      <c r="AQ459" s="2" t="s">
        <v>74</v>
      </c>
      <c r="AR459" s="2" t="s">
        <v>74</v>
      </c>
      <c r="AS459" s="2" t="s">
        <v>74</v>
      </c>
      <c r="AT459" s="2" t="s">
        <v>7846</v>
      </c>
      <c r="AU459" s="2">
        <v>2023</v>
      </c>
      <c r="AV459" s="2">
        <v>2023</v>
      </c>
      <c r="AW459" s="2" t="s">
        <v>74</v>
      </c>
      <c r="AX459" s="2" t="s">
        <v>74</v>
      </c>
      <c r="AY459" s="2" t="s">
        <v>74</v>
      </c>
      <c r="AZ459" s="2" t="s">
        <v>74</v>
      </c>
      <c r="BA459" s="2" t="s">
        <v>74</v>
      </c>
      <c r="BB459" s="2" t="s">
        <v>74</v>
      </c>
      <c r="BC459" s="2" t="s">
        <v>74</v>
      </c>
      <c r="BD459" s="2">
        <v>8868453</v>
      </c>
      <c r="BE459" s="2" t="s">
        <v>7847</v>
      </c>
      <c r="BF459" s="2" t="str">
        <f>HYPERLINK("http://dx.doi.org/10.1155/2023/8868453","http://dx.doi.org/10.1155/2023/8868453")</f>
        <v>http://dx.doi.org/10.1155/2023/8868453</v>
      </c>
      <c r="BG459" s="2" t="s">
        <v>74</v>
      </c>
      <c r="BH459" s="2" t="s">
        <v>74</v>
      </c>
      <c r="BI459" s="2" t="s">
        <v>74</v>
      </c>
      <c r="BJ459" s="2" t="s">
        <v>74</v>
      </c>
      <c r="BK459" s="2" t="s">
        <v>74</v>
      </c>
      <c r="BL459" s="2" t="s">
        <v>74</v>
      </c>
      <c r="BM459" s="2" t="s">
        <v>74</v>
      </c>
      <c r="BN459" s="2" t="s">
        <v>74</v>
      </c>
      <c r="BO459" s="2" t="s">
        <v>74</v>
      </c>
      <c r="BP459" s="2" t="s">
        <v>74</v>
      </c>
      <c r="BQ459" s="2" t="s">
        <v>74</v>
      </c>
      <c r="BR459" s="2" t="s">
        <v>74</v>
      </c>
      <c r="BS459" s="2" t="s">
        <v>7848</v>
      </c>
      <c r="BT459" s="2" t="str">
        <f>HYPERLINK("https%3A%2F%2Fwww.webofscience.com%2Fwos%2Fwoscc%2Ffull-record%2FWOS:000982639500001","View Full Record in Web of Science")</f>
        <v>View Full Record in Web of Science</v>
      </c>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row>
    <row r="460" spans="1:314" s="2" customFormat="1" x14ac:dyDescent="0.4">
      <c r="A460" s="2" t="s">
        <v>72</v>
      </c>
      <c r="B460" s="2" t="s">
        <v>7002</v>
      </c>
      <c r="C460" s="2" t="s">
        <v>74</v>
      </c>
      <c r="D460" s="2" t="s">
        <v>74</v>
      </c>
      <c r="E460" s="2" t="s">
        <v>74</v>
      </c>
      <c r="F460" s="2" t="s">
        <v>7002</v>
      </c>
      <c r="G460" s="2" t="s">
        <v>74</v>
      </c>
      <c r="H460" s="2" t="s">
        <v>74</v>
      </c>
      <c r="I460" s="2" t="s">
        <v>7003</v>
      </c>
      <c r="J460" s="2" t="s">
        <v>140</v>
      </c>
      <c r="K460" s="2" t="s">
        <v>74</v>
      </c>
      <c r="L460" s="2" t="s">
        <v>74</v>
      </c>
      <c r="M460" s="2" t="s">
        <v>74</v>
      </c>
      <c r="N460" s="2" t="s">
        <v>74</v>
      </c>
      <c r="O460" s="2" t="s">
        <v>74</v>
      </c>
      <c r="P460" s="2" t="s">
        <v>74</v>
      </c>
      <c r="Q460" s="2" t="s">
        <v>74</v>
      </c>
      <c r="R460" s="2" t="s">
        <v>74</v>
      </c>
      <c r="S460" s="2" t="s">
        <v>74</v>
      </c>
      <c r="T460" s="2" t="s">
        <v>74</v>
      </c>
      <c r="U460" s="2" t="s">
        <v>74</v>
      </c>
      <c r="V460" s="5" t="s">
        <v>7004</v>
      </c>
      <c r="W460" s="2" t="s">
        <v>74</v>
      </c>
      <c r="X460" s="2" t="s">
        <v>74</v>
      </c>
      <c r="Y460" s="2" t="s">
        <v>74</v>
      </c>
      <c r="Z460" s="2" t="s">
        <v>74</v>
      </c>
      <c r="AA460" s="2" t="s">
        <v>74</v>
      </c>
      <c r="AB460" s="2" t="s">
        <v>74</v>
      </c>
      <c r="AC460" s="2" t="s">
        <v>74</v>
      </c>
      <c r="AD460" s="2" t="s">
        <v>74</v>
      </c>
      <c r="AE460" s="2" t="s">
        <v>74</v>
      </c>
      <c r="AF460" s="2" t="s">
        <v>74</v>
      </c>
      <c r="AG460" s="2" t="s">
        <v>74</v>
      </c>
      <c r="AH460" s="2" t="s">
        <v>74</v>
      </c>
      <c r="AI460" s="2" t="s">
        <v>74</v>
      </c>
      <c r="AJ460" s="2" t="s">
        <v>74</v>
      </c>
      <c r="AK460" s="2" t="s">
        <v>74</v>
      </c>
      <c r="AL460" s="2" t="s">
        <v>74</v>
      </c>
      <c r="AM460" s="2" t="s">
        <v>74</v>
      </c>
      <c r="AN460" s="2" t="s">
        <v>74</v>
      </c>
      <c r="AO460" s="2" t="s">
        <v>143</v>
      </c>
      <c r="AP460" s="2" t="s">
        <v>144</v>
      </c>
      <c r="AQ460" s="2" t="s">
        <v>74</v>
      </c>
      <c r="AR460" s="2" t="s">
        <v>74</v>
      </c>
      <c r="AS460" s="2" t="s">
        <v>74</v>
      </c>
      <c r="AT460" s="2" t="s">
        <v>633</v>
      </c>
      <c r="AU460" s="2">
        <v>2005</v>
      </c>
      <c r="AV460" s="2">
        <v>69</v>
      </c>
      <c r="AW460" s="2" t="s">
        <v>74</v>
      </c>
      <c r="AX460" s="2">
        <v>4</v>
      </c>
      <c r="AY460" s="2" t="s">
        <v>74</v>
      </c>
      <c r="AZ460" s="2" t="s">
        <v>74</v>
      </c>
      <c r="BA460" s="2" t="s">
        <v>74</v>
      </c>
      <c r="BB460" s="2">
        <v>999</v>
      </c>
      <c r="BC460" s="2">
        <v>1005</v>
      </c>
      <c r="BD460" s="2" t="s">
        <v>74</v>
      </c>
      <c r="BE460" s="2" t="s">
        <v>7005</v>
      </c>
      <c r="BF460" s="2" t="str">
        <f>HYPERLINK("http://dx.doi.org/10.1016/j.anbehav.2004.07.016","http://dx.doi.org/10.1016/j.anbehav.2004.07.016")</f>
        <v>http://dx.doi.org/10.1016/j.anbehav.2004.07.016</v>
      </c>
      <c r="BG460" s="2" t="s">
        <v>74</v>
      </c>
      <c r="BH460" s="2" t="s">
        <v>74</v>
      </c>
      <c r="BI460" s="2" t="s">
        <v>74</v>
      </c>
      <c r="BJ460" s="2" t="s">
        <v>74</v>
      </c>
      <c r="BK460" s="2" t="s">
        <v>74</v>
      </c>
      <c r="BL460" s="2" t="s">
        <v>74</v>
      </c>
      <c r="BM460" s="2" t="s">
        <v>74</v>
      </c>
      <c r="BN460" s="2" t="s">
        <v>74</v>
      </c>
      <c r="BO460" s="2" t="s">
        <v>74</v>
      </c>
      <c r="BP460" s="2" t="s">
        <v>74</v>
      </c>
      <c r="BQ460" s="2" t="s">
        <v>74</v>
      </c>
      <c r="BR460" s="2" t="s">
        <v>74</v>
      </c>
      <c r="BS460" s="2" t="s">
        <v>7006</v>
      </c>
      <c r="BT460" s="2" t="str">
        <f>HYPERLINK("https%3A%2F%2Fwww.webofscience.com%2Fwos%2Fwoscc%2Ffull-record%2FWOS:000228511900028","View Full Record in Web of Science")</f>
        <v>View Full Record in Web of Science</v>
      </c>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row>
    <row r="461" spans="1:314" s="2" customFormat="1" x14ac:dyDescent="0.4">
      <c r="A461" s="2" t="s">
        <v>72</v>
      </c>
      <c r="B461" s="2" t="s">
        <v>4143</v>
      </c>
      <c r="C461" s="2" t="s">
        <v>74</v>
      </c>
      <c r="D461" s="2" t="s">
        <v>74</v>
      </c>
      <c r="E461" s="2" t="s">
        <v>74</v>
      </c>
      <c r="F461" s="2" t="s">
        <v>4143</v>
      </c>
      <c r="G461" s="2" t="s">
        <v>74</v>
      </c>
      <c r="H461" s="2" t="s">
        <v>74</v>
      </c>
      <c r="I461" s="2" t="s">
        <v>4144</v>
      </c>
      <c r="J461" s="2" t="s">
        <v>4145</v>
      </c>
      <c r="K461" s="2" t="s">
        <v>74</v>
      </c>
      <c r="L461" s="2" t="s">
        <v>74</v>
      </c>
      <c r="M461" s="2" t="s">
        <v>74</v>
      </c>
      <c r="N461" s="2" t="s">
        <v>74</v>
      </c>
      <c r="O461" s="2" t="s">
        <v>74</v>
      </c>
      <c r="P461" s="2" t="s">
        <v>74</v>
      </c>
      <c r="Q461" s="2" t="s">
        <v>74</v>
      </c>
      <c r="R461" s="2" t="s">
        <v>74</v>
      </c>
      <c r="S461" s="2" t="s">
        <v>74</v>
      </c>
      <c r="T461" s="2" t="s">
        <v>74</v>
      </c>
      <c r="U461" s="2" t="s">
        <v>74</v>
      </c>
      <c r="V461" s="5" t="s">
        <v>4146</v>
      </c>
      <c r="W461" s="2" t="s">
        <v>74</v>
      </c>
      <c r="X461" s="2" t="s">
        <v>74</v>
      </c>
      <c r="Y461" s="2" t="s">
        <v>74</v>
      </c>
      <c r="Z461" s="2" t="s">
        <v>74</v>
      </c>
      <c r="AA461" s="2" t="s">
        <v>74</v>
      </c>
      <c r="AB461" s="2" t="s">
        <v>74</v>
      </c>
      <c r="AC461" s="2" t="s">
        <v>74</v>
      </c>
      <c r="AD461" s="2" t="s">
        <v>74</v>
      </c>
      <c r="AE461" s="2" t="s">
        <v>74</v>
      </c>
      <c r="AF461" s="2" t="s">
        <v>74</v>
      </c>
      <c r="AG461" s="2" t="s">
        <v>74</v>
      </c>
      <c r="AH461" s="2" t="s">
        <v>74</v>
      </c>
      <c r="AI461" s="2" t="s">
        <v>74</v>
      </c>
      <c r="AJ461" s="2" t="s">
        <v>74</v>
      </c>
      <c r="AK461" s="2" t="s">
        <v>74</v>
      </c>
      <c r="AL461" s="2" t="s">
        <v>74</v>
      </c>
      <c r="AM461" s="2" t="s">
        <v>74</v>
      </c>
      <c r="AN461" s="2" t="s">
        <v>74</v>
      </c>
      <c r="AO461" s="2" t="s">
        <v>4147</v>
      </c>
      <c r="AP461" s="2" t="s">
        <v>74</v>
      </c>
      <c r="AQ461" s="2" t="s">
        <v>74</v>
      </c>
      <c r="AR461" s="2" t="s">
        <v>74</v>
      </c>
      <c r="AS461" s="2" t="s">
        <v>74</v>
      </c>
      <c r="AT461" s="2" t="s">
        <v>964</v>
      </c>
      <c r="AU461" s="2">
        <v>2003</v>
      </c>
      <c r="AV461" s="2">
        <v>189</v>
      </c>
      <c r="AW461" s="2">
        <v>2</v>
      </c>
      <c r="AX461" s="2" t="s">
        <v>74</v>
      </c>
      <c r="AY461" s="2" t="s">
        <v>74</v>
      </c>
      <c r="AZ461" s="2" t="s">
        <v>74</v>
      </c>
      <c r="BA461" s="2" t="s">
        <v>74</v>
      </c>
      <c r="BB461" s="2">
        <v>135</v>
      </c>
      <c r="BC461" s="2">
        <v>142</v>
      </c>
      <c r="BD461" s="2" t="s">
        <v>74</v>
      </c>
      <c r="BE461" s="2" t="s">
        <v>4148</v>
      </c>
      <c r="BF461" s="2" t="str">
        <f>HYPERLINK("http://dx.doi.org/10.1007/s00359-002-0385-8","http://dx.doi.org/10.1007/s00359-002-0385-8")</f>
        <v>http://dx.doi.org/10.1007/s00359-002-0385-8</v>
      </c>
      <c r="BG461" s="2" t="s">
        <v>74</v>
      </c>
      <c r="BH461" s="2" t="s">
        <v>74</v>
      </c>
      <c r="BI461" s="2" t="s">
        <v>74</v>
      </c>
      <c r="BJ461" s="2" t="s">
        <v>74</v>
      </c>
      <c r="BK461" s="2" t="s">
        <v>74</v>
      </c>
      <c r="BL461" s="2" t="s">
        <v>74</v>
      </c>
      <c r="BM461" s="2" t="s">
        <v>74</v>
      </c>
      <c r="BN461" s="2">
        <v>12607042</v>
      </c>
      <c r="BO461" s="2" t="s">
        <v>74</v>
      </c>
      <c r="BP461" s="2" t="s">
        <v>74</v>
      </c>
      <c r="BQ461" s="2" t="s">
        <v>74</v>
      </c>
      <c r="BR461" s="2" t="s">
        <v>74</v>
      </c>
      <c r="BS461" s="2" t="s">
        <v>4149</v>
      </c>
      <c r="BT461" s="2" t="str">
        <f>HYPERLINK("https%3A%2F%2Fwww.webofscience.com%2Fwos%2Fwoscc%2Ffull-record%2FWOS:000181896800007","View Full Record in Web of Science")</f>
        <v>View Full Record in Web of Science</v>
      </c>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row>
    <row r="462" spans="1:314" s="2" customFormat="1" x14ac:dyDescent="0.4">
      <c r="A462" s="2" t="s">
        <v>72</v>
      </c>
      <c r="B462" s="2" t="s">
        <v>7768</v>
      </c>
      <c r="C462" s="2" t="s">
        <v>74</v>
      </c>
      <c r="D462" s="2" t="s">
        <v>74</v>
      </c>
      <c r="E462" s="2" t="s">
        <v>74</v>
      </c>
      <c r="F462" s="2" t="s">
        <v>7769</v>
      </c>
      <c r="G462" s="2" t="s">
        <v>74</v>
      </c>
      <c r="H462" s="2" t="s">
        <v>74</v>
      </c>
      <c r="I462" s="2" t="s">
        <v>7770</v>
      </c>
      <c r="J462" s="2" t="s">
        <v>1656</v>
      </c>
      <c r="K462" s="2" t="s">
        <v>74</v>
      </c>
      <c r="L462" s="2" t="s">
        <v>74</v>
      </c>
      <c r="M462" s="2" t="s">
        <v>74</v>
      </c>
      <c r="N462" s="2" t="s">
        <v>74</v>
      </c>
      <c r="O462" s="2" t="s">
        <v>74</v>
      </c>
      <c r="P462" s="2" t="s">
        <v>74</v>
      </c>
      <c r="Q462" s="2" t="s">
        <v>74</v>
      </c>
      <c r="R462" s="2" t="s">
        <v>74</v>
      </c>
      <c r="S462" s="2" t="s">
        <v>74</v>
      </c>
      <c r="T462" s="2" t="s">
        <v>74</v>
      </c>
      <c r="U462" s="2" t="s">
        <v>74</v>
      </c>
      <c r="V462" s="5" t="s">
        <v>7771</v>
      </c>
      <c r="W462" s="2" t="s">
        <v>74</v>
      </c>
      <c r="X462" s="2" t="s">
        <v>74</v>
      </c>
      <c r="Y462" s="2" t="s">
        <v>74</v>
      </c>
      <c r="Z462" s="2" t="s">
        <v>74</v>
      </c>
      <c r="AA462" s="2" t="s">
        <v>7772</v>
      </c>
      <c r="AB462" s="2" t="s">
        <v>7773</v>
      </c>
      <c r="AC462" s="2" t="s">
        <v>74</v>
      </c>
      <c r="AD462" s="2" t="s">
        <v>74</v>
      </c>
      <c r="AE462" s="2" t="s">
        <v>74</v>
      </c>
      <c r="AF462" s="2" t="s">
        <v>74</v>
      </c>
      <c r="AG462" s="2" t="s">
        <v>74</v>
      </c>
      <c r="AH462" s="2" t="s">
        <v>74</v>
      </c>
      <c r="AI462" s="2" t="s">
        <v>74</v>
      </c>
      <c r="AJ462" s="2" t="s">
        <v>74</v>
      </c>
      <c r="AK462" s="2" t="s">
        <v>74</v>
      </c>
      <c r="AL462" s="2" t="s">
        <v>74</v>
      </c>
      <c r="AM462" s="2" t="s">
        <v>74</v>
      </c>
      <c r="AN462" s="2" t="s">
        <v>74</v>
      </c>
      <c r="AO462" s="2" t="s">
        <v>1658</v>
      </c>
      <c r="AP462" s="2" t="s">
        <v>1659</v>
      </c>
      <c r="AQ462" s="2" t="s">
        <v>74</v>
      </c>
      <c r="AR462" s="2" t="s">
        <v>74</v>
      </c>
      <c r="AS462" s="2" t="s">
        <v>74</v>
      </c>
      <c r="AT462" s="2" t="s">
        <v>7774</v>
      </c>
      <c r="AU462" s="2">
        <v>2020</v>
      </c>
      <c r="AV462" s="2">
        <v>4819</v>
      </c>
      <c r="AW462" s="2">
        <v>2</v>
      </c>
      <c r="AX462" s="2" t="s">
        <v>74</v>
      </c>
      <c r="AY462" s="2" t="s">
        <v>74</v>
      </c>
      <c r="AZ462" s="2" t="s">
        <v>74</v>
      </c>
      <c r="BA462" s="2" t="s">
        <v>74</v>
      </c>
      <c r="BB462" s="2">
        <v>316</v>
      </c>
      <c r="BC462" s="2">
        <v>334</v>
      </c>
      <c r="BD462" s="2" t="s">
        <v>74</v>
      </c>
      <c r="BE462" s="2" t="s">
        <v>7775</v>
      </c>
      <c r="BF462" s="2" t="str">
        <f>HYPERLINK("http://dx.doi.org/10.11646/zootaxa.4819.2.5","http://dx.doi.org/10.11646/zootaxa.4819.2.5")</f>
        <v>http://dx.doi.org/10.11646/zootaxa.4819.2.5</v>
      </c>
      <c r="BG462" s="2" t="s">
        <v>74</v>
      </c>
      <c r="BH462" s="2" t="s">
        <v>74</v>
      </c>
      <c r="BI462" s="2" t="s">
        <v>74</v>
      </c>
      <c r="BJ462" s="2" t="s">
        <v>74</v>
      </c>
      <c r="BK462" s="2" t="s">
        <v>74</v>
      </c>
      <c r="BL462" s="2" t="s">
        <v>74</v>
      </c>
      <c r="BM462" s="2" t="s">
        <v>74</v>
      </c>
      <c r="BN462" s="2">
        <v>33055661</v>
      </c>
      <c r="BO462" s="2" t="s">
        <v>74</v>
      </c>
      <c r="BP462" s="2" t="s">
        <v>74</v>
      </c>
      <c r="BQ462" s="2" t="s">
        <v>74</v>
      </c>
      <c r="BR462" s="2" t="s">
        <v>74</v>
      </c>
      <c r="BS462" s="2" t="s">
        <v>7776</v>
      </c>
      <c r="BT462" s="2" t="str">
        <f>HYPERLINK("https%3A%2F%2Fwww.webofscience.com%2Fwos%2Fwoscc%2Ffull-record%2FWOS:000552250100005","View Full Record in Web of Science")</f>
        <v>View Full Record in Web of Science</v>
      </c>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row>
    <row r="463" spans="1:314" s="2" customFormat="1" x14ac:dyDescent="0.4">
      <c r="A463" s="2" t="s">
        <v>72</v>
      </c>
      <c r="B463" s="2" t="s">
        <v>8259</v>
      </c>
      <c r="C463" s="2" t="s">
        <v>74</v>
      </c>
      <c r="D463" s="2" t="s">
        <v>74</v>
      </c>
      <c r="E463" s="2" t="s">
        <v>74</v>
      </c>
      <c r="F463" s="2" t="s">
        <v>8259</v>
      </c>
      <c r="G463" s="2" t="s">
        <v>74</v>
      </c>
      <c r="H463" s="2" t="s">
        <v>74</v>
      </c>
      <c r="I463" s="2" t="s">
        <v>8260</v>
      </c>
      <c r="J463" s="2" t="s">
        <v>77</v>
      </c>
      <c r="K463" s="2" t="s">
        <v>74</v>
      </c>
      <c r="L463" s="2" t="s">
        <v>74</v>
      </c>
      <c r="M463" s="2" t="s">
        <v>74</v>
      </c>
      <c r="N463" s="2" t="s">
        <v>74</v>
      </c>
      <c r="O463" s="2" t="s">
        <v>74</v>
      </c>
      <c r="P463" s="2" t="s">
        <v>74</v>
      </c>
      <c r="Q463" s="2" t="s">
        <v>74</v>
      </c>
      <c r="R463" s="2" t="s">
        <v>74</v>
      </c>
      <c r="S463" s="2" t="s">
        <v>74</v>
      </c>
      <c r="T463" s="2" t="s">
        <v>74</v>
      </c>
      <c r="U463" s="2" t="s">
        <v>74</v>
      </c>
      <c r="V463" s="5" t="s">
        <v>8261</v>
      </c>
      <c r="W463" s="2" t="s">
        <v>74</v>
      </c>
      <c r="X463" s="2" t="s">
        <v>74</v>
      </c>
      <c r="Y463" s="2" t="s">
        <v>74</v>
      </c>
      <c r="Z463" s="2" t="s">
        <v>74</v>
      </c>
      <c r="AA463" s="2" t="s">
        <v>8262</v>
      </c>
      <c r="AB463" s="2" t="s">
        <v>8263</v>
      </c>
      <c r="AC463" s="2" t="s">
        <v>74</v>
      </c>
      <c r="AD463" s="2" t="s">
        <v>74</v>
      </c>
      <c r="AE463" s="2" t="s">
        <v>74</v>
      </c>
      <c r="AF463" s="2" t="s">
        <v>74</v>
      </c>
      <c r="AG463" s="2" t="s">
        <v>74</v>
      </c>
      <c r="AH463" s="2" t="s">
        <v>74</v>
      </c>
      <c r="AI463" s="2" t="s">
        <v>74</v>
      </c>
      <c r="AJ463" s="2" t="s">
        <v>74</v>
      </c>
      <c r="AK463" s="2" t="s">
        <v>74</v>
      </c>
      <c r="AL463" s="2" t="s">
        <v>74</v>
      </c>
      <c r="AM463" s="2" t="s">
        <v>74</v>
      </c>
      <c r="AN463" s="2" t="s">
        <v>74</v>
      </c>
      <c r="AO463" s="2" t="s">
        <v>81</v>
      </c>
      <c r="AP463" s="2" t="s">
        <v>82</v>
      </c>
      <c r="AQ463" s="2" t="s">
        <v>74</v>
      </c>
      <c r="AR463" s="2" t="s">
        <v>74</v>
      </c>
      <c r="AS463" s="2" t="s">
        <v>74</v>
      </c>
      <c r="AT463" s="2" t="s">
        <v>102</v>
      </c>
      <c r="AU463" s="2">
        <v>2005</v>
      </c>
      <c r="AV463" s="2">
        <v>142</v>
      </c>
      <c r="AW463" s="2" t="s">
        <v>74</v>
      </c>
      <c r="AX463" s="2">
        <v>6</v>
      </c>
      <c r="AY463" s="2" t="s">
        <v>74</v>
      </c>
      <c r="AZ463" s="2" t="s">
        <v>74</v>
      </c>
      <c r="BA463" s="2" t="s">
        <v>74</v>
      </c>
      <c r="BB463" s="2">
        <v>827</v>
      </c>
      <c r="BC463" s="2">
        <v>844</v>
      </c>
      <c r="BD463" s="2" t="s">
        <v>74</v>
      </c>
      <c r="BE463" s="2" t="s">
        <v>8264</v>
      </c>
      <c r="BF463" s="2" t="str">
        <f>HYPERLINK("http://dx.doi.org/10.1163/1568539054729141","http://dx.doi.org/10.1163/1568539054729141")</f>
        <v>http://dx.doi.org/10.1163/1568539054729141</v>
      </c>
      <c r="BG463" s="2" t="s">
        <v>74</v>
      </c>
      <c r="BH463" s="2" t="s">
        <v>74</v>
      </c>
      <c r="BI463" s="2" t="s">
        <v>74</v>
      </c>
      <c r="BJ463" s="2" t="s">
        <v>74</v>
      </c>
      <c r="BK463" s="2" t="s">
        <v>74</v>
      </c>
      <c r="BL463" s="2" t="s">
        <v>74</v>
      </c>
      <c r="BM463" s="2" t="s">
        <v>74</v>
      </c>
      <c r="BN463" s="2" t="s">
        <v>74</v>
      </c>
      <c r="BO463" s="2" t="s">
        <v>74</v>
      </c>
      <c r="BP463" s="2" t="s">
        <v>74</v>
      </c>
      <c r="BQ463" s="2" t="s">
        <v>74</v>
      </c>
      <c r="BR463" s="2" t="s">
        <v>74</v>
      </c>
      <c r="BS463" s="2" t="s">
        <v>8265</v>
      </c>
      <c r="BT463" s="2" t="str">
        <f>HYPERLINK("https%3A%2F%2Fwww.webofscience.com%2Fwos%2Fwoscc%2Ffull-record%2FWOS:000231869400008","View Full Record in Web of Science")</f>
        <v>View Full Record in Web of Science</v>
      </c>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row>
    <row r="464" spans="1:314" s="2" customFormat="1" x14ac:dyDescent="0.4">
      <c r="A464" s="2" t="s">
        <v>72</v>
      </c>
      <c r="B464" s="2" t="s">
        <v>5504</v>
      </c>
      <c r="C464" s="2" t="s">
        <v>74</v>
      </c>
      <c r="D464" s="2" t="s">
        <v>74</v>
      </c>
      <c r="E464" s="2" t="s">
        <v>74</v>
      </c>
      <c r="F464" s="2" t="s">
        <v>5505</v>
      </c>
      <c r="G464" s="2" t="s">
        <v>74</v>
      </c>
      <c r="H464" s="2" t="s">
        <v>74</v>
      </c>
      <c r="I464" s="2" t="s">
        <v>5506</v>
      </c>
      <c r="J464" s="2" t="s">
        <v>545</v>
      </c>
      <c r="K464" s="2" t="s">
        <v>74</v>
      </c>
      <c r="L464" s="2" t="s">
        <v>74</v>
      </c>
      <c r="M464" s="2" t="s">
        <v>74</v>
      </c>
      <c r="N464" s="2" t="s">
        <v>74</v>
      </c>
      <c r="O464" s="2" t="s">
        <v>74</v>
      </c>
      <c r="P464" s="2" t="s">
        <v>74</v>
      </c>
      <c r="Q464" s="2" t="s">
        <v>74</v>
      </c>
      <c r="R464" s="2" t="s">
        <v>74</v>
      </c>
      <c r="S464" s="2" t="s">
        <v>74</v>
      </c>
      <c r="T464" s="2" t="s">
        <v>74</v>
      </c>
      <c r="U464" s="2" t="s">
        <v>74</v>
      </c>
      <c r="V464" s="5" t="s">
        <v>5507</v>
      </c>
      <c r="W464" s="2" t="s">
        <v>74</v>
      </c>
      <c r="X464" s="2" t="s">
        <v>74</v>
      </c>
      <c r="Y464" s="2" t="s">
        <v>74</v>
      </c>
      <c r="Z464" s="2" t="s">
        <v>74</v>
      </c>
      <c r="AA464" s="2" t="s">
        <v>5508</v>
      </c>
      <c r="AB464" s="2" t="s">
        <v>5509</v>
      </c>
      <c r="AC464" s="2" t="s">
        <v>74</v>
      </c>
      <c r="AD464" s="2" t="s">
        <v>74</v>
      </c>
      <c r="AE464" s="2" t="s">
        <v>74</v>
      </c>
      <c r="AF464" s="2" t="s">
        <v>74</v>
      </c>
      <c r="AG464" s="2" t="s">
        <v>74</v>
      </c>
      <c r="AH464" s="2" t="s">
        <v>74</v>
      </c>
      <c r="AI464" s="2" t="s">
        <v>74</v>
      </c>
      <c r="AJ464" s="2" t="s">
        <v>74</v>
      </c>
      <c r="AK464" s="2" t="s">
        <v>74</v>
      </c>
      <c r="AL464" s="2" t="s">
        <v>74</v>
      </c>
      <c r="AM464" s="2" t="s">
        <v>74</v>
      </c>
      <c r="AN464" s="2" t="s">
        <v>74</v>
      </c>
      <c r="AO464" s="2" t="s">
        <v>547</v>
      </c>
      <c r="AP464" s="2" t="s">
        <v>74</v>
      </c>
      <c r="AQ464" s="2" t="s">
        <v>74</v>
      </c>
      <c r="AR464" s="2" t="s">
        <v>74</v>
      </c>
      <c r="AS464" s="2" t="s">
        <v>74</v>
      </c>
      <c r="AT464" s="2" t="s">
        <v>213</v>
      </c>
      <c r="AU464" s="2">
        <v>2021</v>
      </c>
      <c r="AV464" s="2">
        <v>295</v>
      </c>
      <c r="AW464" s="2" t="s">
        <v>74</v>
      </c>
      <c r="AX464" s="2" t="s">
        <v>74</v>
      </c>
      <c r="AY464" s="2" t="s">
        <v>74</v>
      </c>
      <c r="AZ464" s="2" t="s">
        <v>74</v>
      </c>
      <c r="BA464" s="2" t="s">
        <v>74</v>
      </c>
      <c r="BB464" s="2">
        <v>1</v>
      </c>
      <c r="BC464" s="2">
        <v>11</v>
      </c>
      <c r="BD464" s="2" t="s">
        <v>74</v>
      </c>
      <c r="BE464" s="2" t="s">
        <v>5510</v>
      </c>
      <c r="BF464" s="2" t="str">
        <f>HYPERLINK("http://dx.doi.org/10.1016/j.jcz.2021.08.009","http://dx.doi.org/10.1016/j.jcz.2021.08.009")</f>
        <v>http://dx.doi.org/10.1016/j.jcz.2021.08.009</v>
      </c>
      <c r="BG464" s="2" t="s">
        <v>74</v>
      </c>
      <c r="BH464" s="2" t="s">
        <v>675</v>
      </c>
      <c r="BI464" s="2" t="s">
        <v>74</v>
      </c>
      <c r="BJ464" s="2" t="s">
        <v>74</v>
      </c>
      <c r="BK464" s="2" t="s">
        <v>74</v>
      </c>
      <c r="BL464" s="2" t="s">
        <v>74</v>
      </c>
      <c r="BM464" s="2" t="s">
        <v>74</v>
      </c>
      <c r="BN464" s="2" t="s">
        <v>74</v>
      </c>
      <c r="BO464" s="2" t="s">
        <v>74</v>
      </c>
      <c r="BP464" s="2" t="s">
        <v>74</v>
      </c>
      <c r="BQ464" s="2" t="s">
        <v>74</v>
      </c>
      <c r="BR464" s="2" t="s">
        <v>74</v>
      </c>
      <c r="BS464" s="2" t="s">
        <v>5511</v>
      </c>
      <c r="BT464" s="2" t="str">
        <f>HYPERLINK("https%3A%2F%2Fwww.webofscience.com%2Fwos%2Fwoscc%2Ffull-record%2FWOS:000697574600001","View Full Record in Web of Science")</f>
        <v>View Full Record in Web of Science</v>
      </c>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row>
    <row r="465" spans="1:314" s="2" customFormat="1" x14ac:dyDescent="0.4">
      <c r="A465" s="2" t="s">
        <v>72</v>
      </c>
      <c r="B465" s="2" t="s">
        <v>5202</v>
      </c>
      <c r="C465" s="2" t="s">
        <v>74</v>
      </c>
      <c r="D465" s="2" t="s">
        <v>74</v>
      </c>
      <c r="E465" s="2" t="s">
        <v>74</v>
      </c>
      <c r="F465" s="2" t="s">
        <v>5203</v>
      </c>
      <c r="G465" s="2" t="s">
        <v>74</v>
      </c>
      <c r="H465" s="2" t="s">
        <v>74</v>
      </c>
      <c r="I465" s="2" t="s">
        <v>5204</v>
      </c>
      <c r="J465" s="2" t="s">
        <v>108</v>
      </c>
      <c r="K465" s="2" t="s">
        <v>74</v>
      </c>
      <c r="L465" s="2" t="s">
        <v>74</v>
      </c>
      <c r="M465" s="2" t="s">
        <v>74</v>
      </c>
      <c r="N465" s="2" t="s">
        <v>74</v>
      </c>
      <c r="O465" s="2" t="s">
        <v>74</v>
      </c>
      <c r="P465" s="2" t="s">
        <v>74</v>
      </c>
      <c r="Q465" s="2" t="s">
        <v>74</v>
      </c>
      <c r="R465" s="2" t="s">
        <v>74</v>
      </c>
      <c r="S465" s="2" t="s">
        <v>74</v>
      </c>
      <c r="T465" s="2" t="s">
        <v>74</v>
      </c>
      <c r="U465" s="2" t="s">
        <v>74</v>
      </c>
      <c r="V465" s="5" t="s">
        <v>5205</v>
      </c>
      <c r="W465" s="2" t="s">
        <v>74</v>
      </c>
      <c r="X465" s="2" t="s">
        <v>74</v>
      </c>
      <c r="Y465" s="2" t="s">
        <v>74</v>
      </c>
      <c r="Z465" s="2" t="s">
        <v>74</v>
      </c>
      <c r="AA465" s="2" t="s">
        <v>5206</v>
      </c>
      <c r="AB465" s="2" t="s">
        <v>5207</v>
      </c>
      <c r="AC465" s="2" t="s">
        <v>74</v>
      </c>
      <c r="AD465" s="2" t="s">
        <v>74</v>
      </c>
      <c r="AE465" s="2" t="s">
        <v>74</v>
      </c>
      <c r="AF465" s="2" t="s">
        <v>74</v>
      </c>
      <c r="AG465" s="2" t="s">
        <v>74</v>
      </c>
      <c r="AH465" s="2" t="s">
        <v>74</v>
      </c>
      <c r="AI465" s="2" t="s">
        <v>74</v>
      </c>
      <c r="AJ465" s="2" t="s">
        <v>74</v>
      </c>
      <c r="AK465" s="2" t="s">
        <v>74</v>
      </c>
      <c r="AL465" s="2" t="s">
        <v>74</v>
      </c>
      <c r="AM465" s="2" t="s">
        <v>74</v>
      </c>
      <c r="AN465" s="2" t="s">
        <v>74</v>
      </c>
      <c r="AO465" s="2" t="s">
        <v>111</v>
      </c>
      <c r="AP465" s="2" t="s">
        <v>112</v>
      </c>
      <c r="AQ465" s="2" t="s">
        <v>74</v>
      </c>
      <c r="AR465" s="2" t="s">
        <v>74</v>
      </c>
      <c r="AS465" s="2" t="s">
        <v>74</v>
      </c>
      <c r="AT465" s="2" t="s">
        <v>5208</v>
      </c>
      <c r="AU465" s="2">
        <v>2020</v>
      </c>
      <c r="AV465" s="2">
        <v>287</v>
      </c>
      <c r="AW465" s="2">
        <v>1926</v>
      </c>
      <c r="AX465" s="2" t="s">
        <v>74</v>
      </c>
      <c r="AY465" s="2" t="s">
        <v>74</v>
      </c>
      <c r="AZ465" s="2" t="s">
        <v>74</v>
      </c>
      <c r="BA465" s="2" t="s">
        <v>74</v>
      </c>
      <c r="BB465" s="2" t="s">
        <v>74</v>
      </c>
      <c r="BC465" s="2" t="s">
        <v>74</v>
      </c>
      <c r="BD465" s="2" t="s">
        <v>74</v>
      </c>
      <c r="BE465" s="2" t="s">
        <v>5209</v>
      </c>
      <c r="BF465" s="2" t="str">
        <f>HYPERLINK("http://dx.doi.org/10.1098/rspb.2020.0587","http://dx.doi.org/10.1098/rspb.2020.0587")</f>
        <v>http://dx.doi.org/10.1098/rspb.2020.0587</v>
      </c>
      <c r="BG465" s="2" t="s">
        <v>74</v>
      </c>
      <c r="BH465" s="2" t="s">
        <v>74</v>
      </c>
      <c r="BI465" s="2" t="s">
        <v>74</v>
      </c>
      <c r="BJ465" s="2" t="s">
        <v>74</v>
      </c>
      <c r="BK465" s="2" t="s">
        <v>74</v>
      </c>
      <c r="BL465" s="2" t="s">
        <v>74</v>
      </c>
      <c r="BM465" s="2" t="s">
        <v>74</v>
      </c>
      <c r="BN465" s="2">
        <v>32370676</v>
      </c>
      <c r="BO465" s="2" t="s">
        <v>74</v>
      </c>
      <c r="BP465" s="2" t="s">
        <v>74</v>
      </c>
      <c r="BQ465" s="2" t="s">
        <v>74</v>
      </c>
      <c r="BR465" s="2" t="s">
        <v>74</v>
      </c>
      <c r="BS465" s="2" t="s">
        <v>5210</v>
      </c>
      <c r="BT465" s="2" t="str">
        <f>HYPERLINK("https%3A%2F%2Fwww.webofscience.com%2Fwos%2Fwoscc%2Ffull-record%2FWOS:000540446700001","View Full Record in Web of Science")</f>
        <v>View Full Record in Web of Science</v>
      </c>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row>
    <row r="466" spans="1:314" s="2" customFormat="1" x14ac:dyDescent="0.4">
      <c r="A466" s="2" t="s">
        <v>72</v>
      </c>
      <c r="B466" s="2" t="s">
        <v>6198</v>
      </c>
      <c r="C466" s="2" t="s">
        <v>74</v>
      </c>
      <c r="D466" s="2" t="s">
        <v>74</v>
      </c>
      <c r="E466" s="2" t="s">
        <v>74</v>
      </c>
      <c r="F466" s="2" t="s">
        <v>6198</v>
      </c>
      <c r="G466" s="2" t="s">
        <v>74</v>
      </c>
      <c r="H466" s="2" t="s">
        <v>74</v>
      </c>
      <c r="I466" s="2" t="s">
        <v>6199</v>
      </c>
      <c r="J466" s="2" t="s">
        <v>6200</v>
      </c>
      <c r="K466" s="2" t="s">
        <v>74</v>
      </c>
      <c r="L466" s="2" t="s">
        <v>74</v>
      </c>
      <c r="M466" s="2" t="s">
        <v>74</v>
      </c>
      <c r="N466" s="2" t="s">
        <v>74</v>
      </c>
      <c r="O466" s="2" t="s">
        <v>74</v>
      </c>
      <c r="P466" s="2" t="s">
        <v>74</v>
      </c>
      <c r="Q466" s="2" t="s">
        <v>74</v>
      </c>
      <c r="R466" s="2" t="s">
        <v>74</v>
      </c>
      <c r="S466" s="2" t="s">
        <v>74</v>
      </c>
      <c r="T466" s="2" t="s">
        <v>74</v>
      </c>
      <c r="U466" s="2" t="s">
        <v>74</v>
      </c>
      <c r="V466" s="5" t="s">
        <v>6201</v>
      </c>
      <c r="W466" s="2" t="s">
        <v>74</v>
      </c>
      <c r="X466" s="2" t="s">
        <v>74</v>
      </c>
      <c r="Y466" s="2" t="s">
        <v>74</v>
      </c>
      <c r="Z466" s="2" t="s">
        <v>74</v>
      </c>
      <c r="AA466" s="2" t="s">
        <v>74</v>
      </c>
      <c r="AB466" s="2" t="s">
        <v>74</v>
      </c>
      <c r="AC466" s="2" t="s">
        <v>74</v>
      </c>
      <c r="AD466" s="2" t="s">
        <v>74</v>
      </c>
      <c r="AE466" s="2" t="s">
        <v>74</v>
      </c>
      <c r="AF466" s="2" t="s">
        <v>74</v>
      </c>
      <c r="AG466" s="2" t="s">
        <v>74</v>
      </c>
      <c r="AH466" s="2" t="s">
        <v>74</v>
      </c>
      <c r="AI466" s="2" t="s">
        <v>74</v>
      </c>
      <c r="AJ466" s="2" t="s">
        <v>74</v>
      </c>
      <c r="AK466" s="2" t="s">
        <v>74</v>
      </c>
      <c r="AL466" s="2" t="s">
        <v>74</v>
      </c>
      <c r="AM466" s="2" t="s">
        <v>74</v>
      </c>
      <c r="AN466" s="2" t="s">
        <v>74</v>
      </c>
      <c r="AO466" s="2" t="s">
        <v>6202</v>
      </c>
      <c r="AP466" s="2" t="s">
        <v>74</v>
      </c>
      <c r="AQ466" s="2" t="s">
        <v>74</v>
      </c>
      <c r="AR466" s="2" t="s">
        <v>74</v>
      </c>
      <c r="AS466" s="2" t="s">
        <v>74</v>
      </c>
      <c r="AT466" s="2" t="s">
        <v>1620</v>
      </c>
      <c r="AU466" s="2">
        <v>1999</v>
      </c>
      <c r="AV466" s="2">
        <v>42</v>
      </c>
      <c r="AW466" s="2">
        <v>3</v>
      </c>
      <c r="AX466" s="2" t="s">
        <v>74</v>
      </c>
      <c r="AY466" s="2" t="s">
        <v>74</v>
      </c>
      <c r="AZ466" s="2" t="s">
        <v>74</v>
      </c>
      <c r="BA466" s="2" t="s">
        <v>74</v>
      </c>
      <c r="BB466" s="2">
        <v>201</v>
      </c>
      <c r="BC466" s="2">
        <v>210</v>
      </c>
      <c r="BD466" s="2" t="s">
        <v>74</v>
      </c>
      <c r="BE466" s="2" t="s">
        <v>74</v>
      </c>
      <c r="BF466" s="2" t="s">
        <v>74</v>
      </c>
      <c r="BG466" s="2" t="s">
        <v>74</v>
      </c>
      <c r="BH466" s="2" t="s">
        <v>74</v>
      </c>
      <c r="BI466" s="2" t="s">
        <v>74</v>
      </c>
      <c r="BJ466" s="2" t="s">
        <v>74</v>
      </c>
      <c r="BK466" s="2" t="s">
        <v>74</v>
      </c>
      <c r="BL466" s="2" t="s">
        <v>74</v>
      </c>
      <c r="BM466" s="2" t="s">
        <v>74</v>
      </c>
      <c r="BN466" s="2" t="s">
        <v>74</v>
      </c>
      <c r="BO466" s="2" t="s">
        <v>74</v>
      </c>
      <c r="BP466" s="2" t="s">
        <v>74</v>
      </c>
      <c r="BQ466" s="2" t="s">
        <v>74</v>
      </c>
      <c r="BR466" s="2" t="s">
        <v>74</v>
      </c>
      <c r="BS466" s="2" t="s">
        <v>6203</v>
      </c>
      <c r="BT466" s="2" t="str">
        <f>HYPERLINK("https%3A%2F%2Fwww.webofscience.com%2Fwos%2Fwoscc%2Ffull-record%2FWOS:000081353100001","View Full Record in Web of Science")</f>
        <v>View Full Record in Web of Science</v>
      </c>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row>
    <row r="467" spans="1:314" s="2" customFormat="1" x14ac:dyDescent="0.4">
      <c r="A467" s="2" t="s">
        <v>72</v>
      </c>
      <c r="B467" s="2" t="s">
        <v>8723</v>
      </c>
      <c r="C467" s="2" t="s">
        <v>74</v>
      </c>
      <c r="D467" s="2" t="s">
        <v>74</v>
      </c>
      <c r="E467" s="2" t="s">
        <v>74</v>
      </c>
      <c r="F467" s="2" t="s">
        <v>8724</v>
      </c>
      <c r="G467" s="2" t="s">
        <v>74</v>
      </c>
      <c r="H467" s="2" t="s">
        <v>74</v>
      </c>
      <c r="I467" s="2" t="s">
        <v>8725</v>
      </c>
      <c r="J467" s="2" t="s">
        <v>397</v>
      </c>
      <c r="K467" s="2" t="s">
        <v>74</v>
      </c>
      <c r="L467" s="2" t="s">
        <v>74</v>
      </c>
      <c r="M467" s="2" t="s">
        <v>74</v>
      </c>
      <c r="N467" s="2" t="s">
        <v>74</v>
      </c>
      <c r="O467" s="2" t="s">
        <v>74</v>
      </c>
      <c r="P467" s="2" t="s">
        <v>74</v>
      </c>
      <c r="Q467" s="2" t="s">
        <v>74</v>
      </c>
      <c r="R467" s="2" t="s">
        <v>74</v>
      </c>
      <c r="S467" s="2" t="s">
        <v>74</v>
      </c>
      <c r="T467" s="2" t="s">
        <v>74</v>
      </c>
      <c r="U467" s="2" t="s">
        <v>74</v>
      </c>
      <c r="V467" s="5" t="s">
        <v>8726</v>
      </c>
      <c r="W467" s="2" t="s">
        <v>74</v>
      </c>
      <c r="X467" s="2" t="s">
        <v>74</v>
      </c>
      <c r="Y467" s="2" t="s">
        <v>74</v>
      </c>
      <c r="Z467" s="2" t="s">
        <v>74</v>
      </c>
      <c r="AA467" s="2" t="s">
        <v>8727</v>
      </c>
      <c r="AB467" s="2" t="s">
        <v>8728</v>
      </c>
      <c r="AC467" s="2" t="s">
        <v>74</v>
      </c>
      <c r="AD467" s="2" t="s">
        <v>74</v>
      </c>
      <c r="AE467" s="2" t="s">
        <v>74</v>
      </c>
      <c r="AF467" s="2" t="s">
        <v>74</v>
      </c>
      <c r="AG467" s="2" t="s">
        <v>74</v>
      </c>
      <c r="AH467" s="2" t="s">
        <v>74</v>
      </c>
      <c r="AI467" s="2" t="s">
        <v>74</v>
      </c>
      <c r="AJ467" s="2" t="s">
        <v>74</v>
      </c>
      <c r="AK467" s="2" t="s">
        <v>74</v>
      </c>
      <c r="AL467" s="2" t="s">
        <v>74</v>
      </c>
      <c r="AM467" s="2" t="s">
        <v>74</v>
      </c>
      <c r="AN467" s="2" t="s">
        <v>74</v>
      </c>
      <c r="AO467" s="2" t="s">
        <v>401</v>
      </c>
      <c r="AP467" s="2" t="s">
        <v>402</v>
      </c>
      <c r="AQ467" s="2" t="s">
        <v>74</v>
      </c>
      <c r="AR467" s="2" t="s">
        <v>74</v>
      </c>
      <c r="AS467" s="2" t="s">
        <v>74</v>
      </c>
      <c r="AT467" s="2" t="s">
        <v>213</v>
      </c>
      <c r="AU467" s="2">
        <v>2013</v>
      </c>
      <c r="AV467" s="2">
        <v>12</v>
      </c>
      <c r="AW467" s="2">
        <v>8</v>
      </c>
      <c r="AX467" s="2" t="s">
        <v>74</v>
      </c>
      <c r="AY467" s="2" t="s">
        <v>74</v>
      </c>
      <c r="AZ467" s="2" t="s">
        <v>74</v>
      </c>
      <c r="BA467" s="2" t="s">
        <v>74</v>
      </c>
      <c r="BB467" s="2">
        <v>760</v>
      </c>
      <c r="BC467" s="2">
        <v>770</v>
      </c>
      <c r="BD467" s="2" t="s">
        <v>74</v>
      </c>
      <c r="BE467" s="2" t="s">
        <v>8729</v>
      </c>
      <c r="BF467" s="2" t="str">
        <f>HYPERLINK("http://dx.doi.org/10.1111/gbb.12088","http://dx.doi.org/10.1111/gbb.12088")</f>
        <v>http://dx.doi.org/10.1111/gbb.12088</v>
      </c>
      <c r="BG467" s="2" t="s">
        <v>74</v>
      </c>
      <c r="BH467" s="2" t="s">
        <v>74</v>
      </c>
      <c r="BI467" s="2" t="s">
        <v>74</v>
      </c>
      <c r="BJ467" s="2" t="s">
        <v>74</v>
      </c>
      <c r="BK467" s="2" t="s">
        <v>74</v>
      </c>
      <c r="BL467" s="2" t="s">
        <v>74</v>
      </c>
      <c r="BM467" s="2" t="s">
        <v>74</v>
      </c>
      <c r="BN467" s="2">
        <v>24034605</v>
      </c>
      <c r="BO467" s="2" t="s">
        <v>74</v>
      </c>
      <c r="BP467" s="2" t="s">
        <v>74</v>
      </c>
      <c r="BQ467" s="2" t="s">
        <v>74</v>
      </c>
      <c r="BR467" s="2" t="s">
        <v>74</v>
      </c>
      <c r="BS467" s="2" t="s">
        <v>8730</v>
      </c>
      <c r="BT467" s="2" t="str">
        <f>HYPERLINK("https%3A%2F%2Fwww.webofscience.com%2Fwos%2Fwoscc%2Ffull-record%2FWOS:000330101600002","View Full Record in Web of Science")</f>
        <v>View Full Record in Web of Science</v>
      </c>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row>
    <row r="468" spans="1:314" s="2" customFormat="1" x14ac:dyDescent="0.4">
      <c r="A468" s="2" t="s">
        <v>72</v>
      </c>
      <c r="B468" s="2" t="s">
        <v>6739</v>
      </c>
      <c r="C468" s="2" t="s">
        <v>74</v>
      </c>
      <c r="D468" s="2" t="s">
        <v>74</v>
      </c>
      <c r="E468" s="2" t="s">
        <v>74</v>
      </c>
      <c r="F468" s="2" t="s">
        <v>6739</v>
      </c>
      <c r="G468" s="2" t="s">
        <v>74</v>
      </c>
      <c r="H468" s="2" t="s">
        <v>74</v>
      </c>
      <c r="I468" s="2" t="s">
        <v>6740</v>
      </c>
      <c r="J468" s="2" t="s">
        <v>201</v>
      </c>
      <c r="K468" s="2" t="s">
        <v>74</v>
      </c>
      <c r="L468" s="2" t="s">
        <v>74</v>
      </c>
      <c r="M468" s="2" t="s">
        <v>74</v>
      </c>
      <c r="N468" s="2" t="s">
        <v>74</v>
      </c>
      <c r="O468" s="2" t="s">
        <v>6741</v>
      </c>
      <c r="P468" s="2" t="s">
        <v>6742</v>
      </c>
      <c r="Q468" s="2" t="s">
        <v>6743</v>
      </c>
      <c r="R468" s="2" t="s">
        <v>6744</v>
      </c>
      <c r="S468" s="2" t="s">
        <v>74</v>
      </c>
      <c r="T468" s="2" t="s">
        <v>74</v>
      </c>
      <c r="U468" s="2" t="s">
        <v>74</v>
      </c>
      <c r="V468" s="5" t="s">
        <v>6745</v>
      </c>
      <c r="W468" s="2" t="s">
        <v>74</v>
      </c>
      <c r="X468" s="2" t="s">
        <v>74</v>
      </c>
      <c r="Y468" s="2" t="s">
        <v>74</v>
      </c>
      <c r="Z468" s="2" t="s">
        <v>74</v>
      </c>
      <c r="AA468" s="2" t="s">
        <v>6746</v>
      </c>
      <c r="AB468" s="2" t="s">
        <v>74</v>
      </c>
      <c r="AC468" s="2" t="s">
        <v>74</v>
      </c>
      <c r="AD468" s="2" t="s">
        <v>74</v>
      </c>
      <c r="AE468" s="2" t="s">
        <v>74</v>
      </c>
      <c r="AF468" s="2" t="s">
        <v>74</v>
      </c>
      <c r="AG468" s="2" t="s">
        <v>74</v>
      </c>
      <c r="AH468" s="2" t="s">
        <v>74</v>
      </c>
      <c r="AI468" s="2" t="s">
        <v>74</v>
      </c>
      <c r="AJ468" s="2" t="s">
        <v>74</v>
      </c>
      <c r="AK468" s="2" t="s">
        <v>74</v>
      </c>
      <c r="AL468" s="2" t="s">
        <v>74</v>
      </c>
      <c r="AM468" s="2" t="s">
        <v>74</v>
      </c>
      <c r="AN468" s="2" t="s">
        <v>74</v>
      </c>
      <c r="AO468" s="2" t="s">
        <v>203</v>
      </c>
      <c r="AP468" s="2" t="s">
        <v>1192</v>
      </c>
      <c r="AQ468" s="2" t="s">
        <v>74</v>
      </c>
      <c r="AR468" s="2" t="s">
        <v>74</v>
      </c>
      <c r="AS468" s="2" t="s">
        <v>74</v>
      </c>
      <c r="AT468" s="2" t="s">
        <v>305</v>
      </c>
      <c r="AU468" s="2">
        <v>2003</v>
      </c>
      <c r="AV468" s="2">
        <v>63</v>
      </c>
      <c r="AW468" s="2" t="s">
        <v>74</v>
      </c>
      <c r="AX468" s="2" t="s">
        <v>74</v>
      </c>
      <c r="AY468" s="2" t="s">
        <v>6747</v>
      </c>
      <c r="AZ468" s="2" t="s">
        <v>74</v>
      </c>
      <c r="BA468" s="2" t="s">
        <v>74</v>
      </c>
      <c r="BB468" s="2">
        <v>131</v>
      </c>
      <c r="BC468" s="2">
        <v>143</v>
      </c>
      <c r="BD468" s="2" t="s">
        <v>74</v>
      </c>
      <c r="BE468" s="2" t="s">
        <v>6748</v>
      </c>
      <c r="BF468" s="2" t="str">
        <f>HYPERLINK("http://dx.doi.org/10.1111/j.1095-8649.2003.00210.x","http://dx.doi.org/10.1111/j.1095-8649.2003.00210.x")</f>
        <v>http://dx.doi.org/10.1111/j.1095-8649.2003.00210.x</v>
      </c>
      <c r="BG468" s="2" t="s">
        <v>74</v>
      </c>
      <c r="BH468" s="2" t="s">
        <v>74</v>
      </c>
      <c r="BI468" s="2" t="s">
        <v>74</v>
      </c>
      <c r="BJ468" s="2" t="s">
        <v>74</v>
      </c>
      <c r="BK468" s="2" t="s">
        <v>74</v>
      </c>
      <c r="BL468" s="2" t="s">
        <v>74</v>
      </c>
      <c r="BM468" s="2" t="s">
        <v>74</v>
      </c>
      <c r="BN468" s="2" t="s">
        <v>74</v>
      </c>
      <c r="BO468" s="2" t="s">
        <v>74</v>
      </c>
      <c r="BP468" s="2" t="s">
        <v>74</v>
      </c>
      <c r="BQ468" s="2" t="s">
        <v>74</v>
      </c>
      <c r="BR468" s="2" t="s">
        <v>74</v>
      </c>
      <c r="BS468" s="2" t="s">
        <v>6749</v>
      </c>
      <c r="BT468" s="2" t="str">
        <f>HYPERLINK("https%3A%2F%2Fwww.webofscience.com%2Fwos%2Fwoscc%2Ffull-record%2FWOS:000187879700008","View Full Record in Web of Science")</f>
        <v>View Full Record in Web of Science</v>
      </c>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row>
    <row r="469" spans="1:314" s="2" customFormat="1" x14ac:dyDescent="0.4">
      <c r="A469" s="2" t="s">
        <v>72</v>
      </c>
      <c r="B469" s="2" t="s">
        <v>8101</v>
      </c>
      <c r="C469" s="2" t="s">
        <v>74</v>
      </c>
      <c r="D469" s="2" t="s">
        <v>74</v>
      </c>
      <c r="E469" s="2" t="s">
        <v>74</v>
      </c>
      <c r="F469" s="2" t="s">
        <v>8101</v>
      </c>
      <c r="G469" s="2" t="s">
        <v>74</v>
      </c>
      <c r="H469" s="2" t="s">
        <v>74</v>
      </c>
      <c r="I469" s="2" t="s">
        <v>8102</v>
      </c>
      <c r="J469" s="2" t="s">
        <v>8103</v>
      </c>
      <c r="K469" s="2" t="s">
        <v>74</v>
      </c>
      <c r="L469" s="2" t="s">
        <v>74</v>
      </c>
      <c r="M469" s="2" t="s">
        <v>74</v>
      </c>
      <c r="N469" s="2" t="s">
        <v>74</v>
      </c>
      <c r="O469" s="2" t="s">
        <v>74</v>
      </c>
      <c r="P469" s="2" t="s">
        <v>74</v>
      </c>
      <c r="Q469" s="2" t="s">
        <v>74</v>
      </c>
      <c r="R469" s="2" t="s">
        <v>74</v>
      </c>
      <c r="S469" s="2" t="s">
        <v>74</v>
      </c>
      <c r="T469" s="2" t="s">
        <v>74</v>
      </c>
      <c r="U469" s="2" t="s">
        <v>74</v>
      </c>
      <c r="V469" s="5" t="s">
        <v>8104</v>
      </c>
      <c r="W469" s="2" t="s">
        <v>74</v>
      </c>
      <c r="X469" s="2" t="s">
        <v>74</v>
      </c>
      <c r="Y469" s="2" t="s">
        <v>74</v>
      </c>
      <c r="Z469" s="2" t="s">
        <v>74</v>
      </c>
      <c r="AA469" s="2" t="s">
        <v>74</v>
      </c>
      <c r="AB469" s="2" t="s">
        <v>74</v>
      </c>
      <c r="AC469" s="2" t="s">
        <v>74</v>
      </c>
      <c r="AD469" s="2" t="s">
        <v>74</v>
      </c>
      <c r="AE469" s="2" t="s">
        <v>74</v>
      </c>
      <c r="AF469" s="2" t="s">
        <v>74</v>
      </c>
      <c r="AG469" s="2" t="s">
        <v>74</v>
      </c>
      <c r="AH469" s="2" t="s">
        <v>74</v>
      </c>
      <c r="AI469" s="2" t="s">
        <v>74</v>
      </c>
      <c r="AJ469" s="2" t="s">
        <v>74</v>
      </c>
      <c r="AK469" s="2" t="s">
        <v>74</v>
      </c>
      <c r="AL469" s="2" t="s">
        <v>74</v>
      </c>
      <c r="AM469" s="2" t="s">
        <v>74</v>
      </c>
      <c r="AN469" s="2" t="s">
        <v>74</v>
      </c>
      <c r="AO469" s="2" t="s">
        <v>8105</v>
      </c>
      <c r="AP469" s="2" t="s">
        <v>74</v>
      </c>
      <c r="AQ469" s="2" t="s">
        <v>74</v>
      </c>
      <c r="AR469" s="2" t="s">
        <v>74</v>
      </c>
      <c r="AS469" s="2" t="s">
        <v>74</v>
      </c>
      <c r="AT469" s="2" t="s">
        <v>74</v>
      </c>
      <c r="AU469" s="2">
        <v>2006</v>
      </c>
      <c r="AV469" s="2">
        <v>47</v>
      </c>
      <c r="AW469" s="2">
        <v>2</v>
      </c>
      <c r="AX469" s="2" t="s">
        <v>74</v>
      </c>
      <c r="AY469" s="2" t="s">
        <v>74</v>
      </c>
      <c r="AZ469" s="2" t="s">
        <v>74</v>
      </c>
      <c r="BA469" s="2" t="s">
        <v>74</v>
      </c>
      <c r="BB469" s="2">
        <v>315</v>
      </c>
      <c r="BC469" s="2">
        <v>327</v>
      </c>
      <c r="BD469" s="2" t="s">
        <v>74</v>
      </c>
      <c r="BE469" s="2" t="s">
        <v>74</v>
      </c>
      <c r="BF469" s="2" t="s">
        <v>74</v>
      </c>
      <c r="BG469" s="2" t="s">
        <v>74</v>
      </c>
      <c r="BH469" s="2" t="s">
        <v>74</v>
      </c>
      <c r="BI469" s="2" t="s">
        <v>74</v>
      </c>
      <c r="BJ469" s="2" t="s">
        <v>74</v>
      </c>
      <c r="BK469" s="2" t="s">
        <v>74</v>
      </c>
      <c r="BL469" s="2" t="s">
        <v>74</v>
      </c>
      <c r="BM469" s="2" t="s">
        <v>74</v>
      </c>
      <c r="BN469" s="2" t="s">
        <v>74</v>
      </c>
      <c r="BO469" s="2" t="s">
        <v>74</v>
      </c>
      <c r="BP469" s="2" t="s">
        <v>74</v>
      </c>
      <c r="BQ469" s="2" t="s">
        <v>74</v>
      </c>
      <c r="BR469" s="2" t="s">
        <v>74</v>
      </c>
      <c r="BS469" s="2" t="s">
        <v>8106</v>
      </c>
      <c r="BT469" s="2" t="str">
        <f>HYPERLINK("https%3A%2F%2Fwww.webofscience.com%2Fwos%2Fwoscc%2Ffull-record%2FWOS:000236117900003","View Full Record in Web of Science")</f>
        <v>View Full Record in Web of Science</v>
      </c>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row>
    <row r="470" spans="1:314" s="1" customFormat="1" x14ac:dyDescent="0.4">
      <c r="A470" s="2" t="s">
        <v>72</v>
      </c>
      <c r="B470" s="2" t="s">
        <v>5219</v>
      </c>
      <c r="C470" s="2" t="s">
        <v>74</v>
      </c>
      <c r="D470" s="2" t="s">
        <v>74</v>
      </c>
      <c r="E470" s="2" t="s">
        <v>74</v>
      </c>
      <c r="F470" s="2" t="s">
        <v>5220</v>
      </c>
      <c r="G470" s="2" t="s">
        <v>74</v>
      </c>
      <c r="H470" s="2" t="s">
        <v>74</v>
      </c>
      <c r="I470" s="2" t="s">
        <v>5221</v>
      </c>
      <c r="J470" s="2" t="s">
        <v>475</v>
      </c>
      <c r="K470" s="2" t="s">
        <v>74</v>
      </c>
      <c r="L470" s="2" t="s">
        <v>74</v>
      </c>
      <c r="M470" s="2" t="s">
        <v>74</v>
      </c>
      <c r="N470" s="2" t="s">
        <v>74</v>
      </c>
      <c r="O470" s="2" t="s">
        <v>74</v>
      </c>
      <c r="P470" s="2" t="s">
        <v>74</v>
      </c>
      <c r="Q470" s="2" t="s">
        <v>74</v>
      </c>
      <c r="R470" s="2" t="s">
        <v>74</v>
      </c>
      <c r="S470" s="2" t="s">
        <v>74</v>
      </c>
      <c r="T470" s="2" t="s">
        <v>74</v>
      </c>
      <c r="U470" s="2" t="s">
        <v>74</v>
      </c>
      <c r="V470" s="5" t="s">
        <v>5222</v>
      </c>
      <c r="W470" s="2" t="s">
        <v>74</v>
      </c>
      <c r="X470" s="2" t="s">
        <v>74</v>
      </c>
      <c r="Y470" s="2" t="s">
        <v>74</v>
      </c>
      <c r="Z470" s="2" t="s">
        <v>74</v>
      </c>
      <c r="AA470" s="2" t="s">
        <v>74</v>
      </c>
      <c r="AB470" s="2" t="s">
        <v>5223</v>
      </c>
      <c r="AC470" s="2" t="s">
        <v>74</v>
      </c>
      <c r="AD470" s="2" t="s">
        <v>74</v>
      </c>
      <c r="AE470" s="2" t="s">
        <v>74</v>
      </c>
      <c r="AF470" s="2" t="s">
        <v>74</v>
      </c>
      <c r="AG470" s="2" t="s">
        <v>74</v>
      </c>
      <c r="AH470" s="2" t="s">
        <v>74</v>
      </c>
      <c r="AI470" s="2" t="s">
        <v>74</v>
      </c>
      <c r="AJ470" s="2" t="s">
        <v>74</v>
      </c>
      <c r="AK470" s="2" t="s">
        <v>74</v>
      </c>
      <c r="AL470" s="2" t="s">
        <v>74</v>
      </c>
      <c r="AM470" s="2" t="s">
        <v>74</v>
      </c>
      <c r="AN470" s="2" t="s">
        <v>74</v>
      </c>
      <c r="AO470" s="2" t="s">
        <v>477</v>
      </c>
      <c r="AP470" s="2" t="s">
        <v>1089</v>
      </c>
      <c r="AQ470" s="2" t="s">
        <v>74</v>
      </c>
      <c r="AR470" s="2" t="s">
        <v>74</v>
      </c>
      <c r="AS470" s="2" t="s">
        <v>74</v>
      </c>
      <c r="AT470" s="2" t="s">
        <v>3671</v>
      </c>
      <c r="AU470" s="2">
        <v>2022</v>
      </c>
      <c r="AV470" s="2">
        <v>316</v>
      </c>
      <c r="AW470" s="2" t="s">
        <v>74</v>
      </c>
      <c r="AX470" s="2" t="s">
        <v>74</v>
      </c>
      <c r="AY470" s="2" t="s">
        <v>74</v>
      </c>
      <c r="AZ470" s="2" t="s">
        <v>74</v>
      </c>
      <c r="BA470" s="2" t="s">
        <v>74</v>
      </c>
      <c r="BB470" s="2" t="s">
        <v>74</v>
      </c>
      <c r="BC470" s="2" t="s">
        <v>74</v>
      </c>
      <c r="BD470" s="2">
        <v>113948</v>
      </c>
      <c r="BE470" s="2" t="s">
        <v>5224</v>
      </c>
      <c r="BF470" s="2" t="str">
        <f>HYPERLINK("http://dx.doi.org/10.1016/j.ygcen.2021.113948","http://dx.doi.org/10.1016/j.ygcen.2021.113948")</f>
        <v>http://dx.doi.org/10.1016/j.ygcen.2021.113948</v>
      </c>
      <c r="BG470" s="2" t="s">
        <v>74</v>
      </c>
      <c r="BH470" s="2" t="s">
        <v>74</v>
      </c>
      <c r="BI470" s="2" t="s">
        <v>74</v>
      </c>
      <c r="BJ470" s="2" t="s">
        <v>74</v>
      </c>
      <c r="BK470" s="2" t="s">
        <v>74</v>
      </c>
      <c r="BL470" s="2" t="s">
        <v>74</v>
      </c>
      <c r="BM470" s="2" t="s">
        <v>74</v>
      </c>
      <c r="BN470" s="2">
        <v>34826430</v>
      </c>
      <c r="BO470" s="2" t="s">
        <v>74</v>
      </c>
      <c r="BP470" s="2" t="s">
        <v>74</v>
      </c>
      <c r="BQ470" s="2" t="s">
        <v>74</v>
      </c>
      <c r="BR470" s="2" t="s">
        <v>74</v>
      </c>
      <c r="BS470" s="2" t="s">
        <v>5225</v>
      </c>
      <c r="BT470" s="2" t="str">
        <f>HYPERLINK("https%3A%2F%2Fwww.webofscience.com%2Fwos%2Fwoscc%2Ffull-record%2FWOS:000784337800003","View Full Record in Web of Science")</f>
        <v>View Full Record in Web of Science</v>
      </c>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row>
    <row r="471" spans="1:314" s="2" customFormat="1" x14ac:dyDescent="0.4">
      <c r="A471" s="2" t="s">
        <v>72</v>
      </c>
      <c r="B471" s="2" t="s">
        <v>6600</v>
      </c>
      <c r="C471" s="2" t="s">
        <v>74</v>
      </c>
      <c r="D471" s="2" t="s">
        <v>74</v>
      </c>
      <c r="E471" s="2" t="s">
        <v>74</v>
      </c>
      <c r="F471" s="2" t="s">
        <v>6600</v>
      </c>
      <c r="G471" s="2" t="s">
        <v>74</v>
      </c>
      <c r="H471" s="2" t="s">
        <v>74</v>
      </c>
      <c r="I471" s="2" t="s">
        <v>6601</v>
      </c>
      <c r="J471" s="2" t="s">
        <v>691</v>
      </c>
      <c r="K471" s="2" t="s">
        <v>74</v>
      </c>
      <c r="L471" s="2" t="s">
        <v>74</v>
      </c>
      <c r="M471" s="2" t="s">
        <v>74</v>
      </c>
      <c r="N471" s="2" t="s">
        <v>74</v>
      </c>
      <c r="O471" s="2" t="s">
        <v>6602</v>
      </c>
      <c r="P471" s="2" t="s">
        <v>6603</v>
      </c>
      <c r="Q471" s="2" t="s">
        <v>6604</v>
      </c>
      <c r="R471" s="2" t="s">
        <v>6605</v>
      </c>
      <c r="S471" s="2" t="s">
        <v>74</v>
      </c>
      <c r="T471" s="2" t="s">
        <v>74</v>
      </c>
      <c r="U471" s="2" t="s">
        <v>74</v>
      </c>
      <c r="V471" s="5" t="s">
        <v>6606</v>
      </c>
      <c r="W471" s="2" t="s">
        <v>74</v>
      </c>
      <c r="X471" s="2" t="s">
        <v>74</v>
      </c>
      <c r="Y471" s="2" t="s">
        <v>74</v>
      </c>
      <c r="Z471" s="2" t="s">
        <v>74</v>
      </c>
      <c r="AA471" s="2" t="s">
        <v>74</v>
      </c>
      <c r="AB471" s="2" t="s">
        <v>74</v>
      </c>
      <c r="AC471" s="2" t="s">
        <v>74</v>
      </c>
      <c r="AD471" s="2" t="s">
        <v>74</v>
      </c>
      <c r="AE471" s="2" t="s">
        <v>74</v>
      </c>
      <c r="AF471" s="2" t="s">
        <v>74</v>
      </c>
      <c r="AG471" s="2" t="s">
        <v>74</v>
      </c>
      <c r="AH471" s="2" t="s">
        <v>74</v>
      </c>
      <c r="AI471" s="2" t="s">
        <v>74</v>
      </c>
      <c r="AJ471" s="2" t="s">
        <v>74</v>
      </c>
      <c r="AK471" s="2" t="s">
        <v>74</v>
      </c>
      <c r="AL471" s="2" t="s">
        <v>74</v>
      </c>
      <c r="AM471" s="2" t="s">
        <v>74</v>
      </c>
      <c r="AN471" s="2" t="s">
        <v>74</v>
      </c>
      <c r="AO471" s="2" t="s">
        <v>695</v>
      </c>
      <c r="AP471" s="2" t="s">
        <v>74</v>
      </c>
      <c r="AQ471" s="2" t="s">
        <v>74</v>
      </c>
      <c r="AR471" s="2" t="s">
        <v>74</v>
      </c>
      <c r="AS471" s="2" t="s">
        <v>74</v>
      </c>
      <c r="AT471" s="2" t="s">
        <v>145</v>
      </c>
      <c r="AU471" s="2">
        <v>2003</v>
      </c>
      <c r="AV471" s="2">
        <v>79</v>
      </c>
      <c r="AW471" s="2">
        <v>3</v>
      </c>
      <c r="AX471" s="2" t="s">
        <v>74</v>
      </c>
      <c r="AY471" s="2" t="s">
        <v>74</v>
      </c>
      <c r="AZ471" s="2" t="s">
        <v>74</v>
      </c>
      <c r="BA471" s="2" t="s">
        <v>74</v>
      </c>
      <c r="BB471" s="2">
        <v>429</v>
      </c>
      <c r="BC471" s="2">
        <v>440</v>
      </c>
      <c r="BD471" s="2" t="s">
        <v>74</v>
      </c>
      <c r="BE471" s="2" t="s">
        <v>6607</v>
      </c>
      <c r="BF471" s="2" t="str">
        <f>HYPERLINK("http://dx.doi.org/10.1016/S0031-9384(03)00162-8","http://dx.doi.org/10.1016/S0031-9384(03)00162-8")</f>
        <v>http://dx.doi.org/10.1016/S0031-9384(03)00162-8</v>
      </c>
      <c r="BG471" s="2" t="s">
        <v>74</v>
      </c>
      <c r="BH471" s="2" t="s">
        <v>74</v>
      </c>
      <c r="BI471" s="2" t="s">
        <v>74</v>
      </c>
      <c r="BJ471" s="2" t="s">
        <v>74</v>
      </c>
      <c r="BK471" s="2" t="s">
        <v>74</v>
      </c>
      <c r="BL471" s="2" t="s">
        <v>74</v>
      </c>
      <c r="BM471" s="2" t="s">
        <v>74</v>
      </c>
      <c r="BN471" s="2">
        <v>12954437</v>
      </c>
      <c r="BO471" s="2" t="s">
        <v>74</v>
      </c>
      <c r="BP471" s="2" t="s">
        <v>74</v>
      </c>
      <c r="BQ471" s="2" t="s">
        <v>74</v>
      </c>
      <c r="BR471" s="2" t="s">
        <v>74</v>
      </c>
      <c r="BS471" s="2" t="s">
        <v>6608</v>
      </c>
      <c r="BT471" s="2" t="str">
        <f>HYPERLINK("https%3A%2F%2Fwww.webofscience.com%2Fwos%2Fwoscc%2Ffull-record%2FWOS:000185291300010","View Full Record in Web of Science")</f>
        <v>View Full Record in Web of Science</v>
      </c>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row>
    <row r="472" spans="1:314" s="1" customFormat="1" x14ac:dyDescent="0.4">
      <c r="A472" s="2" t="s">
        <v>72</v>
      </c>
      <c r="B472" s="2" t="s">
        <v>5164</v>
      </c>
      <c r="C472" s="2" t="s">
        <v>74</v>
      </c>
      <c r="D472" s="2" t="s">
        <v>74</v>
      </c>
      <c r="E472" s="2" t="s">
        <v>74</v>
      </c>
      <c r="F472" s="2" t="s">
        <v>5164</v>
      </c>
      <c r="G472" s="2" t="s">
        <v>74</v>
      </c>
      <c r="H472" s="2" t="s">
        <v>74</v>
      </c>
      <c r="I472" s="2" t="s">
        <v>5165</v>
      </c>
      <c r="J472" s="2" t="s">
        <v>509</v>
      </c>
      <c r="K472" s="2" t="s">
        <v>74</v>
      </c>
      <c r="L472" s="2" t="s">
        <v>74</v>
      </c>
      <c r="M472" s="2" t="s">
        <v>74</v>
      </c>
      <c r="N472" s="2" t="s">
        <v>74</v>
      </c>
      <c r="O472" s="2" t="s">
        <v>74</v>
      </c>
      <c r="P472" s="2" t="s">
        <v>74</v>
      </c>
      <c r="Q472" s="2" t="s">
        <v>74</v>
      </c>
      <c r="R472" s="2" t="s">
        <v>74</v>
      </c>
      <c r="S472" s="2" t="s">
        <v>74</v>
      </c>
      <c r="T472" s="2" t="s">
        <v>74</v>
      </c>
      <c r="U472" s="2" t="s">
        <v>74</v>
      </c>
      <c r="V472" s="5" t="s">
        <v>5166</v>
      </c>
      <c r="W472" s="2" t="s">
        <v>74</v>
      </c>
      <c r="X472" s="2" t="s">
        <v>74</v>
      </c>
      <c r="Y472" s="2" t="s">
        <v>74</v>
      </c>
      <c r="Z472" s="2" t="s">
        <v>74</v>
      </c>
      <c r="AA472" s="2" t="s">
        <v>74</v>
      </c>
      <c r="AB472" s="2" t="s">
        <v>74</v>
      </c>
      <c r="AC472" s="2" t="s">
        <v>74</v>
      </c>
      <c r="AD472" s="2" t="s">
        <v>74</v>
      </c>
      <c r="AE472" s="2" t="s">
        <v>74</v>
      </c>
      <c r="AF472" s="2" t="s">
        <v>74</v>
      </c>
      <c r="AG472" s="2" t="s">
        <v>74</v>
      </c>
      <c r="AH472" s="2" t="s">
        <v>74</v>
      </c>
      <c r="AI472" s="2" t="s">
        <v>74</v>
      </c>
      <c r="AJ472" s="2" t="s">
        <v>74</v>
      </c>
      <c r="AK472" s="2" t="s">
        <v>74</v>
      </c>
      <c r="AL472" s="2" t="s">
        <v>74</v>
      </c>
      <c r="AM472" s="2" t="s">
        <v>74</v>
      </c>
      <c r="AN472" s="2" t="s">
        <v>74</v>
      </c>
      <c r="AO472" s="2" t="s">
        <v>511</v>
      </c>
      <c r="AP472" s="2" t="s">
        <v>512</v>
      </c>
      <c r="AQ472" s="2" t="s">
        <v>74</v>
      </c>
      <c r="AR472" s="2" t="s">
        <v>74</v>
      </c>
      <c r="AS472" s="2" t="s">
        <v>74</v>
      </c>
      <c r="AT472" s="2" t="s">
        <v>74</v>
      </c>
      <c r="AU472" s="2">
        <v>1984</v>
      </c>
      <c r="AV472" s="2">
        <v>18</v>
      </c>
      <c r="AW472" s="2">
        <v>1</v>
      </c>
      <c r="AX472" s="2" t="s">
        <v>74</v>
      </c>
      <c r="AY472" s="2" t="s">
        <v>74</v>
      </c>
      <c r="AZ472" s="2" t="s">
        <v>74</v>
      </c>
      <c r="BA472" s="2" t="s">
        <v>74</v>
      </c>
      <c r="BB472" s="2">
        <v>1</v>
      </c>
      <c r="BC472" s="2">
        <v>11</v>
      </c>
      <c r="BD472" s="2" t="s">
        <v>74</v>
      </c>
      <c r="BE472" s="2" t="s">
        <v>5167</v>
      </c>
      <c r="BF472" s="2" t="str">
        <f>HYPERLINK("http://dx.doi.org/10.1016/0018-506X(84)90045-X","http://dx.doi.org/10.1016/0018-506X(84)90045-X")</f>
        <v>http://dx.doi.org/10.1016/0018-506X(84)90045-X</v>
      </c>
      <c r="BG472" s="2" t="s">
        <v>74</v>
      </c>
      <c r="BH472" s="2" t="s">
        <v>74</v>
      </c>
      <c r="BI472" s="2" t="s">
        <v>74</v>
      </c>
      <c r="BJ472" s="2" t="s">
        <v>74</v>
      </c>
      <c r="BK472" s="2" t="s">
        <v>74</v>
      </c>
      <c r="BL472" s="2" t="s">
        <v>74</v>
      </c>
      <c r="BM472" s="2" t="s">
        <v>74</v>
      </c>
      <c r="BN472" s="2">
        <v>6706316</v>
      </c>
      <c r="BO472" s="2" t="s">
        <v>74</v>
      </c>
      <c r="BP472" s="2" t="s">
        <v>74</v>
      </c>
      <c r="BQ472" s="2" t="s">
        <v>74</v>
      </c>
      <c r="BR472" s="2" t="s">
        <v>74</v>
      </c>
      <c r="BS472" s="2" t="s">
        <v>5168</v>
      </c>
      <c r="BT472" s="2" t="str">
        <f>HYPERLINK("https%3A%2F%2Fwww.webofscience.com%2Fwos%2Fwoscc%2Ffull-record%2FWOS:A1984SG50600001","View Full Record in Web of Science")</f>
        <v>View Full Record in Web of Science</v>
      </c>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row>
    <row r="473" spans="1:314" s="2" customFormat="1" x14ac:dyDescent="0.4">
      <c r="A473" s="2" t="s">
        <v>72</v>
      </c>
      <c r="B473" s="2" t="s">
        <v>3660</v>
      </c>
      <c r="C473" s="2" t="s">
        <v>74</v>
      </c>
      <c r="D473" s="2" t="s">
        <v>74</v>
      </c>
      <c r="E473" s="2" t="s">
        <v>74</v>
      </c>
      <c r="F473" s="2" t="s">
        <v>3660</v>
      </c>
      <c r="G473" s="2" t="s">
        <v>74</v>
      </c>
      <c r="H473" s="2" t="s">
        <v>74</v>
      </c>
      <c r="I473" s="2" t="s">
        <v>3661</v>
      </c>
      <c r="J473" s="2" t="s">
        <v>475</v>
      </c>
      <c r="K473" s="2" t="s">
        <v>74</v>
      </c>
      <c r="L473" s="2" t="s">
        <v>74</v>
      </c>
      <c r="M473" s="2" t="s">
        <v>74</v>
      </c>
      <c r="N473" s="2" t="s">
        <v>74</v>
      </c>
      <c r="O473" s="2" t="s">
        <v>74</v>
      </c>
      <c r="P473" s="2" t="s">
        <v>74</v>
      </c>
      <c r="Q473" s="2" t="s">
        <v>74</v>
      </c>
      <c r="R473" s="2" t="s">
        <v>74</v>
      </c>
      <c r="S473" s="2" t="s">
        <v>74</v>
      </c>
      <c r="T473" s="2" t="s">
        <v>74</v>
      </c>
      <c r="U473" s="2" t="s">
        <v>74</v>
      </c>
      <c r="V473" s="5" t="s">
        <v>3662</v>
      </c>
      <c r="W473" s="2" t="s">
        <v>74</v>
      </c>
      <c r="X473" s="2" t="s">
        <v>74</v>
      </c>
      <c r="Y473" s="2" t="s">
        <v>74</v>
      </c>
      <c r="Z473" s="2" t="s">
        <v>74</v>
      </c>
      <c r="AA473" s="2" t="s">
        <v>74</v>
      </c>
      <c r="AB473" s="2" t="s">
        <v>74</v>
      </c>
      <c r="AC473" s="2" t="s">
        <v>74</v>
      </c>
      <c r="AD473" s="2" t="s">
        <v>74</v>
      </c>
      <c r="AE473" s="2" t="s">
        <v>74</v>
      </c>
      <c r="AF473" s="2" t="s">
        <v>74</v>
      </c>
      <c r="AG473" s="2" t="s">
        <v>74</v>
      </c>
      <c r="AH473" s="2" t="s">
        <v>74</v>
      </c>
      <c r="AI473" s="2" t="s">
        <v>74</v>
      </c>
      <c r="AJ473" s="2" t="s">
        <v>74</v>
      </c>
      <c r="AK473" s="2" t="s">
        <v>74</v>
      </c>
      <c r="AL473" s="2" t="s">
        <v>74</v>
      </c>
      <c r="AM473" s="2" t="s">
        <v>74</v>
      </c>
      <c r="AN473" s="2" t="s">
        <v>74</v>
      </c>
      <c r="AO473" s="2" t="s">
        <v>477</v>
      </c>
      <c r="AP473" s="2" t="s">
        <v>1089</v>
      </c>
      <c r="AQ473" s="2" t="s">
        <v>74</v>
      </c>
      <c r="AR473" s="2" t="s">
        <v>74</v>
      </c>
      <c r="AS473" s="2" t="s">
        <v>74</v>
      </c>
      <c r="AT473" s="2" t="s">
        <v>964</v>
      </c>
      <c r="AU473" s="2">
        <v>1990</v>
      </c>
      <c r="AV473" s="2">
        <v>77</v>
      </c>
      <c r="AW473" s="2">
        <v>2</v>
      </c>
      <c r="AX473" s="2" t="s">
        <v>74</v>
      </c>
      <c r="AY473" s="2" t="s">
        <v>74</v>
      </c>
      <c r="AZ473" s="2" t="s">
        <v>74</v>
      </c>
      <c r="BA473" s="2" t="s">
        <v>74</v>
      </c>
      <c r="BB473" s="2">
        <v>246</v>
      </c>
      <c r="BC473" s="2">
        <v>255</v>
      </c>
      <c r="BD473" s="2" t="s">
        <v>74</v>
      </c>
      <c r="BE473" s="2" t="s">
        <v>3663</v>
      </c>
      <c r="BF473" s="2" t="str">
        <f>HYPERLINK("http://dx.doi.org/10.1016/0016-6480(90)90309-A","http://dx.doi.org/10.1016/0016-6480(90)90309-A")</f>
        <v>http://dx.doi.org/10.1016/0016-6480(90)90309-A</v>
      </c>
      <c r="BG473" s="2" t="s">
        <v>74</v>
      </c>
      <c r="BH473" s="2" t="s">
        <v>74</v>
      </c>
      <c r="BI473" s="2" t="s">
        <v>74</v>
      </c>
      <c r="BJ473" s="2" t="s">
        <v>74</v>
      </c>
      <c r="BK473" s="2" t="s">
        <v>74</v>
      </c>
      <c r="BL473" s="2" t="s">
        <v>74</v>
      </c>
      <c r="BM473" s="2" t="s">
        <v>74</v>
      </c>
      <c r="BN473" s="2">
        <v>2307346</v>
      </c>
      <c r="BO473" s="2" t="s">
        <v>74</v>
      </c>
      <c r="BP473" s="2" t="s">
        <v>74</v>
      </c>
      <c r="BQ473" s="2" t="s">
        <v>74</v>
      </c>
      <c r="BR473" s="2" t="s">
        <v>74</v>
      </c>
      <c r="BS473" s="2" t="s">
        <v>3664</v>
      </c>
      <c r="BT473" s="2" t="str">
        <f>HYPERLINK("https%3A%2F%2Fwww.webofscience.com%2Fwos%2Fwoscc%2Ffull-record%2FWOS:A1990CN99400009","View Full Record in Web of Science")</f>
        <v>View Full Record in Web of Science</v>
      </c>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row>
    <row r="474" spans="1:314" s="2" customFormat="1" x14ac:dyDescent="0.4">
      <c r="A474" s="2" t="s">
        <v>72</v>
      </c>
      <c r="B474" s="2" t="s">
        <v>6913</v>
      </c>
      <c r="C474" s="2" t="s">
        <v>74</v>
      </c>
      <c r="D474" s="2" t="s">
        <v>74</v>
      </c>
      <c r="E474" s="2" t="s">
        <v>74</v>
      </c>
      <c r="F474" s="2" t="s">
        <v>6914</v>
      </c>
      <c r="G474" s="2" t="s">
        <v>74</v>
      </c>
      <c r="H474" s="2" t="s">
        <v>74</v>
      </c>
      <c r="I474" s="2" t="s">
        <v>6915</v>
      </c>
      <c r="J474" s="2" t="s">
        <v>171</v>
      </c>
      <c r="K474" s="2" t="s">
        <v>74</v>
      </c>
      <c r="L474" s="2" t="s">
        <v>74</v>
      </c>
      <c r="M474" s="2" t="s">
        <v>74</v>
      </c>
      <c r="N474" s="2" t="s">
        <v>74</v>
      </c>
      <c r="O474" s="2" t="s">
        <v>74</v>
      </c>
      <c r="P474" s="2" t="s">
        <v>74</v>
      </c>
      <c r="Q474" s="2" t="s">
        <v>74</v>
      </c>
      <c r="R474" s="2" t="s">
        <v>74</v>
      </c>
      <c r="S474" s="2" t="s">
        <v>74</v>
      </c>
      <c r="T474" s="2" t="s">
        <v>74</v>
      </c>
      <c r="U474" s="2" t="s">
        <v>74</v>
      </c>
      <c r="V474" s="5" t="s">
        <v>6916</v>
      </c>
      <c r="W474" s="2" t="s">
        <v>74</v>
      </c>
      <c r="X474" s="2" t="s">
        <v>74</v>
      </c>
      <c r="Y474" s="2" t="s">
        <v>74</v>
      </c>
      <c r="Z474" s="2" t="s">
        <v>74</v>
      </c>
      <c r="AA474" s="2" t="s">
        <v>4216</v>
      </c>
      <c r="AB474" s="2" t="s">
        <v>4217</v>
      </c>
      <c r="AC474" s="2" t="s">
        <v>74</v>
      </c>
      <c r="AD474" s="2" t="s">
        <v>74</v>
      </c>
      <c r="AE474" s="2" t="s">
        <v>74</v>
      </c>
      <c r="AF474" s="2" t="s">
        <v>74</v>
      </c>
      <c r="AG474" s="2" t="s">
        <v>74</v>
      </c>
      <c r="AH474" s="2" t="s">
        <v>74</v>
      </c>
      <c r="AI474" s="2" t="s">
        <v>74</v>
      </c>
      <c r="AJ474" s="2" t="s">
        <v>74</v>
      </c>
      <c r="AK474" s="2" t="s">
        <v>74</v>
      </c>
      <c r="AL474" s="2" t="s">
        <v>74</v>
      </c>
      <c r="AM474" s="2" t="s">
        <v>74</v>
      </c>
      <c r="AN474" s="2" t="s">
        <v>74</v>
      </c>
      <c r="AO474" s="2" t="s">
        <v>173</v>
      </c>
      <c r="AP474" s="2" t="s">
        <v>174</v>
      </c>
      <c r="AQ474" s="2" t="s">
        <v>74</v>
      </c>
      <c r="AR474" s="2" t="s">
        <v>74</v>
      </c>
      <c r="AS474" s="2" t="s">
        <v>74</v>
      </c>
      <c r="AT474" s="2" t="s">
        <v>175</v>
      </c>
      <c r="AU474" s="2">
        <v>2015</v>
      </c>
      <c r="AV474" s="2">
        <v>69</v>
      </c>
      <c r="AW474" s="2">
        <v>10</v>
      </c>
      <c r="AX474" s="2" t="s">
        <v>74</v>
      </c>
      <c r="AY474" s="2" t="s">
        <v>74</v>
      </c>
      <c r="AZ474" s="2" t="s">
        <v>74</v>
      </c>
      <c r="BA474" s="2" t="s">
        <v>74</v>
      </c>
      <c r="BB474" s="2">
        <v>2602</v>
      </c>
      <c r="BC474" s="2">
        <v>2612</v>
      </c>
      <c r="BD474" s="2" t="s">
        <v>74</v>
      </c>
      <c r="BE474" s="2" t="s">
        <v>6917</v>
      </c>
      <c r="BF474" s="2" t="str">
        <f>HYPERLINK("http://dx.doi.org/10.1111/evo.12756","http://dx.doi.org/10.1111/evo.12756")</f>
        <v>http://dx.doi.org/10.1111/evo.12756</v>
      </c>
      <c r="BG474" s="2" t="s">
        <v>74</v>
      </c>
      <c r="BH474" s="2" t="s">
        <v>74</v>
      </c>
      <c r="BI474" s="2" t="s">
        <v>74</v>
      </c>
      <c r="BJ474" s="2" t="s">
        <v>74</v>
      </c>
      <c r="BK474" s="2" t="s">
        <v>74</v>
      </c>
      <c r="BL474" s="2" t="s">
        <v>74</v>
      </c>
      <c r="BM474" s="2" t="s">
        <v>74</v>
      </c>
      <c r="BN474" s="2">
        <v>26292844</v>
      </c>
      <c r="BO474" s="2" t="s">
        <v>74</v>
      </c>
      <c r="BP474" s="2" t="s">
        <v>74</v>
      </c>
      <c r="BQ474" s="2" t="s">
        <v>74</v>
      </c>
      <c r="BR474" s="2" t="s">
        <v>74</v>
      </c>
      <c r="BS474" s="2" t="s">
        <v>6918</v>
      </c>
      <c r="BT474" s="2" t="str">
        <f>HYPERLINK("https%3A%2F%2Fwww.webofscience.com%2Fwos%2Fwoscc%2Ffull-record%2FWOS:000362970600006","View Full Record in Web of Science")</f>
        <v>View Full Record in Web of Science</v>
      </c>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row>
    <row r="475" spans="1:314" s="1" customFormat="1" x14ac:dyDescent="0.4">
      <c r="A475" s="2" t="s">
        <v>72</v>
      </c>
      <c r="B475" s="2" t="s">
        <v>6630</v>
      </c>
      <c r="C475" s="2" t="s">
        <v>74</v>
      </c>
      <c r="D475" s="2" t="s">
        <v>74</v>
      </c>
      <c r="E475" s="2" t="s">
        <v>74</v>
      </c>
      <c r="F475" s="2" t="s">
        <v>6631</v>
      </c>
      <c r="G475" s="2" t="s">
        <v>74</v>
      </c>
      <c r="H475" s="2" t="s">
        <v>74</v>
      </c>
      <c r="I475" s="2" t="s">
        <v>6632</v>
      </c>
      <c r="J475" s="2" t="s">
        <v>6633</v>
      </c>
      <c r="K475" s="2" t="s">
        <v>74</v>
      </c>
      <c r="L475" s="2" t="s">
        <v>74</v>
      </c>
      <c r="M475" s="2" t="s">
        <v>74</v>
      </c>
      <c r="N475" s="2" t="s">
        <v>74</v>
      </c>
      <c r="O475" s="2" t="s">
        <v>6634</v>
      </c>
      <c r="P475" s="2" t="s">
        <v>6635</v>
      </c>
      <c r="Q475" s="2" t="s">
        <v>6636</v>
      </c>
      <c r="R475" s="2" t="s">
        <v>6637</v>
      </c>
      <c r="S475" s="2" t="s">
        <v>74</v>
      </c>
      <c r="T475" s="2" t="s">
        <v>74</v>
      </c>
      <c r="U475" s="2" t="s">
        <v>74</v>
      </c>
      <c r="V475" s="5" t="s">
        <v>6638</v>
      </c>
      <c r="W475" s="2" t="s">
        <v>74</v>
      </c>
      <c r="X475" s="2" t="s">
        <v>74</v>
      </c>
      <c r="Y475" s="2" t="s">
        <v>74</v>
      </c>
      <c r="Z475" s="2" t="s">
        <v>74</v>
      </c>
      <c r="AA475" s="2" t="s">
        <v>74</v>
      </c>
      <c r="AB475" s="2" t="s">
        <v>624</v>
      </c>
      <c r="AC475" s="2" t="s">
        <v>74</v>
      </c>
      <c r="AD475" s="2" t="s">
        <v>74</v>
      </c>
      <c r="AE475" s="2" t="s">
        <v>74</v>
      </c>
      <c r="AF475" s="2" t="s">
        <v>74</v>
      </c>
      <c r="AG475" s="2" t="s">
        <v>74</v>
      </c>
      <c r="AH475" s="2" t="s">
        <v>74</v>
      </c>
      <c r="AI475" s="2" t="s">
        <v>74</v>
      </c>
      <c r="AJ475" s="2" t="s">
        <v>74</v>
      </c>
      <c r="AK475" s="2" t="s">
        <v>74</v>
      </c>
      <c r="AL475" s="2" t="s">
        <v>74</v>
      </c>
      <c r="AM475" s="2" t="s">
        <v>74</v>
      </c>
      <c r="AN475" s="2" t="s">
        <v>74</v>
      </c>
      <c r="AO475" s="2" t="s">
        <v>6639</v>
      </c>
      <c r="AP475" s="2" t="s">
        <v>6640</v>
      </c>
      <c r="AQ475" s="2" t="s">
        <v>74</v>
      </c>
      <c r="AR475" s="2" t="s">
        <v>74</v>
      </c>
      <c r="AS475" s="2" t="s">
        <v>74</v>
      </c>
      <c r="AT475" s="2" t="s">
        <v>213</v>
      </c>
      <c r="AU475" s="2">
        <v>2011</v>
      </c>
      <c r="AV475" s="2">
        <v>51</v>
      </c>
      <c r="AW475" s="2">
        <v>5</v>
      </c>
      <c r="AX475" s="2" t="s">
        <v>74</v>
      </c>
      <c r="AY475" s="2" t="s">
        <v>74</v>
      </c>
      <c r="AZ475" s="2" t="s">
        <v>74</v>
      </c>
      <c r="BA475" s="2" t="s">
        <v>74</v>
      </c>
      <c r="BB475" s="2">
        <v>807</v>
      </c>
      <c r="BC475" s="2">
        <v>818</v>
      </c>
      <c r="BD475" s="2" t="s">
        <v>74</v>
      </c>
      <c r="BE475" s="2" t="s">
        <v>6641</v>
      </c>
      <c r="BF475" s="2" t="str">
        <f>HYPERLINK("http://dx.doi.org/10.1093/icb/icr060","http://dx.doi.org/10.1093/icb/icr060")</f>
        <v>http://dx.doi.org/10.1093/icb/icr060</v>
      </c>
      <c r="BG475" s="2" t="s">
        <v>74</v>
      </c>
      <c r="BH475" s="2" t="s">
        <v>74</v>
      </c>
      <c r="BI475" s="2" t="s">
        <v>74</v>
      </c>
      <c r="BJ475" s="2" t="s">
        <v>74</v>
      </c>
      <c r="BK475" s="2" t="s">
        <v>74</v>
      </c>
      <c r="BL475" s="2" t="s">
        <v>74</v>
      </c>
      <c r="BM475" s="2" t="s">
        <v>74</v>
      </c>
      <c r="BN475" s="2">
        <v>21700572</v>
      </c>
      <c r="BO475" s="2" t="s">
        <v>74</v>
      </c>
      <c r="BP475" s="2" t="s">
        <v>74</v>
      </c>
      <c r="BQ475" s="2" t="s">
        <v>74</v>
      </c>
      <c r="BR475" s="2" t="s">
        <v>74</v>
      </c>
      <c r="BS475" s="2" t="s">
        <v>6642</v>
      </c>
      <c r="BT475" s="2" t="str">
        <f>HYPERLINK("https%3A%2F%2Fwww.webofscience.com%2Fwos%2Fwoscc%2Ffull-record%2FWOS:000296101600014","View Full Record in Web of Science")</f>
        <v>View Full Record in Web of Science</v>
      </c>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row>
    <row r="476" spans="1:314" s="2" customFormat="1" x14ac:dyDescent="0.4">
      <c r="A476" s="2" t="s">
        <v>72</v>
      </c>
      <c r="B476" s="2" t="s">
        <v>7804</v>
      </c>
      <c r="C476" s="2" t="s">
        <v>74</v>
      </c>
      <c r="D476" s="2" t="s">
        <v>74</v>
      </c>
      <c r="E476" s="2" t="s">
        <v>74</v>
      </c>
      <c r="F476" s="2" t="s">
        <v>7805</v>
      </c>
      <c r="G476" s="2" t="s">
        <v>74</v>
      </c>
      <c r="H476" s="2" t="s">
        <v>74</v>
      </c>
      <c r="I476" s="2" t="s">
        <v>7806</v>
      </c>
      <c r="J476" s="2" t="s">
        <v>333</v>
      </c>
      <c r="K476" s="2" t="s">
        <v>74</v>
      </c>
      <c r="L476" s="2" t="s">
        <v>74</v>
      </c>
      <c r="M476" s="2" t="s">
        <v>74</v>
      </c>
      <c r="N476" s="2" t="s">
        <v>74</v>
      </c>
      <c r="O476" s="2" t="s">
        <v>74</v>
      </c>
      <c r="P476" s="2" t="s">
        <v>74</v>
      </c>
      <c r="Q476" s="2" t="s">
        <v>74</v>
      </c>
      <c r="R476" s="2" t="s">
        <v>74</v>
      </c>
      <c r="S476" s="2" t="s">
        <v>74</v>
      </c>
      <c r="T476" s="2" t="s">
        <v>74</v>
      </c>
      <c r="U476" s="2" t="s">
        <v>74</v>
      </c>
      <c r="V476" s="5" t="s">
        <v>7807</v>
      </c>
      <c r="W476" s="2" t="s">
        <v>74</v>
      </c>
      <c r="X476" s="2" t="s">
        <v>74</v>
      </c>
      <c r="Y476" s="2" t="s">
        <v>74</v>
      </c>
      <c r="Z476" s="2" t="s">
        <v>74</v>
      </c>
      <c r="AA476" s="2" t="s">
        <v>7808</v>
      </c>
      <c r="AB476" s="2" t="s">
        <v>7809</v>
      </c>
      <c r="AC476" s="2" t="s">
        <v>74</v>
      </c>
      <c r="AD476" s="2" t="s">
        <v>74</v>
      </c>
      <c r="AE476" s="2" t="s">
        <v>74</v>
      </c>
      <c r="AF476" s="2" t="s">
        <v>74</v>
      </c>
      <c r="AG476" s="2" t="s">
        <v>74</v>
      </c>
      <c r="AH476" s="2" t="s">
        <v>74</v>
      </c>
      <c r="AI476" s="2" t="s">
        <v>74</v>
      </c>
      <c r="AJ476" s="2" t="s">
        <v>74</v>
      </c>
      <c r="AK476" s="2" t="s">
        <v>74</v>
      </c>
      <c r="AL476" s="2" t="s">
        <v>74</v>
      </c>
      <c r="AM476" s="2" t="s">
        <v>74</v>
      </c>
      <c r="AN476" s="2" t="s">
        <v>74</v>
      </c>
      <c r="AO476" s="2" t="s">
        <v>337</v>
      </c>
      <c r="AP476" s="2" t="s">
        <v>338</v>
      </c>
      <c r="AQ476" s="2" t="s">
        <v>74</v>
      </c>
      <c r="AR476" s="2" t="s">
        <v>74</v>
      </c>
      <c r="AS476" s="2" t="s">
        <v>74</v>
      </c>
      <c r="AT476" s="2" t="s">
        <v>1013</v>
      </c>
      <c r="AU476" s="2">
        <v>2009</v>
      </c>
      <c r="AV476" s="2">
        <v>20</v>
      </c>
      <c r="AW476" s="2">
        <v>5</v>
      </c>
      <c r="AX476" s="2" t="s">
        <v>74</v>
      </c>
      <c r="AY476" s="2" t="s">
        <v>74</v>
      </c>
      <c r="AZ476" s="2" t="s">
        <v>74</v>
      </c>
      <c r="BA476" s="2" t="s">
        <v>74</v>
      </c>
      <c r="BB476" s="2">
        <v>1072</v>
      </c>
      <c r="BC476" s="2">
        <v>1078</v>
      </c>
      <c r="BD476" s="2" t="s">
        <v>74</v>
      </c>
      <c r="BE476" s="2" t="s">
        <v>7810</v>
      </c>
      <c r="BF476" s="2" t="str">
        <f>HYPERLINK("http://dx.doi.org/10.1093/beheco/arp099","http://dx.doi.org/10.1093/beheco/arp099")</f>
        <v>http://dx.doi.org/10.1093/beheco/arp099</v>
      </c>
      <c r="BG476" s="2" t="s">
        <v>74</v>
      </c>
      <c r="BH476" s="2" t="s">
        <v>74</v>
      </c>
      <c r="BI476" s="2" t="s">
        <v>74</v>
      </c>
      <c r="BJ476" s="2" t="s">
        <v>74</v>
      </c>
      <c r="BK476" s="2" t="s">
        <v>74</v>
      </c>
      <c r="BL476" s="2" t="s">
        <v>74</v>
      </c>
      <c r="BM476" s="2" t="s">
        <v>74</v>
      </c>
      <c r="BN476" s="2" t="s">
        <v>74</v>
      </c>
      <c r="BO476" s="2" t="s">
        <v>74</v>
      </c>
      <c r="BP476" s="2" t="s">
        <v>74</v>
      </c>
      <c r="BQ476" s="2" t="s">
        <v>74</v>
      </c>
      <c r="BR476" s="2" t="s">
        <v>74</v>
      </c>
      <c r="BS476" s="2" t="s">
        <v>7811</v>
      </c>
      <c r="BT476" s="2" t="str">
        <f>HYPERLINK("https%3A%2F%2Fwww.webofscience.com%2Fwos%2Fwoscc%2Ffull-record%2FWOS:000269956400023","View Full Record in Web of Science")</f>
        <v>View Full Record in Web of Science</v>
      </c>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row>
    <row r="477" spans="1:314" s="2" customFormat="1" x14ac:dyDescent="0.4">
      <c r="A477" s="2" t="s">
        <v>72</v>
      </c>
      <c r="B477" s="2" t="s">
        <v>5032</v>
      </c>
      <c r="C477" s="2" t="s">
        <v>74</v>
      </c>
      <c r="D477" s="2" t="s">
        <v>74</v>
      </c>
      <c r="E477" s="2" t="s">
        <v>74</v>
      </c>
      <c r="F477" s="2" t="s">
        <v>5033</v>
      </c>
      <c r="G477" s="2" t="s">
        <v>74</v>
      </c>
      <c r="H477" s="2" t="s">
        <v>74</v>
      </c>
      <c r="I477" s="2" t="s">
        <v>5034</v>
      </c>
      <c r="J477" s="2" t="s">
        <v>1656</v>
      </c>
      <c r="K477" s="2" t="s">
        <v>74</v>
      </c>
      <c r="L477" s="2" t="s">
        <v>74</v>
      </c>
      <c r="M477" s="2" t="s">
        <v>74</v>
      </c>
      <c r="N477" s="2" t="s">
        <v>74</v>
      </c>
      <c r="O477" s="2" t="s">
        <v>74</v>
      </c>
      <c r="P477" s="2" t="s">
        <v>74</v>
      </c>
      <c r="Q477" s="2" t="s">
        <v>74</v>
      </c>
      <c r="R477" s="2" t="s">
        <v>74</v>
      </c>
      <c r="S477" s="2" t="s">
        <v>74</v>
      </c>
      <c r="T477" s="2" t="s">
        <v>74</v>
      </c>
      <c r="U477" s="2" t="s">
        <v>74</v>
      </c>
      <c r="V477" s="5" t="s">
        <v>5035</v>
      </c>
      <c r="W477" s="2" t="s">
        <v>74</v>
      </c>
      <c r="X477" s="2" t="s">
        <v>74</v>
      </c>
      <c r="Y477" s="2" t="s">
        <v>74</v>
      </c>
      <c r="Z477" s="2" t="s">
        <v>74</v>
      </c>
      <c r="AA477" s="2" t="s">
        <v>74</v>
      </c>
      <c r="AB477" s="2" t="s">
        <v>74</v>
      </c>
      <c r="AC477" s="2" t="s">
        <v>74</v>
      </c>
      <c r="AD477" s="2" t="s">
        <v>74</v>
      </c>
      <c r="AE477" s="2" t="s">
        <v>74</v>
      </c>
      <c r="AF477" s="2" t="s">
        <v>74</v>
      </c>
      <c r="AG477" s="2" t="s">
        <v>74</v>
      </c>
      <c r="AH477" s="2" t="s">
        <v>74</v>
      </c>
      <c r="AI477" s="2" t="s">
        <v>74</v>
      </c>
      <c r="AJ477" s="2" t="s">
        <v>74</v>
      </c>
      <c r="AK477" s="2" t="s">
        <v>74</v>
      </c>
      <c r="AL477" s="2" t="s">
        <v>74</v>
      </c>
      <c r="AM477" s="2" t="s">
        <v>74</v>
      </c>
      <c r="AN477" s="2" t="s">
        <v>74</v>
      </c>
      <c r="AO477" s="2" t="s">
        <v>1658</v>
      </c>
      <c r="AP477" s="2" t="s">
        <v>1659</v>
      </c>
      <c r="AQ477" s="2" t="s">
        <v>74</v>
      </c>
      <c r="AR477" s="2" t="s">
        <v>74</v>
      </c>
      <c r="AS477" s="2" t="s">
        <v>74</v>
      </c>
      <c r="AT477" s="2" t="s">
        <v>5036</v>
      </c>
      <c r="AU477" s="2">
        <v>2006</v>
      </c>
      <c r="AV477" s="2" t="s">
        <v>74</v>
      </c>
      <c r="AW477" s="2">
        <v>1327</v>
      </c>
      <c r="AX477" s="2" t="s">
        <v>74</v>
      </c>
      <c r="AY477" s="2" t="s">
        <v>74</v>
      </c>
      <c r="AZ477" s="2" t="s">
        <v>74</v>
      </c>
      <c r="BA477" s="2" t="s">
        <v>74</v>
      </c>
      <c r="BB477" s="2">
        <v>1</v>
      </c>
      <c r="BC477" s="2">
        <v>21</v>
      </c>
      <c r="BD477" s="2" t="s">
        <v>74</v>
      </c>
      <c r="BE477" s="2" t="s">
        <v>74</v>
      </c>
      <c r="BF477" s="2" t="s">
        <v>74</v>
      </c>
      <c r="BG477" s="2" t="s">
        <v>74</v>
      </c>
      <c r="BH477" s="2" t="s">
        <v>74</v>
      </c>
      <c r="BI477" s="2" t="s">
        <v>74</v>
      </c>
      <c r="BJ477" s="2" t="s">
        <v>74</v>
      </c>
      <c r="BK477" s="2" t="s">
        <v>74</v>
      </c>
      <c r="BL477" s="2" t="s">
        <v>74</v>
      </c>
      <c r="BM477" s="2" t="s">
        <v>74</v>
      </c>
      <c r="BN477" s="2" t="s">
        <v>74</v>
      </c>
      <c r="BO477" s="2" t="s">
        <v>74</v>
      </c>
      <c r="BP477" s="2" t="s">
        <v>74</v>
      </c>
      <c r="BQ477" s="2" t="s">
        <v>74</v>
      </c>
      <c r="BR477" s="2" t="s">
        <v>74</v>
      </c>
      <c r="BS477" s="2" t="s">
        <v>5037</v>
      </c>
      <c r="BT477" s="2" t="str">
        <f>HYPERLINK("https%3A%2F%2Fwww.webofscience.com%2Fwos%2Fwoscc%2Ffull-record%2FWOS:000240866100001","View Full Record in Web of Science")</f>
        <v>View Full Record in Web of Science</v>
      </c>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row>
    <row r="478" spans="1:314" s="2" customFormat="1" x14ac:dyDescent="0.4">
      <c r="A478" s="2" t="s">
        <v>72</v>
      </c>
      <c r="B478" s="2" t="s">
        <v>5322</v>
      </c>
      <c r="C478" s="2" t="s">
        <v>74</v>
      </c>
      <c r="D478" s="2" t="s">
        <v>74</v>
      </c>
      <c r="E478" s="2" t="s">
        <v>74</v>
      </c>
      <c r="F478" s="2" t="s">
        <v>5323</v>
      </c>
      <c r="G478" s="2" t="s">
        <v>74</v>
      </c>
      <c r="H478" s="2" t="s">
        <v>74</v>
      </c>
      <c r="I478" s="2" t="s">
        <v>5324</v>
      </c>
      <c r="J478" s="2" t="s">
        <v>1656</v>
      </c>
      <c r="K478" s="2" t="s">
        <v>74</v>
      </c>
      <c r="L478" s="2" t="s">
        <v>74</v>
      </c>
      <c r="M478" s="2" t="s">
        <v>74</v>
      </c>
      <c r="N478" s="2" t="s">
        <v>74</v>
      </c>
      <c r="O478" s="2" t="s">
        <v>74</v>
      </c>
      <c r="P478" s="2" t="s">
        <v>74</v>
      </c>
      <c r="Q478" s="2" t="s">
        <v>74</v>
      </c>
      <c r="R478" s="2" t="s">
        <v>74</v>
      </c>
      <c r="S478" s="2" t="s">
        <v>74</v>
      </c>
      <c r="T478" s="2" t="s">
        <v>74</v>
      </c>
      <c r="U478" s="2" t="s">
        <v>74</v>
      </c>
      <c r="V478" s="5" t="s">
        <v>5325</v>
      </c>
      <c r="W478" s="2" t="s">
        <v>74</v>
      </c>
      <c r="X478" s="2" t="s">
        <v>74</v>
      </c>
      <c r="Y478" s="2" t="s">
        <v>74</v>
      </c>
      <c r="Z478" s="2" t="s">
        <v>74</v>
      </c>
      <c r="AA478" s="2" t="s">
        <v>5326</v>
      </c>
      <c r="AB478" s="2" t="s">
        <v>5327</v>
      </c>
      <c r="AC478" s="2" t="s">
        <v>74</v>
      </c>
      <c r="AD478" s="2" t="s">
        <v>74</v>
      </c>
      <c r="AE478" s="2" t="s">
        <v>74</v>
      </c>
      <c r="AF478" s="2" t="s">
        <v>74</v>
      </c>
      <c r="AG478" s="2" t="s">
        <v>74</v>
      </c>
      <c r="AH478" s="2" t="s">
        <v>74</v>
      </c>
      <c r="AI478" s="2" t="s">
        <v>74</v>
      </c>
      <c r="AJ478" s="2" t="s">
        <v>74</v>
      </c>
      <c r="AK478" s="2" t="s">
        <v>74</v>
      </c>
      <c r="AL478" s="2" t="s">
        <v>74</v>
      </c>
      <c r="AM478" s="2" t="s">
        <v>74</v>
      </c>
      <c r="AN478" s="2" t="s">
        <v>74</v>
      </c>
      <c r="AO478" s="2" t="s">
        <v>1658</v>
      </c>
      <c r="AP478" s="2" t="s">
        <v>1659</v>
      </c>
      <c r="AQ478" s="2" t="s">
        <v>74</v>
      </c>
      <c r="AR478" s="2" t="s">
        <v>74</v>
      </c>
      <c r="AS478" s="2" t="s">
        <v>74</v>
      </c>
      <c r="AT478" s="2" t="s">
        <v>5328</v>
      </c>
      <c r="AU478" s="2">
        <v>2016</v>
      </c>
      <c r="AV478" s="2">
        <v>4105</v>
      </c>
      <c r="AW478" s="2">
        <v>5</v>
      </c>
      <c r="AX478" s="2" t="s">
        <v>74</v>
      </c>
      <c r="AY478" s="2" t="s">
        <v>74</v>
      </c>
      <c r="AZ478" s="2" t="s">
        <v>74</v>
      </c>
      <c r="BA478" s="2" t="s">
        <v>74</v>
      </c>
      <c r="BB478" s="2">
        <v>401</v>
      </c>
      <c r="BC478" s="2">
        <v>429</v>
      </c>
      <c r="BD478" s="2" t="s">
        <v>74</v>
      </c>
      <c r="BE478" s="2" t="s">
        <v>5329</v>
      </c>
      <c r="BF478" s="2" t="str">
        <f>HYPERLINK("http://dx.doi.org/10.11646/zootaxa.4105.5.1","http://dx.doi.org/10.11646/zootaxa.4105.5.1")</f>
        <v>http://dx.doi.org/10.11646/zootaxa.4105.5.1</v>
      </c>
      <c r="BG478" s="2" t="s">
        <v>74</v>
      </c>
      <c r="BH478" s="2" t="s">
        <v>74</v>
      </c>
      <c r="BI478" s="2" t="s">
        <v>74</v>
      </c>
      <c r="BJ478" s="2" t="s">
        <v>74</v>
      </c>
      <c r="BK478" s="2" t="s">
        <v>74</v>
      </c>
      <c r="BL478" s="2" t="s">
        <v>74</v>
      </c>
      <c r="BM478" s="2" t="s">
        <v>74</v>
      </c>
      <c r="BN478" s="2">
        <v>27394789</v>
      </c>
      <c r="BO478" s="2" t="s">
        <v>74</v>
      </c>
      <c r="BP478" s="2" t="s">
        <v>74</v>
      </c>
      <c r="BQ478" s="2" t="s">
        <v>74</v>
      </c>
      <c r="BR478" s="2" t="s">
        <v>74</v>
      </c>
      <c r="BS478" s="2" t="s">
        <v>5330</v>
      </c>
      <c r="BT478" s="2" t="str">
        <f>HYPERLINK("https%3A%2F%2Fwww.webofscience.com%2Fwos%2Fwoscc%2Ffull-record%2FWOS:000375273900001","View Full Record in Web of Science")</f>
        <v>View Full Record in Web of Science</v>
      </c>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row>
    <row r="479" spans="1:314" s="2" customFormat="1" x14ac:dyDescent="0.4">
      <c r="A479" s="2" t="s">
        <v>72</v>
      </c>
      <c r="B479" s="2" t="s">
        <v>7754</v>
      </c>
      <c r="C479" s="2" t="s">
        <v>74</v>
      </c>
      <c r="D479" s="2" t="s">
        <v>74</v>
      </c>
      <c r="E479" s="2" t="s">
        <v>74</v>
      </c>
      <c r="F479" s="2" t="s">
        <v>7755</v>
      </c>
      <c r="G479" s="2" t="s">
        <v>74</v>
      </c>
      <c r="H479" s="2" t="s">
        <v>74</v>
      </c>
      <c r="I479" s="2" t="s">
        <v>7756</v>
      </c>
      <c r="J479" s="2" t="s">
        <v>1574</v>
      </c>
      <c r="K479" s="2" t="s">
        <v>74</v>
      </c>
      <c r="L479" s="2" t="s">
        <v>74</v>
      </c>
      <c r="M479" s="2" t="s">
        <v>74</v>
      </c>
      <c r="N479" s="2" t="s">
        <v>74</v>
      </c>
      <c r="O479" s="2" t="s">
        <v>74</v>
      </c>
      <c r="P479" s="2" t="s">
        <v>74</v>
      </c>
      <c r="Q479" s="2" t="s">
        <v>74</v>
      </c>
      <c r="R479" s="2" t="s">
        <v>74</v>
      </c>
      <c r="S479" s="2" t="s">
        <v>74</v>
      </c>
      <c r="T479" s="2" t="s">
        <v>74</v>
      </c>
      <c r="U479" s="2" t="s">
        <v>74</v>
      </c>
      <c r="V479" s="5" t="s">
        <v>7757</v>
      </c>
      <c r="W479" s="2" t="s">
        <v>74</v>
      </c>
      <c r="X479" s="2" t="s">
        <v>74</v>
      </c>
      <c r="Y479" s="2" t="s">
        <v>74</v>
      </c>
      <c r="Z479" s="2" t="s">
        <v>74</v>
      </c>
      <c r="AA479" s="2" t="s">
        <v>74</v>
      </c>
      <c r="AB479" s="2" t="s">
        <v>7758</v>
      </c>
      <c r="AC479" s="2" t="s">
        <v>74</v>
      </c>
      <c r="AD479" s="2" t="s">
        <v>74</v>
      </c>
      <c r="AE479" s="2" t="s">
        <v>74</v>
      </c>
      <c r="AF479" s="2" t="s">
        <v>74</v>
      </c>
      <c r="AG479" s="2" t="s">
        <v>74</v>
      </c>
      <c r="AH479" s="2" t="s">
        <v>74</v>
      </c>
      <c r="AI479" s="2" t="s">
        <v>74</v>
      </c>
      <c r="AJ479" s="2" t="s">
        <v>74</v>
      </c>
      <c r="AK479" s="2" t="s">
        <v>74</v>
      </c>
      <c r="AL479" s="2" t="s">
        <v>74</v>
      </c>
      <c r="AM479" s="2" t="s">
        <v>74</v>
      </c>
      <c r="AN479" s="2" t="s">
        <v>74</v>
      </c>
      <c r="AO479" s="2" t="s">
        <v>1576</v>
      </c>
      <c r="AP479" s="2" t="s">
        <v>1577</v>
      </c>
      <c r="AQ479" s="2" t="s">
        <v>74</v>
      </c>
      <c r="AR479" s="2" t="s">
        <v>74</v>
      </c>
      <c r="AS479" s="2" t="s">
        <v>74</v>
      </c>
      <c r="AT479" s="2" t="s">
        <v>74</v>
      </c>
      <c r="AU479" s="2">
        <v>2008</v>
      </c>
      <c r="AV479" s="2">
        <v>71</v>
      </c>
      <c r="AW479" s="2">
        <v>1</v>
      </c>
      <c r="AX479" s="2" t="s">
        <v>74</v>
      </c>
      <c r="AY479" s="2" t="s">
        <v>74</v>
      </c>
      <c r="AZ479" s="2" t="s">
        <v>74</v>
      </c>
      <c r="BA479" s="2" t="s">
        <v>74</v>
      </c>
      <c r="BB479" s="2">
        <v>1</v>
      </c>
      <c r="BC479" s="2">
        <v>14</v>
      </c>
      <c r="BD479" s="2" t="s">
        <v>74</v>
      </c>
      <c r="BE479" s="2" t="s">
        <v>7759</v>
      </c>
      <c r="BF479" s="2" t="str">
        <f>HYPERLINK("http://dx.doi.org/10.1159/000108607","http://dx.doi.org/10.1159/000108607")</f>
        <v>http://dx.doi.org/10.1159/000108607</v>
      </c>
      <c r="BG479" s="2" t="s">
        <v>74</v>
      </c>
      <c r="BH479" s="2" t="s">
        <v>74</v>
      </c>
      <c r="BI479" s="2" t="s">
        <v>74</v>
      </c>
      <c r="BJ479" s="2" t="s">
        <v>74</v>
      </c>
      <c r="BK479" s="2" t="s">
        <v>74</v>
      </c>
      <c r="BL479" s="2" t="s">
        <v>74</v>
      </c>
      <c r="BM479" s="2" t="s">
        <v>74</v>
      </c>
      <c r="BN479" s="2">
        <v>17878714</v>
      </c>
      <c r="BO479" s="2" t="s">
        <v>74</v>
      </c>
      <c r="BP479" s="2" t="s">
        <v>74</v>
      </c>
      <c r="BQ479" s="2" t="s">
        <v>74</v>
      </c>
      <c r="BR479" s="2" t="s">
        <v>74</v>
      </c>
      <c r="BS479" s="2" t="s">
        <v>7760</v>
      </c>
      <c r="BT479" s="2" t="str">
        <f>HYPERLINK("https%3A%2F%2Fwww.webofscience.com%2Fwos%2Fwoscc%2Ffull-record%2FWOS:000251137800001","View Full Record in Web of Science")</f>
        <v>View Full Record in Web of Science</v>
      </c>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row>
    <row r="480" spans="1:314" s="2" customFormat="1" x14ac:dyDescent="0.4">
      <c r="A480" s="2" t="s">
        <v>72</v>
      </c>
      <c r="B480" s="2" t="s">
        <v>3791</v>
      </c>
      <c r="C480" s="2" t="s">
        <v>74</v>
      </c>
      <c r="D480" s="2" t="s">
        <v>74</v>
      </c>
      <c r="E480" s="2" t="s">
        <v>74</v>
      </c>
      <c r="F480" s="2" t="s">
        <v>3792</v>
      </c>
      <c r="G480" s="2" t="s">
        <v>74</v>
      </c>
      <c r="H480" s="2" t="s">
        <v>74</v>
      </c>
      <c r="I480" s="2" t="s">
        <v>3793</v>
      </c>
      <c r="J480" s="2" t="s">
        <v>1755</v>
      </c>
      <c r="K480" s="2" t="s">
        <v>74</v>
      </c>
      <c r="L480" s="2" t="s">
        <v>74</v>
      </c>
      <c r="M480" s="2" t="s">
        <v>74</v>
      </c>
      <c r="N480" s="2" t="s">
        <v>74</v>
      </c>
      <c r="O480" s="2" t="s">
        <v>74</v>
      </c>
      <c r="P480" s="2" t="s">
        <v>74</v>
      </c>
      <c r="Q480" s="2" t="s">
        <v>74</v>
      </c>
      <c r="R480" s="2" t="s">
        <v>74</v>
      </c>
      <c r="S480" s="2" t="s">
        <v>74</v>
      </c>
      <c r="T480" s="2" t="s">
        <v>74</v>
      </c>
      <c r="U480" s="2" t="s">
        <v>74</v>
      </c>
      <c r="V480" s="5" t="s">
        <v>3794</v>
      </c>
      <c r="W480" s="2" t="s">
        <v>74</v>
      </c>
      <c r="X480" s="2" t="s">
        <v>74</v>
      </c>
      <c r="Y480" s="2" t="s">
        <v>74</v>
      </c>
      <c r="Z480" s="2" t="s">
        <v>74</v>
      </c>
      <c r="AA480" s="2" t="s">
        <v>3795</v>
      </c>
      <c r="AB480" s="2" t="s">
        <v>3796</v>
      </c>
      <c r="AC480" s="2" t="s">
        <v>74</v>
      </c>
      <c r="AD480" s="2" t="s">
        <v>74</v>
      </c>
      <c r="AE480" s="2" t="s">
        <v>74</v>
      </c>
      <c r="AF480" s="2" t="s">
        <v>74</v>
      </c>
      <c r="AG480" s="2" t="s">
        <v>74</v>
      </c>
      <c r="AH480" s="2" t="s">
        <v>74</v>
      </c>
      <c r="AI480" s="2" t="s">
        <v>74</v>
      </c>
      <c r="AJ480" s="2" t="s">
        <v>74</v>
      </c>
      <c r="AK480" s="2" t="s">
        <v>74</v>
      </c>
      <c r="AL480" s="2" t="s">
        <v>74</v>
      </c>
      <c r="AM480" s="2" t="s">
        <v>74</v>
      </c>
      <c r="AN480" s="2" t="s">
        <v>74</v>
      </c>
      <c r="AO480" s="2" t="s">
        <v>1759</v>
      </c>
      <c r="AP480" s="2" t="s">
        <v>1760</v>
      </c>
      <c r="AQ480" s="2" t="s">
        <v>74</v>
      </c>
      <c r="AR480" s="2" t="s">
        <v>74</v>
      </c>
      <c r="AS480" s="2" t="s">
        <v>74</v>
      </c>
      <c r="AT480" s="2" t="s">
        <v>255</v>
      </c>
      <c r="AU480" s="2">
        <v>2014</v>
      </c>
      <c r="AV480" s="2">
        <v>27</v>
      </c>
      <c r="AW480" s="2">
        <v>1</v>
      </c>
      <c r="AX480" s="2" t="s">
        <v>74</v>
      </c>
      <c r="AY480" s="2" t="s">
        <v>74</v>
      </c>
      <c r="AZ480" s="2" t="s">
        <v>74</v>
      </c>
      <c r="BA480" s="2" t="s">
        <v>74</v>
      </c>
      <c r="BB480" s="2">
        <v>67</v>
      </c>
      <c r="BC480" s="2">
        <v>80</v>
      </c>
      <c r="BD480" s="2" t="s">
        <v>74</v>
      </c>
      <c r="BE480" s="2" t="s">
        <v>3797</v>
      </c>
      <c r="BF480" s="2" t="str">
        <f>HYPERLINK("http://dx.doi.org/10.1007/s10905-013-9406-4","http://dx.doi.org/10.1007/s10905-013-9406-4")</f>
        <v>http://dx.doi.org/10.1007/s10905-013-9406-4</v>
      </c>
      <c r="BG480" s="2" t="s">
        <v>74</v>
      </c>
      <c r="BH480" s="2" t="s">
        <v>74</v>
      </c>
      <c r="BI480" s="2" t="s">
        <v>74</v>
      </c>
      <c r="BJ480" s="2" t="s">
        <v>74</v>
      </c>
      <c r="BK480" s="2" t="s">
        <v>74</v>
      </c>
      <c r="BL480" s="2" t="s">
        <v>74</v>
      </c>
      <c r="BM480" s="2" t="s">
        <v>74</v>
      </c>
      <c r="BN480" s="2" t="s">
        <v>74</v>
      </c>
      <c r="BO480" s="2" t="s">
        <v>74</v>
      </c>
      <c r="BP480" s="2" t="s">
        <v>74</v>
      </c>
      <c r="BQ480" s="2" t="s">
        <v>74</v>
      </c>
      <c r="BR480" s="2" t="s">
        <v>74</v>
      </c>
      <c r="BS480" s="2" t="s">
        <v>3798</v>
      </c>
      <c r="BT480" s="2" t="str">
        <f>HYPERLINK("https%3A%2F%2Fwww.webofscience.com%2Fwos%2Fwoscc%2Ffull-record%2FWOS:000329237700006","View Full Record in Web of Science")</f>
        <v>View Full Record in Web of Science</v>
      </c>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row>
    <row r="481" spans="1:314" s="2" customFormat="1" x14ac:dyDescent="0.4">
      <c r="A481" s="2" t="s">
        <v>72</v>
      </c>
      <c r="B481" s="2" t="s">
        <v>3390</v>
      </c>
      <c r="C481" s="2" t="s">
        <v>74</v>
      </c>
      <c r="D481" s="2" t="s">
        <v>74</v>
      </c>
      <c r="E481" s="2" t="s">
        <v>74</v>
      </c>
      <c r="F481" s="2" t="s">
        <v>3391</v>
      </c>
      <c r="G481" s="2" t="s">
        <v>74</v>
      </c>
      <c r="H481" s="2" t="s">
        <v>74</v>
      </c>
      <c r="I481" s="2" t="s">
        <v>3392</v>
      </c>
      <c r="J481" s="2" t="s">
        <v>119</v>
      </c>
      <c r="K481" s="2" t="s">
        <v>74</v>
      </c>
      <c r="L481" s="2" t="s">
        <v>74</v>
      </c>
      <c r="M481" s="2" t="s">
        <v>74</v>
      </c>
      <c r="N481" s="2" t="s">
        <v>74</v>
      </c>
      <c r="O481" s="2" t="s">
        <v>74</v>
      </c>
      <c r="P481" s="2" t="s">
        <v>74</v>
      </c>
      <c r="Q481" s="2" t="s">
        <v>74</v>
      </c>
      <c r="R481" s="2" t="s">
        <v>74</v>
      </c>
      <c r="S481" s="2" t="s">
        <v>74</v>
      </c>
      <c r="T481" s="2" t="s">
        <v>74</v>
      </c>
      <c r="U481" s="2" t="s">
        <v>74</v>
      </c>
      <c r="V481" s="5" t="s">
        <v>3393</v>
      </c>
      <c r="W481" s="2" t="s">
        <v>74</v>
      </c>
      <c r="X481" s="2" t="s">
        <v>74</v>
      </c>
      <c r="Y481" s="2" t="s">
        <v>74</v>
      </c>
      <c r="Z481" s="2" t="s">
        <v>74</v>
      </c>
      <c r="AA481" s="2" t="s">
        <v>2838</v>
      </c>
      <c r="AB481" s="2" t="s">
        <v>3394</v>
      </c>
      <c r="AC481" s="2" t="s">
        <v>74</v>
      </c>
      <c r="AD481" s="2" t="s">
        <v>74</v>
      </c>
      <c r="AE481" s="2" t="s">
        <v>74</v>
      </c>
      <c r="AF481" s="2" t="s">
        <v>74</v>
      </c>
      <c r="AG481" s="2" t="s">
        <v>74</v>
      </c>
      <c r="AH481" s="2" t="s">
        <v>74</v>
      </c>
      <c r="AI481" s="2" t="s">
        <v>74</v>
      </c>
      <c r="AJ481" s="2" t="s">
        <v>74</v>
      </c>
      <c r="AK481" s="2" t="s">
        <v>74</v>
      </c>
      <c r="AL481" s="2" t="s">
        <v>74</v>
      </c>
      <c r="AM481" s="2" t="s">
        <v>74</v>
      </c>
      <c r="AN481" s="2" t="s">
        <v>74</v>
      </c>
      <c r="AO481" s="2" t="s">
        <v>121</v>
      </c>
      <c r="AP481" s="2" t="s">
        <v>122</v>
      </c>
      <c r="AQ481" s="2" t="s">
        <v>74</v>
      </c>
      <c r="AR481" s="2" t="s">
        <v>74</v>
      </c>
      <c r="AS481" s="2" t="s">
        <v>74</v>
      </c>
      <c r="AT481" s="2" t="s">
        <v>213</v>
      </c>
      <c r="AU481" s="2">
        <v>2014</v>
      </c>
      <c r="AV481" s="2">
        <v>109</v>
      </c>
      <c r="AW481" s="2" t="s">
        <v>74</v>
      </c>
      <c r="AX481" s="2" t="s">
        <v>3395</v>
      </c>
      <c r="AY481" s="2" t="s">
        <v>74</v>
      </c>
      <c r="AZ481" s="2" t="s">
        <v>848</v>
      </c>
      <c r="BA481" s="2" t="s">
        <v>74</v>
      </c>
      <c r="BB481" s="2">
        <v>145</v>
      </c>
      <c r="BC481" s="2">
        <v>150</v>
      </c>
      <c r="BD481" s="2" t="s">
        <v>74</v>
      </c>
      <c r="BE481" s="2" t="s">
        <v>3396</v>
      </c>
      <c r="BF481" s="2" t="str">
        <f>HYPERLINK("http://dx.doi.org/10.1016/j.beproc.2014.04.013","http://dx.doi.org/10.1016/j.beproc.2014.04.013")</f>
        <v>http://dx.doi.org/10.1016/j.beproc.2014.04.013</v>
      </c>
      <c r="BG481" s="2" t="s">
        <v>74</v>
      </c>
      <c r="BH481" s="2" t="s">
        <v>74</v>
      </c>
      <c r="BI481" s="2" t="s">
        <v>74</v>
      </c>
      <c r="BJ481" s="2" t="s">
        <v>74</v>
      </c>
      <c r="BK481" s="2" t="s">
        <v>74</v>
      </c>
      <c r="BL481" s="2" t="s">
        <v>74</v>
      </c>
      <c r="BM481" s="2" t="s">
        <v>74</v>
      </c>
      <c r="BN481" s="2">
        <v>24797456</v>
      </c>
      <c r="BO481" s="2" t="s">
        <v>74</v>
      </c>
      <c r="BP481" s="2" t="s">
        <v>74</v>
      </c>
      <c r="BQ481" s="2" t="s">
        <v>74</v>
      </c>
      <c r="BR481" s="2" t="s">
        <v>74</v>
      </c>
      <c r="BS481" s="2" t="s">
        <v>3397</v>
      </c>
      <c r="BT481" s="2" t="str">
        <f>HYPERLINK("https%3A%2F%2Fwww.webofscience.com%2Fwos%2Fwoscc%2Ffull-record%2FWOS:000347742900006","View Full Record in Web of Science")</f>
        <v>View Full Record in Web of Science</v>
      </c>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row>
    <row r="482" spans="1:314" s="2" customFormat="1" x14ac:dyDescent="0.4">
      <c r="A482" s="2" t="s">
        <v>72</v>
      </c>
      <c r="B482" s="2" t="s">
        <v>5870</v>
      </c>
      <c r="C482" s="2" t="s">
        <v>74</v>
      </c>
      <c r="D482" s="2" t="s">
        <v>74</v>
      </c>
      <c r="E482" s="2" t="s">
        <v>74</v>
      </c>
      <c r="F482" s="2" t="s">
        <v>5871</v>
      </c>
      <c r="G482" s="2" t="s">
        <v>74</v>
      </c>
      <c r="H482" s="2" t="s">
        <v>74</v>
      </c>
      <c r="I482" s="2" t="s">
        <v>5872</v>
      </c>
      <c r="J482" s="2" t="s">
        <v>108</v>
      </c>
      <c r="K482" s="2" t="s">
        <v>74</v>
      </c>
      <c r="L482" s="2" t="s">
        <v>74</v>
      </c>
      <c r="M482" s="2" t="s">
        <v>74</v>
      </c>
      <c r="N482" s="2" t="s">
        <v>74</v>
      </c>
      <c r="O482" s="2" t="s">
        <v>74</v>
      </c>
      <c r="P482" s="2" t="s">
        <v>74</v>
      </c>
      <c r="Q482" s="2" t="s">
        <v>74</v>
      </c>
      <c r="R482" s="2" t="s">
        <v>74</v>
      </c>
      <c r="S482" s="2" t="s">
        <v>74</v>
      </c>
      <c r="T482" s="2" t="s">
        <v>74</v>
      </c>
      <c r="U482" s="2" t="s">
        <v>74</v>
      </c>
      <c r="V482" s="5" t="s">
        <v>5873</v>
      </c>
      <c r="W482" s="2" t="s">
        <v>74</v>
      </c>
      <c r="X482" s="2" t="s">
        <v>74</v>
      </c>
      <c r="Y482" s="2" t="s">
        <v>74</v>
      </c>
      <c r="Z482" s="2" t="s">
        <v>74</v>
      </c>
      <c r="AA482" s="2" t="s">
        <v>2838</v>
      </c>
      <c r="AB482" s="2" t="s">
        <v>5874</v>
      </c>
      <c r="AC482" s="2" t="s">
        <v>74</v>
      </c>
      <c r="AD482" s="2" t="s">
        <v>74</v>
      </c>
      <c r="AE482" s="2" t="s">
        <v>74</v>
      </c>
      <c r="AF482" s="2" t="s">
        <v>74</v>
      </c>
      <c r="AG482" s="2" t="s">
        <v>74</v>
      </c>
      <c r="AH482" s="2" t="s">
        <v>74</v>
      </c>
      <c r="AI482" s="2" t="s">
        <v>74</v>
      </c>
      <c r="AJ482" s="2" t="s">
        <v>74</v>
      </c>
      <c r="AK482" s="2" t="s">
        <v>74</v>
      </c>
      <c r="AL482" s="2" t="s">
        <v>74</v>
      </c>
      <c r="AM482" s="2" t="s">
        <v>74</v>
      </c>
      <c r="AN482" s="2" t="s">
        <v>74</v>
      </c>
      <c r="AO482" s="2" t="s">
        <v>111</v>
      </c>
      <c r="AP482" s="2" t="s">
        <v>112</v>
      </c>
      <c r="AQ482" s="2" t="s">
        <v>74</v>
      </c>
      <c r="AR482" s="2" t="s">
        <v>74</v>
      </c>
      <c r="AS482" s="2" t="s">
        <v>74</v>
      </c>
      <c r="AT482" s="2" t="s">
        <v>5875</v>
      </c>
      <c r="AU482" s="2">
        <v>2016</v>
      </c>
      <c r="AV482" s="2">
        <v>283</v>
      </c>
      <c r="AW482" s="2">
        <v>1827</v>
      </c>
      <c r="AX482" s="2" t="s">
        <v>74</v>
      </c>
      <c r="AY482" s="2" t="s">
        <v>74</v>
      </c>
      <c r="AZ482" s="2" t="s">
        <v>74</v>
      </c>
      <c r="BA482" s="2" t="s">
        <v>74</v>
      </c>
      <c r="BB482" s="2" t="s">
        <v>74</v>
      </c>
      <c r="BC482" s="2" t="s">
        <v>74</v>
      </c>
      <c r="BD482" s="2">
        <v>20152685</v>
      </c>
      <c r="BE482" s="2" t="s">
        <v>5876</v>
      </c>
      <c r="BF482" s="2" t="str">
        <f>HYPERLINK("http://dx.doi.org/10.1098/rspb.2015.2685","http://dx.doi.org/10.1098/rspb.2015.2685")</f>
        <v>http://dx.doi.org/10.1098/rspb.2015.2685</v>
      </c>
      <c r="BG482" s="2" t="s">
        <v>74</v>
      </c>
      <c r="BH482" s="2" t="s">
        <v>74</v>
      </c>
      <c r="BI482" s="2" t="s">
        <v>74</v>
      </c>
      <c r="BJ482" s="2" t="s">
        <v>74</v>
      </c>
      <c r="BK482" s="2" t="s">
        <v>74</v>
      </c>
      <c r="BL482" s="2" t="s">
        <v>74</v>
      </c>
      <c r="BM482" s="2" t="s">
        <v>74</v>
      </c>
      <c r="BN482" s="2">
        <v>27009230</v>
      </c>
      <c r="BO482" s="2" t="s">
        <v>74</v>
      </c>
      <c r="BP482" s="2" t="s">
        <v>74</v>
      </c>
      <c r="BQ482" s="2" t="s">
        <v>74</v>
      </c>
      <c r="BR482" s="2" t="s">
        <v>74</v>
      </c>
      <c r="BS482" s="2" t="s">
        <v>5877</v>
      </c>
      <c r="BT482" s="2" t="str">
        <f>HYPERLINK("https%3A%2F%2Fwww.webofscience.com%2Fwos%2Fwoscc%2Ffull-record%2FWOS:000375732500019","View Full Record in Web of Science")</f>
        <v>View Full Record in Web of Science</v>
      </c>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row>
    <row r="483" spans="1:314" s="2" customFormat="1" x14ac:dyDescent="0.4">
      <c r="A483" s="2" t="s">
        <v>72</v>
      </c>
      <c r="B483" s="2" t="s">
        <v>6883</v>
      </c>
      <c r="C483" s="2" t="s">
        <v>74</v>
      </c>
      <c r="D483" s="2" t="s">
        <v>74</v>
      </c>
      <c r="E483" s="2" t="s">
        <v>74</v>
      </c>
      <c r="F483" s="2" t="s">
        <v>6883</v>
      </c>
      <c r="G483" s="2" t="s">
        <v>74</v>
      </c>
      <c r="H483" s="2" t="s">
        <v>74</v>
      </c>
      <c r="I483" s="2" t="s">
        <v>6884</v>
      </c>
      <c r="J483" s="2" t="s">
        <v>4235</v>
      </c>
      <c r="K483" s="2" t="s">
        <v>74</v>
      </c>
      <c r="L483" s="2" t="s">
        <v>74</v>
      </c>
      <c r="M483" s="2" t="s">
        <v>74</v>
      </c>
      <c r="N483" s="2" t="s">
        <v>74</v>
      </c>
      <c r="O483" s="2" t="s">
        <v>74</v>
      </c>
      <c r="P483" s="2" t="s">
        <v>74</v>
      </c>
      <c r="Q483" s="2" t="s">
        <v>74</v>
      </c>
      <c r="R483" s="2" t="s">
        <v>74</v>
      </c>
      <c r="S483" s="2" t="s">
        <v>74</v>
      </c>
      <c r="T483" s="2" t="s">
        <v>74</v>
      </c>
      <c r="U483" s="2" t="s">
        <v>74</v>
      </c>
      <c r="V483" s="5" t="s">
        <v>6885</v>
      </c>
      <c r="W483" s="2" t="s">
        <v>74</v>
      </c>
      <c r="X483" s="2" t="s">
        <v>74</v>
      </c>
      <c r="Y483" s="2" t="s">
        <v>74</v>
      </c>
      <c r="Z483" s="2" t="s">
        <v>74</v>
      </c>
      <c r="AA483" s="2" t="s">
        <v>74</v>
      </c>
      <c r="AB483" s="2" t="s">
        <v>6886</v>
      </c>
      <c r="AC483" s="2" t="s">
        <v>74</v>
      </c>
      <c r="AD483" s="2" t="s">
        <v>74</v>
      </c>
      <c r="AE483" s="2" t="s">
        <v>74</v>
      </c>
      <c r="AF483" s="2" t="s">
        <v>74</v>
      </c>
      <c r="AG483" s="2" t="s">
        <v>74</v>
      </c>
      <c r="AH483" s="2" t="s">
        <v>74</v>
      </c>
      <c r="AI483" s="2" t="s">
        <v>74</v>
      </c>
      <c r="AJ483" s="2" t="s">
        <v>74</v>
      </c>
      <c r="AK483" s="2" t="s">
        <v>74</v>
      </c>
      <c r="AL483" s="2" t="s">
        <v>74</v>
      </c>
      <c r="AM483" s="2" t="s">
        <v>74</v>
      </c>
      <c r="AN483" s="2" t="s">
        <v>74</v>
      </c>
      <c r="AO483" s="2" t="s">
        <v>4239</v>
      </c>
      <c r="AP483" s="2" t="s">
        <v>4240</v>
      </c>
      <c r="AQ483" s="2" t="s">
        <v>74</v>
      </c>
      <c r="AR483" s="2" t="s">
        <v>74</v>
      </c>
      <c r="AS483" s="2" t="s">
        <v>74</v>
      </c>
      <c r="AT483" s="2" t="s">
        <v>305</v>
      </c>
      <c r="AU483" s="2">
        <v>2005</v>
      </c>
      <c r="AV483" s="2">
        <v>37</v>
      </c>
      <c r="AW483" s="2">
        <v>3</v>
      </c>
      <c r="AX483" s="2" t="s">
        <v>74</v>
      </c>
      <c r="AY483" s="2" t="s">
        <v>74</v>
      </c>
      <c r="AZ483" s="2" t="s">
        <v>74</v>
      </c>
      <c r="BA483" s="2" t="s">
        <v>74</v>
      </c>
      <c r="BB483" s="2">
        <v>644</v>
      </c>
      <c r="BC483" s="2">
        <v>660</v>
      </c>
      <c r="BD483" s="2" t="s">
        <v>74</v>
      </c>
      <c r="BE483" s="2" t="s">
        <v>6887</v>
      </c>
      <c r="BF483" s="2" t="str">
        <f>HYPERLINK("http://dx.doi.org/10.1016/j.ympev.2005.04.026","http://dx.doi.org/10.1016/j.ympev.2005.04.026")</f>
        <v>http://dx.doi.org/10.1016/j.ympev.2005.04.026</v>
      </c>
      <c r="BG483" s="2" t="s">
        <v>74</v>
      </c>
      <c r="BH483" s="2" t="s">
        <v>74</v>
      </c>
      <c r="BI483" s="2" t="s">
        <v>74</v>
      </c>
      <c r="BJ483" s="2" t="s">
        <v>74</v>
      </c>
      <c r="BK483" s="2" t="s">
        <v>74</v>
      </c>
      <c r="BL483" s="2" t="s">
        <v>74</v>
      </c>
      <c r="BM483" s="2" t="s">
        <v>74</v>
      </c>
      <c r="BN483" s="2">
        <v>16055353</v>
      </c>
      <c r="BO483" s="2" t="s">
        <v>74</v>
      </c>
      <c r="BP483" s="2" t="s">
        <v>74</v>
      </c>
      <c r="BQ483" s="2" t="s">
        <v>74</v>
      </c>
      <c r="BR483" s="2" t="s">
        <v>74</v>
      </c>
      <c r="BS483" s="2" t="s">
        <v>6888</v>
      </c>
      <c r="BT483" s="2" t="str">
        <f>HYPERLINK("https%3A%2F%2Fwww.webofscience.com%2Fwos%2Fwoscc%2Ffull-record%2FWOS:000233658100002","View Full Record in Web of Science")</f>
        <v>View Full Record in Web of Science</v>
      </c>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row>
    <row r="484" spans="1:314" s="1" customFormat="1" x14ac:dyDescent="0.4">
      <c r="A484" s="2" t="s">
        <v>72</v>
      </c>
      <c r="B484" s="2" t="s">
        <v>4796</v>
      </c>
      <c r="C484" s="2" t="s">
        <v>74</v>
      </c>
      <c r="D484" s="2" t="s">
        <v>74</v>
      </c>
      <c r="E484" s="2" t="s">
        <v>74</v>
      </c>
      <c r="F484" s="2" t="s">
        <v>4796</v>
      </c>
      <c r="G484" s="2" t="s">
        <v>74</v>
      </c>
      <c r="H484" s="2" t="s">
        <v>74</v>
      </c>
      <c r="I484" s="2" t="s">
        <v>4797</v>
      </c>
      <c r="J484" s="2" t="s">
        <v>691</v>
      </c>
      <c r="K484" s="2" t="s">
        <v>74</v>
      </c>
      <c r="L484" s="2" t="s">
        <v>74</v>
      </c>
      <c r="M484" s="2" t="s">
        <v>74</v>
      </c>
      <c r="N484" s="2" t="s">
        <v>74</v>
      </c>
      <c r="O484" s="2" t="s">
        <v>74</v>
      </c>
      <c r="P484" s="2" t="s">
        <v>74</v>
      </c>
      <c r="Q484" s="2" t="s">
        <v>74</v>
      </c>
      <c r="R484" s="2" t="s">
        <v>74</v>
      </c>
      <c r="S484" s="2" t="s">
        <v>74</v>
      </c>
      <c r="T484" s="2" t="s">
        <v>74</v>
      </c>
      <c r="U484" s="2" t="s">
        <v>74</v>
      </c>
      <c r="V484" s="5" t="s">
        <v>4798</v>
      </c>
      <c r="W484" s="2" t="s">
        <v>74</v>
      </c>
      <c r="X484" s="2" t="s">
        <v>74</v>
      </c>
      <c r="Y484" s="2" t="s">
        <v>74</v>
      </c>
      <c r="Z484" s="2" t="s">
        <v>74</v>
      </c>
      <c r="AA484" s="2" t="s">
        <v>4799</v>
      </c>
      <c r="AB484" s="2" t="s">
        <v>4800</v>
      </c>
      <c r="AC484" s="2" t="s">
        <v>74</v>
      </c>
      <c r="AD484" s="2" t="s">
        <v>74</v>
      </c>
      <c r="AE484" s="2" t="s">
        <v>74</v>
      </c>
      <c r="AF484" s="2" t="s">
        <v>74</v>
      </c>
      <c r="AG484" s="2" t="s">
        <v>74</v>
      </c>
      <c r="AH484" s="2" t="s">
        <v>74</v>
      </c>
      <c r="AI484" s="2" t="s">
        <v>74</v>
      </c>
      <c r="AJ484" s="2" t="s">
        <v>74</v>
      </c>
      <c r="AK484" s="2" t="s">
        <v>74</v>
      </c>
      <c r="AL484" s="2" t="s">
        <v>74</v>
      </c>
      <c r="AM484" s="2" t="s">
        <v>74</v>
      </c>
      <c r="AN484" s="2" t="s">
        <v>74</v>
      </c>
      <c r="AO484" s="2" t="s">
        <v>695</v>
      </c>
      <c r="AP484" s="2" t="s">
        <v>74</v>
      </c>
      <c r="AQ484" s="2" t="s">
        <v>74</v>
      </c>
      <c r="AR484" s="2" t="s">
        <v>74</v>
      </c>
      <c r="AS484" s="2" t="s">
        <v>74</v>
      </c>
      <c r="AT484" s="2" t="s">
        <v>964</v>
      </c>
      <c r="AU484" s="2">
        <v>1994</v>
      </c>
      <c r="AV484" s="2">
        <v>55</v>
      </c>
      <c r="AW484" s="2">
        <v>2</v>
      </c>
      <c r="AX484" s="2" t="s">
        <v>74</v>
      </c>
      <c r="AY484" s="2" t="s">
        <v>74</v>
      </c>
      <c r="AZ484" s="2" t="s">
        <v>74</v>
      </c>
      <c r="BA484" s="2" t="s">
        <v>74</v>
      </c>
      <c r="BB484" s="2">
        <v>313</v>
      </c>
      <c r="BC484" s="2">
        <v>316</v>
      </c>
      <c r="BD484" s="2" t="s">
        <v>74</v>
      </c>
      <c r="BE484" s="2" t="s">
        <v>4801</v>
      </c>
      <c r="BF484" s="2" t="str">
        <f>HYPERLINK("http://dx.doi.org/10.1016/0031-9384(94)90139-2","http://dx.doi.org/10.1016/0031-9384(94)90139-2")</f>
        <v>http://dx.doi.org/10.1016/0031-9384(94)90139-2</v>
      </c>
      <c r="BG484" s="2" t="s">
        <v>74</v>
      </c>
      <c r="BH484" s="2" t="s">
        <v>74</v>
      </c>
      <c r="BI484" s="2" t="s">
        <v>74</v>
      </c>
      <c r="BJ484" s="2" t="s">
        <v>74</v>
      </c>
      <c r="BK484" s="2" t="s">
        <v>74</v>
      </c>
      <c r="BL484" s="2" t="s">
        <v>74</v>
      </c>
      <c r="BM484" s="2" t="s">
        <v>74</v>
      </c>
      <c r="BN484" s="2">
        <v>8153171</v>
      </c>
      <c r="BO484" s="2" t="s">
        <v>74</v>
      </c>
      <c r="BP484" s="2" t="s">
        <v>74</v>
      </c>
      <c r="BQ484" s="2" t="s">
        <v>74</v>
      </c>
      <c r="BR484" s="2" t="s">
        <v>74</v>
      </c>
      <c r="BS484" s="2" t="s">
        <v>4802</v>
      </c>
      <c r="BT484" s="2" t="str">
        <f>HYPERLINK("https%3A%2F%2Fwww.webofscience.com%2Fwos%2Fwoscc%2Ffull-record%2FWOS:A1994MV64200016","View Full Record in Web of Science")</f>
        <v>View Full Record in Web of Science</v>
      </c>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row>
    <row r="485" spans="1:314" s="2" customFormat="1" x14ac:dyDescent="0.4">
      <c r="A485" s="2" t="s">
        <v>72</v>
      </c>
      <c r="B485" s="2" t="s">
        <v>5151</v>
      </c>
      <c r="C485" s="2" t="s">
        <v>74</v>
      </c>
      <c r="D485" s="2" t="s">
        <v>74</v>
      </c>
      <c r="E485" s="2" t="s">
        <v>74</v>
      </c>
      <c r="F485" s="2" t="s">
        <v>5152</v>
      </c>
      <c r="G485" s="2" t="s">
        <v>74</v>
      </c>
      <c r="H485" s="2" t="s">
        <v>74</v>
      </c>
      <c r="I485" s="2" t="s">
        <v>5153</v>
      </c>
      <c r="J485" s="2" t="s">
        <v>1673</v>
      </c>
      <c r="K485" s="2" t="s">
        <v>74</v>
      </c>
      <c r="L485" s="2" t="s">
        <v>74</v>
      </c>
      <c r="M485" s="2" t="s">
        <v>74</v>
      </c>
      <c r="N485" s="2" t="s">
        <v>74</v>
      </c>
      <c r="O485" s="2" t="s">
        <v>74</v>
      </c>
      <c r="P485" s="2" t="s">
        <v>74</v>
      </c>
      <c r="Q485" s="2" t="s">
        <v>74</v>
      </c>
      <c r="R485" s="2" t="s">
        <v>74</v>
      </c>
      <c r="S485" s="2" t="s">
        <v>74</v>
      </c>
      <c r="T485" s="2" t="s">
        <v>74</v>
      </c>
      <c r="U485" s="2" t="s">
        <v>74</v>
      </c>
      <c r="V485" s="5" t="s">
        <v>5154</v>
      </c>
      <c r="W485" s="2" t="s">
        <v>74</v>
      </c>
      <c r="X485" s="2" t="s">
        <v>74</v>
      </c>
      <c r="Y485" s="2" t="s">
        <v>74</v>
      </c>
      <c r="Z485" s="2" t="s">
        <v>74</v>
      </c>
      <c r="AA485" s="2" t="s">
        <v>5155</v>
      </c>
      <c r="AB485" s="2" t="s">
        <v>5156</v>
      </c>
      <c r="AC485" s="2" t="s">
        <v>74</v>
      </c>
      <c r="AD485" s="2" t="s">
        <v>74</v>
      </c>
      <c r="AE485" s="2" t="s">
        <v>74</v>
      </c>
      <c r="AF485" s="2" t="s">
        <v>74</v>
      </c>
      <c r="AG485" s="2" t="s">
        <v>74</v>
      </c>
      <c r="AH485" s="2" t="s">
        <v>74</v>
      </c>
      <c r="AI485" s="2" t="s">
        <v>74</v>
      </c>
      <c r="AJ485" s="2" t="s">
        <v>74</v>
      </c>
      <c r="AK485" s="2" t="s">
        <v>74</v>
      </c>
      <c r="AL485" s="2" t="s">
        <v>74</v>
      </c>
      <c r="AM485" s="2" t="s">
        <v>74</v>
      </c>
      <c r="AN485" s="2" t="s">
        <v>74</v>
      </c>
      <c r="AO485" s="2" t="s">
        <v>1239</v>
      </c>
      <c r="AP485" s="2" t="s">
        <v>1675</v>
      </c>
      <c r="AQ485" s="2" t="s">
        <v>74</v>
      </c>
      <c r="AR485" s="2" t="s">
        <v>74</v>
      </c>
      <c r="AS485" s="2" t="s">
        <v>74</v>
      </c>
      <c r="AT485" s="2" t="s">
        <v>305</v>
      </c>
      <c r="AU485" s="2">
        <v>2014</v>
      </c>
      <c r="AV485" s="2">
        <v>92</v>
      </c>
      <c r="AW485" s="2">
        <v>12</v>
      </c>
      <c r="AX485" s="2" t="s">
        <v>74</v>
      </c>
      <c r="AY485" s="2" t="s">
        <v>74</v>
      </c>
      <c r="AZ485" s="2" t="s">
        <v>74</v>
      </c>
      <c r="BA485" s="2" t="s">
        <v>74</v>
      </c>
      <c r="BB485" s="2">
        <v>1075</v>
      </c>
      <c r="BC485" s="2">
        <v>1082</v>
      </c>
      <c r="BD485" s="2" t="s">
        <v>74</v>
      </c>
      <c r="BE485" s="2" t="s">
        <v>5157</v>
      </c>
      <c r="BF485" s="2" t="str">
        <f>HYPERLINK("http://dx.doi.org/10.1139/cjz-2014-0256","http://dx.doi.org/10.1139/cjz-2014-0256")</f>
        <v>http://dx.doi.org/10.1139/cjz-2014-0256</v>
      </c>
      <c r="BG485" s="2" t="s">
        <v>74</v>
      </c>
      <c r="BH485" s="2" t="s">
        <v>74</v>
      </c>
      <c r="BI485" s="2" t="s">
        <v>74</v>
      </c>
      <c r="BJ485" s="2" t="s">
        <v>74</v>
      </c>
      <c r="BK485" s="2" t="s">
        <v>74</v>
      </c>
      <c r="BL485" s="2" t="s">
        <v>74</v>
      </c>
      <c r="BM485" s="2" t="s">
        <v>74</v>
      </c>
      <c r="BN485" s="2" t="s">
        <v>74</v>
      </c>
      <c r="BO485" s="2" t="s">
        <v>74</v>
      </c>
      <c r="BP485" s="2" t="s">
        <v>74</v>
      </c>
      <c r="BQ485" s="2" t="s">
        <v>74</v>
      </c>
      <c r="BR485" s="2" t="s">
        <v>74</v>
      </c>
      <c r="BS485" s="2" t="s">
        <v>5158</v>
      </c>
      <c r="BT485" s="2" t="str">
        <f>HYPERLINK("https%3A%2F%2Fwww.webofscience.com%2Fwos%2Fwoscc%2Ffull-record%2FWOS:000345617300010","View Full Record in Web of Science")</f>
        <v>View Full Record in Web of Science</v>
      </c>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row>
    <row r="486" spans="1:314" s="2" customFormat="1" x14ac:dyDescent="0.4">
      <c r="A486" s="2" t="s">
        <v>72</v>
      </c>
      <c r="B486" s="2" t="s">
        <v>3143</v>
      </c>
      <c r="C486" s="2" t="s">
        <v>74</v>
      </c>
      <c r="D486" s="2" t="s">
        <v>74</v>
      </c>
      <c r="E486" s="2" t="s">
        <v>74</v>
      </c>
      <c r="F486" s="2" t="s">
        <v>3144</v>
      </c>
      <c r="G486" s="2" t="s">
        <v>74</v>
      </c>
      <c r="H486" s="2" t="s">
        <v>74</v>
      </c>
      <c r="I486" s="2" t="s">
        <v>3145</v>
      </c>
      <c r="J486" s="2" t="s">
        <v>456</v>
      </c>
      <c r="K486" s="2" t="s">
        <v>74</v>
      </c>
      <c r="L486" s="2" t="s">
        <v>74</v>
      </c>
      <c r="M486" s="2" t="s">
        <v>74</v>
      </c>
      <c r="N486" s="2" t="s">
        <v>74</v>
      </c>
      <c r="O486" s="2" t="s">
        <v>74</v>
      </c>
      <c r="P486" s="2" t="s">
        <v>74</v>
      </c>
      <c r="Q486" s="2" t="s">
        <v>74</v>
      </c>
      <c r="R486" s="2" t="s">
        <v>74</v>
      </c>
      <c r="S486" s="2" t="s">
        <v>74</v>
      </c>
      <c r="T486" s="2" t="s">
        <v>74</v>
      </c>
      <c r="U486" s="2" t="s">
        <v>74</v>
      </c>
      <c r="V486" s="5" t="s">
        <v>3146</v>
      </c>
      <c r="W486" s="2" t="s">
        <v>74</v>
      </c>
      <c r="X486" s="2" t="s">
        <v>74</v>
      </c>
      <c r="Y486" s="2" t="s">
        <v>74</v>
      </c>
      <c r="Z486" s="2" t="s">
        <v>74</v>
      </c>
      <c r="AA486" s="2" t="s">
        <v>3147</v>
      </c>
      <c r="AB486" s="2" t="s">
        <v>3148</v>
      </c>
      <c r="AC486" s="2" t="s">
        <v>74</v>
      </c>
      <c r="AD486" s="2" t="s">
        <v>74</v>
      </c>
      <c r="AE486" s="2" t="s">
        <v>74</v>
      </c>
      <c r="AF486" s="2" t="s">
        <v>74</v>
      </c>
      <c r="AG486" s="2" t="s">
        <v>74</v>
      </c>
      <c r="AH486" s="2" t="s">
        <v>74</v>
      </c>
      <c r="AI486" s="2" t="s">
        <v>74</v>
      </c>
      <c r="AJ486" s="2" t="s">
        <v>74</v>
      </c>
      <c r="AK486" s="2" t="s">
        <v>74</v>
      </c>
      <c r="AL486" s="2" t="s">
        <v>74</v>
      </c>
      <c r="AM486" s="2" t="s">
        <v>74</v>
      </c>
      <c r="AN486" s="2" t="s">
        <v>74</v>
      </c>
      <c r="AO486" s="2" t="s">
        <v>460</v>
      </c>
      <c r="AP486" s="2" t="s">
        <v>461</v>
      </c>
      <c r="AQ486" s="2" t="s">
        <v>74</v>
      </c>
      <c r="AR486" s="2" t="s">
        <v>74</v>
      </c>
      <c r="AS486" s="2" t="s">
        <v>74</v>
      </c>
      <c r="AT486" s="2" t="s">
        <v>123</v>
      </c>
      <c r="AU486" s="2">
        <v>2020</v>
      </c>
      <c r="AV486" s="2">
        <v>310</v>
      </c>
      <c r="AW486" s="2">
        <v>3</v>
      </c>
      <c r="AX486" s="2" t="s">
        <v>74</v>
      </c>
      <c r="AY486" s="2" t="s">
        <v>74</v>
      </c>
      <c r="AZ486" s="2" t="s">
        <v>74</v>
      </c>
      <c r="BA486" s="2" t="s">
        <v>74</v>
      </c>
      <c r="BB486" s="2">
        <v>246</v>
      </c>
      <c r="BC486" s="2">
        <v>253</v>
      </c>
      <c r="BD486" s="2" t="s">
        <v>74</v>
      </c>
      <c r="BE486" s="2" t="s">
        <v>3149</v>
      </c>
      <c r="BF486" s="2" t="str">
        <f>HYPERLINK("http://dx.doi.org/10.1111/jzo.12738","http://dx.doi.org/10.1111/jzo.12738")</f>
        <v>http://dx.doi.org/10.1111/jzo.12738</v>
      </c>
      <c r="BG486" s="2" t="s">
        <v>74</v>
      </c>
      <c r="BH486" s="2" t="s">
        <v>74</v>
      </c>
      <c r="BI486" s="2" t="s">
        <v>74</v>
      </c>
      <c r="BJ486" s="2" t="s">
        <v>74</v>
      </c>
      <c r="BK486" s="2" t="s">
        <v>74</v>
      </c>
      <c r="BL486" s="2" t="s">
        <v>74</v>
      </c>
      <c r="BM486" s="2" t="s">
        <v>74</v>
      </c>
      <c r="BN486" s="2" t="s">
        <v>74</v>
      </c>
      <c r="BO486" s="2" t="s">
        <v>74</v>
      </c>
      <c r="BP486" s="2" t="s">
        <v>74</v>
      </c>
      <c r="BQ486" s="2" t="s">
        <v>74</v>
      </c>
      <c r="BR486" s="2" t="s">
        <v>74</v>
      </c>
      <c r="BS486" s="2" t="s">
        <v>3150</v>
      </c>
      <c r="BT486" s="2" t="str">
        <f>HYPERLINK("https%3A%2F%2Fwww.webofscience.com%2Fwos%2Fwoscc%2Ffull-record%2FWOS:000517127100008","View Full Record in Web of Science")</f>
        <v>View Full Record in Web of Science</v>
      </c>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row>
    <row r="487" spans="1:314" s="2" customFormat="1" x14ac:dyDescent="0.4">
      <c r="A487" s="2" t="s">
        <v>72</v>
      </c>
      <c r="B487" s="2" t="s">
        <v>6365</v>
      </c>
      <c r="C487" s="2" t="s">
        <v>74</v>
      </c>
      <c r="D487" s="2" t="s">
        <v>74</v>
      </c>
      <c r="E487" s="2" t="s">
        <v>74</v>
      </c>
      <c r="F487" s="2" t="s">
        <v>6366</v>
      </c>
      <c r="G487" s="2" t="s">
        <v>74</v>
      </c>
      <c r="H487" s="2" t="s">
        <v>74</v>
      </c>
      <c r="I487" s="2" t="s">
        <v>6367</v>
      </c>
      <c r="J487" s="2" t="s">
        <v>140</v>
      </c>
      <c r="K487" s="2" t="s">
        <v>74</v>
      </c>
      <c r="L487" s="2" t="s">
        <v>74</v>
      </c>
      <c r="M487" s="2" t="s">
        <v>74</v>
      </c>
      <c r="N487" s="2" t="s">
        <v>74</v>
      </c>
      <c r="O487" s="2" t="s">
        <v>74</v>
      </c>
      <c r="P487" s="2" t="s">
        <v>74</v>
      </c>
      <c r="Q487" s="2" t="s">
        <v>74</v>
      </c>
      <c r="R487" s="2" t="s">
        <v>74</v>
      </c>
      <c r="S487" s="2" t="s">
        <v>74</v>
      </c>
      <c r="T487" s="2" t="s">
        <v>74</v>
      </c>
      <c r="U487" s="2" t="s">
        <v>74</v>
      </c>
      <c r="V487" s="5" t="s">
        <v>6368</v>
      </c>
      <c r="W487" s="2" t="s">
        <v>74</v>
      </c>
      <c r="X487" s="2" t="s">
        <v>74</v>
      </c>
      <c r="Y487" s="2" t="s">
        <v>74</v>
      </c>
      <c r="Z487" s="2" t="s">
        <v>74</v>
      </c>
      <c r="AA487" s="2" t="s">
        <v>74</v>
      </c>
      <c r="AB487" s="2" t="s">
        <v>74</v>
      </c>
      <c r="AC487" s="2" t="s">
        <v>74</v>
      </c>
      <c r="AD487" s="2" t="s">
        <v>74</v>
      </c>
      <c r="AE487" s="2" t="s">
        <v>74</v>
      </c>
      <c r="AF487" s="2" t="s">
        <v>74</v>
      </c>
      <c r="AG487" s="2" t="s">
        <v>74</v>
      </c>
      <c r="AH487" s="2" t="s">
        <v>74</v>
      </c>
      <c r="AI487" s="2" t="s">
        <v>74</v>
      </c>
      <c r="AJ487" s="2" t="s">
        <v>74</v>
      </c>
      <c r="AK487" s="2" t="s">
        <v>74</v>
      </c>
      <c r="AL487" s="2" t="s">
        <v>74</v>
      </c>
      <c r="AM487" s="2" t="s">
        <v>74</v>
      </c>
      <c r="AN487" s="2" t="s">
        <v>74</v>
      </c>
      <c r="AO487" s="2" t="s">
        <v>143</v>
      </c>
      <c r="AP487" s="2" t="s">
        <v>74</v>
      </c>
      <c r="AQ487" s="2" t="s">
        <v>74</v>
      </c>
      <c r="AR487" s="2" t="s">
        <v>74</v>
      </c>
      <c r="AS487" s="2" t="s">
        <v>74</v>
      </c>
      <c r="AT487" s="2" t="s">
        <v>175</v>
      </c>
      <c r="AU487" s="2">
        <v>2008</v>
      </c>
      <c r="AV487" s="2">
        <v>76</v>
      </c>
      <c r="AW487" s="2" t="s">
        <v>74</v>
      </c>
      <c r="AX487" s="2">
        <v>4</v>
      </c>
      <c r="AY487" s="2" t="s">
        <v>74</v>
      </c>
      <c r="AZ487" s="2" t="s">
        <v>74</v>
      </c>
      <c r="BA487" s="2" t="s">
        <v>74</v>
      </c>
      <c r="BB487" s="2">
        <v>1403</v>
      </c>
      <c r="BC487" s="2">
        <v>1410</v>
      </c>
      <c r="BD487" s="2" t="s">
        <v>74</v>
      </c>
      <c r="BE487" s="2" t="s">
        <v>6369</v>
      </c>
      <c r="BF487" s="2" t="str">
        <f>HYPERLINK("http://dx.doi.org/10.1016/j.anbehav.2008.06.021","http://dx.doi.org/10.1016/j.anbehav.2008.06.021")</f>
        <v>http://dx.doi.org/10.1016/j.anbehav.2008.06.021</v>
      </c>
      <c r="BG487" s="2" t="s">
        <v>74</v>
      </c>
      <c r="BH487" s="2" t="s">
        <v>74</v>
      </c>
      <c r="BI487" s="2" t="s">
        <v>74</v>
      </c>
      <c r="BJ487" s="2" t="s">
        <v>74</v>
      </c>
      <c r="BK487" s="2" t="s">
        <v>74</v>
      </c>
      <c r="BL487" s="2" t="s">
        <v>74</v>
      </c>
      <c r="BM487" s="2" t="s">
        <v>74</v>
      </c>
      <c r="BN487" s="2" t="s">
        <v>74</v>
      </c>
      <c r="BO487" s="2" t="s">
        <v>74</v>
      </c>
      <c r="BP487" s="2" t="s">
        <v>74</v>
      </c>
      <c r="BQ487" s="2" t="s">
        <v>74</v>
      </c>
      <c r="BR487" s="2" t="s">
        <v>74</v>
      </c>
      <c r="BS487" s="2" t="s">
        <v>6370</v>
      </c>
      <c r="BT487" s="2" t="str">
        <f>HYPERLINK("https%3A%2F%2Fwww.webofscience.com%2Fwos%2Fwoscc%2Ffull-record%2FWOS:000260118000031","View Full Record in Web of Science")</f>
        <v>View Full Record in Web of Science</v>
      </c>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row>
    <row r="488" spans="1:314" s="2" customFormat="1" x14ac:dyDescent="0.4">
      <c r="A488" s="2" t="s">
        <v>72</v>
      </c>
      <c r="B488" s="2" t="s">
        <v>2674</v>
      </c>
      <c r="C488" s="2" t="s">
        <v>74</v>
      </c>
      <c r="D488" s="2" t="s">
        <v>74</v>
      </c>
      <c r="E488" s="2" t="s">
        <v>74</v>
      </c>
      <c r="F488" s="2" t="s">
        <v>2675</v>
      </c>
      <c r="G488" s="2" t="s">
        <v>74</v>
      </c>
      <c r="H488" s="2" t="s">
        <v>74</v>
      </c>
      <c r="I488" s="2" t="s">
        <v>2676</v>
      </c>
      <c r="J488" s="2" t="s">
        <v>2677</v>
      </c>
      <c r="K488" s="2" t="s">
        <v>74</v>
      </c>
      <c r="L488" s="2" t="s">
        <v>74</v>
      </c>
      <c r="M488" s="2" t="s">
        <v>74</v>
      </c>
      <c r="N488" s="2" t="s">
        <v>74</v>
      </c>
      <c r="O488" s="2" t="s">
        <v>74</v>
      </c>
      <c r="P488" s="2" t="s">
        <v>74</v>
      </c>
      <c r="Q488" s="2" t="s">
        <v>74</v>
      </c>
      <c r="R488" s="2" t="s">
        <v>74</v>
      </c>
      <c r="S488" s="2" t="s">
        <v>74</v>
      </c>
      <c r="T488" s="2" t="s">
        <v>74</v>
      </c>
      <c r="U488" s="2" t="s">
        <v>74</v>
      </c>
      <c r="V488" s="5" t="s">
        <v>2678</v>
      </c>
      <c r="W488" s="2" t="s">
        <v>74</v>
      </c>
      <c r="X488" s="2" t="s">
        <v>74</v>
      </c>
      <c r="Y488" s="2" t="s">
        <v>74</v>
      </c>
      <c r="Z488" s="2" t="s">
        <v>74</v>
      </c>
      <c r="AA488" s="2" t="s">
        <v>2679</v>
      </c>
      <c r="AB488" s="2" t="s">
        <v>2680</v>
      </c>
      <c r="AC488" s="2" t="s">
        <v>74</v>
      </c>
      <c r="AD488" s="2" t="s">
        <v>74</v>
      </c>
      <c r="AE488" s="2" t="s">
        <v>74</v>
      </c>
      <c r="AF488" s="2" t="s">
        <v>74</v>
      </c>
      <c r="AG488" s="2" t="s">
        <v>74</v>
      </c>
      <c r="AH488" s="2" t="s">
        <v>74</v>
      </c>
      <c r="AI488" s="2" t="s">
        <v>74</v>
      </c>
      <c r="AJ488" s="2" t="s">
        <v>74</v>
      </c>
      <c r="AK488" s="2" t="s">
        <v>74</v>
      </c>
      <c r="AL488" s="2" t="s">
        <v>74</v>
      </c>
      <c r="AM488" s="2" t="s">
        <v>74</v>
      </c>
      <c r="AN488" s="2" t="s">
        <v>74</v>
      </c>
      <c r="AO488" s="2" t="s">
        <v>2681</v>
      </c>
      <c r="AP488" s="2" t="s">
        <v>2682</v>
      </c>
      <c r="AQ488" s="2" t="s">
        <v>74</v>
      </c>
      <c r="AR488" s="2" t="s">
        <v>74</v>
      </c>
      <c r="AS488" s="2" t="s">
        <v>74</v>
      </c>
      <c r="AT488" s="2" t="s">
        <v>74</v>
      </c>
      <c r="AU488" s="2">
        <v>2013</v>
      </c>
      <c r="AV488" s="2">
        <v>6</v>
      </c>
      <c r="AW488" s="2">
        <v>2</v>
      </c>
      <c r="AX488" s="2" t="s">
        <v>74</v>
      </c>
      <c r="AY488" s="2" t="s">
        <v>74</v>
      </c>
      <c r="AZ488" s="2" t="s">
        <v>74</v>
      </c>
      <c r="BA488" s="2" t="s">
        <v>74</v>
      </c>
      <c r="BB488" s="2">
        <v>147</v>
      </c>
      <c r="BC488" s="2">
        <v>156</v>
      </c>
      <c r="BD488" s="2" t="s">
        <v>74</v>
      </c>
      <c r="BE488" s="2" t="s">
        <v>2683</v>
      </c>
      <c r="BF488" s="2" t="str">
        <f>HYPERLINK("http://dx.doi.org/10.3184/175815513X13617279883973","http://dx.doi.org/10.3184/175815513X13617279883973")</f>
        <v>http://dx.doi.org/10.3184/175815513X13617279883973</v>
      </c>
      <c r="BG488" s="2" t="s">
        <v>74</v>
      </c>
      <c r="BH488" s="2" t="s">
        <v>74</v>
      </c>
      <c r="BI488" s="2" t="s">
        <v>74</v>
      </c>
      <c r="BJ488" s="2" t="s">
        <v>74</v>
      </c>
      <c r="BK488" s="2" t="s">
        <v>74</v>
      </c>
      <c r="BL488" s="2" t="s">
        <v>74</v>
      </c>
      <c r="BM488" s="2" t="s">
        <v>74</v>
      </c>
      <c r="BN488" s="2" t="s">
        <v>74</v>
      </c>
      <c r="BO488" s="2" t="s">
        <v>74</v>
      </c>
      <c r="BP488" s="2" t="s">
        <v>74</v>
      </c>
      <c r="BQ488" s="2" t="s">
        <v>74</v>
      </c>
      <c r="BR488" s="2" t="s">
        <v>74</v>
      </c>
      <c r="BS488" s="2" t="s">
        <v>2684</v>
      </c>
      <c r="BT488" s="2" t="str">
        <f>HYPERLINK("https%3A%2F%2Fwww.webofscience.com%2Fwos%2Fwoscc%2Ffull-record%2FWOS:000318967100007","View Full Record in Web of Science")</f>
        <v>View Full Record in Web of Science</v>
      </c>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row>
    <row r="489" spans="1:314" s="2" customFormat="1" x14ac:dyDescent="0.4">
      <c r="A489" s="2" t="s">
        <v>72</v>
      </c>
      <c r="B489" s="2" t="s">
        <v>3627</v>
      </c>
      <c r="C489" s="2" t="s">
        <v>74</v>
      </c>
      <c r="D489" s="2" t="s">
        <v>74</v>
      </c>
      <c r="E489" s="2" t="s">
        <v>74</v>
      </c>
      <c r="F489" s="2" t="s">
        <v>3628</v>
      </c>
      <c r="G489" s="2" t="s">
        <v>74</v>
      </c>
      <c r="H489" s="2" t="s">
        <v>74</v>
      </c>
      <c r="I489" s="2" t="s">
        <v>3629</v>
      </c>
      <c r="J489" s="2" t="s">
        <v>2901</v>
      </c>
      <c r="K489" s="2" t="s">
        <v>74</v>
      </c>
      <c r="L489" s="2" t="s">
        <v>74</v>
      </c>
      <c r="M489" s="2" t="s">
        <v>74</v>
      </c>
      <c r="N489" s="2" t="s">
        <v>74</v>
      </c>
      <c r="O489" s="2" t="s">
        <v>74</v>
      </c>
      <c r="P489" s="2" t="s">
        <v>74</v>
      </c>
      <c r="Q489" s="2" t="s">
        <v>74</v>
      </c>
      <c r="R489" s="2" t="s">
        <v>74</v>
      </c>
      <c r="S489" s="2" t="s">
        <v>74</v>
      </c>
      <c r="T489" s="2" t="s">
        <v>74</v>
      </c>
      <c r="U489" s="2" t="s">
        <v>74</v>
      </c>
      <c r="V489" s="5" t="s">
        <v>3630</v>
      </c>
      <c r="W489" s="2" t="s">
        <v>74</v>
      </c>
      <c r="X489" s="2" t="s">
        <v>74</v>
      </c>
      <c r="Y489" s="2" t="s">
        <v>74</v>
      </c>
      <c r="Z489" s="2" t="s">
        <v>74</v>
      </c>
      <c r="AA489" s="2" t="s">
        <v>74</v>
      </c>
      <c r="AB489" s="2" t="s">
        <v>2504</v>
      </c>
      <c r="AC489" s="2" t="s">
        <v>74</v>
      </c>
      <c r="AD489" s="2" t="s">
        <v>74</v>
      </c>
      <c r="AE489" s="2" t="s">
        <v>74</v>
      </c>
      <c r="AF489" s="2" t="s">
        <v>74</v>
      </c>
      <c r="AG489" s="2" t="s">
        <v>74</v>
      </c>
      <c r="AH489" s="2" t="s">
        <v>74</v>
      </c>
      <c r="AI489" s="2" t="s">
        <v>74</v>
      </c>
      <c r="AJ489" s="2" t="s">
        <v>74</v>
      </c>
      <c r="AK489" s="2" t="s">
        <v>74</v>
      </c>
      <c r="AL489" s="2" t="s">
        <v>74</v>
      </c>
      <c r="AM489" s="2" t="s">
        <v>74</v>
      </c>
      <c r="AN489" s="2" t="s">
        <v>74</v>
      </c>
      <c r="AO489" s="2" t="s">
        <v>2903</v>
      </c>
      <c r="AP489" s="2" t="s">
        <v>2904</v>
      </c>
      <c r="AQ489" s="2" t="s">
        <v>74</v>
      </c>
      <c r="AR489" s="2" t="s">
        <v>74</v>
      </c>
      <c r="AS489" s="2" t="s">
        <v>74</v>
      </c>
      <c r="AT489" s="2" t="s">
        <v>3631</v>
      </c>
      <c r="AU489" s="2">
        <v>2013</v>
      </c>
      <c r="AV489" s="2">
        <v>25</v>
      </c>
      <c r="AW489" s="2">
        <v>2</v>
      </c>
      <c r="AX489" s="2" t="s">
        <v>74</v>
      </c>
      <c r="AY489" s="2" t="s">
        <v>74</v>
      </c>
      <c r="AZ489" s="2" t="s">
        <v>74</v>
      </c>
      <c r="BA489" s="2" t="s">
        <v>74</v>
      </c>
      <c r="BB489" s="2">
        <v>161</v>
      </c>
      <c r="BC489" s="2">
        <v>173</v>
      </c>
      <c r="BD489" s="2" t="s">
        <v>74</v>
      </c>
      <c r="BE489" s="2" t="s">
        <v>3632</v>
      </c>
      <c r="BF489" s="2" t="str">
        <f>HYPERLINK("http://dx.doi.org/10.1080/03949370.2012.742464","http://dx.doi.org/10.1080/03949370.2012.742464")</f>
        <v>http://dx.doi.org/10.1080/03949370.2012.742464</v>
      </c>
      <c r="BG489" s="2" t="s">
        <v>74</v>
      </c>
      <c r="BH489" s="2" t="s">
        <v>74</v>
      </c>
      <c r="BI489" s="2" t="s">
        <v>74</v>
      </c>
      <c r="BJ489" s="2" t="s">
        <v>74</v>
      </c>
      <c r="BK489" s="2" t="s">
        <v>74</v>
      </c>
      <c r="BL489" s="2" t="s">
        <v>74</v>
      </c>
      <c r="BM489" s="2" t="s">
        <v>74</v>
      </c>
      <c r="BN489" s="2" t="s">
        <v>74</v>
      </c>
      <c r="BO489" s="2" t="s">
        <v>74</v>
      </c>
      <c r="BP489" s="2" t="s">
        <v>74</v>
      </c>
      <c r="BQ489" s="2" t="s">
        <v>74</v>
      </c>
      <c r="BR489" s="2" t="s">
        <v>74</v>
      </c>
      <c r="BS489" s="2" t="s">
        <v>3633</v>
      </c>
      <c r="BT489" s="2" t="str">
        <f>HYPERLINK("https%3A%2F%2Fwww.webofscience.com%2Fwos%2Fwoscc%2Ffull-record%2FWOS:000317742200005","View Full Record in Web of Science")</f>
        <v>View Full Record in Web of Science</v>
      </c>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row>
    <row r="490" spans="1:314" s="2" customFormat="1" x14ac:dyDescent="0.4">
      <c r="A490" s="2" t="s">
        <v>72</v>
      </c>
      <c r="B490" s="2" t="s">
        <v>2500</v>
      </c>
      <c r="C490" s="2" t="s">
        <v>74</v>
      </c>
      <c r="D490" s="2" t="s">
        <v>74</v>
      </c>
      <c r="E490" s="2" t="s">
        <v>74</v>
      </c>
      <c r="F490" s="2" t="s">
        <v>2500</v>
      </c>
      <c r="G490" s="2" t="s">
        <v>74</v>
      </c>
      <c r="H490" s="2" t="s">
        <v>74</v>
      </c>
      <c r="I490" s="2" t="s">
        <v>2501</v>
      </c>
      <c r="J490" s="2" t="s">
        <v>140</v>
      </c>
      <c r="K490" s="2" t="s">
        <v>74</v>
      </c>
      <c r="L490" s="2" t="s">
        <v>74</v>
      </c>
      <c r="M490" s="2" t="s">
        <v>74</v>
      </c>
      <c r="N490" s="2" t="s">
        <v>74</v>
      </c>
      <c r="O490" s="2" t="s">
        <v>74</v>
      </c>
      <c r="P490" s="2" t="s">
        <v>74</v>
      </c>
      <c r="Q490" s="2" t="s">
        <v>74</v>
      </c>
      <c r="R490" s="2" t="s">
        <v>74</v>
      </c>
      <c r="S490" s="2" t="s">
        <v>74</v>
      </c>
      <c r="T490" s="2" t="s">
        <v>74</v>
      </c>
      <c r="U490" s="2" t="s">
        <v>74</v>
      </c>
      <c r="V490" s="5" t="s">
        <v>2502</v>
      </c>
      <c r="W490" s="2" t="s">
        <v>74</v>
      </c>
      <c r="X490" s="2" t="s">
        <v>74</v>
      </c>
      <c r="Y490" s="2" t="s">
        <v>74</v>
      </c>
      <c r="Z490" s="2" t="s">
        <v>74</v>
      </c>
      <c r="AA490" s="2" t="s">
        <v>2503</v>
      </c>
      <c r="AB490" s="2" t="s">
        <v>2504</v>
      </c>
      <c r="AC490" s="2" t="s">
        <v>74</v>
      </c>
      <c r="AD490" s="2" t="s">
        <v>74</v>
      </c>
      <c r="AE490" s="2" t="s">
        <v>74</v>
      </c>
      <c r="AF490" s="2" t="s">
        <v>74</v>
      </c>
      <c r="AG490" s="2" t="s">
        <v>74</v>
      </c>
      <c r="AH490" s="2" t="s">
        <v>74</v>
      </c>
      <c r="AI490" s="2" t="s">
        <v>74</v>
      </c>
      <c r="AJ490" s="2" t="s">
        <v>74</v>
      </c>
      <c r="AK490" s="2" t="s">
        <v>74</v>
      </c>
      <c r="AL490" s="2" t="s">
        <v>74</v>
      </c>
      <c r="AM490" s="2" t="s">
        <v>74</v>
      </c>
      <c r="AN490" s="2" t="s">
        <v>74</v>
      </c>
      <c r="AO490" s="2" t="s">
        <v>143</v>
      </c>
      <c r="AP490" s="2" t="s">
        <v>74</v>
      </c>
      <c r="AQ490" s="2" t="s">
        <v>74</v>
      </c>
      <c r="AR490" s="2" t="s">
        <v>74</v>
      </c>
      <c r="AS490" s="2" t="s">
        <v>74</v>
      </c>
      <c r="AT490" s="2" t="s">
        <v>255</v>
      </c>
      <c r="AU490" s="2">
        <v>1995</v>
      </c>
      <c r="AV490" s="2">
        <v>49</v>
      </c>
      <c r="AW490" s="2">
        <v>1</v>
      </c>
      <c r="AX490" s="2" t="s">
        <v>74</v>
      </c>
      <c r="AY490" s="2" t="s">
        <v>74</v>
      </c>
      <c r="AZ490" s="2" t="s">
        <v>74</v>
      </c>
      <c r="BA490" s="2" t="s">
        <v>74</v>
      </c>
      <c r="BB490" s="2">
        <v>53</v>
      </c>
      <c r="BC490" s="2">
        <v>62</v>
      </c>
      <c r="BD490" s="2" t="s">
        <v>74</v>
      </c>
      <c r="BE490" s="2" t="s">
        <v>2505</v>
      </c>
      <c r="BF490" s="2" t="str">
        <f>HYPERLINK("http://dx.doi.org/10.1016/0003-3472(95)80153-7","http://dx.doi.org/10.1016/0003-3472(95)80153-7")</f>
        <v>http://dx.doi.org/10.1016/0003-3472(95)80153-7</v>
      </c>
      <c r="BG490" s="2" t="s">
        <v>74</v>
      </c>
      <c r="BH490" s="2" t="s">
        <v>74</v>
      </c>
      <c r="BI490" s="2" t="s">
        <v>74</v>
      </c>
      <c r="BJ490" s="2" t="s">
        <v>74</v>
      </c>
      <c r="BK490" s="2" t="s">
        <v>74</v>
      </c>
      <c r="BL490" s="2" t="s">
        <v>74</v>
      </c>
      <c r="BM490" s="2" t="s">
        <v>74</v>
      </c>
      <c r="BN490" s="2" t="s">
        <v>74</v>
      </c>
      <c r="BO490" s="2" t="s">
        <v>74</v>
      </c>
      <c r="BP490" s="2" t="s">
        <v>74</v>
      </c>
      <c r="BQ490" s="2" t="s">
        <v>74</v>
      </c>
      <c r="BR490" s="2" t="s">
        <v>74</v>
      </c>
      <c r="BS490" s="2" t="s">
        <v>2506</v>
      </c>
      <c r="BT490" s="2" t="str">
        <f>HYPERLINK("https%3A%2F%2Fwww.webofscience.com%2Fwos%2Fwoscc%2Ffull-record%2FWOS:A1995QC44700006","View Full Record in Web of Science")</f>
        <v>View Full Record in Web of Science</v>
      </c>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row>
    <row r="491" spans="1:314" s="2" customFormat="1" x14ac:dyDescent="0.4">
      <c r="A491" s="2" t="s">
        <v>72</v>
      </c>
      <c r="B491" s="2" t="s">
        <v>6492</v>
      </c>
      <c r="C491" s="2" t="s">
        <v>74</v>
      </c>
      <c r="D491" s="2" t="s">
        <v>74</v>
      </c>
      <c r="E491" s="2" t="s">
        <v>74</v>
      </c>
      <c r="F491" s="2" t="s">
        <v>6492</v>
      </c>
      <c r="G491" s="2" t="s">
        <v>74</v>
      </c>
      <c r="H491" s="2" t="s">
        <v>74</v>
      </c>
      <c r="I491" s="2" t="s">
        <v>6493</v>
      </c>
      <c r="J491" s="2" t="s">
        <v>140</v>
      </c>
      <c r="K491" s="2" t="s">
        <v>74</v>
      </c>
      <c r="L491" s="2" t="s">
        <v>74</v>
      </c>
      <c r="M491" s="2" t="s">
        <v>74</v>
      </c>
      <c r="N491" s="2" t="s">
        <v>74</v>
      </c>
      <c r="O491" s="2" t="s">
        <v>74</v>
      </c>
      <c r="P491" s="2" t="s">
        <v>74</v>
      </c>
      <c r="Q491" s="2" t="s">
        <v>74</v>
      </c>
      <c r="R491" s="2" t="s">
        <v>74</v>
      </c>
      <c r="S491" s="2" t="s">
        <v>74</v>
      </c>
      <c r="T491" s="2" t="s">
        <v>74</v>
      </c>
      <c r="U491" s="2" t="s">
        <v>74</v>
      </c>
      <c r="V491" s="5" t="s">
        <v>6494</v>
      </c>
      <c r="W491" s="2" t="s">
        <v>74</v>
      </c>
      <c r="X491" s="2" t="s">
        <v>74</v>
      </c>
      <c r="Y491" s="2" t="s">
        <v>74</v>
      </c>
      <c r="Z491" s="2" t="s">
        <v>74</v>
      </c>
      <c r="AA491" s="2" t="s">
        <v>74</v>
      </c>
      <c r="AB491" s="2" t="s">
        <v>74</v>
      </c>
      <c r="AC491" s="2" t="s">
        <v>74</v>
      </c>
      <c r="AD491" s="2" t="s">
        <v>74</v>
      </c>
      <c r="AE491" s="2" t="s">
        <v>74</v>
      </c>
      <c r="AF491" s="2" t="s">
        <v>74</v>
      </c>
      <c r="AG491" s="2" t="s">
        <v>74</v>
      </c>
      <c r="AH491" s="2" t="s">
        <v>74</v>
      </c>
      <c r="AI491" s="2" t="s">
        <v>74</v>
      </c>
      <c r="AJ491" s="2" t="s">
        <v>74</v>
      </c>
      <c r="AK491" s="2" t="s">
        <v>74</v>
      </c>
      <c r="AL491" s="2" t="s">
        <v>74</v>
      </c>
      <c r="AM491" s="2" t="s">
        <v>74</v>
      </c>
      <c r="AN491" s="2" t="s">
        <v>74</v>
      </c>
      <c r="AO491" s="2" t="s">
        <v>143</v>
      </c>
      <c r="AP491" s="2" t="s">
        <v>144</v>
      </c>
      <c r="AQ491" s="2" t="s">
        <v>74</v>
      </c>
      <c r="AR491" s="2" t="s">
        <v>74</v>
      </c>
      <c r="AS491" s="2" t="s">
        <v>74</v>
      </c>
      <c r="AT491" s="2" t="s">
        <v>964</v>
      </c>
      <c r="AU491" s="2">
        <v>1986</v>
      </c>
      <c r="AV491" s="2">
        <v>34</v>
      </c>
      <c r="AW491" s="2" t="s">
        <v>74</v>
      </c>
      <c r="AX491" s="2">
        <v>1</v>
      </c>
      <c r="AY491" s="2" t="s">
        <v>74</v>
      </c>
      <c r="AZ491" s="2" t="s">
        <v>74</v>
      </c>
      <c r="BA491" s="2" t="s">
        <v>74</v>
      </c>
      <c r="BB491" s="2">
        <v>69</v>
      </c>
      <c r="BC491" s="2">
        <v>76</v>
      </c>
      <c r="BD491" s="2" t="s">
        <v>74</v>
      </c>
      <c r="BE491" s="2" t="s">
        <v>6495</v>
      </c>
      <c r="BF491" s="2" t="str">
        <f>HYPERLINK("http://dx.doi.org/10.1016/0003-3472(86)90007-2","http://dx.doi.org/10.1016/0003-3472(86)90007-2")</f>
        <v>http://dx.doi.org/10.1016/0003-3472(86)90007-2</v>
      </c>
      <c r="BG491" s="2" t="s">
        <v>74</v>
      </c>
      <c r="BH491" s="2" t="s">
        <v>74</v>
      </c>
      <c r="BI491" s="2" t="s">
        <v>74</v>
      </c>
      <c r="BJ491" s="2" t="s">
        <v>74</v>
      </c>
      <c r="BK491" s="2" t="s">
        <v>74</v>
      </c>
      <c r="BL491" s="2" t="s">
        <v>74</v>
      </c>
      <c r="BM491" s="2" t="s">
        <v>74</v>
      </c>
      <c r="BN491" s="2" t="s">
        <v>74</v>
      </c>
      <c r="BO491" s="2" t="s">
        <v>74</v>
      </c>
      <c r="BP491" s="2" t="s">
        <v>74</v>
      </c>
      <c r="BQ491" s="2" t="s">
        <v>74</v>
      </c>
      <c r="BR491" s="2" t="s">
        <v>74</v>
      </c>
      <c r="BS491" s="2" t="s">
        <v>6496</v>
      </c>
      <c r="BT491" s="2" t="str">
        <f>HYPERLINK("https%3A%2F%2Fwww.webofscience.com%2Fwos%2Fwoscc%2Ffull-record%2FWOS:A1986AZF6400007","View Full Record in Web of Science")</f>
        <v>View Full Record in Web of Science</v>
      </c>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row>
    <row r="492" spans="1:314" s="2" customFormat="1" x14ac:dyDescent="0.4">
      <c r="A492" s="2" t="s">
        <v>72</v>
      </c>
      <c r="B492" s="2" t="s">
        <v>3225</v>
      </c>
      <c r="C492" s="2" t="s">
        <v>74</v>
      </c>
      <c r="D492" s="2" t="s">
        <v>74</v>
      </c>
      <c r="E492" s="2" t="s">
        <v>74</v>
      </c>
      <c r="F492" s="2" t="s">
        <v>3226</v>
      </c>
      <c r="G492" s="2" t="s">
        <v>74</v>
      </c>
      <c r="H492" s="2" t="s">
        <v>74</v>
      </c>
      <c r="I492" s="2" t="s">
        <v>3227</v>
      </c>
      <c r="J492" s="2" t="s">
        <v>1112</v>
      </c>
      <c r="K492" s="2" t="s">
        <v>74</v>
      </c>
      <c r="L492" s="2" t="s">
        <v>74</v>
      </c>
      <c r="M492" s="2" t="s">
        <v>74</v>
      </c>
      <c r="N492" s="2" t="s">
        <v>74</v>
      </c>
      <c r="O492" s="2" t="s">
        <v>74</v>
      </c>
      <c r="P492" s="2" t="s">
        <v>74</v>
      </c>
      <c r="Q492" s="2" t="s">
        <v>74</v>
      </c>
      <c r="R492" s="2" t="s">
        <v>74</v>
      </c>
      <c r="S492" s="2" t="s">
        <v>74</v>
      </c>
      <c r="T492" s="2" t="s">
        <v>74</v>
      </c>
      <c r="U492" s="2" t="s">
        <v>74</v>
      </c>
      <c r="V492" s="5" t="s">
        <v>3228</v>
      </c>
      <c r="W492" s="2" t="s">
        <v>74</v>
      </c>
      <c r="X492" s="2" t="s">
        <v>74</v>
      </c>
      <c r="Y492" s="2" t="s">
        <v>74</v>
      </c>
      <c r="Z492" s="2" t="s">
        <v>74</v>
      </c>
      <c r="AA492" s="2" t="s">
        <v>74</v>
      </c>
      <c r="AB492" s="2" t="s">
        <v>3229</v>
      </c>
      <c r="AC492" s="2" t="s">
        <v>74</v>
      </c>
      <c r="AD492" s="2" t="s">
        <v>74</v>
      </c>
      <c r="AE492" s="2" t="s">
        <v>74</v>
      </c>
      <c r="AF492" s="2" t="s">
        <v>74</v>
      </c>
      <c r="AG492" s="2" t="s">
        <v>74</v>
      </c>
      <c r="AH492" s="2" t="s">
        <v>74</v>
      </c>
      <c r="AI492" s="2" t="s">
        <v>74</v>
      </c>
      <c r="AJ492" s="2" t="s">
        <v>74</v>
      </c>
      <c r="AK492" s="2" t="s">
        <v>74</v>
      </c>
      <c r="AL492" s="2" t="s">
        <v>74</v>
      </c>
      <c r="AM492" s="2" t="s">
        <v>74</v>
      </c>
      <c r="AN492" s="2" t="s">
        <v>74</v>
      </c>
      <c r="AO492" s="2" t="s">
        <v>1114</v>
      </c>
      <c r="AP492" s="2" t="s">
        <v>1115</v>
      </c>
      <c r="AQ492" s="2" t="s">
        <v>74</v>
      </c>
      <c r="AR492" s="2" t="s">
        <v>74</v>
      </c>
      <c r="AS492" s="2" t="s">
        <v>74</v>
      </c>
      <c r="AT492" s="2" t="s">
        <v>352</v>
      </c>
      <c r="AU492" s="2">
        <v>2014</v>
      </c>
      <c r="AV492" s="2">
        <v>158</v>
      </c>
      <c r="AW492" s="2" t="s">
        <v>74</v>
      </c>
      <c r="AX492" s="2" t="s">
        <v>74</v>
      </c>
      <c r="AY492" s="2" t="s">
        <v>74</v>
      </c>
      <c r="AZ492" s="2" t="s">
        <v>74</v>
      </c>
      <c r="BA492" s="2" t="s">
        <v>74</v>
      </c>
      <c r="BB492" s="2">
        <v>76</v>
      </c>
      <c r="BC492" s="2">
        <v>85</v>
      </c>
      <c r="BD492" s="2" t="s">
        <v>74</v>
      </c>
      <c r="BE492" s="2" t="s">
        <v>3230</v>
      </c>
      <c r="BF492" s="2" t="str">
        <f>HYPERLINK("http://dx.doi.org/10.1016/j.applanim.2014.06.008","http://dx.doi.org/10.1016/j.applanim.2014.06.008")</f>
        <v>http://dx.doi.org/10.1016/j.applanim.2014.06.008</v>
      </c>
      <c r="BG492" s="2" t="s">
        <v>74</v>
      </c>
      <c r="BH492" s="2" t="s">
        <v>74</v>
      </c>
      <c r="BI492" s="2" t="s">
        <v>74</v>
      </c>
      <c r="BJ492" s="2" t="s">
        <v>74</v>
      </c>
      <c r="BK492" s="2" t="s">
        <v>74</v>
      </c>
      <c r="BL492" s="2" t="s">
        <v>74</v>
      </c>
      <c r="BM492" s="2" t="s">
        <v>74</v>
      </c>
      <c r="BN492" s="2" t="s">
        <v>74</v>
      </c>
      <c r="BO492" s="2" t="s">
        <v>74</v>
      </c>
      <c r="BP492" s="2" t="s">
        <v>74</v>
      </c>
      <c r="BQ492" s="2" t="s">
        <v>74</v>
      </c>
      <c r="BR492" s="2" t="s">
        <v>74</v>
      </c>
      <c r="BS492" s="2" t="s">
        <v>3231</v>
      </c>
      <c r="BT492" s="2" t="str">
        <f>HYPERLINK("https%3A%2F%2Fwww.webofscience.com%2Fwos%2Fwoscc%2Ffull-record%2FWOS:000341480200009","View Full Record in Web of Science")</f>
        <v>View Full Record in Web of Science</v>
      </c>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row>
    <row r="493" spans="1:314" s="1" customFormat="1" x14ac:dyDescent="0.4">
      <c r="A493" s="2" t="s">
        <v>72</v>
      </c>
      <c r="B493" s="2" t="s">
        <v>4129</v>
      </c>
      <c r="C493" s="2" t="s">
        <v>74</v>
      </c>
      <c r="D493" s="2" t="s">
        <v>74</v>
      </c>
      <c r="E493" s="2" t="s">
        <v>74</v>
      </c>
      <c r="F493" s="2" t="s">
        <v>4130</v>
      </c>
      <c r="G493" s="2" t="s">
        <v>74</v>
      </c>
      <c r="H493" s="2" t="s">
        <v>74</v>
      </c>
      <c r="I493" s="2" t="s">
        <v>4131</v>
      </c>
      <c r="J493" s="2" t="s">
        <v>610</v>
      </c>
      <c r="K493" s="2" t="s">
        <v>74</v>
      </c>
      <c r="L493" s="2" t="s">
        <v>74</v>
      </c>
      <c r="M493" s="2" t="s">
        <v>74</v>
      </c>
      <c r="N493" s="2" t="s">
        <v>74</v>
      </c>
      <c r="O493" s="2" t="s">
        <v>74</v>
      </c>
      <c r="P493" s="2" t="s">
        <v>74</v>
      </c>
      <c r="Q493" s="2" t="s">
        <v>74</v>
      </c>
      <c r="R493" s="2" t="s">
        <v>74</v>
      </c>
      <c r="S493" s="2" t="s">
        <v>74</v>
      </c>
      <c r="T493" s="2" t="s">
        <v>74</v>
      </c>
      <c r="U493" s="2" t="s">
        <v>74</v>
      </c>
      <c r="V493" s="5" t="s">
        <v>4132</v>
      </c>
      <c r="W493" s="2" t="s">
        <v>74</v>
      </c>
      <c r="X493" s="2" t="s">
        <v>74</v>
      </c>
      <c r="Y493" s="2" t="s">
        <v>74</v>
      </c>
      <c r="Z493" s="2" t="s">
        <v>74</v>
      </c>
      <c r="AA493" s="2" t="s">
        <v>4133</v>
      </c>
      <c r="AB493" s="2" t="s">
        <v>4134</v>
      </c>
      <c r="AC493" s="2" t="s">
        <v>74</v>
      </c>
      <c r="AD493" s="2" t="s">
        <v>74</v>
      </c>
      <c r="AE493" s="2" t="s">
        <v>74</v>
      </c>
      <c r="AF493" s="2" t="s">
        <v>74</v>
      </c>
      <c r="AG493" s="2" t="s">
        <v>74</v>
      </c>
      <c r="AH493" s="2" t="s">
        <v>74</v>
      </c>
      <c r="AI493" s="2" t="s">
        <v>74</v>
      </c>
      <c r="AJ493" s="2" t="s">
        <v>74</v>
      </c>
      <c r="AK493" s="2" t="s">
        <v>74</v>
      </c>
      <c r="AL493" s="2" t="s">
        <v>74</v>
      </c>
      <c r="AM493" s="2" t="s">
        <v>74</v>
      </c>
      <c r="AN493" s="2" t="s">
        <v>74</v>
      </c>
      <c r="AO493" s="2" t="s">
        <v>614</v>
      </c>
      <c r="AP493" s="2" t="s">
        <v>615</v>
      </c>
      <c r="AQ493" s="2" t="s">
        <v>74</v>
      </c>
      <c r="AR493" s="2" t="s">
        <v>74</v>
      </c>
      <c r="AS493" s="2" t="s">
        <v>74</v>
      </c>
      <c r="AT493" s="2" t="s">
        <v>213</v>
      </c>
      <c r="AU493" s="2">
        <v>2017</v>
      </c>
      <c r="AV493" s="2">
        <v>123</v>
      </c>
      <c r="AW493" s="2">
        <v>11</v>
      </c>
      <c r="AX493" s="2" t="s">
        <v>74</v>
      </c>
      <c r="AY493" s="2" t="s">
        <v>74</v>
      </c>
      <c r="AZ493" s="2" t="s">
        <v>74</v>
      </c>
      <c r="BA493" s="2" t="s">
        <v>74</v>
      </c>
      <c r="BB493" s="2">
        <v>875</v>
      </c>
      <c r="BC493" s="2">
        <v>884</v>
      </c>
      <c r="BD493" s="2" t="s">
        <v>74</v>
      </c>
      <c r="BE493" s="2" t="s">
        <v>4135</v>
      </c>
      <c r="BF493" s="2" t="str">
        <f>HYPERLINK("http://dx.doi.org/10.1111/eth.12664","http://dx.doi.org/10.1111/eth.12664")</f>
        <v>http://dx.doi.org/10.1111/eth.12664</v>
      </c>
      <c r="BG493" s="2" t="s">
        <v>74</v>
      </c>
      <c r="BH493" s="2" t="s">
        <v>74</v>
      </c>
      <c r="BI493" s="2" t="s">
        <v>74</v>
      </c>
      <c r="BJ493" s="2" t="s">
        <v>74</v>
      </c>
      <c r="BK493" s="2" t="s">
        <v>74</v>
      </c>
      <c r="BL493" s="2" t="s">
        <v>74</v>
      </c>
      <c r="BM493" s="2" t="s">
        <v>74</v>
      </c>
      <c r="BN493" s="2" t="s">
        <v>74</v>
      </c>
      <c r="BO493" s="2" t="s">
        <v>74</v>
      </c>
      <c r="BP493" s="2" t="s">
        <v>74</v>
      </c>
      <c r="BQ493" s="2" t="s">
        <v>74</v>
      </c>
      <c r="BR493" s="2" t="s">
        <v>74</v>
      </c>
      <c r="BS493" s="2" t="s">
        <v>4136</v>
      </c>
      <c r="BT493" s="2" t="str">
        <f>HYPERLINK("https%3A%2F%2Fwww.webofscience.com%2Fwos%2Fwoscc%2Ffull-record%2FWOS:000414036700013","View Full Record in Web of Science")</f>
        <v>View Full Record in Web of Science</v>
      </c>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row>
    <row r="494" spans="1:314" s="2" customFormat="1" x14ac:dyDescent="0.4">
      <c r="A494" s="2" t="s">
        <v>72</v>
      </c>
      <c r="B494" s="2" t="s">
        <v>342</v>
      </c>
      <c r="C494" s="2" t="s">
        <v>74</v>
      </c>
      <c r="D494" s="2" t="s">
        <v>74</v>
      </c>
      <c r="E494" s="2" t="s">
        <v>74</v>
      </c>
      <c r="F494" s="2" t="s">
        <v>342</v>
      </c>
      <c r="G494" s="2" t="s">
        <v>74</v>
      </c>
      <c r="H494" s="2" t="s">
        <v>74</v>
      </c>
      <c r="I494" s="2" t="s">
        <v>343</v>
      </c>
      <c r="J494" s="2" t="s">
        <v>344</v>
      </c>
      <c r="K494" s="2" t="s">
        <v>74</v>
      </c>
      <c r="L494" s="2" t="s">
        <v>74</v>
      </c>
      <c r="M494" s="2" t="s">
        <v>74</v>
      </c>
      <c r="N494" s="2" t="s">
        <v>74</v>
      </c>
      <c r="O494" s="2" t="s">
        <v>74</v>
      </c>
      <c r="P494" s="2" t="s">
        <v>74</v>
      </c>
      <c r="Q494" s="2" t="s">
        <v>74</v>
      </c>
      <c r="R494" s="2" t="s">
        <v>74</v>
      </c>
      <c r="S494" s="2" t="s">
        <v>74</v>
      </c>
      <c r="T494" s="2" t="s">
        <v>74</v>
      </c>
      <c r="U494" s="2" t="s">
        <v>74</v>
      </c>
      <c r="V494" s="5" t="s">
        <v>345</v>
      </c>
      <c r="W494" s="2" t="s">
        <v>74</v>
      </c>
      <c r="X494" s="2" t="s">
        <v>74</v>
      </c>
      <c r="Y494" s="2" t="s">
        <v>74</v>
      </c>
      <c r="Z494" s="2" t="s">
        <v>74</v>
      </c>
      <c r="AA494" s="2" t="s">
        <v>74</v>
      </c>
      <c r="AB494" s="2" t="s">
        <v>74</v>
      </c>
      <c r="AC494" s="2" t="s">
        <v>74</v>
      </c>
      <c r="AD494" s="2" t="s">
        <v>74</v>
      </c>
      <c r="AE494" s="2" t="s">
        <v>74</v>
      </c>
      <c r="AF494" s="2" t="s">
        <v>74</v>
      </c>
      <c r="AG494" s="2" t="s">
        <v>74</v>
      </c>
      <c r="AH494" s="2" t="s">
        <v>74</v>
      </c>
      <c r="AI494" s="2" t="s">
        <v>74</v>
      </c>
      <c r="AJ494" s="2" t="s">
        <v>74</v>
      </c>
      <c r="AK494" s="2" t="s">
        <v>74</v>
      </c>
      <c r="AL494" s="2" t="s">
        <v>74</v>
      </c>
      <c r="AM494" s="2" t="s">
        <v>74</v>
      </c>
      <c r="AN494" s="2" t="s">
        <v>74</v>
      </c>
      <c r="AO494" s="2" t="s">
        <v>346</v>
      </c>
      <c r="AP494" s="2" t="s">
        <v>74</v>
      </c>
      <c r="AQ494" s="2" t="s">
        <v>74</v>
      </c>
      <c r="AR494" s="2" t="s">
        <v>74</v>
      </c>
      <c r="AS494" s="2" t="s">
        <v>74</v>
      </c>
      <c r="AT494" s="2" t="s">
        <v>255</v>
      </c>
      <c r="AU494" s="2">
        <v>1995</v>
      </c>
      <c r="AV494" s="2">
        <v>42</v>
      </c>
      <c r="AW494" s="2">
        <v>1</v>
      </c>
      <c r="AX494" s="2" t="s">
        <v>74</v>
      </c>
      <c r="AY494" s="2" t="s">
        <v>74</v>
      </c>
      <c r="AZ494" s="2" t="s">
        <v>74</v>
      </c>
      <c r="BA494" s="2" t="s">
        <v>74</v>
      </c>
      <c r="BB494" s="2">
        <v>25</v>
      </c>
      <c r="BC494" s="2">
        <v>35</v>
      </c>
      <c r="BD494" s="2" t="s">
        <v>74</v>
      </c>
      <c r="BE494" s="2" t="s">
        <v>347</v>
      </c>
      <c r="BF494" s="2" t="str">
        <f>HYPERLINK("http://dx.doi.org/10.1007/BF00002348","http://dx.doi.org/10.1007/BF00002348")</f>
        <v>http://dx.doi.org/10.1007/BF00002348</v>
      </c>
      <c r="BG494" s="2" t="s">
        <v>74</v>
      </c>
      <c r="BH494" s="2" t="s">
        <v>74</v>
      </c>
      <c r="BI494" s="2" t="s">
        <v>74</v>
      </c>
      <c r="BJ494" s="2" t="s">
        <v>74</v>
      </c>
      <c r="BK494" s="2" t="s">
        <v>74</v>
      </c>
      <c r="BL494" s="2" t="s">
        <v>74</v>
      </c>
      <c r="BM494" s="2" t="s">
        <v>74</v>
      </c>
      <c r="BN494" s="2" t="s">
        <v>74</v>
      </c>
      <c r="BO494" s="2" t="s">
        <v>74</v>
      </c>
      <c r="BP494" s="2" t="s">
        <v>74</v>
      </c>
      <c r="BQ494" s="2" t="s">
        <v>74</v>
      </c>
      <c r="BR494" s="2" t="s">
        <v>74</v>
      </c>
      <c r="BS494" s="2" t="s">
        <v>348</v>
      </c>
      <c r="BT494" s="2" t="str">
        <f>HYPERLINK("https%3A%2F%2Fwww.webofscience.com%2Fwos%2Fwoscc%2Ffull-record%2FWOS:A1995QG52700004","View Full Record in Web of Science")</f>
        <v>View Full Record in Web of Science</v>
      </c>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row>
    <row r="495" spans="1:314" s="2" customFormat="1" x14ac:dyDescent="0.4">
      <c r="A495" s="2" t="s">
        <v>72</v>
      </c>
      <c r="B495" s="2" t="s">
        <v>342</v>
      </c>
      <c r="C495" s="2" t="s">
        <v>74</v>
      </c>
      <c r="D495" s="2" t="s">
        <v>74</v>
      </c>
      <c r="E495" s="2" t="s">
        <v>74</v>
      </c>
      <c r="F495" s="2" t="s">
        <v>342</v>
      </c>
      <c r="G495" s="2" t="s">
        <v>74</v>
      </c>
      <c r="H495" s="2" t="s">
        <v>74</v>
      </c>
      <c r="I495" s="2" t="s">
        <v>1125</v>
      </c>
      <c r="J495" s="2" t="s">
        <v>1126</v>
      </c>
      <c r="K495" s="2" t="s">
        <v>74</v>
      </c>
      <c r="L495" s="2" t="s">
        <v>74</v>
      </c>
      <c r="M495" s="2" t="s">
        <v>74</v>
      </c>
      <c r="N495" s="2" t="s">
        <v>74</v>
      </c>
      <c r="O495" s="2" t="s">
        <v>74</v>
      </c>
      <c r="P495" s="2" t="s">
        <v>74</v>
      </c>
      <c r="Q495" s="2" t="s">
        <v>74</v>
      </c>
      <c r="R495" s="2" t="s">
        <v>74</v>
      </c>
      <c r="S495" s="2" t="s">
        <v>74</v>
      </c>
      <c r="T495" s="2" t="s">
        <v>74</v>
      </c>
      <c r="U495" s="2" t="s">
        <v>74</v>
      </c>
      <c r="V495" s="5" t="s">
        <v>1127</v>
      </c>
      <c r="W495" s="2" t="s">
        <v>74</v>
      </c>
      <c r="X495" s="2" t="s">
        <v>74</v>
      </c>
      <c r="Y495" s="2" t="s">
        <v>74</v>
      </c>
      <c r="Z495" s="2" t="s">
        <v>74</v>
      </c>
      <c r="AA495" s="2" t="s">
        <v>74</v>
      </c>
      <c r="AB495" s="2" t="s">
        <v>74</v>
      </c>
      <c r="AC495" s="2" t="s">
        <v>74</v>
      </c>
      <c r="AD495" s="2" t="s">
        <v>74</v>
      </c>
      <c r="AE495" s="2" t="s">
        <v>74</v>
      </c>
      <c r="AF495" s="2" t="s">
        <v>74</v>
      </c>
      <c r="AG495" s="2" t="s">
        <v>74</v>
      </c>
      <c r="AH495" s="2" t="s">
        <v>74</v>
      </c>
      <c r="AI495" s="2" t="s">
        <v>74</v>
      </c>
      <c r="AJ495" s="2" t="s">
        <v>74</v>
      </c>
      <c r="AK495" s="2" t="s">
        <v>74</v>
      </c>
      <c r="AL495" s="2" t="s">
        <v>74</v>
      </c>
      <c r="AM495" s="2" t="s">
        <v>74</v>
      </c>
      <c r="AN495" s="2" t="s">
        <v>74</v>
      </c>
      <c r="AO495" s="2" t="s">
        <v>1128</v>
      </c>
      <c r="AP495" s="2" t="s">
        <v>1129</v>
      </c>
      <c r="AQ495" s="2" t="s">
        <v>74</v>
      </c>
      <c r="AR495" s="2" t="s">
        <v>74</v>
      </c>
      <c r="AS495" s="2" t="s">
        <v>74</v>
      </c>
      <c r="AT495" s="2" t="s">
        <v>1130</v>
      </c>
      <c r="AU495" s="2">
        <v>1993</v>
      </c>
      <c r="AV495" s="2" t="s">
        <v>74</v>
      </c>
      <c r="AW495" s="2">
        <v>1</v>
      </c>
      <c r="AX495" s="2" t="s">
        <v>74</v>
      </c>
      <c r="AY495" s="2" t="s">
        <v>74</v>
      </c>
      <c r="AZ495" s="2" t="s">
        <v>74</v>
      </c>
      <c r="BA495" s="2" t="s">
        <v>74</v>
      </c>
      <c r="BB495" s="2">
        <v>67</v>
      </c>
      <c r="BC495" s="2">
        <v>74</v>
      </c>
      <c r="BD495" s="2" t="s">
        <v>74</v>
      </c>
      <c r="BE495" s="2" t="s">
        <v>1131</v>
      </c>
      <c r="BF495" s="2" t="str">
        <f>HYPERLINK("http://dx.doi.org/10.2307/1446296","http://dx.doi.org/10.2307/1446296")</f>
        <v>http://dx.doi.org/10.2307/1446296</v>
      </c>
      <c r="BG495" s="2" t="s">
        <v>74</v>
      </c>
      <c r="BH495" s="2" t="s">
        <v>74</v>
      </c>
      <c r="BI495" s="2" t="s">
        <v>74</v>
      </c>
      <c r="BJ495" s="2" t="s">
        <v>74</v>
      </c>
      <c r="BK495" s="2" t="s">
        <v>74</v>
      </c>
      <c r="BL495" s="2" t="s">
        <v>74</v>
      </c>
      <c r="BM495" s="2" t="s">
        <v>74</v>
      </c>
      <c r="BN495" s="2" t="s">
        <v>74</v>
      </c>
      <c r="BO495" s="2" t="s">
        <v>74</v>
      </c>
      <c r="BP495" s="2" t="s">
        <v>74</v>
      </c>
      <c r="BQ495" s="2" t="s">
        <v>74</v>
      </c>
      <c r="BR495" s="2" t="s">
        <v>74</v>
      </c>
      <c r="BS495" s="2" t="s">
        <v>1132</v>
      </c>
      <c r="BT495" s="2" t="str">
        <f>HYPERLINK("https%3A%2F%2Fwww.webofscience.com%2Fwos%2Fwoscc%2Ffull-record%2FWOS:A1993KN22000006","View Full Record in Web of Science")</f>
        <v>View Full Record in Web of Science</v>
      </c>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row>
    <row r="496" spans="1:314" s="2" customFormat="1" x14ac:dyDescent="0.4">
      <c r="A496" s="2" t="s">
        <v>72</v>
      </c>
      <c r="B496" s="2" t="s">
        <v>6025</v>
      </c>
      <c r="C496" s="2" t="s">
        <v>74</v>
      </c>
      <c r="D496" s="2" t="s">
        <v>74</v>
      </c>
      <c r="E496" s="2" t="s">
        <v>74</v>
      </c>
      <c r="F496" s="2" t="s">
        <v>6026</v>
      </c>
      <c r="G496" s="2" t="s">
        <v>74</v>
      </c>
      <c r="H496" s="2" t="s">
        <v>74</v>
      </c>
      <c r="I496" s="2" t="s">
        <v>6027</v>
      </c>
      <c r="J496" s="2" t="s">
        <v>4727</v>
      </c>
      <c r="K496" s="2" t="s">
        <v>74</v>
      </c>
      <c r="L496" s="2" t="s">
        <v>74</v>
      </c>
      <c r="M496" s="2" t="s">
        <v>74</v>
      </c>
      <c r="N496" s="2" t="s">
        <v>74</v>
      </c>
      <c r="O496" s="2" t="s">
        <v>74</v>
      </c>
      <c r="P496" s="2" t="s">
        <v>74</v>
      </c>
      <c r="Q496" s="2" t="s">
        <v>74</v>
      </c>
      <c r="R496" s="2" t="s">
        <v>74</v>
      </c>
      <c r="S496" s="2" t="s">
        <v>74</v>
      </c>
      <c r="T496" s="2" t="s">
        <v>74</v>
      </c>
      <c r="U496" s="2" t="s">
        <v>74</v>
      </c>
      <c r="V496" s="5" t="s">
        <v>6028</v>
      </c>
      <c r="W496" s="2" t="s">
        <v>74</v>
      </c>
      <c r="X496" s="2" t="s">
        <v>74</v>
      </c>
      <c r="Y496" s="2" t="s">
        <v>74</v>
      </c>
      <c r="Z496" s="2" t="s">
        <v>74</v>
      </c>
      <c r="AA496" s="2" t="s">
        <v>74</v>
      </c>
      <c r="AB496" s="2" t="s">
        <v>6029</v>
      </c>
      <c r="AC496" s="2" t="s">
        <v>74</v>
      </c>
      <c r="AD496" s="2" t="s">
        <v>74</v>
      </c>
      <c r="AE496" s="2" t="s">
        <v>74</v>
      </c>
      <c r="AF496" s="2" t="s">
        <v>74</v>
      </c>
      <c r="AG496" s="2" t="s">
        <v>74</v>
      </c>
      <c r="AH496" s="2" t="s">
        <v>74</v>
      </c>
      <c r="AI496" s="2" t="s">
        <v>74</v>
      </c>
      <c r="AJ496" s="2" t="s">
        <v>74</v>
      </c>
      <c r="AK496" s="2" t="s">
        <v>74</v>
      </c>
      <c r="AL496" s="2" t="s">
        <v>74</v>
      </c>
      <c r="AM496" s="2" t="s">
        <v>74</v>
      </c>
      <c r="AN496" s="2" t="s">
        <v>74</v>
      </c>
      <c r="AO496" s="2" t="s">
        <v>74</v>
      </c>
      <c r="AP496" s="2" t="s">
        <v>4730</v>
      </c>
      <c r="AQ496" s="2" t="s">
        <v>74</v>
      </c>
      <c r="AR496" s="2" t="s">
        <v>74</v>
      </c>
      <c r="AS496" s="2" t="s">
        <v>74</v>
      </c>
      <c r="AT496" s="2" t="s">
        <v>123</v>
      </c>
      <c r="AU496" s="2">
        <v>2024</v>
      </c>
      <c r="AV496" s="2">
        <v>5</v>
      </c>
      <c r="AW496" s="2">
        <v>1</v>
      </c>
      <c r="AX496" s="2" t="s">
        <v>74</v>
      </c>
      <c r="AY496" s="2" t="s">
        <v>74</v>
      </c>
      <c r="AZ496" s="2" t="s">
        <v>74</v>
      </c>
      <c r="BA496" s="2" t="s">
        <v>74</v>
      </c>
      <c r="BB496" s="2">
        <v>173</v>
      </c>
      <c r="BC496" s="2">
        <v>189</v>
      </c>
      <c r="BD496" s="2" t="s">
        <v>74</v>
      </c>
      <c r="BE496" s="2" t="s">
        <v>6030</v>
      </c>
      <c r="BF496" s="2" t="str">
        <f>HYPERLINK("http://dx.doi.org/10.3390/birds5010012","http://dx.doi.org/10.3390/birds5010012")</f>
        <v>http://dx.doi.org/10.3390/birds5010012</v>
      </c>
      <c r="BG496" s="2" t="s">
        <v>74</v>
      </c>
      <c r="BH496" s="2" t="s">
        <v>74</v>
      </c>
      <c r="BI496" s="2" t="s">
        <v>74</v>
      </c>
      <c r="BJ496" s="2" t="s">
        <v>74</v>
      </c>
      <c r="BK496" s="2" t="s">
        <v>74</v>
      </c>
      <c r="BL496" s="2" t="s">
        <v>74</v>
      </c>
      <c r="BM496" s="2" t="s">
        <v>74</v>
      </c>
      <c r="BN496" s="2" t="s">
        <v>74</v>
      </c>
      <c r="BO496" s="2" t="s">
        <v>74</v>
      </c>
      <c r="BP496" s="2" t="s">
        <v>74</v>
      </c>
      <c r="BQ496" s="2" t="s">
        <v>74</v>
      </c>
      <c r="BR496" s="2" t="s">
        <v>74</v>
      </c>
      <c r="BS496" s="2" t="s">
        <v>6031</v>
      </c>
      <c r="BT496" s="2" t="str">
        <f>HYPERLINK("https%3A%2F%2Fwww.webofscience.com%2Fwos%2Fwoscc%2Ffull-record%2FWOS:001191523100001","View Full Record in Web of Science")</f>
        <v>View Full Record in Web of Science</v>
      </c>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row>
    <row r="497" spans="1:314" s="2" customFormat="1" x14ac:dyDescent="0.4">
      <c r="A497" s="2" t="s">
        <v>72</v>
      </c>
      <c r="B497" s="2" t="s">
        <v>6099</v>
      </c>
      <c r="C497" s="2" t="s">
        <v>74</v>
      </c>
      <c r="D497" s="2" t="s">
        <v>74</v>
      </c>
      <c r="E497" s="2" t="s">
        <v>74</v>
      </c>
      <c r="F497" s="2" t="s">
        <v>6100</v>
      </c>
      <c r="G497" s="2" t="s">
        <v>74</v>
      </c>
      <c r="H497" s="2" t="s">
        <v>74</v>
      </c>
      <c r="I497" s="2" t="s">
        <v>6101</v>
      </c>
      <c r="J497" s="2" t="s">
        <v>333</v>
      </c>
      <c r="K497" s="2" t="s">
        <v>74</v>
      </c>
      <c r="L497" s="2" t="s">
        <v>74</v>
      </c>
      <c r="M497" s="2" t="s">
        <v>74</v>
      </c>
      <c r="N497" s="2" t="s">
        <v>74</v>
      </c>
      <c r="O497" s="2" t="s">
        <v>74</v>
      </c>
      <c r="P497" s="2" t="s">
        <v>74</v>
      </c>
      <c r="Q497" s="2" t="s">
        <v>74</v>
      </c>
      <c r="R497" s="2" t="s">
        <v>74</v>
      </c>
      <c r="S497" s="2" t="s">
        <v>74</v>
      </c>
      <c r="T497" s="2" t="s">
        <v>74</v>
      </c>
      <c r="U497" s="2" t="s">
        <v>74</v>
      </c>
      <c r="V497" s="5" t="s">
        <v>6102</v>
      </c>
      <c r="W497" s="2" t="s">
        <v>74</v>
      </c>
      <c r="X497" s="2" t="s">
        <v>74</v>
      </c>
      <c r="Y497" s="2" t="s">
        <v>74</v>
      </c>
      <c r="Z497" s="2" t="s">
        <v>74</v>
      </c>
      <c r="AA497" s="2" t="s">
        <v>6103</v>
      </c>
      <c r="AB497" s="2" t="s">
        <v>1012</v>
      </c>
      <c r="AC497" s="2" t="s">
        <v>74</v>
      </c>
      <c r="AD497" s="2" t="s">
        <v>74</v>
      </c>
      <c r="AE497" s="2" t="s">
        <v>74</v>
      </c>
      <c r="AF497" s="2" t="s">
        <v>74</v>
      </c>
      <c r="AG497" s="2" t="s">
        <v>74</v>
      </c>
      <c r="AH497" s="2" t="s">
        <v>74</v>
      </c>
      <c r="AI497" s="2" t="s">
        <v>74</v>
      </c>
      <c r="AJ497" s="2" t="s">
        <v>74</v>
      </c>
      <c r="AK497" s="2" t="s">
        <v>74</v>
      </c>
      <c r="AL497" s="2" t="s">
        <v>74</v>
      </c>
      <c r="AM497" s="2" t="s">
        <v>74</v>
      </c>
      <c r="AN497" s="2" t="s">
        <v>74</v>
      </c>
      <c r="AO497" s="2" t="s">
        <v>337</v>
      </c>
      <c r="AP497" s="2" t="s">
        <v>338</v>
      </c>
      <c r="AQ497" s="2" t="s">
        <v>74</v>
      </c>
      <c r="AR497" s="2" t="s">
        <v>74</v>
      </c>
      <c r="AS497" s="2" t="s">
        <v>74</v>
      </c>
      <c r="AT497" s="2" t="s">
        <v>808</v>
      </c>
      <c r="AU497" s="2">
        <v>2014</v>
      </c>
      <c r="AV497" s="2">
        <v>25</v>
      </c>
      <c r="AW497" s="2">
        <v>3</v>
      </c>
      <c r="AX497" s="2" t="s">
        <v>74</v>
      </c>
      <c r="AY497" s="2" t="s">
        <v>74</v>
      </c>
      <c r="AZ497" s="2" t="s">
        <v>74</v>
      </c>
      <c r="BA497" s="2" t="s">
        <v>74</v>
      </c>
      <c r="BB497" s="2" t="s">
        <v>74</v>
      </c>
      <c r="BC497" s="2" t="s">
        <v>74</v>
      </c>
      <c r="BD497" s="2" t="s">
        <v>74</v>
      </c>
      <c r="BE497" s="2" t="s">
        <v>6104</v>
      </c>
      <c r="BF497" s="2" t="str">
        <f>HYPERLINK("http://dx.doi.org/10.1093/beheco/aru034","http://dx.doi.org/10.1093/beheco/aru034")</f>
        <v>http://dx.doi.org/10.1093/beheco/aru034</v>
      </c>
      <c r="BG497" s="2" t="s">
        <v>74</v>
      </c>
      <c r="BH497" s="2" t="s">
        <v>74</v>
      </c>
      <c r="BI497" s="2" t="s">
        <v>74</v>
      </c>
      <c r="BJ497" s="2" t="s">
        <v>74</v>
      </c>
      <c r="BK497" s="2" t="s">
        <v>74</v>
      </c>
      <c r="BL497" s="2" t="s">
        <v>74</v>
      </c>
      <c r="BM497" s="2" t="s">
        <v>74</v>
      </c>
      <c r="BN497" s="2" t="s">
        <v>74</v>
      </c>
      <c r="BO497" s="2" t="s">
        <v>74</v>
      </c>
      <c r="BP497" s="2" t="s">
        <v>74</v>
      </c>
      <c r="BQ497" s="2" t="s">
        <v>74</v>
      </c>
      <c r="BR497" s="2" t="s">
        <v>74</v>
      </c>
      <c r="BS497" s="2" t="s">
        <v>6105</v>
      </c>
      <c r="BT497" s="2" t="str">
        <f>HYPERLINK("https%3A%2F%2Fwww.webofscience.com%2Fwos%2Fwoscc%2Ffull-record%2FWOS:000336486100029","View Full Record in Web of Science")</f>
        <v>View Full Record in Web of Science</v>
      </c>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row>
    <row r="498" spans="1:314" s="7" customFormat="1" x14ac:dyDescent="0.4">
      <c r="A498" s="2" t="s">
        <v>72</v>
      </c>
      <c r="B498" s="2" t="s">
        <v>3023</v>
      </c>
      <c r="C498" s="2" t="s">
        <v>74</v>
      </c>
      <c r="D498" s="2" t="s">
        <v>74</v>
      </c>
      <c r="E498" s="2" t="s">
        <v>74</v>
      </c>
      <c r="F498" s="2" t="s">
        <v>3024</v>
      </c>
      <c r="G498" s="2" t="s">
        <v>74</v>
      </c>
      <c r="H498" s="2" t="s">
        <v>74</v>
      </c>
      <c r="I498" s="2" t="s">
        <v>3025</v>
      </c>
      <c r="J498" s="2" t="s">
        <v>3026</v>
      </c>
      <c r="K498" s="2" t="s">
        <v>74</v>
      </c>
      <c r="L498" s="2" t="s">
        <v>74</v>
      </c>
      <c r="M498" s="2" t="s">
        <v>74</v>
      </c>
      <c r="N498" s="2" t="s">
        <v>74</v>
      </c>
      <c r="O498" s="2" t="s">
        <v>74</v>
      </c>
      <c r="P498" s="2" t="s">
        <v>74</v>
      </c>
      <c r="Q498" s="2" t="s">
        <v>74</v>
      </c>
      <c r="R498" s="2" t="s">
        <v>74</v>
      </c>
      <c r="S498" s="2" t="s">
        <v>74</v>
      </c>
      <c r="T498" s="2" t="s">
        <v>74</v>
      </c>
      <c r="U498" s="2" t="s">
        <v>74</v>
      </c>
      <c r="V498" s="5" t="s">
        <v>3027</v>
      </c>
      <c r="W498" s="2" t="s">
        <v>74</v>
      </c>
      <c r="X498" s="2" t="s">
        <v>74</v>
      </c>
      <c r="Y498" s="2" t="s">
        <v>74</v>
      </c>
      <c r="Z498" s="2" t="s">
        <v>74</v>
      </c>
      <c r="AA498" s="2" t="s">
        <v>3028</v>
      </c>
      <c r="AB498" s="2" t="s">
        <v>3029</v>
      </c>
      <c r="AC498" s="2" t="s">
        <v>74</v>
      </c>
      <c r="AD498" s="2" t="s">
        <v>74</v>
      </c>
      <c r="AE498" s="2" t="s">
        <v>74</v>
      </c>
      <c r="AF498" s="2" t="s">
        <v>74</v>
      </c>
      <c r="AG498" s="2" t="s">
        <v>74</v>
      </c>
      <c r="AH498" s="2" t="s">
        <v>74</v>
      </c>
      <c r="AI498" s="2" t="s">
        <v>74</v>
      </c>
      <c r="AJ498" s="2" t="s">
        <v>74</v>
      </c>
      <c r="AK498" s="2" t="s">
        <v>74</v>
      </c>
      <c r="AL498" s="2" t="s">
        <v>74</v>
      </c>
      <c r="AM498" s="2" t="s">
        <v>74</v>
      </c>
      <c r="AN498" s="2" t="s">
        <v>74</v>
      </c>
      <c r="AO498" s="2" t="s">
        <v>3030</v>
      </c>
      <c r="AP498" s="2" t="s">
        <v>74</v>
      </c>
      <c r="AQ498" s="2" t="s">
        <v>74</v>
      </c>
      <c r="AR498" s="2" t="s">
        <v>74</v>
      </c>
      <c r="AS498" s="2" t="s">
        <v>74</v>
      </c>
      <c r="AT498" s="2" t="s">
        <v>175</v>
      </c>
      <c r="AU498" s="2">
        <v>2023</v>
      </c>
      <c r="AV498" s="2">
        <v>12</v>
      </c>
      <c r="AW498" s="2">
        <v>10</v>
      </c>
      <c r="AX498" s="2" t="s">
        <v>74</v>
      </c>
      <c r="AY498" s="2" t="s">
        <v>74</v>
      </c>
      <c r="AZ498" s="2" t="s">
        <v>74</v>
      </c>
      <c r="BA498" s="2" t="s">
        <v>74</v>
      </c>
      <c r="BB498" s="2" t="s">
        <v>74</v>
      </c>
      <c r="BC498" s="2" t="s">
        <v>74</v>
      </c>
      <c r="BD498" s="2" t="s">
        <v>3031</v>
      </c>
      <c r="BE498" s="2" t="s">
        <v>3032</v>
      </c>
      <c r="BF498" s="2" t="str">
        <f>HYPERLINK("http://dx.doi.org/10.1242/bio.060114","http://dx.doi.org/10.1242/bio.060114")</f>
        <v>http://dx.doi.org/10.1242/bio.060114</v>
      </c>
      <c r="BG498" s="2" t="s">
        <v>74</v>
      </c>
      <c r="BH498" s="2" t="s">
        <v>74</v>
      </c>
      <c r="BI498" s="2" t="s">
        <v>74</v>
      </c>
      <c r="BJ498" s="2" t="s">
        <v>74</v>
      </c>
      <c r="BK498" s="2" t="s">
        <v>74</v>
      </c>
      <c r="BL498" s="2" t="s">
        <v>74</v>
      </c>
      <c r="BM498" s="2" t="s">
        <v>74</v>
      </c>
      <c r="BN498" s="2">
        <v>37756597</v>
      </c>
      <c r="BO498" s="2" t="s">
        <v>74</v>
      </c>
      <c r="BP498" s="2" t="s">
        <v>74</v>
      </c>
      <c r="BQ498" s="2" t="s">
        <v>74</v>
      </c>
      <c r="BR498" s="2" t="s">
        <v>74</v>
      </c>
      <c r="BS498" s="2" t="s">
        <v>3033</v>
      </c>
      <c r="BT498" s="2" t="str">
        <f>HYPERLINK("https%3A%2F%2Fwww.webofscience.com%2Fwos%2Fwoscc%2Ffull-record%2FWOS:001108722600005","View Full Record in Web of Science")</f>
        <v>View Full Record in Web of Science</v>
      </c>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row>
    <row r="499" spans="1:314" s="2" customFormat="1" x14ac:dyDescent="0.4">
      <c r="A499" s="2" t="s">
        <v>72</v>
      </c>
      <c r="B499" s="2" t="s">
        <v>3946</v>
      </c>
      <c r="C499" s="2" t="s">
        <v>74</v>
      </c>
      <c r="D499" s="2" t="s">
        <v>74</v>
      </c>
      <c r="E499" s="2" t="s">
        <v>74</v>
      </c>
      <c r="F499" s="2" t="s">
        <v>3947</v>
      </c>
      <c r="G499" s="2" t="s">
        <v>74</v>
      </c>
      <c r="H499" s="2" t="s">
        <v>74</v>
      </c>
      <c r="I499" s="2" t="s">
        <v>3948</v>
      </c>
      <c r="J499" s="2" t="s">
        <v>88</v>
      </c>
      <c r="K499" s="2" t="s">
        <v>74</v>
      </c>
      <c r="L499" s="2" t="s">
        <v>74</v>
      </c>
      <c r="M499" s="2" t="s">
        <v>74</v>
      </c>
      <c r="N499" s="2" t="s">
        <v>74</v>
      </c>
      <c r="O499" s="2" t="s">
        <v>74</v>
      </c>
      <c r="P499" s="2" t="s">
        <v>74</v>
      </c>
      <c r="Q499" s="2" t="s">
        <v>74</v>
      </c>
      <c r="R499" s="2" t="s">
        <v>74</v>
      </c>
      <c r="S499" s="2" t="s">
        <v>74</v>
      </c>
      <c r="T499" s="2" t="s">
        <v>74</v>
      </c>
      <c r="U499" s="2" t="s">
        <v>74</v>
      </c>
      <c r="V499" s="5" t="s">
        <v>3949</v>
      </c>
      <c r="W499" s="2" t="s">
        <v>74</v>
      </c>
      <c r="X499" s="2" t="s">
        <v>74</v>
      </c>
      <c r="Y499" s="2" t="s">
        <v>74</v>
      </c>
      <c r="Z499" s="2" t="s">
        <v>74</v>
      </c>
      <c r="AA499" s="2" t="s">
        <v>74</v>
      </c>
      <c r="AB499" s="2" t="s">
        <v>74</v>
      </c>
      <c r="AC499" s="2" t="s">
        <v>74</v>
      </c>
      <c r="AD499" s="2" t="s">
        <v>74</v>
      </c>
      <c r="AE499" s="2" t="s">
        <v>74</v>
      </c>
      <c r="AF499" s="2" t="s">
        <v>74</v>
      </c>
      <c r="AG499" s="2" t="s">
        <v>74</v>
      </c>
      <c r="AH499" s="2" t="s">
        <v>74</v>
      </c>
      <c r="AI499" s="2" t="s">
        <v>74</v>
      </c>
      <c r="AJ499" s="2" t="s">
        <v>74</v>
      </c>
      <c r="AK499" s="2" t="s">
        <v>74</v>
      </c>
      <c r="AL499" s="2" t="s">
        <v>74</v>
      </c>
      <c r="AM499" s="2" t="s">
        <v>74</v>
      </c>
      <c r="AN499" s="2" t="s">
        <v>74</v>
      </c>
      <c r="AO499" s="2" t="s">
        <v>91</v>
      </c>
      <c r="AP499" s="2" t="s">
        <v>92</v>
      </c>
      <c r="AQ499" s="2" t="s">
        <v>74</v>
      </c>
      <c r="AR499" s="2" t="s">
        <v>74</v>
      </c>
      <c r="AS499" s="2" t="s">
        <v>74</v>
      </c>
      <c r="AT499" s="2" t="s">
        <v>3950</v>
      </c>
      <c r="AU499" s="2">
        <v>2006</v>
      </c>
      <c r="AV499" s="2">
        <v>2</v>
      </c>
      <c r="AW499" s="2">
        <v>2</v>
      </c>
      <c r="AX499" s="2" t="s">
        <v>74</v>
      </c>
      <c r="AY499" s="2" t="s">
        <v>74</v>
      </c>
      <c r="AZ499" s="2" t="s">
        <v>74</v>
      </c>
      <c r="BA499" s="2" t="s">
        <v>74</v>
      </c>
      <c r="BB499" s="2">
        <v>177</v>
      </c>
      <c r="BC499" s="2">
        <v>180</v>
      </c>
      <c r="BD499" s="2" t="s">
        <v>74</v>
      </c>
      <c r="BE499" s="2" t="s">
        <v>3951</v>
      </c>
      <c r="BF499" s="2" t="str">
        <f>HYPERLINK("http://dx.doi.org/10.1098/rsbl.2005.0438","http://dx.doi.org/10.1098/rsbl.2005.0438")</f>
        <v>http://dx.doi.org/10.1098/rsbl.2005.0438</v>
      </c>
      <c r="BG499" s="2" t="s">
        <v>74</v>
      </c>
      <c r="BH499" s="2" t="s">
        <v>74</v>
      </c>
      <c r="BI499" s="2" t="s">
        <v>74</v>
      </c>
      <c r="BJ499" s="2" t="s">
        <v>74</v>
      </c>
      <c r="BK499" s="2" t="s">
        <v>74</v>
      </c>
      <c r="BL499" s="2" t="s">
        <v>74</v>
      </c>
      <c r="BM499" s="2" t="s">
        <v>74</v>
      </c>
      <c r="BN499" s="2">
        <v>17148357</v>
      </c>
      <c r="BO499" s="2" t="s">
        <v>74</v>
      </c>
      <c r="BP499" s="2" t="s">
        <v>74</v>
      </c>
      <c r="BQ499" s="2" t="s">
        <v>74</v>
      </c>
      <c r="BR499" s="2" t="s">
        <v>74</v>
      </c>
      <c r="BS499" s="2" t="s">
        <v>3952</v>
      </c>
      <c r="BT499" s="2" t="str">
        <f>HYPERLINK("https%3A%2F%2Fwww.webofscience.com%2Fwos%2Fwoscc%2Ffull-record%2FWOS:000241862500005","View Full Record in Web of Science")</f>
        <v>View Full Record in Web of Science</v>
      </c>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row>
    <row r="500" spans="1:314" s="2" customFormat="1" x14ac:dyDescent="0.4">
      <c r="A500" s="2" t="s">
        <v>72</v>
      </c>
      <c r="B500" s="2" t="s">
        <v>7849</v>
      </c>
      <c r="C500" s="2" t="s">
        <v>74</v>
      </c>
      <c r="D500" s="2" t="s">
        <v>74</v>
      </c>
      <c r="E500" s="2" t="s">
        <v>74</v>
      </c>
      <c r="F500" s="2" t="s">
        <v>7850</v>
      </c>
      <c r="G500" s="2" t="s">
        <v>74</v>
      </c>
      <c r="H500" s="2" t="s">
        <v>74</v>
      </c>
      <c r="I500" s="2" t="s">
        <v>7851</v>
      </c>
      <c r="J500" s="2" t="s">
        <v>218</v>
      </c>
      <c r="K500" s="2" t="s">
        <v>74</v>
      </c>
      <c r="L500" s="2" t="s">
        <v>74</v>
      </c>
      <c r="M500" s="2" t="s">
        <v>74</v>
      </c>
      <c r="N500" s="2" t="s">
        <v>74</v>
      </c>
      <c r="O500" s="2" t="s">
        <v>74</v>
      </c>
      <c r="P500" s="2" t="s">
        <v>74</v>
      </c>
      <c r="Q500" s="2" t="s">
        <v>74</v>
      </c>
      <c r="R500" s="2" t="s">
        <v>74</v>
      </c>
      <c r="S500" s="2" t="s">
        <v>74</v>
      </c>
      <c r="T500" s="2" t="s">
        <v>74</v>
      </c>
      <c r="U500" s="2" t="s">
        <v>74</v>
      </c>
      <c r="V500" s="5" t="s">
        <v>7852</v>
      </c>
      <c r="W500" s="2" t="s">
        <v>74</v>
      </c>
      <c r="X500" s="2" t="s">
        <v>74</v>
      </c>
      <c r="Y500" s="2" t="s">
        <v>74</v>
      </c>
      <c r="Z500" s="2" t="s">
        <v>74</v>
      </c>
      <c r="AA500" s="2" t="s">
        <v>7853</v>
      </c>
      <c r="AB500" s="2" t="s">
        <v>7854</v>
      </c>
      <c r="AC500" s="2" t="s">
        <v>74</v>
      </c>
      <c r="AD500" s="2" t="s">
        <v>74</v>
      </c>
      <c r="AE500" s="2" t="s">
        <v>74</v>
      </c>
      <c r="AF500" s="2" t="s">
        <v>74</v>
      </c>
      <c r="AG500" s="2" t="s">
        <v>74</v>
      </c>
      <c r="AH500" s="2" t="s">
        <v>74</v>
      </c>
      <c r="AI500" s="2" t="s">
        <v>74</v>
      </c>
      <c r="AJ500" s="2" t="s">
        <v>74</v>
      </c>
      <c r="AK500" s="2" t="s">
        <v>74</v>
      </c>
      <c r="AL500" s="2" t="s">
        <v>74</v>
      </c>
      <c r="AM500" s="2" t="s">
        <v>74</v>
      </c>
      <c r="AN500" s="2" t="s">
        <v>74</v>
      </c>
      <c r="AO500" s="2" t="s">
        <v>221</v>
      </c>
      <c r="AP500" s="2" t="s">
        <v>222</v>
      </c>
      <c r="AQ500" s="2" t="s">
        <v>74</v>
      </c>
      <c r="AR500" s="2" t="s">
        <v>74</v>
      </c>
      <c r="AS500" s="2" t="s">
        <v>74</v>
      </c>
      <c r="AT500" s="2" t="s">
        <v>123</v>
      </c>
      <c r="AU500" s="2">
        <v>2023</v>
      </c>
      <c r="AV500" s="2">
        <v>36</v>
      </c>
      <c r="AW500" s="2">
        <v>3</v>
      </c>
      <c r="AX500" s="2" t="s">
        <v>74</v>
      </c>
      <c r="AY500" s="2" t="s">
        <v>74</v>
      </c>
      <c r="AZ500" s="2" t="s">
        <v>74</v>
      </c>
      <c r="BA500" s="2" t="s">
        <v>74</v>
      </c>
      <c r="BB500" s="2">
        <v>563</v>
      </c>
      <c r="BC500" s="2">
        <v>578</v>
      </c>
      <c r="BD500" s="2" t="s">
        <v>74</v>
      </c>
      <c r="BE500" s="2" t="s">
        <v>7855</v>
      </c>
      <c r="BF500" s="2" t="str">
        <f>HYPERLINK("http://dx.doi.org/10.1111/jeb.14151","http://dx.doi.org/10.1111/jeb.14151")</f>
        <v>http://dx.doi.org/10.1111/jeb.14151</v>
      </c>
      <c r="BG500" s="2" t="s">
        <v>74</v>
      </c>
      <c r="BH500" s="2" t="s">
        <v>3048</v>
      </c>
      <c r="BI500" s="2" t="s">
        <v>74</v>
      </c>
      <c r="BJ500" s="2" t="s">
        <v>74</v>
      </c>
      <c r="BK500" s="2" t="s">
        <v>74</v>
      </c>
      <c r="BL500" s="2" t="s">
        <v>74</v>
      </c>
      <c r="BM500" s="2" t="s">
        <v>74</v>
      </c>
      <c r="BN500" s="2">
        <v>36702779</v>
      </c>
      <c r="BO500" s="2" t="s">
        <v>74</v>
      </c>
      <c r="BP500" s="2" t="s">
        <v>74</v>
      </c>
      <c r="BQ500" s="2" t="s">
        <v>74</v>
      </c>
      <c r="BR500" s="2" t="s">
        <v>74</v>
      </c>
      <c r="BS500" s="2" t="s">
        <v>7856</v>
      </c>
      <c r="BT500" s="2" t="str">
        <f>HYPERLINK("https%3A%2F%2Fwww.webofscience.com%2Fwos%2Fwoscc%2Ffull-record%2FWOS:000922981900001","View Full Record in Web of Science")</f>
        <v>View Full Record in Web of Science</v>
      </c>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row>
    <row r="501" spans="1:314" s="2" customFormat="1" x14ac:dyDescent="0.4">
      <c r="A501" s="2" t="s">
        <v>72</v>
      </c>
      <c r="B501" s="2" t="s">
        <v>7529</v>
      </c>
      <c r="C501" s="2" t="s">
        <v>74</v>
      </c>
      <c r="D501" s="2" t="s">
        <v>74</v>
      </c>
      <c r="E501" s="2" t="s">
        <v>74</v>
      </c>
      <c r="F501" s="2" t="s">
        <v>7529</v>
      </c>
      <c r="G501" s="2" t="s">
        <v>74</v>
      </c>
      <c r="H501" s="2" t="s">
        <v>74</v>
      </c>
      <c r="I501" s="2" t="s">
        <v>7530</v>
      </c>
      <c r="J501" s="2" t="s">
        <v>4145</v>
      </c>
      <c r="K501" s="2" t="s">
        <v>74</v>
      </c>
      <c r="L501" s="2" t="s">
        <v>74</v>
      </c>
      <c r="M501" s="2" t="s">
        <v>74</v>
      </c>
      <c r="N501" s="2" t="s">
        <v>74</v>
      </c>
      <c r="O501" s="2" t="s">
        <v>74</v>
      </c>
      <c r="P501" s="2" t="s">
        <v>74</v>
      </c>
      <c r="Q501" s="2" t="s">
        <v>74</v>
      </c>
      <c r="R501" s="2" t="s">
        <v>74</v>
      </c>
      <c r="S501" s="2" t="s">
        <v>74</v>
      </c>
      <c r="T501" s="2" t="s">
        <v>74</v>
      </c>
      <c r="U501" s="2" t="s">
        <v>74</v>
      </c>
      <c r="V501" s="5" t="s">
        <v>7531</v>
      </c>
      <c r="W501" s="2" t="s">
        <v>74</v>
      </c>
      <c r="X501" s="2" t="s">
        <v>74</v>
      </c>
      <c r="Y501" s="2" t="s">
        <v>74</v>
      </c>
      <c r="Z501" s="2" t="s">
        <v>74</v>
      </c>
      <c r="AA501" s="2" t="s">
        <v>7532</v>
      </c>
      <c r="AB501" s="2" t="s">
        <v>7533</v>
      </c>
      <c r="AC501" s="2" t="s">
        <v>74</v>
      </c>
      <c r="AD501" s="2" t="s">
        <v>74</v>
      </c>
      <c r="AE501" s="2" t="s">
        <v>74</v>
      </c>
      <c r="AF501" s="2" t="s">
        <v>74</v>
      </c>
      <c r="AG501" s="2" t="s">
        <v>74</v>
      </c>
      <c r="AH501" s="2" t="s">
        <v>74</v>
      </c>
      <c r="AI501" s="2" t="s">
        <v>74</v>
      </c>
      <c r="AJ501" s="2" t="s">
        <v>74</v>
      </c>
      <c r="AK501" s="2" t="s">
        <v>74</v>
      </c>
      <c r="AL501" s="2" t="s">
        <v>74</v>
      </c>
      <c r="AM501" s="2" t="s">
        <v>74</v>
      </c>
      <c r="AN501" s="2" t="s">
        <v>74</v>
      </c>
      <c r="AO501" s="2" t="s">
        <v>4147</v>
      </c>
      <c r="AP501" s="2" t="s">
        <v>7534</v>
      </c>
      <c r="AQ501" s="2" t="s">
        <v>74</v>
      </c>
      <c r="AR501" s="2" t="s">
        <v>74</v>
      </c>
      <c r="AS501" s="2" t="s">
        <v>74</v>
      </c>
      <c r="AT501" s="2" t="s">
        <v>123</v>
      </c>
      <c r="AU501" s="2">
        <v>2003</v>
      </c>
      <c r="AV501" s="2">
        <v>189</v>
      </c>
      <c r="AW501" s="2">
        <v>3</v>
      </c>
      <c r="AX501" s="2" t="s">
        <v>74</v>
      </c>
      <c r="AY501" s="2" t="s">
        <v>74</v>
      </c>
      <c r="AZ501" s="2" t="s">
        <v>74</v>
      </c>
      <c r="BA501" s="2" t="s">
        <v>74</v>
      </c>
      <c r="BB501" s="2">
        <v>213</v>
      </c>
      <c r="BC501" s="2">
        <v>220</v>
      </c>
      <c r="BD501" s="2" t="s">
        <v>74</v>
      </c>
      <c r="BE501" s="2" t="s">
        <v>7535</v>
      </c>
      <c r="BF501" s="2" t="str">
        <f>HYPERLINK("http://dx.doi.org/10.1007/s00359-003-0392-4","http://dx.doi.org/10.1007/s00359-003-0392-4")</f>
        <v>http://dx.doi.org/10.1007/s00359-003-0392-4</v>
      </c>
      <c r="BG501" s="2" t="s">
        <v>74</v>
      </c>
      <c r="BH501" s="2" t="s">
        <v>74</v>
      </c>
      <c r="BI501" s="2" t="s">
        <v>74</v>
      </c>
      <c r="BJ501" s="2" t="s">
        <v>74</v>
      </c>
      <c r="BK501" s="2" t="s">
        <v>74</v>
      </c>
      <c r="BL501" s="2" t="s">
        <v>74</v>
      </c>
      <c r="BM501" s="2" t="s">
        <v>74</v>
      </c>
      <c r="BN501" s="2">
        <v>12664097</v>
      </c>
      <c r="BO501" s="2" t="s">
        <v>74</v>
      </c>
      <c r="BP501" s="2" t="s">
        <v>74</v>
      </c>
      <c r="BQ501" s="2" t="s">
        <v>74</v>
      </c>
      <c r="BR501" s="2" t="s">
        <v>74</v>
      </c>
      <c r="BS501" s="2" t="s">
        <v>7536</v>
      </c>
      <c r="BT501" s="2" t="str">
        <f>HYPERLINK("https%3A%2F%2Fwww.webofscience.com%2Fwos%2Fwoscc%2Ffull-record%2FWOS:000182652100007","View Full Record in Web of Science")</f>
        <v>View Full Record in Web of Science</v>
      </c>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row>
    <row r="502" spans="1:314" s="2" customFormat="1" x14ac:dyDescent="0.4">
      <c r="A502" s="2" t="s">
        <v>72</v>
      </c>
      <c r="B502" s="2" t="s">
        <v>7018</v>
      </c>
      <c r="C502" s="2" t="s">
        <v>74</v>
      </c>
      <c r="D502" s="2" t="s">
        <v>74</v>
      </c>
      <c r="E502" s="2" t="s">
        <v>74</v>
      </c>
      <c r="F502" s="2" t="s">
        <v>7018</v>
      </c>
      <c r="G502" s="2" t="s">
        <v>74</v>
      </c>
      <c r="H502" s="2" t="s">
        <v>74</v>
      </c>
      <c r="I502" s="2" t="s">
        <v>7019</v>
      </c>
      <c r="J502" s="2" t="s">
        <v>7020</v>
      </c>
      <c r="K502" s="2" t="s">
        <v>74</v>
      </c>
      <c r="L502" s="2" t="s">
        <v>74</v>
      </c>
      <c r="M502" s="2" t="s">
        <v>74</v>
      </c>
      <c r="N502" s="2" t="s">
        <v>74</v>
      </c>
      <c r="O502" s="2" t="s">
        <v>74</v>
      </c>
      <c r="P502" s="2" t="s">
        <v>74</v>
      </c>
      <c r="Q502" s="2" t="s">
        <v>74</v>
      </c>
      <c r="R502" s="2" t="s">
        <v>74</v>
      </c>
      <c r="S502" s="2" t="s">
        <v>74</v>
      </c>
      <c r="T502" s="2" t="s">
        <v>74</v>
      </c>
      <c r="U502" s="2" t="s">
        <v>74</v>
      </c>
      <c r="V502" s="5" t="s">
        <v>7021</v>
      </c>
      <c r="W502" s="2" t="s">
        <v>74</v>
      </c>
      <c r="X502" s="2" t="s">
        <v>74</v>
      </c>
      <c r="Y502" s="2" t="s">
        <v>74</v>
      </c>
      <c r="Z502" s="2" t="s">
        <v>74</v>
      </c>
      <c r="AA502" s="2" t="s">
        <v>74</v>
      </c>
      <c r="AB502" s="2" t="s">
        <v>7022</v>
      </c>
      <c r="AC502" s="2" t="s">
        <v>74</v>
      </c>
      <c r="AD502" s="2" t="s">
        <v>74</v>
      </c>
      <c r="AE502" s="2" t="s">
        <v>74</v>
      </c>
      <c r="AF502" s="2" t="s">
        <v>74</v>
      </c>
      <c r="AG502" s="2" t="s">
        <v>74</v>
      </c>
      <c r="AH502" s="2" t="s">
        <v>74</v>
      </c>
      <c r="AI502" s="2" t="s">
        <v>74</v>
      </c>
      <c r="AJ502" s="2" t="s">
        <v>74</v>
      </c>
      <c r="AK502" s="2" t="s">
        <v>74</v>
      </c>
      <c r="AL502" s="2" t="s">
        <v>74</v>
      </c>
      <c r="AM502" s="2" t="s">
        <v>74</v>
      </c>
      <c r="AN502" s="2" t="s">
        <v>74</v>
      </c>
      <c r="AO502" s="2" t="s">
        <v>7023</v>
      </c>
      <c r="AP502" s="2" t="s">
        <v>74</v>
      </c>
      <c r="AQ502" s="2" t="s">
        <v>74</v>
      </c>
      <c r="AR502" s="2" t="s">
        <v>74</v>
      </c>
      <c r="AS502" s="2" t="s">
        <v>74</v>
      </c>
      <c r="AT502" s="2" t="s">
        <v>175</v>
      </c>
      <c r="AU502" s="2">
        <v>2000</v>
      </c>
      <c r="AV502" s="2">
        <v>73</v>
      </c>
      <c r="AW502" s="2" t="s">
        <v>74</v>
      </c>
      <c r="AX502" s="2">
        <v>8</v>
      </c>
      <c r="AY502" s="2" t="s">
        <v>74</v>
      </c>
      <c r="AZ502" s="2" t="s">
        <v>74</v>
      </c>
      <c r="BA502" s="2" t="s">
        <v>74</v>
      </c>
      <c r="BB502" s="2">
        <v>899</v>
      </c>
      <c r="BC502" s="2">
        <v>912</v>
      </c>
      <c r="BD502" s="2" t="s">
        <v>74</v>
      </c>
      <c r="BE502" s="2" t="s">
        <v>7024</v>
      </c>
      <c r="BF502" s="2" t="str">
        <f>HYPERLINK("http://dx.doi.org/10.1163/156854000504903","http://dx.doi.org/10.1163/156854000504903")</f>
        <v>http://dx.doi.org/10.1163/156854000504903</v>
      </c>
      <c r="BG502" s="2" t="s">
        <v>74</v>
      </c>
      <c r="BH502" s="2" t="s">
        <v>74</v>
      </c>
      <c r="BI502" s="2" t="s">
        <v>74</v>
      </c>
      <c r="BJ502" s="2" t="s">
        <v>74</v>
      </c>
      <c r="BK502" s="2" t="s">
        <v>74</v>
      </c>
      <c r="BL502" s="2" t="s">
        <v>74</v>
      </c>
      <c r="BM502" s="2" t="s">
        <v>74</v>
      </c>
      <c r="BN502" s="2" t="s">
        <v>74</v>
      </c>
      <c r="BO502" s="2" t="s">
        <v>74</v>
      </c>
      <c r="BP502" s="2" t="s">
        <v>74</v>
      </c>
      <c r="BQ502" s="2" t="s">
        <v>74</v>
      </c>
      <c r="BR502" s="2" t="s">
        <v>74</v>
      </c>
      <c r="BS502" s="2" t="s">
        <v>7025</v>
      </c>
      <c r="BT502" s="2" t="str">
        <f>HYPERLINK("https%3A%2F%2Fwww.webofscience.com%2Fwos%2Fwoscc%2Ffull-record%2FWOS:000165977200001","View Full Record in Web of Science")</f>
        <v>View Full Record in Web of Science</v>
      </c>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row>
    <row r="503" spans="1:314" s="2" customFormat="1" x14ac:dyDescent="0.4">
      <c r="A503" s="2" t="s">
        <v>72</v>
      </c>
      <c r="B503" s="2" t="s">
        <v>3350</v>
      </c>
      <c r="C503" s="2" t="s">
        <v>74</v>
      </c>
      <c r="D503" s="2" t="s">
        <v>74</v>
      </c>
      <c r="E503" s="2" t="s">
        <v>74</v>
      </c>
      <c r="F503" s="2" t="s">
        <v>3351</v>
      </c>
      <c r="G503" s="2" t="s">
        <v>74</v>
      </c>
      <c r="H503" s="2" t="s">
        <v>74</v>
      </c>
      <c r="I503" s="2" t="s">
        <v>3352</v>
      </c>
      <c r="J503" s="2" t="s">
        <v>3353</v>
      </c>
      <c r="K503" s="2" t="s">
        <v>74</v>
      </c>
      <c r="L503" s="2" t="s">
        <v>74</v>
      </c>
      <c r="M503" s="2" t="s">
        <v>74</v>
      </c>
      <c r="N503" s="2" t="s">
        <v>74</v>
      </c>
      <c r="O503" s="2" t="s">
        <v>74</v>
      </c>
      <c r="P503" s="2" t="s">
        <v>74</v>
      </c>
      <c r="Q503" s="2" t="s">
        <v>74</v>
      </c>
      <c r="R503" s="2" t="s">
        <v>74</v>
      </c>
      <c r="S503" s="2" t="s">
        <v>74</v>
      </c>
      <c r="T503" s="2" t="s">
        <v>74</v>
      </c>
      <c r="U503" s="2" t="s">
        <v>74</v>
      </c>
      <c r="V503" s="5" t="s">
        <v>3354</v>
      </c>
      <c r="W503" s="2" t="s">
        <v>74</v>
      </c>
      <c r="X503" s="2" t="s">
        <v>74</v>
      </c>
      <c r="Y503" s="2" t="s">
        <v>74</v>
      </c>
      <c r="Z503" s="2" t="s">
        <v>74</v>
      </c>
      <c r="AA503" s="2" t="s">
        <v>3355</v>
      </c>
      <c r="AB503" s="2" t="s">
        <v>3356</v>
      </c>
      <c r="AC503" s="2" t="s">
        <v>74</v>
      </c>
      <c r="AD503" s="2" t="s">
        <v>74</v>
      </c>
      <c r="AE503" s="2" t="s">
        <v>74</v>
      </c>
      <c r="AF503" s="2" t="s">
        <v>74</v>
      </c>
      <c r="AG503" s="2" t="s">
        <v>74</v>
      </c>
      <c r="AH503" s="2" t="s">
        <v>74</v>
      </c>
      <c r="AI503" s="2" t="s">
        <v>74</v>
      </c>
      <c r="AJ503" s="2" t="s">
        <v>74</v>
      </c>
      <c r="AK503" s="2" t="s">
        <v>74</v>
      </c>
      <c r="AL503" s="2" t="s">
        <v>74</v>
      </c>
      <c r="AM503" s="2" t="s">
        <v>74</v>
      </c>
      <c r="AN503" s="2" t="s">
        <v>74</v>
      </c>
      <c r="AO503" s="2" t="s">
        <v>3357</v>
      </c>
      <c r="AP503" s="2" t="s">
        <v>3358</v>
      </c>
      <c r="AQ503" s="2" t="s">
        <v>74</v>
      </c>
      <c r="AR503" s="2" t="s">
        <v>74</v>
      </c>
      <c r="AS503" s="2" t="s">
        <v>74</v>
      </c>
      <c r="AT503" s="2" t="s">
        <v>352</v>
      </c>
      <c r="AU503" s="2">
        <v>2009</v>
      </c>
      <c r="AV503" s="2">
        <v>34</v>
      </c>
      <c r="AW503" s="2">
        <v>6</v>
      </c>
      <c r="AX503" s="2" t="s">
        <v>74</v>
      </c>
      <c r="AY503" s="2" t="s">
        <v>74</v>
      </c>
      <c r="AZ503" s="2" t="s">
        <v>74</v>
      </c>
      <c r="BA503" s="2" t="s">
        <v>74</v>
      </c>
      <c r="BB503" s="2">
        <v>636</v>
      </c>
      <c r="BC503" s="2">
        <v>640</v>
      </c>
      <c r="BD503" s="2" t="s">
        <v>74</v>
      </c>
      <c r="BE503" s="2" t="s">
        <v>3359</v>
      </c>
      <c r="BF503" s="2" t="str">
        <f>HYPERLINK("http://dx.doi.org/10.1111/j.1442-9993.2009.01968.x","http://dx.doi.org/10.1111/j.1442-9993.2009.01968.x")</f>
        <v>http://dx.doi.org/10.1111/j.1442-9993.2009.01968.x</v>
      </c>
      <c r="BG503" s="2" t="s">
        <v>74</v>
      </c>
      <c r="BH503" s="2" t="s">
        <v>74</v>
      </c>
      <c r="BI503" s="2" t="s">
        <v>74</v>
      </c>
      <c r="BJ503" s="2" t="s">
        <v>74</v>
      </c>
      <c r="BK503" s="2" t="s">
        <v>74</v>
      </c>
      <c r="BL503" s="2" t="s">
        <v>74</v>
      </c>
      <c r="BM503" s="2" t="s">
        <v>74</v>
      </c>
      <c r="BN503" s="2" t="s">
        <v>74</v>
      </c>
      <c r="BO503" s="2" t="s">
        <v>74</v>
      </c>
      <c r="BP503" s="2" t="s">
        <v>74</v>
      </c>
      <c r="BQ503" s="2" t="s">
        <v>74</v>
      </c>
      <c r="BR503" s="2" t="s">
        <v>74</v>
      </c>
      <c r="BS503" s="2" t="s">
        <v>3360</v>
      </c>
      <c r="BT503" s="2" t="str">
        <f>HYPERLINK("https%3A%2F%2Fwww.webofscience.com%2Fwos%2Fwoscc%2Ffull-record%2FWOS:000269675600004","View Full Record in Web of Science")</f>
        <v>View Full Record in Web of Science</v>
      </c>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row>
    <row r="504" spans="1:314" s="2" customFormat="1" x14ac:dyDescent="0.4">
      <c r="A504" s="2" t="s">
        <v>72</v>
      </c>
      <c r="B504" s="2" t="s">
        <v>5724</v>
      </c>
      <c r="C504" s="2" t="s">
        <v>74</v>
      </c>
      <c r="D504" s="2" t="s">
        <v>74</v>
      </c>
      <c r="E504" s="2" t="s">
        <v>74</v>
      </c>
      <c r="F504" s="2" t="s">
        <v>5724</v>
      </c>
      <c r="G504" s="2" t="s">
        <v>74</v>
      </c>
      <c r="H504" s="2" t="s">
        <v>74</v>
      </c>
      <c r="I504" s="2" t="s">
        <v>5725</v>
      </c>
      <c r="J504" s="2" t="s">
        <v>1755</v>
      </c>
      <c r="K504" s="2" t="s">
        <v>74</v>
      </c>
      <c r="L504" s="2" t="s">
        <v>74</v>
      </c>
      <c r="M504" s="2" t="s">
        <v>74</v>
      </c>
      <c r="N504" s="2" t="s">
        <v>74</v>
      </c>
      <c r="O504" s="2" t="s">
        <v>74</v>
      </c>
      <c r="P504" s="2" t="s">
        <v>74</v>
      </c>
      <c r="Q504" s="2" t="s">
        <v>74</v>
      </c>
      <c r="R504" s="2" t="s">
        <v>74</v>
      </c>
      <c r="S504" s="2" t="s">
        <v>74</v>
      </c>
      <c r="T504" s="2" t="s">
        <v>74</v>
      </c>
      <c r="U504" s="2" t="s">
        <v>74</v>
      </c>
      <c r="V504" s="5" t="s">
        <v>5726</v>
      </c>
      <c r="W504" s="2" t="s">
        <v>74</v>
      </c>
      <c r="X504" s="2" t="s">
        <v>74</v>
      </c>
      <c r="Y504" s="2" t="s">
        <v>74</v>
      </c>
      <c r="Z504" s="2" t="s">
        <v>74</v>
      </c>
      <c r="AA504" s="2" t="s">
        <v>5727</v>
      </c>
      <c r="AB504" s="2" t="s">
        <v>74</v>
      </c>
      <c r="AC504" s="2" t="s">
        <v>74</v>
      </c>
      <c r="AD504" s="2" t="s">
        <v>74</v>
      </c>
      <c r="AE504" s="2" t="s">
        <v>74</v>
      </c>
      <c r="AF504" s="2" t="s">
        <v>74</v>
      </c>
      <c r="AG504" s="2" t="s">
        <v>74</v>
      </c>
      <c r="AH504" s="2" t="s">
        <v>74</v>
      </c>
      <c r="AI504" s="2" t="s">
        <v>74</v>
      </c>
      <c r="AJ504" s="2" t="s">
        <v>74</v>
      </c>
      <c r="AK504" s="2" t="s">
        <v>74</v>
      </c>
      <c r="AL504" s="2" t="s">
        <v>74</v>
      </c>
      <c r="AM504" s="2" t="s">
        <v>74</v>
      </c>
      <c r="AN504" s="2" t="s">
        <v>74</v>
      </c>
      <c r="AO504" s="2" t="s">
        <v>1759</v>
      </c>
      <c r="AP504" s="2" t="s">
        <v>1760</v>
      </c>
      <c r="AQ504" s="2" t="s">
        <v>74</v>
      </c>
      <c r="AR504" s="2" t="s">
        <v>74</v>
      </c>
      <c r="AS504" s="2" t="s">
        <v>74</v>
      </c>
      <c r="AT504" s="2" t="s">
        <v>352</v>
      </c>
      <c r="AU504" s="2">
        <v>1996</v>
      </c>
      <c r="AV504" s="2">
        <v>9</v>
      </c>
      <c r="AW504" s="2">
        <v>5</v>
      </c>
      <c r="AX504" s="2" t="s">
        <v>74</v>
      </c>
      <c r="AY504" s="2" t="s">
        <v>74</v>
      </c>
      <c r="AZ504" s="2" t="s">
        <v>74</v>
      </c>
      <c r="BA504" s="2" t="s">
        <v>74</v>
      </c>
      <c r="BB504" s="2">
        <v>709</v>
      </c>
      <c r="BC504" s="2">
        <v>717</v>
      </c>
      <c r="BD504" s="2" t="s">
        <v>74</v>
      </c>
      <c r="BE504" s="2" t="s">
        <v>5728</v>
      </c>
      <c r="BF504" s="2" t="str">
        <f>HYPERLINK("http://dx.doi.org/10.1007/BF02213551","http://dx.doi.org/10.1007/BF02213551")</f>
        <v>http://dx.doi.org/10.1007/BF02213551</v>
      </c>
      <c r="BG504" s="2" t="s">
        <v>74</v>
      </c>
      <c r="BH504" s="2" t="s">
        <v>74</v>
      </c>
      <c r="BI504" s="2" t="s">
        <v>74</v>
      </c>
      <c r="BJ504" s="2" t="s">
        <v>74</v>
      </c>
      <c r="BK504" s="2" t="s">
        <v>74</v>
      </c>
      <c r="BL504" s="2" t="s">
        <v>74</v>
      </c>
      <c r="BM504" s="2" t="s">
        <v>74</v>
      </c>
      <c r="BN504" s="2" t="s">
        <v>74</v>
      </c>
      <c r="BO504" s="2" t="s">
        <v>74</v>
      </c>
      <c r="BP504" s="2" t="s">
        <v>74</v>
      </c>
      <c r="BQ504" s="2" t="s">
        <v>74</v>
      </c>
      <c r="BR504" s="2" t="s">
        <v>74</v>
      </c>
      <c r="BS504" s="2" t="s">
        <v>5729</v>
      </c>
      <c r="BT504" s="2" t="str">
        <f>HYPERLINK("https%3A%2F%2Fwww.webofscience.com%2Fwos%2Fwoscc%2Ffull-record%2FWOS:A1996VX87000005","View Full Record in Web of Science")</f>
        <v>View Full Record in Web of Science</v>
      </c>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row>
    <row r="505" spans="1:314" s="2" customFormat="1" x14ac:dyDescent="0.4">
      <c r="A505" s="2" t="s">
        <v>72</v>
      </c>
      <c r="B505" s="2" t="s">
        <v>6204</v>
      </c>
      <c r="C505" s="2" t="s">
        <v>74</v>
      </c>
      <c r="D505" s="2" t="s">
        <v>74</v>
      </c>
      <c r="E505" s="2" t="s">
        <v>74</v>
      </c>
      <c r="F505" s="2" t="s">
        <v>6205</v>
      </c>
      <c r="G505" s="2" t="s">
        <v>74</v>
      </c>
      <c r="H505" s="2" t="s">
        <v>74</v>
      </c>
      <c r="I505" s="2" t="s">
        <v>6206</v>
      </c>
      <c r="J505" s="2" t="s">
        <v>3238</v>
      </c>
      <c r="K505" s="2" t="s">
        <v>74</v>
      </c>
      <c r="L505" s="2" t="s">
        <v>74</v>
      </c>
      <c r="M505" s="2" t="s">
        <v>74</v>
      </c>
      <c r="N505" s="2" t="s">
        <v>74</v>
      </c>
      <c r="O505" s="2" t="s">
        <v>74</v>
      </c>
      <c r="P505" s="2" t="s">
        <v>74</v>
      </c>
      <c r="Q505" s="2" t="s">
        <v>74</v>
      </c>
      <c r="R505" s="2" t="s">
        <v>74</v>
      </c>
      <c r="S505" s="2" t="s">
        <v>74</v>
      </c>
      <c r="T505" s="2" t="s">
        <v>74</v>
      </c>
      <c r="U505" s="2" t="s">
        <v>74</v>
      </c>
      <c r="V505" s="5" t="s">
        <v>6207</v>
      </c>
      <c r="W505" s="2" t="s">
        <v>74</v>
      </c>
      <c r="X505" s="2" t="s">
        <v>74</v>
      </c>
      <c r="Y505" s="2" t="s">
        <v>74</v>
      </c>
      <c r="Z505" s="2" t="s">
        <v>74</v>
      </c>
      <c r="AA505" s="2" t="s">
        <v>74</v>
      </c>
      <c r="AB505" s="2" t="s">
        <v>74</v>
      </c>
      <c r="AC505" s="2" t="s">
        <v>74</v>
      </c>
      <c r="AD505" s="2" t="s">
        <v>74</v>
      </c>
      <c r="AE505" s="2" t="s">
        <v>74</v>
      </c>
      <c r="AF505" s="2" t="s">
        <v>74</v>
      </c>
      <c r="AG505" s="2" t="s">
        <v>74</v>
      </c>
      <c r="AH505" s="2" t="s">
        <v>74</v>
      </c>
      <c r="AI505" s="2" t="s">
        <v>74</v>
      </c>
      <c r="AJ505" s="2" t="s">
        <v>74</v>
      </c>
      <c r="AK505" s="2" t="s">
        <v>74</v>
      </c>
      <c r="AL505" s="2" t="s">
        <v>74</v>
      </c>
      <c r="AM505" s="2" t="s">
        <v>74</v>
      </c>
      <c r="AN505" s="2" t="s">
        <v>74</v>
      </c>
      <c r="AO505" s="2" t="s">
        <v>3240</v>
      </c>
      <c r="AP505" s="2" t="s">
        <v>3241</v>
      </c>
      <c r="AQ505" s="2" t="s">
        <v>74</v>
      </c>
      <c r="AR505" s="2" t="s">
        <v>74</v>
      </c>
      <c r="AS505" s="2" t="s">
        <v>74</v>
      </c>
      <c r="AT505" s="2" t="s">
        <v>255</v>
      </c>
      <c r="AU505" s="2">
        <v>2019</v>
      </c>
      <c r="AV505" s="2">
        <v>112</v>
      </c>
      <c r="AW505" s="2">
        <v>1</v>
      </c>
      <c r="AX505" s="2" t="s">
        <v>74</v>
      </c>
      <c r="AY505" s="2" t="s">
        <v>74</v>
      </c>
      <c r="AZ505" s="2" t="s">
        <v>74</v>
      </c>
      <c r="BA505" s="2" t="s">
        <v>74</v>
      </c>
      <c r="BB505" s="2">
        <v>33</v>
      </c>
      <c r="BC505" s="2">
        <v>43</v>
      </c>
      <c r="BD505" s="2" t="s">
        <v>74</v>
      </c>
      <c r="BE505" s="2" t="s">
        <v>6208</v>
      </c>
      <c r="BF505" s="2" t="str">
        <f>HYPERLINK("http://dx.doi.org/10.1093/aesa/say045","http://dx.doi.org/10.1093/aesa/say045")</f>
        <v>http://dx.doi.org/10.1093/aesa/say045</v>
      </c>
      <c r="BG505" s="2" t="s">
        <v>74</v>
      </c>
      <c r="BH505" s="2" t="s">
        <v>74</v>
      </c>
      <c r="BI505" s="2" t="s">
        <v>74</v>
      </c>
      <c r="BJ505" s="2" t="s">
        <v>74</v>
      </c>
      <c r="BK505" s="2" t="s">
        <v>74</v>
      </c>
      <c r="BL505" s="2" t="s">
        <v>74</v>
      </c>
      <c r="BM505" s="2" t="s">
        <v>74</v>
      </c>
      <c r="BN505" s="2" t="s">
        <v>74</v>
      </c>
      <c r="BO505" s="2" t="s">
        <v>74</v>
      </c>
      <c r="BP505" s="2" t="s">
        <v>74</v>
      </c>
      <c r="BQ505" s="2" t="s">
        <v>74</v>
      </c>
      <c r="BR505" s="2" t="s">
        <v>74</v>
      </c>
      <c r="BS505" s="2" t="s">
        <v>6209</v>
      </c>
      <c r="BT505" s="2" t="str">
        <f>HYPERLINK("https%3A%2F%2Fwww.webofscience.com%2Fwos%2Fwoscc%2Ffull-record%2FWOS:000467951400004","View Full Record in Web of Science")</f>
        <v>View Full Record in Web of Science</v>
      </c>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row>
    <row r="506" spans="1:314" s="2" customFormat="1" x14ac:dyDescent="0.4">
      <c r="A506" s="2" t="s">
        <v>72</v>
      </c>
      <c r="B506" s="2" t="s">
        <v>2752</v>
      </c>
      <c r="C506" s="2" t="s">
        <v>74</v>
      </c>
      <c r="D506" s="2" t="s">
        <v>74</v>
      </c>
      <c r="E506" s="2" t="s">
        <v>74</v>
      </c>
      <c r="F506" s="2" t="s">
        <v>2752</v>
      </c>
      <c r="G506" s="2" t="s">
        <v>74</v>
      </c>
      <c r="H506" s="2" t="s">
        <v>74</v>
      </c>
      <c r="I506" s="2" t="s">
        <v>2753</v>
      </c>
      <c r="J506" s="2" t="s">
        <v>408</v>
      </c>
      <c r="K506" s="2" t="s">
        <v>74</v>
      </c>
      <c r="L506" s="2" t="s">
        <v>74</v>
      </c>
      <c r="M506" s="2" t="s">
        <v>74</v>
      </c>
      <c r="N506" s="2" t="s">
        <v>74</v>
      </c>
      <c r="O506" s="2" t="s">
        <v>74</v>
      </c>
      <c r="P506" s="2" t="s">
        <v>74</v>
      </c>
      <c r="Q506" s="2" t="s">
        <v>74</v>
      </c>
      <c r="R506" s="2" t="s">
        <v>74</v>
      </c>
      <c r="S506" s="2" t="s">
        <v>74</v>
      </c>
      <c r="T506" s="2" t="s">
        <v>74</v>
      </c>
      <c r="U506" s="2" t="s">
        <v>74</v>
      </c>
      <c r="V506" s="5" t="s">
        <v>2754</v>
      </c>
      <c r="W506" s="2" t="s">
        <v>74</v>
      </c>
      <c r="X506" s="2" t="s">
        <v>74</v>
      </c>
      <c r="Y506" s="2" t="s">
        <v>74</v>
      </c>
      <c r="Z506" s="2" t="s">
        <v>74</v>
      </c>
      <c r="AA506" s="2" t="s">
        <v>74</v>
      </c>
      <c r="AB506" s="2" t="s">
        <v>74</v>
      </c>
      <c r="AC506" s="2" t="s">
        <v>74</v>
      </c>
      <c r="AD506" s="2" t="s">
        <v>74</v>
      </c>
      <c r="AE506" s="2" t="s">
        <v>74</v>
      </c>
      <c r="AF506" s="2" t="s">
        <v>74</v>
      </c>
      <c r="AG506" s="2" t="s">
        <v>74</v>
      </c>
      <c r="AH506" s="2" t="s">
        <v>74</v>
      </c>
      <c r="AI506" s="2" t="s">
        <v>74</v>
      </c>
      <c r="AJ506" s="2" t="s">
        <v>74</v>
      </c>
      <c r="AK506" s="2" t="s">
        <v>74</v>
      </c>
      <c r="AL506" s="2" t="s">
        <v>74</v>
      </c>
      <c r="AM506" s="2" t="s">
        <v>74</v>
      </c>
      <c r="AN506" s="2" t="s">
        <v>74</v>
      </c>
      <c r="AO506" s="2" t="s">
        <v>412</v>
      </c>
      <c r="AP506" s="2" t="s">
        <v>413</v>
      </c>
      <c r="AQ506" s="2" t="s">
        <v>74</v>
      </c>
      <c r="AR506" s="2" t="s">
        <v>74</v>
      </c>
      <c r="AS506" s="2" t="s">
        <v>74</v>
      </c>
      <c r="AT506" s="2" t="s">
        <v>305</v>
      </c>
      <c r="AU506" s="2">
        <v>2003</v>
      </c>
      <c r="AV506" s="2">
        <v>80</v>
      </c>
      <c r="AW506" s="2">
        <v>4</v>
      </c>
      <c r="AX506" s="2" t="s">
        <v>74</v>
      </c>
      <c r="AY506" s="2" t="s">
        <v>74</v>
      </c>
      <c r="AZ506" s="2" t="s">
        <v>74</v>
      </c>
      <c r="BA506" s="2" t="s">
        <v>74</v>
      </c>
      <c r="BB506" s="2">
        <v>647</v>
      </c>
      <c r="BC506" s="2">
        <v>658</v>
      </c>
      <c r="BD506" s="2" t="s">
        <v>74</v>
      </c>
      <c r="BE506" s="2" t="s">
        <v>2755</v>
      </c>
      <c r="BF506" s="2" t="str">
        <f>HYPERLINK("http://dx.doi.org/10.1111/j.1095-8312.2003.00264.x","http://dx.doi.org/10.1111/j.1095-8312.2003.00264.x")</f>
        <v>http://dx.doi.org/10.1111/j.1095-8312.2003.00264.x</v>
      </c>
      <c r="BG506" s="2" t="s">
        <v>74</v>
      </c>
      <c r="BH506" s="2" t="s">
        <v>74</v>
      </c>
      <c r="BI506" s="2" t="s">
        <v>74</v>
      </c>
      <c r="BJ506" s="2" t="s">
        <v>74</v>
      </c>
      <c r="BK506" s="2" t="s">
        <v>74</v>
      </c>
      <c r="BL506" s="2" t="s">
        <v>74</v>
      </c>
      <c r="BM506" s="2" t="s">
        <v>74</v>
      </c>
      <c r="BN506" s="2" t="s">
        <v>74</v>
      </c>
      <c r="BO506" s="2" t="s">
        <v>74</v>
      </c>
      <c r="BP506" s="2" t="s">
        <v>74</v>
      </c>
      <c r="BQ506" s="2" t="s">
        <v>74</v>
      </c>
      <c r="BR506" s="2" t="s">
        <v>74</v>
      </c>
      <c r="BS506" s="2" t="s">
        <v>2756</v>
      </c>
      <c r="BT506" s="2" t="str">
        <f>HYPERLINK("https%3A%2F%2Fwww.webofscience.com%2Fwos%2Fwoscc%2Ffull-record%2FWOS:000187247200007","View Full Record in Web of Science")</f>
        <v>View Full Record in Web of Science</v>
      </c>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row>
    <row r="507" spans="1:314" s="2" customFormat="1" x14ac:dyDescent="0.4">
      <c r="A507" s="2" t="s">
        <v>72</v>
      </c>
      <c r="B507" s="2" t="s">
        <v>8254</v>
      </c>
      <c r="C507" s="2" t="s">
        <v>74</v>
      </c>
      <c r="D507" s="2" t="s">
        <v>74</v>
      </c>
      <c r="E507" s="2" t="s">
        <v>74</v>
      </c>
      <c r="F507" s="2" t="s">
        <v>8254</v>
      </c>
      <c r="G507" s="2" t="s">
        <v>74</v>
      </c>
      <c r="H507" s="2" t="s">
        <v>74</v>
      </c>
      <c r="I507" s="2" t="s">
        <v>8255</v>
      </c>
      <c r="J507" s="2" t="s">
        <v>4278</v>
      </c>
      <c r="K507" s="2" t="s">
        <v>74</v>
      </c>
      <c r="L507" s="2" t="s">
        <v>74</v>
      </c>
      <c r="M507" s="2" t="s">
        <v>74</v>
      </c>
      <c r="N507" s="2" t="s">
        <v>74</v>
      </c>
      <c r="O507" s="2" t="s">
        <v>74</v>
      </c>
      <c r="P507" s="2" t="s">
        <v>74</v>
      </c>
      <c r="Q507" s="2" t="s">
        <v>74</v>
      </c>
      <c r="R507" s="2" t="s">
        <v>74</v>
      </c>
      <c r="S507" s="2" t="s">
        <v>74</v>
      </c>
      <c r="T507" s="2" t="s">
        <v>74</v>
      </c>
      <c r="U507" s="2" t="s">
        <v>74</v>
      </c>
      <c r="V507" s="5" t="s">
        <v>8256</v>
      </c>
      <c r="W507" s="2" t="s">
        <v>74</v>
      </c>
      <c r="X507" s="2" t="s">
        <v>74</v>
      </c>
      <c r="Y507" s="2" t="s">
        <v>74</v>
      </c>
      <c r="Z507" s="2" t="s">
        <v>74</v>
      </c>
      <c r="AA507" s="2" t="s">
        <v>74</v>
      </c>
      <c r="AB507" s="2" t="s">
        <v>74</v>
      </c>
      <c r="AC507" s="2" t="s">
        <v>74</v>
      </c>
      <c r="AD507" s="2" t="s">
        <v>74</v>
      </c>
      <c r="AE507" s="2" t="s">
        <v>74</v>
      </c>
      <c r="AF507" s="2" t="s">
        <v>74</v>
      </c>
      <c r="AG507" s="2" t="s">
        <v>74</v>
      </c>
      <c r="AH507" s="2" t="s">
        <v>74</v>
      </c>
      <c r="AI507" s="2" t="s">
        <v>74</v>
      </c>
      <c r="AJ507" s="2" t="s">
        <v>74</v>
      </c>
      <c r="AK507" s="2" t="s">
        <v>74</v>
      </c>
      <c r="AL507" s="2" t="s">
        <v>74</v>
      </c>
      <c r="AM507" s="2" t="s">
        <v>74</v>
      </c>
      <c r="AN507" s="2" t="s">
        <v>74</v>
      </c>
      <c r="AO507" s="2" t="s">
        <v>4282</v>
      </c>
      <c r="AP507" s="2" t="s">
        <v>74</v>
      </c>
      <c r="AQ507" s="2" t="s">
        <v>74</v>
      </c>
      <c r="AR507" s="2" t="s">
        <v>74</v>
      </c>
      <c r="AS507" s="2" t="s">
        <v>74</v>
      </c>
      <c r="AT507" s="2" t="s">
        <v>204</v>
      </c>
      <c r="AU507" s="2">
        <v>1999</v>
      </c>
      <c r="AV507" s="2">
        <v>25</v>
      </c>
      <c r="AW507" s="2">
        <v>7</v>
      </c>
      <c r="AX507" s="2" t="s">
        <v>74</v>
      </c>
      <c r="AY507" s="2" t="s">
        <v>74</v>
      </c>
      <c r="AZ507" s="2" t="s">
        <v>74</v>
      </c>
      <c r="BA507" s="2" t="s">
        <v>74</v>
      </c>
      <c r="BB507" s="2">
        <v>1671</v>
      </c>
      <c r="BC507" s="2">
        <v>1685</v>
      </c>
      <c r="BD507" s="2" t="s">
        <v>74</v>
      </c>
      <c r="BE507" s="2" t="s">
        <v>8257</v>
      </c>
      <c r="BF507" s="2" t="str">
        <f>HYPERLINK("http://dx.doi.org/10.1023/A:1020853303321","http://dx.doi.org/10.1023/A:1020853303321")</f>
        <v>http://dx.doi.org/10.1023/A:1020853303321</v>
      </c>
      <c r="BG507" s="2" t="s">
        <v>74</v>
      </c>
      <c r="BH507" s="2" t="s">
        <v>74</v>
      </c>
      <c r="BI507" s="2" t="s">
        <v>74</v>
      </c>
      <c r="BJ507" s="2" t="s">
        <v>74</v>
      </c>
      <c r="BK507" s="2" t="s">
        <v>74</v>
      </c>
      <c r="BL507" s="2" t="s">
        <v>74</v>
      </c>
      <c r="BM507" s="2" t="s">
        <v>74</v>
      </c>
      <c r="BN507" s="2" t="s">
        <v>74</v>
      </c>
      <c r="BO507" s="2" t="s">
        <v>74</v>
      </c>
      <c r="BP507" s="2" t="s">
        <v>74</v>
      </c>
      <c r="BQ507" s="2" t="s">
        <v>74</v>
      </c>
      <c r="BR507" s="2" t="s">
        <v>74</v>
      </c>
      <c r="BS507" s="2" t="s">
        <v>8258</v>
      </c>
      <c r="BT507" s="2" t="str">
        <f>HYPERLINK("https%3A%2F%2Fwww.webofscience.com%2Fwos%2Fwoscc%2Ffull-record%2FWOS:000081611500016","View Full Record in Web of Science")</f>
        <v>View Full Record in Web of Science</v>
      </c>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row>
    <row r="508" spans="1:314" s="2" customFormat="1" x14ac:dyDescent="0.4">
      <c r="A508" s="2" t="s">
        <v>72</v>
      </c>
      <c r="B508" s="2" t="s">
        <v>2150</v>
      </c>
      <c r="C508" s="2" t="s">
        <v>74</v>
      </c>
      <c r="D508" s="2" t="s">
        <v>74</v>
      </c>
      <c r="E508" s="2" t="s">
        <v>74</v>
      </c>
      <c r="F508" s="2" t="s">
        <v>2150</v>
      </c>
      <c r="G508" s="2" t="s">
        <v>74</v>
      </c>
      <c r="H508" s="2" t="s">
        <v>74</v>
      </c>
      <c r="I508" s="2" t="s">
        <v>2151</v>
      </c>
      <c r="J508" s="2" t="s">
        <v>2152</v>
      </c>
      <c r="K508" s="2" t="s">
        <v>74</v>
      </c>
      <c r="L508" s="2" t="s">
        <v>74</v>
      </c>
      <c r="M508" s="2" t="s">
        <v>74</v>
      </c>
      <c r="N508" s="2" t="s">
        <v>74</v>
      </c>
      <c r="O508" s="2" t="s">
        <v>74</v>
      </c>
      <c r="P508" s="2" t="s">
        <v>74</v>
      </c>
      <c r="Q508" s="2" t="s">
        <v>74</v>
      </c>
      <c r="R508" s="2" t="s">
        <v>74</v>
      </c>
      <c r="S508" s="2" t="s">
        <v>74</v>
      </c>
      <c r="T508" s="2" t="s">
        <v>74</v>
      </c>
      <c r="U508" s="2" t="s">
        <v>74</v>
      </c>
      <c r="V508" s="5" t="s">
        <v>74</v>
      </c>
      <c r="W508" s="2" t="s">
        <v>74</v>
      </c>
      <c r="X508" s="2" t="s">
        <v>74</v>
      </c>
      <c r="Y508" s="2" t="s">
        <v>74</v>
      </c>
      <c r="Z508" s="2" t="s">
        <v>74</v>
      </c>
      <c r="AA508" s="2" t="s">
        <v>74</v>
      </c>
      <c r="AB508" s="2" t="s">
        <v>74</v>
      </c>
      <c r="AC508" s="2" t="s">
        <v>74</v>
      </c>
      <c r="AD508" s="2" t="s">
        <v>74</v>
      </c>
      <c r="AE508" s="2" t="s">
        <v>74</v>
      </c>
      <c r="AF508" s="2" t="s">
        <v>74</v>
      </c>
      <c r="AG508" s="2" t="s">
        <v>74</v>
      </c>
      <c r="AH508" s="2" t="s">
        <v>74</v>
      </c>
      <c r="AI508" s="2" t="s">
        <v>74</v>
      </c>
      <c r="AJ508" s="2" t="s">
        <v>74</v>
      </c>
      <c r="AK508" s="2" t="s">
        <v>74</v>
      </c>
      <c r="AL508" s="2" t="s">
        <v>74</v>
      </c>
      <c r="AM508" s="2" t="s">
        <v>74</v>
      </c>
      <c r="AN508" s="2" t="s">
        <v>74</v>
      </c>
      <c r="AO508" s="2" t="s">
        <v>2153</v>
      </c>
      <c r="AP508" s="2" t="s">
        <v>74</v>
      </c>
      <c r="AQ508" s="2" t="s">
        <v>74</v>
      </c>
      <c r="AR508" s="2" t="s">
        <v>74</v>
      </c>
      <c r="AS508" s="2" t="s">
        <v>74</v>
      </c>
      <c r="AT508" s="2" t="s">
        <v>74</v>
      </c>
      <c r="AU508" s="2">
        <v>1981</v>
      </c>
      <c r="AV508" s="2">
        <v>30</v>
      </c>
      <c r="AW508" s="2" t="s">
        <v>548</v>
      </c>
      <c r="AX508" s="2" t="s">
        <v>74</v>
      </c>
      <c r="AY508" s="2" t="s">
        <v>74</v>
      </c>
      <c r="AZ508" s="2" t="s">
        <v>74</v>
      </c>
      <c r="BA508" s="2" t="s">
        <v>74</v>
      </c>
      <c r="BB508" s="2">
        <v>88</v>
      </c>
      <c r="BC508" s="2">
        <v>91</v>
      </c>
      <c r="BD508" s="2" t="s">
        <v>74</v>
      </c>
      <c r="BE508" s="2" t="s">
        <v>74</v>
      </c>
      <c r="BF508" s="2" t="s">
        <v>74</v>
      </c>
      <c r="BG508" s="2" t="s">
        <v>74</v>
      </c>
      <c r="BH508" s="2" t="s">
        <v>74</v>
      </c>
      <c r="BI508" s="2" t="s">
        <v>74</v>
      </c>
      <c r="BJ508" s="2" t="s">
        <v>74</v>
      </c>
      <c r="BK508" s="2" t="s">
        <v>74</v>
      </c>
      <c r="BL508" s="2" t="s">
        <v>74</v>
      </c>
      <c r="BM508" s="2" t="s">
        <v>74</v>
      </c>
      <c r="BN508" s="2" t="s">
        <v>74</v>
      </c>
      <c r="BO508" s="2" t="s">
        <v>74</v>
      </c>
      <c r="BP508" s="2" t="s">
        <v>74</v>
      </c>
      <c r="BQ508" s="2" t="s">
        <v>74</v>
      </c>
      <c r="BR508" s="2" t="s">
        <v>74</v>
      </c>
      <c r="BS508" s="2" t="s">
        <v>2154</v>
      </c>
      <c r="BT508" s="2" t="str">
        <f>HYPERLINK("https%3A%2F%2Fwww.webofscience.com%2Fwos%2Fwoscc%2Ffull-record%2FWOS:A1981MW98300007","View Full Record in Web of Science")</f>
        <v>View Full Record in Web of Science</v>
      </c>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row>
    <row r="509" spans="1:314" s="2" customFormat="1" x14ac:dyDescent="0.4">
      <c r="A509" s="2" t="s">
        <v>72</v>
      </c>
      <c r="B509" s="2" t="s">
        <v>5192</v>
      </c>
      <c r="C509" s="2" t="s">
        <v>74</v>
      </c>
      <c r="D509" s="2" t="s">
        <v>74</v>
      </c>
      <c r="E509" s="2" t="s">
        <v>74</v>
      </c>
      <c r="F509" s="2" t="s">
        <v>5192</v>
      </c>
      <c r="G509" s="2" t="s">
        <v>74</v>
      </c>
      <c r="H509" s="2" t="s">
        <v>74</v>
      </c>
      <c r="I509" s="2" t="s">
        <v>5193</v>
      </c>
      <c r="J509" s="2" t="s">
        <v>5194</v>
      </c>
      <c r="K509" s="2" t="s">
        <v>74</v>
      </c>
      <c r="L509" s="2" t="s">
        <v>74</v>
      </c>
      <c r="M509" s="2" t="s">
        <v>74</v>
      </c>
      <c r="N509" s="2" t="s">
        <v>74</v>
      </c>
      <c r="O509" s="2" t="s">
        <v>74</v>
      </c>
      <c r="P509" s="2" t="s">
        <v>74</v>
      </c>
      <c r="Q509" s="2" t="s">
        <v>74</v>
      </c>
      <c r="R509" s="2" t="s">
        <v>74</v>
      </c>
      <c r="S509" s="2" t="s">
        <v>74</v>
      </c>
      <c r="T509" s="2" t="s">
        <v>74</v>
      </c>
      <c r="U509" s="2" t="s">
        <v>74</v>
      </c>
      <c r="V509" s="5" t="s">
        <v>5195</v>
      </c>
      <c r="W509" s="2" t="s">
        <v>74</v>
      </c>
      <c r="X509" s="2" t="s">
        <v>74</v>
      </c>
      <c r="Y509" s="2" t="s">
        <v>74</v>
      </c>
      <c r="Z509" s="2" t="s">
        <v>74</v>
      </c>
      <c r="AA509" s="2" t="s">
        <v>5196</v>
      </c>
      <c r="AB509" s="2" t="s">
        <v>5197</v>
      </c>
      <c r="AC509" s="2" t="s">
        <v>74</v>
      </c>
      <c r="AD509" s="2" t="s">
        <v>74</v>
      </c>
      <c r="AE509" s="2" t="s">
        <v>74</v>
      </c>
      <c r="AF509" s="2" t="s">
        <v>74</v>
      </c>
      <c r="AG509" s="2" t="s">
        <v>74</v>
      </c>
      <c r="AH509" s="2" t="s">
        <v>74</v>
      </c>
      <c r="AI509" s="2" t="s">
        <v>74</v>
      </c>
      <c r="AJ509" s="2" t="s">
        <v>74</v>
      </c>
      <c r="AK509" s="2" t="s">
        <v>74</v>
      </c>
      <c r="AL509" s="2" t="s">
        <v>74</v>
      </c>
      <c r="AM509" s="2" t="s">
        <v>74</v>
      </c>
      <c r="AN509" s="2" t="s">
        <v>74</v>
      </c>
      <c r="AO509" s="2" t="s">
        <v>5198</v>
      </c>
      <c r="AP509" s="2" t="s">
        <v>5199</v>
      </c>
      <c r="AQ509" s="2" t="s">
        <v>74</v>
      </c>
      <c r="AR509" s="2" t="s">
        <v>74</v>
      </c>
      <c r="AS509" s="2" t="s">
        <v>74</v>
      </c>
      <c r="AT509" s="2" t="s">
        <v>74</v>
      </c>
      <c r="AU509" s="2">
        <v>1985</v>
      </c>
      <c r="AV509" s="2">
        <v>20</v>
      </c>
      <c r="AW509" s="2">
        <v>3</v>
      </c>
      <c r="AX509" s="2" t="s">
        <v>74</v>
      </c>
      <c r="AY509" s="2" t="s">
        <v>74</v>
      </c>
      <c r="AZ509" s="2" t="s">
        <v>74</v>
      </c>
      <c r="BA509" s="2" t="s">
        <v>74</v>
      </c>
      <c r="BB509" s="2">
        <v>167</v>
      </c>
      <c r="BC509" s="2">
        <v>173</v>
      </c>
      <c r="BD509" s="2" t="s">
        <v>74</v>
      </c>
      <c r="BE509" s="2" t="s">
        <v>5200</v>
      </c>
      <c r="BF509" s="2" t="str">
        <f>HYPERLINK("http://dx.doi.org/10.1080/01650528509360685","http://dx.doi.org/10.1080/01650528509360685")</f>
        <v>http://dx.doi.org/10.1080/01650528509360685</v>
      </c>
      <c r="BG509" s="2" t="s">
        <v>74</v>
      </c>
      <c r="BH509" s="2" t="s">
        <v>74</v>
      </c>
      <c r="BI509" s="2" t="s">
        <v>74</v>
      </c>
      <c r="BJ509" s="2" t="s">
        <v>74</v>
      </c>
      <c r="BK509" s="2" t="s">
        <v>74</v>
      </c>
      <c r="BL509" s="2" t="s">
        <v>74</v>
      </c>
      <c r="BM509" s="2" t="s">
        <v>74</v>
      </c>
      <c r="BN509" s="2" t="s">
        <v>74</v>
      </c>
      <c r="BO509" s="2" t="s">
        <v>74</v>
      </c>
      <c r="BP509" s="2" t="s">
        <v>74</v>
      </c>
      <c r="BQ509" s="2" t="s">
        <v>74</v>
      </c>
      <c r="BR509" s="2" t="s">
        <v>74</v>
      </c>
      <c r="BS509" s="2" t="s">
        <v>5201</v>
      </c>
      <c r="BT509" s="2" t="str">
        <f>HYPERLINK("https%3A%2F%2Fwww.webofscience.com%2Fwos%2Fwoscc%2Ffull-record%2FWOS:A1985C168200004","View Full Record in Web of Science")</f>
        <v>View Full Record in Web of Science</v>
      </c>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row>
    <row r="510" spans="1:314" s="2" customFormat="1" x14ac:dyDescent="0.4">
      <c r="A510" s="2" t="s">
        <v>72</v>
      </c>
      <c r="B510" s="2" t="s">
        <v>8692</v>
      </c>
      <c r="C510" s="2" t="s">
        <v>74</v>
      </c>
      <c r="D510" s="2" t="s">
        <v>74</v>
      </c>
      <c r="E510" s="2" t="s">
        <v>74</v>
      </c>
      <c r="F510" s="2" t="s">
        <v>8693</v>
      </c>
      <c r="G510" s="2" t="s">
        <v>74</v>
      </c>
      <c r="H510" s="2" t="s">
        <v>74</v>
      </c>
      <c r="I510" s="2" t="s">
        <v>8694</v>
      </c>
      <c r="J510" s="2" t="s">
        <v>1656</v>
      </c>
      <c r="K510" s="2" t="s">
        <v>74</v>
      </c>
      <c r="L510" s="2" t="s">
        <v>74</v>
      </c>
      <c r="M510" s="2" t="s">
        <v>74</v>
      </c>
      <c r="N510" s="2" t="s">
        <v>74</v>
      </c>
      <c r="O510" s="2" t="s">
        <v>74</v>
      </c>
      <c r="P510" s="2" t="s">
        <v>74</v>
      </c>
      <c r="Q510" s="2" t="s">
        <v>74</v>
      </c>
      <c r="R510" s="2" t="s">
        <v>74</v>
      </c>
      <c r="S510" s="2" t="s">
        <v>74</v>
      </c>
      <c r="T510" s="2" t="s">
        <v>74</v>
      </c>
      <c r="U510" s="2" t="s">
        <v>74</v>
      </c>
      <c r="V510" s="5" t="s">
        <v>8695</v>
      </c>
      <c r="W510" s="2" t="s">
        <v>74</v>
      </c>
      <c r="X510" s="2" t="s">
        <v>74</v>
      </c>
      <c r="Y510" s="2" t="s">
        <v>74</v>
      </c>
      <c r="Z510" s="2" t="s">
        <v>74</v>
      </c>
      <c r="AA510" s="2" t="s">
        <v>8696</v>
      </c>
      <c r="AB510" s="2" t="s">
        <v>8697</v>
      </c>
      <c r="AC510" s="2" t="s">
        <v>74</v>
      </c>
      <c r="AD510" s="2" t="s">
        <v>74</v>
      </c>
      <c r="AE510" s="2" t="s">
        <v>74</v>
      </c>
      <c r="AF510" s="2" t="s">
        <v>74</v>
      </c>
      <c r="AG510" s="2" t="s">
        <v>74</v>
      </c>
      <c r="AH510" s="2" t="s">
        <v>74</v>
      </c>
      <c r="AI510" s="2" t="s">
        <v>74</v>
      </c>
      <c r="AJ510" s="2" t="s">
        <v>74</v>
      </c>
      <c r="AK510" s="2" t="s">
        <v>74</v>
      </c>
      <c r="AL510" s="2" t="s">
        <v>74</v>
      </c>
      <c r="AM510" s="2" t="s">
        <v>74</v>
      </c>
      <c r="AN510" s="2" t="s">
        <v>74</v>
      </c>
      <c r="AO510" s="2" t="s">
        <v>1658</v>
      </c>
      <c r="AP510" s="2" t="s">
        <v>1659</v>
      </c>
      <c r="AQ510" s="2" t="s">
        <v>74</v>
      </c>
      <c r="AR510" s="2" t="s">
        <v>74</v>
      </c>
      <c r="AS510" s="2" t="s">
        <v>74</v>
      </c>
      <c r="AT510" s="2" t="s">
        <v>4744</v>
      </c>
      <c r="AU510" s="2">
        <v>2016</v>
      </c>
      <c r="AV510" s="2">
        <v>4159</v>
      </c>
      <c r="AW510" s="2">
        <v>1</v>
      </c>
      <c r="AX510" s="2" t="s">
        <v>74</v>
      </c>
      <c r="AY510" s="2" t="s">
        <v>74</v>
      </c>
      <c r="AZ510" s="2" t="s">
        <v>74</v>
      </c>
      <c r="BA510" s="2" t="s">
        <v>74</v>
      </c>
      <c r="BB510" s="2">
        <v>1</v>
      </c>
      <c r="BC510" s="2">
        <v>219</v>
      </c>
      <c r="BD510" s="2" t="s">
        <v>74</v>
      </c>
      <c r="BE510" s="2" t="s">
        <v>8698</v>
      </c>
      <c r="BF510" s="2" t="str">
        <f>HYPERLINK("http://dx.doi.org/10.11646/zootaxa.4159.1.1","http://dx.doi.org/10.11646/zootaxa.4159.1.1")</f>
        <v>http://dx.doi.org/10.11646/zootaxa.4159.1.1</v>
      </c>
      <c r="BG510" s="2" t="s">
        <v>74</v>
      </c>
      <c r="BH510" s="2" t="s">
        <v>74</v>
      </c>
      <c r="BI510" s="2" t="s">
        <v>74</v>
      </c>
      <c r="BJ510" s="2" t="s">
        <v>74</v>
      </c>
      <c r="BK510" s="2" t="s">
        <v>74</v>
      </c>
      <c r="BL510" s="2" t="s">
        <v>74</v>
      </c>
      <c r="BM510" s="2" t="s">
        <v>74</v>
      </c>
      <c r="BN510" s="2">
        <v>27615907</v>
      </c>
      <c r="BO510" s="2" t="s">
        <v>74</v>
      </c>
      <c r="BP510" s="2" t="s">
        <v>74</v>
      </c>
      <c r="BQ510" s="2" t="s">
        <v>74</v>
      </c>
      <c r="BR510" s="2" t="s">
        <v>74</v>
      </c>
      <c r="BS510" s="2" t="s">
        <v>8699</v>
      </c>
      <c r="BT510" s="2" t="str">
        <f>HYPERLINK("https%3A%2F%2Fwww.webofscience.com%2Fwos%2Fwoscc%2Ffull-record%2FWOS:000382724900001","View Full Record in Web of Science")</f>
        <v>View Full Record in Web of Science</v>
      </c>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row>
    <row r="511" spans="1:314" s="2" customFormat="1" x14ac:dyDescent="0.4">
      <c r="A511" s="2" t="s">
        <v>72</v>
      </c>
      <c r="B511" s="2" t="s">
        <v>7169</v>
      </c>
      <c r="C511" s="2" t="s">
        <v>74</v>
      </c>
      <c r="D511" s="2" t="s">
        <v>74</v>
      </c>
      <c r="E511" s="2" t="s">
        <v>74</v>
      </c>
      <c r="F511" s="2" t="s">
        <v>7169</v>
      </c>
      <c r="G511" s="2" t="s">
        <v>74</v>
      </c>
      <c r="H511" s="2" t="s">
        <v>74</v>
      </c>
      <c r="I511" s="2" t="s">
        <v>7170</v>
      </c>
      <c r="J511" s="2" t="s">
        <v>3238</v>
      </c>
      <c r="K511" s="2" t="s">
        <v>74</v>
      </c>
      <c r="L511" s="2" t="s">
        <v>74</v>
      </c>
      <c r="M511" s="2" t="s">
        <v>74</v>
      </c>
      <c r="N511" s="2" t="s">
        <v>74</v>
      </c>
      <c r="O511" s="2" t="s">
        <v>74</v>
      </c>
      <c r="P511" s="2" t="s">
        <v>74</v>
      </c>
      <c r="Q511" s="2" t="s">
        <v>74</v>
      </c>
      <c r="R511" s="2" t="s">
        <v>74</v>
      </c>
      <c r="S511" s="2" t="s">
        <v>74</v>
      </c>
      <c r="T511" s="2" t="s">
        <v>74</v>
      </c>
      <c r="U511" s="2" t="s">
        <v>74</v>
      </c>
      <c r="V511" s="5" t="s">
        <v>7171</v>
      </c>
      <c r="W511" s="2" t="s">
        <v>74</v>
      </c>
      <c r="X511" s="2" t="s">
        <v>74</v>
      </c>
      <c r="Y511" s="2" t="s">
        <v>74</v>
      </c>
      <c r="Z511" s="2" t="s">
        <v>74</v>
      </c>
      <c r="AA511" s="2" t="s">
        <v>74</v>
      </c>
      <c r="AB511" s="2" t="s">
        <v>7172</v>
      </c>
      <c r="AC511" s="2" t="s">
        <v>74</v>
      </c>
      <c r="AD511" s="2" t="s">
        <v>74</v>
      </c>
      <c r="AE511" s="2" t="s">
        <v>74</v>
      </c>
      <c r="AF511" s="2" t="s">
        <v>74</v>
      </c>
      <c r="AG511" s="2" t="s">
        <v>74</v>
      </c>
      <c r="AH511" s="2" t="s">
        <v>74</v>
      </c>
      <c r="AI511" s="2" t="s">
        <v>74</v>
      </c>
      <c r="AJ511" s="2" t="s">
        <v>74</v>
      </c>
      <c r="AK511" s="2" t="s">
        <v>74</v>
      </c>
      <c r="AL511" s="2" t="s">
        <v>74</v>
      </c>
      <c r="AM511" s="2" t="s">
        <v>74</v>
      </c>
      <c r="AN511" s="2" t="s">
        <v>74</v>
      </c>
      <c r="AO511" s="2" t="s">
        <v>3240</v>
      </c>
      <c r="AP511" s="2" t="s">
        <v>74</v>
      </c>
      <c r="AQ511" s="2" t="s">
        <v>74</v>
      </c>
      <c r="AR511" s="2" t="s">
        <v>74</v>
      </c>
      <c r="AS511" s="2" t="s">
        <v>74</v>
      </c>
      <c r="AT511" s="2" t="s">
        <v>123</v>
      </c>
      <c r="AU511" s="2">
        <v>2002</v>
      </c>
      <c r="AV511" s="2">
        <v>95</v>
      </c>
      <c r="AW511" s="2">
        <v>2</v>
      </c>
      <c r="AX511" s="2" t="s">
        <v>74</v>
      </c>
      <c r="AY511" s="2" t="s">
        <v>74</v>
      </c>
      <c r="AZ511" s="2" t="s">
        <v>74</v>
      </c>
      <c r="BA511" s="2" t="s">
        <v>74</v>
      </c>
      <c r="BB511" s="2">
        <v>172</v>
      </c>
      <c r="BC511" s="2">
        <v>191</v>
      </c>
      <c r="BD511" s="2" t="s">
        <v>74</v>
      </c>
      <c r="BE511" s="2" t="s">
        <v>7173</v>
      </c>
      <c r="BF511" s="2" t="str">
        <f>HYPERLINK("http://dx.doi.org/10.1603/0013-8746(2002)095[0172:DTTCCI]2.0.CO;2","http://dx.doi.org/10.1603/0013-8746(2002)095[0172:DTTCCI]2.0.CO;2")</f>
        <v>http://dx.doi.org/10.1603/0013-8746(2002)095[0172:DTTCCI]2.0.CO;2</v>
      </c>
      <c r="BG511" s="2" t="s">
        <v>74</v>
      </c>
      <c r="BH511" s="2" t="s">
        <v>74</v>
      </c>
      <c r="BI511" s="2" t="s">
        <v>74</v>
      </c>
      <c r="BJ511" s="2" t="s">
        <v>74</v>
      </c>
      <c r="BK511" s="2" t="s">
        <v>74</v>
      </c>
      <c r="BL511" s="2" t="s">
        <v>74</v>
      </c>
      <c r="BM511" s="2" t="s">
        <v>74</v>
      </c>
      <c r="BN511" s="2" t="s">
        <v>74</v>
      </c>
      <c r="BO511" s="2" t="s">
        <v>74</v>
      </c>
      <c r="BP511" s="2" t="s">
        <v>74</v>
      </c>
      <c r="BQ511" s="2" t="s">
        <v>74</v>
      </c>
      <c r="BR511" s="2" t="s">
        <v>74</v>
      </c>
      <c r="BS511" s="2" t="s">
        <v>7174</v>
      </c>
      <c r="BT511" s="2" t="str">
        <f>HYPERLINK("https%3A%2F%2Fwww.webofscience.com%2Fwos%2Fwoscc%2Ffull-record%2FWOS:000178373100006","View Full Record in Web of Science")</f>
        <v>View Full Record in Web of Science</v>
      </c>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row>
    <row r="512" spans="1:314" s="2" customFormat="1" x14ac:dyDescent="0.4">
      <c r="A512" s="2" t="s">
        <v>72</v>
      </c>
      <c r="B512" s="2" t="s">
        <v>8504</v>
      </c>
      <c r="C512" s="2" t="s">
        <v>74</v>
      </c>
      <c r="D512" s="2" t="s">
        <v>74</v>
      </c>
      <c r="E512" s="2" t="s">
        <v>74</v>
      </c>
      <c r="F512" s="2" t="s">
        <v>8505</v>
      </c>
      <c r="G512" s="2" t="s">
        <v>74</v>
      </c>
      <c r="H512" s="2" t="s">
        <v>74</v>
      </c>
      <c r="I512" s="2" t="s">
        <v>8506</v>
      </c>
      <c r="J512" s="2" t="s">
        <v>2847</v>
      </c>
      <c r="K512" s="2" t="s">
        <v>74</v>
      </c>
      <c r="L512" s="2" t="s">
        <v>74</v>
      </c>
      <c r="M512" s="2" t="s">
        <v>74</v>
      </c>
      <c r="N512" s="2" t="s">
        <v>74</v>
      </c>
      <c r="O512" s="2" t="s">
        <v>74</v>
      </c>
      <c r="P512" s="2" t="s">
        <v>74</v>
      </c>
      <c r="Q512" s="2" t="s">
        <v>74</v>
      </c>
      <c r="R512" s="2" t="s">
        <v>74</v>
      </c>
      <c r="S512" s="2" t="s">
        <v>74</v>
      </c>
      <c r="T512" s="2" t="s">
        <v>74</v>
      </c>
      <c r="U512" s="2" t="s">
        <v>74</v>
      </c>
      <c r="V512" s="5" t="s">
        <v>8507</v>
      </c>
      <c r="W512" s="2" t="s">
        <v>74</v>
      </c>
      <c r="X512" s="2" t="s">
        <v>74</v>
      </c>
      <c r="Y512" s="2" t="s">
        <v>74</v>
      </c>
      <c r="Z512" s="2" t="s">
        <v>74</v>
      </c>
      <c r="AA512" s="2" t="s">
        <v>8508</v>
      </c>
      <c r="AB512" s="2" t="s">
        <v>8509</v>
      </c>
      <c r="AC512" s="2" t="s">
        <v>74</v>
      </c>
      <c r="AD512" s="2" t="s">
        <v>74</v>
      </c>
      <c r="AE512" s="2" t="s">
        <v>74</v>
      </c>
      <c r="AF512" s="2" t="s">
        <v>74</v>
      </c>
      <c r="AG512" s="2" t="s">
        <v>74</v>
      </c>
      <c r="AH512" s="2" t="s">
        <v>74</v>
      </c>
      <c r="AI512" s="2" t="s">
        <v>74</v>
      </c>
      <c r="AJ512" s="2" t="s">
        <v>74</v>
      </c>
      <c r="AK512" s="2" t="s">
        <v>74</v>
      </c>
      <c r="AL512" s="2" t="s">
        <v>74</v>
      </c>
      <c r="AM512" s="2" t="s">
        <v>74</v>
      </c>
      <c r="AN512" s="2" t="s">
        <v>74</v>
      </c>
      <c r="AO512" s="2" t="s">
        <v>2849</v>
      </c>
      <c r="AP512" s="2" t="s">
        <v>2850</v>
      </c>
      <c r="AQ512" s="2" t="s">
        <v>74</v>
      </c>
      <c r="AR512" s="2" t="s">
        <v>74</v>
      </c>
      <c r="AS512" s="2" t="s">
        <v>74</v>
      </c>
      <c r="AT512" s="2" t="s">
        <v>4744</v>
      </c>
      <c r="AU512" s="2">
        <v>2012</v>
      </c>
      <c r="AV512" s="2">
        <v>426</v>
      </c>
      <c r="AW512" s="2" t="s">
        <v>74</v>
      </c>
      <c r="AX512" s="2" t="s">
        <v>74</v>
      </c>
      <c r="AY512" s="2" t="s">
        <v>74</v>
      </c>
      <c r="AZ512" s="2" t="s">
        <v>74</v>
      </c>
      <c r="BA512" s="2" t="s">
        <v>74</v>
      </c>
      <c r="BB512" s="2">
        <v>1</v>
      </c>
      <c r="BC512" s="2">
        <v>4</v>
      </c>
      <c r="BD512" s="2" t="s">
        <v>74</v>
      </c>
      <c r="BE512" s="2" t="s">
        <v>8510</v>
      </c>
      <c r="BF512" s="2" t="str">
        <f>HYPERLINK("http://dx.doi.org/10.1016/j.jembe.2012.05.011","http://dx.doi.org/10.1016/j.jembe.2012.05.011")</f>
        <v>http://dx.doi.org/10.1016/j.jembe.2012.05.011</v>
      </c>
      <c r="BG512" s="2" t="s">
        <v>74</v>
      </c>
      <c r="BH512" s="2" t="s">
        <v>74</v>
      </c>
      <c r="BI512" s="2" t="s">
        <v>74</v>
      </c>
      <c r="BJ512" s="2" t="s">
        <v>74</v>
      </c>
      <c r="BK512" s="2" t="s">
        <v>74</v>
      </c>
      <c r="BL512" s="2" t="s">
        <v>74</v>
      </c>
      <c r="BM512" s="2" t="s">
        <v>74</v>
      </c>
      <c r="BN512" s="2" t="s">
        <v>74</v>
      </c>
      <c r="BO512" s="2" t="s">
        <v>74</v>
      </c>
      <c r="BP512" s="2" t="s">
        <v>74</v>
      </c>
      <c r="BQ512" s="2" t="s">
        <v>74</v>
      </c>
      <c r="BR512" s="2" t="s">
        <v>74</v>
      </c>
      <c r="BS512" s="2" t="s">
        <v>8511</v>
      </c>
      <c r="BT512" s="2" t="str">
        <f>HYPERLINK("https%3A%2F%2Fwww.webofscience.com%2Fwos%2Fwoscc%2Ffull-record%2FWOS:000306623700001","View Full Record in Web of Science")</f>
        <v>View Full Record in Web of Science</v>
      </c>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row>
    <row r="513" spans="1:314" s="2" customFormat="1" x14ac:dyDescent="0.4">
      <c r="A513" s="2" t="s">
        <v>72</v>
      </c>
      <c r="B513" s="2" t="s">
        <v>1644</v>
      </c>
      <c r="C513" s="2" t="s">
        <v>74</v>
      </c>
      <c r="D513" s="2" t="s">
        <v>74</v>
      </c>
      <c r="E513" s="2" t="s">
        <v>74</v>
      </c>
      <c r="F513" s="2" t="s">
        <v>1645</v>
      </c>
      <c r="G513" s="2" t="s">
        <v>74</v>
      </c>
      <c r="H513" s="2" t="s">
        <v>74</v>
      </c>
      <c r="I513" s="2" t="s">
        <v>1646</v>
      </c>
      <c r="J513" s="2" t="s">
        <v>1647</v>
      </c>
      <c r="K513" s="2" t="s">
        <v>74</v>
      </c>
      <c r="L513" s="2" t="s">
        <v>74</v>
      </c>
      <c r="M513" s="2" t="s">
        <v>74</v>
      </c>
      <c r="N513" s="2" t="s">
        <v>74</v>
      </c>
      <c r="O513" s="2" t="s">
        <v>74</v>
      </c>
      <c r="P513" s="2" t="s">
        <v>74</v>
      </c>
      <c r="Q513" s="2" t="s">
        <v>74</v>
      </c>
      <c r="R513" s="2" t="s">
        <v>74</v>
      </c>
      <c r="S513" s="2" t="s">
        <v>74</v>
      </c>
      <c r="T513" s="2" t="s">
        <v>74</v>
      </c>
      <c r="U513" s="2" t="s">
        <v>74</v>
      </c>
      <c r="V513" s="5" t="s">
        <v>1648</v>
      </c>
      <c r="W513" s="2" t="s">
        <v>74</v>
      </c>
      <c r="X513" s="2" t="s">
        <v>74</v>
      </c>
      <c r="Y513" s="2" t="s">
        <v>74</v>
      </c>
      <c r="Z513" s="2" t="s">
        <v>74</v>
      </c>
      <c r="AA513" s="2" t="s">
        <v>74</v>
      </c>
      <c r="AB513" s="2" t="s">
        <v>74</v>
      </c>
      <c r="AC513" s="2" t="s">
        <v>74</v>
      </c>
      <c r="AD513" s="2" t="s">
        <v>74</v>
      </c>
      <c r="AE513" s="2" t="s">
        <v>74</v>
      </c>
      <c r="AF513" s="2" t="s">
        <v>74</v>
      </c>
      <c r="AG513" s="2" t="s">
        <v>74</v>
      </c>
      <c r="AH513" s="2" t="s">
        <v>74</v>
      </c>
      <c r="AI513" s="2" t="s">
        <v>74</v>
      </c>
      <c r="AJ513" s="2" t="s">
        <v>74</v>
      </c>
      <c r="AK513" s="2" t="s">
        <v>74</v>
      </c>
      <c r="AL513" s="2" t="s">
        <v>74</v>
      </c>
      <c r="AM513" s="2" t="s">
        <v>74</v>
      </c>
      <c r="AN513" s="2" t="s">
        <v>74</v>
      </c>
      <c r="AO513" s="2" t="s">
        <v>1649</v>
      </c>
      <c r="AP513" s="2" t="s">
        <v>74</v>
      </c>
      <c r="AQ513" s="2" t="s">
        <v>74</v>
      </c>
      <c r="AR513" s="2" t="s">
        <v>74</v>
      </c>
      <c r="AS513" s="2" t="s">
        <v>74</v>
      </c>
      <c r="AT513" s="2" t="s">
        <v>1650</v>
      </c>
      <c r="AU513" s="2">
        <v>2018</v>
      </c>
      <c r="AV513" s="2">
        <v>69</v>
      </c>
      <c r="AW513" s="2">
        <v>2</v>
      </c>
      <c r="AX513" s="2" t="s">
        <v>74</v>
      </c>
      <c r="AY513" s="2" t="s">
        <v>74</v>
      </c>
      <c r="AZ513" s="2" t="s">
        <v>74</v>
      </c>
      <c r="BA513" s="2" t="s">
        <v>74</v>
      </c>
      <c r="BB513" s="2">
        <v>951</v>
      </c>
      <c r="BC513" s="2">
        <v>958</v>
      </c>
      <c r="BD513" s="2" t="s">
        <v>74</v>
      </c>
      <c r="BE513" s="2" t="s">
        <v>1651</v>
      </c>
      <c r="BF513" s="2" t="str">
        <f>HYPERLINK("http://dx.doi.org/10.12681/jhvms.18017","http://dx.doi.org/10.12681/jhvms.18017")</f>
        <v>http://dx.doi.org/10.12681/jhvms.18017</v>
      </c>
      <c r="BG513" s="2" t="s">
        <v>74</v>
      </c>
      <c r="BH513" s="2" t="s">
        <v>74</v>
      </c>
      <c r="BI513" s="2" t="s">
        <v>74</v>
      </c>
      <c r="BJ513" s="2" t="s">
        <v>74</v>
      </c>
      <c r="BK513" s="2" t="s">
        <v>74</v>
      </c>
      <c r="BL513" s="2" t="s">
        <v>74</v>
      </c>
      <c r="BM513" s="2" t="s">
        <v>74</v>
      </c>
      <c r="BN513" s="2" t="s">
        <v>74</v>
      </c>
      <c r="BO513" s="2" t="s">
        <v>74</v>
      </c>
      <c r="BP513" s="2" t="s">
        <v>74</v>
      </c>
      <c r="BQ513" s="2" t="s">
        <v>74</v>
      </c>
      <c r="BR513" s="2" t="s">
        <v>74</v>
      </c>
      <c r="BS513" s="2" t="s">
        <v>1652</v>
      </c>
      <c r="BT513" s="2" t="str">
        <f>HYPERLINK("https%3A%2F%2Fwww.webofscience.com%2Fwos%2Fwoscc%2Ffull-record%2FWOS:000439066300006","View Full Record in Web of Science")</f>
        <v>View Full Record in Web of Science</v>
      </c>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row>
    <row r="514" spans="1:314" s="2" customFormat="1" x14ac:dyDescent="0.4">
      <c r="A514" s="2" t="s">
        <v>72</v>
      </c>
      <c r="B514" s="2" t="s">
        <v>6168</v>
      </c>
      <c r="C514" s="2" t="s">
        <v>74</v>
      </c>
      <c r="D514" s="2" t="s">
        <v>74</v>
      </c>
      <c r="E514" s="2" t="s">
        <v>74</v>
      </c>
      <c r="F514" s="2" t="s">
        <v>6168</v>
      </c>
      <c r="G514" s="2" t="s">
        <v>74</v>
      </c>
      <c r="H514" s="2" t="s">
        <v>74</v>
      </c>
      <c r="I514" s="2" t="s">
        <v>6169</v>
      </c>
      <c r="J514" s="2" t="s">
        <v>201</v>
      </c>
      <c r="K514" s="2" t="s">
        <v>74</v>
      </c>
      <c r="L514" s="2" t="s">
        <v>74</v>
      </c>
      <c r="M514" s="2" t="s">
        <v>74</v>
      </c>
      <c r="N514" s="2" t="s">
        <v>74</v>
      </c>
      <c r="O514" s="2" t="s">
        <v>74</v>
      </c>
      <c r="P514" s="2" t="s">
        <v>74</v>
      </c>
      <c r="Q514" s="2" t="s">
        <v>74</v>
      </c>
      <c r="R514" s="2" t="s">
        <v>74</v>
      </c>
      <c r="S514" s="2" t="s">
        <v>74</v>
      </c>
      <c r="T514" s="2" t="s">
        <v>74</v>
      </c>
      <c r="U514" s="2" t="s">
        <v>74</v>
      </c>
      <c r="V514" s="5" t="s">
        <v>6170</v>
      </c>
      <c r="W514" s="2" t="s">
        <v>74</v>
      </c>
      <c r="X514" s="2" t="s">
        <v>74</v>
      </c>
      <c r="Y514" s="2" t="s">
        <v>74</v>
      </c>
      <c r="Z514" s="2" t="s">
        <v>74</v>
      </c>
      <c r="AA514" s="2" t="s">
        <v>6171</v>
      </c>
      <c r="AB514" s="2" t="s">
        <v>6172</v>
      </c>
      <c r="AC514" s="2" t="s">
        <v>74</v>
      </c>
      <c r="AD514" s="2" t="s">
        <v>74</v>
      </c>
      <c r="AE514" s="2" t="s">
        <v>74</v>
      </c>
      <c r="AF514" s="2" t="s">
        <v>74</v>
      </c>
      <c r="AG514" s="2" t="s">
        <v>74</v>
      </c>
      <c r="AH514" s="2" t="s">
        <v>74</v>
      </c>
      <c r="AI514" s="2" t="s">
        <v>74</v>
      </c>
      <c r="AJ514" s="2" t="s">
        <v>74</v>
      </c>
      <c r="AK514" s="2" t="s">
        <v>74</v>
      </c>
      <c r="AL514" s="2" t="s">
        <v>74</v>
      </c>
      <c r="AM514" s="2" t="s">
        <v>74</v>
      </c>
      <c r="AN514" s="2" t="s">
        <v>74</v>
      </c>
      <c r="AO514" s="2" t="s">
        <v>203</v>
      </c>
      <c r="AP514" s="2" t="s">
        <v>1192</v>
      </c>
      <c r="AQ514" s="2" t="s">
        <v>74</v>
      </c>
      <c r="AR514" s="2" t="s">
        <v>74</v>
      </c>
      <c r="AS514" s="2" t="s">
        <v>74</v>
      </c>
      <c r="AT514" s="2" t="s">
        <v>964</v>
      </c>
      <c r="AU514" s="2">
        <v>2006</v>
      </c>
      <c r="AV514" s="2">
        <v>68</v>
      </c>
      <c r="AW514" s="2">
        <v>2</v>
      </c>
      <c r="AX514" s="2" t="s">
        <v>74</v>
      </c>
      <c r="AY514" s="2" t="s">
        <v>74</v>
      </c>
      <c r="AZ514" s="2" t="s">
        <v>74</v>
      </c>
      <c r="BA514" s="2" t="s">
        <v>74</v>
      </c>
      <c r="BB514" s="2">
        <v>555</v>
      </c>
      <c r="BC514" s="2">
        <v>568</v>
      </c>
      <c r="BD514" s="2" t="s">
        <v>74</v>
      </c>
      <c r="BE514" s="2" t="s">
        <v>6173</v>
      </c>
      <c r="BF514" s="2" t="str">
        <f>HYPERLINK("http://dx.doi.org/10.1111/j.0022-1112.2006.00941.x","http://dx.doi.org/10.1111/j.0022-1112.2006.00941.x")</f>
        <v>http://dx.doi.org/10.1111/j.0022-1112.2006.00941.x</v>
      </c>
      <c r="BG514" s="2" t="s">
        <v>74</v>
      </c>
      <c r="BH514" s="2" t="s">
        <v>74</v>
      </c>
      <c r="BI514" s="2" t="s">
        <v>74</v>
      </c>
      <c r="BJ514" s="2" t="s">
        <v>74</v>
      </c>
      <c r="BK514" s="2" t="s">
        <v>74</v>
      </c>
      <c r="BL514" s="2" t="s">
        <v>74</v>
      </c>
      <c r="BM514" s="2" t="s">
        <v>74</v>
      </c>
      <c r="BN514" s="2" t="s">
        <v>74</v>
      </c>
      <c r="BO514" s="2" t="s">
        <v>74</v>
      </c>
      <c r="BP514" s="2" t="s">
        <v>74</v>
      </c>
      <c r="BQ514" s="2" t="s">
        <v>74</v>
      </c>
      <c r="BR514" s="2" t="s">
        <v>74</v>
      </c>
      <c r="BS514" s="2" t="s">
        <v>6174</v>
      </c>
      <c r="BT514" s="2" t="str">
        <f>HYPERLINK("https%3A%2F%2Fwww.webofscience.com%2Fwos%2Fwoscc%2Ffull-record%2FWOS:000235469400016","View Full Record in Web of Science")</f>
        <v>View Full Record in Web of Science</v>
      </c>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row>
    <row r="515" spans="1:314" s="2" customFormat="1" x14ac:dyDescent="0.4">
      <c r="A515" s="2" t="s">
        <v>72</v>
      </c>
      <c r="B515" s="2" t="s">
        <v>1229</v>
      </c>
      <c r="C515" s="2" t="s">
        <v>74</v>
      </c>
      <c r="D515" s="2" t="s">
        <v>74</v>
      </c>
      <c r="E515" s="2" t="s">
        <v>74</v>
      </c>
      <c r="F515" s="2" t="s">
        <v>1229</v>
      </c>
      <c r="G515" s="2" t="s">
        <v>74</v>
      </c>
      <c r="H515" s="2" t="s">
        <v>74</v>
      </c>
      <c r="I515" s="2" t="s">
        <v>1230</v>
      </c>
      <c r="J515" s="2" t="s">
        <v>119</v>
      </c>
      <c r="K515" s="2" t="s">
        <v>74</v>
      </c>
      <c r="L515" s="2" t="s">
        <v>74</v>
      </c>
      <c r="M515" s="2" t="s">
        <v>74</v>
      </c>
      <c r="N515" s="2" t="s">
        <v>74</v>
      </c>
      <c r="O515" s="2" t="s">
        <v>74</v>
      </c>
      <c r="P515" s="2" t="s">
        <v>74</v>
      </c>
      <c r="Q515" s="2" t="s">
        <v>74</v>
      </c>
      <c r="R515" s="2" t="s">
        <v>74</v>
      </c>
      <c r="S515" s="2" t="s">
        <v>74</v>
      </c>
      <c r="T515" s="2" t="s">
        <v>74</v>
      </c>
      <c r="U515" s="2" t="s">
        <v>74</v>
      </c>
      <c r="V515" s="5" t="s">
        <v>1231</v>
      </c>
      <c r="W515" s="2" t="s">
        <v>74</v>
      </c>
      <c r="X515" s="2" t="s">
        <v>74</v>
      </c>
      <c r="Y515" s="2" t="s">
        <v>74</v>
      </c>
      <c r="Z515" s="2" t="s">
        <v>74</v>
      </c>
      <c r="AA515" s="2" t="s">
        <v>1232</v>
      </c>
      <c r="AB515" s="2" t="s">
        <v>74</v>
      </c>
      <c r="AC515" s="2" t="s">
        <v>74</v>
      </c>
      <c r="AD515" s="2" t="s">
        <v>74</v>
      </c>
      <c r="AE515" s="2" t="s">
        <v>74</v>
      </c>
      <c r="AF515" s="2" t="s">
        <v>74</v>
      </c>
      <c r="AG515" s="2" t="s">
        <v>74</v>
      </c>
      <c r="AH515" s="2" t="s">
        <v>74</v>
      </c>
      <c r="AI515" s="2" t="s">
        <v>74</v>
      </c>
      <c r="AJ515" s="2" t="s">
        <v>74</v>
      </c>
      <c r="AK515" s="2" t="s">
        <v>74</v>
      </c>
      <c r="AL515" s="2" t="s">
        <v>74</v>
      </c>
      <c r="AM515" s="2" t="s">
        <v>74</v>
      </c>
      <c r="AN515" s="2" t="s">
        <v>74</v>
      </c>
      <c r="AO515" s="2" t="s">
        <v>121</v>
      </c>
      <c r="AP515" s="2" t="s">
        <v>74</v>
      </c>
      <c r="AQ515" s="2" t="s">
        <v>74</v>
      </c>
      <c r="AR515" s="2" t="s">
        <v>74</v>
      </c>
      <c r="AS515" s="2" t="s">
        <v>74</v>
      </c>
      <c r="AT515" s="2" t="s">
        <v>102</v>
      </c>
      <c r="AU515" s="2">
        <v>1998</v>
      </c>
      <c r="AV515" s="2">
        <v>43</v>
      </c>
      <c r="AW515" s="2">
        <v>3</v>
      </c>
      <c r="AX515" s="2" t="s">
        <v>74</v>
      </c>
      <c r="AY515" s="2" t="s">
        <v>74</v>
      </c>
      <c r="AZ515" s="2" t="s">
        <v>74</v>
      </c>
      <c r="BA515" s="2" t="s">
        <v>74</v>
      </c>
      <c r="BB515" s="2">
        <v>251</v>
      </c>
      <c r="BC515" s="2">
        <v>255</v>
      </c>
      <c r="BD515" s="2" t="s">
        <v>74</v>
      </c>
      <c r="BE515" s="2" t="s">
        <v>1233</v>
      </c>
      <c r="BF515" s="2" t="str">
        <f>HYPERLINK("http://dx.doi.org/10.1016/S0376-6357(98)00006-0","http://dx.doi.org/10.1016/S0376-6357(98)00006-0")</f>
        <v>http://dx.doi.org/10.1016/S0376-6357(98)00006-0</v>
      </c>
      <c r="BG515" s="2" t="s">
        <v>74</v>
      </c>
      <c r="BH515" s="2" t="s">
        <v>74</v>
      </c>
      <c r="BI515" s="2" t="s">
        <v>74</v>
      </c>
      <c r="BJ515" s="2" t="s">
        <v>74</v>
      </c>
      <c r="BK515" s="2" t="s">
        <v>74</v>
      </c>
      <c r="BL515" s="2" t="s">
        <v>74</v>
      </c>
      <c r="BM515" s="2" t="s">
        <v>74</v>
      </c>
      <c r="BN515" s="2">
        <v>24896492</v>
      </c>
      <c r="BO515" s="2" t="s">
        <v>74</v>
      </c>
      <c r="BP515" s="2" t="s">
        <v>74</v>
      </c>
      <c r="BQ515" s="2" t="s">
        <v>74</v>
      </c>
      <c r="BR515" s="2" t="s">
        <v>74</v>
      </c>
      <c r="BS515" s="2" t="s">
        <v>1234</v>
      </c>
      <c r="BT515" s="2" t="str">
        <f>HYPERLINK("https%3A%2F%2Fwww.webofscience.com%2Fwos%2Fwoscc%2Ffull-record%2FWOS:000075498300002","View Full Record in Web of Science")</f>
        <v>View Full Record in Web of Science</v>
      </c>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row>
    <row r="516" spans="1:314" s="2" customFormat="1" x14ac:dyDescent="0.4">
      <c r="A516" s="2" t="s">
        <v>72</v>
      </c>
      <c r="B516" s="2" t="s">
        <v>3905</v>
      </c>
      <c r="C516" s="2" t="s">
        <v>74</v>
      </c>
      <c r="D516" s="2" t="s">
        <v>74</v>
      </c>
      <c r="E516" s="2" t="s">
        <v>74</v>
      </c>
      <c r="F516" s="2" t="s">
        <v>3906</v>
      </c>
      <c r="G516" s="2" t="s">
        <v>74</v>
      </c>
      <c r="H516" s="2" t="s">
        <v>74</v>
      </c>
      <c r="I516" s="2" t="s">
        <v>3907</v>
      </c>
      <c r="J516" s="2" t="s">
        <v>129</v>
      </c>
      <c r="K516" s="2" t="s">
        <v>74</v>
      </c>
      <c r="L516" s="2" t="s">
        <v>74</v>
      </c>
      <c r="M516" s="2" t="s">
        <v>74</v>
      </c>
      <c r="N516" s="2" t="s">
        <v>74</v>
      </c>
      <c r="O516" s="2" t="s">
        <v>74</v>
      </c>
      <c r="P516" s="2" t="s">
        <v>74</v>
      </c>
      <c r="Q516" s="2" t="s">
        <v>74</v>
      </c>
      <c r="R516" s="2" t="s">
        <v>74</v>
      </c>
      <c r="S516" s="2" t="s">
        <v>74</v>
      </c>
      <c r="T516" s="2" t="s">
        <v>74</v>
      </c>
      <c r="U516" s="2" t="s">
        <v>74</v>
      </c>
      <c r="V516" s="5" t="s">
        <v>3908</v>
      </c>
      <c r="W516" s="2" t="s">
        <v>74</v>
      </c>
      <c r="X516" s="2" t="s">
        <v>74</v>
      </c>
      <c r="Y516" s="2" t="s">
        <v>74</v>
      </c>
      <c r="Z516" s="2" t="s">
        <v>74</v>
      </c>
      <c r="AA516" s="2" t="s">
        <v>3909</v>
      </c>
      <c r="AB516" s="2" t="s">
        <v>3910</v>
      </c>
      <c r="AC516" s="2" t="s">
        <v>74</v>
      </c>
      <c r="AD516" s="2" t="s">
        <v>74</v>
      </c>
      <c r="AE516" s="2" t="s">
        <v>74</v>
      </c>
      <c r="AF516" s="2" t="s">
        <v>74</v>
      </c>
      <c r="AG516" s="2" t="s">
        <v>74</v>
      </c>
      <c r="AH516" s="2" t="s">
        <v>74</v>
      </c>
      <c r="AI516" s="2" t="s">
        <v>74</v>
      </c>
      <c r="AJ516" s="2" t="s">
        <v>74</v>
      </c>
      <c r="AK516" s="2" t="s">
        <v>74</v>
      </c>
      <c r="AL516" s="2" t="s">
        <v>74</v>
      </c>
      <c r="AM516" s="2" t="s">
        <v>74</v>
      </c>
      <c r="AN516" s="2" t="s">
        <v>74</v>
      </c>
      <c r="AO516" s="2" t="s">
        <v>132</v>
      </c>
      <c r="AP516" s="2" t="s">
        <v>74</v>
      </c>
      <c r="AQ516" s="2" t="s">
        <v>74</v>
      </c>
      <c r="AR516" s="2" t="s">
        <v>74</v>
      </c>
      <c r="AS516" s="2" t="s">
        <v>74</v>
      </c>
      <c r="AT516" s="2" t="s">
        <v>204</v>
      </c>
      <c r="AU516" s="2">
        <v>2011</v>
      </c>
      <c r="AV516" s="2">
        <v>65</v>
      </c>
      <c r="AW516" s="2">
        <v>7</v>
      </c>
      <c r="AX516" s="2" t="s">
        <v>74</v>
      </c>
      <c r="AY516" s="2" t="s">
        <v>74</v>
      </c>
      <c r="AZ516" s="2" t="s">
        <v>74</v>
      </c>
      <c r="BA516" s="2" t="s">
        <v>74</v>
      </c>
      <c r="BB516" s="2">
        <v>1403</v>
      </c>
      <c r="BC516" s="2">
        <v>1410</v>
      </c>
      <c r="BD516" s="2" t="s">
        <v>74</v>
      </c>
      <c r="BE516" s="2" t="s">
        <v>3911</v>
      </c>
      <c r="BF516" s="2" t="str">
        <f>HYPERLINK("http://dx.doi.org/10.1007/s00265-011-1150-1","http://dx.doi.org/10.1007/s00265-011-1150-1")</f>
        <v>http://dx.doi.org/10.1007/s00265-011-1150-1</v>
      </c>
      <c r="BG516" s="2" t="s">
        <v>74</v>
      </c>
      <c r="BH516" s="2" t="s">
        <v>74</v>
      </c>
      <c r="BI516" s="2" t="s">
        <v>74</v>
      </c>
      <c r="BJ516" s="2" t="s">
        <v>74</v>
      </c>
      <c r="BK516" s="2" t="s">
        <v>74</v>
      </c>
      <c r="BL516" s="2" t="s">
        <v>74</v>
      </c>
      <c r="BM516" s="2" t="s">
        <v>74</v>
      </c>
      <c r="BN516" s="2" t="s">
        <v>74</v>
      </c>
      <c r="BO516" s="2" t="s">
        <v>74</v>
      </c>
      <c r="BP516" s="2" t="s">
        <v>74</v>
      </c>
      <c r="BQ516" s="2" t="s">
        <v>74</v>
      </c>
      <c r="BR516" s="2" t="s">
        <v>74</v>
      </c>
      <c r="BS516" s="2" t="s">
        <v>3912</v>
      </c>
      <c r="BT516" s="2" t="str">
        <f>HYPERLINK("https%3A%2F%2Fwww.webofscience.com%2Fwos%2Fwoscc%2Ffull-record%2FWOS:000291654000006","View Full Record in Web of Science")</f>
        <v>View Full Record in Web of Science</v>
      </c>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row>
    <row r="517" spans="1:314" s="2" customFormat="1" x14ac:dyDescent="0.4">
      <c r="A517" s="2" t="s">
        <v>72</v>
      </c>
      <c r="B517" s="2" t="s">
        <v>472</v>
      </c>
      <c r="C517" s="2" t="s">
        <v>74</v>
      </c>
      <c r="D517" s="2" t="s">
        <v>74</v>
      </c>
      <c r="E517" s="2" t="s">
        <v>74</v>
      </c>
      <c r="F517" s="2" t="s">
        <v>473</v>
      </c>
      <c r="G517" s="2" t="s">
        <v>74</v>
      </c>
      <c r="H517" s="2" t="s">
        <v>74</v>
      </c>
      <c r="I517" s="2" t="s">
        <v>474</v>
      </c>
      <c r="J517" s="2" t="s">
        <v>475</v>
      </c>
      <c r="K517" s="2" t="s">
        <v>74</v>
      </c>
      <c r="L517" s="2" t="s">
        <v>74</v>
      </c>
      <c r="M517" s="2" t="s">
        <v>74</v>
      </c>
      <c r="N517" s="2" t="s">
        <v>74</v>
      </c>
      <c r="O517" s="2" t="s">
        <v>74</v>
      </c>
      <c r="P517" s="2" t="s">
        <v>74</v>
      </c>
      <c r="Q517" s="2" t="s">
        <v>74</v>
      </c>
      <c r="R517" s="2" t="s">
        <v>74</v>
      </c>
      <c r="S517" s="2" t="s">
        <v>74</v>
      </c>
      <c r="T517" s="2" t="s">
        <v>74</v>
      </c>
      <c r="U517" s="2" t="s">
        <v>74</v>
      </c>
      <c r="V517" s="5" t="s">
        <v>476</v>
      </c>
      <c r="W517" s="2" t="s">
        <v>74</v>
      </c>
      <c r="X517" s="2" t="s">
        <v>74</v>
      </c>
      <c r="Y517" s="2" t="s">
        <v>74</v>
      </c>
      <c r="Z517" s="2" t="s">
        <v>74</v>
      </c>
      <c r="AA517" s="2" t="s">
        <v>74</v>
      </c>
      <c r="AB517" s="2" t="s">
        <v>274</v>
      </c>
      <c r="AC517" s="2" t="s">
        <v>74</v>
      </c>
      <c r="AD517" s="2" t="s">
        <v>74</v>
      </c>
      <c r="AE517" s="2" t="s">
        <v>74</v>
      </c>
      <c r="AF517" s="2" t="s">
        <v>74</v>
      </c>
      <c r="AG517" s="2" t="s">
        <v>74</v>
      </c>
      <c r="AH517" s="2" t="s">
        <v>74</v>
      </c>
      <c r="AI517" s="2" t="s">
        <v>74</v>
      </c>
      <c r="AJ517" s="2" t="s">
        <v>74</v>
      </c>
      <c r="AK517" s="2" t="s">
        <v>74</v>
      </c>
      <c r="AL517" s="2" t="s">
        <v>74</v>
      </c>
      <c r="AM517" s="2" t="s">
        <v>74</v>
      </c>
      <c r="AN517" s="2" t="s">
        <v>74</v>
      </c>
      <c r="AO517" s="2" t="s">
        <v>477</v>
      </c>
      <c r="AP517" s="2" t="s">
        <v>74</v>
      </c>
      <c r="AQ517" s="2" t="s">
        <v>74</v>
      </c>
      <c r="AR517" s="2" t="s">
        <v>74</v>
      </c>
      <c r="AS517" s="2" t="s">
        <v>74</v>
      </c>
      <c r="AT517" s="2" t="s">
        <v>361</v>
      </c>
      <c r="AU517" s="2">
        <v>2012</v>
      </c>
      <c r="AV517" s="2">
        <v>176</v>
      </c>
      <c r="AW517" s="2">
        <v>3</v>
      </c>
      <c r="AX517" s="2" t="s">
        <v>74</v>
      </c>
      <c r="AY517" s="2" t="s">
        <v>74</v>
      </c>
      <c r="AZ517" s="2" t="s">
        <v>74</v>
      </c>
      <c r="BA517" s="2" t="s">
        <v>74</v>
      </c>
      <c r="BB517" s="2">
        <v>493</v>
      </c>
      <c r="BC517" s="2">
        <v>499</v>
      </c>
      <c r="BD517" s="2" t="s">
        <v>74</v>
      </c>
      <c r="BE517" s="2" t="s">
        <v>478</v>
      </c>
      <c r="BF517" s="2" t="str">
        <f>HYPERLINK("http://dx.doi.org/10.1016/j.ygcen.2011.12.028","http://dx.doi.org/10.1016/j.ygcen.2011.12.028")</f>
        <v>http://dx.doi.org/10.1016/j.ygcen.2011.12.028</v>
      </c>
      <c r="BG517" s="2" t="s">
        <v>74</v>
      </c>
      <c r="BH517" s="2" t="s">
        <v>74</v>
      </c>
      <c r="BI517" s="2" t="s">
        <v>74</v>
      </c>
      <c r="BJ517" s="2" t="s">
        <v>74</v>
      </c>
      <c r="BK517" s="2" t="s">
        <v>74</v>
      </c>
      <c r="BL517" s="2" t="s">
        <v>74</v>
      </c>
      <c r="BM517" s="2" t="s">
        <v>74</v>
      </c>
      <c r="BN517" s="2">
        <v>22230767</v>
      </c>
      <c r="BO517" s="2" t="s">
        <v>74</v>
      </c>
      <c r="BP517" s="2" t="s">
        <v>74</v>
      </c>
      <c r="BQ517" s="2" t="s">
        <v>74</v>
      </c>
      <c r="BR517" s="2" t="s">
        <v>74</v>
      </c>
      <c r="BS517" s="2" t="s">
        <v>479</v>
      </c>
      <c r="BT517" s="2" t="str">
        <f>HYPERLINK("https%3A%2F%2Fwww.webofscience.com%2Fwos%2Fwoscc%2Ffull-record%2FWOS:000303700900032","View Full Record in Web of Science")</f>
        <v>View Full Record in Web of Science</v>
      </c>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row>
    <row r="518" spans="1:314" s="2" customFormat="1" x14ac:dyDescent="0.4">
      <c r="A518" s="2" t="s">
        <v>72</v>
      </c>
      <c r="B518" s="2" t="s">
        <v>4567</v>
      </c>
      <c r="C518" s="2" t="s">
        <v>74</v>
      </c>
      <c r="D518" s="2" t="s">
        <v>74</v>
      </c>
      <c r="E518" s="2" t="s">
        <v>74</v>
      </c>
      <c r="F518" s="2" t="s">
        <v>4567</v>
      </c>
      <c r="G518" s="2" t="s">
        <v>74</v>
      </c>
      <c r="H518" s="2" t="s">
        <v>74</v>
      </c>
      <c r="I518" s="2" t="s">
        <v>4568</v>
      </c>
      <c r="J518" s="2" t="s">
        <v>610</v>
      </c>
      <c r="K518" s="2" t="s">
        <v>74</v>
      </c>
      <c r="L518" s="2" t="s">
        <v>74</v>
      </c>
      <c r="M518" s="2" t="s">
        <v>74</v>
      </c>
      <c r="N518" s="2" t="s">
        <v>74</v>
      </c>
      <c r="O518" s="2" t="s">
        <v>74</v>
      </c>
      <c r="P518" s="2" t="s">
        <v>74</v>
      </c>
      <c r="Q518" s="2" t="s">
        <v>74</v>
      </c>
      <c r="R518" s="2" t="s">
        <v>74</v>
      </c>
      <c r="S518" s="2" t="s">
        <v>74</v>
      </c>
      <c r="T518" s="2" t="s">
        <v>74</v>
      </c>
      <c r="U518" s="2" t="s">
        <v>74</v>
      </c>
      <c r="V518" s="5" t="s">
        <v>4569</v>
      </c>
      <c r="W518" s="2" t="s">
        <v>74</v>
      </c>
      <c r="X518" s="2" t="s">
        <v>74</v>
      </c>
      <c r="Y518" s="2" t="s">
        <v>74</v>
      </c>
      <c r="Z518" s="2" t="s">
        <v>74</v>
      </c>
      <c r="AA518" s="2" t="s">
        <v>74</v>
      </c>
      <c r="AB518" s="2" t="s">
        <v>4570</v>
      </c>
      <c r="AC518" s="2" t="s">
        <v>74</v>
      </c>
      <c r="AD518" s="2" t="s">
        <v>74</v>
      </c>
      <c r="AE518" s="2" t="s">
        <v>74</v>
      </c>
      <c r="AF518" s="2" t="s">
        <v>74</v>
      </c>
      <c r="AG518" s="2" t="s">
        <v>74</v>
      </c>
      <c r="AH518" s="2" t="s">
        <v>74</v>
      </c>
      <c r="AI518" s="2" t="s">
        <v>74</v>
      </c>
      <c r="AJ518" s="2" t="s">
        <v>74</v>
      </c>
      <c r="AK518" s="2" t="s">
        <v>74</v>
      </c>
      <c r="AL518" s="2" t="s">
        <v>74</v>
      </c>
      <c r="AM518" s="2" t="s">
        <v>74</v>
      </c>
      <c r="AN518" s="2" t="s">
        <v>74</v>
      </c>
      <c r="AO518" s="2" t="s">
        <v>614</v>
      </c>
      <c r="AP518" s="2" t="s">
        <v>615</v>
      </c>
      <c r="AQ518" s="2" t="s">
        <v>74</v>
      </c>
      <c r="AR518" s="2" t="s">
        <v>74</v>
      </c>
      <c r="AS518" s="2" t="s">
        <v>74</v>
      </c>
      <c r="AT518" s="2" t="s">
        <v>352</v>
      </c>
      <c r="AU518" s="2">
        <v>2001</v>
      </c>
      <c r="AV518" s="2">
        <v>107</v>
      </c>
      <c r="AW518" s="2">
        <v>9</v>
      </c>
      <c r="AX518" s="2" t="s">
        <v>74</v>
      </c>
      <c r="AY518" s="2" t="s">
        <v>74</v>
      </c>
      <c r="AZ518" s="2" t="s">
        <v>74</v>
      </c>
      <c r="BA518" s="2" t="s">
        <v>74</v>
      </c>
      <c r="BB518" s="2">
        <v>839</v>
      </c>
      <c r="BC518" s="2">
        <v>850</v>
      </c>
      <c r="BD518" s="2" t="s">
        <v>74</v>
      </c>
      <c r="BE518" s="2" t="s">
        <v>4571</v>
      </c>
      <c r="BF518" s="2" t="str">
        <f>HYPERLINK("http://dx.doi.org/10.1046/j.1439-0310.2001.00712.x","http://dx.doi.org/10.1046/j.1439-0310.2001.00712.x")</f>
        <v>http://dx.doi.org/10.1046/j.1439-0310.2001.00712.x</v>
      </c>
      <c r="BG518" s="2" t="s">
        <v>74</v>
      </c>
      <c r="BH518" s="2" t="s">
        <v>74</v>
      </c>
      <c r="BI518" s="2" t="s">
        <v>74</v>
      </c>
      <c r="BJ518" s="2" t="s">
        <v>74</v>
      </c>
      <c r="BK518" s="2" t="s">
        <v>74</v>
      </c>
      <c r="BL518" s="2" t="s">
        <v>74</v>
      </c>
      <c r="BM518" s="2" t="s">
        <v>74</v>
      </c>
      <c r="BN518" s="2" t="s">
        <v>74</v>
      </c>
      <c r="BO518" s="2" t="s">
        <v>74</v>
      </c>
      <c r="BP518" s="2" t="s">
        <v>74</v>
      </c>
      <c r="BQ518" s="2" t="s">
        <v>74</v>
      </c>
      <c r="BR518" s="2" t="s">
        <v>74</v>
      </c>
      <c r="BS518" s="2" t="s">
        <v>4572</v>
      </c>
      <c r="BT518" s="2" t="str">
        <f>HYPERLINK("https%3A%2F%2Fwww.webofscience.com%2Fwos%2Fwoscc%2Ffull-record%2FWOS:000171378500006","View Full Record in Web of Science")</f>
        <v>View Full Record in Web of Science</v>
      </c>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row>
    <row r="519" spans="1:314" s="2" customFormat="1" x14ac:dyDescent="0.4">
      <c r="A519" s="2" t="s">
        <v>72</v>
      </c>
      <c r="B519" s="2" t="s">
        <v>4299</v>
      </c>
      <c r="C519" s="2" t="s">
        <v>74</v>
      </c>
      <c r="D519" s="2" t="s">
        <v>74</v>
      </c>
      <c r="E519" s="2" t="s">
        <v>74</v>
      </c>
      <c r="F519" s="2" t="s">
        <v>4299</v>
      </c>
      <c r="G519" s="2" t="s">
        <v>74</v>
      </c>
      <c r="H519" s="2" t="s">
        <v>74</v>
      </c>
      <c r="I519" s="2" t="s">
        <v>4300</v>
      </c>
      <c r="J519" s="2" t="s">
        <v>140</v>
      </c>
      <c r="K519" s="2" t="s">
        <v>74</v>
      </c>
      <c r="L519" s="2" t="s">
        <v>74</v>
      </c>
      <c r="M519" s="2" t="s">
        <v>74</v>
      </c>
      <c r="N519" s="2" t="s">
        <v>74</v>
      </c>
      <c r="O519" s="2" t="s">
        <v>74</v>
      </c>
      <c r="P519" s="2" t="s">
        <v>74</v>
      </c>
      <c r="Q519" s="2" t="s">
        <v>74</v>
      </c>
      <c r="R519" s="2" t="s">
        <v>74</v>
      </c>
      <c r="S519" s="2" t="s">
        <v>74</v>
      </c>
      <c r="T519" s="2" t="s">
        <v>74</v>
      </c>
      <c r="U519" s="2" t="s">
        <v>74</v>
      </c>
      <c r="V519" s="5" t="s">
        <v>4301</v>
      </c>
      <c r="W519" s="2" t="s">
        <v>74</v>
      </c>
      <c r="X519" s="2" t="s">
        <v>74</v>
      </c>
      <c r="Y519" s="2" t="s">
        <v>74</v>
      </c>
      <c r="Z519" s="2" t="s">
        <v>74</v>
      </c>
      <c r="AA519" s="2" t="s">
        <v>74</v>
      </c>
      <c r="AB519" s="2" t="s">
        <v>74</v>
      </c>
      <c r="AC519" s="2" t="s">
        <v>74</v>
      </c>
      <c r="AD519" s="2" t="s">
        <v>74</v>
      </c>
      <c r="AE519" s="2" t="s">
        <v>74</v>
      </c>
      <c r="AF519" s="2" t="s">
        <v>74</v>
      </c>
      <c r="AG519" s="2" t="s">
        <v>74</v>
      </c>
      <c r="AH519" s="2" t="s">
        <v>74</v>
      </c>
      <c r="AI519" s="2" t="s">
        <v>74</v>
      </c>
      <c r="AJ519" s="2" t="s">
        <v>74</v>
      </c>
      <c r="AK519" s="2" t="s">
        <v>74</v>
      </c>
      <c r="AL519" s="2" t="s">
        <v>74</v>
      </c>
      <c r="AM519" s="2" t="s">
        <v>74</v>
      </c>
      <c r="AN519" s="2" t="s">
        <v>74</v>
      </c>
      <c r="AO519" s="2" t="s">
        <v>143</v>
      </c>
      <c r="AP519" s="2" t="s">
        <v>144</v>
      </c>
      <c r="AQ519" s="2" t="s">
        <v>74</v>
      </c>
      <c r="AR519" s="2" t="s">
        <v>74</v>
      </c>
      <c r="AS519" s="2" t="s">
        <v>74</v>
      </c>
      <c r="AT519" s="2" t="s">
        <v>305</v>
      </c>
      <c r="AU519" s="2">
        <v>2002</v>
      </c>
      <c r="AV519" s="2">
        <v>64</v>
      </c>
      <c r="AW519" s="2" t="s">
        <v>74</v>
      </c>
      <c r="AX519" s="2">
        <v>6</v>
      </c>
      <c r="AY519" s="2" t="s">
        <v>74</v>
      </c>
      <c r="AZ519" s="2" t="s">
        <v>74</v>
      </c>
      <c r="BA519" s="2" t="s">
        <v>74</v>
      </c>
      <c r="BB519" s="2">
        <v>851</v>
      </c>
      <c r="BC519" s="2">
        <v>859</v>
      </c>
      <c r="BD519" s="2" t="s">
        <v>74</v>
      </c>
      <c r="BE519" s="2" t="s">
        <v>4302</v>
      </c>
      <c r="BF519" s="2" t="str">
        <f>HYPERLINK("http://dx.doi.org/10.1006/anbe.2003.2002","http://dx.doi.org/10.1006/anbe.2003.2002")</f>
        <v>http://dx.doi.org/10.1006/anbe.2003.2002</v>
      </c>
      <c r="BG519" s="2" t="s">
        <v>74</v>
      </c>
      <c r="BH519" s="2" t="s">
        <v>74</v>
      </c>
      <c r="BI519" s="2" t="s">
        <v>74</v>
      </c>
      <c r="BJ519" s="2" t="s">
        <v>74</v>
      </c>
      <c r="BK519" s="2" t="s">
        <v>74</v>
      </c>
      <c r="BL519" s="2" t="s">
        <v>74</v>
      </c>
      <c r="BM519" s="2" t="s">
        <v>74</v>
      </c>
      <c r="BN519" s="2" t="s">
        <v>74</v>
      </c>
      <c r="BO519" s="2" t="s">
        <v>74</v>
      </c>
      <c r="BP519" s="2" t="s">
        <v>74</v>
      </c>
      <c r="BQ519" s="2" t="s">
        <v>74</v>
      </c>
      <c r="BR519" s="2" t="s">
        <v>74</v>
      </c>
      <c r="BS519" s="2" t="s">
        <v>4303</v>
      </c>
      <c r="BT519" s="2" t="str">
        <f>HYPERLINK("https%3A%2F%2Fwww.webofscience.com%2Fwos%2Fwoscc%2Ffull-record%2FWOS:000180910400003","View Full Record in Web of Science")</f>
        <v>View Full Record in Web of Science</v>
      </c>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row>
    <row r="520" spans="1:314" s="2" customFormat="1" x14ac:dyDescent="0.4">
      <c r="A520" s="2" t="s">
        <v>72</v>
      </c>
      <c r="B520" s="2" t="s">
        <v>7566</v>
      </c>
      <c r="C520" s="2" t="s">
        <v>74</v>
      </c>
      <c r="D520" s="2" t="s">
        <v>74</v>
      </c>
      <c r="E520" s="2" t="s">
        <v>74</v>
      </c>
      <c r="F520" s="2" t="s">
        <v>7566</v>
      </c>
      <c r="G520" s="2" t="s">
        <v>74</v>
      </c>
      <c r="H520" s="2" t="s">
        <v>74</v>
      </c>
      <c r="I520" s="2" t="s">
        <v>7567</v>
      </c>
      <c r="J520" s="2" t="s">
        <v>140</v>
      </c>
      <c r="K520" s="2" t="s">
        <v>74</v>
      </c>
      <c r="L520" s="2" t="s">
        <v>74</v>
      </c>
      <c r="M520" s="2" t="s">
        <v>74</v>
      </c>
      <c r="N520" s="2" t="s">
        <v>74</v>
      </c>
      <c r="O520" s="2" t="s">
        <v>74</v>
      </c>
      <c r="P520" s="2" t="s">
        <v>74</v>
      </c>
      <c r="Q520" s="2" t="s">
        <v>74</v>
      </c>
      <c r="R520" s="2" t="s">
        <v>74</v>
      </c>
      <c r="S520" s="2" t="s">
        <v>74</v>
      </c>
      <c r="T520" s="2" t="s">
        <v>74</v>
      </c>
      <c r="U520" s="2" t="s">
        <v>74</v>
      </c>
      <c r="V520" s="5" t="s">
        <v>7568</v>
      </c>
      <c r="W520" s="2" t="s">
        <v>74</v>
      </c>
      <c r="X520" s="2" t="s">
        <v>74</v>
      </c>
      <c r="Y520" s="2" t="s">
        <v>74</v>
      </c>
      <c r="Z520" s="2" t="s">
        <v>74</v>
      </c>
      <c r="AA520" s="2" t="s">
        <v>74</v>
      </c>
      <c r="AB520" s="2" t="s">
        <v>74</v>
      </c>
      <c r="AC520" s="2" t="s">
        <v>74</v>
      </c>
      <c r="AD520" s="2" t="s">
        <v>74</v>
      </c>
      <c r="AE520" s="2" t="s">
        <v>74</v>
      </c>
      <c r="AF520" s="2" t="s">
        <v>74</v>
      </c>
      <c r="AG520" s="2" t="s">
        <v>74</v>
      </c>
      <c r="AH520" s="2" t="s">
        <v>74</v>
      </c>
      <c r="AI520" s="2" t="s">
        <v>74</v>
      </c>
      <c r="AJ520" s="2" t="s">
        <v>74</v>
      </c>
      <c r="AK520" s="2" t="s">
        <v>74</v>
      </c>
      <c r="AL520" s="2" t="s">
        <v>74</v>
      </c>
      <c r="AM520" s="2" t="s">
        <v>74</v>
      </c>
      <c r="AN520" s="2" t="s">
        <v>74</v>
      </c>
      <c r="AO520" s="2" t="s">
        <v>143</v>
      </c>
      <c r="AP520" s="2" t="s">
        <v>144</v>
      </c>
      <c r="AQ520" s="2" t="s">
        <v>74</v>
      </c>
      <c r="AR520" s="2" t="s">
        <v>74</v>
      </c>
      <c r="AS520" s="2" t="s">
        <v>74</v>
      </c>
      <c r="AT520" s="2" t="s">
        <v>123</v>
      </c>
      <c r="AU520" s="2">
        <v>2001</v>
      </c>
      <c r="AV520" s="2">
        <v>61</v>
      </c>
      <c r="AW520" s="2" t="s">
        <v>74</v>
      </c>
      <c r="AX520" s="2">
        <v>3</v>
      </c>
      <c r="AY520" s="2" t="s">
        <v>74</v>
      </c>
      <c r="AZ520" s="2" t="s">
        <v>74</v>
      </c>
      <c r="BA520" s="2" t="s">
        <v>74</v>
      </c>
      <c r="BB520" s="2">
        <v>567</v>
      </c>
      <c r="BC520" s="2">
        <v>577</v>
      </c>
      <c r="BD520" s="2" t="s">
        <v>74</v>
      </c>
      <c r="BE520" s="2" t="s">
        <v>7569</v>
      </c>
      <c r="BF520" s="2" t="str">
        <f>HYPERLINK("http://dx.doi.org/10.1006/anbe.2000.1642","http://dx.doi.org/10.1006/anbe.2000.1642")</f>
        <v>http://dx.doi.org/10.1006/anbe.2000.1642</v>
      </c>
      <c r="BG520" s="2" t="s">
        <v>74</v>
      </c>
      <c r="BH520" s="2" t="s">
        <v>74</v>
      </c>
      <c r="BI520" s="2" t="s">
        <v>74</v>
      </c>
      <c r="BJ520" s="2" t="s">
        <v>74</v>
      </c>
      <c r="BK520" s="2" t="s">
        <v>74</v>
      </c>
      <c r="BL520" s="2" t="s">
        <v>74</v>
      </c>
      <c r="BM520" s="2" t="s">
        <v>74</v>
      </c>
      <c r="BN520" s="2" t="s">
        <v>74</v>
      </c>
      <c r="BO520" s="2" t="s">
        <v>74</v>
      </c>
      <c r="BP520" s="2" t="s">
        <v>74</v>
      </c>
      <c r="BQ520" s="2" t="s">
        <v>74</v>
      </c>
      <c r="BR520" s="2" t="s">
        <v>74</v>
      </c>
      <c r="BS520" s="2" t="s">
        <v>7570</v>
      </c>
      <c r="BT520" s="2" t="str">
        <f>HYPERLINK("https%3A%2F%2Fwww.webofscience.com%2Fwos%2Fwoscc%2Ffull-record%2FWOS:000167990100006","View Full Record in Web of Science")</f>
        <v>View Full Record in Web of Science</v>
      </c>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row>
    <row r="521" spans="1:314" s="2" customFormat="1" x14ac:dyDescent="0.4">
      <c r="A521" s="2" t="s">
        <v>72</v>
      </c>
      <c r="B521" s="2" t="s">
        <v>1763</v>
      </c>
      <c r="C521" s="2" t="s">
        <v>74</v>
      </c>
      <c r="D521" s="2" t="s">
        <v>74</v>
      </c>
      <c r="E521" s="2" t="s">
        <v>74</v>
      </c>
      <c r="F521" s="2" t="s">
        <v>1764</v>
      </c>
      <c r="G521" s="2" t="s">
        <v>74</v>
      </c>
      <c r="H521" s="2" t="s">
        <v>74</v>
      </c>
      <c r="I521" s="2" t="s">
        <v>1765</v>
      </c>
      <c r="J521" s="2" t="s">
        <v>775</v>
      </c>
      <c r="K521" s="2" t="s">
        <v>74</v>
      </c>
      <c r="L521" s="2" t="s">
        <v>74</v>
      </c>
      <c r="M521" s="2" t="s">
        <v>74</v>
      </c>
      <c r="N521" s="2" t="s">
        <v>74</v>
      </c>
      <c r="O521" s="2" t="s">
        <v>74</v>
      </c>
      <c r="P521" s="2" t="s">
        <v>74</v>
      </c>
      <c r="Q521" s="2" t="s">
        <v>74</v>
      </c>
      <c r="R521" s="2" t="s">
        <v>74</v>
      </c>
      <c r="S521" s="2" t="s">
        <v>74</v>
      </c>
      <c r="T521" s="2" t="s">
        <v>74</v>
      </c>
      <c r="U521" s="2" t="s">
        <v>74</v>
      </c>
      <c r="V521" s="5" t="s">
        <v>1766</v>
      </c>
      <c r="W521" s="2" t="s">
        <v>74</v>
      </c>
      <c r="X521" s="2" t="s">
        <v>74</v>
      </c>
      <c r="Y521" s="2" t="s">
        <v>74</v>
      </c>
      <c r="Z521" s="2" t="s">
        <v>74</v>
      </c>
      <c r="AA521" s="2" t="s">
        <v>1767</v>
      </c>
      <c r="AB521" s="2" t="s">
        <v>1768</v>
      </c>
      <c r="AC521" s="2" t="s">
        <v>74</v>
      </c>
      <c r="AD521" s="2" t="s">
        <v>74</v>
      </c>
      <c r="AE521" s="2" t="s">
        <v>74</v>
      </c>
      <c r="AF521" s="2" t="s">
        <v>74</v>
      </c>
      <c r="AG521" s="2" t="s">
        <v>74</v>
      </c>
      <c r="AH521" s="2" t="s">
        <v>74</v>
      </c>
      <c r="AI521" s="2" t="s">
        <v>74</v>
      </c>
      <c r="AJ521" s="2" t="s">
        <v>74</v>
      </c>
      <c r="AK521" s="2" t="s">
        <v>74</v>
      </c>
      <c r="AL521" s="2" t="s">
        <v>74</v>
      </c>
      <c r="AM521" s="2" t="s">
        <v>74</v>
      </c>
      <c r="AN521" s="2" t="s">
        <v>74</v>
      </c>
      <c r="AO521" s="2" t="s">
        <v>778</v>
      </c>
      <c r="AP521" s="2" t="s">
        <v>779</v>
      </c>
      <c r="AQ521" s="2" t="s">
        <v>74</v>
      </c>
      <c r="AR521" s="2" t="s">
        <v>74</v>
      </c>
      <c r="AS521" s="2" t="s">
        <v>74</v>
      </c>
      <c r="AT521" s="2" t="s">
        <v>964</v>
      </c>
      <c r="AU521" s="2">
        <v>2016</v>
      </c>
      <c r="AV521" s="2">
        <v>62</v>
      </c>
      <c r="AW521" s="2">
        <v>1</v>
      </c>
      <c r="AX521" s="2" t="s">
        <v>74</v>
      </c>
      <c r="AY521" s="2" t="s">
        <v>74</v>
      </c>
      <c r="AZ521" s="2" t="s">
        <v>74</v>
      </c>
      <c r="BA521" s="2" t="s">
        <v>74</v>
      </c>
      <c r="BB521" s="2">
        <v>23</v>
      </c>
      <c r="BC521" s="2">
        <v>31</v>
      </c>
      <c r="BD521" s="2" t="s">
        <v>74</v>
      </c>
      <c r="BE521" s="2" t="s">
        <v>1769</v>
      </c>
      <c r="BF521" s="2" t="str">
        <f>HYPERLINK("http://dx.doi.org/10.1093/cz/zov009","http://dx.doi.org/10.1093/cz/zov009")</f>
        <v>http://dx.doi.org/10.1093/cz/zov009</v>
      </c>
      <c r="BG521" s="2" t="s">
        <v>74</v>
      </c>
      <c r="BH521" s="2" t="s">
        <v>74</v>
      </c>
      <c r="BI521" s="2" t="s">
        <v>74</v>
      </c>
      <c r="BJ521" s="2" t="s">
        <v>74</v>
      </c>
      <c r="BK521" s="2" t="s">
        <v>74</v>
      </c>
      <c r="BL521" s="2" t="s">
        <v>74</v>
      </c>
      <c r="BM521" s="2" t="s">
        <v>74</v>
      </c>
      <c r="BN521" s="2">
        <v>29491887</v>
      </c>
      <c r="BO521" s="2" t="s">
        <v>74</v>
      </c>
      <c r="BP521" s="2" t="s">
        <v>74</v>
      </c>
      <c r="BQ521" s="2" t="s">
        <v>74</v>
      </c>
      <c r="BR521" s="2" t="s">
        <v>74</v>
      </c>
      <c r="BS521" s="2" t="s">
        <v>1770</v>
      </c>
      <c r="BT521" s="2" t="str">
        <f>HYPERLINK("https%3A%2F%2Fwww.webofscience.com%2Fwos%2Fwoscc%2Ffull-record%2FWOS:000374258900004","View Full Record in Web of Science")</f>
        <v>View Full Record in Web of Science</v>
      </c>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row>
    <row r="522" spans="1:314" s="1" customFormat="1" x14ac:dyDescent="0.4">
      <c r="A522" s="2" t="s">
        <v>72</v>
      </c>
      <c r="B522" s="2" t="s">
        <v>7706</v>
      </c>
      <c r="C522" s="2" t="s">
        <v>74</v>
      </c>
      <c r="D522" s="2" t="s">
        <v>74</v>
      </c>
      <c r="E522" s="2" t="s">
        <v>74</v>
      </c>
      <c r="F522" s="2" t="s">
        <v>7706</v>
      </c>
      <c r="G522" s="2" t="s">
        <v>74</v>
      </c>
      <c r="H522" s="2" t="s">
        <v>74</v>
      </c>
      <c r="I522" s="2" t="s">
        <v>7707</v>
      </c>
      <c r="J522" s="2" t="s">
        <v>1526</v>
      </c>
      <c r="K522" s="2" t="s">
        <v>74</v>
      </c>
      <c r="L522" s="2" t="s">
        <v>74</v>
      </c>
      <c r="M522" s="2" t="s">
        <v>74</v>
      </c>
      <c r="N522" s="2" t="s">
        <v>74</v>
      </c>
      <c r="O522" s="2" t="s">
        <v>74</v>
      </c>
      <c r="P522" s="2" t="s">
        <v>74</v>
      </c>
      <c r="Q522" s="2" t="s">
        <v>74</v>
      </c>
      <c r="R522" s="2" t="s">
        <v>74</v>
      </c>
      <c r="S522" s="2" t="s">
        <v>74</v>
      </c>
      <c r="T522" s="2" t="s">
        <v>74</v>
      </c>
      <c r="U522" s="2" t="s">
        <v>74</v>
      </c>
      <c r="V522" s="5" t="s">
        <v>7708</v>
      </c>
      <c r="W522" s="2" t="s">
        <v>74</v>
      </c>
      <c r="X522" s="2" t="s">
        <v>74</v>
      </c>
      <c r="Y522" s="2" t="s">
        <v>74</v>
      </c>
      <c r="Z522" s="2" t="s">
        <v>74</v>
      </c>
      <c r="AA522" s="2" t="s">
        <v>5351</v>
      </c>
      <c r="AB522" s="2" t="s">
        <v>6109</v>
      </c>
      <c r="AC522" s="2" t="s">
        <v>74</v>
      </c>
      <c r="AD522" s="2" t="s">
        <v>74</v>
      </c>
      <c r="AE522" s="2" t="s">
        <v>74</v>
      </c>
      <c r="AF522" s="2" t="s">
        <v>74</v>
      </c>
      <c r="AG522" s="2" t="s">
        <v>74</v>
      </c>
      <c r="AH522" s="2" t="s">
        <v>74</v>
      </c>
      <c r="AI522" s="2" t="s">
        <v>74</v>
      </c>
      <c r="AJ522" s="2" t="s">
        <v>74</v>
      </c>
      <c r="AK522" s="2" t="s">
        <v>74</v>
      </c>
      <c r="AL522" s="2" t="s">
        <v>74</v>
      </c>
      <c r="AM522" s="2" t="s">
        <v>74</v>
      </c>
      <c r="AN522" s="2" t="s">
        <v>74</v>
      </c>
      <c r="AO522" s="2" t="s">
        <v>1528</v>
      </c>
      <c r="AP522" s="2" t="s">
        <v>2131</v>
      </c>
      <c r="AQ522" s="2" t="s">
        <v>74</v>
      </c>
      <c r="AR522" s="2" t="s">
        <v>74</v>
      </c>
      <c r="AS522" s="2" t="s">
        <v>74</v>
      </c>
      <c r="AT522" s="2" t="s">
        <v>145</v>
      </c>
      <c r="AU522" s="2">
        <v>1994</v>
      </c>
      <c r="AV522" s="2">
        <v>96</v>
      </c>
      <c r="AW522" s="2">
        <v>3</v>
      </c>
      <c r="AX522" s="2" t="s">
        <v>74</v>
      </c>
      <c r="AY522" s="2" t="s">
        <v>74</v>
      </c>
      <c r="AZ522" s="2" t="s">
        <v>74</v>
      </c>
      <c r="BA522" s="2" t="s">
        <v>74</v>
      </c>
      <c r="BB522" s="2">
        <v>626</v>
      </c>
      <c r="BC522" s="2">
        <v>630</v>
      </c>
      <c r="BD522" s="2" t="s">
        <v>74</v>
      </c>
      <c r="BE522" s="2" t="s">
        <v>7709</v>
      </c>
      <c r="BF522" s="2" t="str">
        <f>HYPERLINK("http://dx.doi.org/10.2307/1369465","http://dx.doi.org/10.2307/1369465")</f>
        <v>http://dx.doi.org/10.2307/1369465</v>
      </c>
      <c r="BG522" s="2" t="s">
        <v>74</v>
      </c>
      <c r="BH522" s="2" t="s">
        <v>74</v>
      </c>
      <c r="BI522" s="2" t="s">
        <v>74</v>
      </c>
      <c r="BJ522" s="2" t="s">
        <v>74</v>
      </c>
      <c r="BK522" s="2" t="s">
        <v>74</v>
      </c>
      <c r="BL522" s="2" t="s">
        <v>74</v>
      </c>
      <c r="BM522" s="2" t="s">
        <v>74</v>
      </c>
      <c r="BN522" s="2" t="s">
        <v>74</v>
      </c>
      <c r="BO522" s="2" t="s">
        <v>74</v>
      </c>
      <c r="BP522" s="2" t="s">
        <v>74</v>
      </c>
      <c r="BQ522" s="2" t="s">
        <v>74</v>
      </c>
      <c r="BR522" s="2" t="s">
        <v>74</v>
      </c>
      <c r="BS522" s="2" t="s">
        <v>7710</v>
      </c>
      <c r="BT522" s="2" t="str">
        <f>HYPERLINK("https%3A%2F%2Fwww.webofscience.com%2Fwos%2Fwoscc%2Ffull-record%2FWOS:A1994PE53800006","View Full Record in Web of Science")</f>
        <v>View Full Record in Web of Science</v>
      </c>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row>
    <row r="523" spans="1:314" s="2" customFormat="1" x14ac:dyDescent="0.4">
      <c r="A523" s="2" t="s">
        <v>72</v>
      </c>
      <c r="B523" s="2" t="s">
        <v>1937</v>
      </c>
      <c r="C523" s="2" t="s">
        <v>74</v>
      </c>
      <c r="D523" s="2" t="s">
        <v>74</v>
      </c>
      <c r="E523" s="2" t="s">
        <v>74</v>
      </c>
      <c r="F523" s="2" t="s">
        <v>1938</v>
      </c>
      <c r="G523" s="2" t="s">
        <v>74</v>
      </c>
      <c r="H523" s="2" t="s">
        <v>74</v>
      </c>
      <c r="I523" s="2" t="s">
        <v>1939</v>
      </c>
      <c r="J523" s="2" t="s">
        <v>1044</v>
      </c>
      <c r="K523" s="2" t="s">
        <v>74</v>
      </c>
      <c r="L523" s="2" t="s">
        <v>74</v>
      </c>
      <c r="M523" s="2" t="s">
        <v>74</v>
      </c>
      <c r="N523" s="2" t="s">
        <v>74</v>
      </c>
      <c r="O523" s="2" t="s">
        <v>74</v>
      </c>
      <c r="P523" s="2" t="s">
        <v>74</v>
      </c>
      <c r="Q523" s="2" t="s">
        <v>74</v>
      </c>
      <c r="R523" s="2" t="s">
        <v>74</v>
      </c>
      <c r="S523" s="2" t="s">
        <v>74</v>
      </c>
      <c r="T523" s="2" t="s">
        <v>74</v>
      </c>
      <c r="U523" s="2" t="s">
        <v>74</v>
      </c>
      <c r="V523" s="5" t="s">
        <v>1940</v>
      </c>
      <c r="W523" s="2" t="s">
        <v>74</v>
      </c>
      <c r="X523" s="2" t="s">
        <v>74</v>
      </c>
      <c r="Y523" s="2" t="s">
        <v>74</v>
      </c>
      <c r="Z523" s="2" t="s">
        <v>74</v>
      </c>
      <c r="AA523" s="2" t="s">
        <v>1941</v>
      </c>
      <c r="AB523" s="2" t="s">
        <v>1942</v>
      </c>
      <c r="AC523" s="2" t="s">
        <v>74</v>
      </c>
      <c r="AD523" s="2" t="s">
        <v>74</v>
      </c>
      <c r="AE523" s="2" t="s">
        <v>74</v>
      </c>
      <c r="AF523" s="2" t="s">
        <v>74</v>
      </c>
      <c r="AG523" s="2" t="s">
        <v>74</v>
      </c>
      <c r="AH523" s="2" t="s">
        <v>74</v>
      </c>
      <c r="AI523" s="2" t="s">
        <v>74</v>
      </c>
      <c r="AJ523" s="2" t="s">
        <v>74</v>
      </c>
      <c r="AK523" s="2" t="s">
        <v>74</v>
      </c>
      <c r="AL523" s="2" t="s">
        <v>74</v>
      </c>
      <c r="AM523" s="2" t="s">
        <v>74</v>
      </c>
      <c r="AN523" s="2" t="s">
        <v>74</v>
      </c>
      <c r="AO523" s="2" t="s">
        <v>1048</v>
      </c>
      <c r="AP523" s="2" t="s">
        <v>1049</v>
      </c>
      <c r="AQ523" s="2" t="s">
        <v>74</v>
      </c>
      <c r="AR523" s="2" t="s">
        <v>74</v>
      </c>
      <c r="AS523" s="2" t="s">
        <v>74</v>
      </c>
      <c r="AT523" s="2" t="s">
        <v>305</v>
      </c>
      <c r="AU523" s="2">
        <v>2020</v>
      </c>
      <c r="AV523" s="2">
        <v>29</v>
      </c>
      <c r="AW523" s="2">
        <v>24</v>
      </c>
      <c r="AX523" s="2" t="s">
        <v>74</v>
      </c>
      <c r="AY523" s="2" t="s">
        <v>74</v>
      </c>
      <c r="AZ523" s="2" t="s">
        <v>74</v>
      </c>
      <c r="BA523" s="2" t="s">
        <v>74</v>
      </c>
      <c r="BB523" s="2">
        <v>4942</v>
      </c>
      <c r="BC523" s="2">
        <v>4955</v>
      </c>
      <c r="BD523" s="2" t="s">
        <v>74</v>
      </c>
      <c r="BE523" s="2" t="s">
        <v>1943</v>
      </c>
      <c r="BF523" s="2" t="str">
        <f>HYPERLINK("http://dx.doi.org/10.1111/mec.15682","http://dx.doi.org/10.1111/mec.15682")</f>
        <v>http://dx.doi.org/10.1111/mec.15682</v>
      </c>
      <c r="BG523" s="2" t="s">
        <v>74</v>
      </c>
      <c r="BH523" s="2" t="s">
        <v>1944</v>
      </c>
      <c r="BI523" s="2" t="s">
        <v>74</v>
      </c>
      <c r="BJ523" s="2" t="s">
        <v>74</v>
      </c>
      <c r="BK523" s="2" t="s">
        <v>74</v>
      </c>
      <c r="BL523" s="2" t="s">
        <v>74</v>
      </c>
      <c r="BM523" s="2" t="s">
        <v>74</v>
      </c>
      <c r="BN523" s="2">
        <v>33051915</v>
      </c>
      <c r="BO523" s="2" t="s">
        <v>74</v>
      </c>
      <c r="BP523" s="2" t="s">
        <v>74</v>
      </c>
      <c r="BQ523" s="2" t="s">
        <v>74</v>
      </c>
      <c r="BR523" s="2" t="s">
        <v>74</v>
      </c>
      <c r="BS523" s="2" t="s">
        <v>1945</v>
      </c>
      <c r="BT523" s="2" t="str">
        <f>HYPERLINK("https%3A%2F%2Fwww.webofscience.com%2Fwos%2Fwoscc%2Ffull-record%2FWOS:000586619500001","View Full Record in Web of Science")</f>
        <v>View Full Record in Web of Science</v>
      </c>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row>
    <row r="524" spans="1:314" s="2" customFormat="1" x14ac:dyDescent="0.4">
      <c r="A524" s="2" t="s">
        <v>72</v>
      </c>
      <c r="B524" s="2" t="s">
        <v>4970</v>
      </c>
      <c r="C524" s="2" t="s">
        <v>74</v>
      </c>
      <c r="D524" s="2" t="s">
        <v>74</v>
      </c>
      <c r="E524" s="2" t="s">
        <v>74</v>
      </c>
      <c r="F524" s="2" t="s">
        <v>4970</v>
      </c>
      <c r="G524" s="2" t="s">
        <v>74</v>
      </c>
      <c r="H524" s="2" t="s">
        <v>74</v>
      </c>
      <c r="I524" s="2" t="s">
        <v>4971</v>
      </c>
      <c r="J524" s="2" t="s">
        <v>281</v>
      </c>
      <c r="K524" s="2" t="s">
        <v>74</v>
      </c>
      <c r="L524" s="2" t="s">
        <v>74</v>
      </c>
      <c r="M524" s="2" t="s">
        <v>74</v>
      </c>
      <c r="N524" s="2" t="s">
        <v>74</v>
      </c>
      <c r="O524" s="2" t="s">
        <v>74</v>
      </c>
      <c r="P524" s="2" t="s">
        <v>74</v>
      </c>
      <c r="Q524" s="2" t="s">
        <v>74</v>
      </c>
      <c r="R524" s="2" t="s">
        <v>74</v>
      </c>
      <c r="S524" s="2" t="s">
        <v>74</v>
      </c>
      <c r="T524" s="2" t="s">
        <v>74</v>
      </c>
      <c r="U524" s="2" t="s">
        <v>74</v>
      </c>
      <c r="V524" s="5" t="s">
        <v>4972</v>
      </c>
      <c r="W524" s="2" t="s">
        <v>74</v>
      </c>
      <c r="X524" s="2" t="s">
        <v>74</v>
      </c>
      <c r="Y524" s="2" t="s">
        <v>74</v>
      </c>
      <c r="Z524" s="2" t="s">
        <v>74</v>
      </c>
      <c r="AA524" s="2" t="s">
        <v>74</v>
      </c>
      <c r="AB524" s="2" t="s">
        <v>4973</v>
      </c>
      <c r="AC524" s="2" t="s">
        <v>74</v>
      </c>
      <c r="AD524" s="2" t="s">
        <v>74</v>
      </c>
      <c r="AE524" s="2" t="s">
        <v>74</v>
      </c>
      <c r="AF524" s="2" t="s">
        <v>74</v>
      </c>
      <c r="AG524" s="2" t="s">
        <v>74</v>
      </c>
      <c r="AH524" s="2" t="s">
        <v>74</v>
      </c>
      <c r="AI524" s="2" t="s">
        <v>74</v>
      </c>
      <c r="AJ524" s="2" t="s">
        <v>74</v>
      </c>
      <c r="AK524" s="2" t="s">
        <v>74</v>
      </c>
      <c r="AL524" s="2" t="s">
        <v>74</v>
      </c>
      <c r="AM524" s="2" t="s">
        <v>74</v>
      </c>
      <c r="AN524" s="2" t="s">
        <v>74</v>
      </c>
      <c r="AO524" s="2" t="s">
        <v>285</v>
      </c>
      <c r="AP524" s="2" t="s">
        <v>286</v>
      </c>
      <c r="AQ524" s="2" t="s">
        <v>74</v>
      </c>
      <c r="AR524" s="2" t="s">
        <v>74</v>
      </c>
      <c r="AS524" s="2" t="s">
        <v>74</v>
      </c>
      <c r="AT524" s="2" t="s">
        <v>204</v>
      </c>
      <c r="AU524" s="2">
        <v>2005</v>
      </c>
      <c r="AV524" s="2">
        <v>8</v>
      </c>
      <c r="AW524" s="2">
        <v>3</v>
      </c>
      <c r="AX524" s="2" t="s">
        <v>74</v>
      </c>
      <c r="AY524" s="2" t="s">
        <v>74</v>
      </c>
      <c r="AZ524" s="2" t="s">
        <v>74</v>
      </c>
      <c r="BA524" s="2" t="s">
        <v>74</v>
      </c>
      <c r="BB524" s="2">
        <v>211</v>
      </c>
      <c r="BC524" s="2">
        <v>214</v>
      </c>
      <c r="BD524" s="2" t="s">
        <v>74</v>
      </c>
      <c r="BE524" s="2" t="s">
        <v>4974</v>
      </c>
      <c r="BF524" s="2" t="str">
        <f>HYPERLINK("http://dx.doi.org/10.1007/s10071-004-0249-4","http://dx.doi.org/10.1007/s10071-004-0249-4")</f>
        <v>http://dx.doi.org/10.1007/s10071-004-0249-4</v>
      </c>
      <c r="BG524" s="2" t="s">
        <v>74</v>
      </c>
      <c r="BH524" s="2" t="s">
        <v>74</v>
      </c>
      <c r="BI524" s="2" t="s">
        <v>74</v>
      </c>
      <c r="BJ524" s="2" t="s">
        <v>74</v>
      </c>
      <c r="BK524" s="2" t="s">
        <v>74</v>
      </c>
      <c r="BL524" s="2" t="s">
        <v>74</v>
      </c>
      <c r="BM524" s="2" t="s">
        <v>74</v>
      </c>
      <c r="BN524" s="2">
        <v>15611879</v>
      </c>
      <c r="BO524" s="2" t="s">
        <v>74</v>
      </c>
      <c r="BP524" s="2" t="s">
        <v>74</v>
      </c>
      <c r="BQ524" s="2" t="s">
        <v>74</v>
      </c>
      <c r="BR524" s="2" t="s">
        <v>74</v>
      </c>
      <c r="BS524" s="2" t="s">
        <v>4975</v>
      </c>
      <c r="BT524" s="2" t="str">
        <f>HYPERLINK("https%3A%2F%2Fwww.webofscience.com%2Fwos%2Fwoscc%2Ffull-record%2FWOS:000231236200007","View Full Record in Web of Science")</f>
        <v>View Full Record in Web of Science</v>
      </c>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row>
    <row r="525" spans="1:314" s="2" customFormat="1" x14ac:dyDescent="0.4">
      <c r="A525" s="2" t="s">
        <v>72</v>
      </c>
      <c r="B525" s="2" t="s">
        <v>4310</v>
      </c>
      <c r="C525" s="2" t="s">
        <v>74</v>
      </c>
      <c r="D525" s="2" t="s">
        <v>74</v>
      </c>
      <c r="E525" s="2" t="s">
        <v>74</v>
      </c>
      <c r="F525" s="2" t="s">
        <v>4310</v>
      </c>
      <c r="G525" s="2" t="s">
        <v>74</v>
      </c>
      <c r="H525" s="2" t="s">
        <v>74</v>
      </c>
      <c r="I525" s="2" t="s">
        <v>4311</v>
      </c>
      <c r="J525" s="2" t="s">
        <v>610</v>
      </c>
      <c r="K525" s="2" t="s">
        <v>74</v>
      </c>
      <c r="L525" s="2" t="s">
        <v>74</v>
      </c>
      <c r="M525" s="2" t="s">
        <v>74</v>
      </c>
      <c r="N525" s="2" t="s">
        <v>74</v>
      </c>
      <c r="O525" s="2" t="s">
        <v>74</v>
      </c>
      <c r="P525" s="2" t="s">
        <v>74</v>
      </c>
      <c r="Q525" s="2" t="s">
        <v>74</v>
      </c>
      <c r="R525" s="2" t="s">
        <v>74</v>
      </c>
      <c r="S525" s="2" t="s">
        <v>74</v>
      </c>
      <c r="T525" s="2" t="s">
        <v>74</v>
      </c>
      <c r="U525" s="2" t="s">
        <v>74</v>
      </c>
      <c r="V525" s="5" t="s">
        <v>4312</v>
      </c>
      <c r="W525" s="2" t="s">
        <v>74</v>
      </c>
      <c r="X525" s="2" t="s">
        <v>74</v>
      </c>
      <c r="Y525" s="2" t="s">
        <v>74</v>
      </c>
      <c r="Z525" s="2" t="s">
        <v>74</v>
      </c>
      <c r="AA525" s="2" t="s">
        <v>74</v>
      </c>
      <c r="AB525" s="2" t="s">
        <v>3979</v>
      </c>
      <c r="AC525" s="2" t="s">
        <v>74</v>
      </c>
      <c r="AD525" s="2" t="s">
        <v>74</v>
      </c>
      <c r="AE525" s="2" t="s">
        <v>74</v>
      </c>
      <c r="AF525" s="2" t="s">
        <v>74</v>
      </c>
      <c r="AG525" s="2" t="s">
        <v>74</v>
      </c>
      <c r="AH525" s="2" t="s">
        <v>74</v>
      </c>
      <c r="AI525" s="2" t="s">
        <v>74</v>
      </c>
      <c r="AJ525" s="2" t="s">
        <v>74</v>
      </c>
      <c r="AK525" s="2" t="s">
        <v>74</v>
      </c>
      <c r="AL525" s="2" t="s">
        <v>74</v>
      </c>
      <c r="AM525" s="2" t="s">
        <v>74</v>
      </c>
      <c r="AN525" s="2" t="s">
        <v>74</v>
      </c>
      <c r="AO525" s="2" t="s">
        <v>614</v>
      </c>
      <c r="AP525" s="2" t="s">
        <v>615</v>
      </c>
      <c r="AQ525" s="2" t="s">
        <v>74</v>
      </c>
      <c r="AR525" s="2" t="s">
        <v>74</v>
      </c>
      <c r="AS525" s="2" t="s">
        <v>74</v>
      </c>
      <c r="AT525" s="2" t="s">
        <v>134</v>
      </c>
      <c r="AU525" s="2">
        <v>1999</v>
      </c>
      <c r="AV525" s="2">
        <v>105</v>
      </c>
      <c r="AW525" s="2">
        <v>5</v>
      </c>
      <c r="AX525" s="2" t="s">
        <v>74</v>
      </c>
      <c r="AY525" s="2" t="s">
        <v>74</v>
      </c>
      <c r="AZ525" s="2" t="s">
        <v>74</v>
      </c>
      <c r="BA525" s="2" t="s">
        <v>74</v>
      </c>
      <c r="BB525" s="2">
        <v>431</v>
      </c>
      <c r="BC525" s="2">
        <v>438</v>
      </c>
      <c r="BD525" s="2" t="s">
        <v>74</v>
      </c>
      <c r="BE525" s="2" t="s">
        <v>4313</v>
      </c>
      <c r="BF525" s="2" t="str">
        <f>HYPERLINK("http://dx.doi.org/10.1046/j.1439-0310.1999.00400.x","http://dx.doi.org/10.1046/j.1439-0310.1999.00400.x")</f>
        <v>http://dx.doi.org/10.1046/j.1439-0310.1999.00400.x</v>
      </c>
      <c r="BG525" s="2" t="s">
        <v>74</v>
      </c>
      <c r="BH525" s="2" t="s">
        <v>74</v>
      </c>
      <c r="BI525" s="2" t="s">
        <v>74</v>
      </c>
      <c r="BJ525" s="2" t="s">
        <v>74</v>
      </c>
      <c r="BK525" s="2" t="s">
        <v>74</v>
      </c>
      <c r="BL525" s="2" t="s">
        <v>74</v>
      </c>
      <c r="BM525" s="2" t="s">
        <v>74</v>
      </c>
      <c r="BN525" s="2" t="s">
        <v>74</v>
      </c>
      <c r="BO525" s="2" t="s">
        <v>74</v>
      </c>
      <c r="BP525" s="2" t="s">
        <v>74</v>
      </c>
      <c r="BQ525" s="2" t="s">
        <v>74</v>
      </c>
      <c r="BR525" s="2" t="s">
        <v>74</v>
      </c>
      <c r="BS525" s="2" t="s">
        <v>4314</v>
      </c>
      <c r="BT525" s="2" t="str">
        <f>HYPERLINK("https%3A%2F%2Fwww.webofscience.com%2Fwos%2Fwoscc%2Ffull-record%2FWOS:000080438000006","View Full Record in Web of Science")</f>
        <v>View Full Record in Web of Science</v>
      </c>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row>
    <row r="526" spans="1:314" s="2" customFormat="1" x14ac:dyDescent="0.4">
      <c r="A526" s="2" t="s">
        <v>72</v>
      </c>
      <c r="B526" s="2" t="s">
        <v>1599</v>
      </c>
      <c r="C526" s="2" t="s">
        <v>74</v>
      </c>
      <c r="D526" s="2" t="s">
        <v>74</v>
      </c>
      <c r="E526" s="2" t="s">
        <v>74</v>
      </c>
      <c r="F526" s="2" t="s">
        <v>1599</v>
      </c>
      <c r="G526" s="2" t="s">
        <v>74</v>
      </c>
      <c r="H526" s="2" t="s">
        <v>74</v>
      </c>
      <c r="I526" s="2" t="s">
        <v>1600</v>
      </c>
      <c r="J526" s="2" t="s">
        <v>1601</v>
      </c>
      <c r="K526" s="2" t="s">
        <v>74</v>
      </c>
      <c r="L526" s="2" t="s">
        <v>74</v>
      </c>
      <c r="M526" s="2" t="s">
        <v>74</v>
      </c>
      <c r="N526" s="2" t="s">
        <v>74</v>
      </c>
      <c r="O526" s="2" t="s">
        <v>74</v>
      </c>
      <c r="P526" s="2" t="s">
        <v>74</v>
      </c>
      <c r="Q526" s="2" t="s">
        <v>74</v>
      </c>
      <c r="R526" s="2" t="s">
        <v>74</v>
      </c>
      <c r="S526" s="2" t="s">
        <v>74</v>
      </c>
      <c r="T526" s="2" t="s">
        <v>74</v>
      </c>
      <c r="U526" s="2" t="s">
        <v>74</v>
      </c>
      <c r="V526" s="5" t="s">
        <v>1602</v>
      </c>
      <c r="W526" s="2" t="s">
        <v>74</v>
      </c>
      <c r="X526" s="2" t="s">
        <v>74</v>
      </c>
      <c r="Y526" s="2" t="s">
        <v>74</v>
      </c>
      <c r="Z526" s="2" t="s">
        <v>74</v>
      </c>
      <c r="AA526" s="2" t="s">
        <v>74</v>
      </c>
      <c r="AB526" s="2" t="s">
        <v>74</v>
      </c>
      <c r="AC526" s="2" t="s">
        <v>74</v>
      </c>
      <c r="AD526" s="2" t="s">
        <v>74</v>
      </c>
      <c r="AE526" s="2" t="s">
        <v>74</v>
      </c>
      <c r="AF526" s="2" t="s">
        <v>74</v>
      </c>
      <c r="AG526" s="2" t="s">
        <v>74</v>
      </c>
      <c r="AH526" s="2" t="s">
        <v>74</v>
      </c>
      <c r="AI526" s="2" t="s">
        <v>74</v>
      </c>
      <c r="AJ526" s="2" t="s">
        <v>74</v>
      </c>
      <c r="AK526" s="2" t="s">
        <v>74</v>
      </c>
      <c r="AL526" s="2" t="s">
        <v>74</v>
      </c>
      <c r="AM526" s="2" t="s">
        <v>74</v>
      </c>
      <c r="AN526" s="2" t="s">
        <v>74</v>
      </c>
      <c r="AO526" s="2" t="s">
        <v>1603</v>
      </c>
      <c r="AP526" s="2" t="s">
        <v>74</v>
      </c>
      <c r="AQ526" s="2" t="s">
        <v>74</v>
      </c>
      <c r="AR526" s="2" t="s">
        <v>74</v>
      </c>
      <c r="AS526" s="2" t="s">
        <v>74</v>
      </c>
      <c r="AT526" s="2" t="s">
        <v>352</v>
      </c>
      <c r="AU526" s="2">
        <v>1999</v>
      </c>
      <c r="AV526" s="2">
        <v>106</v>
      </c>
      <c r="AW526" s="2">
        <v>3</v>
      </c>
      <c r="AX526" s="2" t="s">
        <v>74</v>
      </c>
      <c r="AY526" s="2" t="s">
        <v>74</v>
      </c>
      <c r="AZ526" s="2" t="s">
        <v>74</v>
      </c>
      <c r="BA526" s="2" t="s">
        <v>74</v>
      </c>
      <c r="BB526" s="2">
        <v>643</v>
      </c>
      <c r="BC526" s="2">
        <v>661</v>
      </c>
      <c r="BD526" s="2" t="s">
        <v>74</v>
      </c>
      <c r="BE526" s="2" t="s">
        <v>1604</v>
      </c>
      <c r="BF526" s="2" t="str">
        <f>HYPERLINK("http://dx.doi.org/10.5962/bhl.part.80100","http://dx.doi.org/10.5962/bhl.part.80100")</f>
        <v>http://dx.doi.org/10.5962/bhl.part.80100</v>
      </c>
      <c r="BG526" s="2" t="s">
        <v>74</v>
      </c>
      <c r="BH526" s="2" t="s">
        <v>74</v>
      </c>
      <c r="BI526" s="2" t="s">
        <v>74</v>
      </c>
      <c r="BJ526" s="2" t="s">
        <v>74</v>
      </c>
      <c r="BK526" s="2" t="s">
        <v>74</v>
      </c>
      <c r="BL526" s="2" t="s">
        <v>74</v>
      </c>
      <c r="BM526" s="2" t="s">
        <v>74</v>
      </c>
      <c r="BN526" s="2" t="s">
        <v>74</v>
      </c>
      <c r="BO526" s="2" t="s">
        <v>74</v>
      </c>
      <c r="BP526" s="2" t="s">
        <v>74</v>
      </c>
      <c r="BQ526" s="2" t="s">
        <v>74</v>
      </c>
      <c r="BR526" s="2" t="s">
        <v>74</v>
      </c>
      <c r="BS526" s="2" t="s">
        <v>1605</v>
      </c>
      <c r="BT526" s="2" t="str">
        <f>HYPERLINK("https%3A%2F%2Fwww.webofscience.com%2Fwos%2Fwoscc%2Ffull-record%2FWOS:000082969900010","View Full Record in Web of Science")</f>
        <v>View Full Record in Web of Science</v>
      </c>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row>
    <row r="527" spans="1:314" s="2" customFormat="1" x14ac:dyDescent="0.4">
      <c r="A527" s="2" t="s">
        <v>72</v>
      </c>
      <c r="B527" s="2" t="s">
        <v>3709</v>
      </c>
      <c r="C527" s="2" t="s">
        <v>74</v>
      </c>
      <c r="D527" s="2" t="s">
        <v>74</v>
      </c>
      <c r="E527" s="2" t="s">
        <v>74</v>
      </c>
      <c r="F527" s="2" t="s">
        <v>3710</v>
      </c>
      <c r="G527" s="2" t="s">
        <v>74</v>
      </c>
      <c r="H527" s="2" t="s">
        <v>74</v>
      </c>
      <c r="I527" s="2" t="s">
        <v>3711</v>
      </c>
      <c r="J527" s="2" t="s">
        <v>1656</v>
      </c>
      <c r="K527" s="2" t="s">
        <v>74</v>
      </c>
      <c r="L527" s="2" t="s">
        <v>74</v>
      </c>
      <c r="M527" s="2" t="s">
        <v>74</v>
      </c>
      <c r="N527" s="2" t="s">
        <v>74</v>
      </c>
      <c r="O527" s="2" t="s">
        <v>74</v>
      </c>
      <c r="P527" s="2" t="s">
        <v>74</v>
      </c>
      <c r="Q527" s="2" t="s">
        <v>74</v>
      </c>
      <c r="R527" s="2" t="s">
        <v>74</v>
      </c>
      <c r="S527" s="2" t="s">
        <v>74</v>
      </c>
      <c r="T527" s="2" t="s">
        <v>74</v>
      </c>
      <c r="U527" s="2" t="s">
        <v>74</v>
      </c>
      <c r="V527" s="5" t="s">
        <v>3712</v>
      </c>
      <c r="W527" s="2" t="s">
        <v>74</v>
      </c>
      <c r="X527" s="2" t="s">
        <v>74</v>
      </c>
      <c r="Y527" s="2" t="s">
        <v>74</v>
      </c>
      <c r="Z527" s="2" t="s">
        <v>74</v>
      </c>
      <c r="AA527" s="2" t="s">
        <v>3713</v>
      </c>
      <c r="AB527" s="2" t="s">
        <v>3714</v>
      </c>
      <c r="AC527" s="2" t="s">
        <v>74</v>
      </c>
      <c r="AD527" s="2" t="s">
        <v>74</v>
      </c>
      <c r="AE527" s="2" t="s">
        <v>74</v>
      </c>
      <c r="AF527" s="2" t="s">
        <v>74</v>
      </c>
      <c r="AG527" s="2" t="s">
        <v>74</v>
      </c>
      <c r="AH527" s="2" t="s">
        <v>74</v>
      </c>
      <c r="AI527" s="2" t="s">
        <v>74</v>
      </c>
      <c r="AJ527" s="2" t="s">
        <v>74</v>
      </c>
      <c r="AK527" s="2" t="s">
        <v>74</v>
      </c>
      <c r="AL527" s="2" t="s">
        <v>74</v>
      </c>
      <c r="AM527" s="2" t="s">
        <v>74</v>
      </c>
      <c r="AN527" s="2" t="s">
        <v>74</v>
      </c>
      <c r="AO527" s="2" t="s">
        <v>1658</v>
      </c>
      <c r="AP527" s="2" t="s">
        <v>1659</v>
      </c>
      <c r="AQ527" s="2" t="s">
        <v>74</v>
      </c>
      <c r="AR527" s="2" t="s">
        <v>74</v>
      </c>
      <c r="AS527" s="2" t="s">
        <v>74</v>
      </c>
      <c r="AT527" s="2" t="s">
        <v>1629</v>
      </c>
      <c r="AU527" s="2">
        <v>2018</v>
      </c>
      <c r="AV527" s="2">
        <v>4471</v>
      </c>
      <c r="AW527" s="2">
        <v>1</v>
      </c>
      <c r="AX527" s="2" t="s">
        <v>74</v>
      </c>
      <c r="AY527" s="2" t="s">
        <v>74</v>
      </c>
      <c r="AZ527" s="2" t="s">
        <v>74</v>
      </c>
      <c r="BA527" s="2" t="s">
        <v>74</v>
      </c>
      <c r="BB527" s="2">
        <v>137</v>
      </c>
      <c r="BC527" s="2">
        <v>153</v>
      </c>
      <c r="BD527" s="2" t="s">
        <v>74</v>
      </c>
      <c r="BE527" s="2" t="s">
        <v>3715</v>
      </c>
      <c r="BF527" s="2" t="str">
        <f>HYPERLINK("http://dx.doi.org/10.11646/zootaxa.4471.1.6","http://dx.doi.org/10.11646/zootaxa.4471.1.6")</f>
        <v>http://dx.doi.org/10.11646/zootaxa.4471.1.6</v>
      </c>
      <c r="BG527" s="2" t="s">
        <v>74</v>
      </c>
      <c r="BH527" s="2" t="s">
        <v>74</v>
      </c>
      <c r="BI527" s="2" t="s">
        <v>74</v>
      </c>
      <c r="BJ527" s="2" t="s">
        <v>74</v>
      </c>
      <c r="BK527" s="2" t="s">
        <v>74</v>
      </c>
      <c r="BL527" s="2" t="s">
        <v>74</v>
      </c>
      <c r="BM527" s="2" t="s">
        <v>74</v>
      </c>
      <c r="BN527" s="2">
        <v>30313421</v>
      </c>
      <c r="BO527" s="2" t="s">
        <v>74</v>
      </c>
      <c r="BP527" s="2" t="s">
        <v>74</v>
      </c>
      <c r="BQ527" s="2" t="s">
        <v>74</v>
      </c>
      <c r="BR527" s="2" t="s">
        <v>74</v>
      </c>
      <c r="BS527" s="2" t="s">
        <v>3716</v>
      </c>
      <c r="BT527" s="2" t="str">
        <f>HYPERLINK("https%3A%2F%2Fwww.webofscience.com%2Fwos%2Fwoscc%2Ffull-record%2FWOS:000443458800006","View Full Record in Web of Science")</f>
        <v>View Full Record in Web of Science</v>
      </c>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row>
    <row r="528" spans="1:314" s="2" customFormat="1" x14ac:dyDescent="0.4">
      <c r="A528" s="2" t="s">
        <v>72</v>
      </c>
      <c r="B528" s="2" t="s">
        <v>3703</v>
      </c>
      <c r="C528" s="2" t="s">
        <v>74</v>
      </c>
      <c r="D528" s="2" t="s">
        <v>74</v>
      </c>
      <c r="E528" s="2" t="s">
        <v>74</v>
      </c>
      <c r="F528" s="2" t="s">
        <v>3703</v>
      </c>
      <c r="G528" s="2" t="s">
        <v>74</v>
      </c>
      <c r="H528" s="2" t="s">
        <v>74</v>
      </c>
      <c r="I528" s="2" t="s">
        <v>3704</v>
      </c>
      <c r="J528" s="2" t="s">
        <v>763</v>
      </c>
      <c r="K528" s="2" t="s">
        <v>74</v>
      </c>
      <c r="L528" s="2" t="s">
        <v>74</v>
      </c>
      <c r="M528" s="2" t="s">
        <v>74</v>
      </c>
      <c r="N528" s="2" t="s">
        <v>74</v>
      </c>
      <c r="O528" s="2" t="s">
        <v>74</v>
      </c>
      <c r="P528" s="2" t="s">
        <v>74</v>
      </c>
      <c r="Q528" s="2" t="s">
        <v>74</v>
      </c>
      <c r="R528" s="2" t="s">
        <v>74</v>
      </c>
      <c r="S528" s="2" t="s">
        <v>74</v>
      </c>
      <c r="T528" s="2" t="s">
        <v>74</v>
      </c>
      <c r="U528" s="2" t="s">
        <v>74</v>
      </c>
      <c r="V528" s="5" t="s">
        <v>3705</v>
      </c>
      <c r="W528" s="2" t="s">
        <v>74</v>
      </c>
      <c r="X528" s="2" t="s">
        <v>74</v>
      </c>
      <c r="Y528" s="2" t="s">
        <v>74</v>
      </c>
      <c r="Z528" s="2" t="s">
        <v>74</v>
      </c>
      <c r="AA528" s="2" t="s">
        <v>3706</v>
      </c>
      <c r="AB528" s="2" t="s">
        <v>3707</v>
      </c>
      <c r="AC528" s="2" t="s">
        <v>74</v>
      </c>
      <c r="AD528" s="2" t="s">
        <v>74</v>
      </c>
      <c r="AE528" s="2" t="s">
        <v>74</v>
      </c>
      <c r="AF528" s="2" t="s">
        <v>74</v>
      </c>
      <c r="AG528" s="2" t="s">
        <v>74</v>
      </c>
      <c r="AH528" s="2" t="s">
        <v>74</v>
      </c>
      <c r="AI528" s="2" t="s">
        <v>74</v>
      </c>
      <c r="AJ528" s="2" t="s">
        <v>74</v>
      </c>
      <c r="AK528" s="2" t="s">
        <v>74</v>
      </c>
      <c r="AL528" s="2" t="s">
        <v>74</v>
      </c>
      <c r="AM528" s="2" t="s">
        <v>74</v>
      </c>
      <c r="AN528" s="2" t="s">
        <v>74</v>
      </c>
      <c r="AO528" s="2" t="s">
        <v>767</v>
      </c>
      <c r="AP528" s="2" t="s">
        <v>74</v>
      </c>
      <c r="AQ528" s="2" t="s">
        <v>74</v>
      </c>
      <c r="AR528" s="2" t="s">
        <v>74</v>
      </c>
      <c r="AS528" s="2" t="s">
        <v>74</v>
      </c>
      <c r="AT528" s="2" t="s">
        <v>145</v>
      </c>
      <c r="AU528" s="2">
        <v>2002</v>
      </c>
      <c r="AV528" s="2">
        <v>205</v>
      </c>
      <c r="AW528" s="2">
        <v>16</v>
      </c>
      <c r="AX528" s="2" t="s">
        <v>74</v>
      </c>
      <c r="AY528" s="2" t="s">
        <v>74</v>
      </c>
      <c r="AZ528" s="2" t="s">
        <v>74</v>
      </c>
      <c r="BA528" s="2" t="s">
        <v>74</v>
      </c>
      <c r="BB528" s="2">
        <v>2535</v>
      </c>
      <c r="BC528" s="2">
        <v>2543</v>
      </c>
      <c r="BD528" s="2" t="s">
        <v>74</v>
      </c>
      <c r="BE528" s="2" t="s">
        <v>74</v>
      </c>
      <c r="BF528" s="2" t="s">
        <v>74</v>
      </c>
      <c r="BG528" s="2" t="s">
        <v>74</v>
      </c>
      <c r="BH528" s="2" t="s">
        <v>74</v>
      </c>
      <c r="BI528" s="2" t="s">
        <v>74</v>
      </c>
      <c r="BJ528" s="2" t="s">
        <v>74</v>
      </c>
      <c r="BK528" s="2" t="s">
        <v>74</v>
      </c>
      <c r="BL528" s="2" t="s">
        <v>74</v>
      </c>
      <c r="BM528" s="2" t="s">
        <v>74</v>
      </c>
      <c r="BN528" s="2">
        <v>12124377</v>
      </c>
      <c r="BO528" s="2" t="s">
        <v>74</v>
      </c>
      <c r="BP528" s="2" t="s">
        <v>74</v>
      </c>
      <c r="BQ528" s="2" t="s">
        <v>74</v>
      </c>
      <c r="BR528" s="2" t="s">
        <v>74</v>
      </c>
      <c r="BS528" s="2" t="s">
        <v>3708</v>
      </c>
      <c r="BT528" s="2" t="str">
        <f>HYPERLINK("https%3A%2F%2Fwww.webofscience.com%2Fwos%2Fwoscc%2Ffull-record%2FWOS:000177855700019","View Full Record in Web of Science")</f>
        <v>View Full Record in Web of Science</v>
      </c>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row>
    <row r="529" spans="1:314" s="2" customFormat="1" x14ac:dyDescent="0.4">
      <c r="A529" s="2" t="s">
        <v>72</v>
      </c>
      <c r="B529" s="2" t="s">
        <v>2515</v>
      </c>
      <c r="C529" s="2" t="s">
        <v>74</v>
      </c>
      <c r="D529" s="2" t="s">
        <v>74</v>
      </c>
      <c r="E529" s="2" t="s">
        <v>74</v>
      </c>
      <c r="F529" s="2" t="s">
        <v>2515</v>
      </c>
      <c r="G529" s="2" t="s">
        <v>74</v>
      </c>
      <c r="H529" s="2" t="s">
        <v>74</v>
      </c>
      <c r="I529" s="2" t="s">
        <v>2516</v>
      </c>
      <c r="J529" s="2" t="s">
        <v>1135</v>
      </c>
      <c r="K529" s="2" t="s">
        <v>74</v>
      </c>
      <c r="L529" s="2" t="s">
        <v>74</v>
      </c>
      <c r="M529" s="2" t="s">
        <v>74</v>
      </c>
      <c r="N529" s="2" t="s">
        <v>74</v>
      </c>
      <c r="O529" s="2" t="s">
        <v>74</v>
      </c>
      <c r="P529" s="2" t="s">
        <v>74</v>
      </c>
      <c r="Q529" s="2" t="s">
        <v>74</v>
      </c>
      <c r="R529" s="2" t="s">
        <v>74</v>
      </c>
      <c r="S529" s="2" t="s">
        <v>74</v>
      </c>
      <c r="T529" s="2" t="s">
        <v>74</v>
      </c>
      <c r="U529" s="2" t="s">
        <v>74</v>
      </c>
      <c r="V529" s="5" t="s">
        <v>2517</v>
      </c>
      <c r="W529" s="2" t="s">
        <v>74</v>
      </c>
      <c r="X529" s="2" t="s">
        <v>74</v>
      </c>
      <c r="Y529" s="2" t="s">
        <v>74</v>
      </c>
      <c r="Z529" s="2" t="s">
        <v>74</v>
      </c>
      <c r="AA529" s="2" t="s">
        <v>2518</v>
      </c>
      <c r="AB529" s="2" t="s">
        <v>2519</v>
      </c>
      <c r="AC529" s="2" t="s">
        <v>74</v>
      </c>
      <c r="AD529" s="2" t="s">
        <v>74</v>
      </c>
      <c r="AE529" s="2" t="s">
        <v>74</v>
      </c>
      <c r="AF529" s="2" t="s">
        <v>74</v>
      </c>
      <c r="AG529" s="2" t="s">
        <v>74</v>
      </c>
      <c r="AH529" s="2" t="s">
        <v>74</v>
      </c>
      <c r="AI529" s="2" t="s">
        <v>74</v>
      </c>
      <c r="AJ529" s="2" t="s">
        <v>74</v>
      </c>
      <c r="AK529" s="2" t="s">
        <v>74</v>
      </c>
      <c r="AL529" s="2" t="s">
        <v>74</v>
      </c>
      <c r="AM529" s="2" t="s">
        <v>74</v>
      </c>
      <c r="AN529" s="2" t="s">
        <v>74</v>
      </c>
      <c r="AO529" s="2" t="s">
        <v>1137</v>
      </c>
      <c r="AP529" s="2" t="s">
        <v>74</v>
      </c>
      <c r="AQ529" s="2" t="s">
        <v>74</v>
      </c>
      <c r="AR529" s="2" t="s">
        <v>74</v>
      </c>
      <c r="AS529" s="2" t="s">
        <v>74</v>
      </c>
      <c r="AT529" s="2" t="s">
        <v>1611</v>
      </c>
      <c r="AU529" s="2">
        <v>1993</v>
      </c>
      <c r="AV529" s="2">
        <v>24</v>
      </c>
      <c r="AW529" s="2">
        <v>1</v>
      </c>
      <c r="AX529" s="2" t="s">
        <v>74</v>
      </c>
      <c r="AY529" s="2" t="s">
        <v>74</v>
      </c>
      <c r="AZ529" s="2" t="s">
        <v>74</v>
      </c>
      <c r="BA529" s="2" t="s">
        <v>74</v>
      </c>
      <c r="BB529" s="2">
        <v>53</v>
      </c>
      <c r="BC529" s="2">
        <v>58</v>
      </c>
      <c r="BD529" s="2" t="s">
        <v>74</v>
      </c>
      <c r="BE529" s="2" t="s">
        <v>2520</v>
      </c>
      <c r="BF529" s="2" t="str">
        <f>HYPERLINK("http://dx.doi.org/10.2307/3676410","http://dx.doi.org/10.2307/3676410")</f>
        <v>http://dx.doi.org/10.2307/3676410</v>
      </c>
      <c r="BG529" s="2" t="s">
        <v>74</v>
      </c>
      <c r="BH529" s="2" t="s">
        <v>74</v>
      </c>
      <c r="BI529" s="2" t="s">
        <v>74</v>
      </c>
      <c r="BJ529" s="2" t="s">
        <v>74</v>
      </c>
      <c r="BK529" s="2" t="s">
        <v>74</v>
      </c>
      <c r="BL529" s="2" t="s">
        <v>74</v>
      </c>
      <c r="BM529" s="2" t="s">
        <v>74</v>
      </c>
      <c r="BN529" s="2" t="s">
        <v>74</v>
      </c>
      <c r="BO529" s="2" t="s">
        <v>74</v>
      </c>
      <c r="BP529" s="2" t="s">
        <v>74</v>
      </c>
      <c r="BQ529" s="2" t="s">
        <v>74</v>
      </c>
      <c r="BR529" s="2" t="s">
        <v>74</v>
      </c>
      <c r="BS529" s="2" t="s">
        <v>2521</v>
      </c>
      <c r="BT529" s="2" t="str">
        <f>HYPERLINK("https%3A%2F%2Fwww.webofscience.com%2Fwos%2Fwoscc%2Ffull-record%2FWOS:A1993KP96900009","View Full Record in Web of Science")</f>
        <v>View Full Record in Web of Science</v>
      </c>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row>
    <row r="530" spans="1:314" s="2" customFormat="1" x14ac:dyDescent="0.4">
      <c r="A530" s="2" t="s">
        <v>72</v>
      </c>
      <c r="B530" s="2" t="s">
        <v>6371</v>
      </c>
      <c r="C530" s="2" t="s">
        <v>74</v>
      </c>
      <c r="D530" s="2" t="s">
        <v>74</v>
      </c>
      <c r="E530" s="2" t="s">
        <v>74</v>
      </c>
      <c r="F530" s="2" t="s">
        <v>6371</v>
      </c>
      <c r="G530" s="2" t="s">
        <v>74</v>
      </c>
      <c r="H530" s="2" t="s">
        <v>74</v>
      </c>
      <c r="I530" s="2" t="s">
        <v>6372</v>
      </c>
      <c r="J530" s="2" t="s">
        <v>6373</v>
      </c>
      <c r="K530" s="2" t="s">
        <v>74</v>
      </c>
      <c r="L530" s="2" t="s">
        <v>74</v>
      </c>
      <c r="M530" s="2" t="s">
        <v>74</v>
      </c>
      <c r="N530" s="2" t="s">
        <v>74</v>
      </c>
      <c r="O530" s="2" t="s">
        <v>6374</v>
      </c>
      <c r="P530" s="2" t="s">
        <v>6375</v>
      </c>
      <c r="Q530" s="2" t="s">
        <v>6376</v>
      </c>
      <c r="R530" s="2" t="s">
        <v>74</v>
      </c>
      <c r="S530" s="2" t="s">
        <v>74</v>
      </c>
      <c r="T530" s="2" t="s">
        <v>74</v>
      </c>
      <c r="U530" s="2" t="s">
        <v>74</v>
      </c>
      <c r="V530" s="5" t="s">
        <v>6377</v>
      </c>
      <c r="W530" s="2" t="s">
        <v>74</v>
      </c>
      <c r="X530" s="2" t="s">
        <v>74</v>
      </c>
      <c r="Y530" s="2" t="s">
        <v>74</v>
      </c>
      <c r="Z530" s="2" t="s">
        <v>74</v>
      </c>
      <c r="AA530" s="2" t="s">
        <v>74</v>
      </c>
      <c r="AB530" s="2" t="s">
        <v>74</v>
      </c>
      <c r="AC530" s="2" t="s">
        <v>74</v>
      </c>
      <c r="AD530" s="2" t="s">
        <v>74</v>
      </c>
      <c r="AE530" s="2" t="s">
        <v>74</v>
      </c>
      <c r="AF530" s="2" t="s">
        <v>74</v>
      </c>
      <c r="AG530" s="2" t="s">
        <v>74</v>
      </c>
      <c r="AH530" s="2" t="s">
        <v>74</v>
      </c>
      <c r="AI530" s="2" t="s">
        <v>74</v>
      </c>
      <c r="AJ530" s="2" t="s">
        <v>74</v>
      </c>
      <c r="AK530" s="2" t="s">
        <v>74</v>
      </c>
      <c r="AL530" s="2" t="s">
        <v>74</v>
      </c>
      <c r="AM530" s="2" t="s">
        <v>74</v>
      </c>
      <c r="AN530" s="2" t="s">
        <v>74</v>
      </c>
      <c r="AO530" s="2" t="s">
        <v>6378</v>
      </c>
      <c r="AP530" s="2" t="s">
        <v>74</v>
      </c>
      <c r="AQ530" s="2" t="s">
        <v>74</v>
      </c>
      <c r="AR530" s="2" t="s">
        <v>74</v>
      </c>
      <c r="AS530" s="2" t="s">
        <v>74</v>
      </c>
      <c r="AT530" s="2" t="s">
        <v>134</v>
      </c>
      <c r="AU530" s="2">
        <v>1997</v>
      </c>
      <c r="AV530" s="2">
        <v>25</v>
      </c>
      <c r="AW530" s="2">
        <v>3</v>
      </c>
      <c r="AX530" s="2" t="s">
        <v>74</v>
      </c>
      <c r="AY530" s="2" t="s">
        <v>74</v>
      </c>
      <c r="AZ530" s="2" t="s">
        <v>74</v>
      </c>
      <c r="BA530" s="2" t="s">
        <v>74</v>
      </c>
      <c r="BB530" s="2">
        <v>233</v>
      </c>
      <c r="BC530" s="2">
        <v>240</v>
      </c>
      <c r="BD530" s="2" t="s">
        <v>74</v>
      </c>
      <c r="BE530" s="2" t="s">
        <v>74</v>
      </c>
      <c r="BF530" s="2" t="s">
        <v>74</v>
      </c>
      <c r="BG530" s="2" t="s">
        <v>74</v>
      </c>
      <c r="BH530" s="2" t="s">
        <v>74</v>
      </c>
      <c r="BI530" s="2" t="s">
        <v>74</v>
      </c>
      <c r="BJ530" s="2" t="s">
        <v>74</v>
      </c>
      <c r="BK530" s="2" t="s">
        <v>74</v>
      </c>
      <c r="BL530" s="2" t="s">
        <v>74</v>
      </c>
      <c r="BM530" s="2" t="s">
        <v>74</v>
      </c>
      <c r="BN530" s="2">
        <v>9289882</v>
      </c>
      <c r="BO530" s="2" t="s">
        <v>74</v>
      </c>
      <c r="BP530" s="2" t="s">
        <v>74</v>
      </c>
      <c r="BQ530" s="2" t="s">
        <v>74</v>
      </c>
      <c r="BR530" s="2" t="s">
        <v>74</v>
      </c>
      <c r="BS530" s="2" t="s">
        <v>6379</v>
      </c>
      <c r="BT530" s="2" t="str">
        <f>HYPERLINK("https%3A%2F%2Fwww.webofscience.com%2Fwos%2Fwoscc%2Ffull-record%2FWOS:A1997XB94300007","View Full Record in Web of Science")</f>
        <v>View Full Record in Web of Science</v>
      </c>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row>
    <row r="531" spans="1:314" s="2" customFormat="1" x14ac:dyDescent="0.4">
      <c r="A531" s="2" t="s">
        <v>72</v>
      </c>
      <c r="B531" s="2" t="s">
        <v>2230</v>
      </c>
      <c r="C531" s="2" t="s">
        <v>74</v>
      </c>
      <c r="D531" s="2" t="s">
        <v>74</v>
      </c>
      <c r="E531" s="2" t="s">
        <v>74</v>
      </c>
      <c r="F531" s="2" t="s">
        <v>2230</v>
      </c>
      <c r="G531" s="2" t="s">
        <v>74</v>
      </c>
      <c r="H531" s="2" t="s">
        <v>74</v>
      </c>
      <c r="I531" s="2" t="s">
        <v>2231</v>
      </c>
      <c r="J531" s="2" t="s">
        <v>2232</v>
      </c>
      <c r="K531" s="2" t="s">
        <v>74</v>
      </c>
      <c r="L531" s="2" t="s">
        <v>74</v>
      </c>
      <c r="M531" s="2" t="s">
        <v>74</v>
      </c>
      <c r="N531" s="2" t="s">
        <v>74</v>
      </c>
      <c r="O531" s="2" t="s">
        <v>74</v>
      </c>
      <c r="P531" s="2" t="s">
        <v>74</v>
      </c>
      <c r="Q531" s="2" t="s">
        <v>74</v>
      </c>
      <c r="R531" s="2" t="s">
        <v>74</v>
      </c>
      <c r="S531" s="2" t="s">
        <v>74</v>
      </c>
      <c r="T531" s="2" t="s">
        <v>74</v>
      </c>
      <c r="U531" s="2" t="s">
        <v>74</v>
      </c>
      <c r="V531" s="5" t="s">
        <v>2233</v>
      </c>
      <c r="W531" s="2" t="s">
        <v>74</v>
      </c>
      <c r="X531" s="2" t="s">
        <v>74</v>
      </c>
      <c r="Y531" s="2" t="s">
        <v>74</v>
      </c>
      <c r="Z531" s="2" t="s">
        <v>74</v>
      </c>
      <c r="AA531" s="2" t="s">
        <v>2234</v>
      </c>
      <c r="AB531" s="2" t="s">
        <v>2235</v>
      </c>
      <c r="AC531" s="2" t="s">
        <v>74</v>
      </c>
      <c r="AD531" s="2" t="s">
        <v>74</v>
      </c>
      <c r="AE531" s="2" t="s">
        <v>74</v>
      </c>
      <c r="AF531" s="2" t="s">
        <v>74</v>
      </c>
      <c r="AG531" s="2" t="s">
        <v>74</v>
      </c>
      <c r="AH531" s="2" t="s">
        <v>74</v>
      </c>
      <c r="AI531" s="2" t="s">
        <v>74</v>
      </c>
      <c r="AJ531" s="2" t="s">
        <v>74</v>
      </c>
      <c r="AK531" s="2" t="s">
        <v>74</v>
      </c>
      <c r="AL531" s="2" t="s">
        <v>74</v>
      </c>
      <c r="AM531" s="2" t="s">
        <v>74</v>
      </c>
      <c r="AN531" s="2" t="s">
        <v>74</v>
      </c>
      <c r="AO531" s="2" t="s">
        <v>2236</v>
      </c>
      <c r="AP531" s="2" t="s">
        <v>2237</v>
      </c>
      <c r="AQ531" s="2" t="s">
        <v>74</v>
      </c>
      <c r="AR531" s="2" t="s">
        <v>74</v>
      </c>
      <c r="AS531" s="2" t="s">
        <v>74</v>
      </c>
      <c r="AT531" s="2" t="s">
        <v>175</v>
      </c>
      <c r="AU531" s="2">
        <v>2002</v>
      </c>
      <c r="AV531" s="2">
        <v>99</v>
      </c>
      <c r="AW531" s="2">
        <v>1</v>
      </c>
      <c r="AX531" s="2" t="s">
        <v>74</v>
      </c>
      <c r="AY531" s="2" t="s">
        <v>74</v>
      </c>
      <c r="AZ531" s="2" t="s">
        <v>74</v>
      </c>
      <c r="BA531" s="2" t="s">
        <v>74</v>
      </c>
      <c r="BB531" s="2">
        <v>184</v>
      </c>
      <c r="BC531" s="2">
        <v>188</v>
      </c>
      <c r="BD531" s="2" t="s">
        <v>74</v>
      </c>
      <c r="BE531" s="2" t="s">
        <v>2238</v>
      </c>
      <c r="BF531" s="2" t="str">
        <f>HYPERLINK("http://dx.doi.org/10.1034/j.1600-0706.2002.990119.x","http://dx.doi.org/10.1034/j.1600-0706.2002.990119.x")</f>
        <v>http://dx.doi.org/10.1034/j.1600-0706.2002.990119.x</v>
      </c>
      <c r="BG531" s="2" t="s">
        <v>74</v>
      </c>
      <c r="BH531" s="2" t="s">
        <v>74</v>
      </c>
      <c r="BI531" s="2" t="s">
        <v>74</v>
      </c>
      <c r="BJ531" s="2" t="s">
        <v>74</v>
      </c>
      <c r="BK531" s="2" t="s">
        <v>74</v>
      </c>
      <c r="BL531" s="2" t="s">
        <v>74</v>
      </c>
      <c r="BM531" s="2" t="s">
        <v>74</v>
      </c>
      <c r="BN531" s="2" t="s">
        <v>74</v>
      </c>
      <c r="BO531" s="2" t="s">
        <v>74</v>
      </c>
      <c r="BP531" s="2" t="s">
        <v>74</v>
      </c>
      <c r="BQ531" s="2" t="s">
        <v>74</v>
      </c>
      <c r="BR531" s="2" t="s">
        <v>74</v>
      </c>
      <c r="BS531" s="2" t="s">
        <v>2239</v>
      </c>
      <c r="BT531" s="2" t="str">
        <f>HYPERLINK("https%3A%2F%2Fwww.webofscience.com%2Fwos%2Fwoscc%2Ffull-record%2FWOS:000178883100019","View Full Record in Web of Science")</f>
        <v>View Full Record in Web of Science</v>
      </c>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row>
    <row r="532" spans="1:314" s="2" customFormat="1" x14ac:dyDescent="0.4">
      <c r="A532" s="2" t="s">
        <v>72</v>
      </c>
      <c r="B532" s="2" t="s">
        <v>6327</v>
      </c>
      <c r="C532" s="2" t="s">
        <v>74</v>
      </c>
      <c r="D532" s="2" t="s">
        <v>74</v>
      </c>
      <c r="E532" s="2" t="s">
        <v>74</v>
      </c>
      <c r="F532" s="2" t="s">
        <v>6328</v>
      </c>
      <c r="G532" s="2" t="s">
        <v>74</v>
      </c>
      <c r="H532" s="2" t="s">
        <v>74</v>
      </c>
      <c r="I532" s="2" t="s">
        <v>6329</v>
      </c>
      <c r="J532" s="2" t="s">
        <v>763</v>
      </c>
      <c r="K532" s="2" t="s">
        <v>74</v>
      </c>
      <c r="L532" s="2" t="s">
        <v>74</v>
      </c>
      <c r="M532" s="2" t="s">
        <v>74</v>
      </c>
      <c r="N532" s="2" t="s">
        <v>74</v>
      </c>
      <c r="O532" s="2" t="s">
        <v>74</v>
      </c>
      <c r="P532" s="2" t="s">
        <v>74</v>
      </c>
      <c r="Q532" s="2" t="s">
        <v>74</v>
      </c>
      <c r="R532" s="2" t="s">
        <v>74</v>
      </c>
      <c r="S532" s="2" t="s">
        <v>74</v>
      </c>
      <c r="T532" s="2" t="s">
        <v>74</v>
      </c>
      <c r="U532" s="2" t="s">
        <v>74</v>
      </c>
      <c r="V532" s="5" t="s">
        <v>6330</v>
      </c>
      <c r="W532" s="2" t="s">
        <v>74</v>
      </c>
      <c r="X532" s="2" t="s">
        <v>74</v>
      </c>
      <c r="Y532" s="2" t="s">
        <v>74</v>
      </c>
      <c r="Z532" s="2" t="s">
        <v>74</v>
      </c>
      <c r="AA532" s="2" t="s">
        <v>6331</v>
      </c>
      <c r="AB532" s="2" t="s">
        <v>74</v>
      </c>
      <c r="AC532" s="2" t="s">
        <v>74</v>
      </c>
      <c r="AD532" s="2" t="s">
        <v>74</v>
      </c>
      <c r="AE532" s="2" t="s">
        <v>74</v>
      </c>
      <c r="AF532" s="2" t="s">
        <v>74</v>
      </c>
      <c r="AG532" s="2" t="s">
        <v>74</v>
      </c>
      <c r="AH532" s="2" t="s">
        <v>74</v>
      </c>
      <c r="AI532" s="2" t="s">
        <v>74</v>
      </c>
      <c r="AJ532" s="2" t="s">
        <v>74</v>
      </c>
      <c r="AK532" s="2" t="s">
        <v>74</v>
      </c>
      <c r="AL532" s="2" t="s">
        <v>74</v>
      </c>
      <c r="AM532" s="2" t="s">
        <v>74</v>
      </c>
      <c r="AN532" s="2" t="s">
        <v>74</v>
      </c>
      <c r="AO532" s="2" t="s">
        <v>767</v>
      </c>
      <c r="AP532" s="2" t="s">
        <v>768</v>
      </c>
      <c r="AQ532" s="2" t="s">
        <v>74</v>
      </c>
      <c r="AR532" s="2" t="s">
        <v>74</v>
      </c>
      <c r="AS532" s="2" t="s">
        <v>74</v>
      </c>
      <c r="AT532" s="2" t="s">
        <v>1146</v>
      </c>
      <c r="AU532" s="2">
        <v>2008</v>
      </c>
      <c r="AV532" s="2">
        <v>211</v>
      </c>
      <c r="AW532" s="2">
        <v>15</v>
      </c>
      <c r="AX532" s="2" t="s">
        <v>74</v>
      </c>
      <c r="AY532" s="2" t="s">
        <v>74</v>
      </c>
      <c r="AZ532" s="2" t="s">
        <v>74</v>
      </c>
      <c r="BA532" s="2" t="s">
        <v>74</v>
      </c>
      <c r="BB532" s="2">
        <v>2519</v>
      </c>
      <c r="BC532" s="2">
        <v>2523</v>
      </c>
      <c r="BD532" s="2" t="s">
        <v>74</v>
      </c>
      <c r="BE532" s="2" t="s">
        <v>6332</v>
      </c>
      <c r="BF532" s="2" t="str">
        <f>HYPERLINK("http://dx.doi.org/10.1242/jeb.017327","http://dx.doi.org/10.1242/jeb.017327")</f>
        <v>http://dx.doi.org/10.1242/jeb.017327</v>
      </c>
      <c r="BG532" s="2" t="s">
        <v>74</v>
      </c>
      <c r="BH532" s="2" t="s">
        <v>74</v>
      </c>
      <c r="BI532" s="2" t="s">
        <v>74</v>
      </c>
      <c r="BJ532" s="2" t="s">
        <v>74</v>
      </c>
      <c r="BK532" s="2" t="s">
        <v>74</v>
      </c>
      <c r="BL532" s="2" t="s">
        <v>74</v>
      </c>
      <c r="BM532" s="2" t="s">
        <v>74</v>
      </c>
      <c r="BN532" s="2">
        <v>18626087</v>
      </c>
      <c r="BO532" s="2" t="s">
        <v>74</v>
      </c>
      <c r="BP532" s="2" t="s">
        <v>74</v>
      </c>
      <c r="BQ532" s="2" t="s">
        <v>74</v>
      </c>
      <c r="BR532" s="2" t="s">
        <v>74</v>
      </c>
      <c r="BS532" s="2" t="s">
        <v>6333</v>
      </c>
      <c r="BT532" s="2" t="str">
        <f>HYPERLINK("https%3A%2F%2Fwww.webofscience.com%2Fwos%2Fwoscc%2Ffull-record%2FWOS:000257620300027","View Full Record in Web of Science")</f>
        <v>View Full Record in Web of Science</v>
      </c>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row>
    <row r="533" spans="1:314" s="2" customFormat="1" x14ac:dyDescent="0.4">
      <c r="A533" s="2" t="s">
        <v>72</v>
      </c>
      <c r="B533" s="2" t="s">
        <v>1971</v>
      </c>
      <c r="C533" s="2" t="s">
        <v>74</v>
      </c>
      <c r="D533" s="2" t="s">
        <v>74</v>
      </c>
      <c r="E533" s="2" t="s">
        <v>74</v>
      </c>
      <c r="F533" s="2" t="s">
        <v>1972</v>
      </c>
      <c r="G533" s="2" t="s">
        <v>74</v>
      </c>
      <c r="H533" s="2" t="s">
        <v>74</v>
      </c>
      <c r="I533" s="2" t="s">
        <v>1973</v>
      </c>
      <c r="J533" s="2" t="s">
        <v>970</v>
      </c>
      <c r="K533" s="2" t="s">
        <v>74</v>
      </c>
      <c r="L533" s="2" t="s">
        <v>74</v>
      </c>
      <c r="M533" s="2" t="s">
        <v>74</v>
      </c>
      <c r="N533" s="2" t="s">
        <v>74</v>
      </c>
      <c r="O533" s="2" t="s">
        <v>74</v>
      </c>
      <c r="P533" s="2" t="s">
        <v>74</v>
      </c>
      <c r="Q533" s="2" t="s">
        <v>74</v>
      </c>
      <c r="R533" s="2" t="s">
        <v>74</v>
      </c>
      <c r="S533" s="2" t="s">
        <v>74</v>
      </c>
      <c r="T533" s="2" t="s">
        <v>74</v>
      </c>
      <c r="U533" s="2" t="s">
        <v>74</v>
      </c>
      <c r="V533" s="5" t="s">
        <v>1974</v>
      </c>
      <c r="W533" s="2" t="s">
        <v>74</v>
      </c>
      <c r="X533" s="2" t="s">
        <v>74</v>
      </c>
      <c r="Y533" s="2" t="s">
        <v>74</v>
      </c>
      <c r="Z533" s="2" t="s">
        <v>74</v>
      </c>
      <c r="AA533" s="2" t="s">
        <v>1975</v>
      </c>
      <c r="AB533" s="2" t="s">
        <v>1976</v>
      </c>
      <c r="AC533" s="2" t="s">
        <v>74</v>
      </c>
      <c r="AD533" s="2" t="s">
        <v>74</v>
      </c>
      <c r="AE533" s="2" t="s">
        <v>74</v>
      </c>
      <c r="AF533" s="2" t="s">
        <v>74</v>
      </c>
      <c r="AG533" s="2" t="s">
        <v>74</v>
      </c>
      <c r="AH533" s="2" t="s">
        <v>74</v>
      </c>
      <c r="AI533" s="2" t="s">
        <v>74</v>
      </c>
      <c r="AJ533" s="2" t="s">
        <v>74</v>
      </c>
      <c r="AK533" s="2" t="s">
        <v>74</v>
      </c>
      <c r="AL533" s="2" t="s">
        <v>74</v>
      </c>
      <c r="AM533" s="2" t="s">
        <v>74</v>
      </c>
      <c r="AN533" s="2" t="s">
        <v>74</v>
      </c>
      <c r="AO533" s="2" t="s">
        <v>974</v>
      </c>
      <c r="AP533" s="2" t="s">
        <v>975</v>
      </c>
      <c r="AQ533" s="2" t="s">
        <v>74</v>
      </c>
      <c r="AR533" s="2" t="s">
        <v>74</v>
      </c>
      <c r="AS533" s="2" t="s">
        <v>74</v>
      </c>
      <c r="AT533" s="2" t="s">
        <v>175</v>
      </c>
      <c r="AU533" s="2">
        <v>2006</v>
      </c>
      <c r="AV533" s="2">
        <v>147</v>
      </c>
      <c r="AW533" s="2">
        <v>4</v>
      </c>
      <c r="AX533" s="2" t="s">
        <v>74</v>
      </c>
      <c r="AY533" s="2" t="s">
        <v>74</v>
      </c>
      <c r="AZ533" s="2" t="s">
        <v>74</v>
      </c>
      <c r="BA533" s="2" t="s">
        <v>74</v>
      </c>
      <c r="BB533" s="2">
        <v>629</v>
      </c>
      <c r="BC533" s="2">
        <v>637</v>
      </c>
      <c r="BD533" s="2" t="s">
        <v>74</v>
      </c>
      <c r="BE533" s="2" t="s">
        <v>1977</v>
      </c>
      <c r="BF533" s="2" t="str">
        <f>HYPERLINK("http://dx.doi.org/10.1007/s10336-006-0088-y","http://dx.doi.org/10.1007/s10336-006-0088-y")</f>
        <v>http://dx.doi.org/10.1007/s10336-006-0088-y</v>
      </c>
      <c r="BG533" s="2" t="s">
        <v>74</v>
      </c>
      <c r="BH533" s="2" t="s">
        <v>74</v>
      </c>
      <c r="BI533" s="2" t="s">
        <v>74</v>
      </c>
      <c r="BJ533" s="2" t="s">
        <v>74</v>
      </c>
      <c r="BK533" s="2" t="s">
        <v>74</v>
      </c>
      <c r="BL533" s="2" t="s">
        <v>74</v>
      </c>
      <c r="BM533" s="2" t="s">
        <v>74</v>
      </c>
      <c r="BN533" s="2" t="s">
        <v>74</v>
      </c>
      <c r="BO533" s="2" t="s">
        <v>74</v>
      </c>
      <c r="BP533" s="2" t="s">
        <v>74</v>
      </c>
      <c r="BQ533" s="2" t="s">
        <v>74</v>
      </c>
      <c r="BR533" s="2" t="s">
        <v>74</v>
      </c>
      <c r="BS533" s="2" t="s">
        <v>1978</v>
      </c>
      <c r="BT533" s="2" t="str">
        <f>HYPERLINK("https%3A%2F%2Fwww.webofscience.com%2Fwos%2Fwoscc%2Ffull-record%2FWOS:000241113000015","View Full Record in Web of Science")</f>
        <v>View Full Record in Web of Science</v>
      </c>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row>
    <row r="534" spans="1:314" s="2" customFormat="1" x14ac:dyDescent="0.4">
      <c r="A534" s="2" t="s">
        <v>72</v>
      </c>
      <c r="B534" s="2" t="s">
        <v>3151</v>
      </c>
      <c r="C534" s="2" t="s">
        <v>74</v>
      </c>
      <c r="D534" s="2" t="s">
        <v>74</v>
      </c>
      <c r="E534" s="2" t="s">
        <v>74</v>
      </c>
      <c r="F534" s="2" t="s">
        <v>3152</v>
      </c>
      <c r="G534" s="2" t="s">
        <v>74</v>
      </c>
      <c r="H534" s="2" t="s">
        <v>74</v>
      </c>
      <c r="I534" s="2" t="s">
        <v>3153</v>
      </c>
      <c r="J534" s="2" t="s">
        <v>2232</v>
      </c>
      <c r="K534" s="2" t="s">
        <v>74</v>
      </c>
      <c r="L534" s="2" t="s">
        <v>74</v>
      </c>
      <c r="M534" s="2" t="s">
        <v>74</v>
      </c>
      <c r="N534" s="2" t="s">
        <v>74</v>
      </c>
      <c r="O534" s="2" t="s">
        <v>74</v>
      </c>
      <c r="P534" s="2" t="s">
        <v>74</v>
      </c>
      <c r="Q534" s="2" t="s">
        <v>74</v>
      </c>
      <c r="R534" s="2" t="s">
        <v>74</v>
      </c>
      <c r="S534" s="2" t="s">
        <v>74</v>
      </c>
      <c r="T534" s="2" t="s">
        <v>74</v>
      </c>
      <c r="U534" s="2" t="s">
        <v>74</v>
      </c>
      <c r="V534" s="5" t="s">
        <v>3154</v>
      </c>
      <c r="W534" s="2" t="s">
        <v>74</v>
      </c>
      <c r="X534" s="2" t="s">
        <v>74</v>
      </c>
      <c r="Y534" s="2" t="s">
        <v>74</v>
      </c>
      <c r="Z534" s="2" t="s">
        <v>74</v>
      </c>
      <c r="AA534" s="2" t="s">
        <v>3155</v>
      </c>
      <c r="AB534" s="2" t="s">
        <v>3156</v>
      </c>
      <c r="AC534" s="2" t="s">
        <v>74</v>
      </c>
      <c r="AD534" s="2" t="s">
        <v>74</v>
      </c>
      <c r="AE534" s="2" t="s">
        <v>74</v>
      </c>
      <c r="AF534" s="2" t="s">
        <v>74</v>
      </c>
      <c r="AG534" s="2" t="s">
        <v>74</v>
      </c>
      <c r="AH534" s="2" t="s">
        <v>74</v>
      </c>
      <c r="AI534" s="2" t="s">
        <v>74</v>
      </c>
      <c r="AJ534" s="2" t="s">
        <v>74</v>
      </c>
      <c r="AK534" s="2" t="s">
        <v>74</v>
      </c>
      <c r="AL534" s="2" t="s">
        <v>74</v>
      </c>
      <c r="AM534" s="2" t="s">
        <v>74</v>
      </c>
      <c r="AN534" s="2" t="s">
        <v>74</v>
      </c>
      <c r="AO534" s="2" t="s">
        <v>2236</v>
      </c>
      <c r="AP534" s="2" t="s">
        <v>74</v>
      </c>
      <c r="AQ534" s="2" t="s">
        <v>74</v>
      </c>
      <c r="AR534" s="2" t="s">
        <v>74</v>
      </c>
      <c r="AS534" s="2" t="s">
        <v>74</v>
      </c>
      <c r="AT534" s="2" t="s">
        <v>102</v>
      </c>
      <c r="AU534" s="2">
        <v>2011</v>
      </c>
      <c r="AV534" s="2">
        <v>120</v>
      </c>
      <c r="AW534" s="2">
        <v>6</v>
      </c>
      <c r="AX534" s="2" t="s">
        <v>74</v>
      </c>
      <c r="AY534" s="2" t="s">
        <v>74</v>
      </c>
      <c r="AZ534" s="2" t="s">
        <v>74</v>
      </c>
      <c r="BA534" s="2" t="s">
        <v>74</v>
      </c>
      <c r="BB534" s="2">
        <v>855</v>
      </c>
      <c r="BC534" s="2">
        <v>861</v>
      </c>
      <c r="BD534" s="2" t="s">
        <v>74</v>
      </c>
      <c r="BE534" s="2" t="s">
        <v>3157</v>
      </c>
      <c r="BF534" s="2" t="str">
        <f>HYPERLINK("http://dx.doi.org/10.1111/j.1600-0706.2010.19056.x","http://dx.doi.org/10.1111/j.1600-0706.2010.19056.x")</f>
        <v>http://dx.doi.org/10.1111/j.1600-0706.2010.19056.x</v>
      </c>
      <c r="BG534" s="2" t="s">
        <v>74</v>
      </c>
      <c r="BH534" s="2" t="s">
        <v>74</v>
      </c>
      <c r="BI534" s="2" t="s">
        <v>74</v>
      </c>
      <c r="BJ534" s="2" t="s">
        <v>74</v>
      </c>
      <c r="BK534" s="2" t="s">
        <v>74</v>
      </c>
      <c r="BL534" s="2" t="s">
        <v>74</v>
      </c>
      <c r="BM534" s="2" t="s">
        <v>74</v>
      </c>
      <c r="BN534" s="2" t="s">
        <v>74</v>
      </c>
      <c r="BO534" s="2" t="s">
        <v>74</v>
      </c>
      <c r="BP534" s="2" t="s">
        <v>74</v>
      </c>
      <c r="BQ534" s="2" t="s">
        <v>74</v>
      </c>
      <c r="BR534" s="2" t="s">
        <v>74</v>
      </c>
      <c r="BS534" s="2" t="s">
        <v>3158</v>
      </c>
      <c r="BT534" s="2" t="str">
        <f>HYPERLINK("https%3A%2F%2Fwww.webofscience.com%2Fwos%2Fwoscc%2Ffull-record%2FWOS:000290871400007","View Full Record in Web of Science")</f>
        <v>View Full Record in Web of Science</v>
      </c>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row>
    <row r="535" spans="1:314" s="2" customFormat="1" x14ac:dyDescent="0.4">
      <c r="A535" s="2" t="s">
        <v>72</v>
      </c>
      <c r="B535" s="2" t="s">
        <v>2608</v>
      </c>
      <c r="C535" s="2" t="s">
        <v>74</v>
      </c>
      <c r="D535" s="2" t="s">
        <v>74</v>
      </c>
      <c r="E535" s="2" t="s">
        <v>74</v>
      </c>
      <c r="F535" s="2" t="s">
        <v>2609</v>
      </c>
      <c r="G535" s="2" t="s">
        <v>74</v>
      </c>
      <c r="H535" s="2" t="s">
        <v>74</v>
      </c>
      <c r="I535" s="2" t="s">
        <v>2610</v>
      </c>
      <c r="J535" s="2" t="s">
        <v>1126</v>
      </c>
      <c r="K535" s="2" t="s">
        <v>74</v>
      </c>
      <c r="L535" s="2" t="s">
        <v>74</v>
      </c>
      <c r="M535" s="2" t="s">
        <v>74</v>
      </c>
      <c r="N535" s="2" t="s">
        <v>74</v>
      </c>
      <c r="O535" s="2" t="s">
        <v>74</v>
      </c>
      <c r="P535" s="2" t="s">
        <v>74</v>
      </c>
      <c r="Q535" s="2" t="s">
        <v>74</v>
      </c>
      <c r="R535" s="2" t="s">
        <v>74</v>
      </c>
      <c r="S535" s="2" t="s">
        <v>74</v>
      </c>
      <c r="T535" s="2" t="s">
        <v>74</v>
      </c>
      <c r="U535" s="2" t="s">
        <v>74</v>
      </c>
      <c r="V535" s="5" t="s">
        <v>2611</v>
      </c>
      <c r="W535" s="2" t="s">
        <v>74</v>
      </c>
      <c r="X535" s="2" t="s">
        <v>74</v>
      </c>
      <c r="Y535" s="2" t="s">
        <v>74</v>
      </c>
      <c r="Z535" s="2" t="s">
        <v>74</v>
      </c>
      <c r="AA535" s="2" t="s">
        <v>2612</v>
      </c>
      <c r="AB535" s="2" t="s">
        <v>74</v>
      </c>
      <c r="AC535" s="2" t="s">
        <v>74</v>
      </c>
      <c r="AD535" s="2" t="s">
        <v>74</v>
      </c>
      <c r="AE535" s="2" t="s">
        <v>74</v>
      </c>
      <c r="AF535" s="2" t="s">
        <v>74</v>
      </c>
      <c r="AG535" s="2" t="s">
        <v>74</v>
      </c>
      <c r="AH535" s="2" t="s">
        <v>74</v>
      </c>
      <c r="AI535" s="2" t="s">
        <v>74</v>
      </c>
      <c r="AJ535" s="2" t="s">
        <v>74</v>
      </c>
      <c r="AK535" s="2" t="s">
        <v>74</v>
      </c>
      <c r="AL535" s="2" t="s">
        <v>74</v>
      </c>
      <c r="AM535" s="2" t="s">
        <v>74</v>
      </c>
      <c r="AN535" s="2" t="s">
        <v>74</v>
      </c>
      <c r="AO535" s="2" t="s">
        <v>1128</v>
      </c>
      <c r="AP535" s="2" t="s">
        <v>1129</v>
      </c>
      <c r="AQ535" s="2" t="s">
        <v>74</v>
      </c>
      <c r="AR535" s="2" t="s">
        <v>74</v>
      </c>
      <c r="AS535" s="2" t="s">
        <v>74</v>
      </c>
      <c r="AT535" s="2" t="s">
        <v>1116</v>
      </c>
      <c r="AU535" s="2">
        <v>2010</v>
      </c>
      <c r="AV535" s="2" t="s">
        <v>74</v>
      </c>
      <c r="AW535" s="2">
        <v>2</v>
      </c>
      <c r="AX535" s="2" t="s">
        <v>74</v>
      </c>
      <c r="AY535" s="2" t="s">
        <v>74</v>
      </c>
      <c r="AZ535" s="2" t="s">
        <v>74</v>
      </c>
      <c r="BA535" s="2" t="s">
        <v>74</v>
      </c>
      <c r="BB535" s="2">
        <v>196</v>
      </c>
      <c r="BC535" s="2">
        <v>202</v>
      </c>
      <c r="BD535" s="2" t="s">
        <v>74</v>
      </c>
      <c r="BE535" s="2" t="s">
        <v>2613</v>
      </c>
      <c r="BF535" s="2" t="str">
        <f>HYPERLINK("http://dx.doi.org/10.1643/CG-09-044","http://dx.doi.org/10.1643/CG-09-044")</f>
        <v>http://dx.doi.org/10.1643/CG-09-044</v>
      </c>
      <c r="BG535" s="2" t="s">
        <v>74</v>
      </c>
      <c r="BH535" s="2" t="s">
        <v>74</v>
      </c>
      <c r="BI535" s="2" t="s">
        <v>74</v>
      </c>
      <c r="BJ535" s="2" t="s">
        <v>74</v>
      </c>
      <c r="BK535" s="2" t="s">
        <v>74</v>
      </c>
      <c r="BL535" s="2" t="s">
        <v>74</v>
      </c>
      <c r="BM535" s="2" t="s">
        <v>74</v>
      </c>
      <c r="BN535" s="2" t="s">
        <v>74</v>
      </c>
      <c r="BO535" s="2" t="s">
        <v>74</v>
      </c>
      <c r="BP535" s="2" t="s">
        <v>74</v>
      </c>
      <c r="BQ535" s="2" t="s">
        <v>74</v>
      </c>
      <c r="BR535" s="2" t="s">
        <v>74</v>
      </c>
      <c r="BS535" s="2" t="s">
        <v>2614</v>
      </c>
      <c r="BT535" s="2" t="str">
        <f>HYPERLINK("https%3A%2F%2Fwww.webofscience.com%2Fwos%2Fwoscc%2Ffull-record%2FWOS:000278428900002","View Full Record in Web of Science")</f>
        <v>View Full Record in Web of Science</v>
      </c>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row>
    <row r="536" spans="1:314" s="2" customFormat="1" x14ac:dyDescent="0.4">
      <c r="A536" s="2" t="s">
        <v>72</v>
      </c>
      <c r="B536" s="2" t="s">
        <v>3799</v>
      </c>
      <c r="C536" s="2" t="s">
        <v>74</v>
      </c>
      <c r="D536" s="2" t="s">
        <v>74</v>
      </c>
      <c r="E536" s="2" t="s">
        <v>74</v>
      </c>
      <c r="F536" s="2" t="s">
        <v>3800</v>
      </c>
      <c r="G536" s="2" t="s">
        <v>74</v>
      </c>
      <c r="H536" s="2" t="s">
        <v>74</v>
      </c>
      <c r="I536" s="2" t="s">
        <v>3801</v>
      </c>
      <c r="J536" s="2" t="s">
        <v>3026</v>
      </c>
      <c r="K536" s="2" t="s">
        <v>74</v>
      </c>
      <c r="L536" s="2" t="s">
        <v>74</v>
      </c>
      <c r="M536" s="2" t="s">
        <v>74</v>
      </c>
      <c r="N536" s="2" t="s">
        <v>74</v>
      </c>
      <c r="O536" s="2" t="s">
        <v>74</v>
      </c>
      <c r="P536" s="2" t="s">
        <v>74</v>
      </c>
      <c r="Q536" s="2" t="s">
        <v>74</v>
      </c>
      <c r="R536" s="2" t="s">
        <v>74</v>
      </c>
      <c r="S536" s="2" t="s">
        <v>74</v>
      </c>
      <c r="T536" s="2" t="s">
        <v>74</v>
      </c>
      <c r="U536" s="2" t="s">
        <v>74</v>
      </c>
      <c r="V536" s="5" t="s">
        <v>3802</v>
      </c>
      <c r="W536" s="2" t="s">
        <v>74</v>
      </c>
      <c r="X536" s="2" t="s">
        <v>74</v>
      </c>
      <c r="Y536" s="2" t="s">
        <v>74</v>
      </c>
      <c r="Z536" s="2" t="s">
        <v>74</v>
      </c>
      <c r="AA536" s="2" t="s">
        <v>74</v>
      </c>
      <c r="AB536" s="2" t="s">
        <v>74</v>
      </c>
      <c r="AC536" s="2" t="s">
        <v>74</v>
      </c>
      <c r="AD536" s="2" t="s">
        <v>74</v>
      </c>
      <c r="AE536" s="2" t="s">
        <v>74</v>
      </c>
      <c r="AF536" s="2" t="s">
        <v>74</v>
      </c>
      <c r="AG536" s="2" t="s">
        <v>74</v>
      </c>
      <c r="AH536" s="2" t="s">
        <v>74</v>
      </c>
      <c r="AI536" s="2" t="s">
        <v>74</v>
      </c>
      <c r="AJ536" s="2" t="s">
        <v>74</v>
      </c>
      <c r="AK536" s="2" t="s">
        <v>74</v>
      </c>
      <c r="AL536" s="2" t="s">
        <v>74</v>
      </c>
      <c r="AM536" s="2" t="s">
        <v>74</v>
      </c>
      <c r="AN536" s="2" t="s">
        <v>74</v>
      </c>
      <c r="AO536" s="2" t="s">
        <v>3030</v>
      </c>
      <c r="AP536" s="2" t="s">
        <v>74</v>
      </c>
      <c r="AQ536" s="2" t="s">
        <v>74</v>
      </c>
      <c r="AR536" s="2" t="s">
        <v>74</v>
      </c>
      <c r="AS536" s="2" t="s">
        <v>74</v>
      </c>
      <c r="AT536" s="2" t="s">
        <v>3803</v>
      </c>
      <c r="AU536" s="2">
        <v>2014</v>
      </c>
      <c r="AV536" s="2">
        <v>3</v>
      </c>
      <c r="AW536" s="2">
        <v>3</v>
      </c>
      <c r="AX536" s="2" t="s">
        <v>74</v>
      </c>
      <c r="AY536" s="2" t="s">
        <v>74</v>
      </c>
      <c r="AZ536" s="2" t="s">
        <v>74</v>
      </c>
      <c r="BA536" s="2" t="s">
        <v>74</v>
      </c>
      <c r="BB536" s="2">
        <v>221</v>
      </c>
      <c r="BC536" s="2">
        <v>230</v>
      </c>
      <c r="BD536" s="2" t="s">
        <v>74</v>
      </c>
      <c r="BE536" s="2" t="s">
        <v>3804</v>
      </c>
      <c r="BF536" s="2" t="str">
        <f>HYPERLINK("http://dx.doi.org/10.1242/bio.20146445","http://dx.doi.org/10.1242/bio.20146445")</f>
        <v>http://dx.doi.org/10.1242/bio.20146445</v>
      </c>
      <c r="BG536" s="2" t="s">
        <v>74</v>
      </c>
      <c r="BH536" s="2" t="s">
        <v>74</v>
      </c>
      <c r="BI536" s="2" t="s">
        <v>74</v>
      </c>
      <c r="BJ536" s="2" t="s">
        <v>74</v>
      </c>
      <c r="BK536" s="2" t="s">
        <v>74</v>
      </c>
      <c r="BL536" s="2" t="s">
        <v>74</v>
      </c>
      <c r="BM536" s="2" t="s">
        <v>74</v>
      </c>
      <c r="BN536" s="2">
        <v>24585774</v>
      </c>
      <c r="BO536" s="2" t="s">
        <v>74</v>
      </c>
      <c r="BP536" s="2" t="s">
        <v>74</v>
      </c>
      <c r="BQ536" s="2" t="s">
        <v>74</v>
      </c>
      <c r="BR536" s="2" t="s">
        <v>74</v>
      </c>
      <c r="BS536" s="2" t="s">
        <v>3805</v>
      </c>
      <c r="BT536" s="2" t="str">
        <f>HYPERLINK("https%3A%2F%2Fwww.webofscience.com%2Fwos%2Fwoscc%2Ffull-record%2FWOS:000348066100005","View Full Record in Web of Science")</f>
        <v>View Full Record in Web of Science</v>
      </c>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row>
    <row r="537" spans="1:314" s="2" customFormat="1" x14ac:dyDescent="0.4">
      <c r="A537" s="2" t="s">
        <v>72</v>
      </c>
      <c r="B537" s="2" t="s">
        <v>2272</v>
      </c>
      <c r="C537" s="2" t="s">
        <v>74</v>
      </c>
      <c r="D537" s="2" t="s">
        <v>74</v>
      </c>
      <c r="E537" s="2" t="s">
        <v>74</v>
      </c>
      <c r="F537" s="2" t="s">
        <v>2273</v>
      </c>
      <c r="G537" s="2" t="s">
        <v>74</v>
      </c>
      <c r="H537" s="2" t="s">
        <v>74</v>
      </c>
      <c r="I537" s="2" t="s">
        <v>2274</v>
      </c>
      <c r="J537" s="2" t="s">
        <v>2275</v>
      </c>
      <c r="K537" s="2" t="s">
        <v>74</v>
      </c>
      <c r="L537" s="2" t="s">
        <v>74</v>
      </c>
      <c r="M537" s="2" t="s">
        <v>74</v>
      </c>
      <c r="N537" s="2" t="s">
        <v>74</v>
      </c>
      <c r="O537" s="2" t="s">
        <v>74</v>
      </c>
      <c r="P537" s="2" t="s">
        <v>74</v>
      </c>
      <c r="Q537" s="2" t="s">
        <v>74</v>
      </c>
      <c r="R537" s="2" t="s">
        <v>74</v>
      </c>
      <c r="S537" s="2" t="s">
        <v>74</v>
      </c>
      <c r="T537" s="2" t="s">
        <v>74</v>
      </c>
      <c r="U537" s="2" t="s">
        <v>74</v>
      </c>
      <c r="V537" s="5" t="s">
        <v>2276</v>
      </c>
      <c r="W537" s="2" t="s">
        <v>74</v>
      </c>
      <c r="X537" s="2" t="s">
        <v>74</v>
      </c>
      <c r="Y537" s="2" t="s">
        <v>74</v>
      </c>
      <c r="Z537" s="2" t="s">
        <v>74</v>
      </c>
      <c r="AA537" s="2" t="s">
        <v>2277</v>
      </c>
      <c r="AB537" s="2" t="s">
        <v>2278</v>
      </c>
      <c r="AC537" s="2" t="s">
        <v>74</v>
      </c>
      <c r="AD537" s="2" t="s">
        <v>74</v>
      </c>
      <c r="AE537" s="2" t="s">
        <v>74</v>
      </c>
      <c r="AF537" s="2" t="s">
        <v>74</v>
      </c>
      <c r="AG537" s="2" t="s">
        <v>74</v>
      </c>
      <c r="AH537" s="2" t="s">
        <v>74</v>
      </c>
      <c r="AI537" s="2" t="s">
        <v>74</v>
      </c>
      <c r="AJ537" s="2" t="s">
        <v>74</v>
      </c>
      <c r="AK537" s="2" t="s">
        <v>74</v>
      </c>
      <c r="AL537" s="2" t="s">
        <v>74</v>
      </c>
      <c r="AM537" s="2" t="s">
        <v>74</v>
      </c>
      <c r="AN537" s="2" t="s">
        <v>74</v>
      </c>
      <c r="AO537" s="2" t="s">
        <v>2279</v>
      </c>
      <c r="AP537" s="2" t="s">
        <v>2280</v>
      </c>
      <c r="AQ537" s="2" t="s">
        <v>74</v>
      </c>
      <c r="AR537" s="2" t="s">
        <v>74</v>
      </c>
      <c r="AS537" s="2" t="s">
        <v>74</v>
      </c>
      <c r="AT537" s="2" t="s">
        <v>2281</v>
      </c>
      <c r="AU537" s="2">
        <v>2019</v>
      </c>
      <c r="AV537" s="2" t="s">
        <v>74</v>
      </c>
      <c r="AW537" s="2" t="s">
        <v>74</v>
      </c>
      <c r="AX537" s="2" t="s">
        <v>74</v>
      </c>
      <c r="AY537" s="2" t="s">
        <v>74</v>
      </c>
      <c r="AZ537" s="2" t="s">
        <v>74</v>
      </c>
      <c r="BA537" s="2" t="s">
        <v>74</v>
      </c>
      <c r="BB537" s="2" t="s">
        <v>74</v>
      </c>
      <c r="BC537" s="2" t="s">
        <v>74</v>
      </c>
      <c r="BD537" s="2" t="s">
        <v>74</v>
      </c>
      <c r="BE537" s="2" t="s">
        <v>2282</v>
      </c>
      <c r="BF537" s="2" t="str">
        <f>HYPERLINK("http://dx.doi.org/10.1080/14772000.2019.1687603","http://dx.doi.org/10.1080/14772000.2019.1687603")</f>
        <v>http://dx.doi.org/10.1080/14772000.2019.1687603</v>
      </c>
      <c r="BG537" s="2" t="s">
        <v>74</v>
      </c>
      <c r="BH537" s="2" t="s">
        <v>2283</v>
      </c>
      <c r="BI537" s="2" t="s">
        <v>74</v>
      </c>
      <c r="BJ537" s="2" t="s">
        <v>74</v>
      </c>
      <c r="BK537" s="2" t="s">
        <v>74</v>
      </c>
      <c r="BL537" s="2" t="s">
        <v>74</v>
      </c>
      <c r="BM537" s="2" t="s">
        <v>74</v>
      </c>
      <c r="BN537" s="2" t="s">
        <v>74</v>
      </c>
      <c r="BO537" s="2" t="s">
        <v>74</v>
      </c>
      <c r="BP537" s="2" t="s">
        <v>74</v>
      </c>
      <c r="BQ537" s="2" t="s">
        <v>74</v>
      </c>
      <c r="BR537" s="2" t="s">
        <v>74</v>
      </c>
      <c r="BS537" s="2" t="s">
        <v>2284</v>
      </c>
      <c r="BT537" s="2" t="str">
        <f>HYPERLINK("https%3A%2F%2Fwww.webofscience.com%2Fwos%2Fwoscc%2Ffull-record%2FWOS:000499312800001","View Full Record in Web of Science")</f>
        <v>View Full Record in Web of Science</v>
      </c>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row>
    <row r="538" spans="1:314" s="2" customFormat="1" x14ac:dyDescent="0.4">
      <c r="A538" s="2" t="s">
        <v>72</v>
      </c>
      <c r="B538" s="2" t="s">
        <v>3966</v>
      </c>
      <c r="C538" s="2" t="s">
        <v>74</v>
      </c>
      <c r="D538" s="2" t="s">
        <v>74</v>
      </c>
      <c r="E538" s="2" t="s">
        <v>74</v>
      </c>
      <c r="F538" s="2" t="s">
        <v>3966</v>
      </c>
      <c r="G538" s="2" t="s">
        <v>74</v>
      </c>
      <c r="H538" s="2" t="s">
        <v>74</v>
      </c>
      <c r="I538" s="2" t="s">
        <v>3967</v>
      </c>
      <c r="J538" s="2" t="s">
        <v>610</v>
      </c>
      <c r="K538" s="2" t="s">
        <v>74</v>
      </c>
      <c r="L538" s="2" t="s">
        <v>74</v>
      </c>
      <c r="M538" s="2" t="s">
        <v>74</v>
      </c>
      <c r="N538" s="2" t="s">
        <v>74</v>
      </c>
      <c r="O538" s="2" t="s">
        <v>74</v>
      </c>
      <c r="P538" s="2" t="s">
        <v>74</v>
      </c>
      <c r="Q538" s="2" t="s">
        <v>74</v>
      </c>
      <c r="R538" s="2" t="s">
        <v>74</v>
      </c>
      <c r="S538" s="2" t="s">
        <v>74</v>
      </c>
      <c r="T538" s="2" t="s">
        <v>74</v>
      </c>
      <c r="U538" s="2" t="s">
        <v>74</v>
      </c>
      <c r="V538" s="5" t="s">
        <v>3968</v>
      </c>
      <c r="W538" s="2" t="s">
        <v>74</v>
      </c>
      <c r="X538" s="2" t="s">
        <v>74</v>
      </c>
      <c r="Y538" s="2" t="s">
        <v>74</v>
      </c>
      <c r="Z538" s="2" t="s">
        <v>74</v>
      </c>
      <c r="AA538" s="2" t="s">
        <v>74</v>
      </c>
      <c r="AB538" s="2" t="s">
        <v>74</v>
      </c>
      <c r="AC538" s="2" t="s">
        <v>74</v>
      </c>
      <c r="AD538" s="2" t="s">
        <v>74</v>
      </c>
      <c r="AE538" s="2" t="s">
        <v>74</v>
      </c>
      <c r="AF538" s="2" t="s">
        <v>74</v>
      </c>
      <c r="AG538" s="2" t="s">
        <v>74</v>
      </c>
      <c r="AH538" s="2" t="s">
        <v>74</v>
      </c>
      <c r="AI538" s="2" t="s">
        <v>74</v>
      </c>
      <c r="AJ538" s="2" t="s">
        <v>74</v>
      </c>
      <c r="AK538" s="2" t="s">
        <v>74</v>
      </c>
      <c r="AL538" s="2" t="s">
        <v>74</v>
      </c>
      <c r="AM538" s="2" t="s">
        <v>74</v>
      </c>
      <c r="AN538" s="2" t="s">
        <v>74</v>
      </c>
      <c r="AO538" s="2" t="s">
        <v>614</v>
      </c>
      <c r="AP538" s="2" t="s">
        <v>74</v>
      </c>
      <c r="AQ538" s="2" t="s">
        <v>74</v>
      </c>
      <c r="AR538" s="2" t="s">
        <v>74</v>
      </c>
      <c r="AS538" s="2" t="s">
        <v>74</v>
      </c>
      <c r="AT538" s="2" t="s">
        <v>964</v>
      </c>
      <c r="AU538" s="2">
        <v>1994</v>
      </c>
      <c r="AV538" s="2">
        <v>96</v>
      </c>
      <c r="AW538" s="2">
        <v>2</v>
      </c>
      <c r="AX538" s="2" t="s">
        <v>74</v>
      </c>
      <c r="AY538" s="2" t="s">
        <v>74</v>
      </c>
      <c r="AZ538" s="2" t="s">
        <v>74</v>
      </c>
      <c r="BA538" s="2" t="s">
        <v>74</v>
      </c>
      <c r="BB538" s="2">
        <v>147</v>
      </c>
      <c r="BC538" s="2">
        <v>154</v>
      </c>
      <c r="BD538" s="2" t="s">
        <v>74</v>
      </c>
      <c r="BE538" s="2" t="s">
        <v>74</v>
      </c>
      <c r="BF538" s="2" t="s">
        <v>74</v>
      </c>
      <c r="BG538" s="2" t="s">
        <v>74</v>
      </c>
      <c r="BH538" s="2" t="s">
        <v>74</v>
      </c>
      <c r="BI538" s="2" t="s">
        <v>74</v>
      </c>
      <c r="BJ538" s="2" t="s">
        <v>74</v>
      </c>
      <c r="BK538" s="2" t="s">
        <v>74</v>
      </c>
      <c r="BL538" s="2" t="s">
        <v>74</v>
      </c>
      <c r="BM538" s="2" t="s">
        <v>74</v>
      </c>
      <c r="BN538" s="2" t="s">
        <v>74</v>
      </c>
      <c r="BO538" s="2" t="s">
        <v>74</v>
      </c>
      <c r="BP538" s="2" t="s">
        <v>74</v>
      </c>
      <c r="BQ538" s="2" t="s">
        <v>74</v>
      </c>
      <c r="BR538" s="2" t="s">
        <v>74</v>
      </c>
      <c r="BS538" s="2" t="s">
        <v>3969</v>
      </c>
      <c r="BT538" s="2" t="str">
        <f>HYPERLINK("https%3A%2F%2Fwww.webofscience.com%2Fwos%2Fwoscc%2Ffull-record%2FWOS:A1994NJ52600006","View Full Record in Web of Science")</f>
        <v>View Full Record in Web of Science</v>
      </c>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row>
    <row r="539" spans="1:314" s="2" customFormat="1" x14ac:dyDescent="0.4">
      <c r="A539" s="2" t="s">
        <v>72</v>
      </c>
      <c r="B539" s="2" t="s">
        <v>6224</v>
      </c>
      <c r="C539" s="2" t="s">
        <v>74</v>
      </c>
      <c r="D539" s="2" t="s">
        <v>74</v>
      </c>
      <c r="E539" s="2" t="s">
        <v>74</v>
      </c>
      <c r="F539" s="2" t="s">
        <v>6224</v>
      </c>
      <c r="G539" s="2" t="s">
        <v>74</v>
      </c>
      <c r="H539" s="2" t="s">
        <v>74</v>
      </c>
      <c r="I539" s="2" t="s">
        <v>6225</v>
      </c>
      <c r="J539" s="2" t="s">
        <v>6226</v>
      </c>
      <c r="K539" s="2" t="s">
        <v>74</v>
      </c>
      <c r="L539" s="2" t="s">
        <v>74</v>
      </c>
      <c r="M539" s="2" t="s">
        <v>74</v>
      </c>
      <c r="N539" s="2" t="s">
        <v>74</v>
      </c>
      <c r="O539" s="2" t="s">
        <v>74</v>
      </c>
      <c r="P539" s="2" t="s">
        <v>74</v>
      </c>
      <c r="Q539" s="2" t="s">
        <v>74</v>
      </c>
      <c r="R539" s="2" t="s">
        <v>74</v>
      </c>
      <c r="S539" s="2" t="s">
        <v>74</v>
      </c>
      <c r="T539" s="2" t="s">
        <v>74</v>
      </c>
      <c r="U539" s="2" t="s">
        <v>74</v>
      </c>
      <c r="V539" s="5" t="s">
        <v>6227</v>
      </c>
      <c r="W539" s="2" t="s">
        <v>74</v>
      </c>
      <c r="X539" s="2" t="s">
        <v>74</v>
      </c>
      <c r="Y539" s="2" t="s">
        <v>74</v>
      </c>
      <c r="Z539" s="2" t="s">
        <v>74</v>
      </c>
      <c r="AA539" s="2" t="s">
        <v>74</v>
      </c>
      <c r="AB539" s="2" t="s">
        <v>74</v>
      </c>
      <c r="AC539" s="2" t="s">
        <v>74</v>
      </c>
      <c r="AD539" s="2" t="s">
        <v>74</v>
      </c>
      <c r="AE539" s="2" t="s">
        <v>74</v>
      </c>
      <c r="AF539" s="2" t="s">
        <v>74</v>
      </c>
      <c r="AG539" s="2" t="s">
        <v>74</v>
      </c>
      <c r="AH539" s="2" t="s">
        <v>74</v>
      </c>
      <c r="AI539" s="2" t="s">
        <v>74</v>
      </c>
      <c r="AJ539" s="2" t="s">
        <v>74</v>
      </c>
      <c r="AK539" s="2" t="s">
        <v>74</v>
      </c>
      <c r="AL539" s="2" t="s">
        <v>74</v>
      </c>
      <c r="AM539" s="2" t="s">
        <v>74</v>
      </c>
      <c r="AN539" s="2" t="s">
        <v>74</v>
      </c>
      <c r="AO539" s="2" t="s">
        <v>6228</v>
      </c>
      <c r="AP539" s="2" t="s">
        <v>6229</v>
      </c>
      <c r="AQ539" s="2" t="s">
        <v>74</v>
      </c>
      <c r="AR539" s="2" t="s">
        <v>74</v>
      </c>
      <c r="AS539" s="2" t="s">
        <v>74</v>
      </c>
      <c r="AT539" s="2" t="s">
        <v>633</v>
      </c>
      <c r="AU539" s="2">
        <v>2005</v>
      </c>
      <c r="AV539" s="2">
        <v>44</v>
      </c>
      <c r="AW539" s="2">
        <v>2</v>
      </c>
      <c r="AX539" s="2" t="s">
        <v>74</v>
      </c>
      <c r="AY539" s="2" t="s">
        <v>74</v>
      </c>
      <c r="AZ539" s="2" t="s">
        <v>74</v>
      </c>
      <c r="BA539" s="2" t="s">
        <v>74</v>
      </c>
      <c r="BB539" s="2">
        <v>200</v>
      </c>
      <c r="BC539" s="2">
        <v>209</v>
      </c>
      <c r="BD539" s="2" t="s">
        <v>74</v>
      </c>
      <c r="BE539" s="2" t="s">
        <v>74</v>
      </c>
      <c r="BF539" s="2" t="s">
        <v>74</v>
      </c>
      <c r="BG539" s="2" t="s">
        <v>74</v>
      </c>
      <c r="BH539" s="2" t="s">
        <v>74</v>
      </c>
      <c r="BI539" s="2" t="s">
        <v>74</v>
      </c>
      <c r="BJ539" s="2" t="s">
        <v>74</v>
      </c>
      <c r="BK539" s="2" t="s">
        <v>74</v>
      </c>
      <c r="BL539" s="2" t="s">
        <v>74</v>
      </c>
      <c r="BM539" s="2" t="s">
        <v>74</v>
      </c>
      <c r="BN539" s="2" t="s">
        <v>74</v>
      </c>
      <c r="BO539" s="2" t="s">
        <v>74</v>
      </c>
      <c r="BP539" s="2" t="s">
        <v>74</v>
      </c>
      <c r="BQ539" s="2" t="s">
        <v>74</v>
      </c>
      <c r="BR539" s="2" t="s">
        <v>74</v>
      </c>
      <c r="BS539" s="2" t="s">
        <v>6230</v>
      </c>
      <c r="BT539" s="2" t="str">
        <f>HYPERLINK("https%3A%2F%2Fwww.webofscience.com%2Fwos%2Fwoscc%2Ffull-record%2FWOS:000229810000003","View Full Record in Web of Science")</f>
        <v>View Full Record in Web of Science</v>
      </c>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row>
    <row r="540" spans="1:314" s="2" customFormat="1" x14ac:dyDescent="0.4">
      <c r="A540" s="2" t="s">
        <v>72</v>
      </c>
      <c r="B540" s="2" t="s">
        <v>5843</v>
      </c>
      <c r="C540" s="2" t="s">
        <v>74</v>
      </c>
      <c r="D540" s="2" t="s">
        <v>74</v>
      </c>
      <c r="E540" s="2" t="s">
        <v>74</v>
      </c>
      <c r="F540" s="2" t="s">
        <v>5844</v>
      </c>
      <c r="G540" s="2" t="s">
        <v>74</v>
      </c>
      <c r="H540" s="2" t="s">
        <v>74</v>
      </c>
      <c r="I540" s="2" t="s">
        <v>5845</v>
      </c>
      <c r="J540" s="2" t="s">
        <v>814</v>
      </c>
      <c r="K540" s="2" t="s">
        <v>74</v>
      </c>
      <c r="L540" s="2" t="s">
        <v>74</v>
      </c>
      <c r="M540" s="2" t="s">
        <v>74</v>
      </c>
      <c r="N540" s="2" t="s">
        <v>74</v>
      </c>
      <c r="O540" s="2" t="s">
        <v>74</v>
      </c>
      <c r="P540" s="2" t="s">
        <v>74</v>
      </c>
      <c r="Q540" s="2" t="s">
        <v>74</v>
      </c>
      <c r="R540" s="2" t="s">
        <v>74</v>
      </c>
      <c r="S540" s="2" t="s">
        <v>74</v>
      </c>
      <c r="T540" s="2" t="s">
        <v>74</v>
      </c>
      <c r="U540" s="2" t="s">
        <v>74</v>
      </c>
      <c r="V540" s="5" t="s">
        <v>5846</v>
      </c>
      <c r="W540" s="2" t="s">
        <v>74</v>
      </c>
      <c r="X540" s="2" t="s">
        <v>74</v>
      </c>
      <c r="Y540" s="2" t="s">
        <v>74</v>
      </c>
      <c r="Z540" s="2" t="s">
        <v>74</v>
      </c>
      <c r="AA540" s="2" t="s">
        <v>74</v>
      </c>
      <c r="AB540" s="2" t="s">
        <v>74</v>
      </c>
      <c r="AC540" s="2" t="s">
        <v>74</v>
      </c>
      <c r="AD540" s="2" t="s">
        <v>74</v>
      </c>
      <c r="AE540" s="2" t="s">
        <v>74</v>
      </c>
      <c r="AF540" s="2" t="s">
        <v>74</v>
      </c>
      <c r="AG540" s="2" t="s">
        <v>74</v>
      </c>
      <c r="AH540" s="2" t="s">
        <v>74</v>
      </c>
      <c r="AI540" s="2" t="s">
        <v>74</v>
      </c>
      <c r="AJ540" s="2" t="s">
        <v>74</v>
      </c>
      <c r="AK540" s="2" t="s">
        <v>74</v>
      </c>
      <c r="AL540" s="2" t="s">
        <v>74</v>
      </c>
      <c r="AM540" s="2" t="s">
        <v>74</v>
      </c>
      <c r="AN540" s="2" t="s">
        <v>74</v>
      </c>
      <c r="AO540" s="2" t="s">
        <v>818</v>
      </c>
      <c r="AP540" s="2" t="s">
        <v>1505</v>
      </c>
      <c r="AQ540" s="2" t="s">
        <v>74</v>
      </c>
      <c r="AR540" s="2" t="s">
        <v>74</v>
      </c>
      <c r="AS540" s="2" t="s">
        <v>74</v>
      </c>
      <c r="AT540" s="2" t="s">
        <v>964</v>
      </c>
      <c r="AU540" s="2">
        <v>2021</v>
      </c>
      <c r="AV540" s="2">
        <v>144</v>
      </c>
      <c r="AW540" s="2" t="s">
        <v>74</v>
      </c>
      <c r="AX540" s="2" t="s">
        <v>74</v>
      </c>
      <c r="AY540" s="2" t="s">
        <v>74</v>
      </c>
      <c r="AZ540" s="2" t="s">
        <v>74</v>
      </c>
      <c r="BA540" s="2" t="s">
        <v>74</v>
      </c>
      <c r="BB540" s="2" t="s">
        <v>74</v>
      </c>
      <c r="BC540" s="2" t="s">
        <v>74</v>
      </c>
      <c r="BD540" s="2">
        <v>125874</v>
      </c>
      <c r="BE540" s="2" t="s">
        <v>5847</v>
      </c>
      <c r="BF540" s="2" t="str">
        <f>HYPERLINK("http://dx.doi.org/10.1016/j.zool.2020.125874","http://dx.doi.org/10.1016/j.zool.2020.125874")</f>
        <v>http://dx.doi.org/10.1016/j.zool.2020.125874</v>
      </c>
      <c r="BG540" s="2" t="s">
        <v>74</v>
      </c>
      <c r="BH540" s="2" t="s">
        <v>74</v>
      </c>
      <c r="BI540" s="2" t="s">
        <v>74</v>
      </c>
      <c r="BJ540" s="2" t="s">
        <v>74</v>
      </c>
      <c r="BK540" s="2" t="s">
        <v>74</v>
      </c>
      <c r="BL540" s="2" t="s">
        <v>74</v>
      </c>
      <c r="BM540" s="2" t="s">
        <v>74</v>
      </c>
      <c r="BN540" s="2">
        <v>33279867</v>
      </c>
      <c r="BO540" s="2" t="s">
        <v>74</v>
      </c>
      <c r="BP540" s="2" t="s">
        <v>74</v>
      </c>
      <c r="BQ540" s="2" t="s">
        <v>74</v>
      </c>
      <c r="BR540" s="2" t="s">
        <v>74</v>
      </c>
      <c r="BS540" s="2" t="s">
        <v>5848</v>
      </c>
      <c r="BT540" s="2" t="str">
        <f>HYPERLINK("https%3A%2F%2Fwww.webofscience.com%2Fwos%2Fwoscc%2Ffull-record%2FWOS:000618276500003","View Full Record in Web of Science")</f>
        <v>View Full Record in Web of Science</v>
      </c>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row>
    <row r="541" spans="1:314" s="2" customFormat="1" x14ac:dyDescent="0.4">
      <c r="A541" s="2" t="s">
        <v>72</v>
      </c>
      <c r="B541" s="2" t="s">
        <v>2641</v>
      </c>
      <c r="C541" s="2" t="s">
        <v>74</v>
      </c>
      <c r="D541" s="2" t="s">
        <v>74</v>
      </c>
      <c r="E541" s="2" t="s">
        <v>74</v>
      </c>
      <c r="F541" s="2" t="s">
        <v>2642</v>
      </c>
      <c r="G541" s="2" t="s">
        <v>74</v>
      </c>
      <c r="H541" s="2" t="s">
        <v>74</v>
      </c>
      <c r="I541" s="2" t="s">
        <v>2643</v>
      </c>
      <c r="J541" s="2" t="s">
        <v>192</v>
      </c>
      <c r="K541" s="2" t="s">
        <v>74</v>
      </c>
      <c r="L541" s="2" t="s">
        <v>74</v>
      </c>
      <c r="M541" s="2" t="s">
        <v>74</v>
      </c>
      <c r="N541" s="2" t="s">
        <v>74</v>
      </c>
      <c r="O541" s="2" t="s">
        <v>74</v>
      </c>
      <c r="P541" s="2" t="s">
        <v>74</v>
      </c>
      <c r="Q541" s="2" t="s">
        <v>74</v>
      </c>
      <c r="R541" s="2" t="s">
        <v>74</v>
      </c>
      <c r="S541" s="2" t="s">
        <v>74</v>
      </c>
      <c r="T541" s="2" t="s">
        <v>74</v>
      </c>
      <c r="U541" s="2" t="s">
        <v>74</v>
      </c>
      <c r="V541" s="5" t="s">
        <v>2644</v>
      </c>
      <c r="W541" s="2" t="s">
        <v>74</v>
      </c>
      <c r="X541" s="2" t="s">
        <v>74</v>
      </c>
      <c r="Y541" s="2" t="s">
        <v>74</v>
      </c>
      <c r="Z541" s="2" t="s">
        <v>74</v>
      </c>
      <c r="AA541" s="2" t="s">
        <v>2645</v>
      </c>
      <c r="AB541" s="2" t="s">
        <v>74</v>
      </c>
      <c r="AC541" s="2" t="s">
        <v>74</v>
      </c>
      <c r="AD541" s="2" t="s">
        <v>74</v>
      </c>
      <c r="AE541" s="2" t="s">
        <v>74</v>
      </c>
      <c r="AF541" s="2" t="s">
        <v>74</v>
      </c>
      <c r="AG541" s="2" t="s">
        <v>74</v>
      </c>
      <c r="AH541" s="2" t="s">
        <v>74</v>
      </c>
      <c r="AI541" s="2" t="s">
        <v>74</v>
      </c>
      <c r="AJ541" s="2" t="s">
        <v>74</v>
      </c>
      <c r="AK541" s="2" t="s">
        <v>74</v>
      </c>
      <c r="AL541" s="2" t="s">
        <v>74</v>
      </c>
      <c r="AM541" s="2" t="s">
        <v>74</v>
      </c>
      <c r="AN541" s="2" t="s">
        <v>74</v>
      </c>
      <c r="AO541" s="2" t="s">
        <v>195</v>
      </c>
      <c r="AP541" s="2" t="s">
        <v>196</v>
      </c>
      <c r="AQ541" s="2" t="s">
        <v>74</v>
      </c>
      <c r="AR541" s="2" t="s">
        <v>74</v>
      </c>
      <c r="AS541" s="2" t="s">
        <v>74</v>
      </c>
      <c r="AT541" s="2" t="s">
        <v>964</v>
      </c>
      <c r="AU541" s="2">
        <v>2008</v>
      </c>
      <c r="AV541" s="2">
        <v>598</v>
      </c>
      <c r="AW541" s="2" t="s">
        <v>74</v>
      </c>
      <c r="AX541" s="2" t="s">
        <v>74</v>
      </c>
      <c r="AY541" s="2" t="s">
        <v>74</v>
      </c>
      <c r="AZ541" s="2" t="s">
        <v>74</v>
      </c>
      <c r="BA541" s="2" t="s">
        <v>74</v>
      </c>
      <c r="BB541" s="2">
        <v>361</v>
      </c>
      <c r="BC541" s="2">
        <v>371</v>
      </c>
      <c r="BD541" s="2" t="s">
        <v>74</v>
      </c>
      <c r="BE541" s="2" t="s">
        <v>2646</v>
      </c>
      <c r="BF541" s="2" t="str">
        <f>HYPERLINK("http://dx.doi.org/10.1007/s10750-007-9169-z","http://dx.doi.org/10.1007/s10750-007-9169-z")</f>
        <v>http://dx.doi.org/10.1007/s10750-007-9169-z</v>
      </c>
      <c r="BG541" s="2" t="s">
        <v>74</v>
      </c>
      <c r="BH541" s="2" t="s">
        <v>74</v>
      </c>
      <c r="BI541" s="2" t="s">
        <v>74</v>
      </c>
      <c r="BJ541" s="2" t="s">
        <v>74</v>
      </c>
      <c r="BK541" s="2" t="s">
        <v>74</v>
      </c>
      <c r="BL541" s="2" t="s">
        <v>74</v>
      </c>
      <c r="BM541" s="2" t="s">
        <v>74</v>
      </c>
      <c r="BN541" s="2" t="s">
        <v>74</v>
      </c>
      <c r="BO541" s="2" t="s">
        <v>74</v>
      </c>
      <c r="BP541" s="2" t="s">
        <v>74</v>
      </c>
      <c r="BQ541" s="2" t="s">
        <v>74</v>
      </c>
      <c r="BR541" s="2" t="s">
        <v>74</v>
      </c>
      <c r="BS541" s="2" t="s">
        <v>2647</v>
      </c>
      <c r="BT541" s="2" t="str">
        <f>HYPERLINK("https%3A%2F%2Fwww.webofscience.com%2Fwos%2Fwoscc%2Ffull-record%2FWOS:000251874300028","View Full Record in Web of Science")</f>
        <v>View Full Record in Web of Science</v>
      </c>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row>
    <row r="542" spans="1:314" s="1" customFormat="1" x14ac:dyDescent="0.4">
      <c r="A542" s="2" t="s">
        <v>72</v>
      </c>
      <c r="B542" s="2" t="s">
        <v>2334</v>
      </c>
      <c r="C542" s="2" t="s">
        <v>74</v>
      </c>
      <c r="D542" s="2" t="s">
        <v>74</v>
      </c>
      <c r="E542" s="2" t="s">
        <v>74</v>
      </c>
      <c r="F542" s="2" t="s">
        <v>2335</v>
      </c>
      <c r="G542" s="2" t="s">
        <v>74</v>
      </c>
      <c r="H542" s="2" t="s">
        <v>74</v>
      </c>
      <c r="I542" s="2" t="s">
        <v>2336</v>
      </c>
      <c r="J542" s="2" t="s">
        <v>545</v>
      </c>
      <c r="K542" s="2" t="s">
        <v>74</v>
      </c>
      <c r="L542" s="2" t="s">
        <v>74</v>
      </c>
      <c r="M542" s="2" t="s">
        <v>74</v>
      </c>
      <c r="N542" s="2" t="s">
        <v>74</v>
      </c>
      <c r="O542" s="2" t="s">
        <v>74</v>
      </c>
      <c r="P542" s="2" t="s">
        <v>74</v>
      </c>
      <c r="Q542" s="2" t="s">
        <v>74</v>
      </c>
      <c r="R542" s="2" t="s">
        <v>74</v>
      </c>
      <c r="S542" s="2" t="s">
        <v>74</v>
      </c>
      <c r="T542" s="2" t="s">
        <v>74</v>
      </c>
      <c r="U542" s="2" t="s">
        <v>74</v>
      </c>
      <c r="V542" s="5" t="s">
        <v>2337</v>
      </c>
      <c r="W542" s="2" t="s">
        <v>74</v>
      </c>
      <c r="X542" s="2" t="s">
        <v>74</v>
      </c>
      <c r="Y542" s="2" t="s">
        <v>74</v>
      </c>
      <c r="Z542" s="2" t="s">
        <v>74</v>
      </c>
      <c r="AA542" s="2" t="s">
        <v>2338</v>
      </c>
      <c r="AB542" s="2" t="s">
        <v>2339</v>
      </c>
      <c r="AC542" s="2" t="s">
        <v>74</v>
      </c>
      <c r="AD542" s="2" t="s">
        <v>74</v>
      </c>
      <c r="AE542" s="2" t="s">
        <v>74</v>
      </c>
      <c r="AF542" s="2" t="s">
        <v>74</v>
      </c>
      <c r="AG542" s="2" t="s">
        <v>74</v>
      </c>
      <c r="AH542" s="2" t="s">
        <v>74</v>
      </c>
      <c r="AI542" s="2" t="s">
        <v>74</v>
      </c>
      <c r="AJ542" s="2" t="s">
        <v>74</v>
      </c>
      <c r="AK542" s="2" t="s">
        <v>74</v>
      </c>
      <c r="AL542" s="2" t="s">
        <v>74</v>
      </c>
      <c r="AM542" s="2" t="s">
        <v>74</v>
      </c>
      <c r="AN542" s="2" t="s">
        <v>74</v>
      </c>
      <c r="AO542" s="2" t="s">
        <v>547</v>
      </c>
      <c r="AP542" s="2" t="s">
        <v>74</v>
      </c>
      <c r="AQ542" s="2" t="s">
        <v>74</v>
      </c>
      <c r="AR542" s="2" t="s">
        <v>74</v>
      </c>
      <c r="AS542" s="2" t="s">
        <v>74</v>
      </c>
      <c r="AT542" s="2" t="s">
        <v>74</v>
      </c>
      <c r="AU542" s="2">
        <v>2013</v>
      </c>
      <c r="AV542" s="2">
        <v>252</v>
      </c>
      <c r="AW542" s="2">
        <v>4</v>
      </c>
      <c r="AX542" s="2" t="s">
        <v>74</v>
      </c>
      <c r="AY542" s="2" t="s">
        <v>74</v>
      </c>
      <c r="AZ542" s="2" t="s">
        <v>74</v>
      </c>
      <c r="BA542" s="2" t="s">
        <v>74</v>
      </c>
      <c r="BB542" s="2">
        <v>511</v>
      </c>
      <c r="BC542" s="2">
        <v>521</v>
      </c>
      <c r="BD542" s="2" t="s">
        <v>74</v>
      </c>
      <c r="BE542" s="2" t="s">
        <v>2340</v>
      </c>
      <c r="BF542" s="2" t="str">
        <f>HYPERLINK("http://dx.doi.org/10.1016/j.jcz.2012.12.001","http://dx.doi.org/10.1016/j.jcz.2012.12.001")</f>
        <v>http://dx.doi.org/10.1016/j.jcz.2012.12.001</v>
      </c>
      <c r="BG542" s="2" t="s">
        <v>74</v>
      </c>
      <c r="BH542" s="2" t="s">
        <v>74</v>
      </c>
      <c r="BI542" s="2" t="s">
        <v>74</v>
      </c>
      <c r="BJ542" s="2" t="s">
        <v>74</v>
      </c>
      <c r="BK542" s="2" t="s">
        <v>74</v>
      </c>
      <c r="BL542" s="2" t="s">
        <v>74</v>
      </c>
      <c r="BM542" s="2" t="s">
        <v>74</v>
      </c>
      <c r="BN542" s="2" t="s">
        <v>74</v>
      </c>
      <c r="BO542" s="2" t="s">
        <v>74</v>
      </c>
      <c r="BP542" s="2" t="s">
        <v>74</v>
      </c>
      <c r="BQ542" s="2" t="s">
        <v>74</v>
      </c>
      <c r="BR542" s="2" t="s">
        <v>74</v>
      </c>
      <c r="BS542" s="2" t="s">
        <v>2341</v>
      </c>
      <c r="BT542" s="2" t="str">
        <f>HYPERLINK("https%3A%2F%2Fwww.webofscience.com%2Fwos%2Fwoscc%2Ffull-record%2FWOS:000322803400009","View Full Record in Web of Science")</f>
        <v>View Full Record in Web of Science</v>
      </c>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row>
    <row r="543" spans="1:314" s="7" customFormat="1" x14ac:dyDescent="0.4">
      <c r="A543" s="2" t="s">
        <v>72</v>
      </c>
      <c r="B543" s="2" t="s">
        <v>1110</v>
      </c>
      <c r="C543" s="2" t="s">
        <v>74</v>
      </c>
      <c r="D543" s="2" t="s">
        <v>74</v>
      </c>
      <c r="E543" s="2" t="s">
        <v>74</v>
      </c>
      <c r="F543" s="2" t="s">
        <v>1110</v>
      </c>
      <c r="G543" s="2" t="s">
        <v>74</v>
      </c>
      <c r="H543" s="2" t="s">
        <v>74</v>
      </c>
      <c r="I543" s="2" t="s">
        <v>1111</v>
      </c>
      <c r="J543" s="2" t="s">
        <v>1112</v>
      </c>
      <c r="K543" s="2" t="s">
        <v>74</v>
      </c>
      <c r="L543" s="2" t="s">
        <v>74</v>
      </c>
      <c r="M543" s="2" t="s">
        <v>74</v>
      </c>
      <c r="N543" s="2" t="s">
        <v>74</v>
      </c>
      <c r="O543" s="2" t="s">
        <v>74</v>
      </c>
      <c r="P543" s="2" t="s">
        <v>74</v>
      </c>
      <c r="Q543" s="2" t="s">
        <v>74</v>
      </c>
      <c r="R543" s="2" t="s">
        <v>74</v>
      </c>
      <c r="S543" s="2" t="s">
        <v>74</v>
      </c>
      <c r="T543" s="2" t="s">
        <v>74</v>
      </c>
      <c r="U543" s="2" t="s">
        <v>74</v>
      </c>
      <c r="V543" s="5" t="s">
        <v>1113</v>
      </c>
      <c r="W543" s="2" t="s">
        <v>74</v>
      </c>
      <c r="X543" s="2" t="s">
        <v>74</v>
      </c>
      <c r="Y543" s="2" t="s">
        <v>74</v>
      </c>
      <c r="Z543" s="2" t="s">
        <v>74</v>
      </c>
      <c r="AA543" s="2" t="s">
        <v>74</v>
      </c>
      <c r="AB543" s="2" t="s">
        <v>74</v>
      </c>
      <c r="AC543" s="2" t="s">
        <v>74</v>
      </c>
      <c r="AD543" s="2" t="s">
        <v>74</v>
      </c>
      <c r="AE543" s="2" t="s">
        <v>74</v>
      </c>
      <c r="AF543" s="2" t="s">
        <v>74</v>
      </c>
      <c r="AG543" s="2" t="s">
        <v>74</v>
      </c>
      <c r="AH543" s="2" t="s">
        <v>74</v>
      </c>
      <c r="AI543" s="2" t="s">
        <v>74</v>
      </c>
      <c r="AJ543" s="2" t="s">
        <v>74</v>
      </c>
      <c r="AK543" s="2" t="s">
        <v>74</v>
      </c>
      <c r="AL543" s="2" t="s">
        <v>74</v>
      </c>
      <c r="AM543" s="2" t="s">
        <v>74</v>
      </c>
      <c r="AN543" s="2" t="s">
        <v>74</v>
      </c>
      <c r="AO543" s="2" t="s">
        <v>1114</v>
      </c>
      <c r="AP543" s="2" t="s">
        <v>1115</v>
      </c>
      <c r="AQ543" s="2" t="s">
        <v>74</v>
      </c>
      <c r="AR543" s="2" t="s">
        <v>74</v>
      </c>
      <c r="AS543" s="2" t="s">
        <v>74</v>
      </c>
      <c r="AT543" s="2" t="s">
        <v>1116</v>
      </c>
      <c r="AU543" s="2">
        <v>2004</v>
      </c>
      <c r="AV543" s="2">
        <v>86</v>
      </c>
      <c r="AW543" s="2" t="s">
        <v>548</v>
      </c>
      <c r="AX543" s="2" t="s">
        <v>74</v>
      </c>
      <c r="AY543" s="2" t="s">
        <v>74</v>
      </c>
      <c r="AZ543" s="2" t="s">
        <v>74</v>
      </c>
      <c r="BA543" s="2" t="s">
        <v>74</v>
      </c>
      <c r="BB543" s="2">
        <v>63</v>
      </c>
      <c r="BC543" s="2">
        <v>76</v>
      </c>
      <c r="BD543" s="2" t="s">
        <v>74</v>
      </c>
      <c r="BE543" s="2" t="s">
        <v>1117</v>
      </c>
      <c r="BF543" s="2" t="str">
        <f>HYPERLINK("http://dx.doi.org/10.1016/j.applanim.2003.12.003","http://dx.doi.org/10.1016/j.applanim.2003.12.003")</f>
        <v>http://dx.doi.org/10.1016/j.applanim.2003.12.003</v>
      </c>
      <c r="BG543" s="2" t="s">
        <v>74</v>
      </c>
      <c r="BH543" s="2" t="s">
        <v>74</v>
      </c>
      <c r="BI543" s="2" t="s">
        <v>74</v>
      </c>
      <c r="BJ543" s="2" t="s">
        <v>74</v>
      </c>
      <c r="BK543" s="2" t="s">
        <v>74</v>
      </c>
      <c r="BL543" s="2" t="s">
        <v>74</v>
      </c>
      <c r="BM543" s="2" t="s">
        <v>74</v>
      </c>
      <c r="BN543" s="2" t="s">
        <v>74</v>
      </c>
      <c r="BO543" s="2" t="s">
        <v>74</v>
      </c>
      <c r="BP543" s="2" t="s">
        <v>74</v>
      </c>
      <c r="BQ543" s="2" t="s">
        <v>74</v>
      </c>
      <c r="BR543" s="2" t="s">
        <v>74</v>
      </c>
      <c r="BS543" s="2" t="s">
        <v>1118</v>
      </c>
      <c r="BT543" s="2" t="str">
        <f>HYPERLINK("https%3A%2F%2Fwww.webofscience.com%2Fwos%2Fwoscc%2Ffull-record%2FWOS:000220316400006","View Full Record in Web of Science")</f>
        <v>View Full Record in Web of Science</v>
      </c>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row>
    <row r="544" spans="1:314" s="2" customFormat="1" x14ac:dyDescent="0.4">
      <c r="A544" s="2" t="s">
        <v>72</v>
      </c>
      <c r="B544" s="2" t="s">
        <v>7720</v>
      </c>
      <c r="C544" s="2" t="s">
        <v>74</v>
      </c>
      <c r="D544" s="2" t="s">
        <v>74</v>
      </c>
      <c r="E544" s="2" t="s">
        <v>74</v>
      </c>
      <c r="F544" s="2" t="s">
        <v>7721</v>
      </c>
      <c r="G544" s="2" t="s">
        <v>74</v>
      </c>
      <c r="H544" s="2" t="s">
        <v>74</v>
      </c>
      <c r="I544" s="2" t="s">
        <v>7722</v>
      </c>
      <c r="J544" s="2" t="s">
        <v>7723</v>
      </c>
      <c r="K544" s="2" t="s">
        <v>74</v>
      </c>
      <c r="L544" s="2" t="s">
        <v>74</v>
      </c>
      <c r="M544" s="2" t="s">
        <v>74</v>
      </c>
      <c r="N544" s="2" t="s">
        <v>74</v>
      </c>
      <c r="O544" s="2" t="s">
        <v>74</v>
      </c>
      <c r="P544" s="2" t="s">
        <v>74</v>
      </c>
      <c r="Q544" s="2" t="s">
        <v>74</v>
      </c>
      <c r="R544" s="2" t="s">
        <v>74</v>
      </c>
      <c r="S544" s="2" t="s">
        <v>74</v>
      </c>
      <c r="T544" s="2" t="s">
        <v>74</v>
      </c>
      <c r="U544" s="2" t="s">
        <v>74</v>
      </c>
      <c r="V544" s="5" t="s">
        <v>7724</v>
      </c>
      <c r="W544" s="2" t="s">
        <v>74</v>
      </c>
      <c r="X544" s="2" t="s">
        <v>74</v>
      </c>
      <c r="Y544" s="2" t="s">
        <v>74</v>
      </c>
      <c r="Z544" s="2" t="s">
        <v>74</v>
      </c>
      <c r="AA544" s="2" t="s">
        <v>74</v>
      </c>
      <c r="AB544" s="2" t="s">
        <v>7725</v>
      </c>
      <c r="AC544" s="2" t="s">
        <v>74</v>
      </c>
      <c r="AD544" s="2" t="s">
        <v>74</v>
      </c>
      <c r="AE544" s="2" t="s">
        <v>74</v>
      </c>
      <c r="AF544" s="2" t="s">
        <v>74</v>
      </c>
      <c r="AG544" s="2" t="s">
        <v>74</v>
      </c>
      <c r="AH544" s="2" t="s">
        <v>74</v>
      </c>
      <c r="AI544" s="2" t="s">
        <v>74</v>
      </c>
      <c r="AJ544" s="2" t="s">
        <v>74</v>
      </c>
      <c r="AK544" s="2" t="s">
        <v>74</v>
      </c>
      <c r="AL544" s="2" t="s">
        <v>74</v>
      </c>
      <c r="AM544" s="2" t="s">
        <v>74</v>
      </c>
      <c r="AN544" s="2" t="s">
        <v>74</v>
      </c>
      <c r="AO544" s="2" t="s">
        <v>7726</v>
      </c>
      <c r="AP544" s="2" t="s">
        <v>7727</v>
      </c>
      <c r="AQ544" s="2" t="s">
        <v>74</v>
      </c>
      <c r="AR544" s="2" t="s">
        <v>74</v>
      </c>
      <c r="AS544" s="2" t="s">
        <v>74</v>
      </c>
      <c r="AT544" s="2" t="s">
        <v>352</v>
      </c>
      <c r="AU544" s="2">
        <v>2014</v>
      </c>
      <c r="AV544" s="2">
        <v>105</v>
      </c>
      <c r="AW544" s="2" t="s">
        <v>74</v>
      </c>
      <c r="AX544" s="2" t="s">
        <v>74</v>
      </c>
      <c r="AY544" s="2">
        <v>1</v>
      </c>
      <c r="AZ544" s="2" t="s">
        <v>848</v>
      </c>
      <c r="BA544" s="2" t="s">
        <v>74</v>
      </c>
      <c r="BB544" s="2">
        <v>821</v>
      </c>
      <c r="BC544" s="2">
        <v>833</v>
      </c>
      <c r="BD544" s="2" t="s">
        <v>74</v>
      </c>
      <c r="BE544" s="2" t="s">
        <v>7728</v>
      </c>
      <c r="BF544" s="2" t="str">
        <f>HYPERLINK("http://dx.doi.org/10.1093/jhered/esu041","http://dx.doi.org/10.1093/jhered/esu041")</f>
        <v>http://dx.doi.org/10.1093/jhered/esu041</v>
      </c>
      <c r="BG544" s="2" t="s">
        <v>74</v>
      </c>
      <c r="BH544" s="2" t="s">
        <v>74</v>
      </c>
      <c r="BI544" s="2" t="s">
        <v>74</v>
      </c>
      <c r="BJ544" s="2" t="s">
        <v>74</v>
      </c>
      <c r="BK544" s="2" t="s">
        <v>74</v>
      </c>
      <c r="BL544" s="2" t="s">
        <v>74</v>
      </c>
      <c r="BM544" s="2" t="s">
        <v>74</v>
      </c>
      <c r="BN544" s="2">
        <v>25149257</v>
      </c>
      <c r="BO544" s="2" t="s">
        <v>74</v>
      </c>
      <c r="BP544" s="2" t="s">
        <v>74</v>
      </c>
      <c r="BQ544" s="2" t="s">
        <v>74</v>
      </c>
      <c r="BR544" s="2" t="s">
        <v>74</v>
      </c>
      <c r="BS544" s="2" t="s">
        <v>7729</v>
      </c>
      <c r="BT544" s="2" t="str">
        <f>HYPERLINK("https%3A%2F%2Fwww.webofscience.com%2Fwos%2Fwoscc%2Ffull-record%2FWOS:000342995100008","View Full Record in Web of Science")</f>
        <v>View Full Record in Web of Science</v>
      </c>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row>
    <row r="545" spans="1:314" s="2" customFormat="1" x14ac:dyDescent="0.4">
      <c r="A545" s="2" t="s">
        <v>72</v>
      </c>
      <c r="B545" s="2" t="s">
        <v>6594</v>
      </c>
      <c r="C545" s="2" t="s">
        <v>74</v>
      </c>
      <c r="D545" s="2" t="s">
        <v>74</v>
      </c>
      <c r="E545" s="2" t="s">
        <v>74</v>
      </c>
      <c r="F545" s="2" t="s">
        <v>6594</v>
      </c>
      <c r="G545" s="2" t="s">
        <v>74</v>
      </c>
      <c r="H545" s="2" t="s">
        <v>74</v>
      </c>
      <c r="I545" s="2" t="s">
        <v>6595</v>
      </c>
      <c r="J545" s="2" t="s">
        <v>140</v>
      </c>
      <c r="K545" s="2" t="s">
        <v>74</v>
      </c>
      <c r="L545" s="2" t="s">
        <v>74</v>
      </c>
      <c r="M545" s="2" t="s">
        <v>74</v>
      </c>
      <c r="N545" s="2" t="s">
        <v>74</v>
      </c>
      <c r="O545" s="2" t="s">
        <v>74</v>
      </c>
      <c r="P545" s="2" t="s">
        <v>74</v>
      </c>
      <c r="Q545" s="2" t="s">
        <v>74</v>
      </c>
      <c r="R545" s="2" t="s">
        <v>74</v>
      </c>
      <c r="S545" s="2" t="s">
        <v>74</v>
      </c>
      <c r="T545" s="2" t="s">
        <v>74</v>
      </c>
      <c r="U545" s="2" t="s">
        <v>74</v>
      </c>
      <c r="V545" s="5" t="s">
        <v>6596</v>
      </c>
      <c r="W545" s="2" t="s">
        <v>74</v>
      </c>
      <c r="X545" s="2" t="s">
        <v>74</v>
      </c>
      <c r="Y545" s="2" t="s">
        <v>74</v>
      </c>
      <c r="Z545" s="2" t="s">
        <v>74</v>
      </c>
      <c r="AA545" s="2" t="s">
        <v>6597</v>
      </c>
      <c r="AB545" s="2" t="s">
        <v>74</v>
      </c>
      <c r="AC545" s="2" t="s">
        <v>74</v>
      </c>
      <c r="AD545" s="2" t="s">
        <v>74</v>
      </c>
      <c r="AE545" s="2" t="s">
        <v>74</v>
      </c>
      <c r="AF545" s="2" t="s">
        <v>74</v>
      </c>
      <c r="AG545" s="2" t="s">
        <v>74</v>
      </c>
      <c r="AH545" s="2" t="s">
        <v>74</v>
      </c>
      <c r="AI545" s="2" t="s">
        <v>74</v>
      </c>
      <c r="AJ545" s="2" t="s">
        <v>74</v>
      </c>
      <c r="AK545" s="2" t="s">
        <v>74</v>
      </c>
      <c r="AL545" s="2" t="s">
        <v>74</v>
      </c>
      <c r="AM545" s="2" t="s">
        <v>74</v>
      </c>
      <c r="AN545" s="2" t="s">
        <v>74</v>
      </c>
      <c r="AO545" s="2" t="s">
        <v>143</v>
      </c>
      <c r="AP545" s="2" t="s">
        <v>144</v>
      </c>
      <c r="AQ545" s="2" t="s">
        <v>74</v>
      </c>
      <c r="AR545" s="2" t="s">
        <v>74</v>
      </c>
      <c r="AS545" s="2" t="s">
        <v>74</v>
      </c>
      <c r="AT545" s="2" t="s">
        <v>213</v>
      </c>
      <c r="AU545" s="2">
        <v>1997</v>
      </c>
      <c r="AV545" s="2">
        <v>54</v>
      </c>
      <c r="AW545" s="2" t="s">
        <v>74</v>
      </c>
      <c r="AX545" s="2">
        <v>5</v>
      </c>
      <c r="AY545" s="2" t="s">
        <v>74</v>
      </c>
      <c r="AZ545" s="2" t="s">
        <v>74</v>
      </c>
      <c r="BA545" s="2" t="s">
        <v>74</v>
      </c>
      <c r="BB545" s="2">
        <v>1309</v>
      </c>
      <c r="BC545" s="2">
        <v>1315</v>
      </c>
      <c r="BD545" s="2" t="s">
        <v>74</v>
      </c>
      <c r="BE545" s="2" t="s">
        <v>6598</v>
      </c>
      <c r="BF545" s="2" t="str">
        <f>HYPERLINK("http://dx.doi.org/10.1006/anbe.1997.0531","http://dx.doi.org/10.1006/anbe.1997.0531")</f>
        <v>http://dx.doi.org/10.1006/anbe.1997.0531</v>
      </c>
      <c r="BG545" s="2" t="s">
        <v>74</v>
      </c>
      <c r="BH545" s="2" t="s">
        <v>74</v>
      </c>
      <c r="BI545" s="2" t="s">
        <v>74</v>
      </c>
      <c r="BJ545" s="2" t="s">
        <v>74</v>
      </c>
      <c r="BK545" s="2" t="s">
        <v>74</v>
      </c>
      <c r="BL545" s="2" t="s">
        <v>74</v>
      </c>
      <c r="BM545" s="2" t="s">
        <v>74</v>
      </c>
      <c r="BN545" s="2">
        <v>9398384</v>
      </c>
      <c r="BO545" s="2" t="s">
        <v>74</v>
      </c>
      <c r="BP545" s="2" t="s">
        <v>74</v>
      </c>
      <c r="BQ545" s="2" t="s">
        <v>74</v>
      </c>
      <c r="BR545" s="2" t="s">
        <v>74</v>
      </c>
      <c r="BS545" s="2" t="s">
        <v>6599</v>
      </c>
      <c r="BT545" s="2" t="str">
        <f>HYPERLINK("https%3A%2F%2Fwww.webofscience.com%2Fwos%2Fwoscc%2Ffull-record%2FWOS:A1997YJ17400025","View Full Record in Web of Science")</f>
        <v>View Full Record in Web of Science</v>
      </c>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row>
    <row r="546" spans="1:314" s="2" customFormat="1" x14ac:dyDescent="0.4">
      <c r="A546" s="2" t="s">
        <v>72</v>
      </c>
      <c r="B546" s="2" t="s">
        <v>2173</v>
      </c>
      <c r="C546" s="2" t="s">
        <v>74</v>
      </c>
      <c r="D546" s="2" t="s">
        <v>74</v>
      </c>
      <c r="E546" s="2" t="s">
        <v>74</v>
      </c>
      <c r="F546" s="2" t="s">
        <v>2174</v>
      </c>
      <c r="G546" s="2" t="s">
        <v>74</v>
      </c>
      <c r="H546" s="2" t="s">
        <v>74</v>
      </c>
      <c r="I546" s="2" t="s">
        <v>2175</v>
      </c>
      <c r="J546" s="2" t="s">
        <v>420</v>
      </c>
      <c r="K546" s="2" t="s">
        <v>74</v>
      </c>
      <c r="L546" s="2" t="s">
        <v>74</v>
      </c>
      <c r="M546" s="2" t="s">
        <v>74</v>
      </c>
      <c r="N546" s="2" t="s">
        <v>74</v>
      </c>
      <c r="O546" s="2" t="s">
        <v>74</v>
      </c>
      <c r="P546" s="2" t="s">
        <v>74</v>
      </c>
      <c r="Q546" s="2" t="s">
        <v>74</v>
      </c>
      <c r="R546" s="2" t="s">
        <v>74</v>
      </c>
      <c r="S546" s="2" t="s">
        <v>74</v>
      </c>
      <c r="T546" s="2" t="s">
        <v>74</v>
      </c>
      <c r="U546" s="2" t="s">
        <v>74</v>
      </c>
      <c r="V546" s="5" t="s">
        <v>2176</v>
      </c>
      <c r="W546" s="2" t="s">
        <v>74</v>
      </c>
      <c r="X546" s="2" t="s">
        <v>74</v>
      </c>
      <c r="Y546" s="2" t="s">
        <v>74</v>
      </c>
      <c r="Z546" s="2" t="s">
        <v>74</v>
      </c>
      <c r="AA546" s="2" t="s">
        <v>74</v>
      </c>
      <c r="AB546" s="2" t="s">
        <v>322</v>
      </c>
      <c r="AC546" s="2" t="s">
        <v>74</v>
      </c>
      <c r="AD546" s="2" t="s">
        <v>74</v>
      </c>
      <c r="AE546" s="2" t="s">
        <v>74</v>
      </c>
      <c r="AF546" s="2" t="s">
        <v>74</v>
      </c>
      <c r="AG546" s="2" t="s">
        <v>74</v>
      </c>
      <c r="AH546" s="2" t="s">
        <v>74</v>
      </c>
      <c r="AI546" s="2" t="s">
        <v>74</v>
      </c>
      <c r="AJ546" s="2" t="s">
        <v>74</v>
      </c>
      <c r="AK546" s="2" t="s">
        <v>74</v>
      </c>
      <c r="AL546" s="2" t="s">
        <v>74</v>
      </c>
      <c r="AM546" s="2" t="s">
        <v>74</v>
      </c>
      <c r="AN546" s="2" t="s">
        <v>74</v>
      </c>
      <c r="AO546" s="2" t="s">
        <v>424</v>
      </c>
      <c r="AP546" s="2" t="s">
        <v>74</v>
      </c>
      <c r="AQ546" s="2" t="s">
        <v>74</v>
      </c>
      <c r="AR546" s="2" t="s">
        <v>74</v>
      </c>
      <c r="AS546" s="2" t="s">
        <v>74</v>
      </c>
      <c r="AT546" s="2" t="s">
        <v>2177</v>
      </c>
      <c r="AU546" s="2">
        <v>2010</v>
      </c>
      <c r="AV546" s="2">
        <v>10</v>
      </c>
      <c r="AW546" s="2" t="s">
        <v>74</v>
      </c>
      <c r="AX546" s="2" t="s">
        <v>74</v>
      </c>
      <c r="AY546" s="2" t="s">
        <v>74</v>
      </c>
      <c r="AZ546" s="2" t="s">
        <v>74</v>
      </c>
      <c r="BA546" s="2" t="s">
        <v>74</v>
      </c>
      <c r="BB546" s="2" t="s">
        <v>74</v>
      </c>
      <c r="BC546" s="2" t="s">
        <v>74</v>
      </c>
      <c r="BD546" s="2">
        <v>391</v>
      </c>
      <c r="BE546" s="2" t="s">
        <v>2178</v>
      </c>
      <c r="BF546" s="2" t="str">
        <f>HYPERLINK("http://dx.doi.org/10.1186/1471-2148-10-391","http://dx.doi.org/10.1186/1471-2148-10-391")</f>
        <v>http://dx.doi.org/10.1186/1471-2148-10-391</v>
      </c>
      <c r="BG546" s="2" t="s">
        <v>74</v>
      </c>
      <c r="BH546" s="2" t="s">
        <v>74</v>
      </c>
      <c r="BI546" s="2" t="s">
        <v>74</v>
      </c>
      <c r="BJ546" s="2" t="s">
        <v>74</v>
      </c>
      <c r="BK546" s="2" t="s">
        <v>74</v>
      </c>
      <c r="BL546" s="2" t="s">
        <v>74</v>
      </c>
      <c r="BM546" s="2" t="s">
        <v>74</v>
      </c>
      <c r="BN546" s="2">
        <v>21182755</v>
      </c>
      <c r="BO546" s="2" t="s">
        <v>74</v>
      </c>
      <c r="BP546" s="2" t="s">
        <v>74</v>
      </c>
      <c r="BQ546" s="2" t="s">
        <v>74</v>
      </c>
      <c r="BR546" s="2" t="s">
        <v>74</v>
      </c>
      <c r="BS546" s="2" t="s">
        <v>2179</v>
      </c>
      <c r="BT546" s="2" t="str">
        <f>HYPERLINK("https%3A%2F%2Fwww.webofscience.com%2Fwos%2Fwoscc%2Ffull-record%2FWOS:000287579200001","View Full Record in Web of Science")</f>
        <v>View Full Record in Web of Science</v>
      </c>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row>
    <row r="547" spans="1:314" s="2" customFormat="1" x14ac:dyDescent="0.4">
      <c r="A547" s="2" t="s">
        <v>72</v>
      </c>
      <c r="B547" s="2" t="s">
        <v>3970</v>
      </c>
      <c r="C547" s="2" t="s">
        <v>74</v>
      </c>
      <c r="D547" s="2" t="s">
        <v>74</v>
      </c>
      <c r="E547" s="2" t="s">
        <v>74</v>
      </c>
      <c r="F547" s="2" t="s">
        <v>3970</v>
      </c>
      <c r="G547" s="2" t="s">
        <v>74</v>
      </c>
      <c r="H547" s="2" t="s">
        <v>74</v>
      </c>
      <c r="I547" s="2" t="s">
        <v>3971</v>
      </c>
      <c r="J547" s="2" t="s">
        <v>1812</v>
      </c>
      <c r="K547" s="2" t="s">
        <v>74</v>
      </c>
      <c r="L547" s="2" t="s">
        <v>74</v>
      </c>
      <c r="M547" s="2" t="s">
        <v>74</v>
      </c>
      <c r="N547" s="2" t="s">
        <v>74</v>
      </c>
      <c r="O547" s="2" t="s">
        <v>74</v>
      </c>
      <c r="P547" s="2" t="s">
        <v>74</v>
      </c>
      <c r="Q547" s="2" t="s">
        <v>74</v>
      </c>
      <c r="R547" s="2" t="s">
        <v>74</v>
      </c>
      <c r="S547" s="2" t="s">
        <v>74</v>
      </c>
      <c r="T547" s="2" t="s">
        <v>74</v>
      </c>
      <c r="U547" s="2" t="s">
        <v>74</v>
      </c>
      <c r="V547" s="5" t="s">
        <v>3972</v>
      </c>
      <c r="W547" s="2" t="s">
        <v>74</v>
      </c>
      <c r="X547" s="2" t="s">
        <v>74</v>
      </c>
      <c r="Y547" s="2" t="s">
        <v>74</v>
      </c>
      <c r="Z547" s="2" t="s">
        <v>74</v>
      </c>
      <c r="AA547" s="2" t="s">
        <v>74</v>
      </c>
      <c r="AB547" s="2" t="s">
        <v>3973</v>
      </c>
      <c r="AC547" s="2" t="s">
        <v>74</v>
      </c>
      <c r="AD547" s="2" t="s">
        <v>74</v>
      </c>
      <c r="AE547" s="2" t="s">
        <v>74</v>
      </c>
      <c r="AF547" s="2" t="s">
        <v>74</v>
      </c>
      <c r="AG547" s="2" t="s">
        <v>74</v>
      </c>
      <c r="AH547" s="2" t="s">
        <v>74</v>
      </c>
      <c r="AI547" s="2" t="s">
        <v>74</v>
      </c>
      <c r="AJ547" s="2" t="s">
        <v>74</v>
      </c>
      <c r="AK547" s="2" t="s">
        <v>74</v>
      </c>
      <c r="AL547" s="2" t="s">
        <v>74</v>
      </c>
      <c r="AM547" s="2" t="s">
        <v>74</v>
      </c>
      <c r="AN547" s="2" t="s">
        <v>74</v>
      </c>
      <c r="AO547" s="2" t="s">
        <v>1814</v>
      </c>
      <c r="AP547" s="2" t="s">
        <v>1815</v>
      </c>
      <c r="AQ547" s="2" t="s">
        <v>74</v>
      </c>
      <c r="AR547" s="2" t="s">
        <v>74</v>
      </c>
      <c r="AS547" s="2" t="s">
        <v>74</v>
      </c>
      <c r="AT547" s="2" t="s">
        <v>123</v>
      </c>
      <c r="AU547" s="2">
        <v>2004</v>
      </c>
      <c r="AV547" s="2">
        <v>38</v>
      </c>
      <c r="AW547" s="2">
        <v>1</v>
      </c>
      <c r="AX547" s="2" t="s">
        <v>74</v>
      </c>
      <c r="AY547" s="2" t="s">
        <v>74</v>
      </c>
      <c r="AZ547" s="2" t="s">
        <v>74</v>
      </c>
      <c r="BA547" s="2" t="s">
        <v>74</v>
      </c>
      <c r="BB547" s="2">
        <v>156</v>
      </c>
      <c r="BC547" s="2">
        <v>160</v>
      </c>
      <c r="BD547" s="2" t="s">
        <v>74</v>
      </c>
      <c r="BE547" s="2" t="s">
        <v>3974</v>
      </c>
      <c r="BF547" s="2" t="str">
        <f>HYPERLINK("http://dx.doi.org/10.1670/138-03N","http://dx.doi.org/10.1670/138-03N")</f>
        <v>http://dx.doi.org/10.1670/138-03N</v>
      </c>
      <c r="BG547" s="2" t="s">
        <v>74</v>
      </c>
      <c r="BH547" s="2" t="s">
        <v>74</v>
      </c>
      <c r="BI547" s="2" t="s">
        <v>74</v>
      </c>
      <c r="BJ547" s="2" t="s">
        <v>74</v>
      </c>
      <c r="BK547" s="2" t="s">
        <v>74</v>
      </c>
      <c r="BL547" s="2" t="s">
        <v>74</v>
      </c>
      <c r="BM547" s="2" t="s">
        <v>74</v>
      </c>
      <c r="BN547" s="2" t="s">
        <v>74</v>
      </c>
      <c r="BO547" s="2" t="s">
        <v>74</v>
      </c>
      <c r="BP547" s="2" t="s">
        <v>74</v>
      </c>
      <c r="BQ547" s="2" t="s">
        <v>74</v>
      </c>
      <c r="BR547" s="2" t="s">
        <v>74</v>
      </c>
      <c r="BS547" s="2" t="s">
        <v>3975</v>
      </c>
      <c r="BT547" s="2" t="str">
        <f>HYPERLINK("https%3A%2F%2Fwww.webofscience.com%2Fwos%2Fwoscc%2Ffull-record%2FWOS:000220546800025","View Full Record in Web of Science")</f>
        <v>View Full Record in Web of Science</v>
      </c>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row>
    <row r="548" spans="1:314" s="2" customFormat="1" x14ac:dyDescent="0.4">
      <c r="A548" s="2" t="s">
        <v>72</v>
      </c>
      <c r="B548" s="2" t="s">
        <v>5911</v>
      </c>
      <c r="C548" s="2" t="s">
        <v>74</v>
      </c>
      <c r="D548" s="2" t="s">
        <v>74</v>
      </c>
      <c r="E548" s="2" t="s">
        <v>74</v>
      </c>
      <c r="F548" s="2" t="s">
        <v>5912</v>
      </c>
      <c r="G548" s="2" t="s">
        <v>74</v>
      </c>
      <c r="H548" s="2" t="s">
        <v>74</v>
      </c>
      <c r="I548" s="2" t="s">
        <v>5913</v>
      </c>
      <c r="J548" s="2" t="s">
        <v>1743</v>
      </c>
      <c r="K548" s="2" t="s">
        <v>74</v>
      </c>
      <c r="L548" s="2" t="s">
        <v>74</v>
      </c>
      <c r="M548" s="2" t="s">
        <v>74</v>
      </c>
      <c r="N548" s="2" t="s">
        <v>74</v>
      </c>
      <c r="O548" s="2" t="s">
        <v>74</v>
      </c>
      <c r="P548" s="2" t="s">
        <v>74</v>
      </c>
      <c r="Q548" s="2" t="s">
        <v>74</v>
      </c>
      <c r="R548" s="2" t="s">
        <v>74</v>
      </c>
      <c r="S548" s="2" t="s">
        <v>74</v>
      </c>
      <c r="T548" s="2" t="s">
        <v>74</v>
      </c>
      <c r="U548" s="2" t="s">
        <v>74</v>
      </c>
      <c r="V548" s="5" t="s">
        <v>5914</v>
      </c>
      <c r="W548" s="2" t="s">
        <v>74</v>
      </c>
      <c r="X548" s="2" t="s">
        <v>74</v>
      </c>
      <c r="Y548" s="2" t="s">
        <v>74</v>
      </c>
      <c r="Z548" s="2" t="s">
        <v>74</v>
      </c>
      <c r="AA548" s="2" t="s">
        <v>5915</v>
      </c>
      <c r="AB548" s="2" t="s">
        <v>5916</v>
      </c>
      <c r="AC548" s="2" t="s">
        <v>74</v>
      </c>
      <c r="AD548" s="2" t="s">
        <v>74</v>
      </c>
      <c r="AE548" s="2" t="s">
        <v>74</v>
      </c>
      <c r="AF548" s="2" t="s">
        <v>74</v>
      </c>
      <c r="AG548" s="2" t="s">
        <v>74</v>
      </c>
      <c r="AH548" s="2" t="s">
        <v>74</v>
      </c>
      <c r="AI548" s="2" t="s">
        <v>74</v>
      </c>
      <c r="AJ548" s="2" t="s">
        <v>74</v>
      </c>
      <c r="AK548" s="2" t="s">
        <v>74</v>
      </c>
      <c r="AL548" s="2" t="s">
        <v>74</v>
      </c>
      <c r="AM548" s="2" t="s">
        <v>74</v>
      </c>
      <c r="AN548" s="2" t="s">
        <v>74</v>
      </c>
      <c r="AO548" s="2" t="s">
        <v>1746</v>
      </c>
      <c r="AP548" s="2" t="s">
        <v>74</v>
      </c>
      <c r="AQ548" s="2" t="s">
        <v>74</v>
      </c>
      <c r="AR548" s="2" t="s">
        <v>74</v>
      </c>
      <c r="AS548" s="2" t="s">
        <v>74</v>
      </c>
      <c r="AT548" s="2" t="s">
        <v>633</v>
      </c>
      <c r="AU548" s="2">
        <v>2021</v>
      </c>
      <c r="AV548" s="2">
        <v>38</v>
      </c>
      <c r="AW548" s="2">
        <v>2</v>
      </c>
      <c r="AX548" s="2" t="s">
        <v>74</v>
      </c>
      <c r="AY548" s="2" t="s">
        <v>74</v>
      </c>
      <c r="AZ548" s="2" t="s">
        <v>74</v>
      </c>
      <c r="BA548" s="2" t="s">
        <v>74</v>
      </c>
      <c r="BB548" s="2">
        <v>193</v>
      </c>
      <c r="BC548" s="2">
        <v>202</v>
      </c>
      <c r="BD548" s="2" t="s">
        <v>74</v>
      </c>
      <c r="BE548" s="2" t="s">
        <v>5917</v>
      </c>
      <c r="BF548" s="2" t="str">
        <f>HYPERLINK("http://dx.doi.org/10.2108/zs200112","http://dx.doi.org/10.2108/zs200112")</f>
        <v>http://dx.doi.org/10.2108/zs200112</v>
      </c>
      <c r="BG548" s="2" t="s">
        <v>74</v>
      </c>
      <c r="BH548" s="2" t="s">
        <v>74</v>
      </c>
      <c r="BI548" s="2" t="s">
        <v>74</v>
      </c>
      <c r="BJ548" s="2" t="s">
        <v>74</v>
      </c>
      <c r="BK548" s="2" t="s">
        <v>74</v>
      </c>
      <c r="BL548" s="2" t="s">
        <v>74</v>
      </c>
      <c r="BM548" s="2" t="s">
        <v>74</v>
      </c>
      <c r="BN548" s="2">
        <v>33812359</v>
      </c>
      <c r="BO548" s="2" t="s">
        <v>74</v>
      </c>
      <c r="BP548" s="2" t="s">
        <v>74</v>
      </c>
      <c r="BQ548" s="2" t="s">
        <v>74</v>
      </c>
      <c r="BR548" s="2" t="s">
        <v>74</v>
      </c>
      <c r="BS548" s="2" t="s">
        <v>5918</v>
      </c>
      <c r="BT548" s="2" t="str">
        <f>HYPERLINK("https%3A%2F%2Fwww.webofscience.com%2Fwos%2Fwoscc%2Ffull-record%2FWOS:000635436200010","View Full Record in Web of Science")</f>
        <v>View Full Record in Web of Science</v>
      </c>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row>
    <row r="549" spans="1:314" s="2" customFormat="1" x14ac:dyDescent="0.4">
      <c r="A549" s="2" t="s">
        <v>72</v>
      </c>
      <c r="B549" s="2" t="s">
        <v>6906</v>
      </c>
      <c r="C549" s="2" t="s">
        <v>74</v>
      </c>
      <c r="D549" s="2" t="s">
        <v>74</v>
      </c>
      <c r="E549" s="2" t="s">
        <v>74</v>
      </c>
      <c r="F549" s="2" t="s">
        <v>6907</v>
      </c>
      <c r="G549" s="2" t="s">
        <v>74</v>
      </c>
      <c r="H549" s="2" t="s">
        <v>74</v>
      </c>
      <c r="I549" s="2" t="s">
        <v>6908</v>
      </c>
      <c r="J549" s="2" t="s">
        <v>171</v>
      </c>
      <c r="K549" s="2" t="s">
        <v>74</v>
      </c>
      <c r="L549" s="2" t="s">
        <v>74</v>
      </c>
      <c r="M549" s="2" t="s">
        <v>74</v>
      </c>
      <c r="N549" s="2" t="s">
        <v>74</v>
      </c>
      <c r="O549" s="2" t="s">
        <v>74</v>
      </c>
      <c r="P549" s="2" t="s">
        <v>74</v>
      </c>
      <c r="Q549" s="2" t="s">
        <v>74</v>
      </c>
      <c r="R549" s="2" t="s">
        <v>74</v>
      </c>
      <c r="S549" s="2" t="s">
        <v>74</v>
      </c>
      <c r="T549" s="2" t="s">
        <v>74</v>
      </c>
      <c r="U549" s="2" t="s">
        <v>74</v>
      </c>
      <c r="V549" s="5" t="s">
        <v>6909</v>
      </c>
      <c r="W549" s="2" t="s">
        <v>74</v>
      </c>
      <c r="X549" s="2" t="s">
        <v>74</v>
      </c>
      <c r="Y549" s="2" t="s">
        <v>74</v>
      </c>
      <c r="Z549" s="2" t="s">
        <v>74</v>
      </c>
      <c r="AA549" s="2" t="s">
        <v>6910</v>
      </c>
      <c r="AB549" s="2" t="s">
        <v>434</v>
      </c>
      <c r="AC549" s="2" t="s">
        <v>74</v>
      </c>
      <c r="AD549" s="2" t="s">
        <v>74</v>
      </c>
      <c r="AE549" s="2" t="s">
        <v>74</v>
      </c>
      <c r="AF549" s="2" t="s">
        <v>74</v>
      </c>
      <c r="AG549" s="2" t="s">
        <v>74</v>
      </c>
      <c r="AH549" s="2" t="s">
        <v>74</v>
      </c>
      <c r="AI549" s="2" t="s">
        <v>74</v>
      </c>
      <c r="AJ549" s="2" t="s">
        <v>74</v>
      </c>
      <c r="AK549" s="2" t="s">
        <v>74</v>
      </c>
      <c r="AL549" s="2" t="s">
        <v>74</v>
      </c>
      <c r="AM549" s="2" t="s">
        <v>74</v>
      </c>
      <c r="AN549" s="2" t="s">
        <v>74</v>
      </c>
      <c r="AO549" s="2" t="s">
        <v>173</v>
      </c>
      <c r="AP549" s="2" t="s">
        <v>174</v>
      </c>
      <c r="AQ549" s="2" t="s">
        <v>74</v>
      </c>
      <c r="AR549" s="2" t="s">
        <v>74</v>
      </c>
      <c r="AS549" s="2" t="s">
        <v>74</v>
      </c>
      <c r="AT549" s="2" t="s">
        <v>102</v>
      </c>
      <c r="AU549" s="2">
        <v>2010</v>
      </c>
      <c r="AV549" s="2">
        <v>64</v>
      </c>
      <c r="AW549" s="2">
        <v>6</v>
      </c>
      <c r="AX549" s="2" t="s">
        <v>74</v>
      </c>
      <c r="AY549" s="2" t="s">
        <v>74</v>
      </c>
      <c r="AZ549" s="2" t="s">
        <v>74</v>
      </c>
      <c r="BA549" s="2" t="s">
        <v>74</v>
      </c>
      <c r="BB549" s="2">
        <v>1634</v>
      </c>
      <c r="BC549" s="2">
        <v>1643</v>
      </c>
      <c r="BD549" s="2" t="s">
        <v>74</v>
      </c>
      <c r="BE549" s="2" t="s">
        <v>6911</v>
      </c>
      <c r="BF549" s="2" t="str">
        <f>HYPERLINK("http://dx.doi.org/10.1111/j.1558-5646.2009.00924.x","http://dx.doi.org/10.1111/j.1558-5646.2009.00924.x")</f>
        <v>http://dx.doi.org/10.1111/j.1558-5646.2009.00924.x</v>
      </c>
      <c r="BG549" s="2" t="s">
        <v>74</v>
      </c>
      <c r="BH549" s="2" t="s">
        <v>74</v>
      </c>
      <c r="BI549" s="2" t="s">
        <v>74</v>
      </c>
      <c r="BJ549" s="2" t="s">
        <v>74</v>
      </c>
      <c r="BK549" s="2" t="s">
        <v>74</v>
      </c>
      <c r="BL549" s="2" t="s">
        <v>74</v>
      </c>
      <c r="BM549" s="2" t="s">
        <v>74</v>
      </c>
      <c r="BN549" s="2">
        <v>20015235</v>
      </c>
      <c r="BO549" s="2" t="s">
        <v>74</v>
      </c>
      <c r="BP549" s="2" t="s">
        <v>74</v>
      </c>
      <c r="BQ549" s="2" t="s">
        <v>74</v>
      </c>
      <c r="BR549" s="2" t="s">
        <v>74</v>
      </c>
      <c r="BS549" s="2" t="s">
        <v>6912</v>
      </c>
      <c r="BT549" s="2" t="str">
        <f>HYPERLINK("https%3A%2F%2Fwww.webofscience.com%2Fwos%2Fwoscc%2Ffull-record%2FWOS:000278343200009","View Full Record in Web of Science")</f>
        <v>View Full Record in Web of Science</v>
      </c>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row>
    <row r="550" spans="1:314" s="2" customFormat="1" x14ac:dyDescent="0.4">
      <c r="A550" s="2" t="s">
        <v>72</v>
      </c>
      <c r="B550" s="2" t="s">
        <v>3187</v>
      </c>
      <c r="C550" s="2" t="s">
        <v>74</v>
      </c>
      <c r="D550" s="2" t="s">
        <v>74</v>
      </c>
      <c r="E550" s="2" t="s">
        <v>74</v>
      </c>
      <c r="F550" s="2" t="s">
        <v>3188</v>
      </c>
      <c r="G550" s="2" t="s">
        <v>74</v>
      </c>
      <c r="H550" s="2" t="s">
        <v>74</v>
      </c>
      <c r="I550" s="2" t="s">
        <v>3189</v>
      </c>
      <c r="J550" s="2" t="s">
        <v>3190</v>
      </c>
      <c r="K550" s="2" t="s">
        <v>74</v>
      </c>
      <c r="L550" s="2" t="s">
        <v>74</v>
      </c>
      <c r="M550" s="2" t="s">
        <v>74</v>
      </c>
      <c r="N550" s="2" t="s">
        <v>74</v>
      </c>
      <c r="O550" s="2" t="s">
        <v>74</v>
      </c>
      <c r="P550" s="2" t="s">
        <v>74</v>
      </c>
      <c r="Q550" s="2" t="s">
        <v>74</v>
      </c>
      <c r="R550" s="2" t="s">
        <v>74</v>
      </c>
      <c r="S550" s="2" t="s">
        <v>74</v>
      </c>
      <c r="T550" s="2" t="s">
        <v>74</v>
      </c>
      <c r="U550" s="2" t="s">
        <v>74</v>
      </c>
      <c r="V550" s="5" t="s">
        <v>3191</v>
      </c>
      <c r="W550" s="2" t="s">
        <v>74</v>
      </c>
      <c r="X550" s="2" t="s">
        <v>74</v>
      </c>
      <c r="Y550" s="2" t="s">
        <v>74</v>
      </c>
      <c r="Z550" s="2" t="s">
        <v>74</v>
      </c>
      <c r="AA550" s="2" t="s">
        <v>3192</v>
      </c>
      <c r="AB550" s="2" t="s">
        <v>74</v>
      </c>
      <c r="AC550" s="2" t="s">
        <v>74</v>
      </c>
      <c r="AD550" s="2" t="s">
        <v>74</v>
      </c>
      <c r="AE550" s="2" t="s">
        <v>74</v>
      </c>
      <c r="AF550" s="2" t="s">
        <v>74</v>
      </c>
      <c r="AG550" s="2" t="s">
        <v>74</v>
      </c>
      <c r="AH550" s="2" t="s">
        <v>74</v>
      </c>
      <c r="AI550" s="2" t="s">
        <v>74</v>
      </c>
      <c r="AJ550" s="2" t="s">
        <v>74</v>
      </c>
      <c r="AK550" s="2" t="s">
        <v>74</v>
      </c>
      <c r="AL550" s="2" t="s">
        <v>74</v>
      </c>
      <c r="AM550" s="2" t="s">
        <v>74</v>
      </c>
      <c r="AN550" s="2" t="s">
        <v>74</v>
      </c>
      <c r="AO550" s="2" t="s">
        <v>3193</v>
      </c>
      <c r="AP550" s="2" t="s">
        <v>3194</v>
      </c>
      <c r="AQ550" s="2" t="s">
        <v>74</v>
      </c>
      <c r="AR550" s="2" t="s">
        <v>74</v>
      </c>
      <c r="AS550" s="2" t="s">
        <v>74</v>
      </c>
      <c r="AT550" s="2" t="s">
        <v>255</v>
      </c>
      <c r="AU550" s="2">
        <v>2011</v>
      </c>
      <c r="AV550" s="2">
        <v>40</v>
      </c>
      <c r="AW550" s="2">
        <v>1</v>
      </c>
      <c r="AX550" s="2" t="s">
        <v>74</v>
      </c>
      <c r="AY550" s="2" t="s">
        <v>74</v>
      </c>
      <c r="AZ550" s="2" t="s">
        <v>74</v>
      </c>
      <c r="BA550" s="2" t="s">
        <v>74</v>
      </c>
      <c r="BB550" s="2">
        <v>21</v>
      </c>
      <c r="BC550" s="2">
        <v>25</v>
      </c>
      <c r="BD550" s="2" t="s">
        <v>74</v>
      </c>
      <c r="BE550" s="2" t="s">
        <v>3195</v>
      </c>
      <c r="BF550" s="2" t="str">
        <f>HYPERLINK("http://dx.doi.org/10.1016/j.asd.2010.07.006","http://dx.doi.org/10.1016/j.asd.2010.07.006")</f>
        <v>http://dx.doi.org/10.1016/j.asd.2010.07.006</v>
      </c>
      <c r="BG550" s="2" t="s">
        <v>74</v>
      </c>
      <c r="BH550" s="2" t="s">
        <v>74</v>
      </c>
      <c r="BI550" s="2" t="s">
        <v>74</v>
      </c>
      <c r="BJ550" s="2" t="s">
        <v>74</v>
      </c>
      <c r="BK550" s="2" t="s">
        <v>74</v>
      </c>
      <c r="BL550" s="2" t="s">
        <v>74</v>
      </c>
      <c r="BM550" s="2" t="s">
        <v>74</v>
      </c>
      <c r="BN550" s="2">
        <v>20696270</v>
      </c>
      <c r="BO550" s="2" t="s">
        <v>74</v>
      </c>
      <c r="BP550" s="2" t="s">
        <v>74</v>
      </c>
      <c r="BQ550" s="2" t="s">
        <v>74</v>
      </c>
      <c r="BR550" s="2" t="s">
        <v>74</v>
      </c>
      <c r="BS550" s="2" t="s">
        <v>3196</v>
      </c>
      <c r="BT550" s="2" t="str">
        <f>HYPERLINK("https%3A%2F%2Fwww.webofscience.com%2Fwos%2Fwoscc%2Ffull-record%2FWOS:000286405700003","View Full Record in Web of Science")</f>
        <v>View Full Record in Web of Science</v>
      </c>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row>
    <row r="551" spans="1:314" s="2" customFormat="1" x14ac:dyDescent="0.4">
      <c r="A551" s="2" t="s">
        <v>72</v>
      </c>
      <c r="B551" s="2" t="s">
        <v>3065</v>
      </c>
      <c r="C551" s="2" t="s">
        <v>74</v>
      </c>
      <c r="D551" s="2" t="s">
        <v>74</v>
      </c>
      <c r="E551" s="2" t="s">
        <v>74</v>
      </c>
      <c r="F551" s="2" t="s">
        <v>3066</v>
      </c>
      <c r="G551" s="2" t="s">
        <v>74</v>
      </c>
      <c r="H551" s="2" t="s">
        <v>74</v>
      </c>
      <c r="I551" s="2" t="s">
        <v>3067</v>
      </c>
      <c r="J551" s="2" t="s">
        <v>3068</v>
      </c>
      <c r="K551" s="2" t="s">
        <v>74</v>
      </c>
      <c r="L551" s="2" t="s">
        <v>74</v>
      </c>
      <c r="M551" s="2" t="s">
        <v>74</v>
      </c>
      <c r="N551" s="2" t="s">
        <v>74</v>
      </c>
      <c r="O551" s="2" t="s">
        <v>74</v>
      </c>
      <c r="P551" s="2" t="s">
        <v>74</v>
      </c>
      <c r="Q551" s="2" t="s">
        <v>74</v>
      </c>
      <c r="R551" s="2" t="s">
        <v>74</v>
      </c>
      <c r="S551" s="2" t="s">
        <v>74</v>
      </c>
      <c r="T551" s="2" t="s">
        <v>74</v>
      </c>
      <c r="U551" s="2" t="s">
        <v>74</v>
      </c>
      <c r="V551" s="5" t="s">
        <v>3069</v>
      </c>
      <c r="W551" s="2" t="s">
        <v>74</v>
      </c>
      <c r="X551" s="2" t="s">
        <v>74</v>
      </c>
      <c r="Y551" s="2" t="s">
        <v>74</v>
      </c>
      <c r="Z551" s="2" t="s">
        <v>74</v>
      </c>
      <c r="AA551" s="2" t="s">
        <v>3070</v>
      </c>
      <c r="AB551" s="2" t="s">
        <v>3071</v>
      </c>
      <c r="AC551" s="2" t="s">
        <v>74</v>
      </c>
      <c r="AD551" s="2" t="s">
        <v>74</v>
      </c>
      <c r="AE551" s="2" t="s">
        <v>74</v>
      </c>
      <c r="AF551" s="2" t="s">
        <v>74</v>
      </c>
      <c r="AG551" s="2" t="s">
        <v>74</v>
      </c>
      <c r="AH551" s="2" t="s">
        <v>74</v>
      </c>
      <c r="AI551" s="2" t="s">
        <v>74</v>
      </c>
      <c r="AJ551" s="2" t="s">
        <v>74</v>
      </c>
      <c r="AK551" s="2" t="s">
        <v>74</v>
      </c>
      <c r="AL551" s="2" t="s">
        <v>74</v>
      </c>
      <c r="AM551" s="2" t="s">
        <v>74</v>
      </c>
      <c r="AN551" s="2" t="s">
        <v>74</v>
      </c>
      <c r="AO551" s="2" t="s">
        <v>3072</v>
      </c>
      <c r="AP551" s="2" t="s">
        <v>3073</v>
      </c>
      <c r="AQ551" s="2" t="s">
        <v>74</v>
      </c>
      <c r="AR551" s="2" t="s">
        <v>74</v>
      </c>
      <c r="AS551" s="2" t="s">
        <v>74</v>
      </c>
      <c r="AT551" s="2" t="s">
        <v>102</v>
      </c>
      <c r="AU551" s="2">
        <v>2018</v>
      </c>
      <c r="AV551" s="2">
        <v>37</v>
      </c>
      <c r="AW551" s="2">
        <v>2</v>
      </c>
      <c r="AX551" s="2" t="s">
        <v>74</v>
      </c>
      <c r="AY551" s="2" t="s">
        <v>74</v>
      </c>
      <c r="AZ551" s="2" t="s">
        <v>74</v>
      </c>
      <c r="BA551" s="2" t="s">
        <v>74</v>
      </c>
      <c r="BB551" s="2">
        <v>423</v>
      </c>
      <c r="BC551" s="2">
        <v>430</v>
      </c>
      <c r="BD551" s="2" t="s">
        <v>74</v>
      </c>
      <c r="BE551" s="2" t="s">
        <v>3074</v>
      </c>
      <c r="BF551" s="2" t="str">
        <f>HYPERLINK("http://dx.doi.org/10.1007/s00338-018-1667-0","http://dx.doi.org/10.1007/s00338-018-1667-0")</f>
        <v>http://dx.doi.org/10.1007/s00338-018-1667-0</v>
      </c>
      <c r="BG551" s="2" t="s">
        <v>74</v>
      </c>
      <c r="BH551" s="2" t="s">
        <v>74</v>
      </c>
      <c r="BI551" s="2" t="s">
        <v>74</v>
      </c>
      <c r="BJ551" s="2" t="s">
        <v>74</v>
      </c>
      <c r="BK551" s="2" t="s">
        <v>74</v>
      </c>
      <c r="BL551" s="2" t="s">
        <v>74</v>
      </c>
      <c r="BM551" s="2" t="s">
        <v>74</v>
      </c>
      <c r="BN551" s="2" t="s">
        <v>74</v>
      </c>
      <c r="BO551" s="2" t="s">
        <v>74</v>
      </c>
      <c r="BP551" s="2" t="s">
        <v>74</v>
      </c>
      <c r="BQ551" s="2" t="s">
        <v>74</v>
      </c>
      <c r="BR551" s="2" t="s">
        <v>74</v>
      </c>
      <c r="BS551" s="2" t="s">
        <v>3075</v>
      </c>
      <c r="BT551" s="2" t="str">
        <f>HYPERLINK("https%3A%2F%2Fwww.webofscience.com%2Fwos%2Fwoscc%2Ffull-record%2FWOS:000432285500010","View Full Record in Web of Science")</f>
        <v>View Full Record in Web of Science</v>
      </c>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row>
    <row r="552" spans="1:314" s="2" customFormat="1" x14ac:dyDescent="0.4">
      <c r="A552" s="2" t="s">
        <v>72</v>
      </c>
      <c r="B552" s="2" t="s">
        <v>2648</v>
      </c>
      <c r="C552" s="2" t="s">
        <v>74</v>
      </c>
      <c r="D552" s="2" t="s">
        <v>74</v>
      </c>
      <c r="E552" s="2" t="s">
        <v>74</v>
      </c>
      <c r="F552" s="2" t="s">
        <v>2649</v>
      </c>
      <c r="G552" s="2" t="s">
        <v>74</v>
      </c>
      <c r="H552" s="2" t="s">
        <v>74</v>
      </c>
      <c r="I552" s="2" t="s">
        <v>2650</v>
      </c>
      <c r="J552" s="2" t="s">
        <v>2651</v>
      </c>
      <c r="K552" s="2" t="s">
        <v>74</v>
      </c>
      <c r="L552" s="2" t="s">
        <v>74</v>
      </c>
      <c r="M552" s="2" t="s">
        <v>74</v>
      </c>
      <c r="N552" s="2" t="s">
        <v>74</v>
      </c>
      <c r="O552" s="2" t="s">
        <v>74</v>
      </c>
      <c r="P552" s="2" t="s">
        <v>74</v>
      </c>
      <c r="Q552" s="2" t="s">
        <v>74</v>
      </c>
      <c r="R552" s="2" t="s">
        <v>74</v>
      </c>
      <c r="S552" s="2" t="s">
        <v>74</v>
      </c>
      <c r="T552" s="2" t="s">
        <v>74</v>
      </c>
      <c r="U552" s="2" t="s">
        <v>74</v>
      </c>
      <c r="V552" s="5" t="s">
        <v>2652</v>
      </c>
      <c r="W552" s="2" t="s">
        <v>74</v>
      </c>
      <c r="X552" s="2" t="s">
        <v>74</v>
      </c>
      <c r="Y552" s="2" t="s">
        <v>74</v>
      </c>
      <c r="Z552" s="2" t="s">
        <v>74</v>
      </c>
      <c r="AA552" s="2" t="s">
        <v>2653</v>
      </c>
      <c r="AB552" s="2" t="s">
        <v>2654</v>
      </c>
      <c r="AC552" s="2" t="s">
        <v>74</v>
      </c>
      <c r="AD552" s="2" t="s">
        <v>74</v>
      </c>
      <c r="AE552" s="2" t="s">
        <v>74</v>
      </c>
      <c r="AF552" s="2" t="s">
        <v>74</v>
      </c>
      <c r="AG552" s="2" t="s">
        <v>74</v>
      </c>
      <c r="AH552" s="2" t="s">
        <v>74</v>
      </c>
      <c r="AI552" s="2" t="s">
        <v>74</v>
      </c>
      <c r="AJ552" s="2" t="s">
        <v>74</v>
      </c>
      <c r="AK552" s="2" t="s">
        <v>74</v>
      </c>
      <c r="AL552" s="2" t="s">
        <v>74</v>
      </c>
      <c r="AM552" s="2" t="s">
        <v>74</v>
      </c>
      <c r="AN552" s="2" t="s">
        <v>74</v>
      </c>
      <c r="AO552" s="2" t="s">
        <v>2655</v>
      </c>
      <c r="AP552" s="2" t="s">
        <v>2656</v>
      </c>
      <c r="AQ552" s="2" t="s">
        <v>74</v>
      </c>
      <c r="AR552" s="2" t="s">
        <v>74</v>
      </c>
      <c r="AS552" s="2" t="s">
        <v>74</v>
      </c>
      <c r="AT552" s="2" t="s">
        <v>204</v>
      </c>
      <c r="AU552" s="2">
        <v>2007</v>
      </c>
      <c r="AV552" s="2">
        <v>28</v>
      </c>
      <c r="AW552" s="2">
        <v>4</v>
      </c>
      <c r="AX552" s="2" t="s">
        <v>74</v>
      </c>
      <c r="AY552" s="2" t="s">
        <v>74</v>
      </c>
      <c r="AZ552" s="2" t="s">
        <v>74</v>
      </c>
      <c r="BA552" s="2" t="s">
        <v>74</v>
      </c>
      <c r="BB552" s="2">
        <v>285</v>
      </c>
      <c r="BC552" s="2">
        <v>293</v>
      </c>
      <c r="BD552" s="2" t="s">
        <v>74</v>
      </c>
      <c r="BE552" s="2" t="s">
        <v>2657</v>
      </c>
      <c r="BF552" s="2" t="str">
        <f>HYPERLINK("http://dx.doi.org/10.1016/j.evolhumbehav.2007.03.001","http://dx.doi.org/10.1016/j.evolhumbehav.2007.03.001")</f>
        <v>http://dx.doi.org/10.1016/j.evolhumbehav.2007.03.001</v>
      </c>
      <c r="BG552" s="2" t="s">
        <v>74</v>
      </c>
      <c r="BH552" s="2" t="s">
        <v>74</v>
      </c>
      <c r="BI552" s="2" t="s">
        <v>74</v>
      </c>
      <c r="BJ552" s="2" t="s">
        <v>74</v>
      </c>
      <c r="BK552" s="2" t="s">
        <v>74</v>
      </c>
      <c r="BL552" s="2" t="s">
        <v>74</v>
      </c>
      <c r="BM552" s="2" t="s">
        <v>74</v>
      </c>
      <c r="BN552" s="2" t="s">
        <v>74</v>
      </c>
      <c r="BO552" s="2" t="s">
        <v>74</v>
      </c>
      <c r="BP552" s="2" t="s">
        <v>74</v>
      </c>
      <c r="BQ552" s="2" t="s">
        <v>74</v>
      </c>
      <c r="BR552" s="2" t="s">
        <v>74</v>
      </c>
      <c r="BS552" s="2" t="s">
        <v>2658</v>
      </c>
      <c r="BT552" s="2" t="str">
        <f>HYPERLINK("https%3A%2F%2Fwww.webofscience.com%2Fwos%2Fwoscc%2Ffull-record%2FWOS:000247824100010","View Full Record in Web of Science")</f>
        <v>View Full Record in Web of Science</v>
      </c>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row>
    <row r="553" spans="1:314" s="2" customFormat="1" x14ac:dyDescent="0.4">
      <c r="A553" s="2" t="s">
        <v>72</v>
      </c>
      <c r="B553" s="2" t="s">
        <v>4073</v>
      </c>
      <c r="C553" s="2" t="s">
        <v>74</v>
      </c>
      <c r="D553" s="2" t="s">
        <v>74</v>
      </c>
      <c r="E553" s="2" t="s">
        <v>74</v>
      </c>
      <c r="F553" s="2" t="s">
        <v>4073</v>
      </c>
      <c r="G553" s="2" t="s">
        <v>74</v>
      </c>
      <c r="H553" s="2" t="s">
        <v>74</v>
      </c>
      <c r="I553" s="2" t="s">
        <v>4074</v>
      </c>
      <c r="J553" s="2" t="s">
        <v>2847</v>
      </c>
      <c r="K553" s="2" t="s">
        <v>74</v>
      </c>
      <c r="L553" s="2" t="s">
        <v>74</v>
      </c>
      <c r="M553" s="2" t="s">
        <v>74</v>
      </c>
      <c r="N553" s="2" t="s">
        <v>74</v>
      </c>
      <c r="O553" s="2" t="s">
        <v>74</v>
      </c>
      <c r="P553" s="2" t="s">
        <v>74</v>
      </c>
      <c r="Q553" s="2" t="s">
        <v>74</v>
      </c>
      <c r="R553" s="2" t="s">
        <v>74</v>
      </c>
      <c r="S553" s="2" t="s">
        <v>74</v>
      </c>
      <c r="T553" s="2" t="s">
        <v>74</v>
      </c>
      <c r="U553" s="2" t="s">
        <v>74</v>
      </c>
      <c r="V553" s="5" t="s">
        <v>4075</v>
      </c>
      <c r="W553" s="2" t="s">
        <v>74</v>
      </c>
      <c r="X553" s="2" t="s">
        <v>74</v>
      </c>
      <c r="Y553" s="2" t="s">
        <v>74</v>
      </c>
      <c r="Z553" s="2" t="s">
        <v>74</v>
      </c>
      <c r="AA553" s="2" t="s">
        <v>74</v>
      </c>
      <c r="AB553" s="2" t="s">
        <v>74</v>
      </c>
      <c r="AC553" s="2" t="s">
        <v>74</v>
      </c>
      <c r="AD553" s="2" t="s">
        <v>74</v>
      </c>
      <c r="AE553" s="2" t="s">
        <v>74</v>
      </c>
      <c r="AF553" s="2" t="s">
        <v>74</v>
      </c>
      <c r="AG553" s="2" t="s">
        <v>74</v>
      </c>
      <c r="AH553" s="2" t="s">
        <v>74</v>
      </c>
      <c r="AI553" s="2" t="s">
        <v>74</v>
      </c>
      <c r="AJ553" s="2" t="s">
        <v>74</v>
      </c>
      <c r="AK553" s="2" t="s">
        <v>74</v>
      </c>
      <c r="AL553" s="2" t="s">
        <v>74</v>
      </c>
      <c r="AM553" s="2" t="s">
        <v>74</v>
      </c>
      <c r="AN553" s="2" t="s">
        <v>74</v>
      </c>
      <c r="AO553" s="2" t="s">
        <v>2849</v>
      </c>
      <c r="AP553" s="2" t="s">
        <v>74</v>
      </c>
      <c r="AQ553" s="2" t="s">
        <v>74</v>
      </c>
      <c r="AR553" s="2" t="s">
        <v>74</v>
      </c>
      <c r="AS553" s="2" t="s">
        <v>74</v>
      </c>
      <c r="AT553" s="2" t="s">
        <v>74</v>
      </c>
      <c r="AU553" s="2">
        <v>1991</v>
      </c>
      <c r="AV553" s="2">
        <v>153</v>
      </c>
      <c r="AW553" s="2">
        <v>1</v>
      </c>
      <c r="AX553" s="2" t="s">
        <v>74</v>
      </c>
      <c r="AY553" s="2" t="s">
        <v>74</v>
      </c>
      <c r="AZ553" s="2" t="s">
        <v>74</v>
      </c>
      <c r="BA553" s="2" t="s">
        <v>74</v>
      </c>
      <c r="BB553" s="2">
        <v>49</v>
      </c>
      <c r="BC553" s="2">
        <v>61</v>
      </c>
      <c r="BD553" s="2" t="s">
        <v>74</v>
      </c>
      <c r="BE553" s="2" t="s">
        <v>4076</v>
      </c>
      <c r="BF553" s="2" t="str">
        <f>HYPERLINK("http://dx.doi.org/10.1016/S0022-0981(05)80005-X","http://dx.doi.org/10.1016/S0022-0981(05)80005-X")</f>
        <v>http://dx.doi.org/10.1016/S0022-0981(05)80005-X</v>
      </c>
      <c r="BG553" s="2" t="s">
        <v>74</v>
      </c>
      <c r="BH553" s="2" t="s">
        <v>74</v>
      </c>
      <c r="BI553" s="2" t="s">
        <v>74</v>
      </c>
      <c r="BJ553" s="2" t="s">
        <v>74</v>
      </c>
      <c r="BK553" s="2" t="s">
        <v>74</v>
      </c>
      <c r="BL553" s="2" t="s">
        <v>74</v>
      </c>
      <c r="BM553" s="2" t="s">
        <v>74</v>
      </c>
      <c r="BN553" s="2" t="s">
        <v>74</v>
      </c>
      <c r="BO553" s="2" t="s">
        <v>74</v>
      </c>
      <c r="BP553" s="2" t="s">
        <v>74</v>
      </c>
      <c r="BQ553" s="2" t="s">
        <v>74</v>
      </c>
      <c r="BR553" s="2" t="s">
        <v>74</v>
      </c>
      <c r="BS553" s="2" t="s">
        <v>4077</v>
      </c>
      <c r="BT553" s="2" t="str">
        <f>HYPERLINK("https%3A%2F%2Fwww.webofscience.com%2Fwos%2Fwoscc%2Ffull-record%2FWOS:A1991GR91500004","View Full Record in Web of Science")</f>
        <v>View Full Record in Web of Science</v>
      </c>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row>
    <row r="554" spans="1:314" s="2" customFormat="1" x14ac:dyDescent="0.4">
      <c r="A554" s="2" t="s">
        <v>72</v>
      </c>
      <c r="B554" s="2" t="s">
        <v>7694</v>
      </c>
      <c r="C554" s="2" t="s">
        <v>74</v>
      </c>
      <c r="D554" s="2" t="s">
        <v>74</v>
      </c>
      <c r="E554" s="2" t="s">
        <v>74</v>
      </c>
      <c r="F554" s="2" t="s">
        <v>7695</v>
      </c>
      <c r="G554" s="2" t="s">
        <v>74</v>
      </c>
      <c r="H554" s="2" t="s">
        <v>74</v>
      </c>
      <c r="I554" s="2" t="s">
        <v>7696</v>
      </c>
      <c r="J554" s="2" t="s">
        <v>4145</v>
      </c>
      <c r="K554" s="2" t="s">
        <v>74</v>
      </c>
      <c r="L554" s="2" t="s">
        <v>74</v>
      </c>
      <c r="M554" s="2" t="s">
        <v>74</v>
      </c>
      <c r="N554" s="2" t="s">
        <v>74</v>
      </c>
      <c r="O554" s="2" t="s">
        <v>74</v>
      </c>
      <c r="P554" s="2" t="s">
        <v>74</v>
      </c>
      <c r="Q554" s="2" t="s">
        <v>74</v>
      </c>
      <c r="R554" s="2" t="s">
        <v>74</v>
      </c>
      <c r="S554" s="2" t="s">
        <v>74</v>
      </c>
      <c r="T554" s="2" t="s">
        <v>74</v>
      </c>
      <c r="U554" s="2" t="s">
        <v>74</v>
      </c>
      <c r="V554" s="5" t="s">
        <v>7697</v>
      </c>
      <c r="W554" s="2" t="s">
        <v>74</v>
      </c>
      <c r="X554" s="2" t="s">
        <v>74</v>
      </c>
      <c r="Y554" s="2" t="s">
        <v>74</v>
      </c>
      <c r="Z554" s="2" t="s">
        <v>74</v>
      </c>
      <c r="AA554" s="2" t="s">
        <v>875</v>
      </c>
      <c r="AB554" s="2" t="s">
        <v>7698</v>
      </c>
      <c r="AC554" s="2" t="s">
        <v>74</v>
      </c>
      <c r="AD554" s="2" t="s">
        <v>74</v>
      </c>
      <c r="AE554" s="2" t="s">
        <v>74</v>
      </c>
      <c r="AF554" s="2" t="s">
        <v>74</v>
      </c>
      <c r="AG554" s="2" t="s">
        <v>74</v>
      </c>
      <c r="AH554" s="2" t="s">
        <v>74</v>
      </c>
      <c r="AI554" s="2" t="s">
        <v>74</v>
      </c>
      <c r="AJ554" s="2" t="s">
        <v>74</v>
      </c>
      <c r="AK554" s="2" t="s">
        <v>74</v>
      </c>
      <c r="AL554" s="2" t="s">
        <v>74</v>
      </c>
      <c r="AM554" s="2" t="s">
        <v>74</v>
      </c>
      <c r="AN554" s="2" t="s">
        <v>74</v>
      </c>
      <c r="AO554" s="2" t="s">
        <v>4147</v>
      </c>
      <c r="AP554" s="2" t="s">
        <v>7534</v>
      </c>
      <c r="AQ554" s="2" t="s">
        <v>74</v>
      </c>
      <c r="AR554" s="2" t="s">
        <v>74</v>
      </c>
      <c r="AS554" s="2" t="s">
        <v>74</v>
      </c>
      <c r="AT554" s="2" t="s">
        <v>204</v>
      </c>
      <c r="AU554" s="2">
        <v>2009</v>
      </c>
      <c r="AV554" s="2">
        <v>195</v>
      </c>
      <c r="AW554" s="2">
        <v>7</v>
      </c>
      <c r="AX554" s="2" t="s">
        <v>74</v>
      </c>
      <c r="AY554" s="2" t="s">
        <v>74</v>
      </c>
      <c r="AZ554" s="2" t="s">
        <v>74</v>
      </c>
      <c r="BA554" s="2" t="s">
        <v>74</v>
      </c>
      <c r="BB554" s="2">
        <v>619</v>
      </c>
      <c r="BC554" s="2">
        <v>630</v>
      </c>
      <c r="BD554" s="2" t="s">
        <v>74</v>
      </c>
      <c r="BE554" s="2" t="s">
        <v>7699</v>
      </c>
      <c r="BF554" s="2" t="str">
        <f>HYPERLINK("http://dx.doi.org/10.1007/s00359-009-0437-4","http://dx.doi.org/10.1007/s00359-009-0437-4")</f>
        <v>http://dx.doi.org/10.1007/s00359-009-0437-4</v>
      </c>
      <c r="BG554" s="2" t="s">
        <v>74</v>
      </c>
      <c r="BH554" s="2" t="s">
        <v>74</v>
      </c>
      <c r="BI554" s="2" t="s">
        <v>74</v>
      </c>
      <c r="BJ554" s="2" t="s">
        <v>74</v>
      </c>
      <c r="BK554" s="2" t="s">
        <v>74</v>
      </c>
      <c r="BL554" s="2" t="s">
        <v>74</v>
      </c>
      <c r="BM554" s="2" t="s">
        <v>74</v>
      </c>
      <c r="BN554" s="2">
        <v>19363614</v>
      </c>
      <c r="BO554" s="2" t="s">
        <v>74</v>
      </c>
      <c r="BP554" s="2" t="s">
        <v>74</v>
      </c>
      <c r="BQ554" s="2" t="s">
        <v>74</v>
      </c>
      <c r="BR554" s="2" t="s">
        <v>74</v>
      </c>
      <c r="BS554" s="2" t="s">
        <v>7700</v>
      </c>
      <c r="BT554" s="2" t="str">
        <f>HYPERLINK("https%3A%2F%2Fwww.webofscience.com%2Fwos%2Fwoscc%2Ffull-record%2FWOS:000267541400001","View Full Record in Web of Science")</f>
        <v>View Full Record in Web of Science</v>
      </c>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row>
    <row r="555" spans="1:314" s="2" customFormat="1" x14ac:dyDescent="0.4">
      <c r="A555" s="2" t="s">
        <v>72</v>
      </c>
      <c r="B555" s="2" t="s">
        <v>8365</v>
      </c>
      <c r="C555" s="2" t="s">
        <v>74</v>
      </c>
      <c r="D555" s="2" t="s">
        <v>74</v>
      </c>
      <c r="E555" s="2" t="s">
        <v>74</v>
      </c>
      <c r="F555" s="2" t="s">
        <v>8366</v>
      </c>
      <c r="G555" s="2" t="s">
        <v>74</v>
      </c>
      <c r="H555" s="2" t="s">
        <v>74</v>
      </c>
      <c r="I555" s="2" t="s">
        <v>8367</v>
      </c>
      <c r="J555" s="2" t="s">
        <v>1635</v>
      </c>
      <c r="K555" s="2" t="s">
        <v>74</v>
      </c>
      <c r="L555" s="2" t="s">
        <v>74</v>
      </c>
      <c r="M555" s="2" t="s">
        <v>74</v>
      </c>
      <c r="N555" s="2" t="s">
        <v>74</v>
      </c>
      <c r="O555" s="2" t="s">
        <v>74</v>
      </c>
      <c r="P555" s="2" t="s">
        <v>74</v>
      </c>
      <c r="Q555" s="2" t="s">
        <v>74</v>
      </c>
      <c r="R555" s="2" t="s">
        <v>74</v>
      </c>
      <c r="S555" s="2" t="s">
        <v>74</v>
      </c>
      <c r="T555" s="2" t="s">
        <v>74</v>
      </c>
      <c r="U555" s="2" t="s">
        <v>74</v>
      </c>
      <c r="V555" s="5" t="s">
        <v>8368</v>
      </c>
      <c r="W555" s="2" t="s">
        <v>74</v>
      </c>
      <c r="X555" s="2" t="s">
        <v>74</v>
      </c>
      <c r="Y555" s="2" t="s">
        <v>74</v>
      </c>
      <c r="Z555" s="2" t="s">
        <v>74</v>
      </c>
      <c r="AA555" s="2" t="s">
        <v>74</v>
      </c>
      <c r="AB555" s="2" t="s">
        <v>8369</v>
      </c>
      <c r="AC555" s="2" t="s">
        <v>74</v>
      </c>
      <c r="AD555" s="2" t="s">
        <v>74</v>
      </c>
      <c r="AE555" s="2" t="s">
        <v>74</v>
      </c>
      <c r="AF555" s="2" t="s">
        <v>74</v>
      </c>
      <c r="AG555" s="2" t="s">
        <v>74</v>
      </c>
      <c r="AH555" s="2" t="s">
        <v>74</v>
      </c>
      <c r="AI555" s="2" t="s">
        <v>74</v>
      </c>
      <c r="AJ555" s="2" t="s">
        <v>74</v>
      </c>
      <c r="AK555" s="2" t="s">
        <v>74</v>
      </c>
      <c r="AL555" s="2" t="s">
        <v>74</v>
      </c>
      <c r="AM555" s="2" t="s">
        <v>74</v>
      </c>
      <c r="AN555" s="2" t="s">
        <v>74</v>
      </c>
      <c r="AO555" s="2" t="s">
        <v>1639</v>
      </c>
      <c r="AP555" s="2" t="s">
        <v>1640</v>
      </c>
      <c r="AQ555" s="2" t="s">
        <v>74</v>
      </c>
      <c r="AR555" s="2" t="s">
        <v>74</v>
      </c>
      <c r="AS555" s="2" t="s">
        <v>74</v>
      </c>
      <c r="AT555" s="2" t="s">
        <v>8370</v>
      </c>
      <c r="AU555" s="2">
        <v>2022</v>
      </c>
      <c r="AV555" s="2">
        <v>377</v>
      </c>
      <c r="AW555" s="2">
        <v>1858</v>
      </c>
      <c r="AX555" s="2" t="s">
        <v>74</v>
      </c>
      <c r="AY555" s="2" t="s">
        <v>74</v>
      </c>
      <c r="AZ555" s="2" t="s">
        <v>74</v>
      </c>
      <c r="BA555" s="2" t="s">
        <v>74</v>
      </c>
      <c r="BB555" s="2" t="s">
        <v>74</v>
      </c>
      <c r="BC555" s="2" t="s">
        <v>74</v>
      </c>
      <c r="BD555" s="2">
        <v>20210133</v>
      </c>
      <c r="BE555" s="2" t="s">
        <v>8371</v>
      </c>
      <c r="BF555" s="2" t="str">
        <f>HYPERLINK("http://dx.doi.org/10.1098/rstb.2021.0133","http://dx.doi.org/10.1098/rstb.2021.0133")</f>
        <v>http://dx.doi.org/10.1098/rstb.2021.0133</v>
      </c>
      <c r="BG555" s="2" t="s">
        <v>74</v>
      </c>
      <c r="BH555" s="2" t="s">
        <v>74</v>
      </c>
      <c r="BI555" s="2" t="s">
        <v>74</v>
      </c>
      <c r="BJ555" s="2" t="s">
        <v>74</v>
      </c>
      <c r="BK555" s="2" t="s">
        <v>74</v>
      </c>
      <c r="BL555" s="2" t="s">
        <v>74</v>
      </c>
      <c r="BM555" s="2" t="s">
        <v>74</v>
      </c>
      <c r="BN555" s="2">
        <v>35858095</v>
      </c>
      <c r="BO555" s="2" t="s">
        <v>74</v>
      </c>
      <c r="BP555" s="2" t="s">
        <v>74</v>
      </c>
      <c r="BQ555" s="2" t="s">
        <v>74</v>
      </c>
      <c r="BR555" s="2" t="s">
        <v>74</v>
      </c>
      <c r="BS555" s="2" t="s">
        <v>8372</v>
      </c>
      <c r="BT555" s="2" t="str">
        <f>HYPERLINK("https%3A%2F%2Fwww.webofscience.com%2Fwos%2Fwoscc%2Ffull-record%2FWOS:000823209300013","View Full Record in Web of Science")</f>
        <v>View Full Record in Web of Science</v>
      </c>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row>
    <row r="556" spans="1:314" s="2" customFormat="1" x14ac:dyDescent="0.4">
      <c r="A556" s="2" t="s">
        <v>72</v>
      </c>
      <c r="B556" s="2" t="s">
        <v>1053</v>
      </c>
      <c r="C556" s="2" t="s">
        <v>74</v>
      </c>
      <c r="D556" s="2" t="s">
        <v>74</v>
      </c>
      <c r="E556" s="2" t="s">
        <v>74</v>
      </c>
      <c r="F556" s="2" t="s">
        <v>1054</v>
      </c>
      <c r="G556" s="2" t="s">
        <v>74</v>
      </c>
      <c r="H556" s="2" t="s">
        <v>74</v>
      </c>
      <c r="I556" s="2" t="s">
        <v>1055</v>
      </c>
      <c r="J556" s="2" t="s">
        <v>218</v>
      </c>
      <c r="K556" s="2" t="s">
        <v>74</v>
      </c>
      <c r="L556" s="2" t="s">
        <v>74</v>
      </c>
      <c r="M556" s="2" t="s">
        <v>74</v>
      </c>
      <c r="N556" s="2" t="s">
        <v>74</v>
      </c>
      <c r="O556" s="2" t="s">
        <v>74</v>
      </c>
      <c r="P556" s="2" t="s">
        <v>74</v>
      </c>
      <c r="Q556" s="2" t="s">
        <v>74</v>
      </c>
      <c r="R556" s="2" t="s">
        <v>74</v>
      </c>
      <c r="S556" s="2" t="s">
        <v>74</v>
      </c>
      <c r="T556" s="2" t="s">
        <v>74</v>
      </c>
      <c r="U556" s="2" t="s">
        <v>74</v>
      </c>
      <c r="V556" s="5" t="s">
        <v>1056</v>
      </c>
      <c r="W556" s="2" t="s">
        <v>74</v>
      </c>
      <c r="X556" s="2" t="s">
        <v>74</v>
      </c>
      <c r="Y556" s="2" t="s">
        <v>74</v>
      </c>
      <c r="Z556" s="2" t="s">
        <v>74</v>
      </c>
      <c r="AA556" s="2" t="s">
        <v>74</v>
      </c>
      <c r="AB556" s="2" t="s">
        <v>74</v>
      </c>
      <c r="AC556" s="2" t="s">
        <v>74</v>
      </c>
      <c r="AD556" s="2" t="s">
        <v>74</v>
      </c>
      <c r="AE556" s="2" t="s">
        <v>74</v>
      </c>
      <c r="AF556" s="2" t="s">
        <v>74</v>
      </c>
      <c r="AG556" s="2" t="s">
        <v>74</v>
      </c>
      <c r="AH556" s="2" t="s">
        <v>74</v>
      </c>
      <c r="AI556" s="2" t="s">
        <v>74</v>
      </c>
      <c r="AJ556" s="2" t="s">
        <v>74</v>
      </c>
      <c r="AK556" s="2" t="s">
        <v>74</v>
      </c>
      <c r="AL556" s="2" t="s">
        <v>74</v>
      </c>
      <c r="AM556" s="2" t="s">
        <v>74</v>
      </c>
      <c r="AN556" s="2" t="s">
        <v>74</v>
      </c>
      <c r="AO556" s="2" t="s">
        <v>221</v>
      </c>
      <c r="AP556" s="2" t="s">
        <v>222</v>
      </c>
      <c r="AQ556" s="2" t="s">
        <v>74</v>
      </c>
      <c r="AR556" s="2" t="s">
        <v>74</v>
      </c>
      <c r="AS556" s="2" t="s">
        <v>74</v>
      </c>
      <c r="AT556" s="2" t="s">
        <v>145</v>
      </c>
      <c r="AU556" s="2">
        <v>2020</v>
      </c>
      <c r="AV556" s="2">
        <v>33</v>
      </c>
      <c r="AW556" s="2">
        <v>8</v>
      </c>
      <c r="AX556" s="2" t="s">
        <v>74</v>
      </c>
      <c r="AY556" s="2" t="s">
        <v>74</v>
      </c>
      <c r="AZ556" s="2" t="s">
        <v>74</v>
      </c>
      <c r="BA556" s="2" t="s">
        <v>74</v>
      </c>
      <c r="BB556" s="2">
        <v>1028</v>
      </c>
      <c r="BC556" s="2">
        <v>1038</v>
      </c>
      <c r="BD556" s="2" t="s">
        <v>74</v>
      </c>
      <c r="BE556" s="2" t="s">
        <v>1057</v>
      </c>
      <c r="BF556" s="2" t="str">
        <f>HYPERLINK("http://dx.doi.org/10.1111/jeb.13657","http://dx.doi.org/10.1111/jeb.13657")</f>
        <v>http://dx.doi.org/10.1111/jeb.13657</v>
      </c>
      <c r="BG556" s="2" t="s">
        <v>74</v>
      </c>
      <c r="BH556" s="2" t="s">
        <v>1058</v>
      </c>
      <c r="BI556" s="2" t="s">
        <v>74</v>
      </c>
      <c r="BJ556" s="2" t="s">
        <v>74</v>
      </c>
      <c r="BK556" s="2" t="s">
        <v>74</v>
      </c>
      <c r="BL556" s="2" t="s">
        <v>74</v>
      </c>
      <c r="BM556" s="2" t="s">
        <v>74</v>
      </c>
      <c r="BN556" s="2">
        <v>32500947</v>
      </c>
      <c r="BO556" s="2" t="s">
        <v>74</v>
      </c>
      <c r="BP556" s="2" t="s">
        <v>74</v>
      </c>
      <c r="BQ556" s="2" t="s">
        <v>74</v>
      </c>
      <c r="BR556" s="2" t="s">
        <v>74</v>
      </c>
      <c r="BS556" s="2" t="s">
        <v>1059</v>
      </c>
      <c r="BT556" s="2" t="str">
        <f>HYPERLINK("https%3A%2F%2Fwww.webofscience.com%2Fwos%2Fwoscc%2Ffull-record%2FWOS:000545247500001","View Full Record in Web of Science")</f>
        <v>View Full Record in Web of Science</v>
      </c>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row>
    <row r="557" spans="1:314" s="2" customFormat="1" x14ac:dyDescent="0.4">
      <c r="A557" s="2" t="s">
        <v>72</v>
      </c>
      <c r="B557" s="2" t="s">
        <v>6055</v>
      </c>
      <c r="C557" s="2" t="s">
        <v>74</v>
      </c>
      <c r="D557" s="2" t="s">
        <v>74</v>
      </c>
      <c r="E557" s="2" t="s">
        <v>74</v>
      </c>
      <c r="F557" s="2" t="s">
        <v>6056</v>
      </c>
      <c r="G557" s="2" t="s">
        <v>74</v>
      </c>
      <c r="H557" s="2" t="s">
        <v>74</v>
      </c>
      <c r="I557" s="2" t="s">
        <v>6057</v>
      </c>
      <c r="J557" s="2" t="s">
        <v>333</v>
      </c>
      <c r="K557" s="2" t="s">
        <v>74</v>
      </c>
      <c r="L557" s="2" t="s">
        <v>74</v>
      </c>
      <c r="M557" s="2" t="s">
        <v>74</v>
      </c>
      <c r="N557" s="2" t="s">
        <v>74</v>
      </c>
      <c r="O557" s="2" t="s">
        <v>74</v>
      </c>
      <c r="P557" s="2" t="s">
        <v>74</v>
      </c>
      <c r="Q557" s="2" t="s">
        <v>74</v>
      </c>
      <c r="R557" s="2" t="s">
        <v>74</v>
      </c>
      <c r="S557" s="2" t="s">
        <v>74</v>
      </c>
      <c r="T557" s="2" t="s">
        <v>74</v>
      </c>
      <c r="U557" s="2" t="s">
        <v>74</v>
      </c>
      <c r="V557" s="5" t="s">
        <v>6058</v>
      </c>
      <c r="W557" s="2" t="s">
        <v>74</v>
      </c>
      <c r="X557" s="2" t="s">
        <v>74</v>
      </c>
      <c r="Y557" s="2" t="s">
        <v>74</v>
      </c>
      <c r="Z557" s="2" t="s">
        <v>74</v>
      </c>
      <c r="AA557" s="2" t="s">
        <v>74</v>
      </c>
      <c r="AB557" s="2" t="s">
        <v>3514</v>
      </c>
      <c r="AC557" s="2" t="s">
        <v>74</v>
      </c>
      <c r="AD557" s="2" t="s">
        <v>74</v>
      </c>
      <c r="AE557" s="2" t="s">
        <v>74</v>
      </c>
      <c r="AF557" s="2" t="s">
        <v>74</v>
      </c>
      <c r="AG557" s="2" t="s">
        <v>74</v>
      </c>
      <c r="AH557" s="2" t="s">
        <v>74</v>
      </c>
      <c r="AI557" s="2" t="s">
        <v>74</v>
      </c>
      <c r="AJ557" s="2" t="s">
        <v>74</v>
      </c>
      <c r="AK557" s="2" t="s">
        <v>74</v>
      </c>
      <c r="AL557" s="2" t="s">
        <v>74</v>
      </c>
      <c r="AM557" s="2" t="s">
        <v>74</v>
      </c>
      <c r="AN557" s="2" t="s">
        <v>74</v>
      </c>
      <c r="AO557" s="2" t="s">
        <v>337</v>
      </c>
      <c r="AP557" s="2" t="s">
        <v>338</v>
      </c>
      <c r="AQ557" s="2" t="s">
        <v>74</v>
      </c>
      <c r="AR557" s="2" t="s">
        <v>74</v>
      </c>
      <c r="AS557" s="2" t="s">
        <v>74</v>
      </c>
      <c r="AT557" s="2" t="s">
        <v>1475</v>
      </c>
      <c r="AU557" s="2">
        <v>2015</v>
      </c>
      <c r="AV557" s="2">
        <v>26</v>
      </c>
      <c r="AW557" s="2">
        <v>1</v>
      </c>
      <c r="AX557" s="2" t="s">
        <v>74</v>
      </c>
      <c r="AY557" s="2" t="s">
        <v>74</v>
      </c>
      <c r="AZ557" s="2" t="s">
        <v>74</v>
      </c>
      <c r="BA557" s="2" t="s">
        <v>74</v>
      </c>
      <c r="BB557" s="2">
        <v>158</v>
      </c>
      <c r="BC557" s="2">
        <v>167</v>
      </c>
      <c r="BD557" s="2" t="s">
        <v>74</v>
      </c>
      <c r="BE557" s="2" t="s">
        <v>6059</v>
      </c>
      <c r="BF557" s="2" t="str">
        <f>HYPERLINK("http://dx.doi.org/10.1093/beheco/aru164","http://dx.doi.org/10.1093/beheco/aru164")</f>
        <v>http://dx.doi.org/10.1093/beheco/aru164</v>
      </c>
      <c r="BG557" s="2" t="s">
        <v>74</v>
      </c>
      <c r="BH557" s="2" t="s">
        <v>74</v>
      </c>
      <c r="BI557" s="2" t="s">
        <v>74</v>
      </c>
      <c r="BJ557" s="2" t="s">
        <v>74</v>
      </c>
      <c r="BK557" s="2" t="s">
        <v>74</v>
      </c>
      <c r="BL557" s="2" t="s">
        <v>74</v>
      </c>
      <c r="BM557" s="2" t="s">
        <v>74</v>
      </c>
      <c r="BN557" s="2" t="s">
        <v>74</v>
      </c>
      <c r="BO557" s="2" t="s">
        <v>74</v>
      </c>
      <c r="BP557" s="2" t="s">
        <v>74</v>
      </c>
      <c r="BQ557" s="2" t="s">
        <v>74</v>
      </c>
      <c r="BR557" s="2" t="s">
        <v>74</v>
      </c>
      <c r="BS557" s="2" t="s">
        <v>6060</v>
      </c>
      <c r="BT557" s="2" t="str">
        <f>HYPERLINK("https%3A%2F%2Fwww.webofscience.com%2Fwos%2Fwoscc%2Ffull-record%2FWOS:000351929300022","View Full Record in Web of Science")</f>
        <v>View Full Record in Web of Science</v>
      </c>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row>
    <row r="558" spans="1:314" s="1" customFormat="1" x14ac:dyDescent="0.4">
      <c r="A558" s="2" t="s">
        <v>72</v>
      </c>
      <c r="B558" s="2" t="s">
        <v>5411</v>
      </c>
      <c r="C558" s="2" t="s">
        <v>74</v>
      </c>
      <c r="D558" s="2" t="s">
        <v>74</v>
      </c>
      <c r="E558" s="2" t="s">
        <v>74</v>
      </c>
      <c r="F558" s="2" t="s">
        <v>5411</v>
      </c>
      <c r="G558" s="2" t="s">
        <v>74</v>
      </c>
      <c r="H558" s="2" t="s">
        <v>74</v>
      </c>
      <c r="I558" s="2" t="s">
        <v>5412</v>
      </c>
      <c r="J558" s="2" t="s">
        <v>171</v>
      </c>
      <c r="K558" s="2" t="s">
        <v>74</v>
      </c>
      <c r="L558" s="2" t="s">
        <v>74</v>
      </c>
      <c r="M558" s="2" t="s">
        <v>74</v>
      </c>
      <c r="N558" s="2" t="s">
        <v>74</v>
      </c>
      <c r="O558" s="2" t="s">
        <v>74</v>
      </c>
      <c r="P558" s="2" t="s">
        <v>74</v>
      </c>
      <c r="Q558" s="2" t="s">
        <v>74</v>
      </c>
      <c r="R558" s="2" t="s">
        <v>74</v>
      </c>
      <c r="S558" s="2" t="s">
        <v>74</v>
      </c>
      <c r="T558" s="2" t="s">
        <v>74</v>
      </c>
      <c r="U558" s="2" t="s">
        <v>74</v>
      </c>
      <c r="V558" s="5" t="s">
        <v>5413</v>
      </c>
      <c r="W558" s="2" t="s">
        <v>74</v>
      </c>
      <c r="X558" s="2" t="s">
        <v>74</v>
      </c>
      <c r="Y558" s="2" t="s">
        <v>74</v>
      </c>
      <c r="Z558" s="2" t="s">
        <v>74</v>
      </c>
      <c r="AA558" s="2" t="s">
        <v>74</v>
      </c>
      <c r="AB558" s="2" t="s">
        <v>74</v>
      </c>
      <c r="AC558" s="2" t="s">
        <v>74</v>
      </c>
      <c r="AD558" s="2" t="s">
        <v>74</v>
      </c>
      <c r="AE558" s="2" t="s">
        <v>74</v>
      </c>
      <c r="AF558" s="2" t="s">
        <v>74</v>
      </c>
      <c r="AG558" s="2" t="s">
        <v>74</v>
      </c>
      <c r="AH558" s="2" t="s">
        <v>74</v>
      </c>
      <c r="AI558" s="2" t="s">
        <v>74</v>
      </c>
      <c r="AJ558" s="2" t="s">
        <v>74</v>
      </c>
      <c r="AK558" s="2" t="s">
        <v>74</v>
      </c>
      <c r="AL558" s="2" t="s">
        <v>74</v>
      </c>
      <c r="AM558" s="2" t="s">
        <v>74</v>
      </c>
      <c r="AN558" s="2" t="s">
        <v>74</v>
      </c>
      <c r="AO558" s="2" t="s">
        <v>173</v>
      </c>
      <c r="AP558" s="2" t="s">
        <v>174</v>
      </c>
      <c r="AQ558" s="2" t="s">
        <v>74</v>
      </c>
      <c r="AR558" s="2" t="s">
        <v>74</v>
      </c>
      <c r="AS558" s="2" t="s">
        <v>74</v>
      </c>
      <c r="AT558" s="2" t="s">
        <v>74</v>
      </c>
      <c r="AU558" s="2">
        <v>1964</v>
      </c>
      <c r="AV558" s="2">
        <v>18</v>
      </c>
      <c r="AW558" s="2">
        <v>1</v>
      </c>
      <c r="AX558" s="2" t="s">
        <v>74</v>
      </c>
      <c r="AY558" s="2" t="s">
        <v>74</v>
      </c>
      <c r="AZ558" s="2" t="s">
        <v>74</v>
      </c>
      <c r="BA558" s="2" t="s">
        <v>74</v>
      </c>
      <c r="BB558" s="2">
        <v>89</v>
      </c>
      <c r="BC558" s="2" t="s">
        <v>726</v>
      </c>
      <c r="BD558" s="2" t="s">
        <v>74</v>
      </c>
      <c r="BE558" s="2" t="s">
        <v>5414</v>
      </c>
      <c r="BF558" s="2" t="str">
        <f>HYPERLINK("http://dx.doi.org/10.2307/2406422","http://dx.doi.org/10.2307/2406422")</f>
        <v>http://dx.doi.org/10.2307/2406422</v>
      </c>
      <c r="BG558" s="2" t="s">
        <v>74</v>
      </c>
      <c r="BH558" s="2" t="s">
        <v>74</v>
      </c>
      <c r="BI558" s="2" t="s">
        <v>74</v>
      </c>
      <c r="BJ558" s="2" t="s">
        <v>74</v>
      </c>
      <c r="BK558" s="2" t="s">
        <v>74</v>
      </c>
      <c r="BL558" s="2" t="s">
        <v>74</v>
      </c>
      <c r="BM558" s="2" t="s">
        <v>74</v>
      </c>
      <c r="BN558" s="2" t="s">
        <v>74</v>
      </c>
      <c r="BO558" s="2" t="s">
        <v>74</v>
      </c>
      <c r="BP558" s="2" t="s">
        <v>74</v>
      </c>
      <c r="BQ558" s="2" t="s">
        <v>74</v>
      </c>
      <c r="BR558" s="2" t="s">
        <v>74</v>
      </c>
      <c r="BS558" s="2" t="s">
        <v>5415</v>
      </c>
      <c r="BT558" s="2" t="str">
        <f>HYPERLINK("https%3A%2F%2Fwww.webofscience.com%2Fwos%2Fwoscc%2Ffull-record%2FWOS:A1964AV73200005","View Full Record in Web of Science")</f>
        <v>View Full Record in Web of Science</v>
      </c>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row>
    <row r="559" spans="1:314" s="2" customFormat="1" x14ac:dyDescent="0.4">
      <c r="A559" s="2" t="s">
        <v>72</v>
      </c>
      <c r="B559" s="2" t="s">
        <v>5778</v>
      </c>
      <c r="C559" s="2" t="s">
        <v>74</v>
      </c>
      <c r="D559" s="2" t="s">
        <v>74</v>
      </c>
      <c r="E559" s="2" t="s">
        <v>74</v>
      </c>
      <c r="F559" s="2" t="s">
        <v>5779</v>
      </c>
      <c r="G559" s="2" t="s">
        <v>74</v>
      </c>
      <c r="H559" s="2" t="s">
        <v>74</v>
      </c>
      <c r="I559" s="2" t="s">
        <v>5780</v>
      </c>
      <c r="J559" s="2" t="s">
        <v>1656</v>
      </c>
      <c r="K559" s="2" t="s">
        <v>74</v>
      </c>
      <c r="L559" s="2" t="s">
        <v>74</v>
      </c>
      <c r="M559" s="2" t="s">
        <v>74</v>
      </c>
      <c r="N559" s="2" t="s">
        <v>74</v>
      </c>
      <c r="O559" s="2" t="s">
        <v>74</v>
      </c>
      <c r="P559" s="2" t="s">
        <v>74</v>
      </c>
      <c r="Q559" s="2" t="s">
        <v>74</v>
      </c>
      <c r="R559" s="2" t="s">
        <v>74</v>
      </c>
      <c r="S559" s="2" t="s">
        <v>74</v>
      </c>
      <c r="T559" s="2" t="s">
        <v>74</v>
      </c>
      <c r="U559" s="2" t="s">
        <v>74</v>
      </c>
      <c r="V559" s="5" t="s">
        <v>5781</v>
      </c>
      <c r="W559" s="2" t="s">
        <v>74</v>
      </c>
      <c r="X559" s="2" t="s">
        <v>74</v>
      </c>
      <c r="Y559" s="2" t="s">
        <v>74</v>
      </c>
      <c r="Z559" s="2" t="s">
        <v>74</v>
      </c>
      <c r="AA559" s="2" t="s">
        <v>5782</v>
      </c>
      <c r="AB559" s="2" t="s">
        <v>5783</v>
      </c>
      <c r="AC559" s="2" t="s">
        <v>74</v>
      </c>
      <c r="AD559" s="2" t="s">
        <v>74</v>
      </c>
      <c r="AE559" s="2" t="s">
        <v>74</v>
      </c>
      <c r="AF559" s="2" t="s">
        <v>74</v>
      </c>
      <c r="AG559" s="2" t="s">
        <v>74</v>
      </c>
      <c r="AH559" s="2" t="s">
        <v>74</v>
      </c>
      <c r="AI559" s="2" t="s">
        <v>74</v>
      </c>
      <c r="AJ559" s="2" t="s">
        <v>74</v>
      </c>
      <c r="AK559" s="2" t="s">
        <v>74</v>
      </c>
      <c r="AL559" s="2" t="s">
        <v>74</v>
      </c>
      <c r="AM559" s="2" t="s">
        <v>74</v>
      </c>
      <c r="AN559" s="2" t="s">
        <v>74</v>
      </c>
      <c r="AO559" s="2" t="s">
        <v>1658</v>
      </c>
      <c r="AP559" s="2" t="s">
        <v>1659</v>
      </c>
      <c r="AQ559" s="2" t="s">
        <v>74</v>
      </c>
      <c r="AR559" s="2" t="s">
        <v>74</v>
      </c>
      <c r="AS559" s="2" t="s">
        <v>74</v>
      </c>
      <c r="AT559" s="2" t="s">
        <v>1146</v>
      </c>
      <c r="AU559" s="2">
        <v>2012</v>
      </c>
      <c r="AV559" s="2" t="s">
        <v>74</v>
      </c>
      <c r="AW559" s="2">
        <v>3406</v>
      </c>
      <c r="AX559" s="2" t="s">
        <v>74</v>
      </c>
      <c r="AY559" s="2" t="s">
        <v>74</v>
      </c>
      <c r="AZ559" s="2" t="s">
        <v>74</v>
      </c>
      <c r="BA559" s="2" t="s">
        <v>74</v>
      </c>
      <c r="BB559" s="2">
        <v>39</v>
      </c>
      <c r="BC559" s="2">
        <v>58</v>
      </c>
      <c r="BD559" s="2" t="s">
        <v>74</v>
      </c>
      <c r="BE559" s="2" t="s">
        <v>74</v>
      </c>
      <c r="BF559" s="2" t="s">
        <v>74</v>
      </c>
      <c r="BG559" s="2" t="s">
        <v>74</v>
      </c>
      <c r="BH559" s="2" t="s">
        <v>74</v>
      </c>
      <c r="BI559" s="2" t="s">
        <v>74</v>
      </c>
      <c r="BJ559" s="2" t="s">
        <v>74</v>
      </c>
      <c r="BK559" s="2" t="s">
        <v>74</v>
      </c>
      <c r="BL559" s="2" t="s">
        <v>74</v>
      </c>
      <c r="BM559" s="2" t="s">
        <v>74</v>
      </c>
      <c r="BN559" s="2" t="s">
        <v>74</v>
      </c>
      <c r="BO559" s="2" t="s">
        <v>74</v>
      </c>
      <c r="BP559" s="2" t="s">
        <v>74</v>
      </c>
      <c r="BQ559" s="2" t="s">
        <v>74</v>
      </c>
      <c r="BR559" s="2" t="s">
        <v>74</v>
      </c>
      <c r="BS559" s="2" t="s">
        <v>5784</v>
      </c>
      <c r="BT559" s="2" t="str">
        <f>HYPERLINK("https%3A%2F%2Fwww.webofscience.com%2Fwos%2Fwoscc%2Ffull-record%2FWOS:000306952500003","View Full Record in Web of Science")</f>
        <v>View Full Record in Web of Science</v>
      </c>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row>
    <row r="560" spans="1:314" s="2" customFormat="1" x14ac:dyDescent="0.4">
      <c r="A560" s="2" t="s">
        <v>72</v>
      </c>
      <c r="B560" s="2" t="s">
        <v>5461</v>
      </c>
      <c r="C560" s="2" t="s">
        <v>74</v>
      </c>
      <c r="D560" s="2" t="s">
        <v>74</v>
      </c>
      <c r="E560" s="2" t="s">
        <v>74</v>
      </c>
      <c r="F560" s="2" t="s">
        <v>5461</v>
      </c>
      <c r="G560" s="2" t="s">
        <v>74</v>
      </c>
      <c r="H560" s="2" t="s">
        <v>74</v>
      </c>
      <c r="I560" s="2" t="s">
        <v>5462</v>
      </c>
      <c r="J560" s="2" t="s">
        <v>3068</v>
      </c>
      <c r="K560" s="2" t="s">
        <v>74</v>
      </c>
      <c r="L560" s="2" t="s">
        <v>74</v>
      </c>
      <c r="M560" s="2" t="s">
        <v>74</v>
      </c>
      <c r="N560" s="2" t="s">
        <v>74</v>
      </c>
      <c r="O560" s="2" t="s">
        <v>74</v>
      </c>
      <c r="P560" s="2" t="s">
        <v>74</v>
      </c>
      <c r="Q560" s="2" t="s">
        <v>74</v>
      </c>
      <c r="R560" s="2" t="s">
        <v>74</v>
      </c>
      <c r="S560" s="2" t="s">
        <v>74</v>
      </c>
      <c r="T560" s="2" t="s">
        <v>74</v>
      </c>
      <c r="U560" s="2" t="s">
        <v>74</v>
      </c>
      <c r="V560" s="5" t="s">
        <v>5463</v>
      </c>
      <c r="W560" s="2" t="s">
        <v>74</v>
      </c>
      <c r="X560" s="2" t="s">
        <v>74</v>
      </c>
      <c r="Y560" s="2" t="s">
        <v>74</v>
      </c>
      <c r="Z560" s="2" t="s">
        <v>74</v>
      </c>
      <c r="AA560" s="2" t="s">
        <v>5464</v>
      </c>
      <c r="AB560" s="2" t="s">
        <v>74</v>
      </c>
      <c r="AC560" s="2" t="s">
        <v>74</v>
      </c>
      <c r="AD560" s="2" t="s">
        <v>74</v>
      </c>
      <c r="AE560" s="2" t="s">
        <v>74</v>
      </c>
      <c r="AF560" s="2" t="s">
        <v>74</v>
      </c>
      <c r="AG560" s="2" t="s">
        <v>74</v>
      </c>
      <c r="AH560" s="2" t="s">
        <v>74</v>
      </c>
      <c r="AI560" s="2" t="s">
        <v>74</v>
      </c>
      <c r="AJ560" s="2" t="s">
        <v>74</v>
      </c>
      <c r="AK560" s="2" t="s">
        <v>74</v>
      </c>
      <c r="AL560" s="2" t="s">
        <v>74</v>
      </c>
      <c r="AM560" s="2" t="s">
        <v>74</v>
      </c>
      <c r="AN560" s="2" t="s">
        <v>74</v>
      </c>
      <c r="AO560" s="2" t="s">
        <v>3072</v>
      </c>
      <c r="AP560" s="2" t="s">
        <v>74</v>
      </c>
      <c r="AQ560" s="2" t="s">
        <v>74</v>
      </c>
      <c r="AR560" s="2" t="s">
        <v>74</v>
      </c>
      <c r="AS560" s="2" t="s">
        <v>74</v>
      </c>
      <c r="AT560" s="2" t="s">
        <v>134</v>
      </c>
      <c r="AU560" s="2">
        <v>1995</v>
      </c>
      <c r="AV560" s="2">
        <v>14</v>
      </c>
      <c r="AW560" s="2">
        <v>2</v>
      </c>
      <c r="AX560" s="2" t="s">
        <v>74</v>
      </c>
      <c r="AY560" s="2" t="s">
        <v>74</v>
      </c>
      <c r="AZ560" s="2" t="s">
        <v>74</v>
      </c>
      <c r="BA560" s="2" t="s">
        <v>74</v>
      </c>
      <c r="BB560" s="2">
        <v>71</v>
      </c>
      <c r="BC560" s="2">
        <v>78</v>
      </c>
      <c r="BD560" s="2" t="s">
        <v>74</v>
      </c>
      <c r="BE560" s="2" t="s">
        <v>5465</v>
      </c>
      <c r="BF560" s="2" t="str">
        <f>HYPERLINK("http://dx.doi.org/10.1007/BF00303426","http://dx.doi.org/10.1007/BF00303426")</f>
        <v>http://dx.doi.org/10.1007/BF00303426</v>
      </c>
      <c r="BG560" s="2" t="s">
        <v>74</v>
      </c>
      <c r="BH560" s="2" t="s">
        <v>74</v>
      </c>
      <c r="BI560" s="2" t="s">
        <v>74</v>
      </c>
      <c r="BJ560" s="2" t="s">
        <v>74</v>
      </c>
      <c r="BK560" s="2" t="s">
        <v>74</v>
      </c>
      <c r="BL560" s="2" t="s">
        <v>74</v>
      </c>
      <c r="BM560" s="2" t="s">
        <v>74</v>
      </c>
      <c r="BN560" s="2" t="s">
        <v>74</v>
      </c>
      <c r="BO560" s="2" t="s">
        <v>74</v>
      </c>
      <c r="BP560" s="2" t="s">
        <v>74</v>
      </c>
      <c r="BQ560" s="2" t="s">
        <v>74</v>
      </c>
      <c r="BR560" s="2" t="s">
        <v>74</v>
      </c>
      <c r="BS560" s="2" t="s">
        <v>5466</v>
      </c>
      <c r="BT560" s="2" t="str">
        <f>HYPERLINK("https%3A%2F%2Fwww.webofscience.com%2Fwos%2Fwoscc%2Ffull-record%2FWOS:A1995RD44200003","View Full Record in Web of Science")</f>
        <v>View Full Record in Web of Science</v>
      </c>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row>
    <row r="561" spans="1:314" s="1" customFormat="1" x14ac:dyDescent="0.4">
      <c r="A561" s="2" t="s">
        <v>72</v>
      </c>
      <c r="B561" s="2" t="s">
        <v>7401</v>
      </c>
      <c r="C561" s="2" t="s">
        <v>74</v>
      </c>
      <c r="D561" s="2" t="s">
        <v>74</v>
      </c>
      <c r="E561" s="2" t="s">
        <v>74</v>
      </c>
      <c r="F561" s="2" t="s">
        <v>7401</v>
      </c>
      <c r="G561" s="2" t="s">
        <v>74</v>
      </c>
      <c r="H561" s="2" t="s">
        <v>74</v>
      </c>
      <c r="I561" s="2" t="s">
        <v>7402</v>
      </c>
      <c r="J561" s="2" t="s">
        <v>4522</v>
      </c>
      <c r="K561" s="2" t="s">
        <v>74</v>
      </c>
      <c r="L561" s="2" t="s">
        <v>74</v>
      </c>
      <c r="M561" s="2" t="s">
        <v>74</v>
      </c>
      <c r="N561" s="2" t="s">
        <v>74</v>
      </c>
      <c r="O561" s="2" t="s">
        <v>74</v>
      </c>
      <c r="P561" s="2" t="s">
        <v>74</v>
      </c>
      <c r="Q561" s="2" t="s">
        <v>74</v>
      </c>
      <c r="R561" s="2" t="s">
        <v>74</v>
      </c>
      <c r="S561" s="2" t="s">
        <v>74</v>
      </c>
      <c r="T561" s="2" t="s">
        <v>74</v>
      </c>
      <c r="U561" s="2" t="s">
        <v>74</v>
      </c>
      <c r="V561" s="5" t="s">
        <v>7403</v>
      </c>
      <c r="W561" s="2" t="s">
        <v>74</v>
      </c>
      <c r="X561" s="2" t="s">
        <v>74</v>
      </c>
      <c r="Y561" s="2" t="s">
        <v>74</v>
      </c>
      <c r="Z561" s="2" t="s">
        <v>74</v>
      </c>
      <c r="AA561" s="2" t="s">
        <v>7404</v>
      </c>
      <c r="AB561" s="2" t="s">
        <v>7405</v>
      </c>
      <c r="AC561" s="2" t="s">
        <v>74</v>
      </c>
      <c r="AD561" s="2" t="s">
        <v>74</v>
      </c>
      <c r="AE561" s="2" t="s">
        <v>74</v>
      </c>
      <c r="AF561" s="2" t="s">
        <v>74</v>
      </c>
      <c r="AG561" s="2" t="s">
        <v>74</v>
      </c>
      <c r="AH561" s="2" t="s">
        <v>74</v>
      </c>
      <c r="AI561" s="2" t="s">
        <v>74</v>
      </c>
      <c r="AJ561" s="2" t="s">
        <v>74</v>
      </c>
      <c r="AK561" s="2" t="s">
        <v>74</v>
      </c>
      <c r="AL561" s="2" t="s">
        <v>74</v>
      </c>
      <c r="AM561" s="2" t="s">
        <v>74</v>
      </c>
      <c r="AN561" s="2" t="s">
        <v>74</v>
      </c>
      <c r="AO561" s="2" t="s">
        <v>4526</v>
      </c>
      <c r="AP561" s="2" t="s">
        <v>74</v>
      </c>
      <c r="AQ561" s="2" t="s">
        <v>74</v>
      </c>
      <c r="AR561" s="2" t="s">
        <v>74</v>
      </c>
      <c r="AS561" s="2" t="s">
        <v>74</v>
      </c>
      <c r="AT561" s="2" t="s">
        <v>352</v>
      </c>
      <c r="AU561" s="2">
        <v>2001</v>
      </c>
      <c r="AV561" s="2">
        <v>35</v>
      </c>
      <c r="AW561" s="2">
        <v>9</v>
      </c>
      <c r="AX561" s="2" t="s">
        <v>74</v>
      </c>
      <c r="AY561" s="2" t="s">
        <v>74</v>
      </c>
      <c r="AZ561" s="2" t="s">
        <v>74</v>
      </c>
      <c r="BA561" s="2" t="s">
        <v>74</v>
      </c>
      <c r="BB561" s="2">
        <v>1371</v>
      </c>
      <c r="BC561" s="2">
        <v>1398</v>
      </c>
      <c r="BD561" s="2" t="s">
        <v>74</v>
      </c>
      <c r="BE561" s="2" t="s">
        <v>7406</v>
      </c>
      <c r="BF561" s="2" t="str">
        <f>HYPERLINK("http://dx.doi.org/10.1080/002229301750384310","http://dx.doi.org/10.1080/002229301750384310")</f>
        <v>http://dx.doi.org/10.1080/002229301750384310</v>
      </c>
      <c r="BG561" s="2" t="s">
        <v>74</v>
      </c>
      <c r="BH561" s="2" t="s">
        <v>74</v>
      </c>
      <c r="BI561" s="2" t="s">
        <v>74</v>
      </c>
      <c r="BJ561" s="2" t="s">
        <v>74</v>
      </c>
      <c r="BK561" s="2" t="s">
        <v>74</v>
      </c>
      <c r="BL561" s="2" t="s">
        <v>74</v>
      </c>
      <c r="BM561" s="2" t="s">
        <v>74</v>
      </c>
      <c r="BN561" s="2" t="s">
        <v>74</v>
      </c>
      <c r="BO561" s="2" t="s">
        <v>74</v>
      </c>
      <c r="BP561" s="2" t="s">
        <v>74</v>
      </c>
      <c r="BQ561" s="2" t="s">
        <v>74</v>
      </c>
      <c r="BR561" s="2" t="s">
        <v>74</v>
      </c>
      <c r="BS561" s="2" t="s">
        <v>7407</v>
      </c>
      <c r="BT561" s="2" t="str">
        <f>HYPERLINK("https%3A%2F%2Fwww.webofscience.com%2Fwos%2Fwoscc%2Ffull-record%2FWOS:000170467200003","View Full Record in Web of Science")</f>
        <v>View Full Record in Web of Science</v>
      </c>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row>
    <row r="562" spans="1:314" s="2" customFormat="1" x14ac:dyDescent="0.4">
      <c r="A562" s="2" t="s">
        <v>72</v>
      </c>
      <c r="B562" s="2" t="s">
        <v>7953</v>
      </c>
      <c r="C562" s="2" t="s">
        <v>74</v>
      </c>
      <c r="D562" s="2" t="s">
        <v>74</v>
      </c>
      <c r="E562" s="2" t="s">
        <v>74</v>
      </c>
      <c r="F562" s="2" t="s">
        <v>7953</v>
      </c>
      <c r="G562" s="2" t="s">
        <v>74</v>
      </c>
      <c r="H562" s="2" t="s">
        <v>74</v>
      </c>
      <c r="I562" s="2" t="s">
        <v>7954</v>
      </c>
      <c r="J562" s="2" t="s">
        <v>7955</v>
      </c>
      <c r="K562" s="2" t="s">
        <v>74</v>
      </c>
      <c r="L562" s="2" t="s">
        <v>74</v>
      </c>
      <c r="M562" s="2" t="s">
        <v>74</v>
      </c>
      <c r="N562" s="2" t="s">
        <v>74</v>
      </c>
      <c r="O562" s="2" t="s">
        <v>74</v>
      </c>
      <c r="P562" s="2" t="s">
        <v>74</v>
      </c>
      <c r="Q562" s="2" t="s">
        <v>74</v>
      </c>
      <c r="R562" s="2" t="s">
        <v>74</v>
      </c>
      <c r="S562" s="2" t="s">
        <v>74</v>
      </c>
      <c r="T562" s="2" t="s">
        <v>74</v>
      </c>
      <c r="U562" s="2" t="s">
        <v>74</v>
      </c>
      <c r="V562" s="5" t="s">
        <v>7956</v>
      </c>
      <c r="W562" s="2" t="s">
        <v>74</v>
      </c>
      <c r="X562" s="2" t="s">
        <v>74</v>
      </c>
      <c r="Y562" s="2" t="s">
        <v>74</v>
      </c>
      <c r="Z562" s="2" t="s">
        <v>74</v>
      </c>
      <c r="AA562" s="2" t="s">
        <v>74</v>
      </c>
      <c r="AB562" s="2" t="s">
        <v>7957</v>
      </c>
      <c r="AC562" s="2" t="s">
        <v>74</v>
      </c>
      <c r="AD562" s="2" t="s">
        <v>74</v>
      </c>
      <c r="AE562" s="2" t="s">
        <v>74</v>
      </c>
      <c r="AF562" s="2" t="s">
        <v>74</v>
      </c>
      <c r="AG562" s="2" t="s">
        <v>74</v>
      </c>
      <c r="AH562" s="2" t="s">
        <v>74</v>
      </c>
      <c r="AI562" s="2" t="s">
        <v>74</v>
      </c>
      <c r="AJ562" s="2" t="s">
        <v>74</v>
      </c>
      <c r="AK562" s="2" t="s">
        <v>74</v>
      </c>
      <c r="AL562" s="2" t="s">
        <v>74</v>
      </c>
      <c r="AM562" s="2" t="s">
        <v>74</v>
      </c>
      <c r="AN562" s="2" t="s">
        <v>74</v>
      </c>
      <c r="AO562" s="2" t="s">
        <v>7958</v>
      </c>
      <c r="AP562" s="2" t="s">
        <v>74</v>
      </c>
      <c r="AQ562" s="2" t="s">
        <v>74</v>
      </c>
      <c r="AR562" s="2" t="s">
        <v>74</v>
      </c>
      <c r="AS562" s="2" t="s">
        <v>74</v>
      </c>
      <c r="AT562" s="2" t="s">
        <v>74</v>
      </c>
      <c r="AU562" s="2">
        <v>2003</v>
      </c>
      <c r="AV562" s="2">
        <v>44</v>
      </c>
      <c r="AW562" s="2">
        <v>4</v>
      </c>
      <c r="AX562" s="2" t="s">
        <v>74</v>
      </c>
      <c r="AY562" s="2" t="s">
        <v>74</v>
      </c>
      <c r="AZ562" s="2" t="s">
        <v>74</v>
      </c>
      <c r="BA562" s="2" t="s">
        <v>74</v>
      </c>
      <c r="BB562" s="2">
        <v>319</v>
      </c>
      <c r="BC562" s="2">
        <v>327</v>
      </c>
      <c r="BD562" s="2" t="s">
        <v>74</v>
      </c>
      <c r="BE562" s="2" t="s">
        <v>74</v>
      </c>
      <c r="BF562" s="2" t="s">
        <v>74</v>
      </c>
      <c r="BG562" s="2" t="s">
        <v>74</v>
      </c>
      <c r="BH562" s="2" t="s">
        <v>74</v>
      </c>
      <c r="BI562" s="2" t="s">
        <v>74</v>
      </c>
      <c r="BJ562" s="2" t="s">
        <v>74</v>
      </c>
      <c r="BK562" s="2" t="s">
        <v>74</v>
      </c>
      <c r="BL562" s="2" t="s">
        <v>74</v>
      </c>
      <c r="BM562" s="2" t="s">
        <v>74</v>
      </c>
      <c r="BN562" s="2" t="s">
        <v>74</v>
      </c>
      <c r="BO562" s="2" t="s">
        <v>74</v>
      </c>
      <c r="BP562" s="2" t="s">
        <v>74</v>
      </c>
      <c r="BQ562" s="2" t="s">
        <v>74</v>
      </c>
      <c r="BR562" s="2" t="s">
        <v>74</v>
      </c>
      <c r="BS562" s="2" t="s">
        <v>7959</v>
      </c>
      <c r="BT562" s="2" t="str">
        <f>HYPERLINK("https%3A%2F%2Fwww.webofscience.com%2Fwos%2Fwoscc%2Ffull-record%2FWOS:000188352000002","View Full Record in Web of Science")</f>
        <v>View Full Record in Web of Science</v>
      </c>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row>
    <row r="563" spans="1:314" s="2" customFormat="1" x14ac:dyDescent="0.4">
      <c r="A563" s="2" t="s">
        <v>72</v>
      </c>
      <c r="B563" s="2" t="s">
        <v>4204</v>
      </c>
      <c r="C563" s="2" t="s">
        <v>74</v>
      </c>
      <c r="D563" s="2" t="s">
        <v>74</v>
      </c>
      <c r="E563" s="2" t="s">
        <v>74</v>
      </c>
      <c r="F563" s="2" t="s">
        <v>4205</v>
      </c>
      <c r="G563" s="2" t="s">
        <v>74</v>
      </c>
      <c r="H563" s="2" t="s">
        <v>74</v>
      </c>
      <c r="I563" s="2" t="s">
        <v>4206</v>
      </c>
      <c r="J563" s="2" t="s">
        <v>2550</v>
      </c>
      <c r="K563" s="2" t="s">
        <v>74</v>
      </c>
      <c r="L563" s="2" t="s">
        <v>74</v>
      </c>
      <c r="M563" s="2" t="s">
        <v>74</v>
      </c>
      <c r="N563" s="2" t="s">
        <v>74</v>
      </c>
      <c r="O563" s="2" t="s">
        <v>74</v>
      </c>
      <c r="P563" s="2" t="s">
        <v>74</v>
      </c>
      <c r="Q563" s="2" t="s">
        <v>74</v>
      </c>
      <c r="R563" s="2" t="s">
        <v>74</v>
      </c>
      <c r="S563" s="2" t="s">
        <v>74</v>
      </c>
      <c r="T563" s="2" t="s">
        <v>74</v>
      </c>
      <c r="U563" s="2" t="s">
        <v>74</v>
      </c>
      <c r="V563" s="5" t="s">
        <v>4207</v>
      </c>
      <c r="W563" s="2" t="s">
        <v>74</v>
      </c>
      <c r="X563" s="2" t="s">
        <v>74</v>
      </c>
      <c r="Y563" s="2" t="s">
        <v>74</v>
      </c>
      <c r="Z563" s="2" t="s">
        <v>74</v>
      </c>
      <c r="AA563" s="2" t="s">
        <v>74</v>
      </c>
      <c r="AB563" s="2" t="s">
        <v>4208</v>
      </c>
      <c r="AC563" s="2" t="s">
        <v>74</v>
      </c>
      <c r="AD563" s="2" t="s">
        <v>74</v>
      </c>
      <c r="AE563" s="2" t="s">
        <v>74</v>
      </c>
      <c r="AF563" s="2" t="s">
        <v>74</v>
      </c>
      <c r="AG563" s="2" t="s">
        <v>74</v>
      </c>
      <c r="AH563" s="2" t="s">
        <v>74</v>
      </c>
      <c r="AI563" s="2" t="s">
        <v>74</v>
      </c>
      <c r="AJ563" s="2" t="s">
        <v>74</v>
      </c>
      <c r="AK563" s="2" t="s">
        <v>74</v>
      </c>
      <c r="AL563" s="2" t="s">
        <v>74</v>
      </c>
      <c r="AM563" s="2" t="s">
        <v>74</v>
      </c>
      <c r="AN563" s="2" t="s">
        <v>74</v>
      </c>
      <c r="AO563" s="2" t="s">
        <v>2554</v>
      </c>
      <c r="AP563" s="2" t="s">
        <v>4209</v>
      </c>
      <c r="AQ563" s="2" t="s">
        <v>74</v>
      </c>
      <c r="AR563" s="2" t="s">
        <v>74</v>
      </c>
      <c r="AS563" s="2" t="s">
        <v>74</v>
      </c>
      <c r="AT563" s="2" t="s">
        <v>102</v>
      </c>
      <c r="AU563" s="2">
        <v>2019</v>
      </c>
      <c r="AV563" s="2">
        <v>42</v>
      </c>
      <c r="AW563" s="2">
        <v>6</v>
      </c>
      <c r="AX563" s="2" t="s">
        <v>74</v>
      </c>
      <c r="AY563" s="2" t="s">
        <v>74</v>
      </c>
      <c r="AZ563" s="2" t="s">
        <v>74</v>
      </c>
      <c r="BA563" s="2" t="s">
        <v>74</v>
      </c>
      <c r="BB563" s="2">
        <v>1217</v>
      </c>
      <c r="BC563" s="2">
        <v>1220</v>
      </c>
      <c r="BD563" s="2" t="s">
        <v>74</v>
      </c>
      <c r="BE563" s="2" t="s">
        <v>4210</v>
      </c>
      <c r="BF563" s="2" t="str">
        <f>HYPERLINK("http://dx.doi.org/10.1007/s00300-019-02506-3","http://dx.doi.org/10.1007/s00300-019-02506-3")</f>
        <v>http://dx.doi.org/10.1007/s00300-019-02506-3</v>
      </c>
      <c r="BG563" s="2" t="s">
        <v>74</v>
      </c>
      <c r="BH563" s="2" t="s">
        <v>74</v>
      </c>
      <c r="BI563" s="2" t="s">
        <v>74</v>
      </c>
      <c r="BJ563" s="2" t="s">
        <v>74</v>
      </c>
      <c r="BK563" s="2" t="s">
        <v>74</v>
      </c>
      <c r="BL563" s="2" t="s">
        <v>74</v>
      </c>
      <c r="BM563" s="2" t="s">
        <v>74</v>
      </c>
      <c r="BN563" s="2" t="s">
        <v>74</v>
      </c>
      <c r="BO563" s="2" t="s">
        <v>74</v>
      </c>
      <c r="BP563" s="2" t="s">
        <v>74</v>
      </c>
      <c r="BQ563" s="2" t="s">
        <v>74</v>
      </c>
      <c r="BR563" s="2" t="s">
        <v>74</v>
      </c>
      <c r="BS563" s="2" t="s">
        <v>4211</v>
      </c>
      <c r="BT563" s="2" t="str">
        <f>HYPERLINK("https%3A%2F%2Fwww.webofscience.com%2Fwos%2Fwoscc%2Ffull-record%2FWOS:000470694200016","View Full Record in Web of Science")</f>
        <v>View Full Record in Web of Science</v>
      </c>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row>
    <row r="564" spans="1:314" s="2" customFormat="1" x14ac:dyDescent="0.4">
      <c r="A564" s="2" t="s">
        <v>72</v>
      </c>
      <c r="B564" s="2" t="s">
        <v>1213</v>
      </c>
      <c r="C564" s="2" t="s">
        <v>74</v>
      </c>
      <c r="D564" s="2" t="s">
        <v>74</v>
      </c>
      <c r="E564" s="2" t="s">
        <v>74</v>
      </c>
      <c r="F564" s="2" t="s">
        <v>1214</v>
      </c>
      <c r="G564" s="2" t="s">
        <v>74</v>
      </c>
      <c r="H564" s="2" t="s">
        <v>74</v>
      </c>
      <c r="I564" s="2" t="s">
        <v>1215</v>
      </c>
      <c r="J564" s="2" t="s">
        <v>99</v>
      </c>
      <c r="K564" s="2" t="s">
        <v>74</v>
      </c>
      <c r="L564" s="2" t="s">
        <v>74</v>
      </c>
      <c r="M564" s="2" t="s">
        <v>74</v>
      </c>
      <c r="N564" s="2" t="s">
        <v>74</v>
      </c>
      <c r="O564" s="2" t="s">
        <v>74</v>
      </c>
      <c r="P564" s="2" t="s">
        <v>74</v>
      </c>
      <c r="Q564" s="2" t="s">
        <v>74</v>
      </c>
      <c r="R564" s="2" t="s">
        <v>74</v>
      </c>
      <c r="S564" s="2" t="s">
        <v>74</v>
      </c>
      <c r="T564" s="2" t="s">
        <v>74</v>
      </c>
      <c r="U564" s="2" t="s">
        <v>74</v>
      </c>
      <c r="V564" s="5" t="s">
        <v>1216</v>
      </c>
      <c r="W564" s="2" t="s">
        <v>74</v>
      </c>
      <c r="X564" s="2" t="s">
        <v>74</v>
      </c>
      <c r="Y564" s="2" t="s">
        <v>74</v>
      </c>
      <c r="Z564" s="2" t="s">
        <v>74</v>
      </c>
      <c r="AA564" s="2" t="s">
        <v>74</v>
      </c>
      <c r="AB564" s="2" t="s">
        <v>1217</v>
      </c>
      <c r="AC564" s="2" t="s">
        <v>74</v>
      </c>
      <c r="AD564" s="2" t="s">
        <v>74</v>
      </c>
      <c r="AE564" s="2" t="s">
        <v>74</v>
      </c>
      <c r="AF564" s="2" t="s">
        <v>74</v>
      </c>
      <c r="AG564" s="2" t="s">
        <v>74</v>
      </c>
      <c r="AH564" s="2" t="s">
        <v>74</v>
      </c>
      <c r="AI564" s="2" t="s">
        <v>74</v>
      </c>
      <c r="AJ564" s="2" t="s">
        <v>74</v>
      </c>
      <c r="AK564" s="2" t="s">
        <v>74</v>
      </c>
      <c r="AL564" s="2" t="s">
        <v>74</v>
      </c>
      <c r="AM564" s="2" t="s">
        <v>74</v>
      </c>
      <c r="AN564" s="2" t="s">
        <v>74</v>
      </c>
      <c r="AO564" s="2" t="s">
        <v>101</v>
      </c>
      <c r="AP564" s="2" t="s">
        <v>1218</v>
      </c>
      <c r="AQ564" s="2" t="s">
        <v>74</v>
      </c>
      <c r="AR564" s="2" t="s">
        <v>74</v>
      </c>
      <c r="AS564" s="2" t="s">
        <v>74</v>
      </c>
      <c r="AT564" s="2" t="s">
        <v>305</v>
      </c>
      <c r="AU564" s="2">
        <v>2014</v>
      </c>
      <c r="AV564" s="2">
        <v>126</v>
      </c>
      <c r="AW564" s="2">
        <v>4</v>
      </c>
      <c r="AX564" s="2" t="s">
        <v>74</v>
      </c>
      <c r="AY564" s="2" t="s">
        <v>74</v>
      </c>
      <c r="AZ564" s="2" t="s">
        <v>74</v>
      </c>
      <c r="BA564" s="2" t="s">
        <v>74</v>
      </c>
      <c r="BB564" s="2">
        <v>708</v>
      </c>
      <c r="BC564" s="2">
        <v>716</v>
      </c>
      <c r="BD564" s="2" t="s">
        <v>74</v>
      </c>
      <c r="BE564" s="2" t="s">
        <v>1219</v>
      </c>
      <c r="BF564" s="2" t="str">
        <f>HYPERLINK("http://dx.doi.org/10.1676/14-028.1","http://dx.doi.org/10.1676/14-028.1")</f>
        <v>http://dx.doi.org/10.1676/14-028.1</v>
      </c>
      <c r="BG564" s="2" t="s">
        <v>74</v>
      </c>
      <c r="BH564" s="2" t="s">
        <v>74</v>
      </c>
      <c r="BI564" s="2" t="s">
        <v>74</v>
      </c>
      <c r="BJ564" s="2" t="s">
        <v>74</v>
      </c>
      <c r="BK564" s="2" t="s">
        <v>74</v>
      </c>
      <c r="BL564" s="2" t="s">
        <v>74</v>
      </c>
      <c r="BM564" s="2" t="s">
        <v>74</v>
      </c>
      <c r="BN564" s="2" t="s">
        <v>74</v>
      </c>
      <c r="BO564" s="2" t="s">
        <v>74</v>
      </c>
      <c r="BP564" s="2" t="s">
        <v>74</v>
      </c>
      <c r="BQ564" s="2" t="s">
        <v>74</v>
      </c>
      <c r="BR564" s="2" t="s">
        <v>74</v>
      </c>
      <c r="BS564" s="2" t="s">
        <v>1220</v>
      </c>
      <c r="BT564" s="2" t="str">
        <f>HYPERLINK("https%3A%2F%2Fwww.webofscience.com%2Fwos%2Fwoscc%2Ffull-record%2FWOS:000346425400008","View Full Record in Web of Science")</f>
        <v>View Full Record in Web of Science</v>
      </c>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row>
    <row r="565" spans="1:314" s="2" customFormat="1" x14ac:dyDescent="0.4">
      <c r="A565" s="2" t="s">
        <v>72</v>
      </c>
      <c r="B565" s="2" t="s">
        <v>1686</v>
      </c>
      <c r="C565" s="2" t="s">
        <v>74</v>
      </c>
      <c r="D565" s="2" t="s">
        <v>74</v>
      </c>
      <c r="E565" s="2" t="s">
        <v>74</v>
      </c>
      <c r="F565" s="2" t="s">
        <v>1687</v>
      </c>
      <c r="G565" s="2" t="s">
        <v>74</v>
      </c>
      <c r="H565" s="2" t="s">
        <v>74</v>
      </c>
      <c r="I565" s="2" t="s">
        <v>1688</v>
      </c>
      <c r="J565" s="2" t="s">
        <v>129</v>
      </c>
      <c r="K565" s="2" t="s">
        <v>74</v>
      </c>
      <c r="L565" s="2" t="s">
        <v>74</v>
      </c>
      <c r="M565" s="2" t="s">
        <v>74</v>
      </c>
      <c r="N565" s="2" t="s">
        <v>74</v>
      </c>
      <c r="O565" s="2" t="s">
        <v>74</v>
      </c>
      <c r="P565" s="2" t="s">
        <v>74</v>
      </c>
      <c r="Q565" s="2" t="s">
        <v>74</v>
      </c>
      <c r="R565" s="2" t="s">
        <v>74</v>
      </c>
      <c r="S565" s="2" t="s">
        <v>74</v>
      </c>
      <c r="T565" s="2" t="s">
        <v>74</v>
      </c>
      <c r="U565" s="2" t="s">
        <v>74</v>
      </c>
      <c r="V565" s="5" t="s">
        <v>1689</v>
      </c>
      <c r="W565" s="2" t="s">
        <v>74</v>
      </c>
      <c r="X565" s="2" t="s">
        <v>74</v>
      </c>
      <c r="Y565" s="2" t="s">
        <v>74</v>
      </c>
      <c r="Z565" s="2" t="s">
        <v>74</v>
      </c>
      <c r="AA565" s="2" t="s">
        <v>1690</v>
      </c>
      <c r="AB565" s="2" t="s">
        <v>1691</v>
      </c>
      <c r="AC565" s="2" t="s">
        <v>74</v>
      </c>
      <c r="AD565" s="2" t="s">
        <v>74</v>
      </c>
      <c r="AE565" s="2" t="s">
        <v>74</v>
      </c>
      <c r="AF565" s="2" t="s">
        <v>74</v>
      </c>
      <c r="AG565" s="2" t="s">
        <v>74</v>
      </c>
      <c r="AH565" s="2" t="s">
        <v>74</v>
      </c>
      <c r="AI565" s="2" t="s">
        <v>74</v>
      </c>
      <c r="AJ565" s="2" t="s">
        <v>74</v>
      </c>
      <c r="AK565" s="2" t="s">
        <v>74</v>
      </c>
      <c r="AL565" s="2" t="s">
        <v>74</v>
      </c>
      <c r="AM565" s="2" t="s">
        <v>74</v>
      </c>
      <c r="AN565" s="2" t="s">
        <v>74</v>
      </c>
      <c r="AO565" s="2" t="s">
        <v>132</v>
      </c>
      <c r="AP565" s="2" t="s">
        <v>133</v>
      </c>
      <c r="AQ565" s="2" t="s">
        <v>74</v>
      </c>
      <c r="AR565" s="2" t="s">
        <v>74</v>
      </c>
      <c r="AS565" s="2" t="s">
        <v>74</v>
      </c>
      <c r="AT565" s="2" t="s">
        <v>633</v>
      </c>
      <c r="AU565" s="2">
        <v>2022</v>
      </c>
      <c r="AV565" s="2">
        <v>76</v>
      </c>
      <c r="AW565" s="2">
        <v>4</v>
      </c>
      <c r="AX565" s="2" t="s">
        <v>74</v>
      </c>
      <c r="AY565" s="2" t="s">
        <v>74</v>
      </c>
      <c r="AZ565" s="2" t="s">
        <v>74</v>
      </c>
      <c r="BA565" s="2" t="s">
        <v>74</v>
      </c>
      <c r="BB565" s="2" t="s">
        <v>74</v>
      </c>
      <c r="BC565" s="2" t="s">
        <v>74</v>
      </c>
      <c r="BD565" s="2">
        <v>57</v>
      </c>
      <c r="BE565" s="2" t="s">
        <v>1692</v>
      </c>
      <c r="BF565" s="2" t="str">
        <f>HYPERLINK("http://dx.doi.org/10.1007/s00265-022-03165-x","http://dx.doi.org/10.1007/s00265-022-03165-x")</f>
        <v>http://dx.doi.org/10.1007/s00265-022-03165-x</v>
      </c>
      <c r="BG565" s="2" t="s">
        <v>74</v>
      </c>
      <c r="BH565" s="2" t="s">
        <v>74</v>
      </c>
      <c r="BI565" s="2" t="s">
        <v>74</v>
      </c>
      <c r="BJ565" s="2" t="s">
        <v>74</v>
      </c>
      <c r="BK565" s="2" t="s">
        <v>74</v>
      </c>
      <c r="BL565" s="2" t="s">
        <v>74</v>
      </c>
      <c r="BM565" s="2" t="s">
        <v>74</v>
      </c>
      <c r="BN565" s="2" t="s">
        <v>74</v>
      </c>
      <c r="BO565" s="2" t="s">
        <v>74</v>
      </c>
      <c r="BP565" s="2" t="s">
        <v>74</v>
      </c>
      <c r="BQ565" s="2" t="s">
        <v>74</v>
      </c>
      <c r="BR565" s="2" t="s">
        <v>74</v>
      </c>
      <c r="BS565" s="2" t="s">
        <v>1693</v>
      </c>
      <c r="BT565" s="2" t="str">
        <f>HYPERLINK("https%3A%2F%2Fwww.webofscience.com%2Fwos%2Fwoscc%2Ffull-record%2FWOS:000779357300001","View Full Record in Web of Science")</f>
        <v>View Full Record in Web of Science</v>
      </c>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row>
    <row r="566" spans="1:314" s="2" customFormat="1" x14ac:dyDescent="0.4">
      <c r="A566" s="2" t="s">
        <v>72</v>
      </c>
      <c r="B566" s="2" t="s">
        <v>2594</v>
      </c>
      <c r="C566" s="2" t="s">
        <v>74</v>
      </c>
      <c r="D566" s="2" t="s">
        <v>74</v>
      </c>
      <c r="E566" s="2" t="s">
        <v>74</v>
      </c>
      <c r="F566" s="2" t="s">
        <v>2595</v>
      </c>
      <c r="G566" s="2" t="s">
        <v>74</v>
      </c>
      <c r="H566" s="2" t="s">
        <v>74</v>
      </c>
      <c r="I566" s="2" t="s">
        <v>2596</v>
      </c>
      <c r="J566" s="2" t="s">
        <v>140</v>
      </c>
      <c r="K566" s="2" t="s">
        <v>74</v>
      </c>
      <c r="L566" s="2" t="s">
        <v>74</v>
      </c>
      <c r="M566" s="2" t="s">
        <v>74</v>
      </c>
      <c r="N566" s="2" t="s">
        <v>74</v>
      </c>
      <c r="O566" s="2" t="s">
        <v>74</v>
      </c>
      <c r="P566" s="2" t="s">
        <v>74</v>
      </c>
      <c r="Q566" s="2" t="s">
        <v>74</v>
      </c>
      <c r="R566" s="2" t="s">
        <v>74</v>
      </c>
      <c r="S566" s="2" t="s">
        <v>74</v>
      </c>
      <c r="T566" s="2" t="s">
        <v>74</v>
      </c>
      <c r="U566" s="2" t="s">
        <v>74</v>
      </c>
      <c r="V566" s="5" t="s">
        <v>2597</v>
      </c>
      <c r="W566" s="2" t="s">
        <v>74</v>
      </c>
      <c r="X566" s="2" t="s">
        <v>74</v>
      </c>
      <c r="Y566" s="2" t="s">
        <v>74</v>
      </c>
      <c r="Z566" s="2" t="s">
        <v>74</v>
      </c>
      <c r="AA566" s="2" t="s">
        <v>946</v>
      </c>
      <c r="AB566" s="2" t="s">
        <v>2598</v>
      </c>
      <c r="AC566" s="2" t="s">
        <v>74</v>
      </c>
      <c r="AD566" s="2" t="s">
        <v>74</v>
      </c>
      <c r="AE566" s="2" t="s">
        <v>74</v>
      </c>
      <c r="AF566" s="2" t="s">
        <v>74</v>
      </c>
      <c r="AG566" s="2" t="s">
        <v>74</v>
      </c>
      <c r="AH566" s="2" t="s">
        <v>74</v>
      </c>
      <c r="AI566" s="2" t="s">
        <v>74</v>
      </c>
      <c r="AJ566" s="2" t="s">
        <v>74</v>
      </c>
      <c r="AK566" s="2" t="s">
        <v>74</v>
      </c>
      <c r="AL566" s="2" t="s">
        <v>74</v>
      </c>
      <c r="AM566" s="2" t="s">
        <v>74</v>
      </c>
      <c r="AN566" s="2" t="s">
        <v>74</v>
      </c>
      <c r="AO566" s="2" t="s">
        <v>143</v>
      </c>
      <c r="AP566" s="2" t="s">
        <v>144</v>
      </c>
      <c r="AQ566" s="2" t="s">
        <v>74</v>
      </c>
      <c r="AR566" s="2" t="s">
        <v>74</v>
      </c>
      <c r="AS566" s="2" t="s">
        <v>74</v>
      </c>
      <c r="AT566" s="2" t="s">
        <v>123</v>
      </c>
      <c r="AU566" s="2">
        <v>2015</v>
      </c>
      <c r="AV566" s="2">
        <v>101</v>
      </c>
      <c r="AW566" s="2" t="s">
        <v>74</v>
      </c>
      <c r="AX566" s="2" t="s">
        <v>74</v>
      </c>
      <c r="AY566" s="2" t="s">
        <v>74</v>
      </c>
      <c r="AZ566" s="2" t="s">
        <v>74</v>
      </c>
      <c r="BA566" s="2" t="s">
        <v>74</v>
      </c>
      <c r="BB566" s="2">
        <v>11</v>
      </c>
      <c r="BC566" s="2">
        <v>18</v>
      </c>
      <c r="BD566" s="2" t="s">
        <v>74</v>
      </c>
      <c r="BE566" s="2" t="s">
        <v>2599</v>
      </c>
      <c r="BF566" s="2" t="str">
        <f>HYPERLINK("http://dx.doi.org/10.1016/j.anbehav.2014.12.016","http://dx.doi.org/10.1016/j.anbehav.2014.12.016")</f>
        <v>http://dx.doi.org/10.1016/j.anbehav.2014.12.016</v>
      </c>
      <c r="BG566" s="2" t="s">
        <v>74</v>
      </c>
      <c r="BH566" s="2" t="s">
        <v>74</v>
      </c>
      <c r="BI566" s="2" t="s">
        <v>74</v>
      </c>
      <c r="BJ566" s="2" t="s">
        <v>74</v>
      </c>
      <c r="BK566" s="2" t="s">
        <v>74</v>
      </c>
      <c r="BL566" s="2" t="s">
        <v>74</v>
      </c>
      <c r="BM566" s="2" t="s">
        <v>74</v>
      </c>
      <c r="BN566" s="2" t="s">
        <v>74</v>
      </c>
      <c r="BO566" s="2" t="s">
        <v>74</v>
      </c>
      <c r="BP566" s="2" t="s">
        <v>74</v>
      </c>
      <c r="BQ566" s="2" t="s">
        <v>74</v>
      </c>
      <c r="BR566" s="2" t="s">
        <v>74</v>
      </c>
      <c r="BS566" s="2" t="s">
        <v>2600</v>
      </c>
      <c r="BT566" s="2" t="str">
        <f>HYPERLINK("https%3A%2F%2Fwww.webofscience.com%2Fwos%2Fwoscc%2Ffull-record%2FWOS:000351020200004","View Full Record in Web of Science")</f>
        <v>View Full Record in Web of Science</v>
      </c>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row>
    <row r="567" spans="1:314" s="2" customFormat="1" x14ac:dyDescent="0.4">
      <c r="A567" s="2" t="s">
        <v>72</v>
      </c>
      <c r="B567" s="2" t="s">
        <v>6144</v>
      </c>
      <c r="C567" s="2" t="s">
        <v>74</v>
      </c>
      <c r="D567" s="2" t="s">
        <v>74</v>
      </c>
      <c r="E567" s="2" t="s">
        <v>74</v>
      </c>
      <c r="F567" s="2" t="s">
        <v>6145</v>
      </c>
      <c r="G567" s="2" t="s">
        <v>74</v>
      </c>
      <c r="H567" s="2" t="s">
        <v>74</v>
      </c>
      <c r="I567" s="2" t="s">
        <v>6146</v>
      </c>
      <c r="J567" s="2" t="s">
        <v>99</v>
      </c>
      <c r="K567" s="2" t="s">
        <v>74</v>
      </c>
      <c r="L567" s="2" t="s">
        <v>74</v>
      </c>
      <c r="M567" s="2" t="s">
        <v>74</v>
      </c>
      <c r="N567" s="2" t="s">
        <v>74</v>
      </c>
      <c r="O567" s="2" t="s">
        <v>74</v>
      </c>
      <c r="P567" s="2" t="s">
        <v>74</v>
      </c>
      <c r="Q567" s="2" t="s">
        <v>74</v>
      </c>
      <c r="R567" s="2" t="s">
        <v>74</v>
      </c>
      <c r="S567" s="2" t="s">
        <v>74</v>
      </c>
      <c r="T567" s="2" t="s">
        <v>74</v>
      </c>
      <c r="U567" s="2" t="s">
        <v>74</v>
      </c>
      <c r="V567" s="5" t="s">
        <v>6147</v>
      </c>
      <c r="W567" s="2" t="s">
        <v>74</v>
      </c>
      <c r="X567" s="2" t="s">
        <v>74</v>
      </c>
      <c r="Y567" s="2" t="s">
        <v>74</v>
      </c>
      <c r="Z567" s="2" t="s">
        <v>74</v>
      </c>
      <c r="AA567" s="2" t="s">
        <v>74</v>
      </c>
      <c r="AB567" s="2" t="s">
        <v>74</v>
      </c>
      <c r="AC567" s="2" t="s">
        <v>74</v>
      </c>
      <c r="AD567" s="2" t="s">
        <v>74</v>
      </c>
      <c r="AE567" s="2" t="s">
        <v>74</v>
      </c>
      <c r="AF567" s="2" t="s">
        <v>74</v>
      </c>
      <c r="AG567" s="2" t="s">
        <v>74</v>
      </c>
      <c r="AH567" s="2" t="s">
        <v>74</v>
      </c>
      <c r="AI567" s="2" t="s">
        <v>74</v>
      </c>
      <c r="AJ567" s="2" t="s">
        <v>74</v>
      </c>
      <c r="AK567" s="2" t="s">
        <v>74</v>
      </c>
      <c r="AL567" s="2" t="s">
        <v>74</v>
      </c>
      <c r="AM567" s="2" t="s">
        <v>74</v>
      </c>
      <c r="AN567" s="2" t="s">
        <v>74</v>
      </c>
      <c r="AO567" s="2" t="s">
        <v>101</v>
      </c>
      <c r="AP567" s="2" t="s">
        <v>1218</v>
      </c>
      <c r="AQ567" s="2" t="s">
        <v>74</v>
      </c>
      <c r="AR567" s="2" t="s">
        <v>74</v>
      </c>
      <c r="AS567" s="2" t="s">
        <v>74</v>
      </c>
      <c r="AT567" s="2" t="s">
        <v>123</v>
      </c>
      <c r="AU567" s="2">
        <v>2007</v>
      </c>
      <c r="AV567" s="2">
        <v>119</v>
      </c>
      <c r="AW567" s="2">
        <v>1</v>
      </c>
      <c r="AX567" s="2" t="s">
        <v>74</v>
      </c>
      <c r="AY567" s="2" t="s">
        <v>74</v>
      </c>
      <c r="AZ567" s="2" t="s">
        <v>74</v>
      </c>
      <c r="BA567" s="2" t="s">
        <v>74</v>
      </c>
      <c r="BB567" s="2">
        <v>89</v>
      </c>
      <c r="BC567" s="2">
        <v>94</v>
      </c>
      <c r="BD567" s="2" t="s">
        <v>74</v>
      </c>
      <c r="BE567" s="2" t="s">
        <v>6148</v>
      </c>
      <c r="BF567" s="2" t="str">
        <f>HYPERLINK("http://dx.doi.org/10.1676/05-158.1","http://dx.doi.org/10.1676/05-158.1")</f>
        <v>http://dx.doi.org/10.1676/05-158.1</v>
      </c>
      <c r="BG567" s="2" t="s">
        <v>74</v>
      </c>
      <c r="BH567" s="2" t="s">
        <v>74</v>
      </c>
      <c r="BI567" s="2" t="s">
        <v>74</v>
      </c>
      <c r="BJ567" s="2" t="s">
        <v>74</v>
      </c>
      <c r="BK567" s="2" t="s">
        <v>74</v>
      </c>
      <c r="BL567" s="2" t="s">
        <v>74</v>
      </c>
      <c r="BM567" s="2" t="s">
        <v>74</v>
      </c>
      <c r="BN567" s="2" t="s">
        <v>74</v>
      </c>
      <c r="BO567" s="2" t="s">
        <v>74</v>
      </c>
      <c r="BP567" s="2" t="s">
        <v>74</v>
      </c>
      <c r="BQ567" s="2" t="s">
        <v>74</v>
      </c>
      <c r="BR567" s="2" t="s">
        <v>74</v>
      </c>
      <c r="BS567" s="2" t="s">
        <v>6149</v>
      </c>
      <c r="BT567" s="2" t="str">
        <f>HYPERLINK("https%3A%2F%2Fwww.webofscience.com%2Fwos%2Fwoscc%2Ffull-record%2FWOS:000245113700010","View Full Record in Web of Science")</f>
        <v>View Full Record in Web of Science</v>
      </c>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row>
    <row r="568" spans="1:314" s="2" customFormat="1" x14ac:dyDescent="0.4">
      <c r="A568" s="2" t="s">
        <v>72</v>
      </c>
      <c r="B568" s="2" t="s">
        <v>4825</v>
      </c>
      <c r="C568" s="2" t="s">
        <v>74</v>
      </c>
      <c r="D568" s="2" t="s">
        <v>74</v>
      </c>
      <c r="E568" s="2" t="s">
        <v>74</v>
      </c>
      <c r="F568" s="2" t="s">
        <v>4825</v>
      </c>
      <c r="G568" s="2" t="s">
        <v>74</v>
      </c>
      <c r="H568" s="2" t="s">
        <v>74</v>
      </c>
      <c r="I568" s="2" t="s">
        <v>4826</v>
      </c>
      <c r="J568" s="2" t="s">
        <v>1126</v>
      </c>
      <c r="K568" s="2" t="s">
        <v>74</v>
      </c>
      <c r="L568" s="2" t="s">
        <v>74</v>
      </c>
      <c r="M568" s="2" t="s">
        <v>74</v>
      </c>
      <c r="N568" s="2" t="s">
        <v>74</v>
      </c>
      <c r="O568" s="2" t="s">
        <v>74</v>
      </c>
      <c r="P568" s="2" t="s">
        <v>74</v>
      </c>
      <c r="Q568" s="2" t="s">
        <v>74</v>
      </c>
      <c r="R568" s="2" t="s">
        <v>74</v>
      </c>
      <c r="S568" s="2" t="s">
        <v>74</v>
      </c>
      <c r="T568" s="2" t="s">
        <v>74</v>
      </c>
      <c r="U568" s="2" t="s">
        <v>74</v>
      </c>
      <c r="V568" s="5" t="s">
        <v>4827</v>
      </c>
      <c r="W568" s="2" t="s">
        <v>74</v>
      </c>
      <c r="X568" s="2" t="s">
        <v>74</v>
      </c>
      <c r="Y568" s="2" t="s">
        <v>74</v>
      </c>
      <c r="Z568" s="2" t="s">
        <v>74</v>
      </c>
      <c r="AA568" s="2" t="s">
        <v>4828</v>
      </c>
      <c r="AB568" s="2" t="s">
        <v>4829</v>
      </c>
      <c r="AC568" s="2" t="s">
        <v>74</v>
      </c>
      <c r="AD568" s="2" t="s">
        <v>74</v>
      </c>
      <c r="AE568" s="2" t="s">
        <v>74</v>
      </c>
      <c r="AF568" s="2" t="s">
        <v>74</v>
      </c>
      <c r="AG568" s="2" t="s">
        <v>74</v>
      </c>
      <c r="AH568" s="2" t="s">
        <v>74</v>
      </c>
      <c r="AI568" s="2" t="s">
        <v>74</v>
      </c>
      <c r="AJ568" s="2" t="s">
        <v>74</v>
      </c>
      <c r="AK568" s="2" t="s">
        <v>74</v>
      </c>
      <c r="AL568" s="2" t="s">
        <v>74</v>
      </c>
      <c r="AM568" s="2" t="s">
        <v>74</v>
      </c>
      <c r="AN568" s="2" t="s">
        <v>74</v>
      </c>
      <c r="AO568" s="2" t="s">
        <v>1128</v>
      </c>
      <c r="AP568" s="2" t="s">
        <v>1129</v>
      </c>
      <c r="AQ568" s="2" t="s">
        <v>74</v>
      </c>
      <c r="AR568" s="2" t="s">
        <v>74</v>
      </c>
      <c r="AS568" s="2" t="s">
        <v>74</v>
      </c>
      <c r="AT568" s="2" t="s">
        <v>4830</v>
      </c>
      <c r="AU568" s="2">
        <v>2003</v>
      </c>
      <c r="AV568" s="2" t="s">
        <v>74</v>
      </c>
      <c r="AW568" s="2">
        <v>1</v>
      </c>
      <c r="AX568" s="2" t="s">
        <v>74</v>
      </c>
      <c r="AY568" s="2" t="s">
        <v>74</v>
      </c>
      <c r="AZ568" s="2" t="s">
        <v>74</v>
      </c>
      <c r="BA568" s="2" t="s">
        <v>74</v>
      </c>
      <c r="BB568" s="2">
        <v>181</v>
      </c>
      <c r="BC568" s="2">
        <v>186</v>
      </c>
      <c r="BD568" s="2" t="s">
        <v>74</v>
      </c>
      <c r="BE568" s="2" t="s">
        <v>4831</v>
      </c>
      <c r="BF568" s="2" t="str">
        <f>HYPERLINK("http://dx.doi.org/10.1643/0045-8511(2003)003[0181:EOFMCC]2.0.CO;2","http://dx.doi.org/10.1643/0045-8511(2003)003[0181:EOFMCC]2.0.CO;2")</f>
        <v>http://dx.doi.org/10.1643/0045-8511(2003)003[0181:EOFMCC]2.0.CO;2</v>
      </c>
      <c r="BG568" s="2" t="s">
        <v>74</v>
      </c>
      <c r="BH568" s="2" t="s">
        <v>74</v>
      </c>
      <c r="BI568" s="2" t="s">
        <v>74</v>
      </c>
      <c r="BJ568" s="2" t="s">
        <v>74</v>
      </c>
      <c r="BK568" s="2" t="s">
        <v>74</v>
      </c>
      <c r="BL568" s="2" t="s">
        <v>74</v>
      </c>
      <c r="BM568" s="2" t="s">
        <v>74</v>
      </c>
      <c r="BN568" s="2" t="s">
        <v>74</v>
      </c>
      <c r="BO568" s="2" t="s">
        <v>74</v>
      </c>
      <c r="BP568" s="2" t="s">
        <v>74</v>
      </c>
      <c r="BQ568" s="2" t="s">
        <v>74</v>
      </c>
      <c r="BR568" s="2" t="s">
        <v>74</v>
      </c>
      <c r="BS568" s="2" t="s">
        <v>4832</v>
      </c>
      <c r="BT568" s="2" t="str">
        <f>HYPERLINK("https%3A%2F%2Fwww.webofscience.com%2Fwos%2Fwoscc%2Ffull-record%2FWOS:000181477800020","View Full Record in Web of Science")</f>
        <v>View Full Record in Web of Science</v>
      </c>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row>
    <row r="569" spans="1:314" s="2" customFormat="1" x14ac:dyDescent="0.4">
      <c r="A569" s="2" t="s">
        <v>72</v>
      </c>
      <c r="B569" s="2" t="s">
        <v>8598</v>
      </c>
      <c r="C569" s="2" t="s">
        <v>74</v>
      </c>
      <c r="D569" s="2" t="s">
        <v>74</v>
      </c>
      <c r="E569" s="2" t="s">
        <v>74</v>
      </c>
      <c r="F569" s="2" t="s">
        <v>8599</v>
      </c>
      <c r="G569" s="2" t="s">
        <v>74</v>
      </c>
      <c r="H569" s="2" t="s">
        <v>74</v>
      </c>
      <c r="I569" s="2" t="s">
        <v>8600</v>
      </c>
      <c r="J569" s="2" t="s">
        <v>3100</v>
      </c>
      <c r="K569" s="2" t="s">
        <v>74</v>
      </c>
      <c r="L569" s="2" t="s">
        <v>74</v>
      </c>
      <c r="M569" s="2" t="s">
        <v>74</v>
      </c>
      <c r="N569" s="2" t="s">
        <v>74</v>
      </c>
      <c r="O569" s="2" t="s">
        <v>74</v>
      </c>
      <c r="P569" s="2" t="s">
        <v>74</v>
      </c>
      <c r="Q569" s="2" t="s">
        <v>74</v>
      </c>
      <c r="R569" s="2" t="s">
        <v>74</v>
      </c>
      <c r="S569" s="2" t="s">
        <v>74</v>
      </c>
      <c r="T569" s="2" t="s">
        <v>74</v>
      </c>
      <c r="U569" s="2" t="s">
        <v>74</v>
      </c>
      <c r="V569" s="5" t="s">
        <v>8601</v>
      </c>
      <c r="W569" s="2" t="s">
        <v>74</v>
      </c>
      <c r="X569" s="2" t="s">
        <v>74</v>
      </c>
      <c r="Y569" s="2" t="s">
        <v>74</v>
      </c>
      <c r="Z569" s="2" t="s">
        <v>74</v>
      </c>
      <c r="AA569" s="2" t="s">
        <v>8602</v>
      </c>
      <c r="AB569" s="2" t="s">
        <v>8603</v>
      </c>
      <c r="AC569" s="2" t="s">
        <v>74</v>
      </c>
      <c r="AD569" s="2" t="s">
        <v>74</v>
      </c>
      <c r="AE569" s="2" t="s">
        <v>74</v>
      </c>
      <c r="AF569" s="2" t="s">
        <v>74</v>
      </c>
      <c r="AG569" s="2" t="s">
        <v>74</v>
      </c>
      <c r="AH569" s="2" t="s">
        <v>74</v>
      </c>
      <c r="AI569" s="2" t="s">
        <v>74</v>
      </c>
      <c r="AJ569" s="2" t="s">
        <v>74</v>
      </c>
      <c r="AK569" s="2" t="s">
        <v>74</v>
      </c>
      <c r="AL569" s="2" t="s">
        <v>74</v>
      </c>
      <c r="AM569" s="2" t="s">
        <v>74</v>
      </c>
      <c r="AN569" s="2" t="s">
        <v>74</v>
      </c>
      <c r="AO569" s="2" t="s">
        <v>74</v>
      </c>
      <c r="AP569" s="2" t="s">
        <v>3104</v>
      </c>
      <c r="AQ569" s="2" t="s">
        <v>74</v>
      </c>
      <c r="AR569" s="2" t="s">
        <v>74</v>
      </c>
      <c r="AS569" s="2" t="s">
        <v>74</v>
      </c>
      <c r="AT569" s="2" t="s">
        <v>1247</v>
      </c>
      <c r="AU569" s="2">
        <v>2023</v>
      </c>
      <c r="AV569" s="2">
        <v>10</v>
      </c>
      <c r="AW569" s="2" t="s">
        <v>74</v>
      </c>
      <c r="AX569" s="2" t="s">
        <v>74</v>
      </c>
      <c r="AY569" s="2" t="s">
        <v>74</v>
      </c>
      <c r="AZ569" s="2" t="s">
        <v>74</v>
      </c>
      <c r="BA569" s="2" t="s">
        <v>74</v>
      </c>
      <c r="BB569" s="2" t="s">
        <v>74</v>
      </c>
      <c r="BC569" s="2" t="s">
        <v>74</v>
      </c>
      <c r="BD569" s="2">
        <v>1166632</v>
      </c>
      <c r="BE569" s="2" t="s">
        <v>8604</v>
      </c>
      <c r="BF569" s="2" t="str">
        <f>HYPERLINK("http://dx.doi.org/10.3389/fvets.2023.1166632","http://dx.doi.org/10.3389/fvets.2023.1166632")</f>
        <v>http://dx.doi.org/10.3389/fvets.2023.1166632</v>
      </c>
      <c r="BG569" s="2" t="s">
        <v>74</v>
      </c>
      <c r="BH569" s="2" t="s">
        <v>74</v>
      </c>
      <c r="BI569" s="2" t="s">
        <v>74</v>
      </c>
      <c r="BJ569" s="2" t="s">
        <v>74</v>
      </c>
      <c r="BK569" s="2" t="s">
        <v>74</v>
      </c>
      <c r="BL569" s="2" t="s">
        <v>74</v>
      </c>
      <c r="BM569" s="2" t="s">
        <v>74</v>
      </c>
      <c r="BN569" s="2">
        <v>37323835</v>
      </c>
      <c r="BO569" s="2" t="s">
        <v>74</v>
      </c>
      <c r="BP569" s="2" t="s">
        <v>74</v>
      </c>
      <c r="BQ569" s="2" t="s">
        <v>74</v>
      </c>
      <c r="BR569" s="2" t="s">
        <v>74</v>
      </c>
      <c r="BS569" s="2" t="s">
        <v>8605</v>
      </c>
      <c r="BT569" s="2" t="str">
        <f>HYPERLINK("https%3A%2F%2Fwww.webofscience.com%2Fwos%2Fwoscc%2Ffull-record%2FWOS:001007647700001","View Full Record in Web of Science")</f>
        <v>View Full Record in Web of Science</v>
      </c>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row>
    <row r="570" spans="1:314" s="2" customFormat="1" x14ac:dyDescent="0.4">
      <c r="A570" s="2" t="s">
        <v>72</v>
      </c>
      <c r="B570" s="2" t="s">
        <v>5646</v>
      </c>
      <c r="C570" s="2" t="s">
        <v>74</v>
      </c>
      <c r="D570" s="2" t="s">
        <v>74</v>
      </c>
      <c r="E570" s="2" t="s">
        <v>74</v>
      </c>
      <c r="F570" s="2" t="s">
        <v>5646</v>
      </c>
      <c r="G570" s="2" t="s">
        <v>74</v>
      </c>
      <c r="H570" s="2" t="s">
        <v>74</v>
      </c>
      <c r="I570" s="2" t="s">
        <v>5647</v>
      </c>
      <c r="J570" s="2" t="s">
        <v>731</v>
      </c>
      <c r="K570" s="2" t="s">
        <v>74</v>
      </c>
      <c r="L570" s="2" t="s">
        <v>74</v>
      </c>
      <c r="M570" s="2" t="s">
        <v>74</v>
      </c>
      <c r="N570" s="2" t="s">
        <v>74</v>
      </c>
      <c r="O570" s="2" t="s">
        <v>74</v>
      </c>
      <c r="P570" s="2" t="s">
        <v>74</v>
      </c>
      <c r="Q570" s="2" t="s">
        <v>74</v>
      </c>
      <c r="R570" s="2" t="s">
        <v>74</v>
      </c>
      <c r="S570" s="2" t="s">
        <v>74</v>
      </c>
      <c r="T570" s="2" t="s">
        <v>74</v>
      </c>
      <c r="U570" s="2" t="s">
        <v>74</v>
      </c>
      <c r="V570" s="5" t="s">
        <v>5648</v>
      </c>
      <c r="W570" s="2" t="s">
        <v>74</v>
      </c>
      <c r="X570" s="2" t="s">
        <v>74</v>
      </c>
      <c r="Y570" s="2" t="s">
        <v>74</v>
      </c>
      <c r="Z570" s="2" t="s">
        <v>74</v>
      </c>
      <c r="AA570" s="2" t="s">
        <v>74</v>
      </c>
      <c r="AB570" s="2" t="s">
        <v>5649</v>
      </c>
      <c r="AC570" s="2" t="s">
        <v>74</v>
      </c>
      <c r="AD570" s="2" t="s">
        <v>74</v>
      </c>
      <c r="AE570" s="2" t="s">
        <v>74</v>
      </c>
      <c r="AF570" s="2" t="s">
        <v>74</v>
      </c>
      <c r="AG570" s="2" t="s">
        <v>74</v>
      </c>
      <c r="AH570" s="2" t="s">
        <v>74</v>
      </c>
      <c r="AI570" s="2" t="s">
        <v>74</v>
      </c>
      <c r="AJ570" s="2" t="s">
        <v>74</v>
      </c>
      <c r="AK570" s="2" t="s">
        <v>74</v>
      </c>
      <c r="AL570" s="2" t="s">
        <v>74</v>
      </c>
      <c r="AM570" s="2" t="s">
        <v>74</v>
      </c>
      <c r="AN570" s="2" t="s">
        <v>74</v>
      </c>
      <c r="AO570" s="2" t="s">
        <v>733</v>
      </c>
      <c r="AP570" s="2" t="s">
        <v>734</v>
      </c>
      <c r="AQ570" s="2" t="s">
        <v>74</v>
      </c>
      <c r="AR570" s="2" t="s">
        <v>74</v>
      </c>
      <c r="AS570" s="2" t="s">
        <v>74</v>
      </c>
      <c r="AT570" s="2" t="s">
        <v>2022</v>
      </c>
      <c r="AU570" s="2">
        <v>2005</v>
      </c>
      <c r="AV570" s="2">
        <v>159</v>
      </c>
      <c r="AW570" s="2">
        <v>1</v>
      </c>
      <c r="AX570" s="2" t="s">
        <v>74</v>
      </c>
      <c r="AY570" s="2" t="s">
        <v>74</v>
      </c>
      <c r="AZ570" s="2" t="s">
        <v>74</v>
      </c>
      <c r="BA570" s="2" t="s">
        <v>74</v>
      </c>
      <c r="BB570" s="2">
        <v>37</v>
      </c>
      <c r="BC570" s="2">
        <v>41</v>
      </c>
      <c r="BD570" s="2" t="s">
        <v>74</v>
      </c>
      <c r="BE570" s="2" t="s">
        <v>5650</v>
      </c>
      <c r="BF570" s="2" t="str">
        <f>HYPERLINK("http://dx.doi.org/10.1016/j.bbr.2004.09.024","http://dx.doi.org/10.1016/j.bbr.2004.09.024")</f>
        <v>http://dx.doi.org/10.1016/j.bbr.2004.09.024</v>
      </c>
      <c r="BG570" s="2" t="s">
        <v>74</v>
      </c>
      <c r="BH570" s="2" t="s">
        <v>74</v>
      </c>
      <c r="BI570" s="2" t="s">
        <v>74</v>
      </c>
      <c r="BJ570" s="2" t="s">
        <v>74</v>
      </c>
      <c r="BK570" s="2" t="s">
        <v>74</v>
      </c>
      <c r="BL570" s="2" t="s">
        <v>74</v>
      </c>
      <c r="BM570" s="2" t="s">
        <v>74</v>
      </c>
      <c r="BN570" s="2">
        <v>15794995</v>
      </c>
      <c r="BO570" s="2" t="s">
        <v>74</v>
      </c>
      <c r="BP570" s="2" t="s">
        <v>74</v>
      </c>
      <c r="BQ570" s="2" t="s">
        <v>74</v>
      </c>
      <c r="BR570" s="2" t="s">
        <v>74</v>
      </c>
      <c r="BS570" s="2" t="s">
        <v>5651</v>
      </c>
      <c r="BT570" s="2" t="str">
        <f>HYPERLINK("https%3A%2F%2Fwww.webofscience.com%2Fwos%2Fwoscc%2Ffull-record%2FWOS:000228509700005","View Full Record in Web of Science")</f>
        <v>View Full Record in Web of Science</v>
      </c>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row>
    <row r="571" spans="1:314" s="2" customFormat="1" x14ac:dyDescent="0.4">
      <c r="A571" s="2" t="s">
        <v>72</v>
      </c>
      <c r="B571" s="2" t="s">
        <v>5141</v>
      </c>
      <c r="C571" s="2" t="s">
        <v>74</v>
      </c>
      <c r="D571" s="2" t="s">
        <v>74</v>
      </c>
      <c r="E571" s="2" t="s">
        <v>74</v>
      </c>
      <c r="F571" s="2" t="s">
        <v>5142</v>
      </c>
      <c r="G571" s="2" t="s">
        <v>74</v>
      </c>
      <c r="H571" s="2" t="s">
        <v>74</v>
      </c>
      <c r="I571" s="2" t="s">
        <v>5143</v>
      </c>
      <c r="J571" s="2" t="s">
        <v>5144</v>
      </c>
      <c r="K571" s="2" t="s">
        <v>74</v>
      </c>
      <c r="L571" s="2" t="s">
        <v>74</v>
      </c>
      <c r="M571" s="2" t="s">
        <v>74</v>
      </c>
      <c r="N571" s="2" t="s">
        <v>74</v>
      </c>
      <c r="O571" s="2" t="s">
        <v>74</v>
      </c>
      <c r="P571" s="2" t="s">
        <v>74</v>
      </c>
      <c r="Q571" s="2" t="s">
        <v>74</v>
      </c>
      <c r="R571" s="2" t="s">
        <v>74</v>
      </c>
      <c r="S571" s="2" t="s">
        <v>74</v>
      </c>
      <c r="T571" s="2" t="s">
        <v>74</v>
      </c>
      <c r="U571" s="2" t="s">
        <v>74</v>
      </c>
      <c r="V571" s="5" t="s">
        <v>5145</v>
      </c>
      <c r="W571" s="2" t="s">
        <v>74</v>
      </c>
      <c r="X571" s="2" t="s">
        <v>74</v>
      </c>
      <c r="Y571" s="2" t="s">
        <v>74</v>
      </c>
      <c r="Z571" s="2" t="s">
        <v>74</v>
      </c>
      <c r="AA571" s="2" t="s">
        <v>74</v>
      </c>
      <c r="AB571" s="2" t="s">
        <v>5146</v>
      </c>
      <c r="AC571" s="2" t="s">
        <v>74</v>
      </c>
      <c r="AD571" s="2" t="s">
        <v>74</v>
      </c>
      <c r="AE571" s="2" t="s">
        <v>74</v>
      </c>
      <c r="AF571" s="2" t="s">
        <v>74</v>
      </c>
      <c r="AG571" s="2" t="s">
        <v>74</v>
      </c>
      <c r="AH571" s="2" t="s">
        <v>74</v>
      </c>
      <c r="AI571" s="2" t="s">
        <v>74</v>
      </c>
      <c r="AJ571" s="2" t="s">
        <v>74</v>
      </c>
      <c r="AK571" s="2" t="s">
        <v>74</v>
      </c>
      <c r="AL571" s="2" t="s">
        <v>74</v>
      </c>
      <c r="AM571" s="2" t="s">
        <v>74</v>
      </c>
      <c r="AN571" s="2" t="s">
        <v>74</v>
      </c>
      <c r="AO571" s="2" t="s">
        <v>74</v>
      </c>
      <c r="AP571" s="2" t="s">
        <v>5147</v>
      </c>
      <c r="AQ571" s="2" t="s">
        <v>74</v>
      </c>
      <c r="AR571" s="2" t="s">
        <v>74</v>
      </c>
      <c r="AS571" s="2" t="s">
        <v>74</v>
      </c>
      <c r="AT571" s="2" t="s">
        <v>74</v>
      </c>
      <c r="AU571" s="2">
        <v>2020</v>
      </c>
      <c r="AV571" s="2">
        <v>2</v>
      </c>
      <c r="AW571" s="2">
        <v>1</v>
      </c>
      <c r="AX571" s="2" t="s">
        <v>74</v>
      </c>
      <c r="AY571" s="2" t="s">
        <v>74</v>
      </c>
      <c r="AZ571" s="2" t="s">
        <v>74</v>
      </c>
      <c r="BA571" s="2" t="s">
        <v>74</v>
      </c>
      <c r="BB571" s="2" t="s">
        <v>74</v>
      </c>
      <c r="BC571" s="2" t="s">
        <v>74</v>
      </c>
      <c r="BD571" s="2" t="s">
        <v>5148</v>
      </c>
      <c r="BE571" s="2" t="s">
        <v>5149</v>
      </c>
      <c r="BF571" s="2" t="str">
        <f>HYPERLINK("http://dx.doi.org/10.1093/iob/obaa027","http://dx.doi.org/10.1093/iob/obaa027")</f>
        <v>http://dx.doi.org/10.1093/iob/obaa027</v>
      </c>
      <c r="BG571" s="2" t="s">
        <v>74</v>
      </c>
      <c r="BH571" s="2" t="s">
        <v>74</v>
      </c>
      <c r="BI571" s="2" t="s">
        <v>74</v>
      </c>
      <c r="BJ571" s="2" t="s">
        <v>74</v>
      </c>
      <c r="BK571" s="2" t="s">
        <v>74</v>
      </c>
      <c r="BL571" s="2" t="s">
        <v>74</v>
      </c>
      <c r="BM571" s="2" t="s">
        <v>74</v>
      </c>
      <c r="BN571" s="2">
        <v>33791567</v>
      </c>
      <c r="BO571" s="2" t="s">
        <v>74</v>
      </c>
      <c r="BP571" s="2" t="s">
        <v>74</v>
      </c>
      <c r="BQ571" s="2" t="s">
        <v>74</v>
      </c>
      <c r="BR571" s="2" t="s">
        <v>74</v>
      </c>
      <c r="BS571" s="2" t="s">
        <v>5150</v>
      </c>
      <c r="BT571" s="2" t="str">
        <f>HYPERLINK("https%3A%2F%2Fwww.webofscience.com%2Fwos%2Fwoscc%2Ffull-record%2FWOS:000613108900027","View Full Record in Web of Science")</f>
        <v>View Full Record in Web of Science</v>
      </c>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row>
    <row r="572" spans="1:314" s="2" customFormat="1" x14ac:dyDescent="0.4">
      <c r="A572" s="2" t="s">
        <v>72</v>
      </c>
      <c r="B572" s="2" t="s">
        <v>5389</v>
      </c>
      <c r="C572" s="2" t="s">
        <v>74</v>
      </c>
      <c r="D572" s="2" t="s">
        <v>74</v>
      </c>
      <c r="E572" s="2" t="s">
        <v>74</v>
      </c>
      <c r="F572" s="2" t="s">
        <v>5390</v>
      </c>
      <c r="G572" s="2" t="s">
        <v>74</v>
      </c>
      <c r="H572" s="2" t="s">
        <v>74</v>
      </c>
      <c r="I572" s="2" t="s">
        <v>5391</v>
      </c>
      <c r="J572" s="2" t="s">
        <v>140</v>
      </c>
      <c r="K572" s="2" t="s">
        <v>74</v>
      </c>
      <c r="L572" s="2" t="s">
        <v>74</v>
      </c>
      <c r="M572" s="2" t="s">
        <v>74</v>
      </c>
      <c r="N572" s="2" t="s">
        <v>74</v>
      </c>
      <c r="O572" s="2" t="s">
        <v>74</v>
      </c>
      <c r="P572" s="2" t="s">
        <v>74</v>
      </c>
      <c r="Q572" s="2" t="s">
        <v>74</v>
      </c>
      <c r="R572" s="2" t="s">
        <v>74</v>
      </c>
      <c r="S572" s="2" t="s">
        <v>74</v>
      </c>
      <c r="T572" s="2" t="s">
        <v>74</v>
      </c>
      <c r="U572" s="2" t="s">
        <v>74</v>
      </c>
      <c r="V572" s="5" t="s">
        <v>5392</v>
      </c>
      <c r="W572" s="2" t="s">
        <v>74</v>
      </c>
      <c r="X572" s="2" t="s">
        <v>74</v>
      </c>
      <c r="Y572" s="2" t="s">
        <v>74</v>
      </c>
      <c r="Z572" s="2" t="s">
        <v>74</v>
      </c>
      <c r="AA572" s="2" t="s">
        <v>74</v>
      </c>
      <c r="AB572" s="2" t="s">
        <v>5146</v>
      </c>
      <c r="AC572" s="2" t="s">
        <v>74</v>
      </c>
      <c r="AD572" s="2" t="s">
        <v>74</v>
      </c>
      <c r="AE572" s="2" t="s">
        <v>74</v>
      </c>
      <c r="AF572" s="2" t="s">
        <v>74</v>
      </c>
      <c r="AG572" s="2" t="s">
        <v>74</v>
      </c>
      <c r="AH572" s="2" t="s">
        <v>74</v>
      </c>
      <c r="AI572" s="2" t="s">
        <v>74</v>
      </c>
      <c r="AJ572" s="2" t="s">
        <v>74</v>
      </c>
      <c r="AK572" s="2" t="s">
        <v>74</v>
      </c>
      <c r="AL572" s="2" t="s">
        <v>74</v>
      </c>
      <c r="AM572" s="2" t="s">
        <v>74</v>
      </c>
      <c r="AN572" s="2" t="s">
        <v>74</v>
      </c>
      <c r="AO572" s="2" t="s">
        <v>143</v>
      </c>
      <c r="AP572" s="2" t="s">
        <v>144</v>
      </c>
      <c r="AQ572" s="2" t="s">
        <v>74</v>
      </c>
      <c r="AR572" s="2" t="s">
        <v>74</v>
      </c>
      <c r="AS572" s="2" t="s">
        <v>74</v>
      </c>
      <c r="AT572" s="2" t="s">
        <v>255</v>
      </c>
      <c r="AU572" s="2">
        <v>2019</v>
      </c>
      <c r="AV572" s="2">
        <v>147</v>
      </c>
      <c r="AW572" s="2" t="s">
        <v>74</v>
      </c>
      <c r="AX572" s="2" t="s">
        <v>74</v>
      </c>
      <c r="AY572" s="2" t="s">
        <v>74</v>
      </c>
      <c r="AZ572" s="2" t="s">
        <v>74</v>
      </c>
      <c r="BA572" s="2" t="s">
        <v>74</v>
      </c>
      <c r="BB572" s="2">
        <v>115</v>
      </c>
      <c r="BC572" s="2">
        <v>123</v>
      </c>
      <c r="BD572" s="2" t="s">
        <v>74</v>
      </c>
      <c r="BE572" s="2" t="s">
        <v>5393</v>
      </c>
      <c r="BF572" s="2" t="str">
        <f>HYPERLINK("http://dx.doi.org/10.1016/j.anbehav.2018.11.011","http://dx.doi.org/10.1016/j.anbehav.2018.11.011")</f>
        <v>http://dx.doi.org/10.1016/j.anbehav.2018.11.011</v>
      </c>
      <c r="BG572" s="2" t="s">
        <v>74</v>
      </c>
      <c r="BH572" s="2" t="s">
        <v>74</v>
      </c>
      <c r="BI572" s="2" t="s">
        <v>74</v>
      </c>
      <c r="BJ572" s="2" t="s">
        <v>74</v>
      </c>
      <c r="BK572" s="2" t="s">
        <v>74</v>
      </c>
      <c r="BL572" s="2" t="s">
        <v>74</v>
      </c>
      <c r="BM572" s="2" t="s">
        <v>74</v>
      </c>
      <c r="BN572" s="2" t="s">
        <v>74</v>
      </c>
      <c r="BO572" s="2" t="s">
        <v>74</v>
      </c>
      <c r="BP572" s="2" t="s">
        <v>74</v>
      </c>
      <c r="BQ572" s="2" t="s">
        <v>74</v>
      </c>
      <c r="BR572" s="2" t="s">
        <v>74</v>
      </c>
      <c r="BS572" s="2" t="s">
        <v>5394</v>
      </c>
      <c r="BT572" s="2" t="str">
        <f>HYPERLINK("https%3A%2F%2Fwww.webofscience.com%2Fwos%2Fwoscc%2Ffull-record%2FWOS:000455323900014","View Full Record in Web of Science")</f>
        <v>View Full Record in Web of Science</v>
      </c>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row>
    <row r="573" spans="1:314" s="2" customFormat="1" x14ac:dyDescent="0.4">
      <c r="A573" s="2" t="s">
        <v>72</v>
      </c>
      <c r="B573" s="2" t="s">
        <v>4617</v>
      </c>
      <c r="C573" s="2" t="s">
        <v>74</v>
      </c>
      <c r="D573" s="2" t="s">
        <v>74</v>
      </c>
      <c r="E573" s="2" t="s">
        <v>74</v>
      </c>
      <c r="F573" s="2" t="s">
        <v>4618</v>
      </c>
      <c r="G573" s="2" t="s">
        <v>74</v>
      </c>
      <c r="H573" s="2" t="s">
        <v>74</v>
      </c>
      <c r="I573" s="2" t="s">
        <v>4619</v>
      </c>
      <c r="J573" s="2" t="s">
        <v>4620</v>
      </c>
      <c r="K573" s="2" t="s">
        <v>74</v>
      </c>
      <c r="L573" s="2" t="s">
        <v>74</v>
      </c>
      <c r="M573" s="2" t="s">
        <v>74</v>
      </c>
      <c r="N573" s="2" t="s">
        <v>74</v>
      </c>
      <c r="O573" s="2" t="s">
        <v>74</v>
      </c>
      <c r="P573" s="2" t="s">
        <v>74</v>
      </c>
      <c r="Q573" s="2" t="s">
        <v>74</v>
      </c>
      <c r="R573" s="2" t="s">
        <v>74</v>
      </c>
      <c r="S573" s="2" t="s">
        <v>74</v>
      </c>
      <c r="T573" s="2" t="s">
        <v>74</v>
      </c>
      <c r="U573" s="2" t="s">
        <v>74</v>
      </c>
      <c r="V573" s="5" t="s">
        <v>4621</v>
      </c>
      <c r="W573" s="2" t="s">
        <v>74</v>
      </c>
      <c r="X573" s="2" t="s">
        <v>74</v>
      </c>
      <c r="Y573" s="2" t="s">
        <v>74</v>
      </c>
      <c r="Z573" s="2" t="s">
        <v>74</v>
      </c>
      <c r="AA573" s="2" t="s">
        <v>4622</v>
      </c>
      <c r="AB573" s="2" t="s">
        <v>74</v>
      </c>
      <c r="AC573" s="2" t="s">
        <v>74</v>
      </c>
      <c r="AD573" s="2" t="s">
        <v>74</v>
      </c>
      <c r="AE573" s="2" t="s">
        <v>74</v>
      </c>
      <c r="AF573" s="2" t="s">
        <v>74</v>
      </c>
      <c r="AG573" s="2" t="s">
        <v>74</v>
      </c>
      <c r="AH573" s="2" t="s">
        <v>74</v>
      </c>
      <c r="AI573" s="2" t="s">
        <v>74</v>
      </c>
      <c r="AJ573" s="2" t="s">
        <v>74</v>
      </c>
      <c r="AK573" s="2" t="s">
        <v>74</v>
      </c>
      <c r="AL573" s="2" t="s">
        <v>74</v>
      </c>
      <c r="AM573" s="2" t="s">
        <v>74</v>
      </c>
      <c r="AN573" s="2" t="s">
        <v>74</v>
      </c>
      <c r="AO573" s="2" t="s">
        <v>4623</v>
      </c>
      <c r="AP573" s="2" t="s">
        <v>74</v>
      </c>
      <c r="AQ573" s="2" t="s">
        <v>74</v>
      </c>
      <c r="AR573" s="2" t="s">
        <v>74</v>
      </c>
      <c r="AS573" s="2" t="s">
        <v>74</v>
      </c>
      <c r="AT573" s="2" t="s">
        <v>74</v>
      </c>
      <c r="AU573" s="2">
        <v>2009</v>
      </c>
      <c r="AV573" s="2">
        <v>48</v>
      </c>
      <c r="AW573" s="2">
        <v>3</v>
      </c>
      <c r="AX573" s="2" t="s">
        <v>74</v>
      </c>
      <c r="AY573" s="2" t="s">
        <v>74</v>
      </c>
      <c r="AZ573" s="2" t="s">
        <v>74</v>
      </c>
      <c r="BA573" s="2" t="s">
        <v>74</v>
      </c>
      <c r="BB573" s="2">
        <v>209</v>
      </c>
      <c r="BC573" s="2">
        <v>214</v>
      </c>
      <c r="BD573" s="2" t="s">
        <v>74</v>
      </c>
      <c r="BE573" s="2" t="s">
        <v>4624</v>
      </c>
      <c r="BF573" s="2" t="str">
        <f>HYPERLINK("http://dx.doi.org/10.3896/IBRA.1.48.3.10","http://dx.doi.org/10.3896/IBRA.1.48.3.10")</f>
        <v>http://dx.doi.org/10.3896/IBRA.1.48.3.10</v>
      </c>
      <c r="BG573" s="2" t="s">
        <v>74</v>
      </c>
      <c r="BH573" s="2" t="s">
        <v>74</v>
      </c>
      <c r="BI573" s="2" t="s">
        <v>74</v>
      </c>
      <c r="BJ573" s="2" t="s">
        <v>74</v>
      </c>
      <c r="BK573" s="2" t="s">
        <v>74</v>
      </c>
      <c r="BL573" s="2" t="s">
        <v>74</v>
      </c>
      <c r="BM573" s="2" t="s">
        <v>74</v>
      </c>
      <c r="BN573" s="2" t="s">
        <v>74</v>
      </c>
      <c r="BO573" s="2" t="s">
        <v>74</v>
      </c>
      <c r="BP573" s="2" t="s">
        <v>74</v>
      </c>
      <c r="BQ573" s="2" t="s">
        <v>74</v>
      </c>
      <c r="BR573" s="2" t="s">
        <v>74</v>
      </c>
      <c r="BS573" s="2" t="s">
        <v>4625</v>
      </c>
      <c r="BT573" s="2" t="str">
        <f>HYPERLINK("https%3A%2F%2Fwww.webofscience.com%2Fwos%2Fwoscc%2Ffull-record%2FWOS:000267851900010","View Full Record in Web of Science")</f>
        <v>View Full Record in Web of Science</v>
      </c>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row>
    <row r="574" spans="1:314" s="2" customFormat="1" x14ac:dyDescent="0.4">
      <c r="A574" s="2" t="s">
        <v>72</v>
      </c>
      <c r="B574" s="2" t="s">
        <v>1419</v>
      </c>
      <c r="C574" s="2" t="s">
        <v>74</v>
      </c>
      <c r="D574" s="2" t="s">
        <v>74</v>
      </c>
      <c r="E574" s="2" t="s">
        <v>74</v>
      </c>
      <c r="F574" s="2" t="s">
        <v>1420</v>
      </c>
      <c r="G574" s="2" t="s">
        <v>74</v>
      </c>
      <c r="H574" s="2" t="s">
        <v>74</v>
      </c>
      <c r="I574" s="2" t="s">
        <v>1421</v>
      </c>
      <c r="J574" s="2" t="s">
        <v>119</v>
      </c>
      <c r="K574" s="2" t="s">
        <v>74</v>
      </c>
      <c r="L574" s="2" t="s">
        <v>74</v>
      </c>
      <c r="M574" s="2" t="s">
        <v>74</v>
      </c>
      <c r="N574" s="2" t="s">
        <v>74</v>
      </c>
      <c r="O574" s="2" t="s">
        <v>74</v>
      </c>
      <c r="P574" s="2" t="s">
        <v>74</v>
      </c>
      <c r="Q574" s="2" t="s">
        <v>74</v>
      </c>
      <c r="R574" s="2" t="s">
        <v>74</v>
      </c>
      <c r="S574" s="2" t="s">
        <v>74</v>
      </c>
      <c r="T574" s="2" t="s">
        <v>74</v>
      </c>
      <c r="U574" s="2" t="s">
        <v>74</v>
      </c>
      <c r="V574" s="5" t="s">
        <v>1422</v>
      </c>
      <c r="W574" s="2" t="s">
        <v>74</v>
      </c>
      <c r="X574" s="2" t="s">
        <v>74</v>
      </c>
      <c r="Y574" s="2" t="s">
        <v>74</v>
      </c>
      <c r="Z574" s="2" t="s">
        <v>74</v>
      </c>
      <c r="AA574" s="2" t="s">
        <v>1423</v>
      </c>
      <c r="AB574" s="2" t="s">
        <v>1424</v>
      </c>
      <c r="AC574" s="2" t="s">
        <v>74</v>
      </c>
      <c r="AD574" s="2" t="s">
        <v>74</v>
      </c>
      <c r="AE574" s="2" t="s">
        <v>74</v>
      </c>
      <c r="AF574" s="2" t="s">
        <v>74</v>
      </c>
      <c r="AG574" s="2" t="s">
        <v>74</v>
      </c>
      <c r="AH574" s="2" t="s">
        <v>74</v>
      </c>
      <c r="AI574" s="2" t="s">
        <v>74</v>
      </c>
      <c r="AJ574" s="2" t="s">
        <v>74</v>
      </c>
      <c r="AK574" s="2" t="s">
        <v>74</v>
      </c>
      <c r="AL574" s="2" t="s">
        <v>74</v>
      </c>
      <c r="AM574" s="2" t="s">
        <v>74</v>
      </c>
      <c r="AN574" s="2" t="s">
        <v>74</v>
      </c>
      <c r="AO574" s="2" t="s">
        <v>121</v>
      </c>
      <c r="AP574" s="2" t="s">
        <v>122</v>
      </c>
      <c r="AQ574" s="2" t="s">
        <v>74</v>
      </c>
      <c r="AR574" s="2" t="s">
        <v>74</v>
      </c>
      <c r="AS574" s="2" t="s">
        <v>74</v>
      </c>
      <c r="AT574" s="2" t="s">
        <v>134</v>
      </c>
      <c r="AU574" s="2">
        <v>2018</v>
      </c>
      <c r="AV574" s="2">
        <v>150</v>
      </c>
      <c r="AW574" s="2" t="s">
        <v>74</v>
      </c>
      <c r="AX574" s="2" t="s">
        <v>74</v>
      </c>
      <c r="AY574" s="2" t="s">
        <v>74</v>
      </c>
      <c r="AZ574" s="2" t="s">
        <v>74</v>
      </c>
      <c r="BA574" s="2" t="s">
        <v>74</v>
      </c>
      <c r="BB574" s="2">
        <v>25</v>
      </c>
      <c r="BC574" s="2">
        <v>28</v>
      </c>
      <c r="BD574" s="2" t="s">
        <v>74</v>
      </c>
      <c r="BE574" s="2" t="s">
        <v>1425</v>
      </c>
      <c r="BF574" s="2" t="str">
        <f>HYPERLINK("http://dx.doi.org/10.1016/j.beproc.2018.02.006","http://dx.doi.org/10.1016/j.beproc.2018.02.006")</f>
        <v>http://dx.doi.org/10.1016/j.beproc.2018.02.006</v>
      </c>
      <c r="BG574" s="2" t="s">
        <v>74</v>
      </c>
      <c r="BH574" s="2" t="s">
        <v>74</v>
      </c>
      <c r="BI574" s="2" t="s">
        <v>74</v>
      </c>
      <c r="BJ574" s="2" t="s">
        <v>74</v>
      </c>
      <c r="BK574" s="2" t="s">
        <v>74</v>
      </c>
      <c r="BL574" s="2" t="s">
        <v>74</v>
      </c>
      <c r="BM574" s="2" t="s">
        <v>74</v>
      </c>
      <c r="BN574" s="2">
        <v>29447852</v>
      </c>
      <c r="BO574" s="2" t="s">
        <v>74</v>
      </c>
      <c r="BP574" s="2" t="s">
        <v>74</v>
      </c>
      <c r="BQ574" s="2" t="s">
        <v>74</v>
      </c>
      <c r="BR574" s="2" t="s">
        <v>74</v>
      </c>
      <c r="BS574" s="2" t="s">
        <v>1426</v>
      </c>
      <c r="BT574" s="2" t="str">
        <f>HYPERLINK("https%3A%2F%2Fwww.webofscience.com%2Fwos%2Fwoscc%2Ffull-record%2FWOS:000430765900004","View Full Record in Web of Science")</f>
        <v>View Full Record in Web of Science</v>
      </c>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row>
    <row r="575" spans="1:314" s="2" customFormat="1" x14ac:dyDescent="0.4">
      <c r="A575" s="2" t="s">
        <v>72</v>
      </c>
      <c r="B575" s="2" t="s">
        <v>839</v>
      </c>
      <c r="C575" s="2" t="s">
        <v>74</v>
      </c>
      <c r="D575" s="2" t="s">
        <v>74</v>
      </c>
      <c r="E575" s="2" t="s">
        <v>74</v>
      </c>
      <c r="F575" s="2" t="s">
        <v>840</v>
      </c>
      <c r="G575" s="2" t="s">
        <v>74</v>
      </c>
      <c r="H575" s="2" t="s">
        <v>74</v>
      </c>
      <c r="I575" s="2" t="s">
        <v>841</v>
      </c>
      <c r="J575" s="2" t="s">
        <v>842</v>
      </c>
      <c r="K575" s="2" t="s">
        <v>74</v>
      </c>
      <c r="L575" s="2" t="s">
        <v>74</v>
      </c>
      <c r="M575" s="2" t="s">
        <v>74</v>
      </c>
      <c r="N575" s="2" t="s">
        <v>74</v>
      </c>
      <c r="O575" s="2" t="s">
        <v>74</v>
      </c>
      <c r="P575" s="2" t="s">
        <v>74</v>
      </c>
      <c r="Q575" s="2" t="s">
        <v>74</v>
      </c>
      <c r="R575" s="2" t="s">
        <v>74</v>
      </c>
      <c r="S575" s="2" t="s">
        <v>74</v>
      </c>
      <c r="T575" s="2" t="s">
        <v>74</v>
      </c>
      <c r="U575" s="2" t="s">
        <v>74</v>
      </c>
      <c r="V575" s="5" t="s">
        <v>843</v>
      </c>
      <c r="W575" s="2" t="s">
        <v>74</v>
      </c>
      <c r="X575" s="2" t="s">
        <v>74</v>
      </c>
      <c r="Y575" s="2" t="s">
        <v>74</v>
      </c>
      <c r="Z575" s="2" t="s">
        <v>74</v>
      </c>
      <c r="AA575" s="2" t="s">
        <v>844</v>
      </c>
      <c r="AB575" s="2" t="s">
        <v>845</v>
      </c>
      <c r="AC575" s="2" t="s">
        <v>74</v>
      </c>
      <c r="AD575" s="2" t="s">
        <v>74</v>
      </c>
      <c r="AE575" s="2" t="s">
        <v>74</v>
      </c>
      <c r="AF575" s="2" t="s">
        <v>74</v>
      </c>
      <c r="AG575" s="2" t="s">
        <v>74</v>
      </c>
      <c r="AH575" s="2" t="s">
        <v>74</v>
      </c>
      <c r="AI575" s="2" t="s">
        <v>74</v>
      </c>
      <c r="AJ575" s="2" t="s">
        <v>74</v>
      </c>
      <c r="AK575" s="2" t="s">
        <v>74</v>
      </c>
      <c r="AL575" s="2" t="s">
        <v>74</v>
      </c>
      <c r="AM575" s="2" t="s">
        <v>74</v>
      </c>
      <c r="AN575" s="2" t="s">
        <v>74</v>
      </c>
      <c r="AO575" s="2" t="s">
        <v>846</v>
      </c>
      <c r="AP575" s="2" t="s">
        <v>847</v>
      </c>
      <c r="AQ575" s="2" t="s">
        <v>74</v>
      </c>
      <c r="AR575" s="2" t="s">
        <v>74</v>
      </c>
      <c r="AS575" s="2" t="s">
        <v>74</v>
      </c>
      <c r="AT575" s="2" t="s">
        <v>204</v>
      </c>
      <c r="AU575" s="2">
        <v>2013</v>
      </c>
      <c r="AV575" s="2">
        <v>75</v>
      </c>
      <c r="AW575" s="2">
        <v>7</v>
      </c>
      <c r="AX575" s="2" t="s">
        <v>74</v>
      </c>
      <c r="AY575" s="2" t="s">
        <v>74</v>
      </c>
      <c r="AZ575" s="2" t="s">
        <v>848</v>
      </c>
      <c r="BA575" s="2" t="s">
        <v>74</v>
      </c>
      <c r="BB575" s="2">
        <v>740</v>
      </c>
      <c r="BC575" s="2">
        <v>751</v>
      </c>
      <c r="BD575" s="2" t="s">
        <v>74</v>
      </c>
      <c r="BE575" s="2" t="s">
        <v>849</v>
      </c>
      <c r="BF575" s="2" t="str">
        <f>HYPERLINK("http://dx.doi.org/10.1002/ajp.22099","http://dx.doi.org/10.1002/ajp.22099")</f>
        <v>http://dx.doi.org/10.1002/ajp.22099</v>
      </c>
      <c r="BG575" s="2" t="s">
        <v>74</v>
      </c>
      <c r="BH575" s="2" t="s">
        <v>74</v>
      </c>
      <c r="BI575" s="2" t="s">
        <v>74</v>
      </c>
      <c r="BJ575" s="2" t="s">
        <v>74</v>
      </c>
      <c r="BK575" s="2" t="s">
        <v>74</v>
      </c>
      <c r="BL575" s="2" t="s">
        <v>74</v>
      </c>
      <c r="BM575" s="2" t="s">
        <v>74</v>
      </c>
      <c r="BN575" s="2">
        <v>23192604</v>
      </c>
      <c r="BO575" s="2" t="s">
        <v>74</v>
      </c>
      <c r="BP575" s="2" t="s">
        <v>74</v>
      </c>
      <c r="BQ575" s="2" t="s">
        <v>74</v>
      </c>
      <c r="BR575" s="2" t="s">
        <v>74</v>
      </c>
      <c r="BS575" s="2" t="s">
        <v>850</v>
      </c>
      <c r="BT575" s="2" t="str">
        <f>HYPERLINK("https%3A%2F%2Fwww.webofscience.com%2Fwos%2Fwoscc%2Ffull-record%2FWOS:000319001000009","View Full Record in Web of Science")</f>
        <v>View Full Record in Web of Science</v>
      </c>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row>
    <row r="576" spans="1:314" s="2" customFormat="1" x14ac:dyDescent="0.4">
      <c r="A576" s="2" t="s">
        <v>72</v>
      </c>
      <c r="B576" s="2" t="s">
        <v>5681</v>
      </c>
      <c r="C576" s="2" t="s">
        <v>74</v>
      </c>
      <c r="D576" s="2" t="s">
        <v>74</v>
      </c>
      <c r="E576" s="2" t="s">
        <v>74</v>
      </c>
      <c r="F576" s="2" t="s">
        <v>5682</v>
      </c>
      <c r="G576" s="2" t="s">
        <v>74</v>
      </c>
      <c r="H576" s="2" t="s">
        <v>74</v>
      </c>
      <c r="I576" s="2" t="s">
        <v>5683</v>
      </c>
      <c r="J576" s="2" t="s">
        <v>5684</v>
      </c>
      <c r="K576" s="2" t="s">
        <v>74</v>
      </c>
      <c r="L576" s="2" t="s">
        <v>74</v>
      </c>
      <c r="M576" s="2" t="s">
        <v>74</v>
      </c>
      <c r="N576" s="2" t="s">
        <v>74</v>
      </c>
      <c r="O576" s="2" t="s">
        <v>74</v>
      </c>
      <c r="P576" s="2" t="s">
        <v>74</v>
      </c>
      <c r="Q576" s="2" t="s">
        <v>74</v>
      </c>
      <c r="R576" s="2" t="s">
        <v>74</v>
      </c>
      <c r="S576" s="2" t="s">
        <v>74</v>
      </c>
      <c r="T576" s="2" t="s">
        <v>74</v>
      </c>
      <c r="U576" s="2" t="s">
        <v>74</v>
      </c>
      <c r="V576" s="5" t="s">
        <v>5685</v>
      </c>
      <c r="W576" s="2" t="s">
        <v>74</v>
      </c>
      <c r="X576" s="2" t="s">
        <v>74</v>
      </c>
      <c r="Y576" s="2" t="s">
        <v>74</v>
      </c>
      <c r="Z576" s="2" t="s">
        <v>74</v>
      </c>
      <c r="AA576" s="2" t="s">
        <v>5686</v>
      </c>
      <c r="AB576" s="2" t="s">
        <v>5687</v>
      </c>
      <c r="AC576" s="2" t="s">
        <v>74</v>
      </c>
      <c r="AD576" s="2" t="s">
        <v>74</v>
      </c>
      <c r="AE576" s="2" t="s">
        <v>74</v>
      </c>
      <c r="AF576" s="2" t="s">
        <v>74</v>
      </c>
      <c r="AG576" s="2" t="s">
        <v>74</v>
      </c>
      <c r="AH576" s="2" t="s">
        <v>74</v>
      </c>
      <c r="AI576" s="2" t="s">
        <v>74</v>
      </c>
      <c r="AJ576" s="2" t="s">
        <v>74</v>
      </c>
      <c r="AK576" s="2" t="s">
        <v>74</v>
      </c>
      <c r="AL576" s="2" t="s">
        <v>74</v>
      </c>
      <c r="AM576" s="2" t="s">
        <v>74</v>
      </c>
      <c r="AN576" s="2" t="s">
        <v>74</v>
      </c>
      <c r="AO576" s="2" t="s">
        <v>5688</v>
      </c>
      <c r="AP576" s="2" t="s">
        <v>5689</v>
      </c>
      <c r="AQ576" s="2" t="s">
        <v>74</v>
      </c>
      <c r="AR576" s="2" t="s">
        <v>74</v>
      </c>
      <c r="AS576" s="2" t="s">
        <v>74</v>
      </c>
      <c r="AT576" s="2" t="s">
        <v>102</v>
      </c>
      <c r="AU576" s="2">
        <v>2018</v>
      </c>
      <c r="AV576" s="2">
        <v>74</v>
      </c>
      <c r="AW576" s="2">
        <v>6</v>
      </c>
      <c r="AX576" s="2" t="s">
        <v>74</v>
      </c>
      <c r="AY576" s="2" t="s">
        <v>74</v>
      </c>
      <c r="AZ576" s="2" t="s">
        <v>74</v>
      </c>
      <c r="BA576" s="2" t="s">
        <v>74</v>
      </c>
      <c r="BB576" s="2">
        <v>1404</v>
      </c>
      <c r="BC576" s="2">
        <v>1415</v>
      </c>
      <c r="BD576" s="2" t="s">
        <v>74</v>
      </c>
      <c r="BE576" s="2" t="s">
        <v>5690</v>
      </c>
      <c r="BF576" s="2" t="str">
        <f>HYPERLINK("http://dx.doi.org/10.1002/ps.4820","http://dx.doi.org/10.1002/ps.4820")</f>
        <v>http://dx.doi.org/10.1002/ps.4820</v>
      </c>
      <c r="BG576" s="2" t="s">
        <v>74</v>
      </c>
      <c r="BH576" s="2" t="s">
        <v>74</v>
      </c>
      <c r="BI576" s="2" t="s">
        <v>74</v>
      </c>
      <c r="BJ576" s="2" t="s">
        <v>74</v>
      </c>
      <c r="BK576" s="2" t="s">
        <v>74</v>
      </c>
      <c r="BL576" s="2" t="s">
        <v>74</v>
      </c>
      <c r="BM576" s="2" t="s">
        <v>74</v>
      </c>
      <c r="BN576" s="2">
        <v>29205860</v>
      </c>
      <c r="BO576" s="2" t="s">
        <v>74</v>
      </c>
      <c r="BP576" s="2" t="s">
        <v>74</v>
      </c>
      <c r="BQ576" s="2" t="s">
        <v>74</v>
      </c>
      <c r="BR576" s="2" t="s">
        <v>74</v>
      </c>
      <c r="BS576" s="2" t="s">
        <v>5691</v>
      </c>
      <c r="BT576" s="2" t="str">
        <f>HYPERLINK("https%3A%2F%2Fwww.webofscience.com%2Fwos%2Fwoscc%2Ffull-record%2FWOS:000431670200022","View Full Record in Web of Science")</f>
        <v>View Full Record in Web of Science</v>
      </c>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row>
    <row r="577" spans="1:314" s="2" customFormat="1" x14ac:dyDescent="0.4">
      <c r="A577" s="2" t="s">
        <v>72</v>
      </c>
      <c r="B577" s="2" t="s">
        <v>7108</v>
      </c>
      <c r="C577" s="2" t="s">
        <v>74</v>
      </c>
      <c r="D577" s="2" t="s">
        <v>74</v>
      </c>
      <c r="E577" s="2" t="s">
        <v>74</v>
      </c>
      <c r="F577" s="2" t="s">
        <v>7109</v>
      </c>
      <c r="G577" s="2" t="s">
        <v>74</v>
      </c>
      <c r="H577" s="2" t="s">
        <v>74</v>
      </c>
      <c r="I577" s="2" t="s">
        <v>7110</v>
      </c>
      <c r="J577" s="2" t="s">
        <v>3411</v>
      </c>
      <c r="K577" s="2" t="s">
        <v>74</v>
      </c>
      <c r="L577" s="2" t="s">
        <v>74</v>
      </c>
      <c r="M577" s="2" t="s">
        <v>74</v>
      </c>
      <c r="N577" s="2" t="s">
        <v>74</v>
      </c>
      <c r="O577" s="2" t="s">
        <v>74</v>
      </c>
      <c r="P577" s="2" t="s">
        <v>74</v>
      </c>
      <c r="Q577" s="2" t="s">
        <v>74</v>
      </c>
      <c r="R577" s="2" t="s">
        <v>74</v>
      </c>
      <c r="S577" s="2" t="s">
        <v>74</v>
      </c>
      <c r="T577" s="2" t="s">
        <v>74</v>
      </c>
      <c r="U577" s="2" t="s">
        <v>74</v>
      </c>
      <c r="V577" s="5" t="s">
        <v>7111</v>
      </c>
      <c r="W577" s="2" t="s">
        <v>74</v>
      </c>
      <c r="X577" s="2" t="s">
        <v>74</v>
      </c>
      <c r="Y577" s="2" t="s">
        <v>74</v>
      </c>
      <c r="Z577" s="2" t="s">
        <v>74</v>
      </c>
      <c r="AA577" s="2" t="s">
        <v>7112</v>
      </c>
      <c r="AB577" s="2" t="s">
        <v>7113</v>
      </c>
      <c r="AC577" s="2" t="s">
        <v>74</v>
      </c>
      <c r="AD577" s="2" t="s">
        <v>74</v>
      </c>
      <c r="AE577" s="2" t="s">
        <v>74</v>
      </c>
      <c r="AF577" s="2" t="s">
        <v>74</v>
      </c>
      <c r="AG577" s="2" t="s">
        <v>74</v>
      </c>
      <c r="AH577" s="2" t="s">
        <v>74</v>
      </c>
      <c r="AI577" s="2" t="s">
        <v>74</v>
      </c>
      <c r="AJ577" s="2" t="s">
        <v>74</v>
      </c>
      <c r="AK577" s="2" t="s">
        <v>74</v>
      </c>
      <c r="AL577" s="2" t="s">
        <v>74</v>
      </c>
      <c r="AM577" s="2" t="s">
        <v>74</v>
      </c>
      <c r="AN577" s="2" t="s">
        <v>74</v>
      </c>
      <c r="AO577" s="2" t="s">
        <v>3415</v>
      </c>
      <c r="AP577" s="2" t="s">
        <v>3416</v>
      </c>
      <c r="AQ577" s="2" t="s">
        <v>74</v>
      </c>
      <c r="AR577" s="2" t="s">
        <v>74</v>
      </c>
      <c r="AS577" s="2" t="s">
        <v>74</v>
      </c>
      <c r="AT577" s="2" t="s">
        <v>74</v>
      </c>
      <c r="AU577" s="2">
        <v>2010</v>
      </c>
      <c r="AV577" s="2">
        <v>110</v>
      </c>
      <c r="AW577" s="2">
        <v>2</v>
      </c>
      <c r="AX577" s="2" t="s">
        <v>74</v>
      </c>
      <c r="AY577" s="2" t="s">
        <v>74</v>
      </c>
      <c r="AZ577" s="2" t="s">
        <v>74</v>
      </c>
      <c r="BA577" s="2" t="s">
        <v>74</v>
      </c>
      <c r="BB577" s="2">
        <v>142</v>
      </c>
      <c r="BC577" s="2">
        <v>145</v>
      </c>
      <c r="BD577" s="2" t="s">
        <v>74</v>
      </c>
      <c r="BE577" s="2" t="s">
        <v>7114</v>
      </c>
      <c r="BF577" s="2" t="str">
        <f>HYPERLINK("http://dx.doi.org/10.1071/MU09016","http://dx.doi.org/10.1071/MU09016")</f>
        <v>http://dx.doi.org/10.1071/MU09016</v>
      </c>
      <c r="BG577" s="2" t="s">
        <v>74</v>
      </c>
      <c r="BH577" s="2" t="s">
        <v>74</v>
      </c>
      <c r="BI577" s="2" t="s">
        <v>74</v>
      </c>
      <c r="BJ577" s="2" t="s">
        <v>74</v>
      </c>
      <c r="BK577" s="2" t="s">
        <v>74</v>
      </c>
      <c r="BL577" s="2" t="s">
        <v>74</v>
      </c>
      <c r="BM577" s="2" t="s">
        <v>74</v>
      </c>
      <c r="BN577" s="2" t="s">
        <v>74</v>
      </c>
      <c r="BO577" s="2" t="s">
        <v>74</v>
      </c>
      <c r="BP577" s="2" t="s">
        <v>74</v>
      </c>
      <c r="BQ577" s="2" t="s">
        <v>74</v>
      </c>
      <c r="BR577" s="2" t="s">
        <v>74</v>
      </c>
      <c r="BS577" s="2" t="s">
        <v>7115</v>
      </c>
      <c r="BT577" s="2" t="str">
        <f>HYPERLINK("https%3A%2F%2Fwww.webofscience.com%2Fwos%2Fwoscc%2Ffull-record%2FWOS:000278020200006","View Full Record in Web of Science")</f>
        <v>View Full Record in Web of Science</v>
      </c>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row>
    <row r="578" spans="1:314" s="2" customFormat="1" x14ac:dyDescent="0.4">
      <c r="A578" s="2" t="s">
        <v>72</v>
      </c>
      <c r="B578" s="2" t="s">
        <v>5016</v>
      </c>
      <c r="C578" s="2" t="s">
        <v>74</v>
      </c>
      <c r="D578" s="2" t="s">
        <v>74</v>
      </c>
      <c r="E578" s="2" t="s">
        <v>74</v>
      </c>
      <c r="F578" s="2" t="s">
        <v>5017</v>
      </c>
      <c r="G578" s="2" t="s">
        <v>74</v>
      </c>
      <c r="H578" s="2" t="s">
        <v>74</v>
      </c>
      <c r="I578" s="2" t="s">
        <v>5018</v>
      </c>
      <c r="J578" s="2" t="s">
        <v>2651</v>
      </c>
      <c r="K578" s="2" t="s">
        <v>74</v>
      </c>
      <c r="L578" s="2" t="s">
        <v>74</v>
      </c>
      <c r="M578" s="2" t="s">
        <v>74</v>
      </c>
      <c r="N578" s="2" t="s">
        <v>74</v>
      </c>
      <c r="O578" s="2" t="s">
        <v>74</v>
      </c>
      <c r="P578" s="2" t="s">
        <v>74</v>
      </c>
      <c r="Q578" s="2" t="s">
        <v>74</v>
      </c>
      <c r="R578" s="2" t="s">
        <v>74</v>
      </c>
      <c r="S578" s="2" t="s">
        <v>74</v>
      </c>
      <c r="T578" s="2" t="s">
        <v>74</v>
      </c>
      <c r="U578" s="2" t="s">
        <v>74</v>
      </c>
      <c r="V578" s="5" t="s">
        <v>5019</v>
      </c>
      <c r="W578" s="2" t="s">
        <v>74</v>
      </c>
      <c r="X578" s="2" t="s">
        <v>74</v>
      </c>
      <c r="Y578" s="2" t="s">
        <v>74</v>
      </c>
      <c r="Z578" s="2" t="s">
        <v>74</v>
      </c>
      <c r="AA578" s="2" t="s">
        <v>5020</v>
      </c>
      <c r="AB578" s="2" t="s">
        <v>5021</v>
      </c>
      <c r="AC578" s="2" t="s">
        <v>74</v>
      </c>
      <c r="AD578" s="2" t="s">
        <v>74</v>
      </c>
      <c r="AE578" s="2" t="s">
        <v>74</v>
      </c>
      <c r="AF578" s="2" t="s">
        <v>74</v>
      </c>
      <c r="AG578" s="2" t="s">
        <v>74</v>
      </c>
      <c r="AH578" s="2" t="s">
        <v>74</v>
      </c>
      <c r="AI578" s="2" t="s">
        <v>74</v>
      </c>
      <c r="AJ578" s="2" t="s">
        <v>74</v>
      </c>
      <c r="AK578" s="2" t="s">
        <v>74</v>
      </c>
      <c r="AL578" s="2" t="s">
        <v>74</v>
      </c>
      <c r="AM578" s="2" t="s">
        <v>74</v>
      </c>
      <c r="AN578" s="2" t="s">
        <v>74</v>
      </c>
      <c r="AO578" s="2" t="s">
        <v>2655</v>
      </c>
      <c r="AP578" s="2" t="s">
        <v>2656</v>
      </c>
      <c r="AQ578" s="2" t="s">
        <v>74</v>
      </c>
      <c r="AR578" s="2" t="s">
        <v>74</v>
      </c>
      <c r="AS578" s="2" t="s">
        <v>74</v>
      </c>
      <c r="AT578" s="2" t="s">
        <v>134</v>
      </c>
      <c r="AU578" s="2">
        <v>2022</v>
      </c>
      <c r="AV578" s="2">
        <v>43</v>
      </c>
      <c r="AW578" s="2">
        <v>3</v>
      </c>
      <c r="AX578" s="2" t="s">
        <v>74</v>
      </c>
      <c r="AY578" s="2" t="s">
        <v>74</v>
      </c>
      <c r="AZ578" s="2" t="s">
        <v>74</v>
      </c>
      <c r="BA578" s="2" t="s">
        <v>74</v>
      </c>
      <c r="BB578" s="2">
        <v>169</v>
      </c>
      <c r="BC578" s="2">
        <v>180</v>
      </c>
      <c r="BD578" s="2" t="s">
        <v>74</v>
      </c>
      <c r="BE578" s="2" t="s">
        <v>5022</v>
      </c>
      <c r="BF578" s="2" t="str">
        <f>HYPERLINK("http://dx.doi.org/10.1016/j.evolhumbehav.2021.12.004","http://dx.doi.org/10.1016/j.evolhumbehav.2021.12.004")</f>
        <v>http://dx.doi.org/10.1016/j.evolhumbehav.2021.12.004</v>
      </c>
      <c r="BG578" s="2" t="s">
        <v>74</v>
      </c>
      <c r="BH578" s="2" t="s">
        <v>2006</v>
      </c>
      <c r="BI578" s="2" t="s">
        <v>74</v>
      </c>
      <c r="BJ578" s="2" t="s">
        <v>74</v>
      </c>
      <c r="BK578" s="2" t="s">
        <v>74</v>
      </c>
      <c r="BL578" s="2" t="s">
        <v>74</v>
      </c>
      <c r="BM578" s="2" t="s">
        <v>74</v>
      </c>
      <c r="BN578" s="2" t="s">
        <v>74</v>
      </c>
      <c r="BO578" s="2" t="s">
        <v>74</v>
      </c>
      <c r="BP578" s="2" t="s">
        <v>74</v>
      </c>
      <c r="BQ578" s="2" t="s">
        <v>74</v>
      </c>
      <c r="BR578" s="2" t="s">
        <v>74</v>
      </c>
      <c r="BS578" s="2" t="s">
        <v>5023</v>
      </c>
      <c r="BT578" s="2" t="str">
        <f>HYPERLINK("https%3A%2F%2Fwww.webofscience.com%2Fwos%2Fwoscc%2Ffull-record%2FWOS:000797243400001","View Full Record in Web of Science")</f>
        <v>View Full Record in Web of Science</v>
      </c>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row>
    <row r="579" spans="1:314" s="2" customFormat="1" x14ac:dyDescent="0.4">
      <c r="A579" s="2" t="s">
        <v>72</v>
      </c>
      <c r="B579" s="2" t="s">
        <v>278</v>
      </c>
      <c r="C579" s="2" t="s">
        <v>74</v>
      </c>
      <c r="D579" s="2" t="s">
        <v>74</v>
      </c>
      <c r="E579" s="2" t="s">
        <v>74</v>
      </c>
      <c r="F579" s="2" t="s">
        <v>279</v>
      </c>
      <c r="G579" s="2" t="s">
        <v>74</v>
      </c>
      <c r="H579" s="2" t="s">
        <v>74</v>
      </c>
      <c r="I579" s="2" t="s">
        <v>280</v>
      </c>
      <c r="J579" s="2" t="s">
        <v>281</v>
      </c>
      <c r="K579" s="2" t="s">
        <v>74</v>
      </c>
      <c r="L579" s="2" t="s">
        <v>74</v>
      </c>
      <c r="M579" s="2" t="s">
        <v>74</v>
      </c>
      <c r="N579" s="2" t="s">
        <v>74</v>
      </c>
      <c r="O579" s="2" t="s">
        <v>74</v>
      </c>
      <c r="P579" s="2" t="s">
        <v>74</v>
      </c>
      <c r="Q579" s="2" t="s">
        <v>74</v>
      </c>
      <c r="R579" s="2" t="s">
        <v>74</v>
      </c>
      <c r="S579" s="2" t="s">
        <v>74</v>
      </c>
      <c r="T579" s="2" t="s">
        <v>74</v>
      </c>
      <c r="U579" s="2" t="s">
        <v>74</v>
      </c>
      <c r="V579" s="5" t="s">
        <v>282</v>
      </c>
      <c r="W579" s="2" t="s">
        <v>74</v>
      </c>
      <c r="X579" s="2" t="s">
        <v>74</v>
      </c>
      <c r="Y579" s="2" t="s">
        <v>74</v>
      </c>
      <c r="Z579" s="2" t="s">
        <v>74</v>
      </c>
      <c r="AA579" s="2" t="s">
        <v>283</v>
      </c>
      <c r="AB579" s="2" t="s">
        <v>284</v>
      </c>
      <c r="AC579" s="2" t="s">
        <v>74</v>
      </c>
      <c r="AD579" s="2" t="s">
        <v>74</v>
      </c>
      <c r="AE579" s="2" t="s">
        <v>74</v>
      </c>
      <c r="AF579" s="2" t="s">
        <v>74</v>
      </c>
      <c r="AG579" s="2" t="s">
        <v>74</v>
      </c>
      <c r="AH579" s="2" t="s">
        <v>74</v>
      </c>
      <c r="AI579" s="2" t="s">
        <v>74</v>
      </c>
      <c r="AJ579" s="2" t="s">
        <v>74</v>
      </c>
      <c r="AK579" s="2" t="s">
        <v>74</v>
      </c>
      <c r="AL579" s="2" t="s">
        <v>74</v>
      </c>
      <c r="AM579" s="2" t="s">
        <v>74</v>
      </c>
      <c r="AN579" s="2" t="s">
        <v>74</v>
      </c>
      <c r="AO579" s="2" t="s">
        <v>285</v>
      </c>
      <c r="AP579" s="2" t="s">
        <v>286</v>
      </c>
      <c r="AQ579" s="2" t="s">
        <v>74</v>
      </c>
      <c r="AR579" s="2" t="s">
        <v>74</v>
      </c>
      <c r="AS579" s="2" t="s">
        <v>74</v>
      </c>
      <c r="AT579" s="2" t="s">
        <v>123</v>
      </c>
      <c r="AU579" s="2">
        <v>2013</v>
      </c>
      <c r="AV579" s="2">
        <v>16</v>
      </c>
      <c r="AW579" s="2">
        <v>2</v>
      </c>
      <c r="AX579" s="2" t="s">
        <v>74</v>
      </c>
      <c r="AY579" s="2" t="s">
        <v>74</v>
      </c>
      <c r="AZ579" s="2" t="s">
        <v>74</v>
      </c>
      <c r="BA579" s="2" t="s">
        <v>74</v>
      </c>
      <c r="BB579" s="2">
        <v>287</v>
      </c>
      <c r="BC579" s="2">
        <v>300</v>
      </c>
      <c r="BD579" s="2" t="s">
        <v>74</v>
      </c>
      <c r="BE579" s="2" t="s">
        <v>287</v>
      </c>
      <c r="BF579" s="2" t="str">
        <f>HYPERLINK("http://dx.doi.org/10.1007/s10071-012-0572-0","http://dx.doi.org/10.1007/s10071-012-0572-0")</f>
        <v>http://dx.doi.org/10.1007/s10071-012-0572-0</v>
      </c>
      <c r="BG579" s="2" t="s">
        <v>74</v>
      </c>
      <c r="BH579" s="2" t="s">
        <v>74</v>
      </c>
      <c r="BI579" s="2" t="s">
        <v>74</v>
      </c>
      <c r="BJ579" s="2" t="s">
        <v>74</v>
      </c>
      <c r="BK579" s="2" t="s">
        <v>74</v>
      </c>
      <c r="BL579" s="2" t="s">
        <v>74</v>
      </c>
      <c r="BM579" s="2" t="s">
        <v>74</v>
      </c>
      <c r="BN579" s="2">
        <v>23111900</v>
      </c>
      <c r="BO579" s="2" t="s">
        <v>74</v>
      </c>
      <c r="BP579" s="2" t="s">
        <v>74</v>
      </c>
      <c r="BQ579" s="2" t="s">
        <v>74</v>
      </c>
      <c r="BR579" s="2" t="s">
        <v>74</v>
      </c>
      <c r="BS579" s="2" t="s">
        <v>288</v>
      </c>
      <c r="BT579" s="2" t="str">
        <f>HYPERLINK("https%3A%2F%2Fwww.webofscience.com%2Fwos%2Fwoscc%2Ffull-record%2FWOS:000315035100012","View Full Record in Web of Science")</f>
        <v>View Full Record in Web of Science</v>
      </c>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row>
    <row r="580" spans="1:314" s="2" customFormat="1" x14ac:dyDescent="0.4">
      <c r="A580" s="2" t="s">
        <v>72</v>
      </c>
      <c r="B580" s="2" t="s">
        <v>3057</v>
      </c>
      <c r="C580" s="2" t="s">
        <v>74</v>
      </c>
      <c r="D580" s="2" t="s">
        <v>74</v>
      </c>
      <c r="E580" s="2" t="s">
        <v>74</v>
      </c>
      <c r="F580" s="2" t="s">
        <v>3058</v>
      </c>
      <c r="G580" s="2" t="s">
        <v>74</v>
      </c>
      <c r="H580" s="2" t="s">
        <v>74</v>
      </c>
      <c r="I580" s="2" t="s">
        <v>3059</v>
      </c>
      <c r="J580" s="2" t="s">
        <v>333</v>
      </c>
      <c r="K580" s="2" t="s">
        <v>74</v>
      </c>
      <c r="L580" s="2" t="s">
        <v>74</v>
      </c>
      <c r="M580" s="2" t="s">
        <v>74</v>
      </c>
      <c r="N580" s="2" t="s">
        <v>74</v>
      </c>
      <c r="O580" s="2" t="s">
        <v>74</v>
      </c>
      <c r="P580" s="2" t="s">
        <v>74</v>
      </c>
      <c r="Q580" s="2" t="s">
        <v>74</v>
      </c>
      <c r="R580" s="2" t="s">
        <v>74</v>
      </c>
      <c r="S580" s="2" t="s">
        <v>74</v>
      </c>
      <c r="T580" s="2" t="s">
        <v>74</v>
      </c>
      <c r="U580" s="2" t="s">
        <v>74</v>
      </c>
      <c r="V580" s="5" t="s">
        <v>3060</v>
      </c>
      <c r="W580" s="2" t="s">
        <v>74</v>
      </c>
      <c r="X580" s="2" t="s">
        <v>74</v>
      </c>
      <c r="Y580" s="2" t="s">
        <v>74</v>
      </c>
      <c r="Z580" s="2" t="s">
        <v>74</v>
      </c>
      <c r="AA580" s="2" t="s">
        <v>3061</v>
      </c>
      <c r="AB580" s="2" t="s">
        <v>3062</v>
      </c>
      <c r="AC580" s="2" t="s">
        <v>74</v>
      </c>
      <c r="AD580" s="2" t="s">
        <v>74</v>
      </c>
      <c r="AE580" s="2" t="s">
        <v>74</v>
      </c>
      <c r="AF580" s="2" t="s">
        <v>74</v>
      </c>
      <c r="AG580" s="2" t="s">
        <v>74</v>
      </c>
      <c r="AH580" s="2" t="s">
        <v>74</v>
      </c>
      <c r="AI580" s="2" t="s">
        <v>74</v>
      </c>
      <c r="AJ580" s="2" t="s">
        <v>74</v>
      </c>
      <c r="AK580" s="2" t="s">
        <v>74</v>
      </c>
      <c r="AL580" s="2" t="s">
        <v>74</v>
      </c>
      <c r="AM580" s="2" t="s">
        <v>74</v>
      </c>
      <c r="AN580" s="2" t="s">
        <v>74</v>
      </c>
      <c r="AO580" s="2" t="s">
        <v>337</v>
      </c>
      <c r="AP580" s="2" t="s">
        <v>74</v>
      </c>
      <c r="AQ580" s="2" t="s">
        <v>74</v>
      </c>
      <c r="AR580" s="2" t="s">
        <v>74</v>
      </c>
      <c r="AS580" s="2" t="s">
        <v>74</v>
      </c>
      <c r="AT580" s="2" t="s">
        <v>808</v>
      </c>
      <c r="AU580" s="2">
        <v>2008</v>
      </c>
      <c r="AV580" s="2">
        <v>19</v>
      </c>
      <c r="AW580" s="2">
        <v>3</v>
      </c>
      <c r="AX580" s="2" t="s">
        <v>74</v>
      </c>
      <c r="AY580" s="2" t="s">
        <v>74</v>
      </c>
      <c r="AZ580" s="2" t="s">
        <v>74</v>
      </c>
      <c r="BA580" s="2" t="s">
        <v>74</v>
      </c>
      <c r="BB580" s="2">
        <v>508</v>
      </c>
      <c r="BC580" s="2">
        <v>516</v>
      </c>
      <c r="BD580" s="2" t="s">
        <v>74</v>
      </c>
      <c r="BE580" s="2" t="s">
        <v>3063</v>
      </c>
      <c r="BF580" s="2" t="str">
        <f>HYPERLINK("http://dx.doi.org/10.1093/beheco/arm159","http://dx.doi.org/10.1093/beheco/arm159")</f>
        <v>http://dx.doi.org/10.1093/beheco/arm159</v>
      </c>
      <c r="BG580" s="2" t="s">
        <v>74</v>
      </c>
      <c r="BH580" s="2" t="s">
        <v>74</v>
      </c>
      <c r="BI580" s="2" t="s">
        <v>74</v>
      </c>
      <c r="BJ580" s="2" t="s">
        <v>74</v>
      </c>
      <c r="BK580" s="2" t="s">
        <v>74</v>
      </c>
      <c r="BL580" s="2" t="s">
        <v>74</v>
      </c>
      <c r="BM580" s="2" t="s">
        <v>74</v>
      </c>
      <c r="BN580" s="2" t="s">
        <v>74</v>
      </c>
      <c r="BO580" s="2" t="s">
        <v>74</v>
      </c>
      <c r="BP580" s="2" t="s">
        <v>74</v>
      </c>
      <c r="BQ580" s="2" t="s">
        <v>74</v>
      </c>
      <c r="BR580" s="2" t="s">
        <v>74</v>
      </c>
      <c r="BS580" s="2" t="s">
        <v>3064</v>
      </c>
      <c r="BT580" s="2" t="str">
        <f>HYPERLINK("https%3A%2F%2Fwww.webofscience.com%2Fwos%2Fwoscc%2Ffull-record%2FWOS:000255987600006","View Full Record in Web of Science")</f>
        <v>View Full Record in Web of Science</v>
      </c>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row>
    <row r="581" spans="1:314" s="2" customFormat="1" x14ac:dyDescent="0.4">
      <c r="A581" s="2" t="s">
        <v>72</v>
      </c>
      <c r="B581" s="2" t="s">
        <v>8606</v>
      </c>
      <c r="C581" s="2" t="s">
        <v>74</v>
      </c>
      <c r="D581" s="2" t="s">
        <v>74</v>
      </c>
      <c r="E581" s="2" t="s">
        <v>74</v>
      </c>
      <c r="F581" s="2" t="s">
        <v>8607</v>
      </c>
      <c r="G581" s="2" t="s">
        <v>74</v>
      </c>
      <c r="H581" s="2" t="s">
        <v>74</v>
      </c>
      <c r="I581" s="2" t="s">
        <v>8608</v>
      </c>
      <c r="J581" s="2" t="s">
        <v>2207</v>
      </c>
      <c r="K581" s="2" t="s">
        <v>74</v>
      </c>
      <c r="L581" s="2" t="s">
        <v>74</v>
      </c>
      <c r="M581" s="2" t="s">
        <v>74</v>
      </c>
      <c r="N581" s="2" t="s">
        <v>74</v>
      </c>
      <c r="O581" s="2" t="s">
        <v>74</v>
      </c>
      <c r="P581" s="2" t="s">
        <v>74</v>
      </c>
      <c r="Q581" s="2" t="s">
        <v>74</v>
      </c>
      <c r="R581" s="2" t="s">
        <v>74</v>
      </c>
      <c r="S581" s="2" t="s">
        <v>74</v>
      </c>
      <c r="T581" s="2" t="s">
        <v>74</v>
      </c>
      <c r="U581" s="2" t="s">
        <v>74</v>
      </c>
      <c r="V581" s="5" t="s">
        <v>8609</v>
      </c>
      <c r="W581" s="2" t="s">
        <v>74</v>
      </c>
      <c r="X581" s="2" t="s">
        <v>74</v>
      </c>
      <c r="Y581" s="2" t="s">
        <v>74</v>
      </c>
      <c r="Z581" s="2" t="s">
        <v>74</v>
      </c>
      <c r="AA581" s="2" t="s">
        <v>8610</v>
      </c>
      <c r="AB581" s="2" t="s">
        <v>8611</v>
      </c>
      <c r="AC581" s="2" t="s">
        <v>74</v>
      </c>
      <c r="AD581" s="2" t="s">
        <v>74</v>
      </c>
      <c r="AE581" s="2" t="s">
        <v>74</v>
      </c>
      <c r="AF581" s="2" t="s">
        <v>74</v>
      </c>
      <c r="AG581" s="2" t="s">
        <v>74</v>
      </c>
      <c r="AH581" s="2" t="s">
        <v>74</v>
      </c>
      <c r="AI581" s="2" t="s">
        <v>74</v>
      </c>
      <c r="AJ581" s="2" t="s">
        <v>74</v>
      </c>
      <c r="AK581" s="2" t="s">
        <v>74</v>
      </c>
      <c r="AL581" s="2" t="s">
        <v>74</v>
      </c>
      <c r="AM581" s="2" t="s">
        <v>74</v>
      </c>
      <c r="AN581" s="2" t="s">
        <v>74</v>
      </c>
      <c r="AO581" s="2" t="s">
        <v>2211</v>
      </c>
      <c r="AP581" s="2" t="s">
        <v>2461</v>
      </c>
      <c r="AQ581" s="2" t="s">
        <v>74</v>
      </c>
      <c r="AR581" s="2" t="s">
        <v>74</v>
      </c>
      <c r="AS581" s="2" t="s">
        <v>74</v>
      </c>
      <c r="AT581" s="2" t="s">
        <v>352</v>
      </c>
      <c r="AU581" s="2">
        <v>2009</v>
      </c>
      <c r="AV581" s="2">
        <v>40</v>
      </c>
      <c r="AW581" s="2">
        <v>5</v>
      </c>
      <c r="AX581" s="2" t="s">
        <v>74</v>
      </c>
      <c r="AY581" s="2" t="s">
        <v>74</v>
      </c>
      <c r="AZ581" s="2" t="s">
        <v>74</v>
      </c>
      <c r="BA581" s="2" t="s">
        <v>74</v>
      </c>
      <c r="BB581" s="2">
        <v>559</v>
      </c>
      <c r="BC581" s="2">
        <v>568</v>
      </c>
      <c r="BD581" s="2" t="s">
        <v>74</v>
      </c>
      <c r="BE581" s="2" t="s">
        <v>8612</v>
      </c>
      <c r="BF581" s="2" t="str">
        <f>HYPERLINK("http://dx.doi.org/10.1111/j.1600-048X.2009.04572.x","http://dx.doi.org/10.1111/j.1600-048X.2009.04572.x")</f>
        <v>http://dx.doi.org/10.1111/j.1600-048X.2009.04572.x</v>
      </c>
      <c r="BG581" s="2" t="s">
        <v>74</v>
      </c>
      <c r="BH581" s="2" t="s">
        <v>74</v>
      </c>
      <c r="BI581" s="2" t="s">
        <v>74</v>
      </c>
      <c r="BJ581" s="2" t="s">
        <v>74</v>
      </c>
      <c r="BK581" s="2" t="s">
        <v>74</v>
      </c>
      <c r="BL581" s="2" t="s">
        <v>74</v>
      </c>
      <c r="BM581" s="2" t="s">
        <v>74</v>
      </c>
      <c r="BN581" s="2" t="s">
        <v>74</v>
      </c>
      <c r="BO581" s="2" t="s">
        <v>74</v>
      </c>
      <c r="BP581" s="2" t="s">
        <v>74</v>
      </c>
      <c r="BQ581" s="2" t="s">
        <v>74</v>
      </c>
      <c r="BR581" s="2" t="s">
        <v>74</v>
      </c>
      <c r="BS581" s="2" t="s">
        <v>8613</v>
      </c>
      <c r="BT581" s="2" t="str">
        <f>HYPERLINK("https%3A%2F%2Fwww.webofscience.com%2Fwos%2Fwoscc%2Ffull-record%2FWOS:000270179100011","View Full Record in Web of Science")</f>
        <v>View Full Record in Web of Science</v>
      </c>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row>
    <row r="582" spans="1:314" s="2" customFormat="1" x14ac:dyDescent="0.4">
      <c r="A582" s="2" t="s">
        <v>72</v>
      </c>
      <c r="B582" s="2" t="s">
        <v>6965</v>
      </c>
      <c r="C582" s="2" t="s">
        <v>74</v>
      </c>
      <c r="D582" s="2" t="s">
        <v>74</v>
      </c>
      <c r="E582" s="2" t="s">
        <v>74</v>
      </c>
      <c r="F582" s="2" t="s">
        <v>6966</v>
      </c>
      <c r="G582" s="2" t="s">
        <v>74</v>
      </c>
      <c r="H582" s="2" t="s">
        <v>74</v>
      </c>
      <c r="I582" s="2" t="s">
        <v>6967</v>
      </c>
      <c r="J582" s="2" t="s">
        <v>6968</v>
      </c>
      <c r="K582" s="2" t="s">
        <v>74</v>
      </c>
      <c r="L582" s="2" t="s">
        <v>74</v>
      </c>
      <c r="M582" s="2" t="s">
        <v>74</v>
      </c>
      <c r="N582" s="2" t="s">
        <v>74</v>
      </c>
      <c r="O582" s="2" t="s">
        <v>74</v>
      </c>
      <c r="P582" s="2" t="s">
        <v>74</v>
      </c>
      <c r="Q582" s="2" t="s">
        <v>74</v>
      </c>
      <c r="R582" s="2" t="s">
        <v>74</v>
      </c>
      <c r="S582" s="2" t="s">
        <v>74</v>
      </c>
      <c r="T582" s="2" t="s">
        <v>74</v>
      </c>
      <c r="U582" s="2" t="s">
        <v>74</v>
      </c>
      <c r="V582" s="5" t="s">
        <v>6969</v>
      </c>
      <c r="W582" s="2" t="s">
        <v>74</v>
      </c>
      <c r="X582" s="2" t="s">
        <v>74</v>
      </c>
      <c r="Y582" s="2" t="s">
        <v>74</v>
      </c>
      <c r="Z582" s="2" t="s">
        <v>74</v>
      </c>
      <c r="AA582" s="2" t="s">
        <v>74</v>
      </c>
      <c r="AB582" s="2" t="s">
        <v>74</v>
      </c>
      <c r="AC582" s="2" t="s">
        <v>74</v>
      </c>
      <c r="AD582" s="2" t="s">
        <v>74</v>
      </c>
      <c r="AE582" s="2" t="s">
        <v>74</v>
      </c>
      <c r="AF582" s="2" t="s">
        <v>74</v>
      </c>
      <c r="AG582" s="2" t="s">
        <v>74</v>
      </c>
      <c r="AH582" s="2" t="s">
        <v>74</v>
      </c>
      <c r="AI582" s="2" t="s">
        <v>74</v>
      </c>
      <c r="AJ582" s="2" t="s">
        <v>74</v>
      </c>
      <c r="AK582" s="2" t="s">
        <v>74</v>
      </c>
      <c r="AL582" s="2" t="s">
        <v>74</v>
      </c>
      <c r="AM582" s="2" t="s">
        <v>74</v>
      </c>
      <c r="AN582" s="2" t="s">
        <v>74</v>
      </c>
      <c r="AO582" s="2" t="s">
        <v>6970</v>
      </c>
      <c r="AP582" s="2" t="s">
        <v>6971</v>
      </c>
      <c r="AQ582" s="2" t="s">
        <v>74</v>
      </c>
      <c r="AR582" s="2" t="s">
        <v>74</v>
      </c>
      <c r="AS582" s="2" t="s">
        <v>74</v>
      </c>
      <c r="AT582" s="2" t="s">
        <v>305</v>
      </c>
      <c r="AU582" s="2">
        <v>2021</v>
      </c>
      <c r="AV582" s="2">
        <v>21</v>
      </c>
      <c r="AW582" s="2">
        <v>4</v>
      </c>
      <c r="AX582" s="2" t="s">
        <v>74</v>
      </c>
      <c r="AY582" s="2" t="s">
        <v>74</v>
      </c>
      <c r="AZ582" s="2" t="s">
        <v>74</v>
      </c>
      <c r="BA582" s="2" t="s">
        <v>74</v>
      </c>
      <c r="BB582" s="2">
        <v>719</v>
      </c>
      <c r="BC582" s="2">
        <v>735</v>
      </c>
      <c r="BD582" s="2" t="s">
        <v>74</v>
      </c>
      <c r="BE582" s="2" t="s">
        <v>6972</v>
      </c>
      <c r="BF582" s="2" t="str">
        <f>HYPERLINK("http://dx.doi.org/10.1007/s13127-021-00510-2","http://dx.doi.org/10.1007/s13127-021-00510-2")</f>
        <v>http://dx.doi.org/10.1007/s13127-021-00510-2</v>
      </c>
      <c r="BG582" s="2" t="s">
        <v>74</v>
      </c>
      <c r="BH582" s="2" t="s">
        <v>675</v>
      </c>
      <c r="BI582" s="2" t="s">
        <v>74</v>
      </c>
      <c r="BJ582" s="2" t="s">
        <v>74</v>
      </c>
      <c r="BK582" s="2" t="s">
        <v>74</v>
      </c>
      <c r="BL582" s="2" t="s">
        <v>74</v>
      </c>
      <c r="BM582" s="2" t="s">
        <v>74</v>
      </c>
      <c r="BN582" s="2" t="s">
        <v>74</v>
      </c>
      <c r="BO582" s="2" t="s">
        <v>74</v>
      </c>
      <c r="BP582" s="2" t="s">
        <v>74</v>
      </c>
      <c r="BQ582" s="2" t="s">
        <v>74</v>
      </c>
      <c r="BR582" s="2" t="s">
        <v>74</v>
      </c>
      <c r="BS582" s="2" t="s">
        <v>6973</v>
      </c>
      <c r="BT582" s="2" t="str">
        <f>HYPERLINK("https%3A%2F%2Fwww.webofscience.com%2Fwos%2Fwoscc%2Ffull-record%2FWOS:000702265500001","View Full Record in Web of Science")</f>
        <v>View Full Record in Web of Science</v>
      </c>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row>
    <row r="583" spans="1:314" s="2" customFormat="1" x14ac:dyDescent="0.4">
      <c r="A583" s="2" t="s">
        <v>72</v>
      </c>
      <c r="B583" s="2" t="s">
        <v>1427</v>
      </c>
      <c r="C583" s="2" t="s">
        <v>74</v>
      </c>
      <c r="D583" s="2" t="s">
        <v>74</v>
      </c>
      <c r="E583" s="2" t="s">
        <v>74</v>
      </c>
      <c r="F583" s="2" t="s">
        <v>1428</v>
      </c>
      <c r="G583" s="2" t="s">
        <v>74</v>
      </c>
      <c r="H583" s="2" t="s">
        <v>74</v>
      </c>
      <c r="I583" s="2" t="s">
        <v>1429</v>
      </c>
      <c r="J583" s="2" t="s">
        <v>140</v>
      </c>
      <c r="K583" s="2" t="s">
        <v>74</v>
      </c>
      <c r="L583" s="2" t="s">
        <v>74</v>
      </c>
      <c r="M583" s="2" t="s">
        <v>74</v>
      </c>
      <c r="N583" s="2" t="s">
        <v>74</v>
      </c>
      <c r="O583" s="2" t="s">
        <v>74</v>
      </c>
      <c r="P583" s="2" t="s">
        <v>74</v>
      </c>
      <c r="Q583" s="2" t="s">
        <v>74</v>
      </c>
      <c r="R583" s="2" t="s">
        <v>74</v>
      </c>
      <c r="S583" s="2" t="s">
        <v>74</v>
      </c>
      <c r="T583" s="2" t="s">
        <v>74</v>
      </c>
      <c r="U583" s="2" t="s">
        <v>74</v>
      </c>
      <c r="V583" s="5" t="s">
        <v>1430</v>
      </c>
      <c r="W583" s="2" t="s">
        <v>74</v>
      </c>
      <c r="X583" s="2" t="s">
        <v>74</v>
      </c>
      <c r="Y583" s="2" t="s">
        <v>74</v>
      </c>
      <c r="Z583" s="2" t="s">
        <v>74</v>
      </c>
      <c r="AA583" s="2" t="s">
        <v>1431</v>
      </c>
      <c r="AB583" s="2" t="s">
        <v>1432</v>
      </c>
      <c r="AC583" s="2" t="s">
        <v>74</v>
      </c>
      <c r="AD583" s="2" t="s">
        <v>74</v>
      </c>
      <c r="AE583" s="2" t="s">
        <v>74</v>
      </c>
      <c r="AF583" s="2" t="s">
        <v>74</v>
      </c>
      <c r="AG583" s="2" t="s">
        <v>74</v>
      </c>
      <c r="AH583" s="2" t="s">
        <v>74</v>
      </c>
      <c r="AI583" s="2" t="s">
        <v>74</v>
      </c>
      <c r="AJ583" s="2" t="s">
        <v>74</v>
      </c>
      <c r="AK583" s="2" t="s">
        <v>74</v>
      </c>
      <c r="AL583" s="2" t="s">
        <v>74</v>
      </c>
      <c r="AM583" s="2" t="s">
        <v>74</v>
      </c>
      <c r="AN583" s="2" t="s">
        <v>74</v>
      </c>
      <c r="AO583" s="2" t="s">
        <v>143</v>
      </c>
      <c r="AP583" s="2" t="s">
        <v>74</v>
      </c>
      <c r="AQ583" s="2" t="s">
        <v>74</v>
      </c>
      <c r="AR583" s="2" t="s">
        <v>74</v>
      </c>
      <c r="AS583" s="2" t="s">
        <v>74</v>
      </c>
      <c r="AT583" s="2" t="s">
        <v>123</v>
      </c>
      <c r="AU583" s="2">
        <v>2010</v>
      </c>
      <c r="AV583" s="2">
        <v>79</v>
      </c>
      <c r="AW583" s="2">
        <v>3</v>
      </c>
      <c r="AX583" s="2" t="s">
        <v>74</v>
      </c>
      <c r="AY583" s="2" t="s">
        <v>74</v>
      </c>
      <c r="AZ583" s="2" t="s">
        <v>74</v>
      </c>
      <c r="BA583" s="2" t="s">
        <v>74</v>
      </c>
      <c r="BB583" s="2">
        <v>709</v>
      </c>
      <c r="BC583" s="2">
        <v>715</v>
      </c>
      <c r="BD583" s="2" t="s">
        <v>74</v>
      </c>
      <c r="BE583" s="2" t="s">
        <v>1433</v>
      </c>
      <c r="BF583" s="2" t="str">
        <f>HYPERLINK("http://dx.doi.org/10.1016/j.anbehav.2009.12.025","http://dx.doi.org/10.1016/j.anbehav.2009.12.025")</f>
        <v>http://dx.doi.org/10.1016/j.anbehav.2009.12.025</v>
      </c>
      <c r="BG583" s="2" t="s">
        <v>74</v>
      </c>
      <c r="BH583" s="2" t="s">
        <v>74</v>
      </c>
      <c r="BI583" s="2" t="s">
        <v>74</v>
      </c>
      <c r="BJ583" s="2" t="s">
        <v>74</v>
      </c>
      <c r="BK583" s="2" t="s">
        <v>74</v>
      </c>
      <c r="BL583" s="2" t="s">
        <v>74</v>
      </c>
      <c r="BM583" s="2" t="s">
        <v>74</v>
      </c>
      <c r="BN583" s="2" t="s">
        <v>74</v>
      </c>
      <c r="BO583" s="2" t="s">
        <v>74</v>
      </c>
      <c r="BP583" s="2" t="s">
        <v>74</v>
      </c>
      <c r="BQ583" s="2" t="s">
        <v>74</v>
      </c>
      <c r="BR583" s="2" t="s">
        <v>74</v>
      </c>
      <c r="BS583" s="2" t="s">
        <v>1434</v>
      </c>
      <c r="BT583" s="2" t="str">
        <f>HYPERLINK("https%3A%2F%2Fwww.webofscience.com%2Fwos%2Fwoscc%2Ffull-record%2FWOS:000274587400025","View Full Record in Web of Science")</f>
        <v>View Full Record in Web of Science</v>
      </c>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row>
    <row r="584" spans="1:314" s="2" customFormat="1" x14ac:dyDescent="0.4">
      <c r="A584" s="2" t="s">
        <v>72</v>
      </c>
      <c r="B584" s="2" t="s">
        <v>6442</v>
      </c>
      <c r="C584" s="2" t="s">
        <v>74</v>
      </c>
      <c r="D584" s="2" t="s">
        <v>74</v>
      </c>
      <c r="E584" s="2" t="s">
        <v>74</v>
      </c>
      <c r="F584" s="2" t="s">
        <v>6443</v>
      </c>
      <c r="G584" s="2" t="s">
        <v>74</v>
      </c>
      <c r="H584" s="2" t="s">
        <v>74</v>
      </c>
      <c r="I584" s="2" t="s">
        <v>6444</v>
      </c>
      <c r="J584" s="2" t="s">
        <v>6445</v>
      </c>
      <c r="K584" s="2" t="s">
        <v>74</v>
      </c>
      <c r="L584" s="2" t="s">
        <v>74</v>
      </c>
      <c r="M584" s="2" t="s">
        <v>74</v>
      </c>
      <c r="N584" s="2" t="s">
        <v>74</v>
      </c>
      <c r="O584" s="2" t="s">
        <v>74</v>
      </c>
      <c r="P584" s="2" t="s">
        <v>74</v>
      </c>
      <c r="Q584" s="2" t="s">
        <v>74</v>
      </c>
      <c r="R584" s="2" t="s">
        <v>74</v>
      </c>
      <c r="S584" s="2" t="s">
        <v>74</v>
      </c>
      <c r="T584" s="2" t="s">
        <v>74</v>
      </c>
      <c r="U584" s="2" t="s">
        <v>74</v>
      </c>
      <c r="V584" s="5" t="s">
        <v>6446</v>
      </c>
      <c r="W584" s="2" t="s">
        <v>74</v>
      </c>
      <c r="X584" s="2" t="s">
        <v>74</v>
      </c>
      <c r="Y584" s="2" t="s">
        <v>74</v>
      </c>
      <c r="Z584" s="2" t="s">
        <v>74</v>
      </c>
      <c r="AA584" s="2" t="s">
        <v>74</v>
      </c>
      <c r="AB584" s="2" t="s">
        <v>74</v>
      </c>
      <c r="AC584" s="2" t="s">
        <v>74</v>
      </c>
      <c r="AD584" s="2" t="s">
        <v>74</v>
      </c>
      <c r="AE584" s="2" t="s">
        <v>74</v>
      </c>
      <c r="AF584" s="2" t="s">
        <v>74</v>
      </c>
      <c r="AG584" s="2" t="s">
        <v>74</v>
      </c>
      <c r="AH584" s="2" t="s">
        <v>74</v>
      </c>
      <c r="AI584" s="2" t="s">
        <v>74</v>
      </c>
      <c r="AJ584" s="2" t="s">
        <v>74</v>
      </c>
      <c r="AK584" s="2" t="s">
        <v>74</v>
      </c>
      <c r="AL584" s="2" t="s">
        <v>74</v>
      </c>
      <c r="AM584" s="2" t="s">
        <v>74</v>
      </c>
      <c r="AN584" s="2" t="s">
        <v>74</v>
      </c>
      <c r="AO584" s="2" t="s">
        <v>6447</v>
      </c>
      <c r="AP584" s="2" t="s">
        <v>6448</v>
      </c>
      <c r="AQ584" s="2" t="s">
        <v>74</v>
      </c>
      <c r="AR584" s="2" t="s">
        <v>74</v>
      </c>
      <c r="AS584" s="2" t="s">
        <v>74</v>
      </c>
      <c r="AT584" s="2" t="s">
        <v>305</v>
      </c>
      <c r="AU584" s="2">
        <v>2023</v>
      </c>
      <c r="AV584" s="2">
        <v>63</v>
      </c>
      <c r="AW584" s="2">
        <v>7</v>
      </c>
      <c r="AX584" s="2" t="s">
        <v>74</v>
      </c>
      <c r="AY584" s="2" t="s">
        <v>74</v>
      </c>
      <c r="AZ584" s="2" t="s">
        <v>848</v>
      </c>
      <c r="BA584" s="2" t="s">
        <v>74</v>
      </c>
      <c r="BB584" s="2">
        <v>1279</v>
      </c>
      <c r="BC584" s="2">
        <v>1296</v>
      </c>
      <c r="BD584" s="2" t="s">
        <v>74</v>
      </c>
      <c r="BE584" s="2" t="s">
        <v>6449</v>
      </c>
      <c r="BF584" s="2" t="str">
        <f>HYPERLINK("http://dx.doi.org/10.1134/S0032945223070081","http://dx.doi.org/10.1134/S0032945223070081")</f>
        <v>http://dx.doi.org/10.1134/S0032945223070081</v>
      </c>
      <c r="BG584" s="2" t="s">
        <v>74</v>
      </c>
      <c r="BH584" s="2" t="s">
        <v>74</v>
      </c>
      <c r="BI584" s="2" t="s">
        <v>74</v>
      </c>
      <c r="BJ584" s="2" t="s">
        <v>74</v>
      </c>
      <c r="BK584" s="2" t="s">
        <v>74</v>
      </c>
      <c r="BL584" s="2" t="s">
        <v>74</v>
      </c>
      <c r="BM584" s="2" t="s">
        <v>74</v>
      </c>
      <c r="BN584" s="2" t="s">
        <v>74</v>
      </c>
      <c r="BO584" s="2" t="s">
        <v>74</v>
      </c>
      <c r="BP584" s="2" t="s">
        <v>74</v>
      </c>
      <c r="BQ584" s="2" t="s">
        <v>74</v>
      </c>
      <c r="BR584" s="2" t="s">
        <v>74</v>
      </c>
      <c r="BS584" s="2" t="s">
        <v>6450</v>
      </c>
      <c r="BT584" s="2" t="str">
        <f>HYPERLINK("https%3A%2F%2Fwww.webofscience.com%2Fwos%2Fwoscc%2Ffull-record%2FWOS:001125556700003","View Full Record in Web of Science")</f>
        <v>View Full Record in Web of Science</v>
      </c>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row>
    <row r="585" spans="1:314" s="2" customFormat="1" x14ac:dyDescent="0.4">
      <c r="A585" s="2" t="s">
        <v>72</v>
      </c>
      <c r="B585" s="2" t="s">
        <v>5448</v>
      </c>
      <c r="C585" s="2" t="s">
        <v>74</v>
      </c>
      <c r="D585" s="2" t="s">
        <v>74</v>
      </c>
      <c r="E585" s="2" t="s">
        <v>74</v>
      </c>
      <c r="F585" s="2" t="s">
        <v>5448</v>
      </c>
      <c r="G585" s="2" t="s">
        <v>74</v>
      </c>
      <c r="H585" s="2" t="s">
        <v>74</v>
      </c>
      <c r="I585" s="2" t="s">
        <v>5449</v>
      </c>
      <c r="J585" s="2" t="s">
        <v>2966</v>
      </c>
      <c r="K585" s="2" t="s">
        <v>74</v>
      </c>
      <c r="L585" s="2" t="s">
        <v>74</v>
      </c>
      <c r="M585" s="2" t="s">
        <v>74</v>
      </c>
      <c r="N585" s="2" t="s">
        <v>74</v>
      </c>
      <c r="O585" s="2" t="s">
        <v>74</v>
      </c>
      <c r="P585" s="2" t="s">
        <v>74</v>
      </c>
      <c r="Q585" s="2" t="s">
        <v>74</v>
      </c>
      <c r="R585" s="2" t="s">
        <v>74</v>
      </c>
      <c r="S585" s="2" t="s">
        <v>74</v>
      </c>
      <c r="T585" s="2" t="s">
        <v>74</v>
      </c>
      <c r="U585" s="2" t="s">
        <v>74</v>
      </c>
      <c r="V585" s="5" t="s">
        <v>5450</v>
      </c>
      <c r="W585" s="2" t="s">
        <v>74</v>
      </c>
      <c r="X585" s="2" t="s">
        <v>74</v>
      </c>
      <c r="Y585" s="2" t="s">
        <v>74</v>
      </c>
      <c r="Z585" s="2" t="s">
        <v>74</v>
      </c>
      <c r="AA585" s="2" t="s">
        <v>74</v>
      </c>
      <c r="AB585" s="2" t="s">
        <v>74</v>
      </c>
      <c r="AC585" s="2" t="s">
        <v>74</v>
      </c>
      <c r="AD585" s="2" t="s">
        <v>74</v>
      </c>
      <c r="AE585" s="2" t="s">
        <v>74</v>
      </c>
      <c r="AF585" s="2" t="s">
        <v>74</v>
      </c>
      <c r="AG585" s="2" t="s">
        <v>74</v>
      </c>
      <c r="AH585" s="2" t="s">
        <v>74</v>
      </c>
      <c r="AI585" s="2" t="s">
        <v>74</v>
      </c>
      <c r="AJ585" s="2" t="s">
        <v>74</v>
      </c>
      <c r="AK585" s="2" t="s">
        <v>74</v>
      </c>
      <c r="AL585" s="2" t="s">
        <v>74</v>
      </c>
      <c r="AM585" s="2" t="s">
        <v>74</v>
      </c>
      <c r="AN585" s="2" t="s">
        <v>74</v>
      </c>
      <c r="AO585" s="2" t="s">
        <v>2968</v>
      </c>
      <c r="AP585" s="2" t="s">
        <v>74</v>
      </c>
      <c r="AQ585" s="2" t="s">
        <v>74</v>
      </c>
      <c r="AR585" s="2" t="s">
        <v>74</v>
      </c>
      <c r="AS585" s="2" t="s">
        <v>74</v>
      </c>
      <c r="AT585" s="2" t="s">
        <v>2492</v>
      </c>
      <c r="AU585" s="2">
        <v>1990</v>
      </c>
      <c r="AV585" s="2">
        <v>37</v>
      </c>
      <c r="AW585" s="2">
        <v>3</v>
      </c>
      <c r="AX585" s="2" t="s">
        <v>74</v>
      </c>
      <c r="AY585" s="2" t="s">
        <v>74</v>
      </c>
      <c r="AZ585" s="2" t="s">
        <v>74</v>
      </c>
      <c r="BA585" s="2" t="s">
        <v>74</v>
      </c>
      <c r="BB585" s="2">
        <v>246</v>
      </c>
      <c r="BC585" s="2">
        <v>255</v>
      </c>
      <c r="BD585" s="2" t="s">
        <v>74</v>
      </c>
      <c r="BE585" s="2" t="s">
        <v>74</v>
      </c>
      <c r="BF585" s="2" t="s">
        <v>74</v>
      </c>
      <c r="BG585" s="2" t="s">
        <v>74</v>
      </c>
      <c r="BH585" s="2" t="s">
        <v>74</v>
      </c>
      <c r="BI585" s="2" t="s">
        <v>74</v>
      </c>
      <c r="BJ585" s="2" t="s">
        <v>74</v>
      </c>
      <c r="BK585" s="2" t="s">
        <v>74</v>
      </c>
      <c r="BL585" s="2" t="s">
        <v>74</v>
      </c>
      <c r="BM585" s="2" t="s">
        <v>74</v>
      </c>
      <c r="BN585" s="2" t="s">
        <v>74</v>
      </c>
      <c r="BO585" s="2" t="s">
        <v>74</v>
      </c>
      <c r="BP585" s="2" t="s">
        <v>74</v>
      </c>
      <c r="BQ585" s="2" t="s">
        <v>74</v>
      </c>
      <c r="BR585" s="2" t="s">
        <v>74</v>
      </c>
      <c r="BS585" s="2" t="s">
        <v>5451</v>
      </c>
      <c r="BT585" s="2" t="str">
        <f>HYPERLINK("https%3A%2F%2Fwww.webofscience.com%2Fwos%2Fwoscc%2Ffull-record%2FWOS:A1990EP23300007","View Full Record in Web of Science")</f>
        <v>View Full Record in Web of Science</v>
      </c>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row>
    <row r="586" spans="1:314" s="2" customFormat="1" x14ac:dyDescent="0.4">
      <c r="A586" s="2" t="s">
        <v>72</v>
      </c>
      <c r="B586" s="2" t="s">
        <v>1321</v>
      </c>
      <c r="C586" s="2" t="s">
        <v>74</v>
      </c>
      <c r="D586" s="2" t="s">
        <v>74</v>
      </c>
      <c r="E586" s="2" t="s">
        <v>74</v>
      </c>
      <c r="F586" s="2" t="s">
        <v>1322</v>
      </c>
      <c r="G586" s="2" t="s">
        <v>74</v>
      </c>
      <c r="H586" s="2" t="s">
        <v>74</v>
      </c>
      <c r="I586" s="2" t="s">
        <v>1323</v>
      </c>
      <c r="J586" s="2" t="s">
        <v>1324</v>
      </c>
      <c r="K586" s="2" t="s">
        <v>74</v>
      </c>
      <c r="L586" s="2" t="s">
        <v>74</v>
      </c>
      <c r="M586" s="2" t="s">
        <v>74</v>
      </c>
      <c r="N586" s="2" t="s">
        <v>74</v>
      </c>
      <c r="O586" s="2" t="s">
        <v>74</v>
      </c>
      <c r="P586" s="2" t="s">
        <v>74</v>
      </c>
      <c r="Q586" s="2" t="s">
        <v>74</v>
      </c>
      <c r="R586" s="2" t="s">
        <v>74</v>
      </c>
      <c r="S586" s="2" t="s">
        <v>74</v>
      </c>
      <c r="T586" s="2" t="s">
        <v>74</v>
      </c>
      <c r="U586" s="2" t="s">
        <v>74</v>
      </c>
      <c r="V586" s="5" t="s">
        <v>1325</v>
      </c>
      <c r="W586" s="2" t="s">
        <v>74</v>
      </c>
      <c r="X586" s="2" t="s">
        <v>74</v>
      </c>
      <c r="Y586" s="2" t="s">
        <v>74</v>
      </c>
      <c r="Z586" s="2" t="s">
        <v>74</v>
      </c>
      <c r="AA586" s="2" t="s">
        <v>1326</v>
      </c>
      <c r="AB586" s="2" t="s">
        <v>1327</v>
      </c>
      <c r="AC586" s="2" t="s">
        <v>74</v>
      </c>
      <c r="AD586" s="2" t="s">
        <v>74</v>
      </c>
      <c r="AE586" s="2" t="s">
        <v>74</v>
      </c>
      <c r="AF586" s="2" t="s">
        <v>74</v>
      </c>
      <c r="AG586" s="2" t="s">
        <v>74</v>
      </c>
      <c r="AH586" s="2" t="s">
        <v>74</v>
      </c>
      <c r="AI586" s="2" t="s">
        <v>74</v>
      </c>
      <c r="AJ586" s="2" t="s">
        <v>74</v>
      </c>
      <c r="AK586" s="2" t="s">
        <v>74</v>
      </c>
      <c r="AL586" s="2" t="s">
        <v>74</v>
      </c>
      <c r="AM586" s="2" t="s">
        <v>74</v>
      </c>
      <c r="AN586" s="2" t="s">
        <v>74</v>
      </c>
      <c r="AO586" s="2" t="s">
        <v>1328</v>
      </c>
      <c r="AP586" s="2" t="s">
        <v>1329</v>
      </c>
      <c r="AQ586" s="2" t="s">
        <v>74</v>
      </c>
      <c r="AR586" s="2" t="s">
        <v>74</v>
      </c>
      <c r="AS586" s="2" t="s">
        <v>74</v>
      </c>
      <c r="AT586" s="2" t="s">
        <v>123</v>
      </c>
      <c r="AU586" s="2">
        <v>2017</v>
      </c>
      <c r="AV586" s="2">
        <v>83</v>
      </c>
      <c r="AW586" s="2">
        <v>2</v>
      </c>
      <c r="AX586" s="2" t="s">
        <v>74</v>
      </c>
      <c r="AY586" s="2" t="s">
        <v>74</v>
      </c>
      <c r="AZ586" s="2" t="s">
        <v>74</v>
      </c>
      <c r="BA586" s="2" t="s">
        <v>74</v>
      </c>
      <c r="BB586" s="2">
        <v>259</v>
      </c>
      <c r="BC586" s="2">
        <v>264</v>
      </c>
      <c r="BD586" s="2" t="s">
        <v>74</v>
      </c>
      <c r="BE586" s="2" t="s">
        <v>1330</v>
      </c>
      <c r="BF586" s="2" t="str">
        <f>HYPERLINK("http://dx.doi.org/10.1007/s12562-017-1062-8","http://dx.doi.org/10.1007/s12562-017-1062-8")</f>
        <v>http://dx.doi.org/10.1007/s12562-017-1062-8</v>
      </c>
      <c r="BG586" s="2" t="s">
        <v>74</v>
      </c>
      <c r="BH586" s="2" t="s">
        <v>74</v>
      </c>
      <c r="BI586" s="2" t="s">
        <v>74</v>
      </c>
      <c r="BJ586" s="2" t="s">
        <v>74</v>
      </c>
      <c r="BK586" s="2" t="s">
        <v>74</v>
      </c>
      <c r="BL586" s="2" t="s">
        <v>74</v>
      </c>
      <c r="BM586" s="2" t="s">
        <v>74</v>
      </c>
      <c r="BN586" s="2" t="s">
        <v>74</v>
      </c>
      <c r="BO586" s="2" t="s">
        <v>74</v>
      </c>
      <c r="BP586" s="2" t="s">
        <v>74</v>
      </c>
      <c r="BQ586" s="2" t="s">
        <v>74</v>
      </c>
      <c r="BR586" s="2" t="s">
        <v>74</v>
      </c>
      <c r="BS586" s="2" t="s">
        <v>1331</v>
      </c>
      <c r="BT586" s="2" t="str">
        <f>HYPERLINK("https%3A%2F%2Fwww.webofscience.com%2Fwos%2Fwoscc%2Ffull-record%2FWOS:000399657400013","View Full Record in Web of Science")</f>
        <v>View Full Record in Web of Science</v>
      </c>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row>
    <row r="587" spans="1:314" s="2" customFormat="1" x14ac:dyDescent="0.4">
      <c r="A587" s="2" t="s">
        <v>72</v>
      </c>
      <c r="B587" s="2" t="s">
        <v>2771</v>
      </c>
      <c r="C587" s="2" t="s">
        <v>74</v>
      </c>
      <c r="D587" s="2" t="s">
        <v>74</v>
      </c>
      <c r="E587" s="2" t="s">
        <v>74</v>
      </c>
      <c r="F587" s="2" t="s">
        <v>2772</v>
      </c>
      <c r="G587" s="2" t="s">
        <v>74</v>
      </c>
      <c r="H587" s="2" t="s">
        <v>74</v>
      </c>
      <c r="I587" s="2" t="s">
        <v>2773</v>
      </c>
      <c r="J587" s="2" t="s">
        <v>88</v>
      </c>
      <c r="K587" s="2" t="s">
        <v>74</v>
      </c>
      <c r="L587" s="2" t="s">
        <v>74</v>
      </c>
      <c r="M587" s="2" t="s">
        <v>74</v>
      </c>
      <c r="N587" s="2" t="s">
        <v>74</v>
      </c>
      <c r="O587" s="2" t="s">
        <v>74</v>
      </c>
      <c r="P587" s="2" t="s">
        <v>74</v>
      </c>
      <c r="Q587" s="2" t="s">
        <v>74</v>
      </c>
      <c r="R587" s="2" t="s">
        <v>74</v>
      </c>
      <c r="S587" s="2" t="s">
        <v>74</v>
      </c>
      <c r="T587" s="2" t="s">
        <v>74</v>
      </c>
      <c r="U587" s="2" t="s">
        <v>74</v>
      </c>
      <c r="V587" s="5" t="s">
        <v>2774</v>
      </c>
      <c r="W587" s="2" t="s">
        <v>74</v>
      </c>
      <c r="X587" s="2" t="s">
        <v>74</v>
      </c>
      <c r="Y587" s="2" t="s">
        <v>74</v>
      </c>
      <c r="Z587" s="2" t="s">
        <v>74</v>
      </c>
      <c r="AA587" s="2" t="s">
        <v>2775</v>
      </c>
      <c r="AB587" s="2" t="s">
        <v>2776</v>
      </c>
      <c r="AC587" s="2" t="s">
        <v>74</v>
      </c>
      <c r="AD587" s="2" t="s">
        <v>74</v>
      </c>
      <c r="AE587" s="2" t="s">
        <v>74</v>
      </c>
      <c r="AF587" s="2" t="s">
        <v>74</v>
      </c>
      <c r="AG587" s="2" t="s">
        <v>74</v>
      </c>
      <c r="AH587" s="2" t="s">
        <v>74</v>
      </c>
      <c r="AI587" s="2" t="s">
        <v>74</v>
      </c>
      <c r="AJ587" s="2" t="s">
        <v>74</v>
      </c>
      <c r="AK587" s="2" t="s">
        <v>74</v>
      </c>
      <c r="AL587" s="2" t="s">
        <v>74</v>
      </c>
      <c r="AM587" s="2" t="s">
        <v>74</v>
      </c>
      <c r="AN587" s="2" t="s">
        <v>74</v>
      </c>
      <c r="AO587" s="2" t="s">
        <v>91</v>
      </c>
      <c r="AP587" s="2" t="s">
        <v>92</v>
      </c>
      <c r="AQ587" s="2" t="s">
        <v>74</v>
      </c>
      <c r="AR587" s="2" t="s">
        <v>74</v>
      </c>
      <c r="AS587" s="2" t="s">
        <v>74</v>
      </c>
      <c r="AT587" s="2" t="s">
        <v>204</v>
      </c>
      <c r="AU587" s="2">
        <v>2017</v>
      </c>
      <c r="AV587" s="2">
        <v>13</v>
      </c>
      <c r="AW587" s="2">
        <v>7</v>
      </c>
      <c r="AX587" s="2" t="s">
        <v>74</v>
      </c>
      <c r="AY587" s="2" t="s">
        <v>74</v>
      </c>
      <c r="AZ587" s="2" t="s">
        <v>74</v>
      </c>
      <c r="BA587" s="2" t="s">
        <v>74</v>
      </c>
      <c r="BB587" s="2" t="s">
        <v>74</v>
      </c>
      <c r="BC587" s="2" t="s">
        <v>74</v>
      </c>
      <c r="BD587" s="2">
        <v>20170242</v>
      </c>
      <c r="BE587" s="2" t="s">
        <v>2777</v>
      </c>
      <c r="BF587" s="2" t="str">
        <f>HYPERLINK("http://dx.doi.org/10.1098/rsbl.2017.0242","http://dx.doi.org/10.1098/rsbl.2017.0242")</f>
        <v>http://dx.doi.org/10.1098/rsbl.2017.0242</v>
      </c>
      <c r="BG587" s="2" t="s">
        <v>74</v>
      </c>
      <c r="BH587" s="2" t="s">
        <v>74</v>
      </c>
      <c r="BI587" s="2" t="s">
        <v>74</v>
      </c>
      <c r="BJ587" s="2" t="s">
        <v>74</v>
      </c>
      <c r="BK587" s="2" t="s">
        <v>74</v>
      </c>
      <c r="BL587" s="2" t="s">
        <v>74</v>
      </c>
      <c r="BM587" s="2" t="s">
        <v>74</v>
      </c>
      <c r="BN587" s="2">
        <v>28724689</v>
      </c>
      <c r="BO587" s="2" t="s">
        <v>74</v>
      </c>
      <c r="BP587" s="2" t="s">
        <v>74</v>
      </c>
      <c r="BQ587" s="2" t="s">
        <v>74</v>
      </c>
      <c r="BR587" s="2" t="s">
        <v>74</v>
      </c>
      <c r="BS587" s="2" t="s">
        <v>2778</v>
      </c>
      <c r="BT587" s="2" t="str">
        <f>HYPERLINK("https%3A%2F%2Fwww.webofscience.com%2Fwos%2Fwoscc%2Ffull-record%2FWOS:000409400700003","View Full Record in Web of Science")</f>
        <v>View Full Record in Web of Science</v>
      </c>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row>
    <row r="588" spans="1:314" s="2" customFormat="1" x14ac:dyDescent="0.4">
      <c r="A588" s="2" t="s">
        <v>72</v>
      </c>
      <c r="B588" s="2" t="s">
        <v>7451</v>
      </c>
      <c r="C588" s="2" t="s">
        <v>74</v>
      </c>
      <c r="D588" s="2" t="s">
        <v>74</v>
      </c>
      <c r="E588" s="2" t="s">
        <v>74</v>
      </c>
      <c r="F588" s="2" t="s">
        <v>7451</v>
      </c>
      <c r="G588" s="2" t="s">
        <v>74</v>
      </c>
      <c r="H588" s="2" t="s">
        <v>74</v>
      </c>
      <c r="I588" s="2" t="s">
        <v>7452</v>
      </c>
      <c r="J588" s="2" t="s">
        <v>129</v>
      </c>
      <c r="K588" s="2" t="s">
        <v>74</v>
      </c>
      <c r="L588" s="2" t="s">
        <v>74</v>
      </c>
      <c r="M588" s="2" t="s">
        <v>74</v>
      </c>
      <c r="N588" s="2" t="s">
        <v>74</v>
      </c>
      <c r="O588" s="2" t="s">
        <v>74</v>
      </c>
      <c r="P588" s="2" t="s">
        <v>74</v>
      </c>
      <c r="Q588" s="2" t="s">
        <v>74</v>
      </c>
      <c r="R588" s="2" t="s">
        <v>74</v>
      </c>
      <c r="S588" s="2" t="s">
        <v>74</v>
      </c>
      <c r="T588" s="2" t="s">
        <v>74</v>
      </c>
      <c r="U588" s="2" t="s">
        <v>74</v>
      </c>
      <c r="V588" s="5" t="s">
        <v>7453</v>
      </c>
      <c r="W588" s="2" t="s">
        <v>74</v>
      </c>
      <c r="X588" s="2" t="s">
        <v>74</v>
      </c>
      <c r="Y588" s="2" t="s">
        <v>74</v>
      </c>
      <c r="Z588" s="2" t="s">
        <v>74</v>
      </c>
      <c r="AA588" s="2" t="s">
        <v>4828</v>
      </c>
      <c r="AB588" s="2" t="s">
        <v>4829</v>
      </c>
      <c r="AC588" s="2" t="s">
        <v>74</v>
      </c>
      <c r="AD588" s="2" t="s">
        <v>74</v>
      </c>
      <c r="AE588" s="2" t="s">
        <v>74</v>
      </c>
      <c r="AF588" s="2" t="s">
        <v>74</v>
      </c>
      <c r="AG588" s="2" t="s">
        <v>74</v>
      </c>
      <c r="AH588" s="2" t="s">
        <v>74</v>
      </c>
      <c r="AI588" s="2" t="s">
        <v>74</v>
      </c>
      <c r="AJ588" s="2" t="s">
        <v>74</v>
      </c>
      <c r="AK588" s="2" t="s">
        <v>74</v>
      </c>
      <c r="AL588" s="2" t="s">
        <v>74</v>
      </c>
      <c r="AM588" s="2" t="s">
        <v>74</v>
      </c>
      <c r="AN588" s="2" t="s">
        <v>74</v>
      </c>
      <c r="AO588" s="2" t="s">
        <v>132</v>
      </c>
      <c r="AP588" s="2" t="s">
        <v>133</v>
      </c>
      <c r="AQ588" s="2" t="s">
        <v>74</v>
      </c>
      <c r="AR588" s="2" t="s">
        <v>74</v>
      </c>
      <c r="AS588" s="2" t="s">
        <v>74</v>
      </c>
      <c r="AT588" s="2" t="s">
        <v>964</v>
      </c>
      <c r="AU588" s="2">
        <v>2000</v>
      </c>
      <c r="AV588" s="2">
        <v>47</v>
      </c>
      <c r="AW588" s="2">
        <v>3</v>
      </c>
      <c r="AX588" s="2" t="s">
        <v>74</v>
      </c>
      <c r="AY588" s="2" t="s">
        <v>74</v>
      </c>
      <c r="AZ588" s="2" t="s">
        <v>74</v>
      </c>
      <c r="BA588" s="2" t="s">
        <v>74</v>
      </c>
      <c r="BB588" s="2">
        <v>164</v>
      </c>
      <c r="BC588" s="2">
        <v>170</v>
      </c>
      <c r="BD588" s="2" t="s">
        <v>74</v>
      </c>
      <c r="BE588" s="2" t="s">
        <v>7454</v>
      </c>
      <c r="BF588" s="2" t="str">
        <f>HYPERLINK("http://dx.doi.org/10.1007/s002650050007","http://dx.doi.org/10.1007/s002650050007")</f>
        <v>http://dx.doi.org/10.1007/s002650050007</v>
      </c>
      <c r="BG588" s="2" t="s">
        <v>74</v>
      </c>
      <c r="BH588" s="2" t="s">
        <v>74</v>
      </c>
      <c r="BI588" s="2" t="s">
        <v>74</v>
      </c>
      <c r="BJ588" s="2" t="s">
        <v>74</v>
      </c>
      <c r="BK588" s="2" t="s">
        <v>74</v>
      </c>
      <c r="BL588" s="2" t="s">
        <v>74</v>
      </c>
      <c r="BM588" s="2" t="s">
        <v>74</v>
      </c>
      <c r="BN588" s="2" t="s">
        <v>74</v>
      </c>
      <c r="BO588" s="2" t="s">
        <v>74</v>
      </c>
      <c r="BP588" s="2" t="s">
        <v>74</v>
      </c>
      <c r="BQ588" s="2" t="s">
        <v>74</v>
      </c>
      <c r="BR588" s="2" t="s">
        <v>74</v>
      </c>
      <c r="BS588" s="2" t="s">
        <v>7455</v>
      </c>
      <c r="BT588" s="2" t="str">
        <f>HYPERLINK("https%3A%2F%2Fwww.webofscience.com%2Fwos%2Fwoscc%2Ffull-record%2FWOS:000085378400007","View Full Record in Web of Science")</f>
        <v>View Full Record in Web of Science</v>
      </c>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row>
    <row r="589" spans="1:314" s="2" customFormat="1" x14ac:dyDescent="0.4">
      <c r="A589" s="2" t="s">
        <v>72</v>
      </c>
      <c r="B589" s="2" t="s">
        <v>1580</v>
      </c>
      <c r="C589" s="2" t="s">
        <v>74</v>
      </c>
      <c r="D589" s="2" t="s">
        <v>74</v>
      </c>
      <c r="E589" s="2" t="s">
        <v>74</v>
      </c>
      <c r="F589" s="2" t="s">
        <v>1580</v>
      </c>
      <c r="G589" s="2" t="s">
        <v>74</v>
      </c>
      <c r="H589" s="2" t="s">
        <v>74</v>
      </c>
      <c r="I589" s="2" t="s">
        <v>1581</v>
      </c>
      <c r="J589" s="2" t="s">
        <v>229</v>
      </c>
      <c r="K589" s="2" t="s">
        <v>74</v>
      </c>
      <c r="L589" s="2" t="s">
        <v>74</v>
      </c>
      <c r="M589" s="2" t="s">
        <v>74</v>
      </c>
      <c r="N589" s="2" t="s">
        <v>74</v>
      </c>
      <c r="O589" s="2" t="s">
        <v>74</v>
      </c>
      <c r="P589" s="2" t="s">
        <v>74</v>
      </c>
      <c r="Q589" s="2" t="s">
        <v>74</v>
      </c>
      <c r="R589" s="2" t="s">
        <v>74</v>
      </c>
      <c r="S589" s="2" t="s">
        <v>74</v>
      </c>
      <c r="T589" s="2" t="s">
        <v>74</v>
      </c>
      <c r="U589" s="2" t="s">
        <v>74</v>
      </c>
      <c r="V589" s="5" t="s">
        <v>1582</v>
      </c>
      <c r="W589" s="2" t="s">
        <v>74</v>
      </c>
      <c r="X589" s="2" t="s">
        <v>74</v>
      </c>
      <c r="Y589" s="2" t="s">
        <v>74</v>
      </c>
      <c r="Z589" s="2" t="s">
        <v>74</v>
      </c>
      <c r="AA589" s="2" t="s">
        <v>74</v>
      </c>
      <c r="AB589" s="2" t="s">
        <v>74</v>
      </c>
      <c r="AC589" s="2" t="s">
        <v>74</v>
      </c>
      <c r="AD589" s="2" t="s">
        <v>74</v>
      </c>
      <c r="AE589" s="2" t="s">
        <v>74</v>
      </c>
      <c r="AF589" s="2" t="s">
        <v>74</v>
      </c>
      <c r="AG589" s="2" t="s">
        <v>74</v>
      </c>
      <c r="AH589" s="2" t="s">
        <v>74</v>
      </c>
      <c r="AI589" s="2" t="s">
        <v>74</v>
      </c>
      <c r="AJ589" s="2" t="s">
        <v>74</v>
      </c>
      <c r="AK589" s="2" t="s">
        <v>74</v>
      </c>
      <c r="AL589" s="2" t="s">
        <v>74</v>
      </c>
      <c r="AM589" s="2" t="s">
        <v>74</v>
      </c>
      <c r="AN589" s="2" t="s">
        <v>74</v>
      </c>
      <c r="AO589" s="2" t="s">
        <v>233</v>
      </c>
      <c r="AP589" s="2" t="s">
        <v>234</v>
      </c>
      <c r="AQ589" s="2" t="s">
        <v>74</v>
      </c>
      <c r="AR589" s="2" t="s">
        <v>74</v>
      </c>
      <c r="AS589" s="2" t="s">
        <v>74</v>
      </c>
      <c r="AT589" s="2" t="s">
        <v>74</v>
      </c>
      <c r="AU589" s="2">
        <v>1988</v>
      </c>
      <c r="AV589" s="2">
        <v>14</v>
      </c>
      <c r="AW589" s="2">
        <v>4</v>
      </c>
      <c r="AX589" s="2" t="s">
        <v>74</v>
      </c>
      <c r="AY589" s="2" t="s">
        <v>74</v>
      </c>
      <c r="AZ589" s="2" t="s">
        <v>74</v>
      </c>
      <c r="BA589" s="2" t="s">
        <v>74</v>
      </c>
      <c r="BB589" s="2">
        <v>245</v>
      </c>
      <c r="BC589" s="2">
        <v>254</v>
      </c>
      <c r="BD589" s="2" t="s">
        <v>74</v>
      </c>
      <c r="BE589" s="2" t="s">
        <v>1583</v>
      </c>
      <c r="BF589" s="2" t="str">
        <f>HYPERLINK("http://dx.doi.org/10.1002/1098-2337(1988)14:4&lt;245::AID-AB2480140403&gt;3.0.CO;2-I","http://dx.doi.org/10.1002/1098-2337(1988)14:4&lt;245::AID-AB2480140403&gt;3.0.CO;2-I")</f>
        <v>http://dx.doi.org/10.1002/1098-2337(1988)14:4&lt;245::AID-AB2480140403&gt;3.0.CO;2-I</v>
      </c>
      <c r="BG589" s="2" t="s">
        <v>74</v>
      </c>
      <c r="BH589" s="2" t="s">
        <v>74</v>
      </c>
      <c r="BI589" s="2" t="s">
        <v>74</v>
      </c>
      <c r="BJ589" s="2" t="s">
        <v>74</v>
      </c>
      <c r="BK589" s="2" t="s">
        <v>74</v>
      </c>
      <c r="BL589" s="2" t="s">
        <v>74</v>
      </c>
      <c r="BM589" s="2" t="s">
        <v>74</v>
      </c>
      <c r="BN589" s="2" t="s">
        <v>74</v>
      </c>
      <c r="BO589" s="2" t="s">
        <v>74</v>
      </c>
      <c r="BP589" s="2" t="s">
        <v>74</v>
      </c>
      <c r="BQ589" s="2" t="s">
        <v>74</v>
      </c>
      <c r="BR589" s="2" t="s">
        <v>74</v>
      </c>
      <c r="BS589" s="2" t="s">
        <v>1584</v>
      </c>
      <c r="BT589" s="2" t="str">
        <f>HYPERLINK("https%3A%2F%2Fwww.webofscience.com%2Fwos%2Fwoscc%2Ffull-record%2FWOS:A1988P800800002","View Full Record in Web of Science")</f>
        <v>View Full Record in Web of Science</v>
      </c>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row>
    <row r="590" spans="1:314" s="2" customFormat="1" x14ac:dyDescent="0.4">
      <c r="A590" s="2" t="s">
        <v>72</v>
      </c>
      <c r="B590" s="2" t="s">
        <v>4251</v>
      </c>
      <c r="C590" s="2" t="s">
        <v>74</v>
      </c>
      <c r="D590" s="2" t="s">
        <v>74</v>
      </c>
      <c r="E590" s="2" t="s">
        <v>74</v>
      </c>
      <c r="F590" s="2" t="s">
        <v>4252</v>
      </c>
      <c r="G590" s="2" t="s">
        <v>74</v>
      </c>
      <c r="H590" s="2" t="s">
        <v>74</v>
      </c>
      <c r="I590" s="2" t="s">
        <v>4253</v>
      </c>
      <c r="J590" s="2" t="s">
        <v>108</v>
      </c>
      <c r="K590" s="2" t="s">
        <v>74</v>
      </c>
      <c r="L590" s="2" t="s">
        <v>74</v>
      </c>
      <c r="M590" s="2" t="s">
        <v>74</v>
      </c>
      <c r="N590" s="2" t="s">
        <v>74</v>
      </c>
      <c r="O590" s="2" t="s">
        <v>74</v>
      </c>
      <c r="P590" s="2" t="s">
        <v>74</v>
      </c>
      <c r="Q590" s="2" t="s">
        <v>74</v>
      </c>
      <c r="R590" s="2" t="s">
        <v>74</v>
      </c>
      <c r="S590" s="2" t="s">
        <v>74</v>
      </c>
      <c r="T590" s="2" t="s">
        <v>74</v>
      </c>
      <c r="U590" s="2" t="s">
        <v>74</v>
      </c>
      <c r="V590" s="5" t="s">
        <v>4254</v>
      </c>
      <c r="W590" s="2" t="s">
        <v>74</v>
      </c>
      <c r="X590" s="2" t="s">
        <v>74</v>
      </c>
      <c r="Y590" s="2" t="s">
        <v>74</v>
      </c>
      <c r="Z590" s="2" t="s">
        <v>74</v>
      </c>
      <c r="AA590" s="2" t="s">
        <v>2184</v>
      </c>
      <c r="AB590" s="2" t="s">
        <v>2806</v>
      </c>
      <c r="AC590" s="2" t="s">
        <v>74</v>
      </c>
      <c r="AD590" s="2" t="s">
        <v>74</v>
      </c>
      <c r="AE590" s="2" t="s">
        <v>74</v>
      </c>
      <c r="AF590" s="2" t="s">
        <v>74</v>
      </c>
      <c r="AG590" s="2" t="s">
        <v>74</v>
      </c>
      <c r="AH590" s="2" t="s">
        <v>74</v>
      </c>
      <c r="AI590" s="2" t="s">
        <v>74</v>
      </c>
      <c r="AJ590" s="2" t="s">
        <v>74</v>
      </c>
      <c r="AK590" s="2" t="s">
        <v>74</v>
      </c>
      <c r="AL590" s="2" t="s">
        <v>74</v>
      </c>
      <c r="AM590" s="2" t="s">
        <v>74</v>
      </c>
      <c r="AN590" s="2" t="s">
        <v>74</v>
      </c>
      <c r="AO590" s="2" t="s">
        <v>111</v>
      </c>
      <c r="AP590" s="2" t="s">
        <v>74</v>
      </c>
      <c r="AQ590" s="2" t="s">
        <v>74</v>
      </c>
      <c r="AR590" s="2" t="s">
        <v>74</v>
      </c>
      <c r="AS590" s="2" t="s">
        <v>74</v>
      </c>
      <c r="AT590" s="2" t="s">
        <v>275</v>
      </c>
      <c r="AU590" s="2">
        <v>2007</v>
      </c>
      <c r="AV590" s="2">
        <v>274</v>
      </c>
      <c r="AW590" s="2">
        <v>1613</v>
      </c>
      <c r="AX590" s="2" t="s">
        <v>74</v>
      </c>
      <c r="AY590" s="2" t="s">
        <v>74</v>
      </c>
      <c r="AZ590" s="2" t="s">
        <v>74</v>
      </c>
      <c r="BA590" s="2" t="s">
        <v>74</v>
      </c>
      <c r="BB590" s="2">
        <v>1043</v>
      </c>
      <c r="BC590" s="2">
        <v>1047</v>
      </c>
      <c r="BD590" s="2" t="s">
        <v>74</v>
      </c>
      <c r="BE590" s="2" t="s">
        <v>4255</v>
      </c>
      <c r="BF590" s="2" t="str">
        <f>HYPERLINK("http://dx.doi.org/10.1098/rspb.2006.0043","http://dx.doi.org/10.1098/rspb.2006.0043")</f>
        <v>http://dx.doi.org/10.1098/rspb.2006.0043</v>
      </c>
      <c r="BG590" s="2" t="s">
        <v>74</v>
      </c>
      <c r="BH590" s="2" t="s">
        <v>74</v>
      </c>
      <c r="BI590" s="2" t="s">
        <v>74</v>
      </c>
      <c r="BJ590" s="2" t="s">
        <v>74</v>
      </c>
      <c r="BK590" s="2" t="s">
        <v>74</v>
      </c>
      <c r="BL590" s="2" t="s">
        <v>74</v>
      </c>
      <c r="BM590" s="2" t="s">
        <v>74</v>
      </c>
      <c r="BN590" s="2">
        <v>17284412</v>
      </c>
      <c r="BO590" s="2" t="s">
        <v>74</v>
      </c>
      <c r="BP590" s="2" t="s">
        <v>74</v>
      </c>
      <c r="BQ590" s="2" t="s">
        <v>74</v>
      </c>
      <c r="BR590" s="2" t="s">
        <v>74</v>
      </c>
      <c r="BS590" s="2" t="s">
        <v>4256</v>
      </c>
      <c r="BT590" s="2" t="str">
        <f>HYPERLINK("https%3A%2F%2Fwww.webofscience.com%2Fwos%2Fwoscc%2Ffull-record%2FWOS:000245472200005","View Full Record in Web of Science")</f>
        <v>View Full Record in Web of Science</v>
      </c>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row>
    <row r="591" spans="1:314" s="2" customFormat="1" x14ac:dyDescent="0.4">
      <c r="A591" s="2" t="s">
        <v>72</v>
      </c>
      <c r="B591" s="2" t="s">
        <v>2803</v>
      </c>
      <c r="C591" s="2" t="s">
        <v>74</v>
      </c>
      <c r="D591" s="2" t="s">
        <v>74</v>
      </c>
      <c r="E591" s="2" t="s">
        <v>74</v>
      </c>
      <c r="F591" s="2" t="s">
        <v>2803</v>
      </c>
      <c r="G591" s="2" t="s">
        <v>74</v>
      </c>
      <c r="H591" s="2" t="s">
        <v>74</v>
      </c>
      <c r="I591" s="2" t="s">
        <v>2804</v>
      </c>
      <c r="J591" s="2" t="s">
        <v>499</v>
      </c>
      <c r="K591" s="2" t="s">
        <v>74</v>
      </c>
      <c r="L591" s="2" t="s">
        <v>74</v>
      </c>
      <c r="M591" s="2" t="s">
        <v>74</v>
      </c>
      <c r="N591" s="2" t="s">
        <v>74</v>
      </c>
      <c r="O591" s="2" t="s">
        <v>74</v>
      </c>
      <c r="P591" s="2" t="s">
        <v>74</v>
      </c>
      <c r="Q591" s="2" t="s">
        <v>74</v>
      </c>
      <c r="R591" s="2" t="s">
        <v>74</v>
      </c>
      <c r="S591" s="2" t="s">
        <v>74</v>
      </c>
      <c r="T591" s="2" t="s">
        <v>74</v>
      </c>
      <c r="U591" s="2" t="s">
        <v>74</v>
      </c>
      <c r="V591" s="5" t="s">
        <v>2805</v>
      </c>
      <c r="W591" s="2" t="s">
        <v>74</v>
      </c>
      <c r="X591" s="2" t="s">
        <v>74</v>
      </c>
      <c r="Y591" s="2" t="s">
        <v>74</v>
      </c>
      <c r="Z591" s="2" t="s">
        <v>74</v>
      </c>
      <c r="AA591" s="2" t="s">
        <v>2184</v>
      </c>
      <c r="AB591" s="2" t="s">
        <v>2806</v>
      </c>
      <c r="AC591" s="2" t="s">
        <v>74</v>
      </c>
      <c r="AD591" s="2" t="s">
        <v>74</v>
      </c>
      <c r="AE591" s="2" t="s">
        <v>74</v>
      </c>
      <c r="AF591" s="2" t="s">
        <v>74</v>
      </c>
      <c r="AG591" s="2" t="s">
        <v>74</v>
      </c>
      <c r="AH591" s="2" t="s">
        <v>74</v>
      </c>
      <c r="AI591" s="2" t="s">
        <v>74</v>
      </c>
      <c r="AJ591" s="2" t="s">
        <v>74</v>
      </c>
      <c r="AK591" s="2" t="s">
        <v>74</v>
      </c>
      <c r="AL591" s="2" t="s">
        <v>74</v>
      </c>
      <c r="AM591" s="2" t="s">
        <v>74</v>
      </c>
      <c r="AN591" s="2" t="s">
        <v>74</v>
      </c>
      <c r="AO591" s="2" t="s">
        <v>503</v>
      </c>
      <c r="AP591" s="2" t="s">
        <v>504</v>
      </c>
      <c r="AQ591" s="2" t="s">
        <v>74</v>
      </c>
      <c r="AR591" s="2" t="s">
        <v>74</v>
      </c>
      <c r="AS591" s="2" t="s">
        <v>74</v>
      </c>
      <c r="AT591" s="2" t="s">
        <v>255</v>
      </c>
      <c r="AU591" s="2">
        <v>2005</v>
      </c>
      <c r="AV591" s="2">
        <v>7</v>
      </c>
      <c r="AW591" s="2">
        <v>1</v>
      </c>
      <c r="AX591" s="2" t="s">
        <v>74</v>
      </c>
      <c r="AY591" s="2" t="s">
        <v>74</v>
      </c>
      <c r="AZ591" s="2" t="s">
        <v>74</v>
      </c>
      <c r="BA591" s="2" t="s">
        <v>74</v>
      </c>
      <c r="BB591" s="2">
        <v>133</v>
      </c>
      <c r="BC591" s="2">
        <v>141</v>
      </c>
      <c r="BD591" s="2" t="s">
        <v>74</v>
      </c>
      <c r="BE591" s="2" t="s">
        <v>74</v>
      </c>
      <c r="BF591" s="2" t="s">
        <v>74</v>
      </c>
      <c r="BG591" s="2" t="s">
        <v>74</v>
      </c>
      <c r="BH591" s="2" t="s">
        <v>74</v>
      </c>
      <c r="BI591" s="2" t="s">
        <v>74</v>
      </c>
      <c r="BJ591" s="2" t="s">
        <v>74</v>
      </c>
      <c r="BK591" s="2" t="s">
        <v>74</v>
      </c>
      <c r="BL591" s="2" t="s">
        <v>74</v>
      </c>
      <c r="BM591" s="2" t="s">
        <v>74</v>
      </c>
      <c r="BN591" s="2" t="s">
        <v>74</v>
      </c>
      <c r="BO591" s="2" t="s">
        <v>74</v>
      </c>
      <c r="BP591" s="2" t="s">
        <v>74</v>
      </c>
      <c r="BQ591" s="2" t="s">
        <v>74</v>
      </c>
      <c r="BR591" s="2" t="s">
        <v>74</v>
      </c>
      <c r="BS591" s="2" t="s">
        <v>2807</v>
      </c>
      <c r="BT591" s="2" t="str">
        <f>HYPERLINK("https%3A%2F%2Fwww.webofscience.com%2Fwos%2Fwoscc%2Ffull-record%2FWOS:000227450800009","View Full Record in Web of Science")</f>
        <v>View Full Record in Web of Science</v>
      </c>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row>
    <row r="592" spans="1:314" s="2" customFormat="1" x14ac:dyDescent="0.4">
      <c r="A592" s="2" t="s">
        <v>72</v>
      </c>
      <c r="B592" s="2" t="s">
        <v>215</v>
      </c>
      <c r="C592" s="2" t="s">
        <v>74</v>
      </c>
      <c r="D592" s="2" t="s">
        <v>74</v>
      </c>
      <c r="E592" s="2" t="s">
        <v>74</v>
      </c>
      <c r="F592" s="2" t="s">
        <v>216</v>
      </c>
      <c r="G592" s="2" t="s">
        <v>74</v>
      </c>
      <c r="H592" s="2" t="s">
        <v>74</v>
      </c>
      <c r="I592" s="2" t="s">
        <v>217</v>
      </c>
      <c r="J592" s="2" t="s">
        <v>218</v>
      </c>
      <c r="K592" s="2" t="s">
        <v>74</v>
      </c>
      <c r="L592" s="2" t="s">
        <v>74</v>
      </c>
      <c r="M592" s="2" t="s">
        <v>74</v>
      </c>
      <c r="N592" s="2" t="s">
        <v>74</v>
      </c>
      <c r="O592" s="2" t="s">
        <v>74</v>
      </c>
      <c r="P592" s="2" t="s">
        <v>74</v>
      </c>
      <c r="Q592" s="2" t="s">
        <v>74</v>
      </c>
      <c r="R592" s="2" t="s">
        <v>74</v>
      </c>
      <c r="S592" s="2" t="s">
        <v>74</v>
      </c>
      <c r="T592" s="2" t="s">
        <v>74</v>
      </c>
      <c r="U592" s="2" t="s">
        <v>74</v>
      </c>
      <c r="V592" s="5" t="s">
        <v>219</v>
      </c>
      <c r="W592" s="2" t="s">
        <v>74</v>
      </c>
      <c r="X592" s="2" t="s">
        <v>74</v>
      </c>
      <c r="Y592" s="2" t="s">
        <v>74</v>
      </c>
      <c r="Z592" s="2" t="s">
        <v>74</v>
      </c>
      <c r="AA592" s="2" t="s">
        <v>74</v>
      </c>
      <c r="AB592" s="2" t="s">
        <v>220</v>
      </c>
      <c r="AC592" s="2" t="s">
        <v>74</v>
      </c>
      <c r="AD592" s="2" t="s">
        <v>74</v>
      </c>
      <c r="AE592" s="2" t="s">
        <v>74</v>
      </c>
      <c r="AF592" s="2" t="s">
        <v>74</v>
      </c>
      <c r="AG592" s="2" t="s">
        <v>74</v>
      </c>
      <c r="AH592" s="2" t="s">
        <v>74</v>
      </c>
      <c r="AI592" s="2" t="s">
        <v>74</v>
      </c>
      <c r="AJ592" s="2" t="s">
        <v>74</v>
      </c>
      <c r="AK592" s="2" t="s">
        <v>74</v>
      </c>
      <c r="AL592" s="2" t="s">
        <v>74</v>
      </c>
      <c r="AM592" s="2" t="s">
        <v>74</v>
      </c>
      <c r="AN592" s="2" t="s">
        <v>74</v>
      </c>
      <c r="AO592" s="2" t="s">
        <v>221</v>
      </c>
      <c r="AP592" s="2" t="s">
        <v>222</v>
      </c>
      <c r="AQ592" s="2" t="s">
        <v>74</v>
      </c>
      <c r="AR592" s="2" t="s">
        <v>74</v>
      </c>
      <c r="AS592" s="2" t="s">
        <v>74</v>
      </c>
      <c r="AT592" s="2" t="s">
        <v>204</v>
      </c>
      <c r="AU592" s="2">
        <v>2021</v>
      </c>
      <c r="AV592" s="2">
        <v>34</v>
      </c>
      <c r="AW592" s="2">
        <v>7</v>
      </c>
      <c r="AX592" s="2" t="s">
        <v>74</v>
      </c>
      <c r="AY592" s="2" t="s">
        <v>74</v>
      </c>
      <c r="AZ592" s="2" t="s">
        <v>74</v>
      </c>
      <c r="BA592" s="2" t="s">
        <v>74</v>
      </c>
      <c r="BB592" s="2">
        <v>1110</v>
      </c>
      <c r="BC592" s="2">
        <v>1124</v>
      </c>
      <c r="BD592" s="2" t="s">
        <v>74</v>
      </c>
      <c r="BE592" s="2" t="s">
        <v>223</v>
      </c>
      <c r="BF592" s="2" t="str">
        <f>HYPERLINK("http://dx.doi.org/10.1111/jeb.13798","http://dx.doi.org/10.1111/jeb.13798")</f>
        <v>http://dx.doi.org/10.1111/jeb.13798</v>
      </c>
      <c r="BG592" s="2" t="s">
        <v>74</v>
      </c>
      <c r="BH592" s="2" t="s">
        <v>224</v>
      </c>
      <c r="BI592" s="2" t="s">
        <v>74</v>
      </c>
      <c r="BJ592" s="2" t="s">
        <v>74</v>
      </c>
      <c r="BK592" s="2" t="s">
        <v>74</v>
      </c>
      <c r="BL592" s="2" t="s">
        <v>74</v>
      </c>
      <c r="BM592" s="2" t="s">
        <v>74</v>
      </c>
      <c r="BN592" s="2">
        <v>33949033</v>
      </c>
      <c r="BO592" s="2" t="s">
        <v>74</v>
      </c>
      <c r="BP592" s="2" t="s">
        <v>74</v>
      </c>
      <c r="BQ592" s="2" t="s">
        <v>74</v>
      </c>
      <c r="BR592" s="2" t="s">
        <v>74</v>
      </c>
      <c r="BS592" s="2" t="s">
        <v>225</v>
      </c>
      <c r="BT592" s="2" t="str">
        <f>HYPERLINK("https%3A%2F%2Fwww.webofscience.com%2Fwos%2Fwoscc%2Ffull-record%2FWOS:000668020400001","View Full Record in Web of Science")</f>
        <v>View Full Record in Web of Science</v>
      </c>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row>
    <row r="593" spans="1:314" s="2" customFormat="1" x14ac:dyDescent="0.4">
      <c r="A593" s="2" t="s">
        <v>72</v>
      </c>
      <c r="B593" s="2" t="s">
        <v>215</v>
      </c>
      <c r="C593" s="2" t="s">
        <v>74</v>
      </c>
      <c r="D593" s="2" t="s">
        <v>74</v>
      </c>
      <c r="E593" s="2" t="s">
        <v>74</v>
      </c>
      <c r="F593" s="2" t="s">
        <v>216</v>
      </c>
      <c r="G593" s="2" t="s">
        <v>74</v>
      </c>
      <c r="H593" s="2" t="s">
        <v>74</v>
      </c>
      <c r="I593" s="2" t="s">
        <v>898</v>
      </c>
      <c r="J593" s="2" t="s">
        <v>312</v>
      </c>
      <c r="K593" s="2" t="s">
        <v>74</v>
      </c>
      <c r="L593" s="2" t="s">
        <v>74</v>
      </c>
      <c r="M593" s="2" t="s">
        <v>74</v>
      </c>
      <c r="N593" s="2" t="s">
        <v>74</v>
      </c>
      <c r="O593" s="2" t="s">
        <v>74</v>
      </c>
      <c r="P593" s="2" t="s">
        <v>74</v>
      </c>
      <c r="Q593" s="2" t="s">
        <v>74</v>
      </c>
      <c r="R593" s="2" t="s">
        <v>74</v>
      </c>
      <c r="S593" s="2" t="s">
        <v>74</v>
      </c>
      <c r="T593" s="2" t="s">
        <v>74</v>
      </c>
      <c r="U593" s="2" t="s">
        <v>74</v>
      </c>
      <c r="V593" s="5" t="s">
        <v>899</v>
      </c>
      <c r="W593" s="2" t="s">
        <v>74</v>
      </c>
      <c r="X593" s="2" t="s">
        <v>74</v>
      </c>
      <c r="Y593" s="2" t="s">
        <v>74</v>
      </c>
      <c r="Z593" s="2" t="s">
        <v>74</v>
      </c>
      <c r="AA593" s="2" t="s">
        <v>74</v>
      </c>
      <c r="AB593" s="2" t="s">
        <v>74</v>
      </c>
      <c r="AC593" s="2" t="s">
        <v>74</v>
      </c>
      <c r="AD593" s="2" t="s">
        <v>74</v>
      </c>
      <c r="AE593" s="2" t="s">
        <v>74</v>
      </c>
      <c r="AF593" s="2" t="s">
        <v>74</v>
      </c>
      <c r="AG593" s="2" t="s">
        <v>74</v>
      </c>
      <c r="AH593" s="2" t="s">
        <v>74</v>
      </c>
      <c r="AI593" s="2" t="s">
        <v>74</v>
      </c>
      <c r="AJ593" s="2" t="s">
        <v>74</v>
      </c>
      <c r="AK593" s="2" t="s">
        <v>74</v>
      </c>
      <c r="AL593" s="2" t="s">
        <v>74</v>
      </c>
      <c r="AM593" s="2" t="s">
        <v>74</v>
      </c>
      <c r="AN593" s="2" t="s">
        <v>74</v>
      </c>
      <c r="AO593" s="2" t="s">
        <v>314</v>
      </c>
      <c r="AP593" s="2" t="s">
        <v>315</v>
      </c>
      <c r="AQ593" s="2" t="s">
        <v>74</v>
      </c>
      <c r="AR593" s="2" t="s">
        <v>74</v>
      </c>
      <c r="AS593" s="2" t="s">
        <v>74</v>
      </c>
      <c r="AT593" s="2" t="s">
        <v>900</v>
      </c>
      <c r="AU593" s="2">
        <v>2023</v>
      </c>
      <c r="AV593" s="2" t="s">
        <v>74</v>
      </c>
      <c r="AW593" s="2" t="s">
        <v>74</v>
      </c>
      <c r="AX593" s="2" t="s">
        <v>74</v>
      </c>
      <c r="AY593" s="2" t="s">
        <v>74</v>
      </c>
      <c r="AZ593" s="2" t="s">
        <v>74</v>
      </c>
      <c r="BA593" s="2" t="s">
        <v>74</v>
      </c>
      <c r="BB593" s="2" t="s">
        <v>74</v>
      </c>
      <c r="BC593" s="2" t="s">
        <v>74</v>
      </c>
      <c r="BD593" s="2" t="s">
        <v>74</v>
      </c>
      <c r="BE593" s="2" t="s">
        <v>901</v>
      </c>
      <c r="BF593" s="2" t="str">
        <f>HYPERLINK("http://dx.doi.org/10.1086/725916","http://dx.doi.org/10.1086/725916")</f>
        <v>http://dx.doi.org/10.1086/725916</v>
      </c>
      <c r="BG593" s="2" t="s">
        <v>74</v>
      </c>
      <c r="BH593" s="2" t="s">
        <v>902</v>
      </c>
      <c r="BI593" s="2" t="s">
        <v>74</v>
      </c>
      <c r="BJ593" s="2" t="s">
        <v>74</v>
      </c>
      <c r="BK593" s="2" t="s">
        <v>74</v>
      </c>
      <c r="BL593" s="2" t="s">
        <v>74</v>
      </c>
      <c r="BM593" s="2" t="s">
        <v>74</v>
      </c>
      <c r="BN593" s="2">
        <v>37792917</v>
      </c>
      <c r="BO593" s="2" t="s">
        <v>74</v>
      </c>
      <c r="BP593" s="2" t="s">
        <v>74</v>
      </c>
      <c r="BQ593" s="2" t="s">
        <v>74</v>
      </c>
      <c r="BR593" s="2" t="s">
        <v>74</v>
      </c>
      <c r="BS593" s="2" t="s">
        <v>903</v>
      </c>
      <c r="BT593" s="2" t="str">
        <f>HYPERLINK("https%3A%2F%2Fwww.webofscience.com%2Fwos%2Fwoscc%2Ffull-record%2FWOS:001168568800001","View Full Record in Web of Science")</f>
        <v>View Full Record in Web of Science</v>
      </c>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row>
    <row r="594" spans="1:314" s="2" customFormat="1" x14ac:dyDescent="0.4">
      <c r="A594" s="2" t="s">
        <v>72</v>
      </c>
      <c r="B594" s="2" t="s">
        <v>564</v>
      </c>
      <c r="C594" s="2" t="s">
        <v>74</v>
      </c>
      <c r="D594" s="2" t="s">
        <v>74</v>
      </c>
      <c r="E594" s="2" t="s">
        <v>74</v>
      </c>
      <c r="F594" s="2" t="s">
        <v>565</v>
      </c>
      <c r="G594" s="2" t="s">
        <v>74</v>
      </c>
      <c r="H594" s="2" t="s">
        <v>74</v>
      </c>
      <c r="I594" s="2" t="s">
        <v>566</v>
      </c>
      <c r="J594" s="2" t="s">
        <v>140</v>
      </c>
      <c r="K594" s="2" t="s">
        <v>74</v>
      </c>
      <c r="L594" s="2" t="s">
        <v>74</v>
      </c>
      <c r="M594" s="2" t="s">
        <v>74</v>
      </c>
      <c r="N594" s="2" t="s">
        <v>74</v>
      </c>
      <c r="O594" s="2" t="s">
        <v>74</v>
      </c>
      <c r="P594" s="2" t="s">
        <v>74</v>
      </c>
      <c r="Q594" s="2" t="s">
        <v>74</v>
      </c>
      <c r="R594" s="2" t="s">
        <v>74</v>
      </c>
      <c r="S594" s="2" t="s">
        <v>74</v>
      </c>
      <c r="T594" s="2" t="s">
        <v>74</v>
      </c>
      <c r="U594" s="2" t="s">
        <v>74</v>
      </c>
      <c r="V594" s="5" t="s">
        <v>567</v>
      </c>
      <c r="W594" s="2" t="s">
        <v>74</v>
      </c>
      <c r="X594" s="2" t="s">
        <v>74</v>
      </c>
      <c r="Y594" s="2" t="s">
        <v>74</v>
      </c>
      <c r="Z594" s="2" t="s">
        <v>74</v>
      </c>
      <c r="AA594" s="2" t="s">
        <v>568</v>
      </c>
      <c r="AB594" s="2" t="s">
        <v>569</v>
      </c>
      <c r="AC594" s="2" t="s">
        <v>74</v>
      </c>
      <c r="AD594" s="2" t="s">
        <v>74</v>
      </c>
      <c r="AE594" s="2" t="s">
        <v>74</v>
      </c>
      <c r="AF594" s="2" t="s">
        <v>74</v>
      </c>
      <c r="AG594" s="2" t="s">
        <v>74</v>
      </c>
      <c r="AH594" s="2" t="s">
        <v>74</v>
      </c>
      <c r="AI594" s="2" t="s">
        <v>74</v>
      </c>
      <c r="AJ594" s="2" t="s">
        <v>74</v>
      </c>
      <c r="AK594" s="2" t="s">
        <v>74</v>
      </c>
      <c r="AL594" s="2" t="s">
        <v>74</v>
      </c>
      <c r="AM594" s="2" t="s">
        <v>74</v>
      </c>
      <c r="AN594" s="2" t="s">
        <v>74</v>
      </c>
      <c r="AO594" s="2" t="s">
        <v>143</v>
      </c>
      <c r="AP594" s="2" t="s">
        <v>144</v>
      </c>
      <c r="AQ594" s="2" t="s">
        <v>74</v>
      </c>
      <c r="AR594" s="2" t="s">
        <v>74</v>
      </c>
      <c r="AS594" s="2" t="s">
        <v>74</v>
      </c>
      <c r="AT594" s="2" t="s">
        <v>102</v>
      </c>
      <c r="AU594" s="2">
        <v>2021</v>
      </c>
      <c r="AV594" s="2">
        <v>176</v>
      </c>
      <c r="AW594" s="2" t="s">
        <v>74</v>
      </c>
      <c r="AX594" s="2" t="s">
        <v>74</v>
      </c>
      <c r="AY594" s="2" t="s">
        <v>74</v>
      </c>
      <c r="AZ594" s="2" t="s">
        <v>74</v>
      </c>
      <c r="BA594" s="2" t="s">
        <v>74</v>
      </c>
      <c r="BB594" s="2">
        <v>157</v>
      </c>
      <c r="BC594" s="2">
        <v>166</v>
      </c>
      <c r="BD594" s="2" t="s">
        <v>74</v>
      </c>
      <c r="BE594" s="2" t="s">
        <v>570</v>
      </c>
      <c r="BF594" s="2" t="str">
        <f>HYPERLINK("http://dx.doi.org/10.1016/j.anbehav.2021.04.006","http://dx.doi.org/10.1016/j.anbehav.2021.04.006")</f>
        <v>http://dx.doi.org/10.1016/j.anbehav.2021.04.006</v>
      </c>
      <c r="BG594" s="2" t="s">
        <v>74</v>
      </c>
      <c r="BH594" s="2" t="s">
        <v>571</v>
      </c>
      <c r="BI594" s="2" t="s">
        <v>74</v>
      </c>
      <c r="BJ594" s="2" t="s">
        <v>74</v>
      </c>
      <c r="BK594" s="2" t="s">
        <v>74</v>
      </c>
      <c r="BL594" s="2" t="s">
        <v>74</v>
      </c>
      <c r="BM594" s="2" t="s">
        <v>74</v>
      </c>
      <c r="BN594" s="2" t="s">
        <v>74</v>
      </c>
      <c r="BO594" s="2" t="s">
        <v>74</v>
      </c>
      <c r="BP594" s="2" t="s">
        <v>74</v>
      </c>
      <c r="BQ594" s="2" t="s">
        <v>74</v>
      </c>
      <c r="BR594" s="2" t="s">
        <v>74</v>
      </c>
      <c r="BS594" s="2" t="s">
        <v>572</v>
      </c>
      <c r="BT594" s="2" t="str">
        <f>HYPERLINK("https%3A%2F%2Fwww.webofscience.com%2Fwos%2Fwoscc%2Ffull-record%2FWOS:000655320000013","View Full Record in Web of Science")</f>
        <v>View Full Record in Web of Science</v>
      </c>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row>
    <row r="595" spans="1:314" s="2" customFormat="1" x14ac:dyDescent="0.4">
      <c r="A595" s="2" t="s">
        <v>72</v>
      </c>
      <c r="B595" s="2" t="s">
        <v>564</v>
      </c>
      <c r="C595" s="2" t="s">
        <v>74</v>
      </c>
      <c r="D595" s="2" t="s">
        <v>74</v>
      </c>
      <c r="E595" s="2" t="s">
        <v>74</v>
      </c>
      <c r="F595" s="2" t="s">
        <v>565</v>
      </c>
      <c r="G595" s="2" t="s">
        <v>74</v>
      </c>
      <c r="H595" s="2" t="s">
        <v>74</v>
      </c>
      <c r="I595" s="2" t="s">
        <v>2557</v>
      </c>
      <c r="J595" s="2" t="s">
        <v>576</v>
      </c>
      <c r="K595" s="2" t="s">
        <v>74</v>
      </c>
      <c r="L595" s="2" t="s">
        <v>74</v>
      </c>
      <c r="M595" s="2" t="s">
        <v>74</v>
      </c>
      <c r="N595" s="2" t="s">
        <v>74</v>
      </c>
      <c r="O595" s="2" t="s">
        <v>74</v>
      </c>
      <c r="P595" s="2" t="s">
        <v>74</v>
      </c>
      <c r="Q595" s="2" t="s">
        <v>74</v>
      </c>
      <c r="R595" s="2" t="s">
        <v>74</v>
      </c>
      <c r="S595" s="2" t="s">
        <v>74</v>
      </c>
      <c r="T595" s="2" t="s">
        <v>74</v>
      </c>
      <c r="U595" s="2" t="s">
        <v>74</v>
      </c>
      <c r="V595" s="5" t="s">
        <v>2558</v>
      </c>
      <c r="W595" s="2" t="s">
        <v>74</v>
      </c>
      <c r="X595" s="2" t="s">
        <v>74</v>
      </c>
      <c r="Y595" s="2" t="s">
        <v>74</v>
      </c>
      <c r="Z595" s="2" t="s">
        <v>74</v>
      </c>
      <c r="AA595" s="2" t="s">
        <v>568</v>
      </c>
      <c r="AB595" s="2" t="s">
        <v>569</v>
      </c>
      <c r="AC595" s="2" t="s">
        <v>74</v>
      </c>
      <c r="AD595" s="2" t="s">
        <v>74</v>
      </c>
      <c r="AE595" s="2" t="s">
        <v>74</v>
      </c>
      <c r="AF595" s="2" t="s">
        <v>74</v>
      </c>
      <c r="AG595" s="2" t="s">
        <v>74</v>
      </c>
      <c r="AH595" s="2" t="s">
        <v>74</v>
      </c>
      <c r="AI595" s="2" t="s">
        <v>74</v>
      </c>
      <c r="AJ595" s="2" t="s">
        <v>74</v>
      </c>
      <c r="AK595" s="2" t="s">
        <v>74</v>
      </c>
      <c r="AL595" s="2" t="s">
        <v>74</v>
      </c>
      <c r="AM595" s="2" t="s">
        <v>74</v>
      </c>
      <c r="AN595" s="2" t="s">
        <v>74</v>
      </c>
      <c r="AO595" s="2" t="s">
        <v>579</v>
      </c>
      <c r="AP595" s="2" t="s">
        <v>580</v>
      </c>
      <c r="AQ595" s="2" t="s">
        <v>74</v>
      </c>
      <c r="AR595" s="2" t="s">
        <v>74</v>
      </c>
      <c r="AS595" s="2" t="s">
        <v>74</v>
      </c>
      <c r="AT595" s="2" t="s">
        <v>175</v>
      </c>
      <c r="AU595" s="2">
        <v>2020</v>
      </c>
      <c r="AV595" s="2">
        <v>34</v>
      </c>
      <c r="AW595" s="2">
        <v>5</v>
      </c>
      <c r="AX595" s="2" t="s">
        <v>74</v>
      </c>
      <c r="AY595" s="2" t="s">
        <v>74</v>
      </c>
      <c r="AZ595" s="2" t="s">
        <v>74</v>
      </c>
      <c r="BA595" s="2" t="s">
        <v>74</v>
      </c>
      <c r="BB595" s="2">
        <v>735</v>
      </c>
      <c r="BC595" s="2">
        <v>743</v>
      </c>
      <c r="BD595" s="2" t="s">
        <v>74</v>
      </c>
      <c r="BE595" s="2" t="s">
        <v>2559</v>
      </c>
      <c r="BF595" s="2" t="str">
        <f>HYPERLINK("http://dx.doi.org/10.1007/s10682-020-10064-y","http://dx.doi.org/10.1007/s10682-020-10064-y")</f>
        <v>http://dx.doi.org/10.1007/s10682-020-10064-y</v>
      </c>
      <c r="BG595" s="2" t="s">
        <v>74</v>
      </c>
      <c r="BH595" s="2" t="s">
        <v>2560</v>
      </c>
      <c r="BI595" s="2" t="s">
        <v>74</v>
      </c>
      <c r="BJ595" s="2" t="s">
        <v>74</v>
      </c>
      <c r="BK595" s="2" t="s">
        <v>74</v>
      </c>
      <c r="BL595" s="2" t="s">
        <v>74</v>
      </c>
      <c r="BM595" s="2" t="s">
        <v>74</v>
      </c>
      <c r="BN595" s="2" t="s">
        <v>74</v>
      </c>
      <c r="BO595" s="2" t="s">
        <v>74</v>
      </c>
      <c r="BP595" s="2" t="s">
        <v>74</v>
      </c>
      <c r="BQ595" s="2" t="s">
        <v>74</v>
      </c>
      <c r="BR595" s="2" t="s">
        <v>74</v>
      </c>
      <c r="BS595" s="2" t="s">
        <v>2561</v>
      </c>
      <c r="BT595" s="2" t="str">
        <f>HYPERLINK("https%3A%2F%2Fwww.webofscience.com%2Fwos%2Fwoscc%2Ffull-record%2FWOS:000555728700001","View Full Record in Web of Science")</f>
        <v>View Full Record in Web of Science</v>
      </c>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row>
    <row r="596" spans="1:314" s="2" customFormat="1" x14ac:dyDescent="0.4">
      <c r="A596" s="2" t="s">
        <v>72</v>
      </c>
      <c r="B596" s="2" t="s">
        <v>5700</v>
      </c>
      <c r="C596" s="2" t="s">
        <v>74</v>
      </c>
      <c r="D596" s="2" t="s">
        <v>74</v>
      </c>
      <c r="E596" s="2" t="s">
        <v>74</v>
      </c>
      <c r="F596" s="2" t="s">
        <v>5700</v>
      </c>
      <c r="G596" s="2" t="s">
        <v>74</v>
      </c>
      <c r="H596" s="2" t="s">
        <v>74</v>
      </c>
      <c r="I596" s="2" t="s">
        <v>5701</v>
      </c>
      <c r="J596" s="2" t="s">
        <v>201</v>
      </c>
      <c r="K596" s="2" t="s">
        <v>74</v>
      </c>
      <c r="L596" s="2" t="s">
        <v>74</v>
      </c>
      <c r="M596" s="2" t="s">
        <v>74</v>
      </c>
      <c r="N596" s="2" t="s">
        <v>74</v>
      </c>
      <c r="O596" s="2" t="s">
        <v>74</v>
      </c>
      <c r="P596" s="2" t="s">
        <v>74</v>
      </c>
      <c r="Q596" s="2" t="s">
        <v>74</v>
      </c>
      <c r="R596" s="2" t="s">
        <v>74</v>
      </c>
      <c r="S596" s="2" t="s">
        <v>74</v>
      </c>
      <c r="T596" s="2" t="s">
        <v>74</v>
      </c>
      <c r="U596" s="2" t="s">
        <v>74</v>
      </c>
      <c r="V596" s="5" t="s">
        <v>5702</v>
      </c>
      <c r="W596" s="2" t="s">
        <v>74</v>
      </c>
      <c r="X596" s="2" t="s">
        <v>74</v>
      </c>
      <c r="Y596" s="2" t="s">
        <v>74</v>
      </c>
      <c r="Z596" s="2" t="s">
        <v>74</v>
      </c>
      <c r="AA596" s="2" t="s">
        <v>5703</v>
      </c>
      <c r="AB596" s="2" t="s">
        <v>5704</v>
      </c>
      <c r="AC596" s="2" t="s">
        <v>74</v>
      </c>
      <c r="AD596" s="2" t="s">
        <v>74</v>
      </c>
      <c r="AE596" s="2" t="s">
        <v>74</v>
      </c>
      <c r="AF596" s="2" t="s">
        <v>74</v>
      </c>
      <c r="AG596" s="2" t="s">
        <v>74</v>
      </c>
      <c r="AH596" s="2" t="s">
        <v>74</v>
      </c>
      <c r="AI596" s="2" t="s">
        <v>74</v>
      </c>
      <c r="AJ596" s="2" t="s">
        <v>74</v>
      </c>
      <c r="AK596" s="2" t="s">
        <v>74</v>
      </c>
      <c r="AL596" s="2" t="s">
        <v>74</v>
      </c>
      <c r="AM596" s="2" t="s">
        <v>74</v>
      </c>
      <c r="AN596" s="2" t="s">
        <v>74</v>
      </c>
      <c r="AO596" s="2" t="s">
        <v>203</v>
      </c>
      <c r="AP596" s="2" t="s">
        <v>1192</v>
      </c>
      <c r="AQ596" s="2" t="s">
        <v>74</v>
      </c>
      <c r="AR596" s="2" t="s">
        <v>74</v>
      </c>
      <c r="AS596" s="2" t="s">
        <v>74</v>
      </c>
      <c r="AT596" s="2" t="s">
        <v>964</v>
      </c>
      <c r="AU596" s="2">
        <v>2006</v>
      </c>
      <c r="AV596" s="2">
        <v>68</v>
      </c>
      <c r="AW596" s="2">
        <v>2</v>
      </c>
      <c r="AX596" s="2" t="s">
        <v>74</v>
      </c>
      <c r="AY596" s="2" t="s">
        <v>74</v>
      </c>
      <c r="AZ596" s="2" t="s">
        <v>74</v>
      </c>
      <c r="BA596" s="2" t="s">
        <v>74</v>
      </c>
      <c r="BB596" s="2">
        <v>373</v>
      </c>
      <c r="BC596" s="2">
        <v>384</v>
      </c>
      <c r="BD596" s="2" t="s">
        <v>74</v>
      </c>
      <c r="BE596" s="2" t="s">
        <v>5705</v>
      </c>
      <c r="BF596" s="2" t="str">
        <f>HYPERLINK("http://dx.doi.org/10.1111/j.0022-1112.2006.00896.x","http://dx.doi.org/10.1111/j.0022-1112.2006.00896.x")</f>
        <v>http://dx.doi.org/10.1111/j.0022-1112.2006.00896.x</v>
      </c>
      <c r="BG596" s="2" t="s">
        <v>74</v>
      </c>
      <c r="BH596" s="2" t="s">
        <v>74</v>
      </c>
      <c r="BI596" s="2" t="s">
        <v>74</v>
      </c>
      <c r="BJ596" s="2" t="s">
        <v>74</v>
      </c>
      <c r="BK596" s="2" t="s">
        <v>74</v>
      </c>
      <c r="BL596" s="2" t="s">
        <v>74</v>
      </c>
      <c r="BM596" s="2" t="s">
        <v>74</v>
      </c>
      <c r="BN596" s="2" t="s">
        <v>74</v>
      </c>
      <c r="BO596" s="2" t="s">
        <v>74</v>
      </c>
      <c r="BP596" s="2" t="s">
        <v>74</v>
      </c>
      <c r="BQ596" s="2" t="s">
        <v>74</v>
      </c>
      <c r="BR596" s="2" t="s">
        <v>74</v>
      </c>
      <c r="BS596" s="2" t="s">
        <v>5706</v>
      </c>
      <c r="BT596" s="2" t="str">
        <f>HYPERLINK("https%3A%2F%2Fwww.webofscience.com%2Fwos%2Fwoscc%2Ffull-record%2FWOS:000235469400003","View Full Record in Web of Science")</f>
        <v>View Full Record in Web of Science</v>
      </c>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row>
    <row r="597" spans="1:314" s="2" customFormat="1" x14ac:dyDescent="0.4">
      <c r="A597" s="2" t="s">
        <v>72</v>
      </c>
      <c r="B597" s="2" t="s">
        <v>8748</v>
      </c>
      <c r="C597" s="2" t="s">
        <v>74</v>
      </c>
      <c r="D597" s="2" t="s">
        <v>74</v>
      </c>
      <c r="E597" s="2" t="s">
        <v>74</v>
      </c>
      <c r="F597" s="2" t="s">
        <v>8749</v>
      </c>
      <c r="G597" s="2" t="s">
        <v>74</v>
      </c>
      <c r="H597" s="2" t="s">
        <v>74</v>
      </c>
      <c r="I597" s="2" t="s">
        <v>8750</v>
      </c>
      <c r="J597" s="2" t="s">
        <v>970</v>
      </c>
      <c r="K597" s="2" t="s">
        <v>74</v>
      </c>
      <c r="L597" s="2" t="s">
        <v>74</v>
      </c>
      <c r="M597" s="2" t="s">
        <v>74</v>
      </c>
      <c r="N597" s="2" t="s">
        <v>74</v>
      </c>
      <c r="O597" s="2" t="s">
        <v>74</v>
      </c>
      <c r="P597" s="2" t="s">
        <v>74</v>
      </c>
      <c r="Q597" s="2" t="s">
        <v>74</v>
      </c>
      <c r="R597" s="2" t="s">
        <v>74</v>
      </c>
      <c r="S597" s="2" t="s">
        <v>74</v>
      </c>
      <c r="T597" s="2" t="s">
        <v>74</v>
      </c>
      <c r="U597" s="2" t="s">
        <v>74</v>
      </c>
      <c r="V597" s="5" t="s">
        <v>8751</v>
      </c>
      <c r="W597" s="2" t="s">
        <v>74</v>
      </c>
      <c r="X597" s="2" t="s">
        <v>74</v>
      </c>
      <c r="Y597" s="2" t="s">
        <v>74</v>
      </c>
      <c r="Z597" s="2" t="s">
        <v>74</v>
      </c>
      <c r="AA597" s="2" t="s">
        <v>8752</v>
      </c>
      <c r="AB597" s="2" t="s">
        <v>8753</v>
      </c>
      <c r="AC597" s="2" t="s">
        <v>74</v>
      </c>
      <c r="AD597" s="2" t="s">
        <v>74</v>
      </c>
      <c r="AE597" s="2" t="s">
        <v>74</v>
      </c>
      <c r="AF597" s="2" t="s">
        <v>74</v>
      </c>
      <c r="AG597" s="2" t="s">
        <v>74</v>
      </c>
      <c r="AH597" s="2" t="s">
        <v>74</v>
      </c>
      <c r="AI597" s="2" t="s">
        <v>74</v>
      </c>
      <c r="AJ597" s="2" t="s">
        <v>74</v>
      </c>
      <c r="AK597" s="2" t="s">
        <v>74</v>
      </c>
      <c r="AL597" s="2" t="s">
        <v>74</v>
      </c>
      <c r="AM597" s="2" t="s">
        <v>74</v>
      </c>
      <c r="AN597" s="2" t="s">
        <v>74</v>
      </c>
      <c r="AO597" s="2" t="s">
        <v>8754</v>
      </c>
      <c r="AP597" s="2" t="s">
        <v>8755</v>
      </c>
      <c r="AQ597" s="2" t="s">
        <v>74</v>
      </c>
      <c r="AR597" s="2" t="s">
        <v>74</v>
      </c>
      <c r="AS597" s="2" t="s">
        <v>74</v>
      </c>
      <c r="AT597" s="2" t="s">
        <v>305</v>
      </c>
      <c r="AU597" s="2">
        <v>2007</v>
      </c>
      <c r="AV597" s="2">
        <v>148</v>
      </c>
      <c r="AW597" s="2" t="s">
        <v>74</v>
      </c>
      <c r="AX597" s="2" t="s">
        <v>74</v>
      </c>
      <c r="AY597" s="2">
        <v>2</v>
      </c>
      <c r="AZ597" s="2" t="s">
        <v>74</v>
      </c>
      <c r="BA597" s="2" t="s">
        <v>74</v>
      </c>
      <c r="BB597" s="2" t="s">
        <v>8756</v>
      </c>
      <c r="BC597" s="2" t="s">
        <v>8757</v>
      </c>
      <c r="BD597" s="2" t="s">
        <v>74</v>
      </c>
      <c r="BE597" s="2" t="s">
        <v>8758</v>
      </c>
      <c r="BF597" s="2" t="str">
        <f>HYPERLINK("http://dx.doi.org/10.1007/s10336-007-0224-3","http://dx.doi.org/10.1007/s10336-007-0224-3")</f>
        <v>http://dx.doi.org/10.1007/s10336-007-0224-3</v>
      </c>
      <c r="BG597" s="2" t="s">
        <v>74</v>
      </c>
      <c r="BH597" s="2" t="s">
        <v>74</v>
      </c>
      <c r="BI597" s="2" t="s">
        <v>74</v>
      </c>
      <c r="BJ597" s="2" t="s">
        <v>74</v>
      </c>
      <c r="BK597" s="2" t="s">
        <v>74</v>
      </c>
      <c r="BL597" s="2" t="s">
        <v>74</v>
      </c>
      <c r="BM597" s="2" t="s">
        <v>74</v>
      </c>
      <c r="BN597" s="2" t="s">
        <v>74</v>
      </c>
      <c r="BO597" s="2" t="s">
        <v>74</v>
      </c>
      <c r="BP597" s="2" t="s">
        <v>74</v>
      </c>
      <c r="BQ597" s="2" t="s">
        <v>74</v>
      </c>
      <c r="BR597" s="2" t="s">
        <v>74</v>
      </c>
      <c r="BS597" s="2" t="s">
        <v>8759</v>
      </c>
      <c r="BT597" s="2" t="str">
        <f>HYPERLINK("https%3A%2F%2Fwww.webofscience.com%2Fwos%2Fwoscc%2Ffull-record%2FWOS:000255199000012","View Full Record in Web of Science")</f>
        <v>View Full Record in Web of Science</v>
      </c>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row>
    <row r="598" spans="1:314" s="7" customFormat="1" x14ac:dyDescent="0.4">
      <c r="A598" s="2" t="s">
        <v>72</v>
      </c>
      <c r="B598" s="2" t="s">
        <v>4693</v>
      </c>
      <c r="C598" s="2" t="s">
        <v>74</v>
      </c>
      <c r="D598" s="2" t="s">
        <v>74</v>
      </c>
      <c r="E598" s="2" t="s">
        <v>74</v>
      </c>
      <c r="F598" s="2" t="s">
        <v>4694</v>
      </c>
      <c r="G598" s="2" t="s">
        <v>74</v>
      </c>
      <c r="H598" s="2" t="s">
        <v>74</v>
      </c>
      <c r="I598" s="2" t="s">
        <v>4695</v>
      </c>
      <c r="J598" s="2" t="s">
        <v>610</v>
      </c>
      <c r="K598" s="2" t="s">
        <v>74</v>
      </c>
      <c r="L598" s="2" t="s">
        <v>74</v>
      </c>
      <c r="M598" s="2" t="s">
        <v>74</v>
      </c>
      <c r="N598" s="2" t="s">
        <v>74</v>
      </c>
      <c r="O598" s="2" t="s">
        <v>74</v>
      </c>
      <c r="P598" s="2" t="s">
        <v>74</v>
      </c>
      <c r="Q598" s="2" t="s">
        <v>74</v>
      </c>
      <c r="R598" s="2" t="s">
        <v>74</v>
      </c>
      <c r="S598" s="2" t="s">
        <v>74</v>
      </c>
      <c r="T598" s="2" t="s">
        <v>74</v>
      </c>
      <c r="U598" s="2" t="s">
        <v>74</v>
      </c>
      <c r="V598" s="5" t="s">
        <v>4696</v>
      </c>
      <c r="W598" s="2" t="s">
        <v>74</v>
      </c>
      <c r="X598" s="2" t="s">
        <v>74</v>
      </c>
      <c r="Y598" s="2" t="s">
        <v>74</v>
      </c>
      <c r="Z598" s="2" t="s">
        <v>74</v>
      </c>
      <c r="AA598" s="2" t="s">
        <v>4697</v>
      </c>
      <c r="AB598" s="2" t="s">
        <v>4698</v>
      </c>
      <c r="AC598" s="2" t="s">
        <v>74</v>
      </c>
      <c r="AD598" s="2" t="s">
        <v>74</v>
      </c>
      <c r="AE598" s="2" t="s">
        <v>74</v>
      </c>
      <c r="AF598" s="2" t="s">
        <v>74</v>
      </c>
      <c r="AG598" s="2" t="s">
        <v>74</v>
      </c>
      <c r="AH598" s="2" t="s">
        <v>74</v>
      </c>
      <c r="AI598" s="2" t="s">
        <v>74</v>
      </c>
      <c r="AJ598" s="2" t="s">
        <v>74</v>
      </c>
      <c r="AK598" s="2" t="s">
        <v>74</v>
      </c>
      <c r="AL598" s="2" t="s">
        <v>74</v>
      </c>
      <c r="AM598" s="2" t="s">
        <v>74</v>
      </c>
      <c r="AN598" s="2" t="s">
        <v>74</v>
      </c>
      <c r="AO598" s="2" t="s">
        <v>614</v>
      </c>
      <c r="AP598" s="2" t="s">
        <v>615</v>
      </c>
      <c r="AQ598" s="2" t="s">
        <v>74</v>
      </c>
      <c r="AR598" s="2" t="s">
        <v>74</v>
      </c>
      <c r="AS598" s="2" t="s">
        <v>74</v>
      </c>
      <c r="AT598" s="2" t="s">
        <v>134</v>
      </c>
      <c r="AU598" s="2">
        <v>2014</v>
      </c>
      <c r="AV598" s="2">
        <v>120</v>
      </c>
      <c r="AW598" s="2">
        <v>5</v>
      </c>
      <c r="AX598" s="2" t="s">
        <v>74</v>
      </c>
      <c r="AY598" s="2" t="s">
        <v>74</v>
      </c>
      <c r="AZ598" s="2" t="s">
        <v>74</v>
      </c>
      <c r="BA598" s="2" t="s">
        <v>74</v>
      </c>
      <c r="BB598" s="2">
        <v>502</v>
      </c>
      <c r="BC598" s="2">
        <v>510</v>
      </c>
      <c r="BD598" s="2" t="s">
        <v>74</v>
      </c>
      <c r="BE598" s="2" t="s">
        <v>4699</v>
      </c>
      <c r="BF598" s="2" t="str">
        <f>HYPERLINK("http://dx.doi.org/10.1111/eth.12224","http://dx.doi.org/10.1111/eth.12224")</f>
        <v>http://dx.doi.org/10.1111/eth.12224</v>
      </c>
      <c r="BG598" s="2" t="s">
        <v>74</v>
      </c>
      <c r="BH598" s="2" t="s">
        <v>74</v>
      </c>
      <c r="BI598" s="2" t="s">
        <v>74</v>
      </c>
      <c r="BJ598" s="2" t="s">
        <v>74</v>
      </c>
      <c r="BK598" s="2" t="s">
        <v>74</v>
      </c>
      <c r="BL598" s="2" t="s">
        <v>74</v>
      </c>
      <c r="BM598" s="2" t="s">
        <v>74</v>
      </c>
      <c r="BN598" s="2" t="s">
        <v>74</v>
      </c>
      <c r="BO598" s="2" t="s">
        <v>74</v>
      </c>
      <c r="BP598" s="2" t="s">
        <v>74</v>
      </c>
      <c r="BQ598" s="2" t="s">
        <v>74</v>
      </c>
      <c r="BR598" s="2" t="s">
        <v>74</v>
      </c>
      <c r="BS598" s="2" t="s">
        <v>4700</v>
      </c>
      <c r="BT598" s="2" t="str">
        <f>HYPERLINK("https%3A%2F%2Fwww.webofscience.com%2Fwos%2Fwoscc%2Ffull-record%2FWOS:000333696100008","View Full Record in Web of Science")</f>
        <v>View Full Record in Web of Science</v>
      </c>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row>
    <row r="599" spans="1:314" s="2" customFormat="1" x14ac:dyDescent="0.4">
      <c r="A599" s="2" t="s">
        <v>72</v>
      </c>
      <c r="B599" s="2" t="s">
        <v>7919</v>
      </c>
      <c r="C599" s="2" t="s">
        <v>74</v>
      </c>
      <c r="D599" s="2" t="s">
        <v>74</v>
      </c>
      <c r="E599" s="2" t="s">
        <v>74</v>
      </c>
      <c r="F599" s="2" t="s">
        <v>7920</v>
      </c>
      <c r="G599" s="2" t="s">
        <v>74</v>
      </c>
      <c r="H599" s="2" t="s">
        <v>74</v>
      </c>
      <c r="I599" s="2" t="s">
        <v>7921</v>
      </c>
      <c r="J599" s="2" t="s">
        <v>7922</v>
      </c>
      <c r="K599" s="2" t="s">
        <v>74</v>
      </c>
      <c r="L599" s="2" t="s">
        <v>74</v>
      </c>
      <c r="M599" s="2" t="s">
        <v>74</v>
      </c>
      <c r="N599" s="2" t="s">
        <v>74</v>
      </c>
      <c r="O599" s="2" t="s">
        <v>74</v>
      </c>
      <c r="P599" s="2" t="s">
        <v>74</v>
      </c>
      <c r="Q599" s="2" t="s">
        <v>74</v>
      </c>
      <c r="R599" s="2" t="s">
        <v>74</v>
      </c>
      <c r="S599" s="2" t="s">
        <v>74</v>
      </c>
      <c r="T599" s="2" t="s">
        <v>74</v>
      </c>
      <c r="U599" s="2" t="s">
        <v>74</v>
      </c>
      <c r="V599" s="5" t="s">
        <v>7923</v>
      </c>
      <c r="W599" s="2" t="s">
        <v>74</v>
      </c>
      <c r="X599" s="2" t="s">
        <v>74</v>
      </c>
      <c r="Y599" s="2" t="s">
        <v>74</v>
      </c>
      <c r="Z599" s="2" t="s">
        <v>74</v>
      </c>
      <c r="AA599" s="2" t="s">
        <v>7924</v>
      </c>
      <c r="AB599" s="2" t="s">
        <v>7925</v>
      </c>
      <c r="AC599" s="2" t="s">
        <v>74</v>
      </c>
      <c r="AD599" s="2" t="s">
        <v>74</v>
      </c>
      <c r="AE599" s="2" t="s">
        <v>74</v>
      </c>
      <c r="AF599" s="2" t="s">
        <v>74</v>
      </c>
      <c r="AG599" s="2" t="s">
        <v>74</v>
      </c>
      <c r="AH599" s="2" t="s">
        <v>74</v>
      </c>
      <c r="AI599" s="2" t="s">
        <v>74</v>
      </c>
      <c r="AJ599" s="2" t="s">
        <v>74</v>
      </c>
      <c r="AK599" s="2" t="s">
        <v>74</v>
      </c>
      <c r="AL599" s="2" t="s">
        <v>74</v>
      </c>
      <c r="AM599" s="2" t="s">
        <v>74</v>
      </c>
      <c r="AN599" s="2" t="s">
        <v>74</v>
      </c>
      <c r="AO599" s="2" t="s">
        <v>7926</v>
      </c>
      <c r="AP599" s="2" t="s">
        <v>7927</v>
      </c>
      <c r="AQ599" s="2" t="s">
        <v>74</v>
      </c>
      <c r="AR599" s="2" t="s">
        <v>74</v>
      </c>
      <c r="AS599" s="2" t="s">
        <v>74</v>
      </c>
      <c r="AT599" s="2" t="s">
        <v>633</v>
      </c>
      <c r="AU599" s="2">
        <v>2022</v>
      </c>
      <c r="AV599" s="2">
        <v>15</v>
      </c>
      <c r="AW599" s="2">
        <v>4</v>
      </c>
      <c r="AX599" s="2" t="s">
        <v>74</v>
      </c>
      <c r="AY599" s="2" t="s">
        <v>74</v>
      </c>
      <c r="AZ599" s="2" t="s">
        <v>74</v>
      </c>
      <c r="BA599" s="2" t="s">
        <v>74</v>
      </c>
      <c r="BB599" s="2">
        <v>751</v>
      </c>
      <c r="BC599" s="2">
        <v>760</v>
      </c>
      <c r="BD599" s="2" t="s">
        <v>74</v>
      </c>
      <c r="BE599" s="2" t="s">
        <v>7928</v>
      </c>
      <c r="BF599" s="2" t="str">
        <f>HYPERLINK("http://dx.doi.org/10.1002/aur.2670","http://dx.doi.org/10.1002/aur.2670")</f>
        <v>http://dx.doi.org/10.1002/aur.2670</v>
      </c>
      <c r="BG599" s="2" t="s">
        <v>74</v>
      </c>
      <c r="BH599" s="2" t="s">
        <v>5497</v>
      </c>
      <c r="BI599" s="2" t="s">
        <v>74</v>
      </c>
      <c r="BJ599" s="2" t="s">
        <v>74</v>
      </c>
      <c r="BK599" s="2" t="s">
        <v>74</v>
      </c>
      <c r="BL599" s="2" t="s">
        <v>74</v>
      </c>
      <c r="BM599" s="2" t="s">
        <v>74</v>
      </c>
      <c r="BN599" s="2">
        <v>35040592</v>
      </c>
      <c r="BO599" s="2" t="s">
        <v>74</v>
      </c>
      <c r="BP599" s="2" t="s">
        <v>74</v>
      </c>
      <c r="BQ599" s="2" t="s">
        <v>74</v>
      </c>
      <c r="BR599" s="2" t="s">
        <v>74</v>
      </c>
      <c r="BS599" s="2" t="s">
        <v>7929</v>
      </c>
      <c r="BT599" s="2" t="str">
        <f>HYPERLINK("https%3A%2F%2Fwww.webofscience.com%2Fwos%2Fwoscc%2Ffull-record%2FWOS:000743515200001","View Full Record in Web of Science")</f>
        <v>View Full Record in Web of Science</v>
      </c>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row>
    <row r="600" spans="1:314" s="2" customFormat="1" x14ac:dyDescent="0.4">
      <c r="A600" s="2" t="s">
        <v>72</v>
      </c>
      <c r="B600" s="2" t="s">
        <v>2720</v>
      </c>
      <c r="C600" s="2" t="s">
        <v>74</v>
      </c>
      <c r="D600" s="2" t="s">
        <v>74</v>
      </c>
      <c r="E600" s="2" t="s">
        <v>74</v>
      </c>
      <c r="F600" s="2" t="s">
        <v>2721</v>
      </c>
      <c r="G600" s="2" t="s">
        <v>74</v>
      </c>
      <c r="H600" s="2" t="s">
        <v>74</v>
      </c>
      <c r="I600" s="2" t="s">
        <v>2722</v>
      </c>
      <c r="J600" s="2" t="s">
        <v>610</v>
      </c>
      <c r="K600" s="2" t="s">
        <v>74</v>
      </c>
      <c r="L600" s="2" t="s">
        <v>74</v>
      </c>
      <c r="M600" s="2" t="s">
        <v>74</v>
      </c>
      <c r="N600" s="2" t="s">
        <v>74</v>
      </c>
      <c r="O600" s="2" t="s">
        <v>74</v>
      </c>
      <c r="P600" s="2" t="s">
        <v>74</v>
      </c>
      <c r="Q600" s="2" t="s">
        <v>74</v>
      </c>
      <c r="R600" s="2" t="s">
        <v>74</v>
      </c>
      <c r="S600" s="2" t="s">
        <v>74</v>
      </c>
      <c r="T600" s="2" t="s">
        <v>74</v>
      </c>
      <c r="U600" s="2" t="s">
        <v>74</v>
      </c>
      <c r="V600" s="5" t="s">
        <v>2723</v>
      </c>
      <c r="W600" s="2" t="s">
        <v>74</v>
      </c>
      <c r="X600" s="2" t="s">
        <v>74</v>
      </c>
      <c r="Y600" s="2" t="s">
        <v>74</v>
      </c>
      <c r="Z600" s="2" t="s">
        <v>74</v>
      </c>
      <c r="AA600" s="2" t="s">
        <v>74</v>
      </c>
      <c r="AB600" s="2" t="s">
        <v>2724</v>
      </c>
      <c r="AC600" s="2" t="s">
        <v>74</v>
      </c>
      <c r="AD600" s="2" t="s">
        <v>74</v>
      </c>
      <c r="AE600" s="2" t="s">
        <v>74</v>
      </c>
      <c r="AF600" s="2" t="s">
        <v>74</v>
      </c>
      <c r="AG600" s="2" t="s">
        <v>74</v>
      </c>
      <c r="AH600" s="2" t="s">
        <v>74</v>
      </c>
      <c r="AI600" s="2" t="s">
        <v>74</v>
      </c>
      <c r="AJ600" s="2" t="s">
        <v>74</v>
      </c>
      <c r="AK600" s="2" t="s">
        <v>74</v>
      </c>
      <c r="AL600" s="2" t="s">
        <v>74</v>
      </c>
      <c r="AM600" s="2" t="s">
        <v>74</v>
      </c>
      <c r="AN600" s="2" t="s">
        <v>74</v>
      </c>
      <c r="AO600" s="2" t="s">
        <v>614</v>
      </c>
      <c r="AP600" s="2" t="s">
        <v>615</v>
      </c>
      <c r="AQ600" s="2" t="s">
        <v>74</v>
      </c>
      <c r="AR600" s="2" t="s">
        <v>74</v>
      </c>
      <c r="AS600" s="2" t="s">
        <v>74</v>
      </c>
      <c r="AT600" s="2" t="s">
        <v>213</v>
      </c>
      <c r="AU600" s="2">
        <v>2023</v>
      </c>
      <c r="AV600" s="2">
        <v>129</v>
      </c>
      <c r="AW600" s="2">
        <v>11</v>
      </c>
      <c r="AX600" s="2" t="s">
        <v>74</v>
      </c>
      <c r="AY600" s="2" t="s">
        <v>74</v>
      </c>
      <c r="AZ600" s="2" t="s">
        <v>74</v>
      </c>
      <c r="BA600" s="2" t="s">
        <v>74</v>
      </c>
      <c r="BB600" s="2">
        <v>612</v>
      </c>
      <c r="BC600" s="2">
        <v>621</v>
      </c>
      <c r="BD600" s="2" t="s">
        <v>74</v>
      </c>
      <c r="BE600" s="2" t="s">
        <v>2725</v>
      </c>
      <c r="BF600" s="2" t="str">
        <f>HYPERLINK("http://dx.doi.org/10.1111/eth.13397","http://dx.doi.org/10.1111/eth.13397")</f>
        <v>http://dx.doi.org/10.1111/eth.13397</v>
      </c>
      <c r="BG600" s="2" t="s">
        <v>74</v>
      </c>
      <c r="BH600" s="2" t="s">
        <v>2726</v>
      </c>
      <c r="BI600" s="2" t="s">
        <v>74</v>
      </c>
      <c r="BJ600" s="2" t="s">
        <v>74</v>
      </c>
      <c r="BK600" s="2" t="s">
        <v>74</v>
      </c>
      <c r="BL600" s="2" t="s">
        <v>74</v>
      </c>
      <c r="BM600" s="2" t="s">
        <v>74</v>
      </c>
      <c r="BN600" s="2" t="s">
        <v>74</v>
      </c>
      <c r="BO600" s="2" t="s">
        <v>74</v>
      </c>
      <c r="BP600" s="2" t="s">
        <v>74</v>
      </c>
      <c r="BQ600" s="2" t="s">
        <v>74</v>
      </c>
      <c r="BR600" s="2" t="s">
        <v>74</v>
      </c>
      <c r="BS600" s="2" t="s">
        <v>2727</v>
      </c>
      <c r="BT600" s="2" t="str">
        <f>HYPERLINK("https%3A%2F%2Fwww.webofscience.com%2Fwos%2Fwoscc%2Ffull-record%2FWOS:001033519800001","View Full Record in Web of Science")</f>
        <v>View Full Record in Web of Science</v>
      </c>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row>
    <row r="601" spans="1:314" s="2" customFormat="1" x14ac:dyDescent="0.4">
      <c r="A601" s="2" t="s">
        <v>72</v>
      </c>
      <c r="B601" s="2" t="s">
        <v>3665</v>
      </c>
      <c r="C601" s="2" t="s">
        <v>74</v>
      </c>
      <c r="D601" s="2" t="s">
        <v>74</v>
      </c>
      <c r="E601" s="2" t="s">
        <v>74</v>
      </c>
      <c r="F601" s="2" t="s">
        <v>3666</v>
      </c>
      <c r="G601" s="2" t="s">
        <v>74</v>
      </c>
      <c r="H601" s="2" t="s">
        <v>74</v>
      </c>
      <c r="I601" s="2" t="s">
        <v>3667</v>
      </c>
      <c r="J601" s="2" t="s">
        <v>475</v>
      </c>
      <c r="K601" s="2" t="s">
        <v>74</v>
      </c>
      <c r="L601" s="2" t="s">
        <v>74</v>
      </c>
      <c r="M601" s="2" t="s">
        <v>74</v>
      </c>
      <c r="N601" s="2" t="s">
        <v>74</v>
      </c>
      <c r="O601" s="2" t="s">
        <v>74</v>
      </c>
      <c r="P601" s="2" t="s">
        <v>74</v>
      </c>
      <c r="Q601" s="2" t="s">
        <v>74</v>
      </c>
      <c r="R601" s="2" t="s">
        <v>74</v>
      </c>
      <c r="S601" s="2" t="s">
        <v>74</v>
      </c>
      <c r="T601" s="2" t="s">
        <v>74</v>
      </c>
      <c r="U601" s="2" t="s">
        <v>74</v>
      </c>
      <c r="V601" s="5" t="s">
        <v>3668</v>
      </c>
      <c r="W601" s="2" t="s">
        <v>74</v>
      </c>
      <c r="X601" s="2" t="s">
        <v>74</v>
      </c>
      <c r="Y601" s="2" t="s">
        <v>74</v>
      </c>
      <c r="Z601" s="2" t="s">
        <v>74</v>
      </c>
      <c r="AA601" s="2" t="s">
        <v>3669</v>
      </c>
      <c r="AB601" s="2" t="s">
        <v>3670</v>
      </c>
      <c r="AC601" s="2" t="s">
        <v>74</v>
      </c>
      <c r="AD601" s="2" t="s">
        <v>74</v>
      </c>
      <c r="AE601" s="2" t="s">
        <v>74</v>
      </c>
      <c r="AF601" s="2" t="s">
        <v>74</v>
      </c>
      <c r="AG601" s="2" t="s">
        <v>74</v>
      </c>
      <c r="AH601" s="2" t="s">
        <v>74</v>
      </c>
      <c r="AI601" s="2" t="s">
        <v>74</v>
      </c>
      <c r="AJ601" s="2" t="s">
        <v>74</v>
      </c>
      <c r="AK601" s="2" t="s">
        <v>74</v>
      </c>
      <c r="AL601" s="2" t="s">
        <v>74</v>
      </c>
      <c r="AM601" s="2" t="s">
        <v>74</v>
      </c>
      <c r="AN601" s="2" t="s">
        <v>74</v>
      </c>
      <c r="AO601" s="2" t="s">
        <v>477</v>
      </c>
      <c r="AP601" s="2" t="s">
        <v>74</v>
      </c>
      <c r="AQ601" s="2" t="s">
        <v>74</v>
      </c>
      <c r="AR601" s="2" t="s">
        <v>74</v>
      </c>
      <c r="AS601" s="2" t="s">
        <v>74</v>
      </c>
      <c r="AT601" s="2" t="s">
        <v>3671</v>
      </c>
      <c r="AU601" s="2">
        <v>2012</v>
      </c>
      <c r="AV601" s="2">
        <v>175</v>
      </c>
      <c r="AW601" s="2">
        <v>2</v>
      </c>
      <c r="AX601" s="2" t="s">
        <v>74</v>
      </c>
      <c r="AY601" s="2" t="s">
        <v>74</v>
      </c>
      <c r="AZ601" s="2" t="s">
        <v>74</v>
      </c>
      <c r="BA601" s="2" t="s">
        <v>74</v>
      </c>
      <c r="BB601" s="2">
        <v>290</v>
      </c>
      <c r="BC601" s="2">
        <v>296</v>
      </c>
      <c r="BD601" s="2" t="s">
        <v>74</v>
      </c>
      <c r="BE601" s="2" t="s">
        <v>3672</v>
      </c>
      <c r="BF601" s="2" t="str">
        <f>HYPERLINK("http://dx.doi.org/10.1016/j.ygcen.2011.11.022","http://dx.doi.org/10.1016/j.ygcen.2011.11.022")</f>
        <v>http://dx.doi.org/10.1016/j.ygcen.2011.11.022</v>
      </c>
      <c r="BG601" s="2" t="s">
        <v>74</v>
      </c>
      <c r="BH601" s="2" t="s">
        <v>74</v>
      </c>
      <c r="BI601" s="2" t="s">
        <v>74</v>
      </c>
      <c r="BJ601" s="2" t="s">
        <v>74</v>
      </c>
      <c r="BK601" s="2" t="s">
        <v>74</v>
      </c>
      <c r="BL601" s="2" t="s">
        <v>74</v>
      </c>
      <c r="BM601" s="2" t="s">
        <v>74</v>
      </c>
      <c r="BN601" s="2">
        <v>22137910</v>
      </c>
      <c r="BO601" s="2" t="s">
        <v>74</v>
      </c>
      <c r="BP601" s="2" t="s">
        <v>74</v>
      </c>
      <c r="BQ601" s="2" t="s">
        <v>74</v>
      </c>
      <c r="BR601" s="2" t="s">
        <v>74</v>
      </c>
      <c r="BS601" s="2" t="s">
        <v>3673</v>
      </c>
      <c r="BT601" s="2" t="str">
        <f>HYPERLINK("https%3A%2F%2Fwww.webofscience.com%2Fwos%2Fwoscc%2Ffull-record%2FWOS:000299137900009","View Full Record in Web of Science")</f>
        <v>View Full Record in Web of Science</v>
      </c>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row>
    <row r="602" spans="1:314" s="1" customFormat="1" x14ac:dyDescent="0.4">
      <c r="A602" s="2" t="s">
        <v>72</v>
      </c>
      <c r="B602" s="2" t="s">
        <v>4573</v>
      </c>
      <c r="C602" s="2" t="s">
        <v>74</v>
      </c>
      <c r="D602" s="2" t="s">
        <v>74</v>
      </c>
      <c r="E602" s="2" t="s">
        <v>74</v>
      </c>
      <c r="F602" s="2" t="s">
        <v>4573</v>
      </c>
      <c r="G602" s="2" t="s">
        <v>74</v>
      </c>
      <c r="H602" s="2" t="s">
        <v>74</v>
      </c>
      <c r="I602" s="2" t="s">
        <v>4574</v>
      </c>
      <c r="J602" s="2" t="s">
        <v>140</v>
      </c>
      <c r="K602" s="2" t="s">
        <v>74</v>
      </c>
      <c r="L602" s="2" t="s">
        <v>74</v>
      </c>
      <c r="M602" s="2" t="s">
        <v>74</v>
      </c>
      <c r="N602" s="2" t="s">
        <v>74</v>
      </c>
      <c r="O602" s="2" t="s">
        <v>74</v>
      </c>
      <c r="P602" s="2" t="s">
        <v>74</v>
      </c>
      <c r="Q602" s="2" t="s">
        <v>74</v>
      </c>
      <c r="R602" s="2" t="s">
        <v>74</v>
      </c>
      <c r="S602" s="2" t="s">
        <v>74</v>
      </c>
      <c r="T602" s="2" t="s">
        <v>74</v>
      </c>
      <c r="U602" s="2" t="s">
        <v>74</v>
      </c>
      <c r="V602" s="5" t="s">
        <v>4575</v>
      </c>
      <c r="W602" s="2" t="s">
        <v>74</v>
      </c>
      <c r="X602" s="2" t="s">
        <v>74</v>
      </c>
      <c r="Y602" s="2" t="s">
        <v>74</v>
      </c>
      <c r="Z602" s="2" t="s">
        <v>74</v>
      </c>
      <c r="AA602" s="2" t="s">
        <v>74</v>
      </c>
      <c r="AB602" s="2" t="s">
        <v>74</v>
      </c>
      <c r="AC602" s="2" t="s">
        <v>74</v>
      </c>
      <c r="AD602" s="2" t="s">
        <v>74</v>
      </c>
      <c r="AE602" s="2" t="s">
        <v>74</v>
      </c>
      <c r="AF602" s="2" t="s">
        <v>74</v>
      </c>
      <c r="AG602" s="2" t="s">
        <v>74</v>
      </c>
      <c r="AH602" s="2" t="s">
        <v>74</v>
      </c>
      <c r="AI602" s="2" t="s">
        <v>74</v>
      </c>
      <c r="AJ602" s="2" t="s">
        <v>74</v>
      </c>
      <c r="AK602" s="2" t="s">
        <v>74</v>
      </c>
      <c r="AL602" s="2" t="s">
        <v>74</v>
      </c>
      <c r="AM602" s="2" t="s">
        <v>74</v>
      </c>
      <c r="AN602" s="2" t="s">
        <v>74</v>
      </c>
      <c r="AO602" s="2" t="s">
        <v>143</v>
      </c>
      <c r="AP602" s="2" t="s">
        <v>144</v>
      </c>
      <c r="AQ602" s="2" t="s">
        <v>74</v>
      </c>
      <c r="AR602" s="2" t="s">
        <v>74</v>
      </c>
      <c r="AS602" s="2" t="s">
        <v>74</v>
      </c>
      <c r="AT602" s="2" t="s">
        <v>74</v>
      </c>
      <c r="AU602" s="2">
        <v>1980</v>
      </c>
      <c r="AV602" s="2">
        <v>28</v>
      </c>
      <c r="AW602" s="2" t="s">
        <v>213</v>
      </c>
      <c r="AX602" s="2" t="s">
        <v>74</v>
      </c>
      <c r="AY602" s="2" t="s">
        <v>74</v>
      </c>
      <c r="AZ602" s="2" t="s">
        <v>74</v>
      </c>
      <c r="BA602" s="2" t="s">
        <v>74</v>
      </c>
      <c r="BB602" s="2">
        <v>1230</v>
      </c>
      <c r="BC602" s="2">
        <v>1238</v>
      </c>
      <c r="BD602" s="2" t="s">
        <v>74</v>
      </c>
      <c r="BE602" s="2" t="s">
        <v>4576</v>
      </c>
      <c r="BF602" s="2" t="str">
        <f>HYPERLINK("http://dx.doi.org/10.1016/S0003-3472(80)80111-4","http://dx.doi.org/10.1016/S0003-3472(80)80111-4")</f>
        <v>http://dx.doi.org/10.1016/S0003-3472(80)80111-4</v>
      </c>
      <c r="BG602" s="2" t="s">
        <v>74</v>
      </c>
      <c r="BH602" s="2" t="s">
        <v>74</v>
      </c>
      <c r="BI602" s="2" t="s">
        <v>74</v>
      </c>
      <c r="BJ602" s="2" t="s">
        <v>74</v>
      </c>
      <c r="BK602" s="2" t="s">
        <v>74</v>
      </c>
      <c r="BL602" s="2" t="s">
        <v>74</v>
      </c>
      <c r="BM602" s="2" t="s">
        <v>74</v>
      </c>
      <c r="BN602" s="2" t="s">
        <v>74</v>
      </c>
      <c r="BO602" s="2" t="s">
        <v>74</v>
      </c>
      <c r="BP602" s="2" t="s">
        <v>74</v>
      </c>
      <c r="BQ602" s="2" t="s">
        <v>74</v>
      </c>
      <c r="BR602" s="2" t="s">
        <v>74</v>
      </c>
      <c r="BS602" s="2" t="s">
        <v>4577</v>
      </c>
      <c r="BT602" s="2" t="str">
        <f>HYPERLINK("https%3A%2F%2Fwww.webofscience.com%2Fwos%2Fwoscc%2Ffull-record%2FWOS:A1980KT55300026","View Full Record in Web of Science")</f>
        <v>View Full Record in Web of Science</v>
      </c>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row>
    <row r="603" spans="1:314" s="1" customFormat="1" x14ac:dyDescent="0.4">
      <c r="A603" s="2" t="s">
        <v>72</v>
      </c>
      <c r="B603" s="2" t="s">
        <v>2757</v>
      </c>
      <c r="C603" s="2" t="s">
        <v>74</v>
      </c>
      <c r="D603" s="2" t="s">
        <v>74</v>
      </c>
      <c r="E603" s="2" t="s">
        <v>74</v>
      </c>
      <c r="F603" s="2" t="s">
        <v>2758</v>
      </c>
      <c r="G603" s="2" t="s">
        <v>74</v>
      </c>
      <c r="H603" s="2" t="s">
        <v>74</v>
      </c>
      <c r="I603" s="2" t="s">
        <v>2759</v>
      </c>
      <c r="J603" s="2" t="s">
        <v>333</v>
      </c>
      <c r="K603" s="2" t="s">
        <v>74</v>
      </c>
      <c r="L603" s="2" t="s">
        <v>74</v>
      </c>
      <c r="M603" s="2" t="s">
        <v>74</v>
      </c>
      <c r="N603" s="2" t="s">
        <v>74</v>
      </c>
      <c r="O603" s="2" t="s">
        <v>74</v>
      </c>
      <c r="P603" s="2" t="s">
        <v>74</v>
      </c>
      <c r="Q603" s="2" t="s">
        <v>74</v>
      </c>
      <c r="R603" s="2" t="s">
        <v>74</v>
      </c>
      <c r="S603" s="2" t="s">
        <v>74</v>
      </c>
      <c r="T603" s="2" t="s">
        <v>74</v>
      </c>
      <c r="U603" s="2" t="s">
        <v>74</v>
      </c>
      <c r="V603" s="5" t="s">
        <v>2760</v>
      </c>
      <c r="W603" s="2" t="s">
        <v>74</v>
      </c>
      <c r="X603" s="2" t="s">
        <v>74</v>
      </c>
      <c r="Y603" s="2" t="s">
        <v>74</v>
      </c>
      <c r="Z603" s="2" t="s">
        <v>74</v>
      </c>
      <c r="AA603" s="2" t="s">
        <v>2761</v>
      </c>
      <c r="AB603" s="2" t="s">
        <v>2762</v>
      </c>
      <c r="AC603" s="2" t="s">
        <v>74</v>
      </c>
      <c r="AD603" s="2" t="s">
        <v>74</v>
      </c>
      <c r="AE603" s="2" t="s">
        <v>74</v>
      </c>
      <c r="AF603" s="2" t="s">
        <v>74</v>
      </c>
      <c r="AG603" s="2" t="s">
        <v>74</v>
      </c>
      <c r="AH603" s="2" t="s">
        <v>74</v>
      </c>
      <c r="AI603" s="2" t="s">
        <v>74</v>
      </c>
      <c r="AJ603" s="2" t="s">
        <v>74</v>
      </c>
      <c r="AK603" s="2" t="s">
        <v>74</v>
      </c>
      <c r="AL603" s="2" t="s">
        <v>74</v>
      </c>
      <c r="AM603" s="2" t="s">
        <v>74</v>
      </c>
      <c r="AN603" s="2" t="s">
        <v>74</v>
      </c>
      <c r="AO603" s="2" t="s">
        <v>337</v>
      </c>
      <c r="AP603" s="2" t="s">
        <v>338</v>
      </c>
      <c r="AQ603" s="2" t="s">
        <v>74</v>
      </c>
      <c r="AR603" s="2" t="s">
        <v>74</v>
      </c>
      <c r="AS603" s="2" t="s">
        <v>74</v>
      </c>
      <c r="AT603" s="2" t="s">
        <v>1038</v>
      </c>
      <c r="AU603" s="2">
        <v>2017</v>
      </c>
      <c r="AV603" s="2">
        <v>28</v>
      </c>
      <c r="AW603" s="2">
        <v>2</v>
      </c>
      <c r="AX603" s="2" t="s">
        <v>74</v>
      </c>
      <c r="AY603" s="2" t="s">
        <v>74</v>
      </c>
      <c r="AZ603" s="2" t="s">
        <v>74</v>
      </c>
      <c r="BA603" s="2" t="s">
        <v>74</v>
      </c>
      <c r="BB603" s="2">
        <v>597</v>
      </c>
      <c r="BC603" s="2">
        <v>606</v>
      </c>
      <c r="BD603" s="2" t="s">
        <v>74</v>
      </c>
      <c r="BE603" s="2" t="s">
        <v>2763</v>
      </c>
      <c r="BF603" s="2" t="str">
        <f>HYPERLINK("http://dx.doi.org/10.1093/beheco/arw186","http://dx.doi.org/10.1093/beheco/arw186")</f>
        <v>http://dx.doi.org/10.1093/beheco/arw186</v>
      </c>
      <c r="BG603" s="2" t="s">
        <v>74</v>
      </c>
      <c r="BH603" s="2" t="s">
        <v>74</v>
      </c>
      <c r="BI603" s="2" t="s">
        <v>74</v>
      </c>
      <c r="BJ603" s="2" t="s">
        <v>74</v>
      </c>
      <c r="BK603" s="2" t="s">
        <v>74</v>
      </c>
      <c r="BL603" s="2" t="s">
        <v>74</v>
      </c>
      <c r="BM603" s="2" t="s">
        <v>74</v>
      </c>
      <c r="BN603" s="2" t="s">
        <v>74</v>
      </c>
      <c r="BO603" s="2" t="s">
        <v>74</v>
      </c>
      <c r="BP603" s="2" t="s">
        <v>74</v>
      </c>
      <c r="BQ603" s="2" t="s">
        <v>74</v>
      </c>
      <c r="BR603" s="2" t="s">
        <v>74</v>
      </c>
      <c r="BS603" s="2" t="s">
        <v>2764</v>
      </c>
      <c r="BT603" s="2" t="str">
        <f>HYPERLINK("https%3A%2F%2Fwww.webofscience.com%2Fwos%2Fwoscc%2Ffull-record%2FWOS:000401769000036","View Full Record in Web of Science")</f>
        <v>View Full Record in Web of Science</v>
      </c>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row>
    <row r="604" spans="1:314" s="2" customFormat="1" x14ac:dyDescent="0.4">
      <c r="A604" s="2" t="s">
        <v>72</v>
      </c>
      <c r="B604" s="2" t="s">
        <v>4886</v>
      </c>
      <c r="C604" s="2" t="s">
        <v>74</v>
      </c>
      <c r="D604" s="2" t="s">
        <v>74</v>
      </c>
      <c r="E604" s="2" t="s">
        <v>74</v>
      </c>
      <c r="F604" s="2" t="s">
        <v>4886</v>
      </c>
      <c r="G604" s="2" t="s">
        <v>74</v>
      </c>
      <c r="H604" s="2" t="s">
        <v>74</v>
      </c>
      <c r="I604" s="2" t="s">
        <v>4887</v>
      </c>
      <c r="J604" s="2" t="s">
        <v>509</v>
      </c>
      <c r="K604" s="2" t="s">
        <v>74</v>
      </c>
      <c r="L604" s="2" t="s">
        <v>74</v>
      </c>
      <c r="M604" s="2" t="s">
        <v>74</v>
      </c>
      <c r="N604" s="2" t="s">
        <v>74</v>
      </c>
      <c r="O604" s="2" t="s">
        <v>74</v>
      </c>
      <c r="P604" s="2" t="s">
        <v>74</v>
      </c>
      <c r="Q604" s="2" t="s">
        <v>74</v>
      </c>
      <c r="R604" s="2" t="s">
        <v>74</v>
      </c>
      <c r="S604" s="2" t="s">
        <v>74</v>
      </c>
      <c r="T604" s="2" t="s">
        <v>74</v>
      </c>
      <c r="U604" s="2" t="s">
        <v>74</v>
      </c>
      <c r="V604" s="5" t="s">
        <v>4888</v>
      </c>
      <c r="W604" s="2" t="s">
        <v>74</v>
      </c>
      <c r="X604" s="2" t="s">
        <v>74</v>
      </c>
      <c r="Y604" s="2" t="s">
        <v>74</v>
      </c>
      <c r="Z604" s="2" t="s">
        <v>74</v>
      </c>
      <c r="AA604" s="2" t="s">
        <v>74</v>
      </c>
      <c r="AB604" s="2" t="s">
        <v>4889</v>
      </c>
      <c r="AC604" s="2" t="s">
        <v>74</v>
      </c>
      <c r="AD604" s="2" t="s">
        <v>74</v>
      </c>
      <c r="AE604" s="2" t="s">
        <v>74</v>
      </c>
      <c r="AF604" s="2" t="s">
        <v>74</v>
      </c>
      <c r="AG604" s="2" t="s">
        <v>74</v>
      </c>
      <c r="AH604" s="2" t="s">
        <v>74</v>
      </c>
      <c r="AI604" s="2" t="s">
        <v>74</v>
      </c>
      <c r="AJ604" s="2" t="s">
        <v>74</v>
      </c>
      <c r="AK604" s="2" t="s">
        <v>74</v>
      </c>
      <c r="AL604" s="2" t="s">
        <v>74</v>
      </c>
      <c r="AM604" s="2" t="s">
        <v>74</v>
      </c>
      <c r="AN604" s="2" t="s">
        <v>74</v>
      </c>
      <c r="AO604" s="2" t="s">
        <v>511</v>
      </c>
      <c r="AP604" s="2" t="s">
        <v>74</v>
      </c>
      <c r="AQ604" s="2" t="s">
        <v>74</v>
      </c>
      <c r="AR604" s="2" t="s">
        <v>74</v>
      </c>
      <c r="AS604" s="2" t="s">
        <v>74</v>
      </c>
      <c r="AT604" s="2" t="s">
        <v>123</v>
      </c>
      <c r="AU604" s="2">
        <v>1995</v>
      </c>
      <c r="AV604" s="2">
        <v>29</v>
      </c>
      <c r="AW604" s="2">
        <v>1</v>
      </c>
      <c r="AX604" s="2" t="s">
        <v>74</v>
      </c>
      <c r="AY604" s="2" t="s">
        <v>74</v>
      </c>
      <c r="AZ604" s="2" t="s">
        <v>74</v>
      </c>
      <c r="BA604" s="2" t="s">
        <v>74</v>
      </c>
      <c r="BB604" s="2">
        <v>85</v>
      </c>
      <c r="BC604" s="2">
        <v>105</v>
      </c>
      <c r="BD604" s="2" t="s">
        <v>74</v>
      </c>
      <c r="BE604" s="2" t="s">
        <v>4890</v>
      </c>
      <c r="BF604" s="2" t="str">
        <f>HYPERLINK("http://dx.doi.org/10.1006/hbeh.1995.1007","http://dx.doi.org/10.1006/hbeh.1995.1007")</f>
        <v>http://dx.doi.org/10.1006/hbeh.1995.1007</v>
      </c>
      <c r="BG604" s="2" t="s">
        <v>74</v>
      </c>
      <c r="BH604" s="2" t="s">
        <v>74</v>
      </c>
      <c r="BI604" s="2" t="s">
        <v>74</v>
      </c>
      <c r="BJ604" s="2" t="s">
        <v>74</v>
      </c>
      <c r="BK604" s="2" t="s">
        <v>74</v>
      </c>
      <c r="BL604" s="2" t="s">
        <v>74</v>
      </c>
      <c r="BM604" s="2" t="s">
        <v>74</v>
      </c>
      <c r="BN604" s="2">
        <v>7782065</v>
      </c>
      <c r="BO604" s="2" t="s">
        <v>74</v>
      </c>
      <c r="BP604" s="2" t="s">
        <v>74</v>
      </c>
      <c r="BQ604" s="2" t="s">
        <v>74</v>
      </c>
      <c r="BR604" s="2" t="s">
        <v>74</v>
      </c>
      <c r="BS604" s="2" t="s">
        <v>4891</v>
      </c>
      <c r="BT604" s="2" t="str">
        <f>HYPERLINK("https%3A%2F%2Fwww.webofscience.com%2Fwos%2Fwoscc%2Ffull-record%2FWOS:A1995QN96000007","View Full Record in Web of Science")</f>
        <v>View Full Record in Web of Science</v>
      </c>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row>
    <row r="605" spans="1:314" s="2" customFormat="1" x14ac:dyDescent="0.4">
      <c r="A605" s="2" t="s">
        <v>72</v>
      </c>
      <c r="B605" s="2" t="s">
        <v>4585</v>
      </c>
      <c r="C605" s="2" t="s">
        <v>74</v>
      </c>
      <c r="D605" s="2" t="s">
        <v>74</v>
      </c>
      <c r="E605" s="2" t="s">
        <v>74</v>
      </c>
      <c r="F605" s="2" t="s">
        <v>4586</v>
      </c>
      <c r="G605" s="2" t="s">
        <v>74</v>
      </c>
      <c r="H605" s="2" t="s">
        <v>74</v>
      </c>
      <c r="I605" s="2" t="s">
        <v>4587</v>
      </c>
      <c r="J605" s="2" t="s">
        <v>218</v>
      </c>
      <c r="K605" s="2" t="s">
        <v>74</v>
      </c>
      <c r="L605" s="2" t="s">
        <v>74</v>
      </c>
      <c r="M605" s="2" t="s">
        <v>74</v>
      </c>
      <c r="N605" s="2" t="s">
        <v>74</v>
      </c>
      <c r="O605" s="2" t="s">
        <v>74</v>
      </c>
      <c r="P605" s="2" t="s">
        <v>74</v>
      </c>
      <c r="Q605" s="2" t="s">
        <v>74</v>
      </c>
      <c r="R605" s="2" t="s">
        <v>74</v>
      </c>
      <c r="S605" s="2" t="s">
        <v>74</v>
      </c>
      <c r="T605" s="2" t="s">
        <v>74</v>
      </c>
      <c r="U605" s="2" t="s">
        <v>74</v>
      </c>
      <c r="V605" s="5" t="s">
        <v>4588</v>
      </c>
      <c r="W605" s="2" t="s">
        <v>74</v>
      </c>
      <c r="X605" s="2" t="s">
        <v>74</v>
      </c>
      <c r="Y605" s="2" t="s">
        <v>74</v>
      </c>
      <c r="Z605" s="2" t="s">
        <v>74</v>
      </c>
      <c r="AA605" s="2" t="s">
        <v>4589</v>
      </c>
      <c r="AB605" s="2" t="s">
        <v>4590</v>
      </c>
      <c r="AC605" s="2" t="s">
        <v>74</v>
      </c>
      <c r="AD605" s="2" t="s">
        <v>74</v>
      </c>
      <c r="AE605" s="2" t="s">
        <v>74</v>
      </c>
      <c r="AF605" s="2" t="s">
        <v>74</v>
      </c>
      <c r="AG605" s="2" t="s">
        <v>74</v>
      </c>
      <c r="AH605" s="2" t="s">
        <v>74</v>
      </c>
      <c r="AI605" s="2" t="s">
        <v>74</v>
      </c>
      <c r="AJ605" s="2" t="s">
        <v>74</v>
      </c>
      <c r="AK605" s="2" t="s">
        <v>74</v>
      </c>
      <c r="AL605" s="2" t="s">
        <v>74</v>
      </c>
      <c r="AM605" s="2" t="s">
        <v>74</v>
      </c>
      <c r="AN605" s="2" t="s">
        <v>74</v>
      </c>
      <c r="AO605" s="2" t="s">
        <v>221</v>
      </c>
      <c r="AP605" s="2" t="s">
        <v>222</v>
      </c>
      <c r="AQ605" s="2" t="s">
        <v>74</v>
      </c>
      <c r="AR605" s="2" t="s">
        <v>74</v>
      </c>
      <c r="AS605" s="2" t="s">
        <v>74</v>
      </c>
      <c r="AT605" s="2" t="s">
        <v>134</v>
      </c>
      <c r="AU605" s="2">
        <v>2020</v>
      </c>
      <c r="AV605" s="2">
        <v>33</v>
      </c>
      <c r="AW605" s="2">
        <v>5</v>
      </c>
      <c r="AX605" s="2" t="s">
        <v>74</v>
      </c>
      <c r="AY605" s="2" t="s">
        <v>74</v>
      </c>
      <c r="AZ605" s="2" t="s">
        <v>74</v>
      </c>
      <c r="BA605" s="2" t="s">
        <v>74</v>
      </c>
      <c r="BB605" s="2">
        <v>727</v>
      </c>
      <c r="BC605" s="2">
        <v>733</v>
      </c>
      <c r="BD605" s="2" t="s">
        <v>74</v>
      </c>
      <c r="BE605" s="2" t="s">
        <v>4591</v>
      </c>
      <c r="BF605" s="2" t="str">
        <f>HYPERLINK("http://dx.doi.org/10.1111/jeb.13607","http://dx.doi.org/10.1111/jeb.13607")</f>
        <v>http://dx.doi.org/10.1111/jeb.13607</v>
      </c>
      <c r="BG605" s="2" t="s">
        <v>74</v>
      </c>
      <c r="BH605" s="2" t="s">
        <v>74</v>
      </c>
      <c r="BI605" s="2" t="s">
        <v>74</v>
      </c>
      <c r="BJ605" s="2" t="s">
        <v>74</v>
      </c>
      <c r="BK605" s="2" t="s">
        <v>74</v>
      </c>
      <c r="BL605" s="2" t="s">
        <v>74</v>
      </c>
      <c r="BM605" s="2" t="s">
        <v>74</v>
      </c>
      <c r="BN605" s="2">
        <v>32069366</v>
      </c>
      <c r="BO605" s="2" t="s">
        <v>74</v>
      </c>
      <c r="BP605" s="2" t="s">
        <v>74</v>
      </c>
      <c r="BQ605" s="2" t="s">
        <v>74</v>
      </c>
      <c r="BR605" s="2" t="s">
        <v>74</v>
      </c>
      <c r="BS605" s="2" t="s">
        <v>4592</v>
      </c>
      <c r="BT605" s="2" t="str">
        <f>HYPERLINK("https%3A%2F%2Fwww.webofscience.com%2Fwos%2Fwoscc%2Ffull-record%2FWOS:000531419500014","View Full Record in Web of Science")</f>
        <v>View Full Record in Web of Science</v>
      </c>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row>
    <row r="606" spans="1:314" s="2" customFormat="1" x14ac:dyDescent="0.4">
      <c r="A606" s="2" t="s">
        <v>72</v>
      </c>
      <c r="B606" s="2" t="s">
        <v>6238</v>
      </c>
      <c r="C606" s="2" t="s">
        <v>74</v>
      </c>
      <c r="D606" s="2" t="s">
        <v>74</v>
      </c>
      <c r="E606" s="2" t="s">
        <v>74</v>
      </c>
      <c r="F606" s="2" t="s">
        <v>6238</v>
      </c>
      <c r="G606" s="2" t="s">
        <v>74</v>
      </c>
      <c r="H606" s="2" t="s">
        <v>74</v>
      </c>
      <c r="I606" s="2" t="s">
        <v>6239</v>
      </c>
      <c r="J606" s="2" t="s">
        <v>6240</v>
      </c>
      <c r="K606" s="2" t="s">
        <v>74</v>
      </c>
      <c r="L606" s="2" t="s">
        <v>74</v>
      </c>
      <c r="M606" s="2" t="s">
        <v>74</v>
      </c>
      <c r="N606" s="2" t="s">
        <v>74</v>
      </c>
      <c r="O606" s="2" t="s">
        <v>74</v>
      </c>
      <c r="P606" s="2" t="s">
        <v>74</v>
      </c>
      <c r="Q606" s="2" t="s">
        <v>74</v>
      </c>
      <c r="R606" s="2" t="s">
        <v>74</v>
      </c>
      <c r="S606" s="2" t="s">
        <v>74</v>
      </c>
      <c r="T606" s="2" t="s">
        <v>74</v>
      </c>
      <c r="U606" s="2" t="s">
        <v>74</v>
      </c>
      <c r="V606" s="5" t="s">
        <v>6241</v>
      </c>
      <c r="W606" s="2" t="s">
        <v>74</v>
      </c>
      <c r="X606" s="2" t="s">
        <v>74</v>
      </c>
      <c r="Y606" s="2" t="s">
        <v>74</v>
      </c>
      <c r="Z606" s="2" t="s">
        <v>74</v>
      </c>
      <c r="AA606" s="2" t="s">
        <v>74</v>
      </c>
      <c r="AB606" s="2" t="s">
        <v>74</v>
      </c>
      <c r="AC606" s="2" t="s">
        <v>74</v>
      </c>
      <c r="AD606" s="2" t="s">
        <v>74</v>
      </c>
      <c r="AE606" s="2" t="s">
        <v>74</v>
      </c>
      <c r="AF606" s="2" t="s">
        <v>74</v>
      </c>
      <c r="AG606" s="2" t="s">
        <v>74</v>
      </c>
      <c r="AH606" s="2" t="s">
        <v>74</v>
      </c>
      <c r="AI606" s="2" t="s">
        <v>74</v>
      </c>
      <c r="AJ606" s="2" t="s">
        <v>74</v>
      </c>
      <c r="AK606" s="2" t="s">
        <v>74</v>
      </c>
      <c r="AL606" s="2" t="s">
        <v>74</v>
      </c>
      <c r="AM606" s="2" t="s">
        <v>74</v>
      </c>
      <c r="AN606" s="2" t="s">
        <v>74</v>
      </c>
      <c r="AO606" s="2" t="s">
        <v>6242</v>
      </c>
      <c r="AP606" s="2" t="s">
        <v>6243</v>
      </c>
      <c r="AQ606" s="2" t="s">
        <v>74</v>
      </c>
      <c r="AR606" s="2" t="s">
        <v>74</v>
      </c>
      <c r="AS606" s="2" t="s">
        <v>74</v>
      </c>
      <c r="AT606" s="2" t="s">
        <v>74</v>
      </c>
      <c r="AU606" s="2">
        <v>1983</v>
      </c>
      <c r="AV606" s="2">
        <v>33</v>
      </c>
      <c r="AW606" s="2">
        <v>2</v>
      </c>
      <c r="AX606" s="2" t="s">
        <v>74</v>
      </c>
      <c r="AY606" s="2" t="s">
        <v>74</v>
      </c>
      <c r="AZ606" s="2" t="s">
        <v>74</v>
      </c>
      <c r="BA606" s="2" t="s">
        <v>74</v>
      </c>
      <c r="BB606" s="2">
        <v>353</v>
      </c>
      <c r="BC606" s="2">
        <v>362</v>
      </c>
      <c r="BD606" s="2" t="s">
        <v>74</v>
      </c>
      <c r="BE606" s="2" t="s">
        <v>74</v>
      </c>
      <c r="BF606" s="2" t="s">
        <v>74</v>
      </c>
      <c r="BG606" s="2" t="s">
        <v>74</v>
      </c>
      <c r="BH606" s="2" t="s">
        <v>74</v>
      </c>
      <c r="BI606" s="2" t="s">
        <v>74</v>
      </c>
      <c r="BJ606" s="2" t="s">
        <v>74</v>
      </c>
      <c r="BK606" s="2" t="s">
        <v>74</v>
      </c>
      <c r="BL606" s="2" t="s">
        <v>74</v>
      </c>
      <c r="BM606" s="2" t="s">
        <v>74</v>
      </c>
      <c r="BN606" s="2" t="s">
        <v>74</v>
      </c>
      <c r="BO606" s="2" t="s">
        <v>74</v>
      </c>
      <c r="BP606" s="2" t="s">
        <v>74</v>
      </c>
      <c r="BQ606" s="2" t="s">
        <v>74</v>
      </c>
      <c r="BR606" s="2" t="s">
        <v>74</v>
      </c>
      <c r="BS606" s="2" t="s">
        <v>6244</v>
      </c>
      <c r="BT606" s="2" t="str">
        <f>HYPERLINK("https%3A%2F%2Fwww.webofscience.com%2Fwos%2Fwoscc%2Ffull-record%2FWOS:A1983QR68900012","View Full Record in Web of Science")</f>
        <v>View Full Record in Web of Science</v>
      </c>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row>
    <row r="607" spans="1:314" s="2" customFormat="1" x14ac:dyDescent="0.4">
      <c r="A607" s="2" t="s">
        <v>72</v>
      </c>
      <c r="B607" s="2" t="s">
        <v>2031</v>
      </c>
      <c r="C607" s="2" t="s">
        <v>74</v>
      </c>
      <c r="D607" s="2" t="s">
        <v>74</v>
      </c>
      <c r="E607" s="2" t="s">
        <v>74</v>
      </c>
      <c r="F607" s="2" t="s">
        <v>2032</v>
      </c>
      <c r="G607" s="2" t="s">
        <v>74</v>
      </c>
      <c r="H607" s="2" t="s">
        <v>74</v>
      </c>
      <c r="I607" s="2" t="s">
        <v>2033</v>
      </c>
      <c r="J607" s="2" t="s">
        <v>218</v>
      </c>
      <c r="K607" s="2" t="s">
        <v>74</v>
      </c>
      <c r="L607" s="2" t="s">
        <v>74</v>
      </c>
      <c r="M607" s="2" t="s">
        <v>74</v>
      </c>
      <c r="N607" s="2" t="s">
        <v>74</v>
      </c>
      <c r="O607" s="2" t="s">
        <v>74</v>
      </c>
      <c r="P607" s="2" t="s">
        <v>74</v>
      </c>
      <c r="Q607" s="2" t="s">
        <v>74</v>
      </c>
      <c r="R607" s="2" t="s">
        <v>74</v>
      </c>
      <c r="S607" s="2" t="s">
        <v>74</v>
      </c>
      <c r="T607" s="2" t="s">
        <v>74</v>
      </c>
      <c r="U607" s="2" t="s">
        <v>74</v>
      </c>
      <c r="V607" s="5" t="s">
        <v>2034</v>
      </c>
      <c r="W607" s="2" t="s">
        <v>74</v>
      </c>
      <c r="X607" s="2" t="s">
        <v>74</v>
      </c>
      <c r="Y607" s="2" t="s">
        <v>74</v>
      </c>
      <c r="Z607" s="2" t="s">
        <v>74</v>
      </c>
      <c r="AA607" s="2" t="s">
        <v>74</v>
      </c>
      <c r="AB607" s="2" t="s">
        <v>2035</v>
      </c>
      <c r="AC607" s="2" t="s">
        <v>74</v>
      </c>
      <c r="AD607" s="2" t="s">
        <v>74</v>
      </c>
      <c r="AE607" s="2" t="s">
        <v>74</v>
      </c>
      <c r="AF607" s="2" t="s">
        <v>74</v>
      </c>
      <c r="AG607" s="2" t="s">
        <v>74</v>
      </c>
      <c r="AH607" s="2" t="s">
        <v>74</v>
      </c>
      <c r="AI607" s="2" t="s">
        <v>74</v>
      </c>
      <c r="AJ607" s="2" t="s">
        <v>74</v>
      </c>
      <c r="AK607" s="2" t="s">
        <v>74</v>
      </c>
      <c r="AL607" s="2" t="s">
        <v>74</v>
      </c>
      <c r="AM607" s="2" t="s">
        <v>74</v>
      </c>
      <c r="AN607" s="2" t="s">
        <v>74</v>
      </c>
      <c r="AO607" s="2" t="s">
        <v>221</v>
      </c>
      <c r="AP607" s="2" t="s">
        <v>222</v>
      </c>
      <c r="AQ607" s="2" t="s">
        <v>74</v>
      </c>
      <c r="AR607" s="2" t="s">
        <v>74</v>
      </c>
      <c r="AS607" s="2" t="s">
        <v>74</v>
      </c>
      <c r="AT607" s="2" t="s">
        <v>2036</v>
      </c>
      <c r="AU607" s="2">
        <v>2024</v>
      </c>
      <c r="AV607" s="2" t="s">
        <v>74</v>
      </c>
      <c r="AW607" s="2" t="s">
        <v>74</v>
      </c>
      <c r="AX607" s="2" t="s">
        <v>74</v>
      </c>
      <c r="AY607" s="2" t="s">
        <v>74</v>
      </c>
      <c r="AZ607" s="2" t="s">
        <v>74</v>
      </c>
      <c r="BA607" s="2" t="s">
        <v>74</v>
      </c>
      <c r="BB607" s="2" t="s">
        <v>74</v>
      </c>
      <c r="BC607" s="2" t="s">
        <v>74</v>
      </c>
      <c r="BD607" s="2" t="s">
        <v>74</v>
      </c>
      <c r="BE607" s="2" t="s">
        <v>2037</v>
      </c>
      <c r="BF607" s="2" t="str">
        <f>HYPERLINK("http://dx.doi.org/10.1093/jeb/voae085","http://dx.doi.org/10.1093/jeb/voae085")</f>
        <v>http://dx.doi.org/10.1093/jeb/voae085</v>
      </c>
      <c r="BG607" s="2" t="s">
        <v>74</v>
      </c>
      <c r="BH607" s="2" t="s">
        <v>869</v>
      </c>
      <c r="BI607" s="2" t="s">
        <v>74</v>
      </c>
      <c r="BJ607" s="2" t="s">
        <v>74</v>
      </c>
      <c r="BK607" s="2" t="s">
        <v>74</v>
      </c>
      <c r="BL607" s="2" t="s">
        <v>74</v>
      </c>
      <c r="BM607" s="2" t="s">
        <v>74</v>
      </c>
      <c r="BN607" s="2">
        <v>38989853</v>
      </c>
      <c r="BO607" s="2" t="s">
        <v>74</v>
      </c>
      <c r="BP607" s="2" t="s">
        <v>74</v>
      </c>
      <c r="BQ607" s="2" t="s">
        <v>74</v>
      </c>
      <c r="BR607" s="2" t="s">
        <v>74</v>
      </c>
      <c r="BS607" s="2" t="s">
        <v>2038</v>
      </c>
      <c r="BT607" s="2" t="str">
        <f>HYPERLINK("https%3A%2F%2Fwww.webofscience.com%2Fwos%2Fwoscc%2Ffull-record%2FWOS:001274409500001","View Full Record in Web of Science")</f>
        <v>View Full Record in Web of Science</v>
      </c>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row>
    <row r="608" spans="1:314" s="2" customFormat="1" x14ac:dyDescent="0.4">
      <c r="A608" s="2" t="s">
        <v>72</v>
      </c>
      <c r="B608" s="2" t="s">
        <v>6769</v>
      </c>
      <c r="C608" s="2" t="s">
        <v>74</v>
      </c>
      <c r="D608" s="2" t="s">
        <v>74</v>
      </c>
      <c r="E608" s="2" t="s">
        <v>74</v>
      </c>
      <c r="F608" s="2" t="s">
        <v>6770</v>
      </c>
      <c r="G608" s="2" t="s">
        <v>74</v>
      </c>
      <c r="H608" s="2" t="s">
        <v>74</v>
      </c>
      <c r="I608" s="2" t="s">
        <v>6771</v>
      </c>
      <c r="J608" s="2" t="s">
        <v>6772</v>
      </c>
      <c r="K608" s="2" t="s">
        <v>74</v>
      </c>
      <c r="L608" s="2" t="s">
        <v>74</v>
      </c>
      <c r="M608" s="2" t="s">
        <v>74</v>
      </c>
      <c r="N608" s="2" t="s">
        <v>74</v>
      </c>
      <c r="O608" s="2" t="s">
        <v>74</v>
      </c>
      <c r="P608" s="2" t="s">
        <v>74</v>
      </c>
      <c r="Q608" s="2" t="s">
        <v>74</v>
      </c>
      <c r="R608" s="2" t="s">
        <v>74</v>
      </c>
      <c r="S608" s="2" t="s">
        <v>74</v>
      </c>
      <c r="T608" s="2" t="s">
        <v>74</v>
      </c>
      <c r="U608" s="2" t="s">
        <v>74</v>
      </c>
      <c r="V608" s="5" t="s">
        <v>6773</v>
      </c>
      <c r="W608" s="2" t="s">
        <v>74</v>
      </c>
      <c r="X608" s="2" t="s">
        <v>74</v>
      </c>
      <c r="Y608" s="2" t="s">
        <v>74</v>
      </c>
      <c r="Z608" s="2" t="s">
        <v>74</v>
      </c>
      <c r="AA608" s="2" t="s">
        <v>6774</v>
      </c>
      <c r="AB608" s="2" t="s">
        <v>6775</v>
      </c>
      <c r="AC608" s="2" t="s">
        <v>74</v>
      </c>
      <c r="AD608" s="2" t="s">
        <v>74</v>
      </c>
      <c r="AE608" s="2" t="s">
        <v>74</v>
      </c>
      <c r="AF608" s="2" t="s">
        <v>74</v>
      </c>
      <c r="AG608" s="2" t="s">
        <v>74</v>
      </c>
      <c r="AH608" s="2" t="s">
        <v>74</v>
      </c>
      <c r="AI608" s="2" t="s">
        <v>74</v>
      </c>
      <c r="AJ608" s="2" t="s">
        <v>74</v>
      </c>
      <c r="AK608" s="2" t="s">
        <v>74</v>
      </c>
      <c r="AL608" s="2" t="s">
        <v>74</v>
      </c>
      <c r="AM608" s="2" t="s">
        <v>74</v>
      </c>
      <c r="AN608" s="2" t="s">
        <v>74</v>
      </c>
      <c r="AO608" s="2" t="s">
        <v>6776</v>
      </c>
      <c r="AP608" s="2" t="s">
        <v>6777</v>
      </c>
      <c r="AQ608" s="2" t="s">
        <v>74</v>
      </c>
      <c r="AR608" s="2" t="s">
        <v>74</v>
      </c>
      <c r="AS608" s="2" t="s">
        <v>74</v>
      </c>
      <c r="AT608" s="2" t="s">
        <v>964</v>
      </c>
      <c r="AU608" s="2">
        <v>2022</v>
      </c>
      <c r="AV608" s="2">
        <v>20</v>
      </c>
      <c r="AW608" s="2">
        <v>2</v>
      </c>
      <c r="AX608" s="2" t="s">
        <v>74</v>
      </c>
      <c r="AY608" s="2" t="s">
        <v>74</v>
      </c>
      <c r="AZ608" s="2" t="s">
        <v>74</v>
      </c>
      <c r="BA608" s="2" t="s">
        <v>74</v>
      </c>
      <c r="BB608" s="2" t="s">
        <v>74</v>
      </c>
      <c r="BC608" s="2" t="s">
        <v>74</v>
      </c>
      <c r="BD608" s="2" t="s">
        <v>6778</v>
      </c>
      <c r="BE608" s="2" t="s">
        <v>6779</v>
      </c>
      <c r="BF608" s="2" t="str">
        <f>HYPERLINK("http://dx.doi.org/10.1371/journal.pbio.3001529","http://dx.doi.org/10.1371/journal.pbio.3001529")</f>
        <v>http://dx.doi.org/10.1371/journal.pbio.3001529</v>
      </c>
      <c r="BG608" s="2" t="s">
        <v>74</v>
      </c>
      <c r="BH608" s="2" t="s">
        <v>74</v>
      </c>
      <c r="BI608" s="2" t="s">
        <v>74</v>
      </c>
      <c r="BJ608" s="2" t="s">
        <v>74</v>
      </c>
      <c r="BK608" s="2" t="s">
        <v>74</v>
      </c>
      <c r="BL608" s="2" t="s">
        <v>74</v>
      </c>
      <c r="BM608" s="2" t="s">
        <v>74</v>
      </c>
      <c r="BN608" s="2">
        <v>35176032</v>
      </c>
      <c r="BO608" s="2" t="s">
        <v>74</v>
      </c>
      <c r="BP608" s="2" t="s">
        <v>74</v>
      </c>
      <c r="BQ608" s="2" t="s">
        <v>74</v>
      </c>
      <c r="BR608" s="2" t="s">
        <v>74</v>
      </c>
      <c r="BS608" s="2" t="s">
        <v>6780</v>
      </c>
      <c r="BT608" s="2" t="str">
        <f>HYPERLINK("https%3A%2F%2Fwww.webofscience.com%2Fwos%2Fwoscc%2Ffull-record%2FWOS:000759890300001","View Full Record in Web of Science")</f>
        <v>View Full Record in Web of Science</v>
      </c>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row>
    <row r="609" spans="1:314" s="2" customFormat="1" x14ac:dyDescent="0.4">
      <c r="A609" s="2" t="s">
        <v>72</v>
      </c>
      <c r="B609" s="2" t="s">
        <v>3920</v>
      </c>
      <c r="C609" s="2" t="s">
        <v>74</v>
      </c>
      <c r="D609" s="2" t="s">
        <v>74</v>
      </c>
      <c r="E609" s="2" t="s">
        <v>74</v>
      </c>
      <c r="F609" s="2" t="s">
        <v>3921</v>
      </c>
      <c r="G609" s="2" t="s">
        <v>74</v>
      </c>
      <c r="H609" s="2" t="s">
        <v>74</v>
      </c>
      <c r="I609" s="2" t="s">
        <v>3922</v>
      </c>
      <c r="J609" s="2" t="s">
        <v>108</v>
      </c>
      <c r="K609" s="2" t="s">
        <v>74</v>
      </c>
      <c r="L609" s="2" t="s">
        <v>74</v>
      </c>
      <c r="M609" s="2" t="s">
        <v>74</v>
      </c>
      <c r="N609" s="2" t="s">
        <v>74</v>
      </c>
      <c r="O609" s="2" t="s">
        <v>74</v>
      </c>
      <c r="P609" s="2" t="s">
        <v>74</v>
      </c>
      <c r="Q609" s="2" t="s">
        <v>74</v>
      </c>
      <c r="R609" s="2" t="s">
        <v>74</v>
      </c>
      <c r="S609" s="2" t="s">
        <v>74</v>
      </c>
      <c r="T609" s="2" t="s">
        <v>74</v>
      </c>
      <c r="U609" s="2" t="s">
        <v>74</v>
      </c>
      <c r="V609" s="5" t="s">
        <v>3923</v>
      </c>
      <c r="W609" s="2" t="s">
        <v>74</v>
      </c>
      <c r="X609" s="2" t="s">
        <v>74</v>
      </c>
      <c r="Y609" s="2" t="s">
        <v>74</v>
      </c>
      <c r="Z609" s="2" t="s">
        <v>74</v>
      </c>
      <c r="AA609" s="2" t="s">
        <v>3924</v>
      </c>
      <c r="AB609" s="2" t="s">
        <v>3925</v>
      </c>
      <c r="AC609" s="2" t="s">
        <v>74</v>
      </c>
      <c r="AD609" s="2" t="s">
        <v>74</v>
      </c>
      <c r="AE609" s="2" t="s">
        <v>74</v>
      </c>
      <c r="AF609" s="2" t="s">
        <v>74</v>
      </c>
      <c r="AG609" s="2" t="s">
        <v>74</v>
      </c>
      <c r="AH609" s="2" t="s">
        <v>74</v>
      </c>
      <c r="AI609" s="2" t="s">
        <v>74</v>
      </c>
      <c r="AJ609" s="2" t="s">
        <v>74</v>
      </c>
      <c r="AK609" s="2" t="s">
        <v>74</v>
      </c>
      <c r="AL609" s="2" t="s">
        <v>74</v>
      </c>
      <c r="AM609" s="2" t="s">
        <v>74</v>
      </c>
      <c r="AN609" s="2" t="s">
        <v>74</v>
      </c>
      <c r="AO609" s="2" t="s">
        <v>111</v>
      </c>
      <c r="AP609" s="2" t="s">
        <v>112</v>
      </c>
      <c r="AQ609" s="2" t="s">
        <v>74</v>
      </c>
      <c r="AR609" s="2" t="s">
        <v>74</v>
      </c>
      <c r="AS609" s="2" t="s">
        <v>74</v>
      </c>
      <c r="AT609" s="2" t="s">
        <v>3926</v>
      </c>
      <c r="AU609" s="2">
        <v>2014</v>
      </c>
      <c r="AV609" s="2">
        <v>281</v>
      </c>
      <c r="AW609" s="2">
        <v>1793</v>
      </c>
      <c r="AX609" s="2" t="s">
        <v>74</v>
      </c>
      <c r="AY609" s="2" t="s">
        <v>74</v>
      </c>
      <c r="AZ609" s="2" t="s">
        <v>74</v>
      </c>
      <c r="BA609" s="2" t="s">
        <v>74</v>
      </c>
      <c r="BB609" s="2" t="s">
        <v>74</v>
      </c>
      <c r="BC609" s="2" t="s">
        <v>74</v>
      </c>
      <c r="BD609" s="2">
        <v>20141794</v>
      </c>
      <c r="BE609" s="2" t="s">
        <v>3927</v>
      </c>
      <c r="BF609" s="2" t="str">
        <f>HYPERLINK("http://dx.doi.org/10.1098/rspb.2014.1794","http://dx.doi.org/10.1098/rspb.2014.1794")</f>
        <v>http://dx.doi.org/10.1098/rspb.2014.1794</v>
      </c>
      <c r="BG609" s="2" t="s">
        <v>74</v>
      </c>
      <c r="BH609" s="2" t="s">
        <v>74</v>
      </c>
      <c r="BI609" s="2" t="s">
        <v>74</v>
      </c>
      <c r="BJ609" s="2" t="s">
        <v>74</v>
      </c>
      <c r="BK609" s="2" t="s">
        <v>74</v>
      </c>
      <c r="BL609" s="2" t="s">
        <v>74</v>
      </c>
      <c r="BM609" s="2" t="s">
        <v>74</v>
      </c>
      <c r="BN609" s="2">
        <v>25209943</v>
      </c>
      <c r="BO609" s="2" t="s">
        <v>74</v>
      </c>
      <c r="BP609" s="2" t="s">
        <v>74</v>
      </c>
      <c r="BQ609" s="2" t="s">
        <v>74</v>
      </c>
      <c r="BR609" s="2" t="s">
        <v>74</v>
      </c>
      <c r="BS609" s="2" t="s">
        <v>3928</v>
      </c>
      <c r="BT609" s="2" t="str">
        <f>HYPERLINK("https%3A%2F%2Fwww.webofscience.com%2Fwos%2Fwoscc%2Ffull-record%2FWOS:000341560300025","View Full Record in Web of Science")</f>
        <v>View Full Record in Web of Science</v>
      </c>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row>
    <row r="610" spans="1:314" s="2" customFormat="1" x14ac:dyDescent="0.4">
      <c r="A610" s="2" t="s">
        <v>72</v>
      </c>
      <c r="B610" s="2" t="s">
        <v>737</v>
      </c>
      <c r="C610" s="2" t="s">
        <v>74</v>
      </c>
      <c r="D610" s="2" t="s">
        <v>74</v>
      </c>
      <c r="E610" s="2" t="s">
        <v>74</v>
      </c>
      <c r="F610" s="2" t="s">
        <v>738</v>
      </c>
      <c r="G610" s="2" t="s">
        <v>74</v>
      </c>
      <c r="H610" s="2" t="s">
        <v>74</v>
      </c>
      <c r="I610" s="2" t="s">
        <v>739</v>
      </c>
      <c r="J610" s="2" t="s">
        <v>408</v>
      </c>
      <c r="K610" s="2" t="s">
        <v>74</v>
      </c>
      <c r="L610" s="2" t="s">
        <v>74</v>
      </c>
      <c r="M610" s="2" t="s">
        <v>74</v>
      </c>
      <c r="N610" s="2" t="s">
        <v>74</v>
      </c>
      <c r="O610" s="2" t="s">
        <v>74</v>
      </c>
      <c r="P610" s="2" t="s">
        <v>74</v>
      </c>
      <c r="Q610" s="2" t="s">
        <v>74</v>
      </c>
      <c r="R610" s="2" t="s">
        <v>74</v>
      </c>
      <c r="S610" s="2" t="s">
        <v>74</v>
      </c>
      <c r="T610" s="2" t="s">
        <v>74</v>
      </c>
      <c r="U610" s="2" t="s">
        <v>74</v>
      </c>
      <c r="V610" s="5" t="s">
        <v>740</v>
      </c>
      <c r="W610" s="2" t="s">
        <v>74</v>
      </c>
      <c r="X610" s="2" t="s">
        <v>74</v>
      </c>
      <c r="Y610" s="2" t="s">
        <v>74</v>
      </c>
      <c r="Z610" s="2" t="s">
        <v>74</v>
      </c>
      <c r="AA610" s="2" t="s">
        <v>74</v>
      </c>
      <c r="AB610" s="2" t="s">
        <v>74</v>
      </c>
      <c r="AC610" s="2" t="s">
        <v>74</v>
      </c>
      <c r="AD610" s="2" t="s">
        <v>74</v>
      </c>
      <c r="AE610" s="2" t="s">
        <v>74</v>
      </c>
      <c r="AF610" s="2" t="s">
        <v>74</v>
      </c>
      <c r="AG610" s="2" t="s">
        <v>74</v>
      </c>
      <c r="AH610" s="2" t="s">
        <v>74</v>
      </c>
      <c r="AI610" s="2" t="s">
        <v>74</v>
      </c>
      <c r="AJ610" s="2" t="s">
        <v>74</v>
      </c>
      <c r="AK610" s="2" t="s">
        <v>74</v>
      </c>
      <c r="AL610" s="2" t="s">
        <v>74</v>
      </c>
      <c r="AM610" s="2" t="s">
        <v>74</v>
      </c>
      <c r="AN610" s="2" t="s">
        <v>74</v>
      </c>
      <c r="AO610" s="2" t="s">
        <v>412</v>
      </c>
      <c r="AP610" s="2" t="s">
        <v>413</v>
      </c>
      <c r="AQ610" s="2" t="s">
        <v>74</v>
      </c>
      <c r="AR610" s="2" t="s">
        <v>74</v>
      </c>
      <c r="AS610" s="2" t="s">
        <v>74</v>
      </c>
      <c r="AT610" s="2" t="s">
        <v>741</v>
      </c>
      <c r="AU610" s="2">
        <v>2024</v>
      </c>
      <c r="AV610" s="2" t="s">
        <v>74</v>
      </c>
      <c r="AW610" s="2" t="s">
        <v>74</v>
      </c>
      <c r="AX610" s="2" t="s">
        <v>74</v>
      </c>
      <c r="AY610" s="2" t="s">
        <v>74</v>
      </c>
      <c r="AZ610" s="2" t="s">
        <v>74</v>
      </c>
      <c r="BA610" s="2" t="s">
        <v>74</v>
      </c>
      <c r="BB610" s="2" t="s">
        <v>74</v>
      </c>
      <c r="BC610" s="2" t="s">
        <v>74</v>
      </c>
      <c r="BD610" s="2" t="s">
        <v>74</v>
      </c>
      <c r="BE610" s="2" t="s">
        <v>742</v>
      </c>
      <c r="BF610" s="2" t="str">
        <f>HYPERLINK("http://dx.doi.org/10.1093/biolinnean/blae006","http://dx.doi.org/10.1093/biolinnean/blae006")</f>
        <v>http://dx.doi.org/10.1093/biolinnean/blae006</v>
      </c>
      <c r="BG610" s="2" t="s">
        <v>74</v>
      </c>
      <c r="BH610" s="2" t="s">
        <v>743</v>
      </c>
      <c r="BI610" s="2" t="s">
        <v>74</v>
      </c>
      <c r="BJ610" s="2" t="s">
        <v>74</v>
      </c>
      <c r="BK610" s="2" t="s">
        <v>74</v>
      </c>
      <c r="BL610" s="2" t="s">
        <v>74</v>
      </c>
      <c r="BM610" s="2" t="s">
        <v>74</v>
      </c>
      <c r="BN610" s="2" t="s">
        <v>74</v>
      </c>
      <c r="BO610" s="2" t="s">
        <v>74</v>
      </c>
      <c r="BP610" s="2" t="s">
        <v>74</v>
      </c>
      <c r="BQ610" s="2" t="s">
        <v>74</v>
      </c>
      <c r="BR610" s="2" t="s">
        <v>74</v>
      </c>
      <c r="BS610" s="2" t="s">
        <v>744</v>
      </c>
      <c r="BT610" s="2" t="str">
        <f>HYPERLINK("https%3A%2F%2Fwww.webofscience.com%2Fwos%2Fwoscc%2Ffull-record%2FWOS:001178186000001","View Full Record in Web of Science")</f>
        <v>View Full Record in Web of Science</v>
      </c>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row>
    <row r="611" spans="1:314" s="2" customFormat="1" x14ac:dyDescent="0.4">
      <c r="A611" s="2" t="s">
        <v>72</v>
      </c>
      <c r="B611" s="2" t="s">
        <v>4190</v>
      </c>
      <c r="C611" s="2" t="s">
        <v>74</v>
      </c>
      <c r="D611" s="2" t="s">
        <v>74</v>
      </c>
      <c r="E611" s="2" t="s">
        <v>74</v>
      </c>
      <c r="F611" s="2" t="s">
        <v>4191</v>
      </c>
      <c r="G611" s="2" t="s">
        <v>74</v>
      </c>
      <c r="H611" s="2" t="s">
        <v>74</v>
      </c>
      <c r="I611" s="2" t="s">
        <v>4192</v>
      </c>
      <c r="J611" s="2" t="s">
        <v>862</v>
      </c>
      <c r="K611" s="2" t="s">
        <v>74</v>
      </c>
      <c r="L611" s="2" t="s">
        <v>74</v>
      </c>
      <c r="M611" s="2" t="s">
        <v>74</v>
      </c>
      <c r="N611" s="2" t="s">
        <v>74</v>
      </c>
      <c r="O611" s="2" t="s">
        <v>74</v>
      </c>
      <c r="P611" s="2" t="s">
        <v>74</v>
      </c>
      <c r="Q611" s="2" t="s">
        <v>74</v>
      </c>
      <c r="R611" s="2" t="s">
        <v>74</v>
      </c>
      <c r="S611" s="2" t="s">
        <v>74</v>
      </c>
      <c r="T611" s="2" t="s">
        <v>74</v>
      </c>
      <c r="U611" s="2" t="s">
        <v>74</v>
      </c>
      <c r="V611" s="5" t="s">
        <v>4193</v>
      </c>
      <c r="W611" s="2" t="s">
        <v>74</v>
      </c>
      <c r="X611" s="2" t="s">
        <v>74</v>
      </c>
      <c r="Y611" s="2" t="s">
        <v>74</v>
      </c>
      <c r="Z611" s="2" t="s">
        <v>74</v>
      </c>
      <c r="AA611" s="2" t="s">
        <v>74</v>
      </c>
      <c r="AB611" s="2" t="s">
        <v>74</v>
      </c>
      <c r="AC611" s="2" t="s">
        <v>74</v>
      </c>
      <c r="AD611" s="2" t="s">
        <v>74</v>
      </c>
      <c r="AE611" s="2" t="s">
        <v>74</v>
      </c>
      <c r="AF611" s="2" t="s">
        <v>74</v>
      </c>
      <c r="AG611" s="2" t="s">
        <v>74</v>
      </c>
      <c r="AH611" s="2" t="s">
        <v>74</v>
      </c>
      <c r="AI611" s="2" t="s">
        <v>74</v>
      </c>
      <c r="AJ611" s="2" t="s">
        <v>74</v>
      </c>
      <c r="AK611" s="2" t="s">
        <v>74</v>
      </c>
      <c r="AL611" s="2" t="s">
        <v>74</v>
      </c>
      <c r="AM611" s="2" t="s">
        <v>74</v>
      </c>
      <c r="AN611" s="2" t="s">
        <v>74</v>
      </c>
      <c r="AO611" s="2" t="s">
        <v>865</v>
      </c>
      <c r="AP611" s="2" t="s">
        <v>866</v>
      </c>
      <c r="AQ611" s="2" t="s">
        <v>74</v>
      </c>
      <c r="AR611" s="2" t="s">
        <v>74</v>
      </c>
      <c r="AS611" s="2" t="s">
        <v>74</v>
      </c>
      <c r="AT611" s="2" t="s">
        <v>123</v>
      </c>
      <c r="AU611" s="2">
        <v>2014</v>
      </c>
      <c r="AV611" s="2">
        <v>17</v>
      </c>
      <c r="AW611" s="2">
        <v>1</v>
      </c>
      <c r="AX611" s="2" t="s">
        <v>74</v>
      </c>
      <c r="AY611" s="2" t="s">
        <v>74</v>
      </c>
      <c r="AZ611" s="2" t="s">
        <v>74</v>
      </c>
      <c r="BA611" s="2" t="s">
        <v>74</v>
      </c>
      <c r="BB611" s="2">
        <v>37</v>
      </c>
      <c r="BC611" s="2">
        <v>45</v>
      </c>
      <c r="BD611" s="2" t="s">
        <v>74</v>
      </c>
      <c r="BE611" s="2" t="s">
        <v>4194</v>
      </c>
      <c r="BF611" s="2" t="str">
        <f>HYPERLINK("http://dx.doi.org/10.1007/s10211-013-0156-2","http://dx.doi.org/10.1007/s10211-013-0156-2")</f>
        <v>http://dx.doi.org/10.1007/s10211-013-0156-2</v>
      </c>
      <c r="BG611" s="2" t="s">
        <v>74</v>
      </c>
      <c r="BH611" s="2" t="s">
        <v>74</v>
      </c>
      <c r="BI611" s="2" t="s">
        <v>74</v>
      </c>
      <c r="BJ611" s="2" t="s">
        <v>74</v>
      </c>
      <c r="BK611" s="2" t="s">
        <v>74</v>
      </c>
      <c r="BL611" s="2" t="s">
        <v>74</v>
      </c>
      <c r="BM611" s="2" t="s">
        <v>74</v>
      </c>
      <c r="BN611" s="2" t="s">
        <v>74</v>
      </c>
      <c r="BO611" s="2" t="s">
        <v>74</v>
      </c>
      <c r="BP611" s="2" t="s">
        <v>74</v>
      </c>
      <c r="BQ611" s="2" t="s">
        <v>74</v>
      </c>
      <c r="BR611" s="2" t="s">
        <v>74</v>
      </c>
      <c r="BS611" s="2" t="s">
        <v>4195</v>
      </c>
      <c r="BT611" s="2" t="str">
        <f>HYPERLINK("https%3A%2F%2Fwww.webofscience.com%2Fwos%2Fwoscc%2Ffull-record%2FWOS:000331631900006","View Full Record in Web of Science")</f>
        <v>View Full Record in Web of Science</v>
      </c>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row>
    <row r="612" spans="1:314" s="2" customFormat="1" x14ac:dyDescent="0.4">
      <c r="A612" s="2" t="s">
        <v>72</v>
      </c>
      <c r="B612" s="2" t="s">
        <v>890</v>
      </c>
      <c r="C612" s="2" t="s">
        <v>74</v>
      </c>
      <c r="D612" s="2" t="s">
        <v>74</v>
      </c>
      <c r="E612" s="2" t="s">
        <v>74</v>
      </c>
      <c r="F612" s="2" t="s">
        <v>891</v>
      </c>
      <c r="G612" s="2" t="s">
        <v>74</v>
      </c>
      <c r="H612" s="2" t="s">
        <v>74</v>
      </c>
      <c r="I612" s="2" t="s">
        <v>892</v>
      </c>
      <c r="J612" s="2" t="s">
        <v>88</v>
      </c>
      <c r="K612" s="2" t="s">
        <v>74</v>
      </c>
      <c r="L612" s="2" t="s">
        <v>74</v>
      </c>
      <c r="M612" s="2" t="s">
        <v>74</v>
      </c>
      <c r="N612" s="2" t="s">
        <v>74</v>
      </c>
      <c r="O612" s="2" t="s">
        <v>74</v>
      </c>
      <c r="P612" s="2" t="s">
        <v>74</v>
      </c>
      <c r="Q612" s="2" t="s">
        <v>74</v>
      </c>
      <c r="R612" s="2" t="s">
        <v>74</v>
      </c>
      <c r="S612" s="2" t="s">
        <v>74</v>
      </c>
      <c r="T612" s="2" t="s">
        <v>74</v>
      </c>
      <c r="U612" s="2" t="s">
        <v>74</v>
      </c>
      <c r="V612" s="5" t="s">
        <v>893</v>
      </c>
      <c r="W612" s="2" t="s">
        <v>74</v>
      </c>
      <c r="X612" s="2" t="s">
        <v>74</v>
      </c>
      <c r="Y612" s="2" t="s">
        <v>74</v>
      </c>
      <c r="Z612" s="2" t="s">
        <v>74</v>
      </c>
      <c r="AA612" s="2" t="s">
        <v>74</v>
      </c>
      <c r="AB612" s="2" t="s">
        <v>894</v>
      </c>
      <c r="AC612" s="2" t="s">
        <v>74</v>
      </c>
      <c r="AD612" s="2" t="s">
        <v>74</v>
      </c>
      <c r="AE612" s="2" t="s">
        <v>74</v>
      </c>
      <c r="AF612" s="2" t="s">
        <v>74</v>
      </c>
      <c r="AG612" s="2" t="s">
        <v>74</v>
      </c>
      <c r="AH612" s="2" t="s">
        <v>74</v>
      </c>
      <c r="AI612" s="2" t="s">
        <v>74</v>
      </c>
      <c r="AJ612" s="2" t="s">
        <v>74</v>
      </c>
      <c r="AK612" s="2" t="s">
        <v>74</v>
      </c>
      <c r="AL612" s="2" t="s">
        <v>74</v>
      </c>
      <c r="AM612" s="2" t="s">
        <v>74</v>
      </c>
      <c r="AN612" s="2" t="s">
        <v>74</v>
      </c>
      <c r="AO612" s="2" t="s">
        <v>91</v>
      </c>
      <c r="AP612" s="2" t="s">
        <v>74</v>
      </c>
      <c r="AQ612" s="2" t="s">
        <v>74</v>
      </c>
      <c r="AR612" s="2" t="s">
        <v>74</v>
      </c>
      <c r="AS612" s="2" t="s">
        <v>74</v>
      </c>
      <c r="AT612" s="2" t="s">
        <v>895</v>
      </c>
      <c r="AU612" s="2">
        <v>2011</v>
      </c>
      <c r="AV612" s="2">
        <v>7</v>
      </c>
      <c r="AW612" s="2">
        <v>5</v>
      </c>
      <c r="AX612" s="2" t="s">
        <v>74</v>
      </c>
      <c r="AY612" s="2" t="s">
        <v>74</v>
      </c>
      <c r="AZ612" s="2" t="s">
        <v>74</v>
      </c>
      <c r="BA612" s="2" t="s">
        <v>74</v>
      </c>
      <c r="BB612" s="2">
        <v>658</v>
      </c>
      <c r="BC612" s="2">
        <v>660</v>
      </c>
      <c r="BD612" s="2" t="s">
        <v>74</v>
      </c>
      <c r="BE612" s="2" t="s">
        <v>896</v>
      </c>
      <c r="BF612" s="2" t="str">
        <f>HYPERLINK("http://dx.doi.org/10.1098/rsbl.2011.0087","http://dx.doi.org/10.1098/rsbl.2011.0087")</f>
        <v>http://dx.doi.org/10.1098/rsbl.2011.0087</v>
      </c>
      <c r="BG612" s="2" t="s">
        <v>74</v>
      </c>
      <c r="BH612" s="2" t="s">
        <v>74</v>
      </c>
      <c r="BI612" s="2" t="s">
        <v>74</v>
      </c>
      <c r="BJ612" s="2" t="s">
        <v>74</v>
      </c>
      <c r="BK612" s="2" t="s">
        <v>74</v>
      </c>
      <c r="BL612" s="2" t="s">
        <v>74</v>
      </c>
      <c r="BM612" s="2" t="s">
        <v>74</v>
      </c>
      <c r="BN612" s="2">
        <v>21450727</v>
      </c>
      <c r="BO612" s="2" t="s">
        <v>74</v>
      </c>
      <c r="BP612" s="2" t="s">
        <v>74</v>
      </c>
      <c r="BQ612" s="2" t="s">
        <v>74</v>
      </c>
      <c r="BR612" s="2" t="s">
        <v>74</v>
      </c>
      <c r="BS612" s="2" t="s">
        <v>897</v>
      </c>
      <c r="BT612" s="2" t="str">
        <f>HYPERLINK("https%3A%2F%2Fwww.webofscience.com%2Fwos%2Fwoscc%2Ffull-record%2FWOS:000294768400007","View Full Record in Web of Science")</f>
        <v>View Full Record in Web of Science</v>
      </c>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row>
    <row r="613" spans="1:314" s="2" customFormat="1" x14ac:dyDescent="0.4">
      <c r="A613" s="2" t="s">
        <v>72</v>
      </c>
      <c r="B613" s="2" t="s">
        <v>1034</v>
      </c>
      <c r="C613" s="2" t="s">
        <v>74</v>
      </c>
      <c r="D613" s="2" t="s">
        <v>74</v>
      </c>
      <c r="E613" s="2" t="s">
        <v>74</v>
      </c>
      <c r="F613" s="2" t="s">
        <v>1035</v>
      </c>
      <c r="G613" s="2" t="s">
        <v>74</v>
      </c>
      <c r="H613" s="2" t="s">
        <v>74</v>
      </c>
      <c r="I613" s="2" t="s">
        <v>1036</v>
      </c>
      <c r="J613" s="2" t="s">
        <v>333</v>
      </c>
      <c r="K613" s="2" t="s">
        <v>74</v>
      </c>
      <c r="L613" s="2" t="s">
        <v>74</v>
      </c>
      <c r="M613" s="2" t="s">
        <v>74</v>
      </c>
      <c r="N613" s="2" t="s">
        <v>74</v>
      </c>
      <c r="O613" s="2" t="s">
        <v>74</v>
      </c>
      <c r="P613" s="2" t="s">
        <v>74</v>
      </c>
      <c r="Q613" s="2" t="s">
        <v>74</v>
      </c>
      <c r="R613" s="2" t="s">
        <v>74</v>
      </c>
      <c r="S613" s="2" t="s">
        <v>74</v>
      </c>
      <c r="T613" s="2" t="s">
        <v>74</v>
      </c>
      <c r="U613" s="2" t="s">
        <v>74</v>
      </c>
      <c r="V613" s="5" t="s">
        <v>1037</v>
      </c>
      <c r="W613" s="2" t="s">
        <v>74</v>
      </c>
      <c r="X613" s="2" t="s">
        <v>74</v>
      </c>
      <c r="Y613" s="2" t="s">
        <v>74</v>
      </c>
      <c r="Z613" s="2" t="s">
        <v>74</v>
      </c>
      <c r="AA613" s="2" t="s">
        <v>74</v>
      </c>
      <c r="AB613" s="2" t="s">
        <v>74</v>
      </c>
      <c r="AC613" s="2" t="s">
        <v>74</v>
      </c>
      <c r="AD613" s="2" t="s">
        <v>74</v>
      </c>
      <c r="AE613" s="2" t="s">
        <v>74</v>
      </c>
      <c r="AF613" s="2" t="s">
        <v>74</v>
      </c>
      <c r="AG613" s="2" t="s">
        <v>74</v>
      </c>
      <c r="AH613" s="2" t="s">
        <v>74</v>
      </c>
      <c r="AI613" s="2" t="s">
        <v>74</v>
      </c>
      <c r="AJ613" s="2" t="s">
        <v>74</v>
      </c>
      <c r="AK613" s="2" t="s">
        <v>74</v>
      </c>
      <c r="AL613" s="2" t="s">
        <v>74</v>
      </c>
      <c r="AM613" s="2" t="s">
        <v>74</v>
      </c>
      <c r="AN613" s="2" t="s">
        <v>74</v>
      </c>
      <c r="AO613" s="2" t="s">
        <v>337</v>
      </c>
      <c r="AP613" s="2" t="s">
        <v>74</v>
      </c>
      <c r="AQ613" s="2" t="s">
        <v>74</v>
      </c>
      <c r="AR613" s="2" t="s">
        <v>74</v>
      </c>
      <c r="AS613" s="2" t="s">
        <v>74</v>
      </c>
      <c r="AT613" s="2" t="s">
        <v>1038</v>
      </c>
      <c r="AU613" s="2">
        <v>2007</v>
      </c>
      <c r="AV613" s="2">
        <v>18</v>
      </c>
      <c r="AW613" s="2">
        <v>2</v>
      </c>
      <c r="AX613" s="2" t="s">
        <v>74</v>
      </c>
      <c r="AY613" s="2" t="s">
        <v>74</v>
      </c>
      <c r="AZ613" s="2" t="s">
        <v>74</v>
      </c>
      <c r="BA613" s="2" t="s">
        <v>74</v>
      </c>
      <c r="BB613" s="2">
        <v>318</v>
      </c>
      <c r="BC613" s="2">
        <v>323</v>
      </c>
      <c r="BD613" s="2" t="s">
        <v>74</v>
      </c>
      <c r="BE613" s="2" t="s">
        <v>1039</v>
      </c>
      <c r="BF613" s="2" t="str">
        <f>HYPERLINK("http://dx.doi.org/10.1093/beheco/arl093","http://dx.doi.org/10.1093/beheco/arl093")</f>
        <v>http://dx.doi.org/10.1093/beheco/arl093</v>
      </c>
      <c r="BG613" s="2" t="s">
        <v>74</v>
      </c>
      <c r="BH613" s="2" t="s">
        <v>74</v>
      </c>
      <c r="BI613" s="2" t="s">
        <v>74</v>
      </c>
      <c r="BJ613" s="2" t="s">
        <v>74</v>
      </c>
      <c r="BK613" s="2" t="s">
        <v>74</v>
      </c>
      <c r="BL613" s="2" t="s">
        <v>74</v>
      </c>
      <c r="BM613" s="2" t="s">
        <v>74</v>
      </c>
      <c r="BN613" s="2" t="s">
        <v>74</v>
      </c>
      <c r="BO613" s="2" t="s">
        <v>74</v>
      </c>
      <c r="BP613" s="2" t="s">
        <v>74</v>
      </c>
      <c r="BQ613" s="2" t="s">
        <v>74</v>
      </c>
      <c r="BR613" s="2" t="s">
        <v>74</v>
      </c>
      <c r="BS613" s="2" t="s">
        <v>1040</v>
      </c>
      <c r="BT613" s="2" t="str">
        <f>HYPERLINK("https%3A%2F%2Fwww.webofscience.com%2Fwos%2Fwoscc%2Ffull-record%2FWOS:000244658100007","View Full Record in Web of Science")</f>
        <v>View Full Record in Web of Science</v>
      </c>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row>
    <row r="614" spans="1:314" s="2" customFormat="1" x14ac:dyDescent="0.4">
      <c r="A614" s="2" t="s">
        <v>72</v>
      </c>
      <c r="B614" s="2" t="s">
        <v>2697</v>
      </c>
      <c r="C614" s="2" t="s">
        <v>74</v>
      </c>
      <c r="D614" s="2" t="s">
        <v>74</v>
      </c>
      <c r="E614" s="2" t="s">
        <v>74</v>
      </c>
      <c r="F614" s="2" t="s">
        <v>2698</v>
      </c>
      <c r="G614" s="2" t="s">
        <v>74</v>
      </c>
      <c r="H614" s="2" t="s">
        <v>74</v>
      </c>
      <c r="I614" s="2" t="s">
        <v>2699</v>
      </c>
      <c r="J614" s="2" t="s">
        <v>731</v>
      </c>
      <c r="K614" s="2" t="s">
        <v>74</v>
      </c>
      <c r="L614" s="2" t="s">
        <v>74</v>
      </c>
      <c r="M614" s="2" t="s">
        <v>74</v>
      </c>
      <c r="N614" s="2" t="s">
        <v>74</v>
      </c>
      <c r="O614" s="2" t="s">
        <v>74</v>
      </c>
      <c r="P614" s="2" t="s">
        <v>74</v>
      </c>
      <c r="Q614" s="2" t="s">
        <v>74</v>
      </c>
      <c r="R614" s="2" t="s">
        <v>74</v>
      </c>
      <c r="S614" s="2" t="s">
        <v>74</v>
      </c>
      <c r="T614" s="2" t="s">
        <v>74</v>
      </c>
      <c r="U614" s="2" t="s">
        <v>74</v>
      </c>
      <c r="V614" s="5" t="s">
        <v>2700</v>
      </c>
      <c r="W614" s="2" t="s">
        <v>74</v>
      </c>
      <c r="X614" s="2" t="s">
        <v>74</v>
      </c>
      <c r="Y614" s="2" t="s">
        <v>74</v>
      </c>
      <c r="Z614" s="2" t="s">
        <v>74</v>
      </c>
      <c r="AA614" s="2" t="s">
        <v>74</v>
      </c>
      <c r="AB614" s="2" t="s">
        <v>2701</v>
      </c>
      <c r="AC614" s="2" t="s">
        <v>74</v>
      </c>
      <c r="AD614" s="2" t="s">
        <v>74</v>
      </c>
      <c r="AE614" s="2" t="s">
        <v>74</v>
      </c>
      <c r="AF614" s="2" t="s">
        <v>74</v>
      </c>
      <c r="AG614" s="2" t="s">
        <v>74</v>
      </c>
      <c r="AH614" s="2" t="s">
        <v>74</v>
      </c>
      <c r="AI614" s="2" t="s">
        <v>74</v>
      </c>
      <c r="AJ614" s="2" t="s">
        <v>74</v>
      </c>
      <c r="AK614" s="2" t="s">
        <v>74</v>
      </c>
      <c r="AL614" s="2" t="s">
        <v>74</v>
      </c>
      <c r="AM614" s="2" t="s">
        <v>74</v>
      </c>
      <c r="AN614" s="2" t="s">
        <v>74</v>
      </c>
      <c r="AO614" s="2" t="s">
        <v>733</v>
      </c>
      <c r="AP614" s="2" t="s">
        <v>734</v>
      </c>
      <c r="AQ614" s="2" t="s">
        <v>74</v>
      </c>
      <c r="AR614" s="2" t="s">
        <v>74</v>
      </c>
      <c r="AS614" s="2" t="s">
        <v>74</v>
      </c>
      <c r="AT614" s="2" t="s">
        <v>2702</v>
      </c>
      <c r="AU614" s="2">
        <v>2007</v>
      </c>
      <c r="AV614" s="2">
        <v>183</v>
      </c>
      <c r="AW614" s="2">
        <v>1</v>
      </c>
      <c r="AX614" s="2" t="s">
        <v>74</v>
      </c>
      <c r="AY614" s="2" t="s">
        <v>74</v>
      </c>
      <c r="AZ614" s="2" t="s">
        <v>74</v>
      </c>
      <c r="BA614" s="2" t="s">
        <v>74</v>
      </c>
      <c r="BB614" s="2">
        <v>31</v>
      </c>
      <c r="BC614" s="2">
        <v>42</v>
      </c>
      <c r="BD614" s="2" t="s">
        <v>74</v>
      </c>
      <c r="BE614" s="2" t="s">
        <v>2703</v>
      </c>
      <c r="BF614" s="2" t="str">
        <f>HYPERLINK("http://dx.doi.org/10.1016/j.bbr.2007.05.021","http://dx.doi.org/10.1016/j.bbr.2007.05.021")</f>
        <v>http://dx.doi.org/10.1016/j.bbr.2007.05.021</v>
      </c>
      <c r="BG614" s="2" t="s">
        <v>74</v>
      </c>
      <c r="BH614" s="2" t="s">
        <v>74</v>
      </c>
      <c r="BI614" s="2" t="s">
        <v>74</v>
      </c>
      <c r="BJ614" s="2" t="s">
        <v>74</v>
      </c>
      <c r="BK614" s="2" t="s">
        <v>74</v>
      </c>
      <c r="BL614" s="2" t="s">
        <v>74</v>
      </c>
      <c r="BM614" s="2" t="s">
        <v>74</v>
      </c>
      <c r="BN614" s="2">
        <v>17602761</v>
      </c>
      <c r="BO614" s="2" t="s">
        <v>74</v>
      </c>
      <c r="BP614" s="2" t="s">
        <v>74</v>
      </c>
      <c r="BQ614" s="2" t="s">
        <v>74</v>
      </c>
      <c r="BR614" s="2" t="s">
        <v>74</v>
      </c>
      <c r="BS614" s="2" t="s">
        <v>2704</v>
      </c>
      <c r="BT614" s="2" t="str">
        <f>HYPERLINK("https%3A%2F%2Fwww.webofscience.com%2Fwos%2Fwoscc%2Ffull-record%2FWOS:000249511100005","View Full Record in Web of Science")</f>
        <v>View Full Record in Web of Science</v>
      </c>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row>
    <row r="615" spans="1:314" s="2" customFormat="1" x14ac:dyDescent="0.4">
      <c r="A615" s="2" t="s">
        <v>72</v>
      </c>
      <c r="B615" s="2" t="s">
        <v>4755</v>
      </c>
      <c r="C615" s="2" t="s">
        <v>74</v>
      </c>
      <c r="D615" s="2" t="s">
        <v>74</v>
      </c>
      <c r="E615" s="2" t="s">
        <v>74</v>
      </c>
      <c r="F615" s="2" t="s">
        <v>4756</v>
      </c>
      <c r="G615" s="2" t="s">
        <v>74</v>
      </c>
      <c r="H615" s="2" t="s">
        <v>74</v>
      </c>
      <c r="I615" s="2" t="s">
        <v>4757</v>
      </c>
      <c r="J615" s="2" t="s">
        <v>119</v>
      </c>
      <c r="K615" s="2" t="s">
        <v>74</v>
      </c>
      <c r="L615" s="2" t="s">
        <v>74</v>
      </c>
      <c r="M615" s="2" t="s">
        <v>74</v>
      </c>
      <c r="N615" s="2" t="s">
        <v>74</v>
      </c>
      <c r="O615" s="2" t="s">
        <v>74</v>
      </c>
      <c r="P615" s="2" t="s">
        <v>74</v>
      </c>
      <c r="Q615" s="2" t="s">
        <v>74</v>
      </c>
      <c r="R615" s="2" t="s">
        <v>74</v>
      </c>
      <c r="S615" s="2" t="s">
        <v>74</v>
      </c>
      <c r="T615" s="2" t="s">
        <v>74</v>
      </c>
      <c r="U615" s="2" t="s">
        <v>74</v>
      </c>
      <c r="V615" s="5" t="s">
        <v>4758</v>
      </c>
      <c r="W615" s="2" t="s">
        <v>74</v>
      </c>
      <c r="X615" s="2" t="s">
        <v>74</v>
      </c>
      <c r="Y615" s="2" t="s">
        <v>74</v>
      </c>
      <c r="Z615" s="2" t="s">
        <v>74</v>
      </c>
      <c r="AA615" s="2" t="s">
        <v>74</v>
      </c>
      <c r="AB615" s="2" t="s">
        <v>74</v>
      </c>
      <c r="AC615" s="2" t="s">
        <v>74</v>
      </c>
      <c r="AD615" s="2" t="s">
        <v>74</v>
      </c>
      <c r="AE615" s="2" t="s">
        <v>74</v>
      </c>
      <c r="AF615" s="2" t="s">
        <v>74</v>
      </c>
      <c r="AG615" s="2" t="s">
        <v>74</v>
      </c>
      <c r="AH615" s="2" t="s">
        <v>74</v>
      </c>
      <c r="AI615" s="2" t="s">
        <v>74</v>
      </c>
      <c r="AJ615" s="2" t="s">
        <v>74</v>
      </c>
      <c r="AK615" s="2" t="s">
        <v>74</v>
      </c>
      <c r="AL615" s="2" t="s">
        <v>74</v>
      </c>
      <c r="AM615" s="2" t="s">
        <v>74</v>
      </c>
      <c r="AN615" s="2" t="s">
        <v>74</v>
      </c>
      <c r="AO615" s="2" t="s">
        <v>121</v>
      </c>
      <c r="AP615" s="2" t="s">
        <v>122</v>
      </c>
      <c r="AQ615" s="2" t="s">
        <v>74</v>
      </c>
      <c r="AR615" s="2" t="s">
        <v>74</v>
      </c>
      <c r="AS615" s="2" t="s">
        <v>74</v>
      </c>
      <c r="AT615" s="2" t="s">
        <v>255</v>
      </c>
      <c r="AU615" s="2">
        <v>2021</v>
      </c>
      <c r="AV615" s="2">
        <v>182</v>
      </c>
      <c r="AW615" s="2" t="s">
        <v>74</v>
      </c>
      <c r="AX615" s="2" t="s">
        <v>74</v>
      </c>
      <c r="AY615" s="2" t="s">
        <v>74</v>
      </c>
      <c r="AZ615" s="2" t="s">
        <v>74</v>
      </c>
      <c r="BA615" s="2" t="s">
        <v>74</v>
      </c>
      <c r="BB615" s="2" t="s">
        <v>74</v>
      </c>
      <c r="BC615" s="2" t="s">
        <v>74</v>
      </c>
      <c r="BD615" s="2">
        <v>104294</v>
      </c>
      <c r="BE615" s="2" t="s">
        <v>4759</v>
      </c>
      <c r="BF615" s="2" t="str">
        <f>HYPERLINK("http://dx.doi.org/10.1016/j.beproc.2020.104294","http://dx.doi.org/10.1016/j.beproc.2020.104294")</f>
        <v>http://dx.doi.org/10.1016/j.beproc.2020.104294</v>
      </c>
      <c r="BG615" s="2" t="s">
        <v>74</v>
      </c>
      <c r="BH615" s="2" t="s">
        <v>74</v>
      </c>
      <c r="BI615" s="2" t="s">
        <v>74</v>
      </c>
      <c r="BJ615" s="2" t="s">
        <v>74</v>
      </c>
      <c r="BK615" s="2" t="s">
        <v>74</v>
      </c>
      <c r="BL615" s="2" t="s">
        <v>74</v>
      </c>
      <c r="BM615" s="2" t="s">
        <v>74</v>
      </c>
      <c r="BN615" s="2">
        <v>33290833</v>
      </c>
      <c r="BO615" s="2" t="s">
        <v>74</v>
      </c>
      <c r="BP615" s="2" t="s">
        <v>74</v>
      </c>
      <c r="BQ615" s="2" t="s">
        <v>74</v>
      </c>
      <c r="BR615" s="2" t="s">
        <v>74</v>
      </c>
      <c r="BS615" s="2" t="s">
        <v>4760</v>
      </c>
      <c r="BT615" s="2" t="str">
        <f>HYPERLINK("https%3A%2F%2Fwww.webofscience.com%2Fwos%2Fwoscc%2Ffull-record%2FWOS:000608124600001","View Full Record in Web of Science")</f>
        <v>View Full Record in Web of Science</v>
      </c>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row>
    <row r="616" spans="1:314" s="2" customFormat="1" x14ac:dyDescent="0.4">
      <c r="A616" s="2" t="s">
        <v>72</v>
      </c>
      <c r="B616" s="2" t="s">
        <v>4755</v>
      </c>
      <c r="C616" s="2" t="s">
        <v>74</v>
      </c>
      <c r="D616" s="2" t="s">
        <v>74</v>
      </c>
      <c r="E616" s="2" t="s">
        <v>74</v>
      </c>
      <c r="F616" s="2" t="s">
        <v>4755</v>
      </c>
      <c r="G616" s="2" t="s">
        <v>74</v>
      </c>
      <c r="H616" s="2" t="s">
        <v>74</v>
      </c>
      <c r="I616" s="2" t="s">
        <v>6068</v>
      </c>
      <c r="J616" s="2" t="s">
        <v>475</v>
      </c>
      <c r="K616" s="2" t="s">
        <v>74</v>
      </c>
      <c r="L616" s="2" t="s">
        <v>74</v>
      </c>
      <c r="M616" s="2" t="s">
        <v>74</v>
      </c>
      <c r="N616" s="2" t="s">
        <v>74</v>
      </c>
      <c r="O616" s="2" t="s">
        <v>74</v>
      </c>
      <c r="P616" s="2" t="s">
        <v>74</v>
      </c>
      <c r="Q616" s="2" t="s">
        <v>74</v>
      </c>
      <c r="R616" s="2" t="s">
        <v>74</v>
      </c>
      <c r="S616" s="2" t="s">
        <v>74</v>
      </c>
      <c r="T616" s="2" t="s">
        <v>74</v>
      </c>
      <c r="U616" s="2" t="s">
        <v>74</v>
      </c>
      <c r="V616" s="5" t="s">
        <v>6069</v>
      </c>
      <c r="W616" s="2" t="s">
        <v>74</v>
      </c>
      <c r="X616" s="2" t="s">
        <v>74</v>
      </c>
      <c r="Y616" s="2" t="s">
        <v>74</v>
      </c>
      <c r="Z616" s="2" t="s">
        <v>74</v>
      </c>
      <c r="AA616" s="2" t="s">
        <v>74</v>
      </c>
      <c r="AB616" s="2" t="s">
        <v>74</v>
      </c>
      <c r="AC616" s="2" t="s">
        <v>74</v>
      </c>
      <c r="AD616" s="2" t="s">
        <v>74</v>
      </c>
      <c r="AE616" s="2" t="s">
        <v>74</v>
      </c>
      <c r="AF616" s="2" t="s">
        <v>74</v>
      </c>
      <c r="AG616" s="2" t="s">
        <v>74</v>
      </c>
      <c r="AH616" s="2" t="s">
        <v>74</v>
      </c>
      <c r="AI616" s="2" t="s">
        <v>74</v>
      </c>
      <c r="AJ616" s="2" t="s">
        <v>74</v>
      </c>
      <c r="AK616" s="2" t="s">
        <v>74</v>
      </c>
      <c r="AL616" s="2" t="s">
        <v>74</v>
      </c>
      <c r="AM616" s="2" t="s">
        <v>74</v>
      </c>
      <c r="AN616" s="2" t="s">
        <v>74</v>
      </c>
      <c r="AO616" s="2" t="s">
        <v>477</v>
      </c>
      <c r="AP616" s="2" t="s">
        <v>74</v>
      </c>
      <c r="AQ616" s="2" t="s">
        <v>74</v>
      </c>
      <c r="AR616" s="2" t="s">
        <v>74</v>
      </c>
      <c r="AS616" s="2" t="s">
        <v>74</v>
      </c>
      <c r="AT616" s="2" t="s">
        <v>352</v>
      </c>
      <c r="AU616" s="2">
        <v>2002</v>
      </c>
      <c r="AV616" s="2">
        <v>128</v>
      </c>
      <c r="AW616" s="2">
        <v>2</v>
      </c>
      <c r="AX616" s="2" t="s">
        <v>74</v>
      </c>
      <c r="AY616" s="2" t="s">
        <v>74</v>
      </c>
      <c r="AZ616" s="2" t="s">
        <v>74</v>
      </c>
      <c r="BA616" s="2" t="s">
        <v>74</v>
      </c>
      <c r="BB616" s="2">
        <v>153</v>
      </c>
      <c r="BC616" s="2">
        <v>161</v>
      </c>
      <c r="BD616" s="2" t="s">
        <v>6070</v>
      </c>
      <c r="BE616" s="2" t="s">
        <v>6071</v>
      </c>
      <c r="BF616" s="2" t="str">
        <f>HYPERLINK("http://dx.doi.org/10.1016/S0016-6480(02)00077-1","http://dx.doi.org/10.1016/S0016-6480(02)00077-1")</f>
        <v>http://dx.doi.org/10.1016/S0016-6480(02)00077-1</v>
      </c>
      <c r="BG616" s="2" t="s">
        <v>74</v>
      </c>
      <c r="BH616" s="2" t="s">
        <v>74</v>
      </c>
      <c r="BI616" s="2" t="s">
        <v>74</v>
      </c>
      <c r="BJ616" s="2" t="s">
        <v>74</v>
      </c>
      <c r="BK616" s="2" t="s">
        <v>74</v>
      </c>
      <c r="BL616" s="2" t="s">
        <v>74</v>
      </c>
      <c r="BM616" s="2" t="s">
        <v>74</v>
      </c>
      <c r="BN616" s="2">
        <v>12392689</v>
      </c>
      <c r="BO616" s="2" t="s">
        <v>74</v>
      </c>
      <c r="BP616" s="2" t="s">
        <v>74</v>
      </c>
      <c r="BQ616" s="2" t="s">
        <v>74</v>
      </c>
      <c r="BR616" s="2" t="s">
        <v>74</v>
      </c>
      <c r="BS616" s="2" t="s">
        <v>6072</v>
      </c>
      <c r="BT616" s="2" t="str">
        <f>HYPERLINK("https%3A%2F%2Fwww.webofscience.com%2Fwos%2Fwoscc%2Ffull-record%2FWOS:000178785900008","View Full Record in Web of Science")</f>
        <v>View Full Record in Web of Science</v>
      </c>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row>
    <row r="617" spans="1:314" s="2" customFormat="1" x14ac:dyDescent="0.4">
      <c r="A617" s="2" t="s">
        <v>72</v>
      </c>
      <c r="B617" s="2" t="s">
        <v>8638</v>
      </c>
      <c r="C617" s="2" t="s">
        <v>74</v>
      </c>
      <c r="D617" s="2" t="s">
        <v>74</v>
      </c>
      <c r="E617" s="2" t="s">
        <v>74</v>
      </c>
      <c r="F617" s="2" t="s">
        <v>8638</v>
      </c>
      <c r="G617" s="2" t="s">
        <v>74</v>
      </c>
      <c r="H617" s="2" t="s">
        <v>74</v>
      </c>
      <c r="I617" s="2" t="s">
        <v>8639</v>
      </c>
      <c r="J617" s="2" t="s">
        <v>5814</v>
      </c>
      <c r="K617" s="2" t="s">
        <v>74</v>
      </c>
      <c r="L617" s="2" t="s">
        <v>74</v>
      </c>
      <c r="M617" s="2" t="s">
        <v>74</v>
      </c>
      <c r="N617" s="2" t="s">
        <v>74</v>
      </c>
      <c r="O617" s="2" t="s">
        <v>74</v>
      </c>
      <c r="P617" s="2" t="s">
        <v>74</v>
      </c>
      <c r="Q617" s="2" t="s">
        <v>74</v>
      </c>
      <c r="R617" s="2" t="s">
        <v>74</v>
      </c>
      <c r="S617" s="2" t="s">
        <v>74</v>
      </c>
      <c r="T617" s="2" t="s">
        <v>74</v>
      </c>
      <c r="U617" s="2" t="s">
        <v>74</v>
      </c>
      <c r="V617" s="5" t="s">
        <v>8640</v>
      </c>
      <c r="W617" s="2" t="s">
        <v>74</v>
      </c>
      <c r="X617" s="2" t="s">
        <v>74</v>
      </c>
      <c r="Y617" s="2" t="s">
        <v>74</v>
      </c>
      <c r="Z617" s="2" t="s">
        <v>74</v>
      </c>
      <c r="AA617" s="2" t="s">
        <v>8641</v>
      </c>
      <c r="AB617" s="2" t="s">
        <v>8642</v>
      </c>
      <c r="AC617" s="2" t="s">
        <v>74</v>
      </c>
      <c r="AD617" s="2" t="s">
        <v>74</v>
      </c>
      <c r="AE617" s="2" t="s">
        <v>74</v>
      </c>
      <c r="AF617" s="2" t="s">
        <v>74</v>
      </c>
      <c r="AG617" s="2" t="s">
        <v>74</v>
      </c>
      <c r="AH617" s="2" t="s">
        <v>74</v>
      </c>
      <c r="AI617" s="2" t="s">
        <v>74</v>
      </c>
      <c r="AJ617" s="2" t="s">
        <v>74</v>
      </c>
      <c r="AK617" s="2" t="s">
        <v>74</v>
      </c>
      <c r="AL617" s="2" t="s">
        <v>74</v>
      </c>
      <c r="AM617" s="2" t="s">
        <v>74</v>
      </c>
      <c r="AN617" s="2" t="s">
        <v>74</v>
      </c>
      <c r="AO617" s="2" t="s">
        <v>8643</v>
      </c>
      <c r="AP617" s="2" t="s">
        <v>74</v>
      </c>
      <c r="AQ617" s="2" t="s">
        <v>74</v>
      </c>
      <c r="AR617" s="2" t="s">
        <v>74</v>
      </c>
      <c r="AS617" s="2" t="s">
        <v>74</v>
      </c>
      <c r="AT617" s="2" t="s">
        <v>74</v>
      </c>
      <c r="AU617" s="2">
        <v>2000</v>
      </c>
      <c r="AV617" s="2">
        <v>97</v>
      </c>
      <c r="AW617" s="2">
        <v>1</v>
      </c>
      <c r="AX617" s="2" t="s">
        <v>74</v>
      </c>
      <c r="AY617" s="2" t="s">
        <v>74</v>
      </c>
      <c r="AZ617" s="2" t="s">
        <v>74</v>
      </c>
      <c r="BA617" s="2" t="s">
        <v>74</v>
      </c>
      <c r="BB617" s="2">
        <v>33</v>
      </c>
      <c r="BC617" s="2">
        <v>40</v>
      </c>
      <c r="BD617" s="2" t="s">
        <v>74</v>
      </c>
      <c r="BE617" s="2" t="s">
        <v>8644</v>
      </c>
      <c r="BF617" s="2" t="str">
        <f>HYPERLINK("http://dx.doi.org/10.14411/eje.2000.009","http://dx.doi.org/10.14411/eje.2000.009")</f>
        <v>http://dx.doi.org/10.14411/eje.2000.009</v>
      </c>
      <c r="BG617" s="2" t="s">
        <v>74</v>
      </c>
      <c r="BH617" s="2" t="s">
        <v>74</v>
      </c>
      <c r="BI617" s="2" t="s">
        <v>74</v>
      </c>
      <c r="BJ617" s="2" t="s">
        <v>74</v>
      </c>
      <c r="BK617" s="2" t="s">
        <v>74</v>
      </c>
      <c r="BL617" s="2" t="s">
        <v>74</v>
      </c>
      <c r="BM617" s="2" t="s">
        <v>74</v>
      </c>
      <c r="BN617" s="2" t="s">
        <v>74</v>
      </c>
      <c r="BO617" s="2" t="s">
        <v>74</v>
      </c>
      <c r="BP617" s="2" t="s">
        <v>74</v>
      </c>
      <c r="BQ617" s="2" t="s">
        <v>74</v>
      </c>
      <c r="BR617" s="2" t="s">
        <v>74</v>
      </c>
      <c r="BS617" s="2" t="s">
        <v>8645</v>
      </c>
      <c r="BT617" s="2" t="str">
        <f>HYPERLINK("https%3A%2F%2Fwww.webofscience.com%2Fwos%2Fwoscc%2Ffull-record%2FWOS:000087497200006","View Full Record in Web of Science")</f>
        <v>View Full Record in Web of Science</v>
      </c>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row>
    <row r="618" spans="1:314" s="2" customFormat="1" x14ac:dyDescent="0.4">
      <c r="A618" s="2" t="s">
        <v>72</v>
      </c>
      <c r="B618" s="2" t="s">
        <v>6312</v>
      </c>
      <c r="C618" s="2" t="s">
        <v>74</v>
      </c>
      <c r="D618" s="2" t="s">
        <v>74</v>
      </c>
      <c r="E618" s="2" t="s">
        <v>74</v>
      </c>
      <c r="F618" s="2" t="s">
        <v>6313</v>
      </c>
      <c r="G618" s="2" t="s">
        <v>74</v>
      </c>
      <c r="H618" s="2" t="s">
        <v>74</v>
      </c>
      <c r="I618" s="2" t="s">
        <v>6314</v>
      </c>
      <c r="J618" s="2" t="s">
        <v>333</v>
      </c>
      <c r="K618" s="2" t="s">
        <v>74</v>
      </c>
      <c r="L618" s="2" t="s">
        <v>74</v>
      </c>
      <c r="M618" s="2" t="s">
        <v>74</v>
      </c>
      <c r="N618" s="2" t="s">
        <v>74</v>
      </c>
      <c r="O618" s="2" t="s">
        <v>74</v>
      </c>
      <c r="P618" s="2" t="s">
        <v>74</v>
      </c>
      <c r="Q618" s="2" t="s">
        <v>74</v>
      </c>
      <c r="R618" s="2" t="s">
        <v>74</v>
      </c>
      <c r="S618" s="2" t="s">
        <v>74</v>
      </c>
      <c r="T618" s="2" t="s">
        <v>74</v>
      </c>
      <c r="U618" s="2" t="s">
        <v>74</v>
      </c>
      <c r="V618" s="5" t="s">
        <v>6315</v>
      </c>
      <c r="W618" s="2" t="s">
        <v>74</v>
      </c>
      <c r="X618" s="2" t="s">
        <v>74</v>
      </c>
      <c r="Y618" s="2" t="s">
        <v>74</v>
      </c>
      <c r="Z618" s="2" t="s">
        <v>74</v>
      </c>
      <c r="AA618" s="2" t="s">
        <v>74</v>
      </c>
      <c r="AB618" s="2" t="s">
        <v>74</v>
      </c>
      <c r="AC618" s="2" t="s">
        <v>74</v>
      </c>
      <c r="AD618" s="2" t="s">
        <v>74</v>
      </c>
      <c r="AE618" s="2" t="s">
        <v>74</v>
      </c>
      <c r="AF618" s="2" t="s">
        <v>74</v>
      </c>
      <c r="AG618" s="2" t="s">
        <v>74</v>
      </c>
      <c r="AH618" s="2" t="s">
        <v>74</v>
      </c>
      <c r="AI618" s="2" t="s">
        <v>74</v>
      </c>
      <c r="AJ618" s="2" t="s">
        <v>74</v>
      </c>
      <c r="AK618" s="2" t="s">
        <v>74</v>
      </c>
      <c r="AL618" s="2" t="s">
        <v>74</v>
      </c>
      <c r="AM618" s="2" t="s">
        <v>74</v>
      </c>
      <c r="AN618" s="2" t="s">
        <v>74</v>
      </c>
      <c r="AO618" s="2" t="s">
        <v>337</v>
      </c>
      <c r="AP618" s="2" t="s">
        <v>338</v>
      </c>
      <c r="AQ618" s="2" t="s">
        <v>74</v>
      </c>
      <c r="AR618" s="2" t="s">
        <v>74</v>
      </c>
      <c r="AS618" s="2" t="s">
        <v>74</v>
      </c>
      <c r="AT618" s="2" t="s">
        <v>1038</v>
      </c>
      <c r="AU618" s="2">
        <v>2018</v>
      </c>
      <c r="AV618" s="2">
        <v>29</v>
      </c>
      <c r="AW618" s="2">
        <v>2</v>
      </c>
      <c r="AX618" s="2" t="s">
        <v>74</v>
      </c>
      <c r="AY618" s="2" t="s">
        <v>74</v>
      </c>
      <c r="AZ618" s="2" t="s">
        <v>74</v>
      </c>
      <c r="BA618" s="2" t="s">
        <v>74</v>
      </c>
      <c r="BB618" s="2">
        <v>289</v>
      </c>
      <c r="BC618" s="2">
        <v>300</v>
      </c>
      <c r="BD618" s="2" t="s">
        <v>74</v>
      </c>
      <c r="BE618" s="2" t="s">
        <v>6316</v>
      </c>
      <c r="BF618" s="2" t="str">
        <f>HYPERLINK("http://dx.doi.org/10.1093/beheco/arx180","http://dx.doi.org/10.1093/beheco/arx180")</f>
        <v>http://dx.doi.org/10.1093/beheco/arx180</v>
      </c>
      <c r="BG618" s="2" t="s">
        <v>74</v>
      </c>
      <c r="BH618" s="2" t="s">
        <v>74</v>
      </c>
      <c r="BI618" s="2" t="s">
        <v>74</v>
      </c>
      <c r="BJ618" s="2" t="s">
        <v>74</v>
      </c>
      <c r="BK618" s="2" t="s">
        <v>74</v>
      </c>
      <c r="BL618" s="2" t="s">
        <v>74</v>
      </c>
      <c r="BM618" s="2" t="s">
        <v>74</v>
      </c>
      <c r="BN618" s="2" t="s">
        <v>74</v>
      </c>
      <c r="BO618" s="2" t="s">
        <v>74</v>
      </c>
      <c r="BP618" s="2" t="s">
        <v>74</v>
      </c>
      <c r="BQ618" s="2" t="s">
        <v>74</v>
      </c>
      <c r="BR618" s="2" t="s">
        <v>74</v>
      </c>
      <c r="BS618" s="2" t="s">
        <v>6317</v>
      </c>
      <c r="BT618" s="2" t="str">
        <f>HYPERLINK("https%3A%2F%2Fwww.webofscience.com%2Fwos%2Fwoscc%2Ffull-record%2FWOS:000427885600008","View Full Record in Web of Science")</f>
        <v>View Full Record in Web of Science</v>
      </c>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row>
    <row r="619" spans="1:314" s="2" customFormat="1" x14ac:dyDescent="0.4">
      <c r="A619" s="2" t="s">
        <v>72</v>
      </c>
      <c r="B619" s="2" t="s">
        <v>1133</v>
      </c>
      <c r="C619" s="2" t="s">
        <v>74</v>
      </c>
      <c r="D619" s="2" t="s">
        <v>74</v>
      </c>
      <c r="E619" s="2" t="s">
        <v>74</v>
      </c>
      <c r="F619" s="2" t="s">
        <v>1133</v>
      </c>
      <c r="G619" s="2" t="s">
        <v>74</v>
      </c>
      <c r="H619" s="2" t="s">
        <v>74</v>
      </c>
      <c r="I619" s="2" t="s">
        <v>1134</v>
      </c>
      <c r="J619" s="2" t="s">
        <v>1135</v>
      </c>
      <c r="K619" s="2" t="s">
        <v>74</v>
      </c>
      <c r="L619" s="2" t="s">
        <v>74</v>
      </c>
      <c r="M619" s="2" t="s">
        <v>74</v>
      </c>
      <c r="N619" s="2" t="s">
        <v>74</v>
      </c>
      <c r="O619" s="2" t="s">
        <v>74</v>
      </c>
      <c r="P619" s="2" t="s">
        <v>74</v>
      </c>
      <c r="Q619" s="2" t="s">
        <v>74</v>
      </c>
      <c r="R619" s="2" t="s">
        <v>74</v>
      </c>
      <c r="S619" s="2" t="s">
        <v>74</v>
      </c>
      <c r="T619" s="2" t="s">
        <v>74</v>
      </c>
      <c r="U619" s="2" t="s">
        <v>74</v>
      </c>
      <c r="V619" s="5" t="s">
        <v>1136</v>
      </c>
      <c r="W619" s="2" t="s">
        <v>74</v>
      </c>
      <c r="X619" s="2" t="s">
        <v>74</v>
      </c>
      <c r="Y619" s="2" t="s">
        <v>74</v>
      </c>
      <c r="Z619" s="2" t="s">
        <v>74</v>
      </c>
      <c r="AA619" s="2" t="s">
        <v>74</v>
      </c>
      <c r="AB619" s="2" t="s">
        <v>74</v>
      </c>
      <c r="AC619" s="2" t="s">
        <v>74</v>
      </c>
      <c r="AD619" s="2" t="s">
        <v>74</v>
      </c>
      <c r="AE619" s="2" t="s">
        <v>74</v>
      </c>
      <c r="AF619" s="2" t="s">
        <v>74</v>
      </c>
      <c r="AG619" s="2" t="s">
        <v>74</v>
      </c>
      <c r="AH619" s="2" t="s">
        <v>74</v>
      </c>
      <c r="AI619" s="2" t="s">
        <v>74</v>
      </c>
      <c r="AJ619" s="2" t="s">
        <v>74</v>
      </c>
      <c r="AK619" s="2" t="s">
        <v>74</v>
      </c>
      <c r="AL619" s="2" t="s">
        <v>74</v>
      </c>
      <c r="AM619" s="2" t="s">
        <v>74</v>
      </c>
      <c r="AN619" s="2" t="s">
        <v>74</v>
      </c>
      <c r="AO619" s="2" t="s">
        <v>1137</v>
      </c>
      <c r="AP619" s="2" t="s">
        <v>74</v>
      </c>
      <c r="AQ619" s="2" t="s">
        <v>74</v>
      </c>
      <c r="AR619" s="2" t="s">
        <v>74</v>
      </c>
      <c r="AS619" s="2" t="s">
        <v>74</v>
      </c>
      <c r="AT619" s="2" t="s">
        <v>305</v>
      </c>
      <c r="AU619" s="2">
        <v>1988</v>
      </c>
      <c r="AV619" s="2">
        <v>19</v>
      </c>
      <c r="AW619" s="2">
        <v>4</v>
      </c>
      <c r="AX619" s="2" t="s">
        <v>74</v>
      </c>
      <c r="AY619" s="2" t="s">
        <v>74</v>
      </c>
      <c r="AZ619" s="2" t="s">
        <v>74</v>
      </c>
      <c r="BA619" s="2" t="s">
        <v>74</v>
      </c>
      <c r="BB619" s="2">
        <v>287</v>
      </c>
      <c r="BC619" s="2">
        <v>289</v>
      </c>
      <c r="BD619" s="2" t="s">
        <v>74</v>
      </c>
      <c r="BE619" s="2" t="s">
        <v>1138</v>
      </c>
      <c r="BF619" s="2" t="str">
        <f>HYPERLINK("http://dx.doi.org/10.2307/3676723","http://dx.doi.org/10.2307/3676723")</f>
        <v>http://dx.doi.org/10.2307/3676723</v>
      </c>
      <c r="BG619" s="2" t="s">
        <v>74</v>
      </c>
      <c r="BH619" s="2" t="s">
        <v>74</v>
      </c>
      <c r="BI619" s="2" t="s">
        <v>74</v>
      </c>
      <c r="BJ619" s="2" t="s">
        <v>74</v>
      </c>
      <c r="BK619" s="2" t="s">
        <v>74</v>
      </c>
      <c r="BL619" s="2" t="s">
        <v>74</v>
      </c>
      <c r="BM619" s="2" t="s">
        <v>74</v>
      </c>
      <c r="BN619" s="2" t="s">
        <v>74</v>
      </c>
      <c r="BO619" s="2" t="s">
        <v>74</v>
      </c>
      <c r="BP619" s="2" t="s">
        <v>74</v>
      </c>
      <c r="BQ619" s="2" t="s">
        <v>74</v>
      </c>
      <c r="BR619" s="2" t="s">
        <v>74</v>
      </c>
      <c r="BS619" s="2" t="s">
        <v>1139</v>
      </c>
      <c r="BT619" s="2" t="str">
        <f>HYPERLINK("https%3A%2F%2Fwww.webofscience.com%2Fwos%2Fwoscc%2Ffull-record%2FWOS:A1988R388700006","View Full Record in Web of Science")</f>
        <v>View Full Record in Web of Science</v>
      </c>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row>
    <row r="620" spans="1:314" s="2" customFormat="1" x14ac:dyDescent="0.4">
      <c r="A620" s="2" t="s">
        <v>72</v>
      </c>
      <c r="B620" s="2" t="s">
        <v>7034</v>
      </c>
      <c r="C620" s="2" t="s">
        <v>74</v>
      </c>
      <c r="D620" s="2" t="s">
        <v>74</v>
      </c>
      <c r="E620" s="2" t="s">
        <v>74</v>
      </c>
      <c r="F620" s="2" t="s">
        <v>7034</v>
      </c>
      <c r="G620" s="2" t="s">
        <v>74</v>
      </c>
      <c r="H620" s="2" t="s">
        <v>74</v>
      </c>
      <c r="I620" s="2" t="s">
        <v>7035</v>
      </c>
      <c r="J620" s="2" t="s">
        <v>333</v>
      </c>
      <c r="K620" s="2" t="s">
        <v>74</v>
      </c>
      <c r="L620" s="2" t="s">
        <v>74</v>
      </c>
      <c r="M620" s="2" t="s">
        <v>74</v>
      </c>
      <c r="N620" s="2" t="s">
        <v>74</v>
      </c>
      <c r="O620" s="2" t="s">
        <v>74</v>
      </c>
      <c r="P620" s="2" t="s">
        <v>74</v>
      </c>
      <c r="Q620" s="2" t="s">
        <v>74</v>
      </c>
      <c r="R620" s="2" t="s">
        <v>74</v>
      </c>
      <c r="S620" s="2" t="s">
        <v>74</v>
      </c>
      <c r="T620" s="2" t="s">
        <v>74</v>
      </c>
      <c r="U620" s="2" t="s">
        <v>74</v>
      </c>
      <c r="V620" s="5" t="s">
        <v>7036</v>
      </c>
      <c r="W620" s="2" t="s">
        <v>74</v>
      </c>
      <c r="X620" s="2" t="s">
        <v>74</v>
      </c>
      <c r="Y620" s="2" t="s">
        <v>74</v>
      </c>
      <c r="Z620" s="2" t="s">
        <v>74</v>
      </c>
      <c r="AA620" s="2" t="s">
        <v>74</v>
      </c>
      <c r="AB620" s="2" t="s">
        <v>74</v>
      </c>
      <c r="AC620" s="2" t="s">
        <v>74</v>
      </c>
      <c r="AD620" s="2" t="s">
        <v>74</v>
      </c>
      <c r="AE620" s="2" t="s">
        <v>74</v>
      </c>
      <c r="AF620" s="2" t="s">
        <v>74</v>
      </c>
      <c r="AG620" s="2" t="s">
        <v>74</v>
      </c>
      <c r="AH620" s="2" t="s">
        <v>74</v>
      </c>
      <c r="AI620" s="2" t="s">
        <v>74</v>
      </c>
      <c r="AJ620" s="2" t="s">
        <v>74</v>
      </c>
      <c r="AK620" s="2" t="s">
        <v>74</v>
      </c>
      <c r="AL620" s="2" t="s">
        <v>74</v>
      </c>
      <c r="AM620" s="2" t="s">
        <v>74</v>
      </c>
      <c r="AN620" s="2" t="s">
        <v>74</v>
      </c>
      <c r="AO620" s="2" t="s">
        <v>337</v>
      </c>
      <c r="AP620" s="2" t="s">
        <v>338</v>
      </c>
      <c r="AQ620" s="2" t="s">
        <v>74</v>
      </c>
      <c r="AR620" s="2" t="s">
        <v>74</v>
      </c>
      <c r="AS620" s="2" t="s">
        <v>74</v>
      </c>
      <c r="AT620" s="2" t="s">
        <v>213</v>
      </c>
      <c r="AU620" s="2">
        <v>2004</v>
      </c>
      <c r="AV620" s="2">
        <v>15</v>
      </c>
      <c r="AW620" s="2">
        <v>6</v>
      </c>
      <c r="AX620" s="2" t="s">
        <v>74</v>
      </c>
      <c r="AY620" s="2" t="s">
        <v>74</v>
      </c>
      <c r="AZ620" s="2" t="s">
        <v>74</v>
      </c>
      <c r="BA620" s="2" t="s">
        <v>74</v>
      </c>
      <c r="BB620" s="2">
        <v>946</v>
      </c>
      <c r="BC620" s="2">
        <v>951</v>
      </c>
      <c r="BD620" s="2" t="s">
        <v>74</v>
      </c>
      <c r="BE620" s="2" t="s">
        <v>7037</v>
      </c>
      <c r="BF620" s="2" t="str">
        <f>HYPERLINK("http://dx.doi.org/10.1093/beheco/arh078","http://dx.doi.org/10.1093/beheco/arh078")</f>
        <v>http://dx.doi.org/10.1093/beheco/arh078</v>
      </c>
      <c r="BG620" s="2" t="s">
        <v>74</v>
      </c>
      <c r="BH620" s="2" t="s">
        <v>74</v>
      </c>
      <c r="BI620" s="2" t="s">
        <v>74</v>
      </c>
      <c r="BJ620" s="2" t="s">
        <v>74</v>
      </c>
      <c r="BK620" s="2" t="s">
        <v>74</v>
      </c>
      <c r="BL620" s="2" t="s">
        <v>74</v>
      </c>
      <c r="BM620" s="2" t="s">
        <v>74</v>
      </c>
      <c r="BN620" s="2" t="s">
        <v>74</v>
      </c>
      <c r="BO620" s="2" t="s">
        <v>74</v>
      </c>
      <c r="BP620" s="2" t="s">
        <v>74</v>
      </c>
      <c r="BQ620" s="2" t="s">
        <v>74</v>
      </c>
      <c r="BR620" s="2" t="s">
        <v>74</v>
      </c>
      <c r="BS620" s="2" t="s">
        <v>7038</v>
      </c>
      <c r="BT620" s="2" t="str">
        <f>HYPERLINK("https%3A%2F%2Fwww.webofscience.com%2Fwos%2Fwoscc%2Ffull-record%2FWOS:000224482000008","View Full Record in Web of Science")</f>
        <v>View Full Record in Web of Science</v>
      </c>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row>
    <row r="621" spans="1:314" s="2" customFormat="1" x14ac:dyDescent="0.4">
      <c r="A621" s="2" t="s">
        <v>72</v>
      </c>
      <c r="B621" s="2" t="s">
        <v>6269</v>
      </c>
      <c r="C621" s="2" t="s">
        <v>74</v>
      </c>
      <c r="D621" s="2" t="s">
        <v>74</v>
      </c>
      <c r="E621" s="2" t="s">
        <v>74</v>
      </c>
      <c r="F621" s="2" t="s">
        <v>6270</v>
      </c>
      <c r="G621" s="2" t="s">
        <v>74</v>
      </c>
      <c r="H621" s="2" t="s">
        <v>74</v>
      </c>
      <c r="I621" s="2" t="s">
        <v>6271</v>
      </c>
      <c r="J621" s="2" t="s">
        <v>654</v>
      </c>
      <c r="K621" s="2" t="s">
        <v>74</v>
      </c>
      <c r="L621" s="2" t="s">
        <v>74</v>
      </c>
      <c r="M621" s="2" t="s">
        <v>74</v>
      </c>
      <c r="N621" s="2" t="s">
        <v>74</v>
      </c>
      <c r="O621" s="2" t="s">
        <v>74</v>
      </c>
      <c r="P621" s="2" t="s">
        <v>74</v>
      </c>
      <c r="Q621" s="2" t="s">
        <v>74</v>
      </c>
      <c r="R621" s="2" t="s">
        <v>74</v>
      </c>
      <c r="S621" s="2" t="s">
        <v>74</v>
      </c>
      <c r="T621" s="2" t="s">
        <v>74</v>
      </c>
      <c r="U621" s="2" t="s">
        <v>74</v>
      </c>
      <c r="V621" s="5" t="s">
        <v>6272</v>
      </c>
      <c r="W621" s="2" t="s">
        <v>74</v>
      </c>
      <c r="X621" s="2" t="s">
        <v>74</v>
      </c>
      <c r="Y621" s="2" t="s">
        <v>74</v>
      </c>
      <c r="Z621" s="2" t="s">
        <v>74</v>
      </c>
      <c r="AA621" s="2" t="s">
        <v>74</v>
      </c>
      <c r="AB621" s="2" t="s">
        <v>6273</v>
      </c>
      <c r="AC621" s="2" t="s">
        <v>74</v>
      </c>
      <c r="AD621" s="2" t="s">
        <v>74</v>
      </c>
      <c r="AE621" s="2" t="s">
        <v>74</v>
      </c>
      <c r="AF621" s="2" t="s">
        <v>74</v>
      </c>
      <c r="AG621" s="2" t="s">
        <v>74</v>
      </c>
      <c r="AH621" s="2" t="s">
        <v>74</v>
      </c>
      <c r="AI621" s="2" t="s">
        <v>74</v>
      </c>
      <c r="AJ621" s="2" t="s">
        <v>74</v>
      </c>
      <c r="AK621" s="2" t="s">
        <v>74</v>
      </c>
      <c r="AL621" s="2" t="s">
        <v>74</v>
      </c>
      <c r="AM621" s="2" t="s">
        <v>74</v>
      </c>
      <c r="AN621" s="2" t="s">
        <v>74</v>
      </c>
      <c r="AO621" s="2" t="s">
        <v>658</v>
      </c>
      <c r="AP621" s="2" t="s">
        <v>74</v>
      </c>
      <c r="AQ621" s="2" t="s">
        <v>74</v>
      </c>
      <c r="AR621" s="2" t="s">
        <v>74</v>
      </c>
      <c r="AS621" s="2" t="s">
        <v>74</v>
      </c>
      <c r="AT621" s="2" t="s">
        <v>145</v>
      </c>
      <c r="AU621" s="2">
        <v>2021</v>
      </c>
      <c r="AV621" s="2">
        <v>11</v>
      </c>
      <c r="AW621" s="2">
        <v>16</v>
      </c>
      <c r="AX621" s="2" t="s">
        <v>74</v>
      </c>
      <c r="AY621" s="2" t="s">
        <v>74</v>
      </c>
      <c r="AZ621" s="2" t="s">
        <v>74</v>
      </c>
      <c r="BA621" s="2" t="s">
        <v>74</v>
      </c>
      <c r="BB621" s="2">
        <v>11038</v>
      </c>
      <c r="BC621" s="2">
        <v>11050</v>
      </c>
      <c r="BD621" s="2" t="s">
        <v>74</v>
      </c>
      <c r="BE621" s="2" t="s">
        <v>6274</v>
      </c>
      <c r="BF621" s="2" t="str">
        <f>HYPERLINK("http://dx.doi.org/10.1002/ece3.7892","http://dx.doi.org/10.1002/ece3.7892")</f>
        <v>http://dx.doi.org/10.1002/ece3.7892</v>
      </c>
      <c r="BG621" s="2" t="s">
        <v>74</v>
      </c>
      <c r="BH621" s="2" t="s">
        <v>3826</v>
      </c>
      <c r="BI621" s="2" t="s">
        <v>74</v>
      </c>
      <c r="BJ621" s="2" t="s">
        <v>74</v>
      </c>
      <c r="BK621" s="2" t="s">
        <v>74</v>
      </c>
      <c r="BL621" s="2" t="s">
        <v>74</v>
      </c>
      <c r="BM621" s="2" t="s">
        <v>74</v>
      </c>
      <c r="BN621" s="2">
        <v>34429901</v>
      </c>
      <c r="BO621" s="2" t="s">
        <v>74</v>
      </c>
      <c r="BP621" s="2" t="s">
        <v>74</v>
      </c>
      <c r="BQ621" s="2" t="s">
        <v>74</v>
      </c>
      <c r="BR621" s="2" t="s">
        <v>74</v>
      </c>
      <c r="BS621" s="2" t="s">
        <v>6275</v>
      </c>
      <c r="BT621" s="2" t="str">
        <f>HYPERLINK("https%3A%2F%2Fwww.webofscience.com%2Fwos%2Fwoscc%2Ffull-record%2FWOS:000670837800001","View Full Record in Web of Science")</f>
        <v>View Full Record in Web of Science</v>
      </c>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row>
    <row r="622" spans="1:314" s="2" customFormat="1" x14ac:dyDescent="0.4">
      <c r="A622" s="2" t="s">
        <v>72</v>
      </c>
      <c r="B622" s="2" t="s">
        <v>8184</v>
      </c>
      <c r="C622" s="2" t="s">
        <v>74</v>
      </c>
      <c r="D622" s="2" t="s">
        <v>74</v>
      </c>
      <c r="E622" s="2" t="s">
        <v>74</v>
      </c>
      <c r="F622" s="2" t="s">
        <v>8184</v>
      </c>
      <c r="G622" s="2" t="s">
        <v>74</v>
      </c>
      <c r="H622" s="2" t="s">
        <v>74</v>
      </c>
      <c r="I622" s="2" t="s">
        <v>8185</v>
      </c>
      <c r="J622" s="2" t="s">
        <v>8186</v>
      </c>
      <c r="K622" s="2" t="s">
        <v>74</v>
      </c>
      <c r="L622" s="2" t="s">
        <v>74</v>
      </c>
      <c r="M622" s="2" t="s">
        <v>74</v>
      </c>
      <c r="N622" s="2" t="s">
        <v>74</v>
      </c>
      <c r="O622" s="2" t="s">
        <v>74</v>
      </c>
      <c r="P622" s="2" t="s">
        <v>74</v>
      </c>
      <c r="Q622" s="2" t="s">
        <v>74</v>
      </c>
      <c r="R622" s="2" t="s">
        <v>74</v>
      </c>
      <c r="S622" s="2" t="s">
        <v>74</v>
      </c>
      <c r="T622" s="2" t="s">
        <v>74</v>
      </c>
      <c r="U622" s="2" t="s">
        <v>74</v>
      </c>
      <c r="V622" s="5" t="s">
        <v>8187</v>
      </c>
      <c r="W622" s="2" t="s">
        <v>74</v>
      </c>
      <c r="X622" s="2" t="s">
        <v>74</v>
      </c>
      <c r="Y622" s="2" t="s">
        <v>74</v>
      </c>
      <c r="Z622" s="2" t="s">
        <v>74</v>
      </c>
      <c r="AA622" s="2" t="s">
        <v>8188</v>
      </c>
      <c r="AB622" s="2" t="s">
        <v>8189</v>
      </c>
      <c r="AC622" s="2" t="s">
        <v>74</v>
      </c>
      <c r="AD622" s="2" t="s">
        <v>74</v>
      </c>
      <c r="AE622" s="2" t="s">
        <v>74</v>
      </c>
      <c r="AF622" s="2" t="s">
        <v>74</v>
      </c>
      <c r="AG622" s="2" t="s">
        <v>74</v>
      </c>
      <c r="AH622" s="2" t="s">
        <v>74</v>
      </c>
      <c r="AI622" s="2" t="s">
        <v>74</v>
      </c>
      <c r="AJ622" s="2" t="s">
        <v>74</v>
      </c>
      <c r="AK622" s="2" t="s">
        <v>74</v>
      </c>
      <c r="AL622" s="2" t="s">
        <v>74</v>
      </c>
      <c r="AM622" s="2" t="s">
        <v>74</v>
      </c>
      <c r="AN622" s="2" t="s">
        <v>74</v>
      </c>
      <c r="AO622" s="2" t="s">
        <v>8190</v>
      </c>
      <c r="AP622" s="2" t="s">
        <v>8191</v>
      </c>
      <c r="AQ622" s="2" t="s">
        <v>74</v>
      </c>
      <c r="AR622" s="2" t="s">
        <v>74</v>
      </c>
      <c r="AS622" s="2" t="s">
        <v>74</v>
      </c>
      <c r="AT622" s="2" t="s">
        <v>352</v>
      </c>
      <c r="AU622" s="2">
        <v>2004</v>
      </c>
      <c r="AV622" s="2">
        <v>82</v>
      </c>
      <c r="AW622" s="2">
        <v>2</v>
      </c>
      <c r="AX622" s="2" t="s">
        <v>74</v>
      </c>
      <c r="AY622" s="2" t="s">
        <v>74</v>
      </c>
      <c r="AZ622" s="2" t="s">
        <v>74</v>
      </c>
      <c r="BA622" s="2" t="s">
        <v>74</v>
      </c>
      <c r="BB622" s="2">
        <v>99</v>
      </c>
      <c r="BC622" s="2">
        <v>108</v>
      </c>
      <c r="BD622" s="2" t="s">
        <v>74</v>
      </c>
      <c r="BE622" s="2" t="s">
        <v>8192</v>
      </c>
      <c r="BF622" s="2" t="str">
        <f>HYPERLINK("http://dx.doi.org/10.1016/j.nlm.2004.05.001","http://dx.doi.org/10.1016/j.nlm.2004.05.001")</f>
        <v>http://dx.doi.org/10.1016/j.nlm.2004.05.001</v>
      </c>
      <c r="BG622" s="2" t="s">
        <v>74</v>
      </c>
      <c r="BH622" s="2" t="s">
        <v>74</v>
      </c>
      <c r="BI622" s="2" t="s">
        <v>74</v>
      </c>
      <c r="BJ622" s="2" t="s">
        <v>74</v>
      </c>
      <c r="BK622" s="2" t="s">
        <v>74</v>
      </c>
      <c r="BL622" s="2" t="s">
        <v>74</v>
      </c>
      <c r="BM622" s="2" t="s">
        <v>74</v>
      </c>
      <c r="BN622" s="2">
        <v>15341795</v>
      </c>
      <c r="BO622" s="2" t="s">
        <v>74</v>
      </c>
      <c r="BP622" s="2" t="s">
        <v>74</v>
      </c>
      <c r="BQ622" s="2" t="s">
        <v>74</v>
      </c>
      <c r="BR622" s="2" t="s">
        <v>74</v>
      </c>
      <c r="BS622" s="2" t="s">
        <v>8193</v>
      </c>
      <c r="BT622" s="2" t="str">
        <f>HYPERLINK("https%3A%2F%2Fwww.webofscience.com%2Fwos%2Fwoscc%2Ffull-record%2FWOS:000223495300006","View Full Record in Web of Science")</f>
        <v>View Full Record in Web of Science</v>
      </c>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row>
    <row r="623" spans="1:314" s="2" customFormat="1" x14ac:dyDescent="0.4">
      <c r="A623" s="2" t="s">
        <v>72</v>
      </c>
      <c r="B623" s="2" t="s">
        <v>3236</v>
      </c>
      <c r="C623" s="2" t="s">
        <v>74</v>
      </c>
      <c r="D623" s="2" t="s">
        <v>74</v>
      </c>
      <c r="E623" s="2" t="s">
        <v>74</v>
      </c>
      <c r="F623" s="2" t="s">
        <v>3236</v>
      </c>
      <c r="G623" s="2" t="s">
        <v>74</v>
      </c>
      <c r="H623" s="2" t="s">
        <v>74</v>
      </c>
      <c r="I623" s="2" t="s">
        <v>3237</v>
      </c>
      <c r="J623" s="2" t="s">
        <v>3238</v>
      </c>
      <c r="K623" s="2" t="s">
        <v>74</v>
      </c>
      <c r="L623" s="2" t="s">
        <v>74</v>
      </c>
      <c r="M623" s="2" t="s">
        <v>74</v>
      </c>
      <c r="N623" s="2" t="s">
        <v>74</v>
      </c>
      <c r="O623" s="2" t="s">
        <v>74</v>
      </c>
      <c r="P623" s="2" t="s">
        <v>74</v>
      </c>
      <c r="Q623" s="2" t="s">
        <v>74</v>
      </c>
      <c r="R623" s="2" t="s">
        <v>74</v>
      </c>
      <c r="S623" s="2" t="s">
        <v>74</v>
      </c>
      <c r="T623" s="2" t="s">
        <v>74</v>
      </c>
      <c r="U623" s="2" t="s">
        <v>74</v>
      </c>
      <c r="V623" s="5" t="s">
        <v>3239</v>
      </c>
      <c r="W623" s="2" t="s">
        <v>74</v>
      </c>
      <c r="X623" s="2" t="s">
        <v>74</v>
      </c>
      <c r="Y623" s="2" t="s">
        <v>74</v>
      </c>
      <c r="Z623" s="2" t="s">
        <v>74</v>
      </c>
      <c r="AA623" s="2" t="s">
        <v>74</v>
      </c>
      <c r="AB623" s="2" t="s">
        <v>74</v>
      </c>
      <c r="AC623" s="2" t="s">
        <v>74</v>
      </c>
      <c r="AD623" s="2" t="s">
        <v>74</v>
      </c>
      <c r="AE623" s="2" t="s">
        <v>74</v>
      </c>
      <c r="AF623" s="2" t="s">
        <v>74</v>
      </c>
      <c r="AG623" s="2" t="s">
        <v>74</v>
      </c>
      <c r="AH623" s="2" t="s">
        <v>74</v>
      </c>
      <c r="AI623" s="2" t="s">
        <v>74</v>
      </c>
      <c r="AJ623" s="2" t="s">
        <v>74</v>
      </c>
      <c r="AK623" s="2" t="s">
        <v>74</v>
      </c>
      <c r="AL623" s="2" t="s">
        <v>74</v>
      </c>
      <c r="AM623" s="2" t="s">
        <v>74</v>
      </c>
      <c r="AN623" s="2" t="s">
        <v>74</v>
      </c>
      <c r="AO623" s="2" t="s">
        <v>3240</v>
      </c>
      <c r="AP623" s="2" t="s">
        <v>3241</v>
      </c>
      <c r="AQ623" s="2" t="s">
        <v>74</v>
      </c>
      <c r="AR623" s="2" t="s">
        <v>74</v>
      </c>
      <c r="AS623" s="2" t="s">
        <v>74</v>
      </c>
      <c r="AT623" s="2" t="s">
        <v>74</v>
      </c>
      <c r="AU623" s="2">
        <v>1983</v>
      </c>
      <c r="AV623" s="2">
        <v>76</v>
      </c>
      <c r="AW623" s="2">
        <v>2</v>
      </c>
      <c r="AX623" s="2" t="s">
        <v>74</v>
      </c>
      <c r="AY623" s="2" t="s">
        <v>74</v>
      </c>
      <c r="AZ623" s="2" t="s">
        <v>74</v>
      </c>
      <c r="BA623" s="2" t="s">
        <v>74</v>
      </c>
      <c r="BB623" s="2">
        <v>197</v>
      </c>
      <c r="BC623" s="2">
        <v>204</v>
      </c>
      <c r="BD623" s="2" t="s">
        <v>74</v>
      </c>
      <c r="BE623" s="2" t="s">
        <v>3242</v>
      </c>
      <c r="BF623" s="2" t="str">
        <f>HYPERLINK("http://dx.doi.org/10.1093/aesa/76.2.197","http://dx.doi.org/10.1093/aesa/76.2.197")</f>
        <v>http://dx.doi.org/10.1093/aesa/76.2.197</v>
      </c>
      <c r="BG623" s="2" t="s">
        <v>74</v>
      </c>
      <c r="BH623" s="2" t="s">
        <v>74</v>
      </c>
      <c r="BI623" s="2" t="s">
        <v>74</v>
      </c>
      <c r="BJ623" s="2" t="s">
        <v>74</v>
      </c>
      <c r="BK623" s="2" t="s">
        <v>74</v>
      </c>
      <c r="BL623" s="2" t="s">
        <v>74</v>
      </c>
      <c r="BM623" s="2" t="s">
        <v>74</v>
      </c>
      <c r="BN623" s="2" t="s">
        <v>74</v>
      </c>
      <c r="BO623" s="2" t="s">
        <v>74</v>
      </c>
      <c r="BP623" s="2" t="s">
        <v>74</v>
      </c>
      <c r="BQ623" s="2" t="s">
        <v>74</v>
      </c>
      <c r="BR623" s="2" t="s">
        <v>74</v>
      </c>
      <c r="BS623" s="2" t="s">
        <v>3243</v>
      </c>
      <c r="BT623" s="2" t="str">
        <f>HYPERLINK("https%3A%2F%2Fwww.webofscience.com%2Fwos%2Fwoscc%2Ffull-record%2FWOS:A1983QE09100008","View Full Record in Web of Science")</f>
        <v>View Full Record in Web of Science</v>
      </c>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row>
    <row r="624" spans="1:314" s="2" customFormat="1" x14ac:dyDescent="0.4">
      <c r="A624" s="2" t="s">
        <v>72</v>
      </c>
      <c r="B624" s="2" t="s">
        <v>394</v>
      </c>
      <c r="C624" s="2" t="s">
        <v>74</v>
      </c>
      <c r="D624" s="2" t="s">
        <v>74</v>
      </c>
      <c r="E624" s="2" t="s">
        <v>74</v>
      </c>
      <c r="F624" s="2" t="s">
        <v>395</v>
      </c>
      <c r="G624" s="2" t="s">
        <v>74</v>
      </c>
      <c r="H624" s="2" t="s">
        <v>74</v>
      </c>
      <c r="I624" s="2" t="s">
        <v>396</v>
      </c>
      <c r="J624" s="2" t="s">
        <v>397</v>
      </c>
      <c r="K624" s="2" t="s">
        <v>74</v>
      </c>
      <c r="L624" s="2" t="s">
        <v>74</v>
      </c>
      <c r="M624" s="2" t="s">
        <v>74</v>
      </c>
      <c r="N624" s="2" t="s">
        <v>74</v>
      </c>
      <c r="O624" s="2" t="s">
        <v>74</v>
      </c>
      <c r="P624" s="2" t="s">
        <v>74</v>
      </c>
      <c r="Q624" s="2" t="s">
        <v>74</v>
      </c>
      <c r="R624" s="2" t="s">
        <v>74</v>
      </c>
      <c r="S624" s="2" t="s">
        <v>74</v>
      </c>
      <c r="T624" s="2" t="s">
        <v>74</v>
      </c>
      <c r="U624" s="2" t="s">
        <v>74</v>
      </c>
      <c r="V624" s="5" t="s">
        <v>398</v>
      </c>
      <c r="W624" s="2" t="s">
        <v>74</v>
      </c>
      <c r="X624" s="2" t="s">
        <v>74</v>
      </c>
      <c r="Y624" s="2" t="s">
        <v>74</v>
      </c>
      <c r="Z624" s="2" t="s">
        <v>74</v>
      </c>
      <c r="AA624" s="2" t="s">
        <v>399</v>
      </c>
      <c r="AB624" s="2" t="s">
        <v>400</v>
      </c>
      <c r="AC624" s="2" t="s">
        <v>74</v>
      </c>
      <c r="AD624" s="2" t="s">
        <v>74</v>
      </c>
      <c r="AE624" s="2" t="s">
        <v>74</v>
      </c>
      <c r="AF624" s="2" t="s">
        <v>74</v>
      </c>
      <c r="AG624" s="2" t="s">
        <v>74</v>
      </c>
      <c r="AH624" s="2" t="s">
        <v>74</v>
      </c>
      <c r="AI624" s="2" t="s">
        <v>74</v>
      </c>
      <c r="AJ624" s="2" t="s">
        <v>74</v>
      </c>
      <c r="AK624" s="2" t="s">
        <v>74</v>
      </c>
      <c r="AL624" s="2" t="s">
        <v>74</v>
      </c>
      <c r="AM624" s="2" t="s">
        <v>74</v>
      </c>
      <c r="AN624" s="2" t="s">
        <v>74</v>
      </c>
      <c r="AO624" s="2" t="s">
        <v>401</v>
      </c>
      <c r="AP624" s="2" t="s">
        <v>402</v>
      </c>
      <c r="AQ624" s="2" t="s">
        <v>74</v>
      </c>
      <c r="AR624" s="2" t="s">
        <v>74</v>
      </c>
      <c r="AS624" s="2" t="s">
        <v>74</v>
      </c>
      <c r="AT624" s="2" t="s">
        <v>213</v>
      </c>
      <c r="AU624" s="2">
        <v>2016</v>
      </c>
      <c r="AV624" s="2">
        <v>15</v>
      </c>
      <c r="AW624" s="2">
        <v>8</v>
      </c>
      <c r="AX624" s="2" t="s">
        <v>74</v>
      </c>
      <c r="AY624" s="2" t="s">
        <v>74</v>
      </c>
      <c r="AZ624" s="2" t="s">
        <v>74</v>
      </c>
      <c r="BA624" s="2" t="s">
        <v>74</v>
      </c>
      <c r="BB624" s="2">
        <v>733</v>
      </c>
      <c r="BC624" s="2">
        <v>740</v>
      </c>
      <c r="BD624" s="2" t="s">
        <v>74</v>
      </c>
      <c r="BE624" s="2" t="s">
        <v>403</v>
      </c>
      <c r="BF624" s="2" t="str">
        <f>HYPERLINK("http://dx.doi.org/10.1111/gbb.12313","http://dx.doi.org/10.1111/gbb.12313")</f>
        <v>http://dx.doi.org/10.1111/gbb.12313</v>
      </c>
      <c r="BG624" s="2" t="s">
        <v>74</v>
      </c>
      <c r="BH624" s="2" t="s">
        <v>74</v>
      </c>
      <c r="BI624" s="2" t="s">
        <v>74</v>
      </c>
      <c r="BJ624" s="2" t="s">
        <v>74</v>
      </c>
      <c r="BK624" s="2" t="s">
        <v>74</v>
      </c>
      <c r="BL624" s="2" t="s">
        <v>74</v>
      </c>
      <c r="BM624" s="2" t="s">
        <v>74</v>
      </c>
      <c r="BN624" s="2">
        <v>27489198</v>
      </c>
      <c r="BO624" s="2" t="s">
        <v>74</v>
      </c>
      <c r="BP624" s="2" t="s">
        <v>74</v>
      </c>
      <c r="BQ624" s="2" t="s">
        <v>74</v>
      </c>
      <c r="BR624" s="2" t="s">
        <v>74</v>
      </c>
      <c r="BS624" s="2" t="s">
        <v>404</v>
      </c>
      <c r="BT624" s="2" t="str">
        <f>HYPERLINK("https%3A%2F%2Fwww.webofscience.com%2Fwos%2Fwoscc%2Ffull-record%2FWOS:000393079000005","View Full Record in Web of Science")</f>
        <v>View Full Record in Web of Science</v>
      </c>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row>
    <row r="625" spans="1:314" s="2" customFormat="1" x14ac:dyDescent="0.4">
      <c r="A625" s="2" t="s">
        <v>72</v>
      </c>
      <c r="B625" s="2" t="s">
        <v>4096</v>
      </c>
      <c r="C625" s="2" t="s">
        <v>74</v>
      </c>
      <c r="D625" s="2" t="s">
        <v>74</v>
      </c>
      <c r="E625" s="2" t="s">
        <v>74</v>
      </c>
      <c r="F625" s="2" t="s">
        <v>4097</v>
      </c>
      <c r="G625" s="2" t="s">
        <v>74</v>
      </c>
      <c r="H625" s="2" t="s">
        <v>74</v>
      </c>
      <c r="I625" s="2" t="s">
        <v>4098</v>
      </c>
      <c r="J625" s="2" t="s">
        <v>218</v>
      </c>
      <c r="K625" s="2" t="s">
        <v>74</v>
      </c>
      <c r="L625" s="2" t="s">
        <v>74</v>
      </c>
      <c r="M625" s="2" t="s">
        <v>74</v>
      </c>
      <c r="N625" s="2" t="s">
        <v>74</v>
      </c>
      <c r="O625" s="2" t="s">
        <v>74</v>
      </c>
      <c r="P625" s="2" t="s">
        <v>74</v>
      </c>
      <c r="Q625" s="2" t="s">
        <v>74</v>
      </c>
      <c r="R625" s="2" t="s">
        <v>74</v>
      </c>
      <c r="S625" s="2" t="s">
        <v>74</v>
      </c>
      <c r="T625" s="2" t="s">
        <v>74</v>
      </c>
      <c r="U625" s="2" t="s">
        <v>74</v>
      </c>
      <c r="V625" s="5" t="s">
        <v>4099</v>
      </c>
      <c r="W625" s="2" t="s">
        <v>74</v>
      </c>
      <c r="X625" s="2" t="s">
        <v>74</v>
      </c>
      <c r="Y625" s="2" t="s">
        <v>74</v>
      </c>
      <c r="Z625" s="2" t="s">
        <v>74</v>
      </c>
      <c r="AA625" s="2" t="s">
        <v>74</v>
      </c>
      <c r="AB625" s="2" t="s">
        <v>4100</v>
      </c>
      <c r="AC625" s="2" t="s">
        <v>74</v>
      </c>
      <c r="AD625" s="2" t="s">
        <v>74</v>
      </c>
      <c r="AE625" s="2" t="s">
        <v>74</v>
      </c>
      <c r="AF625" s="2" t="s">
        <v>74</v>
      </c>
      <c r="AG625" s="2" t="s">
        <v>74</v>
      </c>
      <c r="AH625" s="2" t="s">
        <v>74</v>
      </c>
      <c r="AI625" s="2" t="s">
        <v>74</v>
      </c>
      <c r="AJ625" s="2" t="s">
        <v>74</v>
      </c>
      <c r="AK625" s="2" t="s">
        <v>74</v>
      </c>
      <c r="AL625" s="2" t="s">
        <v>74</v>
      </c>
      <c r="AM625" s="2" t="s">
        <v>74</v>
      </c>
      <c r="AN625" s="2" t="s">
        <v>74</v>
      </c>
      <c r="AO625" s="2" t="s">
        <v>221</v>
      </c>
      <c r="AP625" s="2" t="s">
        <v>222</v>
      </c>
      <c r="AQ625" s="2" t="s">
        <v>74</v>
      </c>
      <c r="AR625" s="2" t="s">
        <v>74</v>
      </c>
      <c r="AS625" s="2" t="s">
        <v>74</v>
      </c>
      <c r="AT625" s="2" t="s">
        <v>3302</v>
      </c>
      <c r="AU625" s="2">
        <v>2024</v>
      </c>
      <c r="AV625" s="2">
        <v>37</v>
      </c>
      <c r="AW625" s="2">
        <v>3</v>
      </c>
      <c r="AX625" s="2" t="s">
        <v>74</v>
      </c>
      <c r="AY625" s="2" t="s">
        <v>74</v>
      </c>
      <c r="AZ625" s="2" t="s">
        <v>74</v>
      </c>
      <c r="BA625" s="2" t="s">
        <v>74</v>
      </c>
      <c r="BB625" s="2">
        <v>267</v>
      </c>
      <c r="BC625" s="2">
        <v>273</v>
      </c>
      <c r="BD625" s="2" t="s">
        <v>74</v>
      </c>
      <c r="BE625" s="2" t="s">
        <v>4101</v>
      </c>
      <c r="BF625" s="2" t="str">
        <f>HYPERLINK("http://dx.doi.org/10.1093/jeb/voae010","http://dx.doi.org/10.1093/jeb/voae010")</f>
        <v>http://dx.doi.org/10.1093/jeb/voae010</v>
      </c>
      <c r="BG625" s="2" t="s">
        <v>74</v>
      </c>
      <c r="BH625" s="2" t="s">
        <v>583</v>
      </c>
      <c r="BI625" s="2" t="s">
        <v>74</v>
      </c>
      <c r="BJ625" s="2" t="s">
        <v>74</v>
      </c>
      <c r="BK625" s="2" t="s">
        <v>74</v>
      </c>
      <c r="BL625" s="2" t="s">
        <v>74</v>
      </c>
      <c r="BM625" s="2" t="s">
        <v>74</v>
      </c>
      <c r="BN625" s="2">
        <v>38306464</v>
      </c>
      <c r="BO625" s="2" t="s">
        <v>74</v>
      </c>
      <c r="BP625" s="2" t="s">
        <v>74</v>
      </c>
      <c r="BQ625" s="2" t="s">
        <v>74</v>
      </c>
      <c r="BR625" s="2" t="s">
        <v>74</v>
      </c>
      <c r="BS625" s="2" t="s">
        <v>4102</v>
      </c>
      <c r="BT625" s="2" t="str">
        <f>HYPERLINK("https%3A%2F%2Fwww.webofscience.com%2Fwos%2Fwoscc%2Ffull-record%2FWOS:001155391900001","View Full Record in Web of Science")</f>
        <v>View Full Record in Web of Science</v>
      </c>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row>
    <row r="626" spans="1:314" s="2" customFormat="1" x14ac:dyDescent="0.4">
      <c r="A626" s="2" t="s">
        <v>72</v>
      </c>
      <c r="B626" s="2" t="s">
        <v>178</v>
      </c>
      <c r="C626" s="2" t="s">
        <v>74</v>
      </c>
      <c r="D626" s="2" t="s">
        <v>74</v>
      </c>
      <c r="E626" s="2" t="s">
        <v>74</v>
      </c>
      <c r="F626" s="2" t="s">
        <v>179</v>
      </c>
      <c r="G626" s="2" t="s">
        <v>74</v>
      </c>
      <c r="H626" s="2" t="s">
        <v>74</v>
      </c>
      <c r="I626" s="2" t="s">
        <v>180</v>
      </c>
      <c r="J626" s="2" t="s">
        <v>181</v>
      </c>
      <c r="K626" s="2" t="s">
        <v>74</v>
      </c>
      <c r="L626" s="2" t="s">
        <v>74</v>
      </c>
      <c r="M626" s="2" t="s">
        <v>74</v>
      </c>
      <c r="N626" s="2" t="s">
        <v>74</v>
      </c>
      <c r="O626" s="2" t="s">
        <v>74</v>
      </c>
      <c r="P626" s="2" t="s">
        <v>74</v>
      </c>
      <c r="Q626" s="2" t="s">
        <v>74</v>
      </c>
      <c r="R626" s="2" t="s">
        <v>74</v>
      </c>
      <c r="S626" s="2" t="s">
        <v>74</v>
      </c>
      <c r="T626" s="2" t="s">
        <v>74</v>
      </c>
      <c r="U626" s="2" t="s">
        <v>74</v>
      </c>
      <c r="V626" s="5" t="s">
        <v>182</v>
      </c>
      <c r="W626" s="2" t="s">
        <v>74</v>
      </c>
      <c r="X626" s="2" t="s">
        <v>74</v>
      </c>
      <c r="Y626" s="2" t="s">
        <v>74</v>
      </c>
      <c r="Z626" s="2" t="s">
        <v>74</v>
      </c>
      <c r="AA626" s="2" t="s">
        <v>183</v>
      </c>
      <c r="AB626" s="2" t="s">
        <v>184</v>
      </c>
      <c r="AC626" s="2" t="s">
        <v>74</v>
      </c>
      <c r="AD626" s="2" t="s">
        <v>74</v>
      </c>
      <c r="AE626" s="2" t="s">
        <v>74</v>
      </c>
      <c r="AF626" s="2" t="s">
        <v>74</v>
      </c>
      <c r="AG626" s="2" t="s">
        <v>74</v>
      </c>
      <c r="AH626" s="2" t="s">
        <v>74</v>
      </c>
      <c r="AI626" s="2" t="s">
        <v>74</v>
      </c>
      <c r="AJ626" s="2" t="s">
        <v>74</v>
      </c>
      <c r="AK626" s="2" t="s">
        <v>74</v>
      </c>
      <c r="AL626" s="2" t="s">
        <v>74</v>
      </c>
      <c r="AM626" s="2" t="s">
        <v>74</v>
      </c>
      <c r="AN626" s="2" t="s">
        <v>74</v>
      </c>
      <c r="AO626" s="2" t="s">
        <v>185</v>
      </c>
      <c r="AP626" s="2" t="s">
        <v>74</v>
      </c>
      <c r="AQ626" s="2" t="s">
        <v>74</v>
      </c>
      <c r="AR626" s="2" t="s">
        <v>74</v>
      </c>
      <c r="AS626" s="2" t="s">
        <v>74</v>
      </c>
      <c r="AT626" s="2" t="s">
        <v>186</v>
      </c>
      <c r="AU626" s="2">
        <v>2015</v>
      </c>
      <c r="AV626" s="2">
        <v>13</v>
      </c>
      <c r="AW626" s="2" t="s">
        <v>74</v>
      </c>
      <c r="AX626" s="2" t="s">
        <v>74</v>
      </c>
      <c r="AY626" s="2" t="s">
        <v>74</v>
      </c>
      <c r="AZ626" s="2" t="s">
        <v>74</v>
      </c>
      <c r="BA626" s="2" t="s">
        <v>74</v>
      </c>
      <c r="BB626" s="2" t="s">
        <v>74</v>
      </c>
      <c r="BC626" s="2" t="s">
        <v>74</v>
      </c>
      <c r="BD626" s="2">
        <v>82</v>
      </c>
      <c r="BE626" s="2" t="s">
        <v>187</v>
      </c>
      <c r="BF626" s="2" t="str">
        <f>HYPERLINK("http://dx.doi.org/10.1186/s12915-015-0192-7","http://dx.doi.org/10.1186/s12915-015-0192-7")</f>
        <v>http://dx.doi.org/10.1186/s12915-015-0192-7</v>
      </c>
      <c r="BG626" s="2" t="s">
        <v>74</v>
      </c>
      <c r="BH626" s="2" t="s">
        <v>74</v>
      </c>
      <c r="BI626" s="2" t="s">
        <v>74</v>
      </c>
      <c r="BJ626" s="2" t="s">
        <v>74</v>
      </c>
      <c r="BK626" s="2" t="s">
        <v>74</v>
      </c>
      <c r="BL626" s="2" t="s">
        <v>74</v>
      </c>
      <c r="BM626" s="2" t="s">
        <v>74</v>
      </c>
      <c r="BN626" s="2">
        <v>26437665</v>
      </c>
      <c r="BO626" s="2" t="s">
        <v>74</v>
      </c>
      <c r="BP626" s="2" t="s">
        <v>74</v>
      </c>
      <c r="BQ626" s="2" t="s">
        <v>74</v>
      </c>
      <c r="BR626" s="2" t="s">
        <v>74</v>
      </c>
      <c r="BS626" s="2" t="s">
        <v>188</v>
      </c>
      <c r="BT626" s="2" t="str">
        <f>HYPERLINK("https%3A%2F%2Fwww.webofscience.com%2Fwos%2Fwoscc%2Ffull-record%2FWOS:000362280500001","View Full Record in Web of Science")</f>
        <v>View Full Record in Web of Science</v>
      </c>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row>
    <row r="627" spans="1:314" s="2" customFormat="1" x14ac:dyDescent="0.4">
      <c r="A627" s="2" t="s">
        <v>72</v>
      </c>
      <c r="B627" s="2" t="s">
        <v>6589</v>
      </c>
      <c r="C627" s="2" t="s">
        <v>74</v>
      </c>
      <c r="D627" s="2" t="s">
        <v>74</v>
      </c>
      <c r="E627" s="2" t="s">
        <v>74</v>
      </c>
      <c r="F627" s="2" t="s">
        <v>6589</v>
      </c>
      <c r="G627" s="2" t="s">
        <v>74</v>
      </c>
      <c r="H627" s="2" t="s">
        <v>74</v>
      </c>
      <c r="I627" s="2" t="s">
        <v>6590</v>
      </c>
      <c r="J627" s="2" t="s">
        <v>77</v>
      </c>
      <c r="K627" s="2" t="s">
        <v>74</v>
      </c>
      <c r="L627" s="2" t="s">
        <v>74</v>
      </c>
      <c r="M627" s="2" t="s">
        <v>74</v>
      </c>
      <c r="N627" s="2" t="s">
        <v>74</v>
      </c>
      <c r="O627" s="2" t="s">
        <v>74</v>
      </c>
      <c r="P627" s="2" t="s">
        <v>74</v>
      </c>
      <c r="Q627" s="2" t="s">
        <v>74</v>
      </c>
      <c r="R627" s="2" t="s">
        <v>74</v>
      </c>
      <c r="S627" s="2" t="s">
        <v>74</v>
      </c>
      <c r="T627" s="2" t="s">
        <v>74</v>
      </c>
      <c r="U627" s="2" t="s">
        <v>74</v>
      </c>
      <c r="V627" s="5" t="s">
        <v>6591</v>
      </c>
      <c r="W627" s="2" t="s">
        <v>74</v>
      </c>
      <c r="X627" s="2" t="s">
        <v>74</v>
      </c>
      <c r="Y627" s="2" t="s">
        <v>74</v>
      </c>
      <c r="Z627" s="2" t="s">
        <v>74</v>
      </c>
      <c r="AA627" s="2" t="s">
        <v>74</v>
      </c>
      <c r="AB627" s="2" t="s">
        <v>74</v>
      </c>
      <c r="AC627" s="2" t="s">
        <v>74</v>
      </c>
      <c r="AD627" s="2" t="s">
        <v>74</v>
      </c>
      <c r="AE627" s="2" t="s">
        <v>74</v>
      </c>
      <c r="AF627" s="2" t="s">
        <v>74</v>
      </c>
      <c r="AG627" s="2" t="s">
        <v>74</v>
      </c>
      <c r="AH627" s="2" t="s">
        <v>74</v>
      </c>
      <c r="AI627" s="2" t="s">
        <v>74</v>
      </c>
      <c r="AJ627" s="2" t="s">
        <v>74</v>
      </c>
      <c r="AK627" s="2" t="s">
        <v>74</v>
      </c>
      <c r="AL627" s="2" t="s">
        <v>74</v>
      </c>
      <c r="AM627" s="2" t="s">
        <v>74</v>
      </c>
      <c r="AN627" s="2" t="s">
        <v>74</v>
      </c>
      <c r="AO627" s="2" t="s">
        <v>81</v>
      </c>
      <c r="AP627" s="2" t="s">
        <v>82</v>
      </c>
      <c r="AQ627" s="2" t="s">
        <v>74</v>
      </c>
      <c r="AR627" s="2" t="s">
        <v>74</v>
      </c>
      <c r="AS627" s="2" t="s">
        <v>74</v>
      </c>
      <c r="AT627" s="2" t="s">
        <v>74</v>
      </c>
      <c r="AU627" s="2">
        <v>1978</v>
      </c>
      <c r="AV627" s="2">
        <v>67</v>
      </c>
      <c r="AW627" s="2" t="s">
        <v>74</v>
      </c>
      <c r="AX627" s="2" t="s">
        <v>1276</v>
      </c>
      <c r="AY627" s="2" t="s">
        <v>74</v>
      </c>
      <c r="AZ627" s="2" t="s">
        <v>74</v>
      </c>
      <c r="BA627" s="2" t="s">
        <v>74</v>
      </c>
      <c r="BB627" s="2">
        <v>178</v>
      </c>
      <c r="BC627" s="2">
        <v>207</v>
      </c>
      <c r="BD627" s="2" t="s">
        <v>74</v>
      </c>
      <c r="BE627" s="2" t="s">
        <v>6592</v>
      </c>
      <c r="BF627" s="2" t="str">
        <f>HYPERLINK("http://dx.doi.org/10.1163/156853978X00323","http://dx.doi.org/10.1163/156853978X00323")</f>
        <v>http://dx.doi.org/10.1163/156853978X00323</v>
      </c>
      <c r="BG627" s="2" t="s">
        <v>74</v>
      </c>
      <c r="BH627" s="2" t="s">
        <v>74</v>
      </c>
      <c r="BI627" s="2" t="s">
        <v>74</v>
      </c>
      <c r="BJ627" s="2" t="s">
        <v>74</v>
      </c>
      <c r="BK627" s="2" t="s">
        <v>74</v>
      </c>
      <c r="BL627" s="2" t="s">
        <v>74</v>
      </c>
      <c r="BM627" s="2" t="s">
        <v>74</v>
      </c>
      <c r="BN627" s="2" t="s">
        <v>74</v>
      </c>
      <c r="BO627" s="2" t="s">
        <v>74</v>
      </c>
      <c r="BP627" s="2" t="s">
        <v>74</v>
      </c>
      <c r="BQ627" s="2" t="s">
        <v>74</v>
      </c>
      <c r="BR627" s="2" t="s">
        <v>74</v>
      </c>
      <c r="BS627" s="2" t="s">
        <v>6593</v>
      </c>
      <c r="BT627" s="2" t="str">
        <f>HYPERLINK("https%3A%2F%2Fwww.webofscience.com%2Fwos%2Fwoscc%2Ffull-record%2FWOS:A1978GF13900003","View Full Record in Web of Science")</f>
        <v>View Full Record in Web of Science</v>
      </c>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row>
    <row r="628" spans="1:314" s="2" customFormat="1" x14ac:dyDescent="0.4">
      <c r="A628" s="2" t="s">
        <v>72</v>
      </c>
      <c r="B628" s="2" t="s">
        <v>4983</v>
      </c>
      <c r="C628" s="2" t="s">
        <v>74</v>
      </c>
      <c r="D628" s="2" t="s">
        <v>74</v>
      </c>
      <c r="E628" s="2" t="s">
        <v>74</v>
      </c>
      <c r="F628" s="2" t="s">
        <v>4984</v>
      </c>
      <c r="G628" s="2" t="s">
        <v>74</v>
      </c>
      <c r="H628" s="2" t="s">
        <v>74</v>
      </c>
      <c r="I628" s="2" t="s">
        <v>4985</v>
      </c>
      <c r="J628" s="2" t="s">
        <v>408</v>
      </c>
      <c r="K628" s="2" t="s">
        <v>74</v>
      </c>
      <c r="L628" s="2" t="s">
        <v>74</v>
      </c>
      <c r="M628" s="2" t="s">
        <v>74</v>
      </c>
      <c r="N628" s="2" t="s">
        <v>74</v>
      </c>
      <c r="O628" s="2" t="s">
        <v>74</v>
      </c>
      <c r="P628" s="2" t="s">
        <v>74</v>
      </c>
      <c r="Q628" s="2" t="s">
        <v>74</v>
      </c>
      <c r="R628" s="2" t="s">
        <v>74</v>
      </c>
      <c r="S628" s="2" t="s">
        <v>74</v>
      </c>
      <c r="T628" s="2" t="s">
        <v>74</v>
      </c>
      <c r="U628" s="2" t="s">
        <v>74</v>
      </c>
      <c r="V628" s="5" t="s">
        <v>4986</v>
      </c>
      <c r="W628" s="2" t="s">
        <v>74</v>
      </c>
      <c r="X628" s="2" t="s">
        <v>74</v>
      </c>
      <c r="Y628" s="2" t="s">
        <v>74</v>
      </c>
      <c r="Z628" s="2" t="s">
        <v>74</v>
      </c>
      <c r="AA628" s="2" t="s">
        <v>4987</v>
      </c>
      <c r="AB628" s="2" t="s">
        <v>4988</v>
      </c>
      <c r="AC628" s="2" t="s">
        <v>74</v>
      </c>
      <c r="AD628" s="2" t="s">
        <v>74</v>
      </c>
      <c r="AE628" s="2" t="s">
        <v>74</v>
      </c>
      <c r="AF628" s="2" t="s">
        <v>74</v>
      </c>
      <c r="AG628" s="2" t="s">
        <v>74</v>
      </c>
      <c r="AH628" s="2" t="s">
        <v>74</v>
      </c>
      <c r="AI628" s="2" t="s">
        <v>74</v>
      </c>
      <c r="AJ628" s="2" t="s">
        <v>74</v>
      </c>
      <c r="AK628" s="2" t="s">
        <v>74</v>
      </c>
      <c r="AL628" s="2" t="s">
        <v>74</v>
      </c>
      <c r="AM628" s="2" t="s">
        <v>74</v>
      </c>
      <c r="AN628" s="2" t="s">
        <v>74</v>
      </c>
      <c r="AO628" s="2" t="s">
        <v>412</v>
      </c>
      <c r="AP628" s="2" t="s">
        <v>413</v>
      </c>
      <c r="AQ628" s="2" t="s">
        <v>74</v>
      </c>
      <c r="AR628" s="2" t="s">
        <v>74</v>
      </c>
      <c r="AS628" s="2" t="s">
        <v>74</v>
      </c>
      <c r="AT628" s="2" t="s">
        <v>213</v>
      </c>
      <c r="AU628" s="2">
        <v>2021</v>
      </c>
      <c r="AV628" s="2">
        <v>134</v>
      </c>
      <c r="AW628" s="2">
        <v>3</v>
      </c>
      <c r="AX628" s="2" t="s">
        <v>74</v>
      </c>
      <c r="AY628" s="2" t="s">
        <v>74</v>
      </c>
      <c r="AZ628" s="2" t="s">
        <v>74</v>
      </c>
      <c r="BA628" s="2" t="s">
        <v>74</v>
      </c>
      <c r="BB628" s="2">
        <v>685</v>
      </c>
      <c r="BC628" s="2">
        <v>696</v>
      </c>
      <c r="BD628" s="2" t="s">
        <v>74</v>
      </c>
      <c r="BE628" s="2" t="s">
        <v>4989</v>
      </c>
      <c r="BF628" s="2" t="str">
        <f>HYPERLINK("http://dx.doi.org/10.1093/biolinnean/blab102","http://dx.doi.org/10.1093/biolinnean/blab102")</f>
        <v>http://dx.doi.org/10.1093/biolinnean/blab102</v>
      </c>
      <c r="BG628" s="2" t="s">
        <v>74</v>
      </c>
      <c r="BH628" s="2" t="s">
        <v>4990</v>
      </c>
      <c r="BI628" s="2" t="s">
        <v>74</v>
      </c>
      <c r="BJ628" s="2" t="s">
        <v>74</v>
      </c>
      <c r="BK628" s="2" t="s">
        <v>74</v>
      </c>
      <c r="BL628" s="2" t="s">
        <v>74</v>
      </c>
      <c r="BM628" s="2" t="s">
        <v>74</v>
      </c>
      <c r="BN628" s="2" t="s">
        <v>74</v>
      </c>
      <c r="BO628" s="2" t="s">
        <v>74</v>
      </c>
      <c r="BP628" s="2" t="s">
        <v>74</v>
      </c>
      <c r="BQ628" s="2" t="s">
        <v>74</v>
      </c>
      <c r="BR628" s="2" t="s">
        <v>74</v>
      </c>
      <c r="BS628" s="2" t="s">
        <v>4991</v>
      </c>
      <c r="BT628" s="2" t="str">
        <f>HYPERLINK("https%3A%2F%2Fwww.webofscience.com%2Fwos%2Fwoscc%2Ffull-record%2FWOS:000715341100013","View Full Record in Web of Science")</f>
        <v>View Full Record in Web of Science</v>
      </c>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row>
    <row r="629" spans="1:314" s="2" customFormat="1" x14ac:dyDescent="0.4">
      <c r="A629" s="2" t="s">
        <v>72</v>
      </c>
      <c r="B629" s="2" t="s">
        <v>7122</v>
      </c>
      <c r="C629" s="2" t="s">
        <v>74</v>
      </c>
      <c r="D629" s="2" t="s">
        <v>74</v>
      </c>
      <c r="E629" s="2" t="s">
        <v>74</v>
      </c>
      <c r="F629" s="2" t="s">
        <v>7123</v>
      </c>
      <c r="G629" s="2" t="s">
        <v>74</v>
      </c>
      <c r="H629" s="2" t="s">
        <v>74</v>
      </c>
      <c r="I629" s="2" t="s">
        <v>7124</v>
      </c>
      <c r="J629" s="2" t="s">
        <v>1656</v>
      </c>
      <c r="K629" s="2" t="s">
        <v>74</v>
      </c>
      <c r="L629" s="2" t="s">
        <v>74</v>
      </c>
      <c r="M629" s="2" t="s">
        <v>74</v>
      </c>
      <c r="N629" s="2" t="s">
        <v>74</v>
      </c>
      <c r="O629" s="2" t="s">
        <v>74</v>
      </c>
      <c r="P629" s="2" t="s">
        <v>74</v>
      </c>
      <c r="Q629" s="2" t="s">
        <v>74</v>
      </c>
      <c r="R629" s="2" t="s">
        <v>74</v>
      </c>
      <c r="S629" s="2" t="s">
        <v>74</v>
      </c>
      <c r="T629" s="2" t="s">
        <v>74</v>
      </c>
      <c r="U629" s="2" t="s">
        <v>74</v>
      </c>
      <c r="V629" s="5" t="s">
        <v>7125</v>
      </c>
      <c r="W629" s="2" t="s">
        <v>74</v>
      </c>
      <c r="X629" s="2" t="s">
        <v>74</v>
      </c>
      <c r="Y629" s="2" t="s">
        <v>74</v>
      </c>
      <c r="Z629" s="2" t="s">
        <v>74</v>
      </c>
      <c r="AA629" s="2" t="s">
        <v>7126</v>
      </c>
      <c r="AB629" s="2" t="s">
        <v>7127</v>
      </c>
      <c r="AC629" s="2" t="s">
        <v>74</v>
      </c>
      <c r="AD629" s="2" t="s">
        <v>74</v>
      </c>
      <c r="AE629" s="2" t="s">
        <v>74</v>
      </c>
      <c r="AF629" s="2" t="s">
        <v>74</v>
      </c>
      <c r="AG629" s="2" t="s">
        <v>74</v>
      </c>
      <c r="AH629" s="2" t="s">
        <v>74</v>
      </c>
      <c r="AI629" s="2" t="s">
        <v>74</v>
      </c>
      <c r="AJ629" s="2" t="s">
        <v>74</v>
      </c>
      <c r="AK629" s="2" t="s">
        <v>74</v>
      </c>
      <c r="AL629" s="2" t="s">
        <v>74</v>
      </c>
      <c r="AM629" s="2" t="s">
        <v>74</v>
      </c>
      <c r="AN629" s="2" t="s">
        <v>74</v>
      </c>
      <c r="AO629" s="2" t="s">
        <v>1658</v>
      </c>
      <c r="AP629" s="2" t="s">
        <v>1659</v>
      </c>
      <c r="AQ629" s="2" t="s">
        <v>74</v>
      </c>
      <c r="AR629" s="2" t="s">
        <v>74</v>
      </c>
      <c r="AS629" s="2" t="s">
        <v>74</v>
      </c>
      <c r="AT629" s="2" t="s">
        <v>7128</v>
      </c>
      <c r="AU629" s="2">
        <v>2022</v>
      </c>
      <c r="AV629" s="2">
        <v>5155</v>
      </c>
      <c r="AW629" s="2">
        <v>4</v>
      </c>
      <c r="AX629" s="2" t="s">
        <v>74</v>
      </c>
      <c r="AY629" s="2" t="s">
        <v>74</v>
      </c>
      <c r="AZ629" s="2" t="s">
        <v>74</v>
      </c>
      <c r="BA629" s="2" t="s">
        <v>74</v>
      </c>
      <c r="BB629" s="2">
        <v>564</v>
      </c>
      <c r="BC629" s="2">
        <v>580</v>
      </c>
      <c r="BD629" s="2" t="s">
        <v>74</v>
      </c>
      <c r="BE629" s="2" t="s">
        <v>7129</v>
      </c>
      <c r="BF629" s="2" t="str">
        <f>HYPERLINK("http://dx.doi.org/10.11646/zootaxa.5155.4.6","http://dx.doi.org/10.11646/zootaxa.5155.4.6")</f>
        <v>http://dx.doi.org/10.11646/zootaxa.5155.4.6</v>
      </c>
      <c r="BG629" s="2" t="s">
        <v>74</v>
      </c>
      <c r="BH629" s="2" t="s">
        <v>74</v>
      </c>
      <c r="BI629" s="2" t="s">
        <v>74</v>
      </c>
      <c r="BJ629" s="2" t="s">
        <v>74</v>
      </c>
      <c r="BK629" s="2" t="s">
        <v>74</v>
      </c>
      <c r="BL629" s="2" t="s">
        <v>74</v>
      </c>
      <c r="BM629" s="2" t="s">
        <v>74</v>
      </c>
      <c r="BN629" s="2">
        <v>36095567</v>
      </c>
      <c r="BO629" s="2" t="s">
        <v>74</v>
      </c>
      <c r="BP629" s="2" t="s">
        <v>74</v>
      </c>
      <c r="BQ629" s="2" t="s">
        <v>74</v>
      </c>
      <c r="BR629" s="2" t="s">
        <v>74</v>
      </c>
      <c r="BS629" s="2" t="s">
        <v>7130</v>
      </c>
      <c r="BT629" s="2" t="str">
        <f>HYPERLINK("https%3A%2F%2Fwww.webofscience.com%2Fwos%2Fwoscc%2Ffull-record%2FWOS:000821618900003","View Full Record in Web of Science")</f>
        <v>View Full Record in Web of Science</v>
      </c>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row>
    <row r="630" spans="1:314" s="2" customFormat="1" x14ac:dyDescent="0.4">
      <c r="A630" s="2" t="s">
        <v>72</v>
      </c>
      <c r="B630" s="2" t="s">
        <v>7470</v>
      </c>
      <c r="C630" s="2" t="s">
        <v>74</v>
      </c>
      <c r="D630" s="2" t="s">
        <v>74</v>
      </c>
      <c r="E630" s="2" t="s">
        <v>74</v>
      </c>
      <c r="F630" s="2" t="s">
        <v>7470</v>
      </c>
      <c r="G630" s="2" t="s">
        <v>74</v>
      </c>
      <c r="H630" s="2" t="s">
        <v>74</v>
      </c>
      <c r="I630" s="2" t="s">
        <v>7471</v>
      </c>
      <c r="J630" s="2" t="s">
        <v>140</v>
      </c>
      <c r="K630" s="2" t="s">
        <v>74</v>
      </c>
      <c r="L630" s="2" t="s">
        <v>74</v>
      </c>
      <c r="M630" s="2" t="s">
        <v>74</v>
      </c>
      <c r="N630" s="2" t="s">
        <v>74</v>
      </c>
      <c r="O630" s="2" t="s">
        <v>74</v>
      </c>
      <c r="P630" s="2" t="s">
        <v>74</v>
      </c>
      <c r="Q630" s="2" t="s">
        <v>74</v>
      </c>
      <c r="R630" s="2" t="s">
        <v>74</v>
      </c>
      <c r="S630" s="2" t="s">
        <v>74</v>
      </c>
      <c r="T630" s="2" t="s">
        <v>74</v>
      </c>
      <c r="U630" s="2" t="s">
        <v>74</v>
      </c>
      <c r="V630" s="5" t="s">
        <v>7472</v>
      </c>
      <c r="W630" s="2" t="s">
        <v>74</v>
      </c>
      <c r="X630" s="2" t="s">
        <v>74</v>
      </c>
      <c r="Y630" s="2" t="s">
        <v>74</v>
      </c>
      <c r="Z630" s="2" t="s">
        <v>74</v>
      </c>
      <c r="AA630" s="2" t="s">
        <v>7473</v>
      </c>
      <c r="AB630" s="2" t="s">
        <v>7474</v>
      </c>
      <c r="AC630" s="2" t="s">
        <v>74</v>
      </c>
      <c r="AD630" s="2" t="s">
        <v>74</v>
      </c>
      <c r="AE630" s="2" t="s">
        <v>74</v>
      </c>
      <c r="AF630" s="2" t="s">
        <v>74</v>
      </c>
      <c r="AG630" s="2" t="s">
        <v>74</v>
      </c>
      <c r="AH630" s="2" t="s">
        <v>74</v>
      </c>
      <c r="AI630" s="2" t="s">
        <v>74</v>
      </c>
      <c r="AJ630" s="2" t="s">
        <v>74</v>
      </c>
      <c r="AK630" s="2" t="s">
        <v>74</v>
      </c>
      <c r="AL630" s="2" t="s">
        <v>74</v>
      </c>
      <c r="AM630" s="2" t="s">
        <v>74</v>
      </c>
      <c r="AN630" s="2" t="s">
        <v>74</v>
      </c>
      <c r="AO630" s="2" t="s">
        <v>143</v>
      </c>
      <c r="AP630" s="2" t="s">
        <v>74</v>
      </c>
      <c r="AQ630" s="2" t="s">
        <v>74</v>
      </c>
      <c r="AR630" s="2" t="s">
        <v>74</v>
      </c>
      <c r="AS630" s="2" t="s">
        <v>74</v>
      </c>
      <c r="AT630" s="2" t="s">
        <v>204</v>
      </c>
      <c r="AU630" s="2">
        <v>1998</v>
      </c>
      <c r="AV630" s="2">
        <v>56</v>
      </c>
      <c r="AW630" s="2" t="s">
        <v>74</v>
      </c>
      <c r="AX630" s="2">
        <v>1</v>
      </c>
      <c r="AY630" s="2" t="s">
        <v>74</v>
      </c>
      <c r="AZ630" s="2" t="s">
        <v>74</v>
      </c>
      <c r="BA630" s="2" t="s">
        <v>74</v>
      </c>
      <c r="BB630" s="2">
        <v>181</v>
      </c>
      <c r="BC630" s="2">
        <v>190</v>
      </c>
      <c r="BD630" s="2" t="s">
        <v>74</v>
      </c>
      <c r="BE630" s="2" t="s">
        <v>7475</v>
      </c>
      <c r="BF630" s="2" t="str">
        <f>HYPERLINK("http://dx.doi.org/10.1006/anbe.1998.0760","http://dx.doi.org/10.1006/anbe.1998.0760")</f>
        <v>http://dx.doi.org/10.1006/anbe.1998.0760</v>
      </c>
      <c r="BG630" s="2" t="s">
        <v>74</v>
      </c>
      <c r="BH630" s="2" t="s">
        <v>74</v>
      </c>
      <c r="BI630" s="2" t="s">
        <v>74</v>
      </c>
      <c r="BJ630" s="2" t="s">
        <v>74</v>
      </c>
      <c r="BK630" s="2" t="s">
        <v>74</v>
      </c>
      <c r="BL630" s="2" t="s">
        <v>74</v>
      </c>
      <c r="BM630" s="2" t="s">
        <v>74</v>
      </c>
      <c r="BN630" s="2">
        <v>9710476</v>
      </c>
      <c r="BO630" s="2" t="s">
        <v>74</v>
      </c>
      <c r="BP630" s="2" t="s">
        <v>74</v>
      </c>
      <c r="BQ630" s="2" t="s">
        <v>74</v>
      </c>
      <c r="BR630" s="2" t="s">
        <v>74</v>
      </c>
      <c r="BS630" s="2" t="s">
        <v>7476</v>
      </c>
      <c r="BT630" s="2" t="str">
        <f>HYPERLINK("https%3A%2F%2Fwww.webofscience.com%2Fwos%2Fwoscc%2Ffull-record%2FWOS:000075228700021","View Full Record in Web of Science")</f>
        <v>View Full Record in Web of Science</v>
      </c>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row>
    <row r="631" spans="1:314" s="2" customFormat="1" x14ac:dyDescent="0.4">
      <c r="A631" s="2" t="s">
        <v>72</v>
      </c>
      <c r="B631" s="2" t="s">
        <v>2733</v>
      </c>
      <c r="C631" s="2" t="s">
        <v>74</v>
      </c>
      <c r="D631" s="2" t="s">
        <v>74</v>
      </c>
      <c r="E631" s="2" t="s">
        <v>74</v>
      </c>
      <c r="F631" s="2" t="s">
        <v>2734</v>
      </c>
      <c r="G631" s="2" t="s">
        <v>74</v>
      </c>
      <c r="H631" s="2" t="s">
        <v>74</v>
      </c>
      <c r="I631" s="2" t="s">
        <v>2735</v>
      </c>
      <c r="J631" s="2" t="s">
        <v>218</v>
      </c>
      <c r="K631" s="2" t="s">
        <v>74</v>
      </c>
      <c r="L631" s="2" t="s">
        <v>74</v>
      </c>
      <c r="M631" s="2" t="s">
        <v>74</v>
      </c>
      <c r="N631" s="2" t="s">
        <v>74</v>
      </c>
      <c r="O631" s="2" t="s">
        <v>74</v>
      </c>
      <c r="P631" s="2" t="s">
        <v>74</v>
      </c>
      <c r="Q631" s="2" t="s">
        <v>74</v>
      </c>
      <c r="R631" s="2" t="s">
        <v>74</v>
      </c>
      <c r="S631" s="2" t="s">
        <v>74</v>
      </c>
      <c r="T631" s="2" t="s">
        <v>74</v>
      </c>
      <c r="U631" s="2" t="s">
        <v>74</v>
      </c>
      <c r="V631" s="5" t="s">
        <v>2736</v>
      </c>
      <c r="W631" s="2" t="s">
        <v>74</v>
      </c>
      <c r="X631" s="2" t="s">
        <v>74</v>
      </c>
      <c r="Y631" s="2" t="s">
        <v>74</v>
      </c>
      <c r="Z631" s="2" t="s">
        <v>74</v>
      </c>
      <c r="AA631" s="2" t="s">
        <v>74</v>
      </c>
      <c r="AB631" s="2" t="s">
        <v>2737</v>
      </c>
      <c r="AC631" s="2" t="s">
        <v>74</v>
      </c>
      <c r="AD631" s="2" t="s">
        <v>74</v>
      </c>
      <c r="AE631" s="2" t="s">
        <v>74</v>
      </c>
      <c r="AF631" s="2" t="s">
        <v>74</v>
      </c>
      <c r="AG631" s="2" t="s">
        <v>74</v>
      </c>
      <c r="AH631" s="2" t="s">
        <v>74</v>
      </c>
      <c r="AI631" s="2" t="s">
        <v>74</v>
      </c>
      <c r="AJ631" s="2" t="s">
        <v>74</v>
      </c>
      <c r="AK631" s="2" t="s">
        <v>74</v>
      </c>
      <c r="AL631" s="2" t="s">
        <v>74</v>
      </c>
      <c r="AM631" s="2" t="s">
        <v>74</v>
      </c>
      <c r="AN631" s="2" t="s">
        <v>74</v>
      </c>
      <c r="AO631" s="2" t="s">
        <v>221</v>
      </c>
      <c r="AP631" s="2" t="s">
        <v>222</v>
      </c>
      <c r="AQ631" s="2" t="s">
        <v>74</v>
      </c>
      <c r="AR631" s="2" t="s">
        <v>74</v>
      </c>
      <c r="AS631" s="2" t="s">
        <v>74</v>
      </c>
      <c r="AT631" s="2" t="s">
        <v>145</v>
      </c>
      <c r="AU631" s="2">
        <v>2013</v>
      </c>
      <c r="AV631" s="2">
        <v>26</v>
      </c>
      <c r="AW631" s="2">
        <v>8</v>
      </c>
      <c r="AX631" s="2" t="s">
        <v>74</v>
      </c>
      <c r="AY631" s="2" t="s">
        <v>74</v>
      </c>
      <c r="AZ631" s="2" t="s">
        <v>74</v>
      </c>
      <c r="BA631" s="2" t="s">
        <v>74</v>
      </c>
      <c r="BB631" s="2">
        <v>1611</v>
      </c>
      <c r="BC631" s="2">
        <v>1624</v>
      </c>
      <c r="BD631" s="2" t="s">
        <v>74</v>
      </c>
      <c r="BE631" s="2" t="s">
        <v>2738</v>
      </c>
      <c r="BF631" s="2" t="str">
        <f>HYPERLINK("http://dx.doi.org/10.1111/jeb.12173","http://dx.doi.org/10.1111/jeb.12173")</f>
        <v>http://dx.doi.org/10.1111/jeb.12173</v>
      </c>
      <c r="BG631" s="2" t="s">
        <v>74</v>
      </c>
      <c r="BH631" s="2" t="s">
        <v>74</v>
      </c>
      <c r="BI631" s="2" t="s">
        <v>74</v>
      </c>
      <c r="BJ631" s="2" t="s">
        <v>74</v>
      </c>
      <c r="BK631" s="2" t="s">
        <v>74</v>
      </c>
      <c r="BL631" s="2" t="s">
        <v>74</v>
      </c>
      <c r="BM631" s="2" t="s">
        <v>74</v>
      </c>
      <c r="BN631" s="2">
        <v>23859471</v>
      </c>
      <c r="BO631" s="2" t="s">
        <v>74</v>
      </c>
      <c r="BP631" s="2" t="s">
        <v>74</v>
      </c>
      <c r="BQ631" s="2" t="s">
        <v>74</v>
      </c>
      <c r="BR631" s="2" t="s">
        <v>74</v>
      </c>
      <c r="BS631" s="2" t="s">
        <v>2739</v>
      </c>
      <c r="BT631" s="2" t="str">
        <f>HYPERLINK("https%3A%2F%2Fwww.webofscience.com%2Fwos%2Fwoscc%2Ffull-record%2FWOS:000323101800001","View Full Record in Web of Science")</f>
        <v>View Full Record in Web of Science</v>
      </c>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row>
    <row r="632" spans="1:314" s="2" customFormat="1" x14ac:dyDescent="0.4">
      <c r="A632" s="2" t="s">
        <v>72</v>
      </c>
      <c r="B632" s="2" t="s">
        <v>4701</v>
      </c>
      <c r="C632" s="2" t="s">
        <v>74</v>
      </c>
      <c r="D632" s="2" t="s">
        <v>74</v>
      </c>
      <c r="E632" s="2" t="s">
        <v>74</v>
      </c>
      <c r="F632" s="2" t="s">
        <v>4702</v>
      </c>
      <c r="G632" s="2" t="s">
        <v>74</v>
      </c>
      <c r="H632" s="2" t="s">
        <v>74</v>
      </c>
      <c r="I632" s="2" t="s">
        <v>4703</v>
      </c>
      <c r="J632" s="2" t="s">
        <v>1656</v>
      </c>
      <c r="K632" s="2" t="s">
        <v>74</v>
      </c>
      <c r="L632" s="2" t="s">
        <v>74</v>
      </c>
      <c r="M632" s="2" t="s">
        <v>74</v>
      </c>
      <c r="N632" s="2" t="s">
        <v>74</v>
      </c>
      <c r="O632" s="2" t="s">
        <v>74</v>
      </c>
      <c r="P632" s="2" t="s">
        <v>74</v>
      </c>
      <c r="Q632" s="2" t="s">
        <v>74</v>
      </c>
      <c r="R632" s="2" t="s">
        <v>74</v>
      </c>
      <c r="S632" s="2" t="s">
        <v>74</v>
      </c>
      <c r="T632" s="2" t="s">
        <v>74</v>
      </c>
      <c r="U632" s="2" t="s">
        <v>74</v>
      </c>
      <c r="V632" s="5" t="s">
        <v>4704</v>
      </c>
      <c r="W632" s="2" t="s">
        <v>74</v>
      </c>
      <c r="X632" s="2" t="s">
        <v>74</v>
      </c>
      <c r="Y632" s="2" t="s">
        <v>74</v>
      </c>
      <c r="Z632" s="2" t="s">
        <v>74</v>
      </c>
      <c r="AA632" s="2" t="s">
        <v>4705</v>
      </c>
      <c r="AB632" s="2" t="s">
        <v>4706</v>
      </c>
      <c r="AC632" s="2" t="s">
        <v>74</v>
      </c>
      <c r="AD632" s="2" t="s">
        <v>74</v>
      </c>
      <c r="AE632" s="2" t="s">
        <v>74</v>
      </c>
      <c r="AF632" s="2" t="s">
        <v>74</v>
      </c>
      <c r="AG632" s="2" t="s">
        <v>74</v>
      </c>
      <c r="AH632" s="2" t="s">
        <v>74</v>
      </c>
      <c r="AI632" s="2" t="s">
        <v>74</v>
      </c>
      <c r="AJ632" s="2" t="s">
        <v>74</v>
      </c>
      <c r="AK632" s="2" t="s">
        <v>74</v>
      </c>
      <c r="AL632" s="2" t="s">
        <v>74</v>
      </c>
      <c r="AM632" s="2" t="s">
        <v>74</v>
      </c>
      <c r="AN632" s="2" t="s">
        <v>74</v>
      </c>
      <c r="AO632" s="2" t="s">
        <v>1658</v>
      </c>
      <c r="AP632" s="2" t="s">
        <v>1659</v>
      </c>
      <c r="AQ632" s="2" t="s">
        <v>74</v>
      </c>
      <c r="AR632" s="2" t="s">
        <v>74</v>
      </c>
      <c r="AS632" s="2" t="s">
        <v>74</v>
      </c>
      <c r="AT632" s="2" t="s">
        <v>4707</v>
      </c>
      <c r="AU632" s="2">
        <v>2023</v>
      </c>
      <c r="AV632" s="2">
        <v>5230</v>
      </c>
      <c r="AW632" s="2">
        <v>1</v>
      </c>
      <c r="AX632" s="2" t="s">
        <v>74</v>
      </c>
      <c r="AY632" s="2" t="s">
        <v>74</v>
      </c>
      <c r="AZ632" s="2" t="s">
        <v>74</v>
      </c>
      <c r="BA632" s="2" t="s">
        <v>74</v>
      </c>
      <c r="BB632" s="2">
        <v>48</v>
      </c>
      <c r="BC632" s="2">
        <v>66</v>
      </c>
      <c r="BD632" s="2" t="s">
        <v>74</v>
      </c>
      <c r="BE632" s="2" t="s">
        <v>4708</v>
      </c>
      <c r="BF632" s="2" t="str">
        <f>HYPERLINK("http://dx.doi.org/10.11646/zootaxa.5230.1.3","http://dx.doi.org/10.11646/zootaxa.5230.1.3")</f>
        <v>http://dx.doi.org/10.11646/zootaxa.5230.1.3</v>
      </c>
      <c r="BG632" s="2" t="s">
        <v>74</v>
      </c>
      <c r="BH632" s="2" t="s">
        <v>74</v>
      </c>
      <c r="BI632" s="2" t="s">
        <v>74</v>
      </c>
      <c r="BJ632" s="2" t="s">
        <v>74</v>
      </c>
      <c r="BK632" s="2" t="s">
        <v>74</v>
      </c>
      <c r="BL632" s="2" t="s">
        <v>74</v>
      </c>
      <c r="BM632" s="2" t="s">
        <v>74</v>
      </c>
      <c r="BN632" s="2">
        <v>37044858</v>
      </c>
      <c r="BO632" s="2" t="s">
        <v>74</v>
      </c>
      <c r="BP632" s="2" t="s">
        <v>74</v>
      </c>
      <c r="BQ632" s="2" t="s">
        <v>74</v>
      </c>
      <c r="BR632" s="2" t="s">
        <v>74</v>
      </c>
      <c r="BS632" s="2" t="s">
        <v>4709</v>
      </c>
      <c r="BT632" s="2" t="str">
        <f>HYPERLINK("https%3A%2F%2Fwww.webofscience.com%2Fwos%2Fwoscc%2Ffull-record%2FWOS:000927998600003","View Full Record in Web of Science")</f>
        <v>View Full Record in Web of Science</v>
      </c>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row>
    <row r="633" spans="1:314" s="2" customFormat="1" x14ac:dyDescent="0.4">
      <c r="A633" s="2" t="s">
        <v>72</v>
      </c>
      <c r="B633" s="2" t="s">
        <v>7047</v>
      </c>
      <c r="C633" s="2" t="s">
        <v>74</v>
      </c>
      <c r="D633" s="2" t="s">
        <v>74</v>
      </c>
      <c r="E633" s="2" t="s">
        <v>74</v>
      </c>
      <c r="F633" s="2" t="s">
        <v>7048</v>
      </c>
      <c r="G633" s="2" t="s">
        <v>74</v>
      </c>
      <c r="H633" s="2" t="s">
        <v>74</v>
      </c>
      <c r="I633" s="2" t="s">
        <v>7049</v>
      </c>
      <c r="J633" s="2" t="s">
        <v>2017</v>
      </c>
      <c r="K633" s="2" t="s">
        <v>74</v>
      </c>
      <c r="L633" s="2" t="s">
        <v>74</v>
      </c>
      <c r="M633" s="2" t="s">
        <v>74</v>
      </c>
      <c r="N633" s="2" t="s">
        <v>74</v>
      </c>
      <c r="O633" s="2" t="s">
        <v>74</v>
      </c>
      <c r="P633" s="2" t="s">
        <v>74</v>
      </c>
      <c r="Q633" s="2" t="s">
        <v>74</v>
      </c>
      <c r="R633" s="2" t="s">
        <v>74</v>
      </c>
      <c r="S633" s="2" t="s">
        <v>74</v>
      </c>
      <c r="T633" s="2" t="s">
        <v>74</v>
      </c>
      <c r="U633" s="2" t="s">
        <v>74</v>
      </c>
      <c r="V633" s="5" t="s">
        <v>7050</v>
      </c>
      <c r="W633" s="2" t="s">
        <v>74</v>
      </c>
      <c r="X633" s="2" t="s">
        <v>74</v>
      </c>
      <c r="Y633" s="2" t="s">
        <v>74</v>
      </c>
      <c r="Z633" s="2" t="s">
        <v>74</v>
      </c>
      <c r="AA633" s="2" t="s">
        <v>74</v>
      </c>
      <c r="AB633" s="2" t="s">
        <v>74</v>
      </c>
      <c r="AC633" s="2" t="s">
        <v>74</v>
      </c>
      <c r="AD633" s="2" t="s">
        <v>74</v>
      </c>
      <c r="AE633" s="2" t="s">
        <v>74</v>
      </c>
      <c r="AF633" s="2" t="s">
        <v>74</v>
      </c>
      <c r="AG633" s="2" t="s">
        <v>74</v>
      </c>
      <c r="AH633" s="2" t="s">
        <v>74</v>
      </c>
      <c r="AI633" s="2" t="s">
        <v>74</v>
      </c>
      <c r="AJ633" s="2" t="s">
        <v>74</v>
      </c>
      <c r="AK633" s="2" t="s">
        <v>74</v>
      </c>
      <c r="AL633" s="2" t="s">
        <v>74</v>
      </c>
      <c r="AM633" s="2" t="s">
        <v>74</v>
      </c>
      <c r="AN633" s="2" t="s">
        <v>74</v>
      </c>
      <c r="AO633" s="2" t="s">
        <v>2021</v>
      </c>
      <c r="AP633" s="2" t="s">
        <v>74</v>
      </c>
      <c r="AQ633" s="2" t="s">
        <v>74</v>
      </c>
      <c r="AR633" s="2" t="s">
        <v>74</v>
      </c>
      <c r="AS633" s="2" t="s">
        <v>74</v>
      </c>
      <c r="AT633" s="2" t="s">
        <v>7051</v>
      </c>
      <c r="AU633" s="2">
        <v>2021</v>
      </c>
      <c r="AV633" s="2">
        <v>9</v>
      </c>
      <c r="AW633" s="2" t="s">
        <v>74</v>
      </c>
      <c r="AX633" s="2" t="s">
        <v>74</v>
      </c>
      <c r="AY633" s="2" t="s">
        <v>74</v>
      </c>
      <c r="AZ633" s="2" t="s">
        <v>74</v>
      </c>
      <c r="BA633" s="2" t="s">
        <v>74</v>
      </c>
      <c r="BB633" s="2" t="s">
        <v>74</v>
      </c>
      <c r="BC633" s="2" t="s">
        <v>74</v>
      </c>
      <c r="BD633" s="2">
        <v>734126</v>
      </c>
      <c r="BE633" s="2" t="s">
        <v>7052</v>
      </c>
      <c r="BF633" s="2" t="str">
        <f>HYPERLINK("http://dx.doi.org/10.3389/fevo.2021.734126","http://dx.doi.org/10.3389/fevo.2021.734126")</f>
        <v>http://dx.doi.org/10.3389/fevo.2021.734126</v>
      </c>
      <c r="BG633" s="2" t="s">
        <v>74</v>
      </c>
      <c r="BH633" s="2" t="s">
        <v>74</v>
      </c>
      <c r="BI633" s="2" t="s">
        <v>74</v>
      </c>
      <c r="BJ633" s="2" t="s">
        <v>74</v>
      </c>
      <c r="BK633" s="2" t="s">
        <v>74</v>
      </c>
      <c r="BL633" s="2" t="s">
        <v>74</v>
      </c>
      <c r="BM633" s="2" t="s">
        <v>74</v>
      </c>
      <c r="BN633" s="2" t="s">
        <v>74</v>
      </c>
      <c r="BO633" s="2" t="s">
        <v>74</v>
      </c>
      <c r="BP633" s="2" t="s">
        <v>74</v>
      </c>
      <c r="BQ633" s="2" t="s">
        <v>74</v>
      </c>
      <c r="BR633" s="2" t="s">
        <v>74</v>
      </c>
      <c r="BS633" s="2" t="s">
        <v>7053</v>
      </c>
      <c r="BT633" s="2" t="str">
        <f>HYPERLINK("https%3A%2F%2Fwww.webofscience.com%2Fwos%2Fwoscc%2Ffull-record%2FWOS:000712776000001","View Full Record in Web of Science")</f>
        <v>View Full Record in Web of Science</v>
      </c>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row>
    <row r="634" spans="1:314" s="2" customFormat="1" x14ac:dyDescent="0.4">
      <c r="A634" s="2" t="s">
        <v>72</v>
      </c>
      <c r="B634" s="2" t="s">
        <v>7047</v>
      </c>
      <c r="C634" s="2" t="s">
        <v>74</v>
      </c>
      <c r="D634" s="2" t="s">
        <v>74</v>
      </c>
      <c r="E634" s="2" t="s">
        <v>74</v>
      </c>
      <c r="F634" s="2" t="s">
        <v>7047</v>
      </c>
      <c r="G634" s="2" t="s">
        <v>74</v>
      </c>
      <c r="H634" s="2" t="s">
        <v>74</v>
      </c>
      <c r="I634" s="2" t="s">
        <v>7249</v>
      </c>
      <c r="J634" s="2" t="s">
        <v>171</v>
      </c>
      <c r="K634" s="2" t="s">
        <v>74</v>
      </c>
      <c r="L634" s="2" t="s">
        <v>74</v>
      </c>
      <c r="M634" s="2" t="s">
        <v>74</v>
      </c>
      <c r="N634" s="2" t="s">
        <v>74</v>
      </c>
      <c r="O634" s="2" t="s">
        <v>74</v>
      </c>
      <c r="P634" s="2" t="s">
        <v>74</v>
      </c>
      <c r="Q634" s="2" t="s">
        <v>74</v>
      </c>
      <c r="R634" s="2" t="s">
        <v>74</v>
      </c>
      <c r="S634" s="2" t="s">
        <v>74</v>
      </c>
      <c r="T634" s="2" t="s">
        <v>74</v>
      </c>
      <c r="U634" s="2" t="s">
        <v>74</v>
      </c>
      <c r="V634" s="5" t="s">
        <v>7250</v>
      </c>
      <c r="W634" s="2" t="s">
        <v>74</v>
      </c>
      <c r="X634" s="2" t="s">
        <v>74</v>
      </c>
      <c r="Y634" s="2" t="s">
        <v>74</v>
      </c>
      <c r="Z634" s="2" t="s">
        <v>74</v>
      </c>
      <c r="AA634" s="2" t="s">
        <v>74</v>
      </c>
      <c r="AB634" s="2" t="s">
        <v>74</v>
      </c>
      <c r="AC634" s="2" t="s">
        <v>74</v>
      </c>
      <c r="AD634" s="2" t="s">
        <v>74</v>
      </c>
      <c r="AE634" s="2" t="s">
        <v>74</v>
      </c>
      <c r="AF634" s="2" t="s">
        <v>74</v>
      </c>
      <c r="AG634" s="2" t="s">
        <v>74</v>
      </c>
      <c r="AH634" s="2" t="s">
        <v>74</v>
      </c>
      <c r="AI634" s="2" t="s">
        <v>74</v>
      </c>
      <c r="AJ634" s="2" t="s">
        <v>74</v>
      </c>
      <c r="AK634" s="2" t="s">
        <v>74</v>
      </c>
      <c r="AL634" s="2" t="s">
        <v>74</v>
      </c>
      <c r="AM634" s="2" t="s">
        <v>74</v>
      </c>
      <c r="AN634" s="2" t="s">
        <v>74</v>
      </c>
      <c r="AO634" s="2" t="s">
        <v>173</v>
      </c>
      <c r="AP634" s="2" t="s">
        <v>174</v>
      </c>
      <c r="AQ634" s="2" t="s">
        <v>74</v>
      </c>
      <c r="AR634" s="2" t="s">
        <v>74</v>
      </c>
      <c r="AS634" s="2" t="s">
        <v>74</v>
      </c>
      <c r="AT634" s="2" t="s">
        <v>255</v>
      </c>
      <c r="AU634" s="2">
        <v>2006</v>
      </c>
      <c r="AV634" s="2">
        <v>60</v>
      </c>
      <c r="AW634" s="2">
        <v>1</v>
      </c>
      <c r="AX634" s="2" t="s">
        <v>74</v>
      </c>
      <c r="AY634" s="2" t="s">
        <v>74</v>
      </c>
      <c r="AZ634" s="2" t="s">
        <v>74</v>
      </c>
      <c r="BA634" s="2" t="s">
        <v>74</v>
      </c>
      <c r="BB634" s="2">
        <v>157</v>
      </c>
      <c r="BC634" s="2">
        <v>168</v>
      </c>
      <c r="BD634" s="2" t="s">
        <v>74</v>
      </c>
      <c r="BE634" s="2" t="s">
        <v>74</v>
      </c>
      <c r="BF634" s="2" t="s">
        <v>74</v>
      </c>
      <c r="BG634" s="2" t="s">
        <v>74</v>
      </c>
      <c r="BH634" s="2" t="s">
        <v>74</v>
      </c>
      <c r="BI634" s="2" t="s">
        <v>74</v>
      </c>
      <c r="BJ634" s="2" t="s">
        <v>74</v>
      </c>
      <c r="BK634" s="2" t="s">
        <v>74</v>
      </c>
      <c r="BL634" s="2" t="s">
        <v>74</v>
      </c>
      <c r="BM634" s="2" t="s">
        <v>74</v>
      </c>
      <c r="BN634" s="2">
        <v>16568640</v>
      </c>
      <c r="BO634" s="2" t="s">
        <v>74</v>
      </c>
      <c r="BP634" s="2" t="s">
        <v>74</v>
      </c>
      <c r="BQ634" s="2" t="s">
        <v>74</v>
      </c>
      <c r="BR634" s="2" t="s">
        <v>74</v>
      </c>
      <c r="BS634" s="2" t="s">
        <v>7251</v>
      </c>
      <c r="BT634" s="2" t="str">
        <f>HYPERLINK("https%3A%2F%2Fwww.webofscience.com%2Fwos%2Fwoscc%2Ffull-record%2FWOS:000235477400015","View Full Record in Web of Science")</f>
        <v>View Full Record in Web of Science</v>
      </c>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row>
    <row r="635" spans="1:314" s="2" customFormat="1" x14ac:dyDescent="0.4">
      <c r="A635" s="2" t="s">
        <v>72</v>
      </c>
      <c r="B635" s="2" t="s">
        <v>8434</v>
      </c>
      <c r="C635" s="2" t="s">
        <v>74</v>
      </c>
      <c r="D635" s="2" t="s">
        <v>74</v>
      </c>
      <c r="E635" s="2" t="s">
        <v>74</v>
      </c>
      <c r="F635" s="2" t="s">
        <v>8434</v>
      </c>
      <c r="G635" s="2" t="s">
        <v>74</v>
      </c>
      <c r="H635" s="2" t="s">
        <v>74</v>
      </c>
      <c r="I635" s="2" t="s">
        <v>8435</v>
      </c>
      <c r="J635" s="2" t="s">
        <v>140</v>
      </c>
      <c r="K635" s="2" t="s">
        <v>74</v>
      </c>
      <c r="L635" s="2" t="s">
        <v>74</v>
      </c>
      <c r="M635" s="2" t="s">
        <v>74</v>
      </c>
      <c r="N635" s="2" t="s">
        <v>74</v>
      </c>
      <c r="O635" s="2" t="s">
        <v>74</v>
      </c>
      <c r="P635" s="2" t="s">
        <v>74</v>
      </c>
      <c r="Q635" s="2" t="s">
        <v>74</v>
      </c>
      <c r="R635" s="2" t="s">
        <v>74</v>
      </c>
      <c r="S635" s="2" t="s">
        <v>74</v>
      </c>
      <c r="T635" s="2" t="s">
        <v>74</v>
      </c>
      <c r="U635" s="2" t="s">
        <v>74</v>
      </c>
      <c r="V635" s="5" t="s">
        <v>8436</v>
      </c>
      <c r="W635" s="2" t="s">
        <v>74</v>
      </c>
      <c r="X635" s="2" t="s">
        <v>74</v>
      </c>
      <c r="Y635" s="2" t="s">
        <v>74</v>
      </c>
      <c r="Z635" s="2" t="s">
        <v>74</v>
      </c>
      <c r="AA635" s="2" t="s">
        <v>74</v>
      </c>
      <c r="AB635" s="2" t="s">
        <v>74</v>
      </c>
      <c r="AC635" s="2" t="s">
        <v>74</v>
      </c>
      <c r="AD635" s="2" t="s">
        <v>74</v>
      </c>
      <c r="AE635" s="2" t="s">
        <v>74</v>
      </c>
      <c r="AF635" s="2" t="s">
        <v>74</v>
      </c>
      <c r="AG635" s="2" t="s">
        <v>74</v>
      </c>
      <c r="AH635" s="2" t="s">
        <v>74</v>
      </c>
      <c r="AI635" s="2" t="s">
        <v>74</v>
      </c>
      <c r="AJ635" s="2" t="s">
        <v>74</v>
      </c>
      <c r="AK635" s="2" t="s">
        <v>74</v>
      </c>
      <c r="AL635" s="2" t="s">
        <v>74</v>
      </c>
      <c r="AM635" s="2" t="s">
        <v>74</v>
      </c>
      <c r="AN635" s="2" t="s">
        <v>74</v>
      </c>
      <c r="AO635" s="2" t="s">
        <v>143</v>
      </c>
      <c r="AP635" s="2" t="s">
        <v>144</v>
      </c>
      <c r="AQ635" s="2" t="s">
        <v>74</v>
      </c>
      <c r="AR635" s="2" t="s">
        <v>74</v>
      </c>
      <c r="AS635" s="2" t="s">
        <v>74</v>
      </c>
      <c r="AT635" s="2" t="s">
        <v>102</v>
      </c>
      <c r="AU635" s="2">
        <v>2002</v>
      </c>
      <c r="AV635" s="2">
        <v>63</v>
      </c>
      <c r="AW635" s="2" t="s">
        <v>74</v>
      </c>
      <c r="AX635" s="2">
        <v>6</v>
      </c>
      <c r="AY635" s="2" t="s">
        <v>74</v>
      </c>
      <c r="AZ635" s="2" t="s">
        <v>74</v>
      </c>
      <c r="BA635" s="2" t="s">
        <v>74</v>
      </c>
      <c r="BB635" s="2">
        <v>1135</v>
      </c>
      <c r="BC635" s="2">
        <v>1142</v>
      </c>
      <c r="BD635" s="2" t="s">
        <v>74</v>
      </c>
      <c r="BE635" s="2" t="s">
        <v>8437</v>
      </c>
      <c r="BF635" s="2" t="str">
        <f>HYPERLINK("http://dx.doi.org/10.1006/anbe.2002.3009","http://dx.doi.org/10.1006/anbe.2002.3009")</f>
        <v>http://dx.doi.org/10.1006/anbe.2002.3009</v>
      </c>
      <c r="BG635" s="2" t="s">
        <v>74</v>
      </c>
      <c r="BH635" s="2" t="s">
        <v>74</v>
      </c>
      <c r="BI635" s="2" t="s">
        <v>74</v>
      </c>
      <c r="BJ635" s="2" t="s">
        <v>74</v>
      </c>
      <c r="BK635" s="2" t="s">
        <v>74</v>
      </c>
      <c r="BL635" s="2" t="s">
        <v>74</v>
      </c>
      <c r="BM635" s="2" t="s">
        <v>74</v>
      </c>
      <c r="BN635" s="2" t="s">
        <v>74</v>
      </c>
      <c r="BO635" s="2" t="s">
        <v>74</v>
      </c>
      <c r="BP635" s="2" t="s">
        <v>74</v>
      </c>
      <c r="BQ635" s="2" t="s">
        <v>74</v>
      </c>
      <c r="BR635" s="2" t="s">
        <v>74</v>
      </c>
      <c r="BS635" s="2" t="s">
        <v>8438</v>
      </c>
      <c r="BT635" s="2" t="str">
        <f>HYPERLINK("https%3A%2F%2Fwww.webofscience.com%2Fwos%2Fwoscc%2Ffull-record%2FWOS:000177715700012","View Full Record in Web of Science")</f>
        <v>View Full Record in Web of Science</v>
      </c>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row>
    <row r="636" spans="1:314" s="2" customFormat="1" x14ac:dyDescent="0.4">
      <c r="A636" s="2" t="s">
        <v>72</v>
      </c>
      <c r="B636" s="2" t="s">
        <v>453</v>
      </c>
      <c r="C636" s="2" t="s">
        <v>74</v>
      </c>
      <c r="D636" s="2" t="s">
        <v>74</v>
      </c>
      <c r="E636" s="2" t="s">
        <v>74</v>
      </c>
      <c r="F636" s="2" t="s">
        <v>454</v>
      </c>
      <c r="G636" s="2" t="s">
        <v>74</v>
      </c>
      <c r="H636" s="2" t="s">
        <v>74</v>
      </c>
      <c r="I636" s="2" t="s">
        <v>455</v>
      </c>
      <c r="J636" s="2" t="s">
        <v>456</v>
      </c>
      <c r="K636" s="2" t="s">
        <v>74</v>
      </c>
      <c r="L636" s="2" t="s">
        <v>74</v>
      </c>
      <c r="M636" s="2" t="s">
        <v>74</v>
      </c>
      <c r="N636" s="2" t="s">
        <v>74</v>
      </c>
      <c r="O636" s="2" t="s">
        <v>74</v>
      </c>
      <c r="P636" s="2" t="s">
        <v>74</v>
      </c>
      <c r="Q636" s="2" t="s">
        <v>74</v>
      </c>
      <c r="R636" s="2" t="s">
        <v>74</v>
      </c>
      <c r="S636" s="2" t="s">
        <v>74</v>
      </c>
      <c r="T636" s="2" t="s">
        <v>74</v>
      </c>
      <c r="U636" s="2" t="s">
        <v>74</v>
      </c>
      <c r="V636" s="5" t="s">
        <v>457</v>
      </c>
      <c r="W636" s="2" t="s">
        <v>74</v>
      </c>
      <c r="X636" s="2" t="s">
        <v>74</v>
      </c>
      <c r="Y636" s="2" t="s">
        <v>74</v>
      </c>
      <c r="Z636" s="2" t="s">
        <v>74</v>
      </c>
      <c r="AA636" s="2" t="s">
        <v>458</v>
      </c>
      <c r="AB636" s="2" t="s">
        <v>459</v>
      </c>
      <c r="AC636" s="2" t="s">
        <v>74</v>
      </c>
      <c r="AD636" s="2" t="s">
        <v>74</v>
      </c>
      <c r="AE636" s="2" t="s">
        <v>74</v>
      </c>
      <c r="AF636" s="2" t="s">
        <v>74</v>
      </c>
      <c r="AG636" s="2" t="s">
        <v>74</v>
      </c>
      <c r="AH636" s="2" t="s">
        <v>74</v>
      </c>
      <c r="AI636" s="2" t="s">
        <v>74</v>
      </c>
      <c r="AJ636" s="2" t="s">
        <v>74</v>
      </c>
      <c r="AK636" s="2" t="s">
        <v>74</v>
      </c>
      <c r="AL636" s="2" t="s">
        <v>74</v>
      </c>
      <c r="AM636" s="2" t="s">
        <v>74</v>
      </c>
      <c r="AN636" s="2" t="s">
        <v>74</v>
      </c>
      <c r="AO636" s="2" t="s">
        <v>460</v>
      </c>
      <c r="AP636" s="2" t="s">
        <v>461</v>
      </c>
      <c r="AQ636" s="2" t="s">
        <v>74</v>
      </c>
      <c r="AR636" s="2" t="s">
        <v>74</v>
      </c>
      <c r="AS636" s="2" t="s">
        <v>74</v>
      </c>
      <c r="AT636" s="2" t="s">
        <v>213</v>
      </c>
      <c r="AU636" s="2">
        <v>2012</v>
      </c>
      <c r="AV636" s="2">
        <v>288</v>
      </c>
      <c r="AW636" s="2">
        <v>3</v>
      </c>
      <c r="AX636" s="2" t="s">
        <v>74</v>
      </c>
      <c r="AY636" s="2" t="s">
        <v>74</v>
      </c>
      <c r="AZ636" s="2" t="s">
        <v>74</v>
      </c>
      <c r="BA636" s="2" t="s">
        <v>74</v>
      </c>
      <c r="BB636" s="2">
        <v>207</v>
      </c>
      <c r="BC636" s="2">
        <v>213</v>
      </c>
      <c r="BD636" s="2" t="s">
        <v>74</v>
      </c>
      <c r="BE636" s="2" t="s">
        <v>462</v>
      </c>
      <c r="BF636" s="2" t="str">
        <f>HYPERLINK("http://dx.doi.org/10.1111/j.1469-7998.2012.00943.x","http://dx.doi.org/10.1111/j.1469-7998.2012.00943.x")</f>
        <v>http://dx.doi.org/10.1111/j.1469-7998.2012.00943.x</v>
      </c>
      <c r="BG636" s="2" t="s">
        <v>74</v>
      </c>
      <c r="BH636" s="2" t="s">
        <v>74</v>
      </c>
      <c r="BI636" s="2" t="s">
        <v>74</v>
      </c>
      <c r="BJ636" s="2" t="s">
        <v>74</v>
      </c>
      <c r="BK636" s="2" t="s">
        <v>74</v>
      </c>
      <c r="BL636" s="2" t="s">
        <v>74</v>
      </c>
      <c r="BM636" s="2" t="s">
        <v>74</v>
      </c>
      <c r="BN636" s="2" t="s">
        <v>74</v>
      </c>
      <c r="BO636" s="2" t="s">
        <v>74</v>
      </c>
      <c r="BP636" s="2" t="s">
        <v>74</v>
      </c>
      <c r="BQ636" s="2" t="s">
        <v>74</v>
      </c>
      <c r="BR636" s="2" t="s">
        <v>74</v>
      </c>
      <c r="BS636" s="2" t="s">
        <v>463</v>
      </c>
      <c r="BT636" s="2" t="str">
        <f>HYPERLINK("https%3A%2F%2Fwww.webofscience.com%2Fwos%2Fwoscc%2Ffull-record%2FWOS:000310330900007","View Full Record in Web of Science")</f>
        <v>View Full Record in Web of Science</v>
      </c>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row>
    <row r="637" spans="1:314" s="2" customFormat="1" x14ac:dyDescent="0.4">
      <c r="A637" s="2" t="s">
        <v>72</v>
      </c>
      <c r="B637" s="2" t="s">
        <v>5987</v>
      </c>
      <c r="C637" s="2" t="s">
        <v>74</v>
      </c>
      <c r="D637" s="2" t="s">
        <v>74</v>
      </c>
      <c r="E637" s="2" t="s">
        <v>74</v>
      </c>
      <c r="F637" s="2" t="s">
        <v>5987</v>
      </c>
      <c r="G637" s="2" t="s">
        <v>74</v>
      </c>
      <c r="H637" s="2" t="s">
        <v>74</v>
      </c>
      <c r="I637" s="2" t="s">
        <v>5988</v>
      </c>
      <c r="J637" s="2" t="s">
        <v>610</v>
      </c>
      <c r="K637" s="2" t="s">
        <v>74</v>
      </c>
      <c r="L637" s="2" t="s">
        <v>74</v>
      </c>
      <c r="M637" s="2" t="s">
        <v>74</v>
      </c>
      <c r="N637" s="2" t="s">
        <v>74</v>
      </c>
      <c r="O637" s="2" t="s">
        <v>74</v>
      </c>
      <c r="P637" s="2" t="s">
        <v>74</v>
      </c>
      <c r="Q637" s="2" t="s">
        <v>74</v>
      </c>
      <c r="R637" s="2" t="s">
        <v>74</v>
      </c>
      <c r="S637" s="2" t="s">
        <v>74</v>
      </c>
      <c r="T637" s="2" t="s">
        <v>74</v>
      </c>
      <c r="U637" s="2" t="s">
        <v>74</v>
      </c>
      <c r="V637" s="5" t="s">
        <v>5989</v>
      </c>
      <c r="W637" s="2" t="s">
        <v>74</v>
      </c>
      <c r="X637" s="2" t="s">
        <v>74</v>
      </c>
      <c r="Y637" s="2" t="s">
        <v>74</v>
      </c>
      <c r="Z637" s="2" t="s">
        <v>74</v>
      </c>
      <c r="AA637" s="2" t="s">
        <v>74</v>
      </c>
      <c r="AB637" s="2" t="s">
        <v>74</v>
      </c>
      <c r="AC637" s="2" t="s">
        <v>74</v>
      </c>
      <c r="AD637" s="2" t="s">
        <v>74</v>
      </c>
      <c r="AE637" s="2" t="s">
        <v>74</v>
      </c>
      <c r="AF637" s="2" t="s">
        <v>74</v>
      </c>
      <c r="AG637" s="2" t="s">
        <v>74</v>
      </c>
      <c r="AH637" s="2" t="s">
        <v>74</v>
      </c>
      <c r="AI637" s="2" t="s">
        <v>74</v>
      </c>
      <c r="AJ637" s="2" t="s">
        <v>74</v>
      </c>
      <c r="AK637" s="2" t="s">
        <v>74</v>
      </c>
      <c r="AL637" s="2" t="s">
        <v>74</v>
      </c>
      <c r="AM637" s="2" t="s">
        <v>74</v>
      </c>
      <c r="AN637" s="2" t="s">
        <v>74</v>
      </c>
      <c r="AO637" s="2" t="s">
        <v>614</v>
      </c>
      <c r="AP637" s="2" t="s">
        <v>74</v>
      </c>
      <c r="AQ637" s="2" t="s">
        <v>74</v>
      </c>
      <c r="AR637" s="2" t="s">
        <v>74</v>
      </c>
      <c r="AS637" s="2" t="s">
        <v>74</v>
      </c>
      <c r="AT637" s="2" t="s">
        <v>175</v>
      </c>
      <c r="AU637" s="2">
        <v>1995</v>
      </c>
      <c r="AV637" s="2">
        <v>101</v>
      </c>
      <c r="AW637" s="2">
        <v>2</v>
      </c>
      <c r="AX637" s="2" t="s">
        <v>74</v>
      </c>
      <c r="AY637" s="2" t="s">
        <v>74</v>
      </c>
      <c r="AZ637" s="2" t="s">
        <v>74</v>
      </c>
      <c r="BA637" s="2" t="s">
        <v>74</v>
      </c>
      <c r="BB637" s="2">
        <v>121</v>
      </c>
      <c r="BC637" s="2">
        <v>129</v>
      </c>
      <c r="BD637" s="2" t="s">
        <v>74</v>
      </c>
      <c r="BE637" s="2" t="s">
        <v>74</v>
      </c>
      <c r="BF637" s="2" t="s">
        <v>74</v>
      </c>
      <c r="BG637" s="2" t="s">
        <v>74</v>
      </c>
      <c r="BH637" s="2" t="s">
        <v>74</v>
      </c>
      <c r="BI637" s="2" t="s">
        <v>74</v>
      </c>
      <c r="BJ637" s="2" t="s">
        <v>74</v>
      </c>
      <c r="BK637" s="2" t="s">
        <v>74</v>
      </c>
      <c r="BL637" s="2" t="s">
        <v>74</v>
      </c>
      <c r="BM637" s="2" t="s">
        <v>74</v>
      </c>
      <c r="BN637" s="2" t="s">
        <v>74</v>
      </c>
      <c r="BO637" s="2" t="s">
        <v>74</v>
      </c>
      <c r="BP637" s="2" t="s">
        <v>74</v>
      </c>
      <c r="BQ637" s="2" t="s">
        <v>74</v>
      </c>
      <c r="BR637" s="2" t="s">
        <v>74</v>
      </c>
      <c r="BS637" s="2" t="s">
        <v>5990</v>
      </c>
      <c r="BT637" s="2" t="str">
        <f>HYPERLINK("https%3A%2F%2Fwww.webofscience.com%2Fwos%2Fwoscc%2Ffull-record%2FWOS:A1995RW16700004","View Full Record in Web of Science")</f>
        <v>View Full Record in Web of Science</v>
      </c>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row>
    <row r="638" spans="1:314" s="2" customFormat="1" x14ac:dyDescent="0.4">
      <c r="A638" s="2" t="s">
        <v>72</v>
      </c>
      <c r="B638" s="2" t="s">
        <v>6723</v>
      </c>
      <c r="C638" s="2" t="s">
        <v>74</v>
      </c>
      <c r="D638" s="2" t="s">
        <v>74</v>
      </c>
      <c r="E638" s="2" t="s">
        <v>74</v>
      </c>
      <c r="F638" s="2" t="s">
        <v>6724</v>
      </c>
      <c r="G638" s="2" t="s">
        <v>74</v>
      </c>
      <c r="H638" s="2" t="s">
        <v>74</v>
      </c>
      <c r="I638" s="2" t="s">
        <v>6725</v>
      </c>
      <c r="J638" s="2" t="s">
        <v>77</v>
      </c>
      <c r="K638" s="2" t="s">
        <v>74</v>
      </c>
      <c r="L638" s="2" t="s">
        <v>74</v>
      </c>
      <c r="M638" s="2" t="s">
        <v>74</v>
      </c>
      <c r="N638" s="2" t="s">
        <v>74</v>
      </c>
      <c r="O638" s="2" t="s">
        <v>74</v>
      </c>
      <c r="P638" s="2" t="s">
        <v>74</v>
      </c>
      <c r="Q638" s="2" t="s">
        <v>74</v>
      </c>
      <c r="R638" s="2" t="s">
        <v>74</v>
      </c>
      <c r="S638" s="2" t="s">
        <v>74</v>
      </c>
      <c r="T638" s="2" t="s">
        <v>74</v>
      </c>
      <c r="U638" s="2" t="s">
        <v>74</v>
      </c>
      <c r="V638" s="5" t="s">
        <v>6726</v>
      </c>
      <c r="W638" s="2" t="s">
        <v>74</v>
      </c>
      <c r="X638" s="2" t="s">
        <v>74</v>
      </c>
      <c r="Y638" s="2" t="s">
        <v>74</v>
      </c>
      <c r="Z638" s="2" t="s">
        <v>74</v>
      </c>
      <c r="AA638" s="2" t="s">
        <v>6727</v>
      </c>
      <c r="AB638" s="2" t="s">
        <v>6728</v>
      </c>
      <c r="AC638" s="2" t="s">
        <v>74</v>
      </c>
      <c r="AD638" s="2" t="s">
        <v>74</v>
      </c>
      <c r="AE638" s="2" t="s">
        <v>74</v>
      </c>
      <c r="AF638" s="2" t="s">
        <v>74</v>
      </c>
      <c r="AG638" s="2" t="s">
        <v>74</v>
      </c>
      <c r="AH638" s="2" t="s">
        <v>74</v>
      </c>
      <c r="AI638" s="2" t="s">
        <v>74</v>
      </c>
      <c r="AJ638" s="2" t="s">
        <v>74</v>
      </c>
      <c r="AK638" s="2" t="s">
        <v>74</v>
      </c>
      <c r="AL638" s="2" t="s">
        <v>74</v>
      </c>
      <c r="AM638" s="2" t="s">
        <v>74</v>
      </c>
      <c r="AN638" s="2" t="s">
        <v>74</v>
      </c>
      <c r="AO638" s="2" t="s">
        <v>81</v>
      </c>
      <c r="AP638" s="2" t="s">
        <v>82</v>
      </c>
      <c r="AQ638" s="2" t="s">
        <v>74</v>
      </c>
      <c r="AR638" s="2" t="s">
        <v>74</v>
      </c>
      <c r="AS638" s="2" t="s">
        <v>74</v>
      </c>
      <c r="AT638" s="2" t="s">
        <v>74</v>
      </c>
      <c r="AU638" s="2">
        <v>2010</v>
      </c>
      <c r="AV638" s="2">
        <v>147</v>
      </c>
      <c r="AW638" s="2">
        <v>1</v>
      </c>
      <c r="AX638" s="2" t="s">
        <v>74</v>
      </c>
      <c r="AY638" s="2" t="s">
        <v>74</v>
      </c>
      <c r="AZ638" s="2" t="s">
        <v>74</v>
      </c>
      <c r="BA638" s="2" t="s">
        <v>74</v>
      </c>
      <c r="BB638" s="2">
        <v>19</v>
      </c>
      <c r="BC638" s="2">
        <v>36</v>
      </c>
      <c r="BD638" s="2" t="s">
        <v>74</v>
      </c>
      <c r="BE638" s="2" t="s">
        <v>6729</v>
      </c>
      <c r="BF638" s="2" t="str">
        <f>HYPERLINK("http://dx.doi.org/10.1163/000579509X12483520922043","http://dx.doi.org/10.1163/000579509X12483520922043")</f>
        <v>http://dx.doi.org/10.1163/000579509X12483520922043</v>
      </c>
      <c r="BG638" s="2" t="s">
        <v>74</v>
      </c>
      <c r="BH638" s="2" t="s">
        <v>74</v>
      </c>
      <c r="BI638" s="2" t="s">
        <v>74</v>
      </c>
      <c r="BJ638" s="2" t="s">
        <v>74</v>
      </c>
      <c r="BK638" s="2" t="s">
        <v>74</v>
      </c>
      <c r="BL638" s="2" t="s">
        <v>74</v>
      </c>
      <c r="BM638" s="2" t="s">
        <v>74</v>
      </c>
      <c r="BN638" s="2" t="s">
        <v>74</v>
      </c>
      <c r="BO638" s="2" t="s">
        <v>74</v>
      </c>
      <c r="BP638" s="2" t="s">
        <v>74</v>
      </c>
      <c r="BQ638" s="2" t="s">
        <v>74</v>
      </c>
      <c r="BR638" s="2" t="s">
        <v>74</v>
      </c>
      <c r="BS638" s="2" t="s">
        <v>6730</v>
      </c>
      <c r="BT638" s="2" t="str">
        <f>HYPERLINK("https%3A%2F%2Fwww.webofscience.com%2Fwos%2Fwoscc%2Ffull-record%2FWOS:000275078900002","View Full Record in Web of Science")</f>
        <v>View Full Record in Web of Science</v>
      </c>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row>
    <row r="639" spans="1:314" s="2" customFormat="1" x14ac:dyDescent="0.4">
      <c r="A639" s="2" t="s">
        <v>72</v>
      </c>
      <c r="B639" s="2" t="s">
        <v>4493</v>
      </c>
      <c r="C639" s="2" t="s">
        <v>74</v>
      </c>
      <c r="D639" s="2" t="s">
        <v>74</v>
      </c>
      <c r="E639" s="2" t="s">
        <v>74</v>
      </c>
      <c r="F639" s="2" t="s">
        <v>4493</v>
      </c>
      <c r="G639" s="2" t="s">
        <v>74</v>
      </c>
      <c r="H639" s="2" t="s">
        <v>74</v>
      </c>
      <c r="I639" s="2" t="s">
        <v>4494</v>
      </c>
      <c r="J639" s="2" t="s">
        <v>2847</v>
      </c>
      <c r="K639" s="2" t="s">
        <v>74</v>
      </c>
      <c r="L639" s="2" t="s">
        <v>74</v>
      </c>
      <c r="M639" s="2" t="s">
        <v>74</v>
      </c>
      <c r="N639" s="2" t="s">
        <v>74</v>
      </c>
      <c r="O639" s="2" t="s">
        <v>74</v>
      </c>
      <c r="P639" s="2" t="s">
        <v>74</v>
      </c>
      <c r="Q639" s="2" t="s">
        <v>74</v>
      </c>
      <c r="R639" s="2" t="s">
        <v>74</v>
      </c>
      <c r="S639" s="2" t="s">
        <v>74</v>
      </c>
      <c r="T639" s="2" t="s">
        <v>74</v>
      </c>
      <c r="U639" s="2" t="s">
        <v>74</v>
      </c>
      <c r="V639" s="5" t="s">
        <v>4495</v>
      </c>
      <c r="W639" s="2" t="s">
        <v>74</v>
      </c>
      <c r="X639" s="2" t="s">
        <v>74</v>
      </c>
      <c r="Y639" s="2" t="s">
        <v>74</v>
      </c>
      <c r="Z639" s="2" t="s">
        <v>74</v>
      </c>
      <c r="AA639" s="2" t="s">
        <v>74</v>
      </c>
      <c r="AB639" s="2" t="s">
        <v>74</v>
      </c>
      <c r="AC639" s="2" t="s">
        <v>74</v>
      </c>
      <c r="AD639" s="2" t="s">
        <v>74</v>
      </c>
      <c r="AE639" s="2" t="s">
        <v>74</v>
      </c>
      <c r="AF639" s="2" t="s">
        <v>74</v>
      </c>
      <c r="AG639" s="2" t="s">
        <v>74</v>
      </c>
      <c r="AH639" s="2" t="s">
        <v>74</v>
      </c>
      <c r="AI639" s="2" t="s">
        <v>74</v>
      </c>
      <c r="AJ639" s="2" t="s">
        <v>74</v>
      </c>
      <c r="AK639" s="2" t="s">
        <v>74</v>
      </c>
      <c r="AL639" s="2" t="s">
        <v>74</v>
      </c>
      <c r="AM639" s="2" t="s">
        <v>74</v>
      </c>
      <c r="AN639" s="2" t="s">
        <v>74</v>
      </c>
      <c r="AO639" s="2" t="s">
        <v>2849</v>
      </c>
      <c r="AP639" s="2" t="s">
        <v>74</v>
      </c>
      <c r="AQ639" s="2" t="s">
        <v>74</v>
      </c>
      <c r="AR639" s="2" t="s">
        <v>74</v>
      </c>
      <c r="AS639" s="2" t="s">
        <v>74</v>
      </c>
      <c r="AT639" s="2" t="s">
        <v>4496</v>
      </c>
      <c r="AU639" s="2">
        <v>1995</v>
      </c>
      <c r="AV639" s="2">
        <v>186</v>
      </c>
      <c r="AW639" s="2">
        <v>1</v>
      </c>
      <c r="AX639" s="2" t="s">
        <v>74</v>
      </c>
      <c r="AY639" s="2" t="s">
        <v>74</v>
      </c>
      <c r="AZ639" s="2" t="s">
        <v>74</v>
      </c>
      <c r="BA639" s="2" t="s">
        <v>74</v>
      </c>
      <c r="BB639" s="2">
        <v>17</v>
      </c>
      <c r="BC639" s="2">
        <v>31</v>
      </c>
      <c r="BD639" s="2" t="s">
        <v>74</v>
      </c>
      <c r="BE639" s="2" t="s">
        <v>4497</v>
      </c>
      <c r="BF639" s="2" t="str">
        <f>HYPERLINK("http://dx.doi.org/10.1016/0022-0981(94)00147-6","http://dx.doi.org/10.1016/0022-0981(94)00147-6")</f>
        <v>http://dx.doi.org/10.1016/0022-0981(94)00147-6</v>
      </c>
      <c r="BG639" s="2" t="s">
        <v>74</v>
      </c>
      <c r="BH639" s="2" t="s">
        <v>74</v>
      </c>
      <c r="BI639" s="2" t="s">
        <v>74</v>
      </c>
      <c r="BJ639" s="2" t="s">
        <v>74</v>
      </c>
      <c r="BK639" s="2" t="s">
        <v>74</v>
      </c>
      <c r="BL639" s="2" t="s">
        <v>74</v>
      </c>
      <c r="BM639" s="2" t="s">
        <v>74</v>
      </c>
      <c r="BN639" s="2" t="s">
        <v>74</v>
      </c>
      <c r="BO639" s="2" t="s">
        <v>74</v>
      </c>
      <c r="BP639" s="2" t="s">
        <v>74</v>
      </c>
      <c r="BQ639" s="2" t="s">
        <v>74</v>
      </c>
      <c r="BR639" s="2" t="s">
        <v>74</v>
      </c>
      <c r="BS639" s="2" t="s">
        <v>4498</v>
      </c>
      <c r="BT639" s="2" t="str">
        <f>HYPERLINK("https%3A%2F%2Fwww.webofscience.com%2Fwos%2Fwoscc%2Ffull-record%2FWOS:A1995QN80300003","View Full Record in Web of Science")</f>
        <v>View Full Record in Web of Science</v>
      </c>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row>
    <row r="640" spans="1:314" s="2" customFormat="1" x14ac:dyDescent="0.4">
      <c r="A640" s="2" t="s">
        <v>72</v>
      </c>
      <c r="B640" s="2" t="s">
        <v>3674</v>
      </c>
      <c r="C640" s="2" t="s">
        <v>74</v>
      </c>
      <c r="D640" s="2" t="s">
        <v>74</v>
      </c>
      <c r="E640" s="2" t="s">
        <v>74</v>
      </c>
      <c r="F640" s="2" t="s">
        <v>3675</v>
      </c>
      <c r="G640" s="2" t="s">
        <v>74</v>
      </c>
      <c r="H640" s="2" t="s">
        <v>74</v>
      </c>
      <c r="I640" s="2" t="s">
        <v>3676</v>
      </c>
      <c r="J640" s="2" t="s">
        <v>1812</v>
      </c>
      <c r="K640" s="2" t="s">
        <v>74</v>
      </c>
      <c r="L640" s="2" t="s">
        <v>74</v>
      </c>
      <c r="M640" s="2" t="s">
        <v>74</v>
      </c>
      <c r="N640" s="2" t="s">
        <v>74</v>
      </c>
      <c r="O640" s="2" t="s">
        <v>74</v>
      </c>
      <c r="P640" s="2" t="s">
        <v>74</v>
      </c>
      <c r="Q640" s="2" t="s">
        <v>74</v>
      </c>
      <c r="R640" s="2" t="s">
        <v>74</v>
      </c>
      <c r="S640" s="2" t="s">
        <v>74</v>
      </c>
      <c r="T640" s="2" t="s">
        <v>74</v>
      </c>
      <c r="U640" s="2" t="s">
        <v>74</v>
      </c>
      <c r="V640" s="5" t="s">
        <v>3677</v>
      </c>
      <c r="W640" s="2" t="s">
        <v>74</v>
      </c>
      <c r="X640" s="2" t="s">
        <v>74</v>
      </c>
      <c r="Y640" s="2" t="s">
        <v>74</v>
      </c>
      <c r="Z640" s="2" t="s">
        <v>74</v>
      </c>
      <c r="AA640" s="2" t="s">
        <v>3678</v>
      </c>
      <c r="AB640" s="2" t="s">
        <v>3679</v>
      </c>
      <c r="AC640" s="2" t="s">
        <v>74</v>
      </c>
      <c r="AD640" s="2" t="s">
        <v>74</v>
      </c>
      <c r="AE640" s="2" t="s">
        <v>74</v>
      </c>
      <c r="AF640" s="2" t="s">
        <v>74</v>
      </c>
      <c r="AG640" s="2" t="s">
        <v>74</v>
      </c>
      <c r="AH640" s="2" t="s">
        <v>74</v>
      </c>
      <c r="AI640" s="2" t="s">
        <v>74</v>
      </c>
      <c r="AJ640" s="2" t="s">
        <v>74</v>
      </c>
      <c r="AK640" s="2" t="s">
        <v>74</v>
      </c>
      <c r="AL640" s="2" t="s">
        <v>74</v>
      </c>
      <c r="AM640" s="2" t="s">
        <v>74</v>
      </c>
      <c r="AN640" s="2" t="s">
        <v>74</v>
      </c>
      <c r="AO640" s="2" t="s">
        <v>1814</v>
      </c>
      <c r="AP640" s="2" t="s">
        <v>1815</v>
      </c>
      <c r="AQ640" s="2" t="s">
        <v>74</v>
      </c>
      <c r="AR640" s="2" t="s">
        <v>74</v>
      </c>
      <c r="AS640" s="2" t="s">
        <v>74</v>
      </c>
      <c r="AT640" s="2" t="s">
        <v>102</v>
      </c>
      <c r="AU640" s="2">
        <v>2010</v>
      </c>
      <c r="AV640" s="2">
        <v>44</v>
      </c>
      <c r="AW640" s="2">
        <v>2</v>
      </c>
      <c r="AX640" s="2" t="s">
        <v>74</v>
      </c>
      <c r="AY640" s="2" t="s">
        <v>74</v>
      </c>
      <c r="AZ640" s="2" t="s">
        <v>74</v>
      </c>
      <c r="BA640" s="2" t="s">
        <v>74</v>
      </c>
      <c r="BB640" s="2">
        <v>261</v>
      </c>
      <c r="BC640" s="2">
        <v>271</v>
      </c>
      <c r="BD640" s="2" t="s">
        <v>74</v>
      </c>
      <c r="BE640" s="2" t="s">
        <v>3680</v>
      </c>
      <c r="BF640" s="2" t="str">
        <f>HYPERLINK("http://dx.doi.org/10.1670/08-275.1","http://dx.doi.org/10.1670/08-275.1")</f>
        <v>http://dx.doi.org/10.1670/08-275.1</v>
      </c>
      <c r="BG640" s="2" t="s">
        <v>74</v>
      </c>
      <c r="BH640" s="2" t="s">
        <v>74</v>
      </c>
      <c r="BI640" s="2" t="s">
        <v>74</v>
      </c>
      <c r="BJ640" s="2" t="s">
        <v>74</v>
      </c>
      <c r="BK640" s="2" t="s">
        <v>74</v>
      </c>
      <c r="BL640" s="2" t="s">
        <v>74</v>
      </c>
      <c r="BM640" s="2" t="s">
        <v>74</v>
      </c>
      <c r="BN640" s="2" t="s">
        <v>74</v>
      </c>
      <c r="BO640" s="2" t="s">
        <v>74</v>
      </c>
      <c r="BP640" s="2" t="s">
        <v>74</v>
      </c>
      <c r="BQ640" s="2" t="s">
        <v>74</v>
      </c>
      <c r="BR640" s="2" t="s">
        <v>74</v>
      </c>
      <c r="BS640" s="2" t="s">
        <v>3681</v>
      </c>
      <c r="BT640" s="2" t="str">
        <f>HYPERLINK("https%3A%2F%2Fwww.webofscience.com%2Fwos%2Fwoscc%2Ffull-record%2FWOS:000278297700010","View Full Record in Web of Science")</f>
        <v>View Full Record in Web of Science</v>
      </c>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row>
    <row r="641" spans="1:314" s="2" customFormat="1" x14ac:dyDescent="0.4">
      <c r="A641" s="2" t="s">
        <v>72</v>
      </c>
      <c r="B641" s="2" t="s">
        <v>1886</v>
      </c>
      <c r="C641" s="2" t="s">
        <v>74</v>
      </c>
      <c r="D641" s="2" t="s">
        <v>74</v>
      </c>
      <c r="E641" s="2" t="s">
        <v>74</v>
      </c>
      <c r="F641" s="2" t="s">
        <v>1887</v>
      </c>
      <c r="G641" s="2" t="s">
        <v>74</v>
      </c>
      <c r="H641" s="2" t="s">
        <v>74</v>
      </c>
      <c r="I641" s="2" t="s">
        <v>1888</v>
      </c>
      <c r="J641" s="2" t="s">
        <v>129</v>
      </c>
      <c r="K641" s="2" t="s">
        <v>74</v>
      </c>
      <c r="L641" s="2" t="s">
        <v>74</v>
      </c>
      <c r="M641" s="2" t="s">
        <v>74</v>
      </c>
      <c r="N641" s="2" t="s">
        <v>74</v>
      </c>
      <c r="O641" s="2" t="s">
        <v>74</v>
      </c>
      <c r="P641" s="2" t="s">
        <v>74</v>
      </c>
      <c r="Q641" s="2" t="s">
        <v>74</v>
      </c>
      <c r="R641" s="2" t="s">
        <v>74</v>
      </c>
      <c r="S641" s="2" t="s">
        <v>74</v>
      </c>
      <c r="T641" s="2" t="s">
        <v>74</v>
      </c>
      <c r="U641" s="2" t="s">
        <v>74</v>
      </c>
      <c r="V641" s="5" t="s">
        <v>1889</v>
      </c>
      <c r="W641" s="2" t="s">
        <v>74</v>
      </c>
      <c r="X641" s="2" t="s">
        <v>74</v>
      </c>
      <c r="Y641" s="2" t="s">
        <v>74</v>
      </c>
      <c r="Z641" s="2" t="s">
        <v>74</v>
      </c>
      <c r="AA641" s="2" t="s">
        <v>74</v>
      </c>
      <c r="AB641" s="2" t="s">
        <v>74</v>
      </c>
      <c r="AC641" s="2" t="s">
        <v>74</v>
      </c>
      <c r="AD641" s="2" t="s">
        <v>74</v>
      </c>
      <c r="AE641" s="2" t="s">
        <v>74</v>
      </c>
      <c r="AF641" s="2" t="s">
        <v>74</v>
      </c>
      <c r="AG641" s="2" t="s">
        <v>74</v>
      </c>
      <c r="AH641" s="2" t="s">
        <v>74</v>
      </c>
      <c r="AI641" s="2" t="s">
        <v>74</v>
      </c>
      <c r="AJ641" s="2" t="s">
        <v>74</v>
      </c>
      <c r="AK641" s="2" t="s">
        <v>74</v>
      </c>
      <c r="AL641" s="2" t="s">
        <v>74</v>
      </c>
      <c r="AM641" s="2" t="s">
        <v>74</v>
      </c>
      <c r="AN641" s="2" t="s">
        <v>74</v>
      </c>
      <c r="AO641" s="2" t="s">
        <v>132</v>
      </c>
      <c r="AP641" s="2" t="s">
        <v>133</v>
      </c>
      <c r="AQ641" s="2" t="s">
        <v>74</v>
      </c>
      <c r="AR641" s="2" t="s">
        <v>74</v>
      </c>
      <c r="AS641" s="2" t="s">
        <v>74</v>
      </c>
      <c r="AT641" s="2" t="s">
        <v>964</v>
      </c>
      <c r="AU641" s="2">
        <v>2021</v>
      </c>
      <c r="AV641" s="2">
        <v>75</v>
      </c>
      <c r="AW641" s="2">
        <v>2</v>
      </c>
      <c r="AX641" s="2" t="s">
        <v>74</v>
      </c>
      <c r="AY641" s="2" t="s">
        <v>74</v>
      </c>
      <c r="AZ641" s="2" t="s">
        <v>74</v>
      </c>
      <c r="BA641" s="2" t="s">
        <v>74</v>
      </c>
      <c r="BB641" s="2" t="s">
        <v>74</v>
      </c>
      <c r="BC641" s="2" t="s">
        <v>74</v>
      </c>
      <c r="BD641" s="2">
        <v>40</v>
      </c>
      <c r="BE641" s="2" t="s">
        <v>1890</v>
      </c>
      <c r="BF641" s="2" t="str">
        <f>HYPERLINK("http://dx.doi.org/10.1007/s00265-021-02980-y","http://dx.doi.org/10.1007/s00265-021-02980-y")</f>
        <v>http://dx.doi.org/10.1007/s00265-021-02980-y</v>
      </c>
      <c r="BG641" s="2" t="s">
        <v>74</v>
      </c>
      <c r="BH641" s="2" t="s">
        <v>74</v>
      </c>
      <c r="BI641" s="2" t="s">
        <v>74</v>
      </c>
      <c r="BJ641" s="2" t="s">
        <v>74</v>
      </c>
      <c r="BK641" s="2" t="s">
        <v>74</v>
      </c>
      <c r="BL641" s="2" t="s">
        <v>74</v>
      </c>
      <c r="BM641" s="2" t="s">
        <v>74</v>
      </c>
      <c r="BN641" s="2" t="s">
        <v>74</v>
      </c>
      <c r="BO641" s="2" t="s">
        <v>74</v>
      </c>
      <c r="BP641" s="2" t="s">
        <v>74</v>
      </c>
      <c r="BQ641" s="2" t="s">
        <v>74</v>
      </c>
      <c r="BR641" s="2" t="s">
        <v>74</v>
      </c>
      <c r="BS641" s="2" t="s">
        <v>1891</v>
      </c>
      <c r="BT641" s="2" t="str">
        <f>HYPERLINK("https%3A%2F%2Fwww.webofscience.com%2Fwos%2Fwoscc%2Ffull-record%2FWOS:000613234900001","View Full Record in Web of Science")</f>
        <v>View Full Record in Web of Science</v>
      </c>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row>
    <row r="642" spans="1:314" s="2" customFormat="1" x14ac:dyDescent="0.4">
      <c r="A642" s="2" t="s">
        <v>72</v>
      </c>
      <c r="B642" s="2" t="s">
        <v>3016</v>
      </c>
      <c r="C642" s="2" t="s">
        <v>74</v>
      </c>
      <c r="D642" s="2" t="s">
        <v>74</v>
      </c>
      <c r="E642" s="2" t="s">
        <v>74</v>
      </c>
      <c r="F642" s="2" t="s">
        <v>3017</v>
      </c>
      <c r="G642" s="2" t="s">
        <v>74</v>
      </c>
      <c r="H642" s="2" t="s">
        <v>74</v>
      </c>
      <c r="I642" s="2" t="s">
        <v>3018</v>
      </c>
      <c r="J642" s="2" t="s">
        <v>201</v>
      </c>
      <c r="K642" s="2" t="s">
        <v>74</v>
      </c>
      <c r="L642" s="2" t="s">
        <v>74</v>
      </c>
      <c r="M642" s="2" t="s">
        <v>74</v>
      </c>
      <c r="N642" s="2" t="s">
        <v>74</v>
      </c>
      <c r="O642" s="2" t="s">
        <v>74</v>
      </c>
      <c r="P642" s="2" t="s">
        <v>74</v>
      </c>
      <c r="Q642" s="2" t="s">
        <v>74</v>
      </c>
      <c r="R642" s="2" t="s">
        <v>74</v>
      </c>
      <c r="S642" s="2" t="s">
        <v>74</v>
      </c>
      <c r="T642" s="2" t="s">
        <v>74</v>
      </c>
      <c r="U642" s="2" t="s">
        <v>74</v>
      </c>
      <c r="V642" s="5" t="s">
        <v>3019</v>
      </c>
      <c r="W642" s="2" t="s">
        <v>74</v>
      </c>
      <c r="X642" s="2" t="s">
        <v>74</v>
      </c>
      <c r="Y642" s="2" t="s">
        <v>74</v>
      </c>
      <c r="Z642" s="2" t="s">
        <v>74</v>
      </c>
      <c r="AA642" s="2" t="s">
        <v>74</v>
      </c>
      <c r="AB642" s="2" t="s">
        <v>74</v>
      </c>
      <c r="AC642" s="2" t="s">
        <v>74</v>
      </c>
      <c r="AD642" s="2" t="s">
        <v>74</v>
      </c>
      <c r="AE642" s="2" t="s">
        <v>74</v>
      </c>
      <c r="AF642" s="2" t="s">
        <v>74</v>
      </c>
      <c r="AG642" s="2" t="s">
        <v>74</v>
      </c>
      <c r="AH642" s="2" t="s">
        <v>74</v>
      </c>
      <c r="AI642" s="2" t="s">
        <v>74</v>
      </c>
      <c r="AJ642" s="2" t="s">
        <v>74</v>
      </c>
      <c r="AK642" s="2" t="s">
        <v>74</v>
      </c>
      <c r="AL642" s="2" t="s">
        <v>74</v>
      </c>
      <c r="AM642" s="2" t="s">
        <v>74</v>
      </c>
      <c r="AN642" s="2" t="s">
        <v>74</v>
      </c>
      <c r="AO642" s="2" t="s">
        <v>203</v>
      </c>
      <c r="AP642" s="2" t="s">
        <v>1192</v>
      </c>
      <c r="AQ642" s="2" t="s">
        <v>74</v>
      </c>
      <c r="AR642" s="2" t="s">
        <v>74</v>
      </c>
      <c r="AS642" s="2" t="s">
        <v>74</v>
      </c>
      <c r="AT642" s="2" t="s">
        <v>123</v>
      </c>
      <c r="AU642" s="2">
        <v>2020</v>
      </c>
      <c r="AV642" s="2">
        <v>96</v>
      </c>
      <c r="AW642" s="2">
        <v>3</v>
      </c>
      <c r="AX642" s="2" t="s">
        <v>74</v>
      </c>
      <c r="AY642" s="2" t="s">
        <v>74</v>
      </c>
      <c r="AZ642" s="2" t="s">
        <v>74</v>
      </c>
      <c r="BA642" s="2" t="s">
        <v>74</v>
      </c>
      <c r="BB642" s="2">
        <v>663</v>
      </c>
      <c r="BC642" s="2">
        <v>668</v>
      </c>
      <c r="BD642" s="2" t="s">
        <v>74</v>
      </c>
      <c r="BE642" s="2" t="s">
        <v>3020</v>
      </c>
      <c r="BF642" s="2" t="str">
        <f>HYPERLINK("http://dx.doi.org/10.1111/jfb.14257","http://dx.doi.org/10.1111/jfb.14257")</f>
        <v>http://dx.doi.org/10.1111/jfb.14257</v>
      </c>
      <c r="BG642" s="2" t="s">
        <v>74</v>
      </c>
      <c r="BH642" s="2" t="s">
        <v>3021</v>
      </c>
      <c r="BI642" s="2" t="s">
        <v>74</v>
      </c>
      <c r="BJ642" s="2" t="s">
        <v>74</v>
      </c>
      <c r="BK642" s="2" t="s">
        <v>74</v>
      </c>
      <c r="BL642" s="2" t="s">
        <v>74</v>
      </c>
      <c r="BM642" s="2" t="s">
        <v>74</v>
      </c>
      <c r="BN642" s="2">
        <v>31944298</v>
      </c>
      <c r="BO642" s="2" t="s">
        <v>74</v>
      </c>
      <c r="BP642" s="2" t="s">
        <v>74</v>
      </c>
      <c r="BQ642" s="2" t="s">
        <v>74</v>
      </c>
      <c r="BR642" s="2" t="s">
        <v>74</v>
      </c>
      <c r="BS642" s="2" t="s">
        <v>3022</v>
      </c>
      <c r="BT642" s="2" t="str">
        <f>HYPERLINK("https%3A%2F%2Fwww.webofscience.com%2Fwos%2Fwoscc%2Ffull-record%2FWOS:000509418500001","View Full Record in Web of Science")</f>
        <v>View Full Record in Web of Science</v>
      </c>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row>
    <row r="643" spans="1:314" s="2" customFormat="1" x14ac:dyDescent="0.4">
      <c r="A643" s="2" t="s">
        <v>72</v>
      </c>
      <c r="B643" s="2" t="s">
        <v>5660</v>
      </c>
      <c r="C643" s="2" t="s">
        <v>74</v>
      </c>
      <c r="D643" s="2" t="s">
        <v>74</v>
      </c>
      <c r="E643" s="2" t="s">
        <v>74</v>
      </c>
      <c r="F643" s="2" t="s">
        <v>5660</v>
      </c>
      <c r="G643" s="2" t="s">
        <v>74</v>
      </c>
      <c r="H643" s="2" t="s">
        <v>74</v>
      </c>
      <c r="I643" s="2" t="s">
        <v>5661</v>
      </c>
      <c r="J643" s="2" t="s">
        <v>530</v>
      </c>
      <c r="K643" s="2" t="s">
        <v>74</v>
      </c>
      <c r="L643" s="2" t="s">
        <v>74</v>
      </c>
      <c r="M643" s="2" t="s">
        <v>74</v>
      </c>
      <c r="N643" s="2" t="s">
        <v>74</v>
      </c>
      <c r="O643" s="2" t="s">
        <v>74</v>
      </c>
      <c r="P643" s="2" t="s">
        <v>74</v>
      </c>
      <c r="Q643" s="2" t="s">
        <v>74</v>
      </c>
      <c r="R643" s="2" t="s">
        <v>74</v>
      </c>
      <c r="S643" s="2" t="s">
        <v>74</v>
      </c>
      <c r="T643" s="2" t="s">
        <v>74</v>
      </c>
      <c r="U643" s="2" t="s">
        <v>74</v>
      </c>
      <c r="V643" s="5" t="s">
        <v>5662</v>
      </c>
      <c r="W643" s="2" t="s">
        <v>74</v>
      </c>
      <c r="X643" s="2" t="s">
        <v>74</v>
      </c>
      <c r="Y643" s="2" t="s">
        <v>74</v>
      </c>
      <c r="Z643" s="2" t="s">
        <v>74</v>
      </c>
      <c r="AA643" s="2" t="s">
        <v>5663</v>
      </c>
      <c r="AB643" s="2" t="s">
        <v>5664</v>
      </c>
      <c r="AC643" s="2" t="s">
        <v>74</v>
      </c>
      <c r="AD643" s="2" t="s">
        <v>74</v>
      </c>
      <c r="AE643" s="2" t="s">
        <v>74</v>
      </c>
      <c r="AF643" s="2" t="s">
        <v>74</v>
      </c>
      <c r="AG643" s="2" t="s">
        <v>74</v>
      </c>
      <c r="AH643" s="2" t="s">
        <v>74</v>
      </c>
      <c r="AI643" s="2" t="s">
        <v>74</v>
      </c>
      <c r="AJ643" s="2" t="s">
        <v>74</v>
      </c>
      <c r="AK643" s="2" t="s">
        <v>74</v>
      </c>
      <c r="AL643" s="2" t="s">
        <v>74</v>
      </c>
      <c r="AM643" s="2" t="s">
        <v>74</v>
      </c>
      <c r="AN643" s="2" t="s">
        <v>74</v>
      </c>
      <c r="AO643" s="2" t="s">
        <v>532</v>
      </c>
      <c r="AP643" s="2" t="s">
        <v>533</v>
      </c>
      <c r="AQ643" s="2" t="s">
        <v>74</v>
      </c>
      <c r="AR643" s="2" t="s">
        <v>74</v>
      </c>
      <c r="AS643" s="2" t="s">
        <v>74</v>
      </c>
      <c r="AT643" s="2" t="s">
        <v>305</v>
      </c>
      <c r="AU643" s="2">
        <v>2001</v>
      </c>
      <c r="AV643" s="2">
        <v>139</v>
      </c>
      <c r="AW643" s="2">
        <v>6</v>
      </c>
      <c r="AX643" s="2" t="s">
        <v>74</v>
      </c>
      <c r="AY643" s="2" t="s">
        <v>74</v>
      </c>
      <c r="AZ643" s="2" t="s">
        <v>74</v>
      </c>
      <c r="BA643" s="2" t="s">
        <v>74</v>
      </c>
      <c r="BB643" s="2">
        <v>1147</v>
      </c>
      <c r="BC643" s="2">
        <v>1154</v>
      </c>
      <c r="BD643" s="2" t="s">
        <v>74</v>
      </c>
      <c r="BE643" s="2" t="s">
        <v>74</v>
      </c>
      <c r="BF643" s="2" t="s">
        <v>74</v>
      </c>
      <c r="BG643" s="2" t="s">
        <v>74</v>
      </c>
      <c r="BH643" s="2" t="s">
        <v>74</v>
      </c>
      <c r="BI643" s="2" t="s">
        <v>74</v>
      </c>
      <c r="BJ643" s="2" t="s">
        <v>74</v>
      </c>
      <c r="BK643" s="2" t="s">
        <v>74</v>
      </c>
      <c r="BL643" s="2" t="s">
        <v>74</v>
      </c>
      <c r="BM643" s="2" t="s">
        <v>74</v>
      </c>
      <c r="BN643" s="2" t="s">
        <v>74</v>
      </c>
      <c r="BO643" s="2" t="s">
        <v>74</v>
      </c>
      <c r="BP643" s="2" t="s">
        <v>74</v>
      </c>
      <c r="BQ643" s="2" t="s">
        <v>74</v>
      </c>
      <c r="BR643" s="2" t="s">
        <v>74</v>
      </c>
      <c r="BS643" s="2" t="s">
        <v>5665</v>
      </c>
      <c r="BT643" s="2" t="str">
        <f>HYPERLINK("https%3A%2F%2Fwww.webofscience.com%2Fwos%2Fwoscc%2Ffull-record%2FWOS:000173168700014","View Full Record in Web of Science")</f>
        <v>View Full Record in Web of Science</v>
      </c>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row>
    <row r="644" spans="1:314" s="2" customFormat="1" x14ac:dyDescent="0.4">
      <c r="A644" s="2" t="s">
        <v>72</v>
      </c>
      <c r="B644" s="2" t="s">
        <v>2586</v>
      </c>
      <c r="C644" s="2" t="s">
        <v>74</v>
      </c>
      <c r="D644" s="2" t="s">
        <v>74</v>
      </c>
      <c r="E644" s="2" t="s">
        <v>74</v>
      </c>
      <c r="F644" s="2" t="s">
        <v>2587</v>
      </c>
      <c r="G644" s="2" t="s">
        <v>74</v>
      </c>
      <c r="H644" s="2" t="s">
        <v>74</v>
      </c>
      <c r="I644" s="2" t="s">
        <v>2588</v>
      </c>
      <c r="J644" s="2" t="s">
        <v>824</v>
      </c>
      <c r="K644" s="2" t="s">
        <v>74</v>
      </c>
      <c r="L644" s="2" t="s">
        <v>74</v>
      </c>
      <c r="M644" s="2" t="s">
        <v>74</v>
      </c>
      <c r="N644" s="2" t="s">
        <v>74</v>
      </c>
      <c r="O644" s="2" t="s">
        <v>74</v>
      </c>
      <c r="P644" s="2" t="s">
        <v>74</v>
      </c>
      <c r="Q644" s="2" t="s">
        <v>74</v>
      </c>
      <c r="R644" s="2" t="s">
        <v>74</v>
      </c>
      <c r="S644" s="2" t="s">
        <v>74</v>
      </c>
      <c r="T644" s="2" t="s">
        <v>74</v>
      </c>
      <c r="U644" s="2" t="s">
        <v>74</v>
      </c>
      <c r="V644" s="5" t="s">
        <v>2589</v>
      </c>
      <c r="W644" s="2" t="s">
        <v>74</v>
      </c>
      <c r="X644" s="2" t="s">
        <v>74</v>
      </c>
      <c r="Y644" s="2" t="s">
        <v>74</v>
      </c>
      <c r="Z644" s="2" t="s">
        <v>74</v>
      </c>
      <c r="AA644" s="2" t="s">
        <v>2590</v>
      </c>
      <c r="AB644" s="2" t="s">
        <v>2591</v>
      </c>
      <c r="AC644" s="2" t="s">
        <v>74</v>
      </c>
      <c r="AD644" s="2" t="s">
        <v>74</v>
      </c>
      <c r="AE644" s="2" t="s">
        <v>74</v>
      </c>
      <c r="AF644" s="2" t="s">
        <v>74</v>
      </c>
      <c r="AG644" s="2" t="s">
        <v>74</v>
      </c>
      <c r="AH644" s="2" t="s">
        <v>74</v>
      </c>
      <c r="AI644" s="2" t="s">
        <v>74</v>
      </c>
      <c r="AJ644" s="2" t="s">
        <v>74</v>
      </c>
      <c r="AK644" s="2" t="s">
        <v>74</v>
      </c>
      <c r="AL644" s="2" t="s">
        <v>74</v>
      </c>
      <c r="AM644" s="2" t="s">
        <v>74</v>
      </c>
      <c r="AN644" s="2" t="s">
        <v>74</v>
      </c>
      <c r="AO644" s="2" t="s">
        <v>828</v>
      </c>
      <c r="AP644" s="2" t="s">
        <v>829</v>
      </c>
      <c r="AQ644" s="2" t="s">
        <v>74</v>
      </c>
      <c r="AR644" s="2" t="s">
        <v>74</v>
      </c>
      <c r="AS644" s="2" t="s">
        <v>74</v>
      </c>
      <c r="AT644" s="2" t="s">
        <v>213</v>
      </c>
      <c r="AU644" s="2">
        <v>2014</v>
      </c>
      <c r="AV644" s="2">
        <v>83</v>
      </c>
      <c r="AW644" s="2">
        <v>6</v>
      </c>
      <c r="AX644" s="2" t="s">
        <v>74</v>
      </c>
      <c r="AY644" s="2" t="s">
        <v>74</v>
      </c>
      <c r="AZ644" s="2" t="s">
        <v>74</v>
      </c>
      <c r="BA644" s="2" t="s">
        <v>74</v>
      </c>
      <c r="BB644" s="2">
        <v>1490</v>
      </c>
      <c r="BC644" s="2">
        <v>1500</v>
      </c>
      <c r="BD644" s="2" t="s">
        <v>74</v>
      </c>
      <c r="BE644" s="2" t="s">
        <v>2592</v>
      </c>
      <c r="BF644" s="2" t="str">
        <f>HYPERLINK("http://dx.doi.org/10.1111/1365-2656.12252","http://dx.doi.org/10.1111/1365-2656.12252")</f>
        <v>http://dx.doi.org/10.1111/1365-2656.12252</v>
      </c>
      <c r="BG644" s="2" t="s">
        <v>74</v>
      </c>
      <c r="BH644" s="2" t="s">
        <v>74</v>
      </c>
      <c r="BI644" s="2" t="s">
        <v>74</v>
      </c>
      <c r="BJ644" s="2" t="s">
        <v>74</v>
      </c>
      <c r="BK644" s="2" t="s">
        <v>74</v>
      </c>
      <c r="BL644" s="2" t="s">
        <v>74</v>
      </c>
      <c r="BM644" s="2" t="s">
        <v>74</v>
      </c>
      <c r="BN644" s="2">
        <v>24889087</v>
      </c>
      <c r="BO644" s="2" t="s">
        <v>74</v>
      </c>
      <c r="BP644" s="2" t="s">
        <v>74</v>
      </c>
      <c r="BQ644" s="2" t="s">
        <v>74</v>
      </c>
      <c r="BR644" s="2" t="s">
        <v>74</v>
      </c>
      <c r="BS644" s="2" t="s">
        <v>2593</v>
      </c>
      <c r="BT644" s="2" t="str">
        <f>HYPERLINK("https%3A%2F%2Fwww.webofscience.com%2Fwos%2Fwoscc%2Ffull-record%2FWOS:000344339500025","View Full Record in Web of Science")</f>
        <v>View Full Record in Web of Science</v>
      </c>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row>
    <row r="645" spans="1:314" s="2" customFormat="1" x14ac:dyDescent="0.4">
      <c r="A645" s="2" t="s">
        <v>72</v>
      </c>
      <c r="B645" s="2" t="s">
        <v>5958</v>
      </c>
      <c r="C645" s="2" t="s">
        <v>74</v>
      </c>
      <c r="D645" s="2" t="s">
        <v>74</v>
      </c>
      <c r="E645" s="2" t="s">
        <v>74</v>
      </c>
      <c r="F645" s="2" t="s">
        <v>5959</v>
      </c>
      <c r="G645" s="2" t="s">
        <v>74</v>
      </c>
      <c r="H645" s="2" t="s">
        <v>74</v>
      </c>
      <c r="I645" s="2" t="s">
        <v>5960</v>
      </c>
      <c r="J645" s="2" t="s">
        <v>5961</v>
      </c>
      <c r="K645" s="2" t="s">
        <v>74</v>
      </c>
      <c r="L645" s="2" t="s">
        <v>74</v>
      </c>
      <c r="M645" s="2" t="s">
        <v>74</v>
      </c>
      <c r="N645" s="2" t="s">
        <v>74</v>
      </c>
      <c r="O645" s="2" t="s">
        <v>74</v>
      </c>
      <c r="P645" s="2" t="s">
        <v>74</v>
      </c>
      <c r="Q645" s="2" t="s">
        <v>74</v>
      </c>
      <c r="R645" s="2" t="s">
        <v>74</v>
      </c>
      <c r="S645" s="2" t="s">
        <v>74</v>
      </c>
      <c r="T645" s="2" t="s">
        <v>74</v>
      </c>
      <c r="U645" s="2" t="s">
        <v>74</v>
      </c>
      <c r="V645" s="5" t="s">
        <v>5962</v>
      </c>
      <c r="W645" s="2" t="s">
        <v>74</v>
      </c>
      <c r="X645" s="2" t="s">
        <v>74</v>
      </c>
      <c r="Y645" s="2" t="s">
        <v>74</v>
      </c>
      <c r="Z645" s="2" t="s">
        <v>74</v>
      </c>
      <c r="AA645" s="2" t="s">
        <v>5963</v>
      </c>
      <c r="AB645" s="2" t="s">
        <v>5964</v>
      </c>
      <c r="AC645" s="2" t="s">
        <v>74</v>
      </c>
      <c r="AD645" s="2" t="s">
        <v>74</v>
      </c>
      <c r="AE645" s="2" t="s">
        <v>74</v>
      </c>
      <c r="AF645" s="2" t="s">
        <v>74</v>
      </c>
      <c r="AG645" s="2" t="s">
        <v>74</v>
      </c>
      <c r="AH645" s="2" t="s">
        <v>74</v>
      </c>
      <c r="AI645" s="2" t="s">
        <v>74</v>
      </c>
      <c r="AJ645" s="2" t="s">
        <v>74</v>
      </c>
      <c r="AK645" s="2" t="s">
        <v>74</v>
      </c>
      <c r="AL645" s="2" t="s">
        <v>74</v>
      </c>
      <c r="AM645" s="2" t="s">
        <v>74</v>
      </c>
      <c r="AN645" s="2" t="s">
        <v>74</v>
      </c>
      <c r="AO645" s="2" t="s">
        <v>5965</v>
      </c>
      <c r="AP645" s="2" t="s">
        <v>5966</v>
      </c>
      <c r="AQ645" s="2" t="s">
        <v>74</v>
      </c>
      <c r="AR645" s="2" t="s">
        <v>74</v>
      </c>
      <c r="AS645" s="2" t="s">
        <v>74</v>
      </c>
      <c r="AT645" s="2" t="s">
        <v>175</v>
      </c>
      <c r="AU645" s="2">
        <v>2015</v>
      </c>
      <c r="AV645" s="2">
        <v>40</v>
      </c>
      <c r="AW645" s="2">
        <v>4</v>
      </c>
      <c r="AX645" s="2" t="s">
        <v>74</v>
      </c>
      <c r="AY645" s="2" t="s">
        <v>74</v>
      </c>
      <c r="AZ645" s="2" t="s">
        <v>74</v>
      </c>
      <c r="BA645" s="2" t="s">
        <v>74</v>
      </c>
      <c r="BB645" s="2">
        <v>881</v>
      </c>
      <c r="BC645" s="2">
        <v>890</v>
      </c>
      <c r="BD645" s="2" t="s">
        <v>74</v>
      </c>
      <c r="BE645" s="2" t="s">
        <v>5967</v>
      </c>
      <c r="BF645" s="2" t="str">
        <f>HYPERLINK("http://dx.doi.org/10.1111/syen.12137","http://dx.doi.org/10.1111/syen.12137")</f>
        <v>http://dx.doi.org/10.1111/syen.12137</v>
      </c>
      <c r="BG645" s="2" t="s">
        <v>74</v>
      </c>
      <c r="BH645" s="2" t="s">
        <v>74</v>
      </c>
      <c r="BI645" s="2" t="s">
        <v>74</v>
      </c>
      <c r="BJ645" s="2" t="s">
        <v>74</v>
      </c>
      <c r="BK645" s="2" t="s">
        <v>74</v>
      </c>
      <c r="BL645" s="2" t="s">
        <v>74</v>
      </c>
      <c r="BM645" s="2" t="s">
        <v>74</v>
      </c>
      <c r="BN645" s="2" t="s">
        <v>74</v>
      </c>
      <c r="BO645" s="2" t="s">
        <v>74</v>
      </c>
      <c r="BP645" s="2" t="s">
        <v>74</v>
      </c>
      <c r="BQ645" s="2" t="s">
        <v>74</v>
      </c>
      <c r="BR645" s="2" t="s">
        <v>74</v>
      </c>
      <c r="BS645" s="2" t="s">
        <v>5968</v>
      </c>
      <c r="BT645" s="2" t="str">
        <f>HYPERLINK("https%3A%2F%2Fwww.webofscience.com%2Fwos%2Fwoscc%2Ffull-record%2FWOS:000360760000010","View Full Record in Web of Science")</f>
        <v>View Full Record in Web of Science</v>
      </c>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row>
    <row r="646" spans="1:314" s="2" customFormat="1" x14ac:dyDescent="0.4">
      <c r="A646" s="2" t="s">
        <v>72</v>
      </c>
      <c r="B646" s="2" t="s">
        <v>6433</v>
      </c>
      <c r="C646" s="2" t="s">
        <v>74</v>
      </c>
      <c r="D646" s="2" t="s">
        <v>74</v>
      </c>
      <c r="E646" s="2" t="s">
        <v>74</v>
      </c>
      <c r="F646" s="2" t="s">
        <v>6434</v>
      </c>
      <c r="G646" s="2" t="s">
        <v>74</v>
      </c>
      <c r="H646" s="2" t="s">
        <v>74</v>
      </c>
      <c r="I646" s="2" t="s">
        <v>6435</v>
      </c>
      <c r="J646" s="2" t="s">
        <v>6436</v>
      </c>
      <c r="K646" s="2" t="s">
        <v>74</v>
      </c>
      <c r="L646" s="2" t="s">
        <v>74</v>
      </c>
      <c r="M646" s="2" t="s">
        <v>74</v>
      </c>
      <c r="N646" s="2" t="s">
        <v>74</v>
      </c>
      <c r="O646" s="2" t="s">
        <v>74</v>
      </c>
      <c r="P646" s="2" t="s">
        <v>74</v>
      </c>
      <c r="Q646" s="2" t="s">
        <v>74</v>
      </c>
      <c r="R646" s="2" t="s">
        <v>74</v>
      </c>
      <c r="S646" s="2" t="s">
        <v>74</v>
      </c>
      <c r="T646" s="2" t="s">
        <v>74</v>
      </c>
      <c r="U646" s="2" t="s">
        <v>74</v>
      </c>
      <c r="V646" s="5" t="s">
        <v>6437</v>
      </c>
      <c r="W646" s="2" t="s">
        <v>74</v>
      </c>
      <c r="X646" s="2" t="s">
        <v>74</v>
      </c>
      <c r="Y646" s="2" t="s">
        <v>74</v>
      </c>
      <c r="Z646" s="2" t="s">
        <v>74</v>
      </c>
      <c r="AA646" s="2" t="s">
        <v>6438</v>
      </c>
      <c r="AB646" s="2" t="s">
        <v>74</v>
      </c>
      <c r="AC646" s="2" t="s">
        <v>74</v>
      </c>
      <c r="AD646" s="2" t="s">
        <v>74</v>
      </c>
      <c r="AE646" s="2" t="s">
        <v>74</v>
      </c>
      <c r="AF646" s="2" t="s">
        <v>74</v>
      </c>
      <c r="AG646" s="2" t="s">
        <v>74</v>
      </c>
      <c r="AH646" s="2" t="s">
        <v>74</v>
      </c>
      <c r="AI646" s="2" t="s">
        <v>74</v>
      </c>
      <c r="AJ646" s="2" t="s">
        <v>74</v>
      </c>
      <c r="AK646" s="2" t="s">
        <v>74</v>
      </c>
      <c r="AL646" s="2" t="s">
        <v>74</v>
      </c>
      <c r="AM646" s="2" t="s">
        <v>74</v>
      </c>
      <c r="AN646" s="2" t="s">
        <v>74</v>
      </c>
      <c r="AO646" s="2" t="s">
        <v>6439</v>
      </c>
      <c r="AP646" s="2" t="s">
        <v>74</v>
      </c>
      <c r="AQ646" s="2" t="s">
        <v>74</v>
      </c>
      <c r="AR646" s="2" t="s">
        <v>74</v>
      </c>
      <c r="AS646" s="2" t="s">
        <v>74</v>
      </c>
      <c r="AT646" s="2" t="s">
        <v>4830</v>
      </c>
      <c r="AU646" s="2">
        <v>2007</v>
      </c>
      <c r="AV646" s="2">
        <v>20</v>
      </c>
      <c r="AW646" s="2">
        <v>1</v>
      </c>
      <c r="AX646" s="2" t="s">
        <v>74</v>
      </c>
      <c r="AY646" s="2" t="s">
        <v>74</v>
      </c>
      <c r="AZ646" s="2" t="s">
        <v>74</v>
      </c>
      <c r="BA646" s="2" t="s">
        <v>74</v>
      </c>
      <c r="BB646" s="2">
        <v>72</v>
      </c>
      <c r="BC646" s="2">
        <v>81</v>
      </c>
      <c r="BD646" s="2" t="s">
        <v>74</v>
      </c>
      <c r="BE646" s="2" t="s">
        <v>6440</v>
      </c>
      <c r="BF646" s="2" t="str">
        <f>HYPERLINK("http://dx.doi.org/10.1071/SB06010","http://dx.doi.org/10.1071/SB06010")</f>
        <v>http://dx.doi.org/10.1071/SB06010</v>
      </c>
      <c r="BG646" s="2" t="s">
        <v>74</v>
      </c>
      <c r="BH646" s="2" t="s">
        <v>74</v>
      </c>
      <c r="BI646" s="2" t="s">
        <v>74</v>
      </c>
      <c r="BJ646" s="2" t="s">
        <v>74</v>
      </c>
      <c r="BK646" s="2" t="s">
        <v>74</v>
      </c>
      <c r="BL646" s="2" t="s">
        <v>74</v>
      </c>
      <c r="BM646" s="2" t="s">
        <v>74</v>
      </c>
      <c r="BN646" s="2" t="s">
        <v>74</v>
      </c>
      <c r="BO646" s="2" t="s">
        <v>74</v>
      </c>
      <c r="BP646" s="2" t="s">
        <v>74</v>
      </c>
      <c r="BQ646" s="2" t="s">
        <v>74</v>
      </c>
      <c r="BR646" s="2" t="s">
        <v>74</v>
      </c>
      <c r="BS646" s="2" t="s">
        <v>6441</v>
      </c>
      <c r="BT646" s="2" t="str">
        <f>HYPERLINK("https%3A%2F%2Fwww.webofscience.com%2Fwos%2Fwoscc%2Ffull-record%2FWOS:000244420200005","View Full Record in Web of Science")</f>
        <v>View Full Record in Web of Science</v>
      </c>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row>
    <row r="647" spans="1:314" s="2" customFormat="1" x14ac:dyDescent="0.4">
      <c r="A647" s="2" t="s">
        <v>72</v>
      </c>
      <c r="B647" s="2" t="s">
        <v>6134</v>
      </c>
      <c r="C647" s="2" t="s">
        <v>74</v>
      </c>
      <c r="D647" s="2" t="s">
        <v>74</v>
      </c>
      <c r="E647" s="2" t="s">
        <v>74</v>
      </c>
      <c r="F647" s="2" t="s">
        <v>6135</v>
      </c>
      <c r="G647" s="2" t="s">
        <v>74</v>
      </c>
      <c r="H647" s="2" t="s">
        <v>74</v>
      </c>
      <c r="I647" s="2" t="s">
        <v>6136</v>
      </c>
      <c r="J647" s="2" t="s">
        <v>6137</v>
      </c>
      <c r="K647" s="2" t="s">
        <v>74</v>
      </c>
      <c r="L647" s="2" t="s">
        <v>74</v>
      </c>
      <c r="M647" s="2" t="s">
        <v>74</v>
      </c>
      <c r="N647" s="2" t="s">
        <v>74</v>
      </c>
      <c r="O647" s="2" t="s">
        <v>74</v>
      </c>
      <c r="P647" s="2" t="s">
        <v>74</v>
      </c>
      <c r="Q647" s="2" t="s">
        <v>74</v>
      </c>
      <c r="R647" s="2" t="s">
        <v>74</v>
      </c>
      <c r="S647" s="2" t="s">
        <v>74</v>
      </c>
      <c r="T647" s="2" t="s">
        <v>74</v>
      </c>
      <c r="U647" s="2" t="s">
        <v>74</v>
      </c>
      <c r="V647" s="5" t="s">
        <v>6138</v>
      </c>
      <c r="W647" s="2" t="s">
        <v>74</v>
      </c>
      <c r="X647" s="2" t="s">
        <v>74</v>
      </c>
      <c r="Y647" s="2" t="s">
        <v>74</v>
      </c>
      <c r="Z647" s="2" t="s">
        <v>74</v>
      </c>
      <c r="AA647" s="2" t="s">
        <v>6139</v>
      </c>
      <c r="AB647" s="2" t="s">
        <v>74</v>
      </c>
      <c r="AC647" s="2" t="s">
        <v>74</v>
      </c>
      <c r="AD647" s="2" t="s">
        <v>74</v>
      </c>
      <c r="AE647" s="2" t="s">
        <v>74</v>
      </c>
      <c r="AF647" s="2" t="s">
        <v>74</v>
      </c>
      <c r="AG647" s="2" t="s">
        <v>74</v>
      </c>
      <c r="AH647" s="2" t="s">
        <v>74</v>
      </c>
      <c r="AI647" s="2" t="s">
        <v>74</v>
      </c>
      <c r="AJ647" s="2" t="s">
        <v>74</v>
      </c>
      <c r="AK647" s="2" t="s">
        <v>74</v>
      </c>
      <c r="AL647" s="2" t="s">
        <v>74</v>
      </c>
      <c r="AM647" s="2" t="s">
        <v>74</v>
      </c>
      <c r="AN647" s="2" t="s">
        <v>74</v>
      </c>
      <c r="AO647" s="2" t="s">
        <v>6140</v>
      </c>
      <c r="AP647" s="2" t="s">
        <v>6141</v>
      </c>
      <c r="AQ647" s="2" t="s">
        <v>74</v>
      </c>
      <c r="AR647" s="2" t="s">
        <v>74</v>
      </c>
      <c r="AS647" s="2" t="s">
        <v>74</v>
      </c>
      <c r="AT647" s="2" t="s">
        <v>6142</v>
      </c>
      <c r="AU647" s="2">
        <v>2015</v>
      </c>
      <c r="AV647" s="2" t="s">
        <v>74</v>
      </c>
      <c r="AW647" s="2" t="s">
        <v>74</v>
      </c>
      <c r="AX647" s="2" t="s">
        <v>74</v>
      </c>
      <c r="AY647" s="2">
        <v>31</v>
      </c>
      <c r="AZ647" s="2" t="s">
        <v>74</v>
      </c>
      <c r="BA647" s="2" t="s">
        <v>74</v>
      </c>
      <c r="BB647" s="2">
        <v>75</v>
      </c>
      <c r="BC647" s="2">
        <v>95</v>
      </c>
      <c r="BD647" s="2" t="s">
        <v>74</v>
      </c>
      <c r="BE647" s="2" t="s">
        <v>74</v>
      </c>
      <c r="BF647" s="2" t="s">
        <v>74</v>
      </c>
      <c r="BG647" s="2" t="s">
        <v>74</v>
      </c>
      <c r="BH647" s="2" t="s">
        <v>74</v>
      </c>
      <c r="BI647" s="2" t="s">
        <v>74</v>
      </c>
      <c r="BJ647" s="2" t="s">
        <v>74</v>
      </c>
      <c r="BK647" s="2" t="s">
        <v>74</v>
      </c>
      <c r="BL647" s="2" t="s">
        <v>74</v>
      </c>
      <c r="BM647" s="2" t="s">
        <v>74</v>
      </c>
      <c r="BN647" s="2" t="s">
        <v>74</v>
      </c>
      <c r="BO647" s="2" t="s">
        <v>74</v>
      </c>
      <c r="BP647" s="2" t="s">
        <v>74</v>
      </c>
      <c r="BQ647" s="2" t="s">
        <v>74</v>
      </c>
      <c r="BR647" s="2" t="s">
        <v>74</v>
      </c>
      <c r="BS647" s="2" t="s">
        <v>6143</v>
      </c>
      <c r="BT647" s="2" t="str">
        <f>HYPERLINK("https%3A%2F%2Fwww.webofscience.com%2Fwos%2Fwoscc%2Ffull-record%2FWOS:000360400000009","View Full Record in Web of Science")</f>
        <v>View Full Record in Web of Science</v>
      </c>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row>
    <row r="648" spans="1:314" s="2" customFormat="1" x14ac:dyDescent="0.4">
      <c r="A648" s="2" t="s">
        <v>72</v>
      </c>
      <c r="B648" s="2" t="s">
        <v>238</v>
      </c>
      <c r="C648" s="2" t="s">
        <v>74</v>
      </c>
      <c r="D648" s="2" t="s">
        <v>74</v>
      </c>
      <c r="E648" s="2" t="s">
        <v>74</v>
      </c>
      <c r="F648" s="2" t="s">
        <v>239</v>
      </c>
      <c r="G648" s="2" t="s">
        <v>74</v>
      </c>
      <c r="H648" s="2" t="s">
        <v>74</v>
      </c>
      <c r="I648" s="2" t="s">
        <v>240</v>
      </c>
      <c r="J648" s="2" t="s">
        <v>241</v>
      </c>
      <c r="K648" s="2" t="s">
        <v>74</v>
      </c>
      <c r="L648" s="2" t="s">
        <v>74</v>
      </c>
      <c r="M648" s="2" t="s">
        <v>74</v>
      </c>
      <c r="N648" s="2" t="s">
        <v>74</v>
      </c>
      <c r="O648" s="2" t="s">
        <v>74</v>
      </c>
      <c r="P648" s="2" t="s">
        <v>74</v>
      </c>
      <c r="Q648" s="2" t="s">
        <v>74</v>
      </c>
      <c r="R648" s="2" t="s">
        <v>74</v>
      </c>
      <c r="S648" s="2" t="s">
        <v>74</v>
      </c>
      <c r="T648" s="2" t="s">
        <v>74</v>
      </c>
      <c r="U648" s="2" t="s">
        <v>74</v>
      </c>
      <c r="V648" s="5" t="s">
        <v>242</v>
      </c>
      <c r="W648" s="2" t="s">
        <v>74</v>
      </c>
      <c r="X648" s="2" t="s">
        <v>74</v>
      </c>
      <c r="Y648" s="2" t="s">
        <v>74</v>
      </c>
      <c r="Z648" s="2" t="s">
        <v>74</v>
      </c>
      <c r="AA648" s="2" t="s">
        <v>243</v>
      </c>
      <c r="AB648" s="2" t="s">
        <v>244</v>
      </c>
      <c r="AC648" s="2" t="s">
        <v>74</v>
      </c>
      <c r="AD648" s="2" t="s">
        <v>74</v>
      </c>
      <c r="AE648" s="2" t="s">
        <v>74</v>
      </c>
      <c r="AF648" s="2" t="s">
        <v>74</v>
      </c>
      <c r="AG648" s="2" t="s">
        <v>74</v>
      </c>
      <c r="AH648" s="2" t="s">
        <v>74</v>
      </c>
      <c r="AI648" s="2" t="s">
        <v>74</v>
      </c>
      <c r="AJ648" s="2" t="s">
        <v>74</v>
      </c>
      <c r="AK648" s="2" t="s">
        <v>74</v>
      </c>
      <c r="AL648" s="2" t="s">
        <v>74</v>
      </c>
      <c r="AM648" s="2" t="s">
        <v>74</v>
      </c>
      <c r="AN648" s="2" t="s">
        <v>74</v>
      </c>
      <c r="AO648" s="2" t="s">
        <v>245</v>
      </c>
      <c r="AP648" s="2" t="s">
        <v>246</v>
      </c>
      <c r="AQ648" s="2" t="s">
        <v>74</v>
      </c>
      <c r="AR648" s="2" t="s">
        <v>74</v>
      </c>
      <c r="AS648" s="2" t="s">
        <v>74</v>
      </c>
      <c r="AT648" s="2" t="s">
        <v>134</v>
      </c>
      <c r="AU648" s="2">
        <v>2014</v>
      </c>
      <c r="AV648" s="2">
        <v>175</v>
      </c>
      <c r="AW648" s="2">
        <v>1</v>
      </c>
      <c r="AX648" s="2" t="s">
        <v>74</v>
      </c>
      <c r="AY648" s="2" t="s">
        <v>74</v>
      </c>
      <c r="AZ648" s="2" t="s">
        <v>74</v>
      </c>
      <c r="BA648" s="2" t="s">
        <v>74</v>
      </c>
      <c r="BB648" s="2">
        <v>85</v>
      </c>
      <c r="BC648" s="2">
        <v>93</v>
      </c>
      <c r="BD648" s="2" t="s">
        <v>74</v>
      </c>
      <c r="BE648" s="2" t="s">
        <v>247</v>
      </c>
      <c r="BF648" s="2" t="str">
        <f>HYPERLINK("http://dx.doi.org/10.1007/s00442-013-2879-1","http://dx.doi.org/10.1007/s00442-013-2879-1")</f>
        <v>http://dx.doi.org/10.1007/s00442-013-2879-1</v>
      </c>
      <c r="BG648" s="2" t="s">
        <v>74</v>
      </c>
      <c r="BH648" s="2" t="s">
        <v>74</v>
      </c>
      <c r="BI648" s="2" t="s">
        <v>74</v>
      </c>
      <c r="BJ648" s="2" t="s">
        <v>74</v>
      </c>
      <c r="BK648" s="2" t="s">
        <v>74</v>
      </c>
      <c r="BL648" s="2" t="s">
        <v>74</v>
      </c>
      <c r="BM648" s="2" t="s">
        <v>74</v>
      </c>
      <c r="BN648" s="2">
        <v>24414236</v>
      </c>
      <c r="BO648" s="2" t="s">
        <v>74</v>
      </c>
      <c r="BP648" s="2" t="s">
        <v>74</v>
      </c>
      <c r="BQ648" s="2" t="s">
        <v>74</v>
      </c>
      <c r="BR648" s="2" t="s">
        <v>74</v>
      </c>
      <c r="BS648" s="2" t="s">
        <v>248</v>
      </c>
      <c r="BT648" s="2" t="str">
        <f>HYPERLINK("https%3A%2F%2Fwww.webofscience.com%2Fwos%2Fwoscc%2Ffull-record%2FWOS:000334691600008","View Full Record in Web of Science")</f>
        <v>View Full Record in Web of Science</v>
      </c>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row>
    <row r="649" spans="1:314" s="2" customFormat="1" x14ac:dyDescent="0.4">
      <c r="A649" s="2" t="s">
        <v>72</v>
      </c>
      <c r="B649" s="2" t="s">
        <v>238</v>
      </c>
      <c r="C649" s="2" t="s">
        <v>74</v>
      </c>
      <c r="D649" s="2" t="s">
        <v>74</v>
      </c>
      <c r="E649" s="2" t="s">
        <v>74</v>
      </c>
      <c r="F649" s="2" t="s">
        <v>239</v>
      </c>
      <c r="G649" s="2" t="s">
        <v>74</v>
      </c>
      <c r="H649" s="2" t="s">
        <v>74</v>
      </c>
      <c r="I649" s="2" t="s">
        <v>1149</v>
      </c>
      <c r="J649" s="2" t="s">
        <v>333</v>
      </c>
      <c r="K649" s="2" t="s">
        <v>74</v>
      </c>
      <c r="L649" s="2" t="s">
        <v>74</v>
      </c>
      <c r="M649" s="2" t="s">
        <v>74</v>
      </c>
      <c r="N649" s="2" t="s">
        <v>74</v>
      </c>
      <c r="O649" s="2" t="s">
        <v>74</v>
      </c>
      <c r="P649" s="2" t="s">
        <v>74</v>
      </c>
      <c r="Q649" s="2" t="s">
        <v>74</v>
      </c>
      <c r="R649" s="2" t="s">
        <v>74</v>
      </c>
      <c r="S649" s="2" t="s">
        <v>74</v>
      </c>
      <c r="T649" s="2" t="s">
        <v>74</v>
      </c>
      <c r="U649" s="2" t="s">
        <v>74</v>
      </c>
      <c r="V649" s="5" t="s">
        <v>1150</v>
      </c>
      <c r="W649" s="2" t="s">
        <v>74</v>
      </c>
      <c r="X649" s="2" t="s">
        <v>74</v>
      </c>
      <c r="Y649" s="2" t="s">
        <v>74</v>
      </c>
      <c r="Z649" s="2" t="s">
        <v>74</v>
      </c>
      <c r="AA649" s="2" t="s">
        <v>243</v>
      </c>
      <c r="AB649" s="2" t="s">
        <v>244</v>
      </c>
      <c r="AC649" s="2" t="s">
        <v>74</v>
      </c>
      <c r="AD649" s="2" t="s">
        <v>74</v>
      </c>
      <c r="AE649" s="2" t="s">
        <v>74</v>
      </c>
      <c r="AF649" s="2" t="s">
        <v>74</v>
      </c>
      <c r="AG649" s="2" t="s">
        <v>74</v>
      </c>
      <c r="AH649" s="2" t="s">
        <v>74</v>
      </c>
      <c r="AI649" s="2" t="s">
        <v>74</v>
      </c>
      <c r="AJ649" s="2" t="s">
        <v>74</v>
      </c>
      <c r="AK649" s="2" t="s">
        <v>74</v>
      </c>
      <c r="AL649" s="2" t="s">
        <v>74</v>
      </c>
      <c r="AM649" s="2" t="s">
        <v>74</v>
      </c>
      <c r="AN649" s="2" t="s">
        <v>74</v>
      </c>
      <c r="AO649" s="2" t="s">
        <v>337</v>
      </c>
      <c r="AP649" s="2" t="s">
        <v>338</v>
      </c>
      <c r="AQ649" s="2" t="s">
        <v>74</v>
      </c>
      <c r="AR649" s="2" t="s">
        <v>74</v>
      </c>
      <c r="AS649" s="2" t="s">
        <v>74</v>
      </c>
      <c r="AT649" s="2" t="s">
        <v>808</v>
      </c>
      <c r="AU649" s="2">
        <v>2017</v>
      </c>
      <c r="AV649" s="2">
        <v>28</v>
      </c>
      <c r="AW649" s="2">
        <v>3</v>
      </c>
      <c r="AX649" s="2" t="s">
        <v>74</v>
      </c>
      <c r="AY649" s="2" t="s">
        <v>74</v>
      </c>
      <c r="AZ649" s="2" t="s">
        <v>74</v>
      </c>
      <c r="BA649" s="2" t="s">
        <v>74</v>
      </c>
      <c r="BB649" s="2">
        <v>925</v>
      </c>
      <c r="BC649" s="2">
        <v>933</v>
      </c>
      <c r="BD649" s="2" t="s">
        <v>74</v>
      </c>
      <c r="BE649" s="2" t="s">
        <v>1151</v>
      </c>
      <c r="BF649" s="2" t="str">
        <f>HYPERLINK("http://dx.doi.org/10.1093/beheco/arx052","http://dx.doi.org/10.1093/beheco/arx052")</f>
        <v>http://dx.doi.org/10.1093/beheco/arx052</v>
      </c>
      <c r="BG649" s="2" t="s">
        <v>74</v>
      </c>
      <c r="BH649" s="2" t="s">
        <v>74</v>
      </c>
      <c r="BI649" s="2" t="s">
        <v>74</v>
      </c>
      <c r="BJ649" s="2" t="s">
        <v>74</v>
      </c>
      <c r="BK649" s="2" t="s">
        <v>74</v>
      </c>
      <c r="BL649" s="2" t="s">
        <v>74</v>
      </c>
      <c r="BM649" s="2" t="s">
        <v>74</v>
      </c>
      <c r="BN649" s="2" t="s">
        <v>74</v>
      </c>
      <c r="BO649" s="2" t="s">
        <v>74</v>
      </c>
      <c r="BP649" s="2" t="s">
        <v>74</v>
      </c>
      <c r="BQ649" s="2" t="s">
        <v>74</v>
      </c>
      <c r="BR649" s="2" t="s">
        <v>74</v>
      </c>
      <c r="BS649" s="2" t="s">
        <v>1152</v>
      </c>
      <c r="BT649" s="2" t="str">
        <f>HYPERLINK("https%3A%2F%2Fwww.webofscience.com%2Fwos%2Fwoscc%2Ffull-record%2FWOS:000401942800043","View Full Record in Web of Science")</f>
        <v>View Full Record in Web of Science</v>
      </c>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row>
    <row r="650" spans="1:314" s="2" customFormat="1" x14ac:dyDescent="0.4">
      <c r="A650" s="2" t="s">
        <v>72</v>
      </c>
      <c r="B650" s="2" t="s">
        <v>417</v>
      </c>
      <c r="C650" s="2" t="s">
        <v>74</v>
      </c>
      <c r="D650" s="2" t="s">
        <v>74</v>
      </c>
      <c r="E650" s="2" t="s">
        <v>74</v>
      </c>
      <c r="F650" s="2" t="s">
        <v>418</v>
      </c>
      <c r="G650" s="2" t="s">
        <v>74</v>
      </c>
      <c r="H650" s="2" t="s">
        <v>74</v>
      </c>
      <c r="I650" s="2" t="s">
        <v>419</v>
      </c>
      <c r="J650" s="2" t="s">
        <v>420</v>
      </c>
      <c r="K650" s="2" t="s">
        <v>74</v>
      </c>
      <c r="L650" s="2" t="s">
        <v>74</v>
      </c>
      <c r="M650" s="2" t="s">
        <v>74</v>
      </c>
      <c r="N650" s="2" t="s">
        <v>74</v>
      </c>
      <c r="O650" s="2" t="s">
        <v>74</v>
      </c>
      <c r="P650" s="2" t="s">
        <v>74</v>
      </c>
      <c r="Q650" s="2" t="s">
        <v>74</v>
      </c>
      <c r="R650" s="2" t="s">
        <v>74</v>
      </c>
      <c r="S650" s="2" t="s">
        <v>74</v>
      </c>
      <c r="T650" s="2" t="s">
        <v>74</v>
      </c>
      <c r="U650" s="2" t="s">
        <v>74</v>
      </c>
      <c r="V650" s="5" t="s">
        <v>421</v>
      </c>
      <c r="W650" s="2" t="s">
        <v>74</v>
      </c>
      <c r="X650" s="2" t="s">
        <v>74</v>
      </c>
      <c r="Y650" s="2" t="s">
        <v>74</v>
      </c>
      <c r="Z650" s="2" t="s">
        <v>74</v>
      </c>
      <c r="AA650" s="2" t="s">
        <v>422</v>
      </c>
      <c r="AB650" s="2" t="s">
        <v>423</v>
      </c>
      <c r="AC650" s="2" t="s">
        <v>74</v>
      </c>
      <c r="AD650" s="2" t="s">
        <v>74</v>
      </c>
      <c r="AE650" s="2" t="s">
        <v>74</v>
      </c>
      <c r="AF650" s="2" t="s">
        <v>74</v>
      </c>
      <c r="AG650" s="2" t="s">
        <v>74</v>
      </c>
      <c r="AH650" s="2" t="s">
        <v>74</v>
      </c>
      <c r="AI650" s="2" t="s">
        <v>74</v>
      </c>
      <c r="AJ650" s="2" t="s">
        <v>74</v>
      </c>
      <c r="AK650" s="2" t="s">
        <v>74</v>
      </c>
      <c r="AL650" s="2" t="s">
        <v>74</v>
      </c>
      <c r="AM650" s="2" t="s">
        <v>74</v>
      </c>
      <c r="AN650" s="2" t="s">
        <v>74</v>
      </c>
      <c r="AO650" s="2" t="s">
        <v>424</v>
      </c>
      <c r="AP650" s="2" t="s">
        <v>74</v>
      </c>
      <c r="AQ650" s="2" t="s">
        <v>74</v>
      </c>
      <c r="AR650" s="2" t="s">
        <v>74</v>
      </c>
      <c r="AS650" s="2" t="s">
        <v>74</v>
      </c>
      <c r="AT650" s="2" t="s">
        <v>425</v>
      </c>
      <c r="AU650" s="2">
        <v>2016</v>
      </c>
      <c r="AV650" s="2">
        <v>16</v>
      </c>
      <c r="AW650" s="2" t="s">
        <v>74</v>
      </c>
      <c r="AX650" s="2" t="s">
        <v>74</v>
      </c>
      <c r="AY650" s="2" t="s">
        <v>74</v>
      </c>
      <c r="AZ650" s="2" t="s">
        <v>74</v>
      </c>
      <c r="BA650" s="2" t="s">
        <v>74</v>
      </c>
      <c r="BB650" s="2" t="s">
        <v>74</v>
      </c>
      <c r="BC650" s="2" t="s">
        <v>74</v>
      </c>
      <c r="BD650" s="2">
        <v>3</v>
      </c>
      <c r="BE650" s="2" t="s">
        <v>426</v>
      </c>
      <c r="BF650" s="2" t="str">
        <f>HYPERLINK("http://dx.doi.org/10.1186/s12862-015-0569-9","http://dx.doi.org/10.1186/s12862-015-0569-9")</f>
        <v>http://dx.doi.org/10.1186/s12862-015-0569-9</v>
      </c>
      <c r="BG650" s="2" t="s">
        <v>74</v>
      </c>
      <c r="BH650" s="2" t="s">
        <v>74</v>
      </c>
      <c r="BI650" s="2" t="s">
        <v>74</v>
      </c>
      <c r="BJ650" s="2" t="s">
        <v>74</v>
      </c>
      <c r="BK650" s="2" t="s">
        <v>74</v>
      </c>
      <c r="BL650" s="2" t="s">
        <v>74</v>
      </c>
      <c r="BM650" s="2" t="s">
        <v>74</v>
      </c>
      <c r="BN650" s="2">
        <v>26729482</v>
      </c>
      <c r="BO650" s="2" t="s">
        <v>74</v>
      </c>
      <c r="BP650" s="2" t="s">
        <v>74</v>
      </c>
      <c r="BQ650" s="2" t="s">
        <v>74</v>
      </c>
      <c r="BR650" s="2" t="s">
        <v>74</v>
      </c>
      <c r="BS650" s="2" t="s">
        <v>427</v>
      </c>
      <c r="BT650" s="2" t="str">
        <f>HYPERLINK("https%3A%2F%2Fwww.webofscience.com%2Fwos%2Fwoscc%2Ffull-record%2FWOS:000367430900003","View Full Record in Web of Science")</f>
        <v>View Full Record in Web of Science</v>
      </c>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row>
    <row r="651" spans="1:314" s="2" customFormat="1" x14ac:dyDescent="0.4">
      <c r="A651" s="2" t="s">
        <v>72</v>
      </c>
      <c r="B651" s="2" t="s">
        <v>1221</v>
      </c>
      <c r="C651" s="2" t="s">
        <v>74</v>
      </c>
      <c r="D651" s="2" t="s">
        <v>74</v>
      </c>
      <c r="E651" s="2" t="s">
        <v>74</v>
      </c>
      <c r="F651" s="2" t="s">
        <v>1222</v>
      </c>
      <c r="G651" s="2" t="s">
        <v>74</v>
      </c>
      <c r="H651" s="2" t="s">
        <v>74</v>
      </c>
      <c r="I651" s="2" t="s">
        <v>1223</v>
      </c>
      <c r="J651" s="2" t="s">
        <v>312</v>
      </c>
      <c r="K651" s="2" t="s">
        <v>74</v>
      </c>
      <c r="L651" s="2" t="s">
        <v>74</v>
      </c>
      <c r="M651" s="2" t="s">
        <v>74</v>
      </c>
      <c r="N651" s="2" t="s">
        <v>74</v>
      </c>
      <c r="O651" s="2" t="s">
        <v>74</v>
      </c>
      <c r="P651" s="2" t="s">
        <v>74</v>
      </c>
      <c r="Q651" s="2" t="s">
        <v>74</v>
      </c>
      <c r="R651" s="2" t="s">
        <v>74</v>
      </c>
      <c r="S651" s="2" t="s">
        <v>74</v>
      </c>
      <c r="T651" s="2" t="s">
        <v>74</v>
      </c>
      <c r="U651" s="2" t="s">
        <v>74</v>
      </c>
      <c r="V651" s="5" t="s">
        <v>1224</v>
      </c>
      <c r="W651" s="2" t="s">
        <v>74</v>
      </c>
      <c r="X651" s="2" t="s">
        <v>74</v>
      </c>
      <c r="Y651" s="2" t="s">
        <v>74</v>
      </c>
      <c r="Z651" s="2" t="s">
        <v>74</v>
      </c>
      <c r="AA651" s="2" t="s">
        <v>1225</v>
      </c>
      <c r="AB651" s="2" t="s">
        <v>1226</v>
      </c>
      <c r="AC651" s="2" t="s">
        <v>74</v>
      </c>
      <c r="AD651" s="2" t="s">
        <v>74</v>
      </c>
      <c r="AE651" s="2" t="s">
        <v>74</v>
      </c>
      <c r="AF651" s="2" t="s">
        <v>74</v>
      </c>
      <c r="AG651" s="2" t="s">
        <v>74</v>
      </c>
      <c r="AH651" s="2" t="s">
        <v>74</v>
      </c>
      <c r="AI651" s="2" t="s">
        <v>74</v>
      </c>
      <c r="AJ651" s="2" t="s">
        <v>74</v>
      </c>
      <c r="AK651" s="2" t="s">
        <v>74</v>
      </c>
      <c r="AL651" s="2" t="s">
        <v>74</v>
      </c>
      <c r="AM651" s="2" t="s">
        <v>74</v>
      </c>
      <c r="AN651" s="2" t="s">
        <v>74</v>
      </c>
      <c r="AO651" s="2" t="s">
        <v>314</v>
      </c>
      <c r="AP651" s="2" t="s">
        <v>315</v>
      </c>
      <c r="AQ651" s="2" t="s">
        <v>74</v>
      </c>
      <c r="AR651" s="2" t="s">
        <v>74</v>
      </c>
      <c r="AS651" s="2" t="s">
        <v>74</v>
      </c>
      <c r="AT651" s="2" t="s">
        <v>175</v>
      </c>
      <c r="AU651" s="2">
        <v>2015</v>
      </c>
      <c r="AV651" s="2">
        <v>186</v>
      </c>
      <c r="AW651" s="2">
        <v>4</v>
      </c>
      <c r="AX651" s="2" t="s">
        <v>74</v>
      </c>
      <c r="AY651" s="2" t="s">
        <v>74</v>
      </c>
      <c r="AZ651" s="2" t="s">
        <v>74</v>
      </c>
      <c r="BA651" s="2" t="s">
        <v>74</v>
      </c>
      <c r="BB651" s="2">
        <v>547</v>
      </c>
      <c r="BC651" s="2">
        <v>552</v>
      </c>
      <c r="BD651" s="2" t="s">
        <v>74</v>
      </c>
      <c r="BE651" s="2" t="s">
        <v>1227</v>
      </c>
      <c r="BF651" s="2" t="str">
        <f>HYPERLINK("http://dx.doi.org/10.1086/682711","http://dx.doi.org/10.1086/682711")</f>
        <v>http://dx.doi.org/10.1086/682711</v>
      </c>
      <c r="BG651" s="2" t="s">
        <v>74</v>
      </c>
      <c r="BH651" s="2" t="s">
        <v>74</v>
      </c>
      <c r="BI651" s="2" t="s">
        <v>74</v>
      </c>
      <c r="BJ651" s="2" t="s">
        <v>74</v>
      </c>
      <c r="BK651" s="2" t="s">
        <v>74</v>
      </c>
      <c r="BL651" s="2" t="s">
        <v>74</v>
      </c>
      <c r="BM651" s="2" t="s">
        <v>74</v>
      </c>
      <c r="BN651" s="2">
        <v>26655577</v>
      </c>
      <c r="BO651" s="2" t="s">
        <v>74</v>
      </c>
      <c r="BP651" s="2" t="s">
        <v>74</v>
      </c>
      <c r="BQ651" s="2" t="s">
        <v>74</v>
      </c>
      <c r="BR651" s="2" t="s">
        <v>74</v>
      </c>
      <c r="BS651" s="2" t="s">
        <v>1228</v>
      </c>
      <c r="BT651" s="2" t="str">
        <f>HYPERLINK("https%3A%2F%2Fwww.webofscience.com%2Fwos%2Fwoscc%2Ffull-record%2FWOS:000362840100013","View Full Record in Web of Science")</f>
        <v>View Full Record in Web of Science</v>
      </c>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row>
    <row r="652" spans="1:314" s="2" customFormat="1" x14ac:dyDescent="0.4">
      <c r="A652" s="2" t="s">
        <v>72</v>
      </c>
      <c r="B652" s="2" t="s">
        <v>159</v>
      </c>
      <c r="C652" s="2" t="s">
        <v>74</v>
      </c>
      <c r="D652" s="2" t="s">
        <v>74</v>
      </c>
      <c r="E652" s="2" t="s">
        <v>74</v>
      </c>
      <c r="F652" s="2" t="s">
        <v>160</v>
      </c>
      <c r="G652" s="2" t="s">
        <v>74</v>
      </c>
      <c r="H652" s="2" t="s">
        <v>74</v>
      </c>
      <c r="I652" s="2" t="s">
        <v>161</v>
      </c>
      <c r="J652" s="2" t="s">
        <v>108</v>
      </c>
      <c r="K652" s="2" t="s">
        <v>74</v>
      </c>
      <c r="L652" s="2" t="s">
        <v>74</v>
      </c>
      <c r="M652" s="2" t="s">
        <v>74</v>
      </c>
      <c r="N652" s="2" t="s">
        <v>74</v>
      </c>
      <c r="O652" s="2" t="s">
        <v>74</v>
      </c>
      <c r="P652" s="2" t="s">
        <v>74</v>
      </c>
      <c r="Q652" s="2" t="s">
        <v>74</v>
      </c>
      <c r="R652" s="2" t="s">
        <v>74</v>
      </c>
      <c r="S652" s="2" t="s">
        <v>74</v>
      </c>
      <c r="T652" s="2" t="s">
        <v>74</v>
      </c>
      <c r="U652" s="2" t="s">
        <v>74</v>
      </c>
      <c r="V652" s="5" t="s">
        <v>162</v>
      </c>
      <c r="W652" s="2" t="s">
        <v>74</v>
      </c>
      <c r="X652" s="2" t="s">
        <v>74</v>
      </c>
      <c r="Y652" s="2" t="s">
        <v>74</v>
      </c>
      <c r="Z652" s="2" t="s">
        <v>74</v>
      </c>
      <c r="AA652" s="2" t="s">
        <v>163</v>
      </c>
      <c r="AB652" s="2" t="s">
        <v>164</v>
      </c>
      <c r="AC652" s="2" t="s">
        <v>74</v>
      </c>
      <c r="AD652" s="2" t="s">
        <v>74</v>
      </c>
      <c r="AE652" s="2" t="s">
        <v>74</v>
      </c>
      <c r="AF652" s="2" t="s">
        <v>74</v>
      </c>
      <c r="AG652" s="2" t="s">
        <v>74</v>
      </c>
      <c r="AH652" s="2" t="s">
        <v>74</v>
      </c>
      <c r="AI652" s="2" t="s">
        <v>74</v>
      </c>
      <c r="AJ652" s="2" t="s">
        <v>74</v>
      </c>
      <c r="AK652" s="2" t="s">
        <v>74</v>
      </c>
      <c r="AL652" s="2" t="s">
        <v>74</v>
      </c>
      <c r="AM652" s="2" t="s">
        <v>74</v>
      </c>
      <c r="AN652" s="2" t="s">
        <v>74</v>
      </c>
      <c r="AO652" s="2" t="s">
        <v>111</v>
      </c>
      <c r="AP652" s="2" t="s">
        <v>112</v>
      </c>
      <c r="AQ652" s="2" t="s">
        <v>74</v>
      </c>
      <c r="AR652" s="2" t="s">
        <v>74</v>
      </c>
      <c r="AS652" s="2" t="s">
        <v>74</v>
      </c>
      <c r="AT652" s="2" t="s">
        <v>165</v>
      </c>
      <c r="AU652" s="2">
        <v>2015</v>
      </c>
      <c r="AV652" s="2">
        <v>282</v>
      </c>
      <c r="AW652" s="2">
        <v>1815</v>
      </c>
      <c r="AX652" s="2" t="s">
        <v>74</v>
      </c>
      <c r="AY652" s="2" t="s">
        <v>74</v>
      </c>
      <c r="AZ652" s="2" t="s">
        <v>74</v>
      </c>
      <c r="BA652" s="2" t="s">
        <v>74</v>
      </c>
      <c r="BB652" s="2" t="s">
        <v>74</v>
      </c>
      <c r="BC652" s="2" t="s">
        <v>74</v>
      </c>
      <c r="BD652" s="2">
        <v>20151551</v>
      </c>
      <c r="BE652" s="2" t="s">
        <v>166</v>
      </c>
      <c r="BF652" s="2" t="str">
        <f>HYPERLINK("http://dx.doi.org/10.1098/rspb.2015.1551","http://dx.doi.org/10.1098/rspb.2015.1551")</f>
        <v>http://dx.doi.org/10.1098/rspb.2015.1551</v>
      </c>
      <c r="BG652" s="2" t="s">
        <v>74</v>
      </c>
      <c r="BH652" s="2" t="s">
        <v>74</v>
      </c>
      <c r="BI652" s="2" t="s">
        <v>74</v>
      </c>
      <c r="BJ652" s="2" t="s">
        <v>74</v>
      </c>
      <c r="BK652" s="2" t="s">
        <v>74</v>
      </c>
      <c r="BL652" s="2" t="s">
        <v>74</v>
      </c>
      <c r="BM652" s="2" t="s">
        <v>74</v>
      </c>
      <c r="BN652" s="2">
        <v>26378216</v>
      </c>
      <c r="BO652" s="2" t="s">
        <v>74</v>
      </c>
      <c r="BP652" s="2" t="s">
        <v>74</v>
      </c>
      <c r="BQ652" s="2" t="s">
        <v>74</v>
      </c>
      <c r="BR652" s="2" t="s">
        <v>74</v>
      </c>
      <c r="BS652" s="2" t="s">
        <v>167</v>
      </c>
      <c r="BT652" s="2" t="str">
        <f>HYPERLINK("https%3A%2F%2Fwww.webofscience.com%2Fwos%2Fwoscc%2Ffull-record%2FWOS:000363357100008","View Full Record in Web of Science")</f>
        <v>View Full Record in Web of Science</v>
      </c>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row>
    <row r="653" spans="1:314" s="2" customFormat="1" x14ac:dyDescent="0.4">
      <c r="A653" s="2" t="s">
        <v>72</v>
      </c>
      <c r="B653" s="2" t="s">
        <v>4006</v>
      </c>
      <c r="C653" s="2" t="s">
        <v>74</v>
      </c>
      <c r="D653" s="2" t="s">
        <v>74</v>
      </c>
      <c r="E653" s="2" t="s">
        <v>74</v>
      </c>
      <c r="F653" s="2" t="s">
        <v>4007</v>
      </c>
      <c r="G653" s="2" t="s">
        <v>74</v>
      </c>
      <c r="H653" s="2" t="s">
        <v>74</v>
      </c>
      <c r="I653" s="2" t="s">
        <v>4008</v>
      </c>
      <c r="J653" s="2" t="s">
        <v>140</v>
      </c>
      <c r="K653" s="2" t="s">
        <v>74</v>
      </c>
      <c r="L653" s="2" t="s">
        <v>74</v>
      </c>
      <c r="M653" s="2" t="s">
        <v>74</v>
      </c>
      <c r="N653" s="2" t="s">
        <v>74</v>
      </c>
      <c r="O653" s="2" t="s">
        <v>74</v>
      </c>
      <c r="P653" s="2" t="s">
        <v>74</v>
      </c>
      <c r="Q653" s="2" t="s">
        <v>74</v>
      </c>
      <c r="R653" s="2" t="s">
        <v>74</v>
      </c>
      <c r="S653" s="2" t="s">
        <v>74</v>
      </c>
      <c r="T653" s="2" t="s">
        <v>74</v>
      </c>
      <c r="U653" s="2" t="s">
        <v>74</v>
      </c>
      <c r="V653" s="5" t="s">
        <v>4009</v>
      </c>
      <c r="W653" s="2" t="s">
        <v>74</v>
      </c>
      <c r="X653" s="2" t="s">
        <v>74</v>
      </c>
      <c r="Y653" s="2" t="s">
        <v>74</v>
      </c>
      <c r="Z653" s="2" t="s">
        <v>74</v>
      </c>
      <c r="AA653" s="2" t="s">
        <v>4010</v>
      </c>
      <c r="AB653" s="2" t="s">
        <v>4011</v>
      </c>
      <c r="AC653" s="2" t="s">
        <v>74</v>
      </c>
      <c r="AD653" s="2" t="s">
        <v>74</v>
      </c>
      <c r="AE653" s="2" t="s">
        <v>74</v>
      </c>
      <c r="AF653" s="2" t="s">
        <v>74</v>
      </c>
      <c r="AG653" s="2" t="s">
        <v>74</v>
      </c>
      <c r="AH653" s="2" t="s">
        <v>74</v>
      </c>
      <c r="AI653" s="2" t="s">
        <v>74</v>
      </c>
      <c r="AJ653" s="2" t="s">
        <v>74</v>
      </c>
      <c r="AK653" s="2" t="s">
        <v>74</v>
      </c>
      <c r="AL653" s="2" t="s">
        <v>74</v>
      </c>
      <c r="AM653" s="2" t="s">
        <v>74</v>
      </c>
      <c r="AN653" s="2" t="s">
        <v>74</v>
      </c>
      <c r="AO653" s="2" t="s">
        <v>143</v>
      </c>
      <c r="AP653" s="2" t="s">
        <v>144</v>
      </c>
      <c r="AQ653" s="2" t="s">
        <v>74</v>
      </c>
      <c r="AR653" s="2" t="s">
        <v>74</v>
      </c>
      <c r="AS653" s="2" t="s">
        <v>74</v>
      </c>
      <c r="AT653" s="2" t="s">
        <v>123</v>
      </c>
      <c r="AU653" s="2">
        <v>2018</v>
      </c>
      <c r="AV653" s="2">
        <v>137</v>
      </c>
      <c r="AW653" s="2" t="s">
        <v>74</v>
      </c>
      <c r="AX653" s="2" t="s">
        <v>74</v>
      </c>
      <c r="AY653" s="2" t="s">
        <v>74</v>
      </c>
      <c r="AZ653" s="2" t="s">
        <v>74</v>
      </c>
      <c r="BA653" s="2" t="s">
        <v>74</v>
      </c>
      <c r="BB653" s="2">
        <v>141</v>
      </c>
      <c r="BC653" s="2">
        <v>148</v>
      </c>
      <c r="BD653" s="2" t="s">
        <v>74</v>
      </c>
      <c r="BE653" s="2" t="s">
        <v>4012</v>
      </c>
      <c r="BF653" s="2" t="str">
        <f>HYPERLINK("http://dx.doi.org/10.1016/j.anbehav.2018.01.012","http://dx.doi.org/10.1016/j.anbehav.2018.01.012")</f>
        <v>http://dx.doi.org/10.1016/j.anbehav.2018.01.012</v>
      </c>
      <c r="BG653" s="2" t="s">
        <v>74</v>
      </c>
      <c r="BH653" s="2" t="s">
        <v>74</v>
      </c>
      <c r="BI653" s="2" t="s">
        <v>74</v>
      </c>
      <c r="BJ653" s="2" t="s">
        <v>74</v>
      </c>
      <c r="BK653" s="2" t="s">
        <v>74</v>
      </c>
      <c r="BL653" s="2" t="s">
        <v>74</v>
      </c>
      <c r="BM653" s="2" t="s">
        <v>74</v>
      </c>
      <c r="BN653" s="2" t="s">
        <v>74</v>
      </c>
      <c r="BO653" s="2" t="s">
        <v>74</v>
      </c>
      <c r="BP653" s="2" t="s">
        <v>74</v>
      </c>
      <c r="BQ653" s="2" t="s">
        <v>74</v>
      </c>
      <c r="BR653" s="2" t="s">
        <v>74</v>
      </c>
      <c r="BS653" s="2" t="s">
        <v>4013</v>
      </c>
      <c r="BT653" s="2" t="str">
        <f>HYPERLINK("https%3A%2F%2Fwww.webofscience.com%2Fwos%2Fwoscc%2Ffull-record%2FWOS:000427436600015","View Full Record in Web of Science")</f>
        <v>View Full Record in Web of Science</v>
      </c>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row>
    <row r="654" spans="1:314" s="2" customFormat="1" x14ac:dyDescent="0.4">
      <c r="A654" s="2" t="s">
        <v>72</v>
      </c>
      <c r="B654" s="2" t="s">
        <v>8042</v>
      </c>
      <c r="C654" s="2" t="s">
        <v>74</v>
      </c>
      <c r="D654" s="2" t="s">
        <v>74</v>
      </c>
      <c r="E654" s="2" t="s">
        <v>74</v>
      </c>
      <c r="F654" s="2" t="s">
        <v>8043</v>
      </c>
      <c r="G654" s="2" t="s">
        <v>74</v>
      </c>
      <c r="H654" s="2" t="s">
        <v>74</v>
      </c>
      <c r="I654" s="2" t="s">
        <v>8044</v>
      </c>
      <c r="J654" s="2" t="s">
        <v>129</v>
      </c>
      <c r="K654" s="2" t="s">
        <v>74</v>
      </c>
      <c r="L654" s="2" t="s">
        <v>74</v>
      </c>
      <c r="M654" s="2" t="s">
        <v>74</v>
      </c>
      <c r="N654" s="2" t="s">
        <v>74</v>
      </c>
      <c r="O654" s="2" t="s">
        <v>74</v>
      </c>
      <c r="P654" s="2" t="s">
        <v>74</v>
      </c>
      <c r="Q654" s="2" t="s">
        <v>74</v>
      </c>
      <c r="R654" s="2" t="s">
        <v>74</v>
      </c>
      <c r="S654" s="2" t="s">
        <v>74</v>
      </c>
      <c r="T654" s="2" t="s">
        <v>74</v>
      </c>
      <c r="U654" s="2" t="s">
        <v>74</v>
      </c>
      <c r="V654" s="5" t="s">
        <v>8045</v>
      </c>
      <c r="W654" s="2" t="s">
        <v>74</v>
      </c>
      <c r="X654" s="2" t="s">
        <v>74</v>
      </c>
      <c r="Y654" s="2" t="s">
        <v>74</v>
      </c>
      <c r="Z654" s="2" t="s">
        <v>74</v>
      </c>
      <c r="AA654" s="2" t="s">
        <v>8046</v>
      </c>
      <c r="AB654" s="2" t="s">
        <v>8047</v>
      </c>
      <c r="AC654" s="2" t="s">
        <v>74</v>
      </c>
      <c r="AD654" s="2" t="s">
        <v>74</v>
      </c>
      <c r="AE654" s="2" t="s">
        <v>74</v>
      </c>
      <c r="AF654" s="2" t="s">
        <v>74</v>
      </c>
      <c r="AG654" s="2" t="s">
        <v>74</v>
      </c>
      <c r="AH654" s="2" t="s">
        <v>74</v>
      </c>
      <c r="AI654" s="2" t="s">
        <v>74</v>
      </c>
      <c r="AJ654" s="2" t="s">
        <v>74</v>
      </c>
      <c r="AK654" s="2" t="s">
        <v>74</v>
      </c>
      <c r="AL654" s="2" t="s">
        <v>74</v>
      </c>
      <c r="AM654" s="2" t="s">
        <v>74</v>
      </c>
      <c r="AN654" s="2" t="s">
        <v>74</v>
      </c>
      <c r="AO654" s="2" t="s">
        <v>132</v>
      </c>
      <c r="AP654" s="2" t="s">
        <v>133</v>
      </c>
      <c r="AQ654" s="2" t="s">
        <v>74</v>
      </c>
      <c r="AR654" s="2" t="s">
        <v>74</v>
      </c>
      <c r="AS654" s="2" t="s">
        <v>74</v>
      </c>
      <c r="AT654" s="2" t="s">
        <v>213</v>
      </c>
      <c r="AU654" s="2">
        <v>2013</v>
      </c>
      <c r="AV654" s="2">
        <v>67</v>
      </c>
      <c r="AW654" s="2">
        <v>11</v>
      </c>
      <c r="AX654" s="2" t="s">
        <v>74</v>
      </c>
      <c r="AY654" s="2" t="s">
        <v>74</v>
      </c>
      <c r="AZ654" s="2" t="s">
        <v>74</v>
      </c>
      <c r="BA654" s="2" t="s">
        <v>74</v>
      </c>
      <c r="BB654" s="2">
        <v>1817</v>
      </c>
      <c r="BC654" s="2">
        <v>1824</v>
      </c>
      <c r="BD654" s="2" t="s">
        <v>74</v>
      </c>
      <c r="BE654" s="2" t="s">
        <v>8048</v>
      </c>
      <c r="BF654" s="2" t="str">
        <f>HYPERLINK("http://dx.doi.org/10.1007/s00265-013-1591-9","http://dx.doi.org/10.1007/s00265-013-1591-9")</f>
        <v>http://dx.doi.org/10.1007/s00265-013-1591-9</v>
      </c>
      <c r="BG654" s="2" t="s">
        <v>74</v>
      </c>
      <c r="BH654" s="2" t="s">
        <v>74</v>
      </c>
      <c r="BI654" s="2" t="s">
        <v>74</v>
      </c>
      <c r="BJ654" s="2" t="s">
        <v>74</v>
      </c>
      <c r="BK654" s="2" t="s">
        <v>74</v>
      </c>
      <c r="BL654" s="2" t="s">
        <v>74</v>
      </c>
      <c r="BM654" s="2" t="s">
        <v>74</v>
      </c>
      <c r="BN654" s="2" t="s">
        <v>74</v>
      </c>
      <c r="BO654" s="2" t="s">
        <v>74</v>
      </c>
      <c r="BP654" s="2" t="s">
        <v>74</v>
      </c>
      <c r="BQ654" s="2" t="s">
        <v>74</v>
      </c>
      <c r="BR654" s="2" t="s">
        <v>74</v>
      </c>
      <c r="BS654" s="2" t="s">
        <v>8049</v>
      </c>
      <c r="BT654" s="2" t="str">
        <f>HYPERLINK("https%3A%2F%2Fwww.webofscience.com%2Fwos%2Fwoscc%2Ffull-record%2FWOS:000325765800010","View Full Record in Web of Science")</f>
        <v>View Full Record in Web of Science</v>
      </c>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row>
    <row r="655" spans="1:314" s="2" customFormat="1" x14ac:dyDescent="0.4">
      <c r="A655" s="2" t="s">
        <v>72</v>
      </c>
      <c r="B655" s="2" t="s">
        <v>6451</v>
      </c>
      <c r="C655" s="2" t="s">
        <v>74</v>
      </c>
      <c r="D655" s="2" t="s">
        <v>74</v>
      </c>
      <c r="E655" s="2" t="s">
        <v>74</v>
      </c>
      <c r="F655" s="2" t="s">
        <v>6452</v>
      </c>
      <c r="G655" s="2" t="s">
        <v>74</v>
      </c>
      <c r="H655" s="2" t="s">
        <v>74</v>
      </c>
      <c r="I655" s="2" t="s">
        <v>6453</v>
      </c>
      <c r="J655" s="2" t="s">
        <v>6454</v>
      </c>
      <c r="K655" s="2" t="s">
        <v>74</v>
      </c>
      <c r="L655" s="2" t="s">
        <v>74</v>
      </c>
      <c r="M655" s="2" t="s">
        <v>74</v>
      </c>
      <c r="N655" s="2" t="s">
        <v>74</v>
      </c>
      <c r="O655" s="2" t="s">
        <v>74</v>
      </c>
      <c r="P655" s="2" t="s">
        <v>74</v>
      </c>
      <c r="Q655" s="2" t="s">
        <v>74</v>
      </c>
      <c r="R655" s="2" t="s">
        <v>74</v>
      </c>
      <c r="S655" s="2" t="s">
        <v>74</v>
      </c>
      <c r="T655" s="2" t="s">
        <v>74</v>
      </c>
      <c r="U655" s="2" t="s">
        <v>74</v>
      </c>
      <c r="V655" s="5" t="s">
        <v>6455</v>
      </c>
      <c r="W655" s="2" t="s">
        <v>74</v>
      </c>
      <c r="X655" s="2" t="s">
        <v>74</v>
      </c>
      <c r="Y655" s="2" t="s">
        <v>74</v>
      </c>
      <c r="Z655" s="2" t="s">
        <v>74</v>
      </c>
      <c r="AA655" s="2" t="s">
        <v>6456</v>
      </c>
      <c r="AB655" s="2" t="s">
        <v>6457</v>
      </c>
      <c r="AC655" s="2" t="s">
        <v>74</v>
      </c>
      <c r="AD655" s="2" t="s">
        <v>74</v>
      </c>
      <c r="AE655" s="2" t="s">
        <v>74</v>
      </c>
      <c r="AF655" s="2" t="s">
        <v>74</v>
      </c>
      <c r="AG655" s="2" t="s">
        <v>74</v>
      </c>
      <c r="AH655" s="2" t="s">
        <v>74</v>
      </c>
      <c r="AI655" s="2" t="s">
        <v>74</v>
      </c>
      <c r="AJ655" s="2" t="s">
        <v>74</v>
      </c>
      <c r="AK655" s="2" t="s">
        <v>74</v>
      </c>
      <c r="AL655" s="2" t="s">
        <v>74</v>
      </c>
      <c r="AM655" s="2" t="s">
        <v>74</v>
      </c>
      <c r="AN655" s="2" t="s">
        <v>74</v>
      </c>
      <c r="AO655" s="2" t="s">
        <v>6458</v>
      </c>
      <c r="AP655" s="2" t="s">
        <v>6459</v>
      </c>
      <c r="AQ655" s="2" t="s">
        <v>74</v>
      </c>
      <c r="AR655" s="2" t="s">
        <v>74</v>
      </c>
      <c r="AS655" s="2" t="s">
        <v>74</v>
      </c>
      <c r="AT655" s="2" t="s">
        <v>74</v>
      </c>
      <c r="AU655" s="2">
        <v>2020</v>
      </c>
      <c r="AV655" s="2">
        <v>72</v>
      </c>
      <c r="AW655" s="2">
        <v>1</v>
      </c>
      <c r="AX655" s="2" t="s">
        <v>74</v>
      </c>
      <c r="AY655" s="2" t="s">
        <v>74</v>
      </c>
      <c r="AZ655" s="2" t="s">
        <v>74</v>
      </c>
      <c r="BA655" s="2" t="s">
        <v>74</v>
      </c>
      <c r="BB655" s="2">
        <v>45</v>
      </c>
      <c r="BC655" s="2">
        <v>52</v>
      </c>
      <c r="BD655" s="2" t="s">
        <v>74</v>
      </c>
      <c r="BE655" s="2" t="s">
        <v>6460</v>
      </c>
      <c r="BF655" s="2" t="str">
        <f>HYPERLINK("http://dx.doi.org/10.2298/ABS190823065L","http://dx.doi.org/10.2298/ABS190823065L")</f>
        <v>http://dx.doi.org/10.2298/ABS190823065L</v>
      </c>
      <c r="BG655" s="2" t="s">
        <v>74</v>
      </c>
      <c r="BH655" s="2" t="s">
        <v>74</v>
      </c>
      <c r="BI655" s="2" t="s">
        <v>74</v>
      </c>
      <c r="BJ655" s="2" t="s">
        <v>74</v>
      </c>
      <c r="BK655" s="2" t="s">
        <v>74</v>
      </c>
      <c r="BL655" s="2" t="s">
        <v>74</v>
      </c>
      <c r="BM655" s="2" t="s">
        <v>74</v>
      </c>
      <c r="BN655" s="2" t="s">
        <v>74</v>
      </c>
      <c r="BO655" s="2" t="s">
        <v>74</v>
      </c>
      <c r="BP655" s="2" t="s">
        <v>74</v>
      </c>
      <c r="BQ655" s="2" t="s">
        <v>74</v>
      </c>
      <c r="BR655" s="2" t="s">
        <v>74</v>
      </c>
      <c r="BS655" s="2" t="s">
        <v>6461</v>
      </c>
      <c r="BT655" s="2" t="str">
        <f>HYPERLINK("https%3A%2F%2Fwww.webofscience.com%2Fwos%2Fwoscc%2Ffull-record%2FWOS:000524505000006","View Full Record in Web of Science")</f>
        <v>View Full Record in Web of Science</v>
      </c>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row>
    <row r="656" spans="1:314" s="2" customFormat="1" x14ac:dyDescent="0.4">
      <c r="A656" s="2" t="s">
        <v>72</v>
      </c>
      <c r="B656" s="2" t="s">
        <v>8629</v>
      </c>
      <c r="C656" s="2" t="s">
        <v>74</v>
      </c>
      <c r="D656" s="2" t="s">
        <v>74</v>
      </c>
      <c r="E656" s="2" t="s">
        <v>74</v>
      </c>
      <c r="F656" s="2" t="s">
        <v>8630</v>
      </c>
      <c r="G656" s="2" t="s">
        <v>74</v>
      </c>
      <c r="H656" s="2" t="s">
        <v>74</v>
      </c>
      <c r="I656" s="2" t="s">
        <v>8631</v>
      </c>
      <c r="J656" s="2" t="s">
        <v>842</v>
      </c>
      <c r="K656" s="2" t="s">
        <v>74</v>
      </c>
      <c r="L656" s="2" t="s">
        <v>74</v>
      </c>
      <c r="M656" s="2" t="s">
        <v>74</v>
      </c>
      <c r="N656" s="2" t="s">
        <v>74</v>
      </c>
      <c r="O656" s="2" t="s">
        <v>74</v>
      </c>
      <c r="P656" s="2" t="s">
        <v>74</v>
      </c>
      <c r="Q656" s="2" t="s">
        <v>74</v>
      </c>
      <c r="R656" s="2" t="s">
        <v>74</v>
      </c>
      <c r="S656" s="2" t="s">
        <v>74</v>
      </c>
      <c r="T656" s="2" t="s">
        <v>74</v>
      </c>
      <c r="U656" s="2" t="s">
        <v>74</v>
      </c>
      <c r="V656" s="5" t="s">
        <v>8632</v>
      </c>
      <c r="W656" s="2" t="s">
        <v>74</v>
      </c>
      <c r="X656" s="2" t="s">
        <v>74</v>
      </c>
      <c r="Y656" s="2" t="s">
        <v>74</v>
      </c>
      <c r="Z656" s="2" t="s">
        <v>74</v>
      </c>
      <c r="AA656" s="2" t="s">
        <v>8633</v>
      </c>
      <c r="AB656" s="2" t="s">
        <v>8634</v>
      </c>
      <c r="AC656" s="2" t="s">
        <v>74</v>
      </c>
      <c r="AD656" s="2" t="s">
        <v>74</v>
      </c>
      <c r="AE656" s="2" t="s">
        <v>74</v>
      </c>
      <c r="AF656" s="2" t="s">
        <v>74</v>
      </c>
      <c r="AG656" s="2" t="s">
        <v>74</v>
      </c>
      <c r="AH656" s="2" t="s">
        <v>74</v>
      </c>
      <c r="AI656" s="2" t="s">
        <v>74</v>
      </c>
      <c r="AJ656" s="2" t="s">
        <v>74</v>
      </c>
      <c r="AK656" s="2" t="s">
        <v>74</v>
      </c>
      <c r="AL656" s="2" t="s">
        <v>74</v>
      </c>
      <c r="AM656" s="2" t="s">
        <v>74</v>
      </c>
      <c r="AN656" s="2" t="s">
        <v>74</v>
      </c>
      <c r="AO656" s="2" t="s">
        <v>846</v>
      </c>
      <c r="AP656" s="2" t="s">
        <v>847</v>
      </c>
      <c r="AQ656" s="2" t="s">
        <v>74</v>
      </c>
      <c r="AR656" s="2" t="s">
        <v>74</v>
      </c>
      <c r="AS656" s="2" t="s">
        <v>74</v>
      </c>
      <c r="AT656" s="2" t="s">
        <v>102</v>
      </c>
      <c r="AU656" s="2">
        <v>2022</v>
      </c>
      <c r="AV656" s="2">
        <v>84</v>
      </c>
      <c r="AW656" s="2">
        <v>6</v>
      </c>
      <c r="AX656" s="2" t="s">
        <v>74</v>
      </c>
      <c r="AY656" s="2" t="s">
        <v>74</v>
      </c>
      <c r="AZ656" s="2" t="s">
        <v>74</v>
      </c>
      <c r="BA656" s="2" t="s">
        <v>74</v>
      </c>
      <c r="BB656" s="2" t="s">
        <v>74</v>
      </c>
      <c r="BC656" s="2" t="s">
        <v>74</v>
      </c>
      <c r="BD656" s="2" t="s">
        <v>8635</v>
      </c>
      <c r="BE656" s="2" t="s">
        <v>8636</v>
      </c>
      <c r="BF656" s="2" t="str">
        <f>HYPERLINK("http://dx.doi.org/10.1002/ajp.23305","http://dx.doi.org/10.1002/ajp.23305")</f>
        <v>http://dx.doi.org/10.1002/ajp.23305</v>
      </c>
      <c r="BG656" s="2" t="s">
        <v>74</v>
      </c>
      <c r="BH656" s="2" t="s">
        <v>3826</v>
      </c>
      <c r="BI656" s="2" t="s">
        <v>74</v>
      </c>
      <c r="BJ656" s="2" t="s">
        <v>74</v>
      </c>
      <c r="BK656" s="2" t="s">
        <v>74</v>
      </c>
      <c r="BL656" s="2" t="s">
        <v>74</v>
      </c>
      <c r="BM656" s="2" t="s">
        <v>74</v>
      </c>
      <c r="BN656" s="2">
        <v>34270104</v>
      </c>
      <c r="BO656" s="2" t="s">
        <v>74</v>
      </c>
      <c r="BP656" s="2" t="s">
        <v>74</v>
      </c>
      <c r="BQ656" s="2" t="s">
        <v>74</v>
      </c>
      <c r="BR656" s="2" t="s">
        <v>74</v>
      </c>
      <c r="BS656" s="2" t="s">
        <v>8637</v>
      </c>
      <c r="BT656" s="2" t="str">
        <f>HYPERLINK("https%3A%2F%2Fwww.webofscience.com%2Fwos%2Fwoscc%2Ffull-record%2FWOS:000673989800001","View Full Record in Web of Science")</f>
        <v>View Full Record in Web of Science</v>
      </c>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row>
    <row r="657" spans="1:314" s="2" customFormat="1" x14ac:dyDescent="0.4">
      <c r="A657" s="2" t="s">
        <v>72</v>
      </c>
      <c r="B657" s="2" t="s">
        <v>3682</v>
      </c>
      <c r="C657" s="2" t="s">
        <v>74</v>
      </c>
      <c r="D657" s="2" t="s">
        <v>74</v>
      </c>
      <c r="E657" s="2" t="s">
        <v>74</v>
      </c>
      <c r="F657" s="2" t="s">
        <v>3682</v>
      </c>
      <c r="G657" s="2" t="s">
        <v>74</v>
      </c>
      <c r="H657" s="2" t="s">
        <v>74</v>
      </c>
      <c r="I657" s="2" t="s">
        <v>3683</v>
      </c>
      <c r="J657" s="2" t="s">
        <v>1341</v>
      </c>
      <c r="K657" s="2" t="s">
        <v>74</v>
      </c>
      <c r="L657" s="2" t="s">
        <v>74</v>
      </c>
      <c r="M657" s="2" t="s">
        <v>74</v>
      </c>
      <c r="N657" s="2" t="s">
        <v>74</v>
      </c>
      <c r="O657" s="2" t="s">
        <v>74</v>
      </c>
      <c r="P657" s="2" t="s">
        <v>74</v>
      </c>
      <c r="Q657" s="2" t="s">
        <v>74</v>
      </c>
      <c r="R657" s="2" t="s">
        <v>74</v>
      </c>
      <c r="S657" s="2" t="s">
        <v>74</v>
      </c>
      <c r="T657" s="2" t="s">
        <v>74</v>
      </c>
      <c r="U657" s="2" t="s">
        <v>74</v>
      </c>
      <c r="V657" s="5" t="s">
        <v>3684</v>
      </c>
      <c r="W657" s="2" t="s">
        <v>74</v>
      </c>
      <c r="X657" s="2" t="s">
        <v>74</v>
      </c>
      <c r="Y657" s="2" t="s">
        <v>74</v>
      </c>
      <c r="Z657" s="2" t="s">
        <v>74</v>
      </c>
      <c r="AA657" s="2" t="s">
        <v>3685</v>
      </c>
      <c r="AB657" s="2" t="s">
        <v>74</v>
      </c>
      <c r="AC657" s="2" t="s">
        <v>74</v>
      </c>
      <c r="AD657" s="2" t="s">
        <v>74</v>
      </c>
      <c r="AE657" s="2" t="s">
        <v>74</v>
      </c>
      <c r="AF657" s="2" t="s">
        <v>74</v>
      </c>
      <c r="AG657" s="2" t="s">
        <v>74</v>
      </c>
      <c r="AH657" s="2" t="s">
        <v>74</v>
      </c>
      <c r="AI657" s="2" t="s">
        <v>74</v>
      </c>
      <c r="AJ657" s="2" t="s">
        <v>74</v>
      </c>
      <c r="AK657" s="2" t="s">
        <v>74</v>
      </c>
      <c r="AL657" s="2" t="s">
        <v>74</v>
      </c>
      <c r="AM657" s="2" t="s">
        <v>74</v>
      </c>
      <c r="AN657" s="2" t="s">
        <v>74</v>
      </c>
      <c r="AO657" s="2" t="s">
        <v>1343</v>
      </c>
      <c r="AP657" s="2" t="s">
        <v>3686</v>
      </c>
      <c r="AQ657" s="2" t="s">
        <v>74</v>
      </c>
      <c r="AR657" s="2" t="s">
        <v>74</v>
      </c>
      <c r="AS657" s="2" t="s">
        <v>74</v>
      </c>
      <c r="AT657" s="2" t="s">
        <v>204</v>
      </c>
      <c r="AU657" s="2">
        <v>2005</v>
      </c>
      <c r="AV657" s="2">
        <v>51</v>
      </c>
      <c r="AW657" s="2">
        <v>7</v>
      </c>
      <c r="AX657" s="2" t="s">
        <v>74</v>
      </c>
      <c r="AY657" s="2" t="s">
        <v>74</v>
      </c>
      <c r="AZ657" s="2" t="s">
        <v>74</v>
      </c>
      <c r="BA657" s="2" t="s">
        <v>74</v>
      </c>
      <c r="BB657" s="2">
        <v>737</v>
      </c>
      <c r="BC657" s="2">
        <v>747</v>
      </c>
      <c r="BD657" s="2" t="s">
        <v>74</v>
      </c>
      <c r="BE657" s="2" t="s">
        <v>3687</v>
      </c>
      <c r="BF657" s="2" t="str">
        <f>HYPERLINK("http://dx.doi.org/10.1016/j.jinsphys.2005.03.015","http://dx.doi.org/10.1016/j.jinsphys.2005.03.015")</f>
        <v>http://dx.doi.org/10.1016/j.jinsphys.2005.03.015</v>
      </c>
      <c r="BG657" s="2" t="s">
        <v>74</v>
      </c>
      <c r="BH657" s="2" t="s">
        <v>74</v>
      </c>
      <c r="BI657" s="2" t="s">
        <v>74</v>
      </c>
      <c r="BJ657" s="2" t="s">
        <v>74</v>
      </c>
      <c r="BK657" s="2" t="s">
        <v>74</v>
      </c>
      <c r="BL657" s="2" t="s">
        <v>74</v>
      </c>
      <c r="BM657" s="2" t="s">
        <v>74</v>
      </c>
      <c r="BN657" s="2" t="s">
        <v>74</v>
      </c>
      <c r="BO657" s="2" t="s">
        <v>74</v>
      </c>
      <c r="BP657" s="2" t="s">
        <v>74</v>
      </c>
      <c r="BQ657" s="2" t="s">
        <v>74</v>
      </c>
      <c r="BR657" s="2" t="s">
        <v>74</v>
      </c>
      <c r="BS657" s="2" t="s">
        <v>3688</v>
      </c>
      <c r="BT657" s="2" t="str">
        <f>HYPERLINK("https%3A%2F%2Fwww.webofscience.com%2Fwos%2Fwoscc%2Ffull-record%2FWOS:000231717400001","View Full Record in Web of Science")</f>
        <v>View Full Record in Web of Science</v>
      </c>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row>
    <row r="658" spans="1:314" s="2" customFormat="1" x14ac:dyDescent="0.4">
      <c r="A658" s="2" t="s">
        <v>72</v>
      </c>
      <c r="B658" s="2" t="s">
        <v>5416</v>
      </c>
      <c r="C658" s="2" t="s">
        <v>74</v>
      </c>
      <c r="D658" s="2" t="s">
        <v>74</v>
      </c>
      <c r="E658" s="2" t="s">
        <v>74</v>
      </c>
      <c r="F658" s="2" t="s">
        <v>5417</v>
      </c>
      <c r="G658" s="2" t="s">
        <v>74</v>
      </c>
      <c r="H658" s="2" t="s">
        <v>74</v>
      </c>
      <c r="I658" s="2" t="s">
        <v>5418</v>
      </c>
      <c r="J658" s="2" t="s">
        <v>1396</v>
      </c>
      <c r="K658" s="2" t="s">
        <v>74</v>
      </c>
      <c r="L658" s="2" t="s">
        <v>74</v>
      </c>
      <c r="M658" s="2" t="s">
        <v>74</v>
      </c>
      <c r="N658" s="2" t="s">
        <v>74</v>
      </c>
      <c r="O658" s="2" t="s">
        <v>74</v>
      </c>
      <c r="P658" s="2" t="s">
        <v>74</v>
      </c>
      <c r="Q658" s="2" t="s">
        <v>74</v>
      </c>
      <c r="R658" s="2" t="s">
        <v>74</v>
      </c>
      <c r="S658" s="2" t="s">
        <v>74</v>
      </c>
      <c r="T658" s="2" t="s">
        <v>74</v>
      </c>
      <c r="U658" s="2" t="s">
        <v>74</v>
      </c>
      <c r="V658" s="5" t="s">
        <v>5419</v>
      </c>
      <c r="W658" s="2" t="s">
        <v>74</v>
      </c>
      <c r="X658" s="2" t="s">
        <v>74</v>
      </c>
      <c r="Y658" s="2" t="s">
        <v>74</v>
      </c>
      <c r="Z658" s="2" t="s">
        <v>74</v>
      </c>
      <c r="AA658" s="2" t="s">
        <v>5420</v>
      </c>
      <c r="AB658" s="2" t="s">
        <v>5421</v>
      </c>
      <c r="AC658" s="2" t="s">
        <v>74</v>
      </c>
      <c r="AD658" s="2" t="s">
        <v>74</v>
      </c>
      <c r="AE658" s="2" t="s">
        <v>74</v>
      </c>
      <c r="AF658" s="2" t="s">
        <v>74</v>
      </c>
      <c r="AG658" s="2" t="s">
        <v>74</v>
      </c>
      <c r="AH658" s="2" t="s">
        <v>74</v>
      </c>
      <c r="AI658" s="2" t="s">
        <v>74</v>
      </c>
      <c r="AJ658" s="2" t="s">
        <v>74</v>
      </c>
      <c r="AK658" s="2" t="s">
        <v>74</v>
      </c>
      <c r="AL658" s="2" t="s">
        <v>74</v>
      </c>
      <c r="AM658" s="2" t="s">
        <v>74</v>
      </c>
      <c r="AN658" s="2" t="s">
        <v>74</v>
      </c>
      <c r="AO658" s="2" t="s">
        <v>1400</v>
      </c>
      <c r="AP658" s="2" t="s">
        <v>5422</v>
      </c>
      <c r="AQ658" s="2" t="s">
        <v>74</v>
      </c>
      <c r="AR658" s="2" t="s">
        <v>74</v>
      </c>
      <c r="AS658" s="2" t="s">
        <v>74</v>
      </c>
      <c r="AT658" s="2" t="s">
        <v>964</v>
      </c>
      <c r="AU658" s="2">
        <v>2018</v>
      </c>
      <c r="AV658" s="2">
        <v>56</v>
      </c>
      <c r="AW658" s="2">
        <v>1</v>
      </c>
      <c r="AX658" s="2" t="s">
        <v>74</v>
      </c>
      <c r="AY658" s="2" t="s">
        <v>74</v>
      </c>
      <c r="AZ658" s="2" t="s">
        <v>74</v>
      </c>
      <c r="BA658" s="2" t="s">
        <v>74</v>
      </c>
      <c r="BB658" s="2">
        <v>61</v>
      </c>
      <c r="BC658" s="2">
        <v>76</v>
      </c>
      <c r="BD658" s="2" t="s">
        <v>74</v>
      </c>
      <c r="BE658" s="2" t="s">
        <v>5423</v>
      </c>
      <c r="BF658" s="2" t="str">
        <f>HYPERLINK("http://dx.doi.org/10.1111/jzs.12186","http://dx.doi.org/10.1111/jzs.12186")</f>
        <v>http://dx.doi.org/10.1111/jzs.12186</v>
      </c>
      <c r="BG658" s="2" t="s">
        <v>74</v>
      </c>
      <c r="BH658" s="2" t="s">
        <v>74</v>
      </c>
      <c r="BI658" s="2" t="s">
        <v>74</v>
      </c>
      <c r="BJ658" s="2" t="s">
        <v>74</v>
      </c>
      <c r="BK658" s="2" t="s">
        <v>74</v>
      </c>
      <c r="BL658" s="2" t="s">
        <v>74</v>
      </c>
      <c r="BM658" s="2" t="s">
        <v>74</v>
      </c>
      <c r="BN658" s="2" t="s">
        <v>74</v>
      </c>
      <c r="BO658" s="2" t="s">
        <v>74</v>
      </c>
      <c r="BP658" s="2" t="s">
        <v>74</v>
      </c>
      <c r="BQ658" s="2" t="s">
        <v>74</v>
      </c>
      <c r="BR658" s="2" t="s">
        <v>74</v>
      </c>
      <c r="BS658" s="2" t="s">
        <v>5424</v>
      </c>
      <c r="BT658" s="2" t="str">
        <f>HYPERLINK("https%3A%2F%2Fwww.webofscience.com%2Fwos%2Fwoscc%2Ffull-record%2FWOS:000419657600005","View Full Record in Web of Science")</f>
        <v>View Full Record in Web of Science</v>
      </c>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row>
    <row r="659" spans="1:314" s="2" customFormat="1" x14ac:dyDescent="0.4">
      <c r="A659" s="2" t="s">
        <v>72</v>
      </c>
      <c r="B659" s="2" t="s">
        <v>8029</v>
      </c>
      <c r="C659" s="2" t="s">
        <v>74</v>
      </c>
      <c r="D659" s="2" t="s">
        <v>74</v>
      </c>
      <c r="E659" s="2" t="s">
        <v>74</v>
      </c>
      <c r="F659" s="2" t="s">
        <v>8030</v>
      </c>
      <c r="G659" s="2" t="s">
        <v>74</v>
      </c>
      <c r="H659" s="2" t="s">
        <v>74</v>
      </c>
      <c r="I659" s="2" t="s">
        <v>8031</v>
      </c>
      <c r="J659" s="2" t="s">
        <v>3026</v>
      </c>
      <c r="K659" s="2" t="s">
        <v>74</v>
      </c>
      <c r="L659" s="2" t="s">
        <v>74</v>
      </c>
      <c r="M659" s="2" t="s">
        <v>74</v>
      </c>
      <c r="N659" s="2" t="s">
        <v>74</v>
      </c>
      <c r="O659" s="2" t="s">
        <v>74</v>
      </c>
      <c r="P659" s="2" t="s">
        <v>74</v>
      </c>
      <c r="Q659" s="2" t="s">
        <v>74</v>
      </c>
      <c r="R659" s="2" t="s">
        <v>74</v>
      </c>
      <c r="S659" s="2" t="s">
        <v>74</v>
      </c>
      <c r="T659" s="2" t="s">
        <v>74</v>
      </c>
      <c r="U659" s="2" t="s">
        <v>74</v>
      </c>
      <c r="V659" s="5" t="s">
        <v>8032</v>
      </c>
      <c r="W659" s="2" t="s">
        <v>74</v>
      </c>
      <c r="X659" s="2" t="s">
        <v>74</v>
      </c>
      <c r="Y659" s="2" t="s">
        <v>74</v>
      </c>
      <c r="Z659" s="2" t="s">
        <v>74</v>
      </c>
      <c r="AA659" s="2" t="s">
        <v>8033</v>
      </c>
      <c r="AB659" s="2" t="s">
        <v>8034</v>
      </c>
      <c r="AC659" s="2" t="s">
        <v>74</v>
      </c>
      <c r="AD659" s="2" t="s">
        <v>74</v>
      </c>
      <c r="AE659" s="2" t="s">
        <v>74</v>
      </c>
      <c r="AF659" s="2" t="s">
        <v>74</v>
      </c>
      <c r="AG659" s="2" t="s">
        <v>74</v>
      </c>
      <c r="AH659" s="2" t="s">
        <v>74</v>
      </c>
      <c r="AI659" s="2" t="s">
        <v>74</v>
      </c>
      <c r="AJ659" s="2" t="s">
        <v>74</v>
      </c>
      <c r="AK659" s="2" t="s">
        <v>74</v>
      </c>
      <c r="AL659" s="2" t="s">
        <v>74</v>
      </c>
      <c r="AM659" s="2" t="s">
        <v>74</v>
      </c>
      <c r="AN659" s="2" t="s">
        <v>74</v>
      </c>
      <c r="AO659" s="2" t="s">
        <v>3030</v>
      </c>
      <c r="AP659" s="2" t="s">
        <v>74</v>
      </c>
      <c r="AQ659" s="2" t="s">
        <v>74</v>
      </c>
      <c r="AR659" s="2" t="s">
        <v>74</v>
      </c>
      <c r="AS659" s="2" t="s">
        <v>74</v>
      </c>
      <c r="AT659" s="2" t="s">
        <v>4557</v>
      </c>
      <c r="AU659" s="2">
        <v>2014</v>
      </c>
      <c r="AV659" s="2">
        <v>3</v>
      </c>
      <c r="AW659" s="2">
        <v>12</v>
      </c>
      <c r="AX659" s="2" t="s">
        <v>74</v>
      </c>
      <c r="AY659" s="2" t="s">
        <v>74</v>
      </c>
      <c r="AZ659" s="2" t="s">
        <v>74</v>
      </c>
      <c r="BA659" s="2" t="s">
        <v>74</v>
      </c>
      <c r="BB659" s="2">
        <v>1245</v>
      </c>
      <c r="BC659" s="2">
        <v>1251</v>
      </c>
      <c r="BD659" s="2" t="s">
        <v>74</v>
      </c>
      <c r="BE659" s="2" t="s">
        <v>8035</v>
      </c>
      <c r="BF659" s="2" t="str">
        <f>HYPERLINK("http://dx.doi.org/10.1242/bio.20149175","http://dx.doi.org/10.1242/bio.20149175")</f>
        <v>http://dx.doi.org/10.1242/bio.20149175</v>
      </c>
      <c r="BG659" s="2" t="s">
        <v>74</v>
      </c>
      <c r="BH659" s="2" t="s">
        <v>74</v>
      </c>
      <c r="BI659" s="2" t="s">
        <v>74</v>
      </c>
      <c r="BJ659" s="2" t="s">
        <v>74</v>
      </c>
      <c r="BK659" s="2" t="s">
        <v>74</v>
      </c>
      <c r="BL659" s="2" t="s">
        <v>74</v>
      </c>
      <c r="BM659" s="2" t="s">
        <v>74</v>
      </c>
      <c r="BN659" s="2">
        <v>25432516</v>
      </c>
      <c r="BO659" s="2" t="s">
        <v>74</v>
      </c>
      <c r="BP659" s="2" t="s">
        <v>74</v>
      </c>
      <c r="BQ659" s="2" t="s">
        <v>74</v>
      </c>
      <c r="BR659" s="2" t="s">
        <v>74</v>
      </c>
      <c r="BS659" s="2" t="s">
        <v>8036</v>
      </c>
      <c r="BT659" s="2" t="str">
        <f>HYPERLINK("https%3A%2F%2Fwww.webofscience.com%2Fwos%2Fwoscc%2Ffull-record%2FWOS:000348098800012","View Full Record in Web of Science")</f>
        <v>View Full Record in Web of Science</v>
      </c>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row>
    <row r="660" spans="1:314" s="2" customFormat="1" x14ac:dyDescent="0.4">
      <c r="A660" s="2" t="s">
        <v>72</v>
      </c>
      <c r="B660" s="2" t="s">
        <v>1353</v>
      </c>
      <c r="C660" s="2" t="s">
        <v>74</v>
      </c>
      <c r="D660" s="2" t="s">
        <v>74</v>
      </c>
      <c r="E660" s="2" t="s">
        <v>74</v>
      </c>
      <c r="F660" s="2" t="s">
        <v>1354</v>
      </c>
      <c r="G660" s="2" t="s">
        <v>74</v>
      </c>
      <c r="H660" s="2" t="s">
        <v>74</v>
      </c>
      <c r="I660" s="2" t="s">
        <v>1355</v>
      </c>
      <c r="J660" s="2" t="s">
        <v>408</v>
      </c>
      <c r="K660" s="2" t="s">
        <v>74</v>
      </c>
      <c r="L660" s="2" t="s">
        <v>74</v>
      </c>
      <c r="M660" s="2" t="s">
        <v>74</v>
      </c>
      <c r="N660" s="2" t="s">
        <v>74</v>
      </c>
      <c r="O660" s="2" t="s">
        <v>74</v>
      </c>
      <c r="P660" s="2" t="s">
        <v>74</v>
      </c>
      <c r="Q660" s="2" t="s">
        <v>74</v>
      </c>
      <c r="R660" s="2" t="s">
        <v>74</v>
      </c>
      <c r="S660" s="2" t="s">
        <v>74</v>
      </c>
      <c r="T660" s="2" t="s">
        <v>74</v>
      </c>
      <c r="U660" s="2" t="s">
        <v>74</v>
      </c>
      <c r="V660" s="5" t="s">
        <v>1356</v>
      </c>
      <c r="W660" s="2" t="s">
        <v>74</v>
      </c>
      <c r="X660" s="2" t="s">
        <v>74</v>
      </c>
      <c r="Y660" s="2" t="s">
        <v>74</v>
      </c>
      <c r="Z660" s="2" t="s">
        <v>74</v>
      </c>
      <c r="AA660" s="2" t="s">
        <v>74</v>
      </c>
      <c r="AB660" s="2" t="s">
        <v>1357</v>
      </c>
      <c r="AC660" s="2" t="s">
        <v>74</v>
      </c>
      <c r="AD660" s="2" t="s">
        <v>74</v>
      </c>
      <c r="AE660" s="2" t="s">
        <v>74</v>
      </c>
      <c r="AF660" s="2" t="s">
        <v>74</v>
      </c>
      <c r="AG660" s="2" t="s">
        <v>74</v>
      </c>
      <c r="AH660" s="2" t="s">
        <v>74</v>
      </c>
      <c r="AI660" s="2" t="s">
        <v>74</v>
      </c>
      <c r="AJ660" s="2" t="s">
        <v>74</v>
      </c>
      <c r="AK660" s="2" t="s">
        <v>74</v>
      </c>
      <c r="AL660" s="2" t="s">
        <v>74</v>
      </c>
      <c r="AM660" s="2" t="s">
        <v>74</v>
      </c>
      <c r="AN660" s="2" t="s">
        <v>74</v>
      </c>
      <c r="AO660" s="2" t="s">
        <v>412</v>
      </c>
      <c r="AP660" s="2" t="s">
        <v>413</v>
      </c>
      <c r="AQ660" s="2" t="s">
        <v>74</v>
      </c>
      <c r="AR660" s="2" t="s">
        <v>74</v>
      </c>
      <c r="AS660" s="2" t="s">
        <v>74</v>
      </c>
      <c r="AT660" s="2" t="s">
        <v>145</v>
      </c>
      <c r="AU660" s="2">
        <v>2008</v>
      </c>
      <c r="AV660" s="2">
        <v>94</v>
      </c>
      <c r="AW660" s="2">
        <v>4</v>
      </c>
      <c r="AX660" s="2" t="s">
        <v>74</v>
      </c>
      <c r="AY660" s="2" t="s">
        <v>74</v>
      </c>
      <c r="AZ660" s="2" t="s">
        <v>74</v>
      </c>
      <c r="BA660" s="2" t="s">
        <v>74</v>
      </c>
      <c r="BB660" s="2">
        <v>663</v>
      </c>
      <c r="BC660" s="2">
        <v>673</v>
      </c>
      <c r="BD660" s="2" t="s">
        <v>74</v>
      </c>
      <c r="BE660" s="2" t="s">
        <v>1358</v>
      </c>
      <c r="BF660" s="2" t="str">
        <f>HYPERLINK("http://dx.doi.org/10.1111/j.1095-8312.2008.01021.x","http://dx.doi.org/10.1111/j.1095-8312.2008.01021.x")</f>
        <v>http://dx.doi.org/10.1111/j.1095-8312.2008.01021.x</v>
      </c>
      <c r="BG660" s="2" t="s">
        <v>74</v>
      </c>
      <c r="BH660" s="2" t="s">
        <v>74</v>
      </c>
      <c r="BI660" s="2" t="s">
        <v>74</v>
      </c>
      <c r="BJ660" s="2" t="s">
        <v>74</v>
      </c>
      <c r="BK660" s="2" t="s">
        <v>74</v>
      </c>
      <c r="BL660" s="2" t="s">
        <v>74</v>
      </c>
      <c r="BM660" s="2" t="s">
        <v>74</v>
      </c>
      <c r="BN660" s="2" t="s">
        <v>74</v>
      </c>
      <c r="BO660" s="2" t="s">
        <v>74</v>
      </c>
      <c r="BP660" s="2" t="s">
        <v>74</v>
      </c>
      <c r="BQ660" s="2" t="s">
        <v>74</v>
      </c>
      <c r="BR660" s="2" t="s">
        <v>74</v>
      </c>
      <c r="BS660" s="2" t="s">
        <v>1359</v>
      </c>
      <c r="BT660" s="2" t="str">
        <f>HYPERLINK("https%3A%2F%2Fwww.webofscience.com%2Fwos%2Fwoscc%2Ffull-record%2FWOS:000258458500002","View Full Record in Web of Science")</f>
        <v>View Full Record in Web of Science</v>
      </c>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row>
    <row r="661" spans="1:314" s="2" customFormat="1" x14ac:dyDescent="0.4">
      <c r="A661" s="2" t="s">
        <v>72</v>
      </c>
      <c r="B661" s="2" t="s">
        <v>967</v>
      </c>
      <c r="C661" s="2" t="s">
        <v>74</v>
      </c>
      <c r="D661" s="2" t="s">
        <v>74</v>
      </c>
      <c r="E661" s="2" t="s">
        <v>74</v>
      </c>
      <c r="F661" s="2" t="s">
        <v>968</v>
      </c>
      <c r="G661" s="2" t="s">
        <v>74</v>
      </c>
      <c r="H661" s="2" t="s">
        <v>74</v>
      </c>
      <c r="I661" s="2" t="s">
        <v>969</v>
      </c>
      <c r="J661" s="2" t="s">
        <v>970</v>
      </c>
      <c r="K661" s="2" t="s">
        <v>74</v>
      </c>
      <c r="L661" s="2" t="s">
        <v>74</v>
      </c>
      <c r="M661" s="2" t="s">
        <v>74</v>
      </c>
      <c r="N661" s="2" t="s">
        <v>74</v>
      </c>
      <c r="O661" s="2" t="s">
        <v>74</v>
      </c>
      <c r="P661" s="2" t="s">
        <v>74</v>
      </c>
      <c r="Q661" s="2" t="s">
        <v>74</v>
      </c>
      <c r="R661" s="2" t="s">
        <v>74</v>
      </c>
      <c r="S661" s="2" t="s">
        <v>74</v>
      </c>
      <c r="T661" s="2" t="s">
        <v>74</v>
      </c>
      <c r="U661" s="2" t="s">
        <v>74</v>
      </c>
      <c r="V661" s="5" t="s">
        <v>971</v>
      </c>
      <c r="W661" s="2" t="s">
        <v>74</v>
      </c>
      <c r="X661" s="2" t="s">
        <v>74</v>
      </c>
      <c r="Y661" s="2" t="s">
        <v>74</v>
      </c>
      <c r="Z661" s="2" t="s">
        <v>74</v>
      </c>
      <c r="AA661" s="2" t="s">
        <v>972</v>
      </c>
      <c r="AB661" s="2" t="s">
        <v>973</v>
      </c>
      <c r="AC661" s="2" t="s">
        <v>74</v>
      </c>
      <c r="AD661" s="2" t="s">
        <v>74</v>
      </c>
      <c r="AE661" s="2" t="s">
        <v>74</v>
      </c>
      <c r="AF661" s="2" t="s">
        <v>74</v>
      </c>
      <c r="AG661" s="2" t="s">
        <v>74</v>
      </c>
      <c r="AH661" s="2" t="s">
        <v>74</v>
      </c>
      <c r="AI661" s="2" t="s">
        <v>74</v>
      </c>
      <c r="AJ661" s="2" t="s">
        <v>74</v>
      </c>
      <c r="AK661" s="2" t="s">
        <v>74</v>
      </c>
      <c r="AL661" s="2" t="s">
        <v>74</v>
      </c>
      <c r="AM661" s="2" t="s">
        <v>74</v>
      </c>
      <c r="AN661" s="2" t="s">
        <v>74</v>
      </c>
      <c r="AO661" s="2" t="s">
        <v>974</v>
      </c>
      <c r="AP661" s="2" t="s">
        <v>975</v>
      </c>
      <c r="AQ661" s="2" t="s">
        <v>74</v>
      </c>
      <c r="AR661" s="2" t="s">
        <v>74</v>
      </c>
      <c r="AS661" s="2" t="s">
        <v>74</v>
      </c>
      <c r="AT661" s="2" t="s">
        <v>204</v>
      </c>
      <c r="AU661" s="2">
        <v>2008</v>
      </c>
      <c r="AV661" s="2">
        <v>149</v>
      </c>
      <c r="AW661" s="2">
        <v>3</v>
      </c>
      <c r="AX661" s="2" t="s">
        <v>74</v>
      </c>
      <c r="AY661" s="2" t="s">
        <v>74</v>
      </c>
      <c r="AZ661" s="2" t="s">
        <v>74</v>
      </c>
      <c r="BA661" s="2" t="s">
        <v>74</v>
      </c>
      <c r="BB661" s="2">
        <v>415</v>
      </c>
      <c r="BC661" s="2">
        <v>421</v>
      </c>
      <c r="BD661" s="2" t="s">
        <v>74</v>
      </c>
      <c r="BE661" s="2" t="s">
        <v>976</v>
      </c>
      <c r="BF661" s="2" t="str">
        <f>HYPERLINK("http://dx.doi.org/10.1007/s10336-008-0283-0","http://dx.doi.org/10.1007/s10336-008-0283-0")</f>
        <v>http://dx.doi.org/10.1007/s10336-008-0283-0</v>
      </c>
      <c r="BG661" s="2" t="s">
        <v>74</v>
      </c>
      <c r="BH661" s="2" t="s">
        <v>74</v>
      </c>
      <c r="BI661" s="2" t="s">
        <v>74</v>
      </c>
      <c r="BJ661" s="2" t="s">
        <v>74</v>
      </c>
      <c r="BK661" s="2" t="s">
        <v>74</v>
      </c>
      <c r="BL661" s="2" t="s">
        <v>74</v>
      </c>
      <c r="BM661" s="2" t="s">
        <v>74</v>
      </c>
      <c r="BN661" s="2" t="s">
        <v>74</v>
      </c>
      <c r="BO661" s="2" t="s">
        <v>74</v>
      </c>
      <c r="BP661" s="2" t="s">
        <v>74</v>
      </c>
      <c r="BQ661" s="2" t="s">
        <v>74</v>
      </c>
      <c r="BR661" s="2" t="s">
        <v>74</v>
      </c>
      <c r="BS661" s="2" t="s">
        <v>977</v>
      </c>
      <c r="BT661" s="2" t="str">
        <f>HYPERLINK("https%3A%2F%2Fwww.webofscience.com%2Fwos%2Fwoscc%2Ffull-record%2FWOS:000256660000013","View Full Record in Web of Science")</f>
        <v>View Full Record in Web of Science</v>
      </c>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row>
    <row r="662" spans="1:314" s="2" customFormat="1" x14ac:dyDescent="0.4">
      <c r="A662" s="2" t="s">
        <v>72</v>
      </c>
      <c r="B662" s="2" t="s">
        <v>6357</v>
      </c>
      <c r="C662" s="2" t="s">
        <v>74</v>
      </c>
      <c r="D662" s="2" t="s">
        <v>74</v>
      </c>
      <c r="E662" s="2" t="s">
        <v>74</v>
      </c>
      <c r="F662" s="2" t="s">
        <v>6358</v>
      </c>
      <c r="G662" s="2" t="s">
        <v>74</v>
      </c>
      <c r="H662" s="2" t="s">
        <v>74</v>
      </c>
      <c r="I662" s="2" t="s">
        <v>6359</v>
      </c>
      <c r="J662" s="2" t="s">
        <v>77</v>
      </c>
      <c r="K662" s="2" t="s">
        <v>74</v>
      </c>
      <c r="L662" s="2" t="s">
        <v>74</v>
      </c>
      <c r="M662" s="2" t="s">
        <v>74</v>
      </c>
      <c r="N662" s="2" t="s">
        <v>74</v>
      </c>
      <c r="O662" s="2" t="s">
        <v>74</v>
      </c>
      <c r="P662" s="2" t="s">
        <v>74</v>
      </c>
      <c r="Q662" s="2" t="s">
        <v>74</v>
      </c>
      <c r="R662" s="2" t="s">
        <v>74</v>
      </c>
      <c r="S662" s="2" t="s">
        <v>74</v>
      </c>
      <c r="T662" s="2" t="s">
        <v>74</v>
      </c>
      <c r="U662" s="2" t="s">
        <v>74</v>
      </c>
      <c r="V662" s="5" t="s">
        <v>6360</v>
      </c>
      <c r="W662" s="2" t="s">
        <v>74</v>
      </c>
      <c r="X662" s="2" t="s">
        <v>74</v>
      </c>
      <c r="Y662" s="2" t="s">
        <v>74</v>
      </c>
      <c r="Z662" s="2" t="s">
        <v>74</v>
      </c>
      <c r="AA662" s="2" t="s">
        <v>74</v>
      </c>
      <c r="AB662" s="2" t="s">
        <v>6361</v>
      </c>
      <c r="AC662" s="2" t="s">
        <v>74</v>
      </c>
      <c r="AD662" s="2" t="s">
        <v>74</v>
      </c>
      <c r="AE662" s="2" t="s">
        <v>74</v>
      </c>
      <c r="AF662" s="2" t="s">
        <v>74</v>
      </c>
      <c r="AG662" s="2" t="s">
        <v>74</v>
      </c>
      <c r="AH662" s="2" t="s">
        <v>74</v>
      </c>
      <c r="AI662" s="2" t="s">
        <v>74</v>
      </c>
      <c r="AJ662" s="2" t="s">
        <v>74</v>
      </c>
      <c r="AK662" s="2" t="s">
        <v>74</v>
      </c>
      <c r="AL662" s="2" t="s">
        <v>74</v>
      </c>
      <c r="AM662" s="2" t="s">
        <v>74</v>
      </c>
      <c r="AN662" s="2" t="s">
        <v>74</v>
      </c>
      <c r="AO662" s="2" t="s">
        <v>81</v>
      </c>
      <c r="AP662" s="2" t="s">
        <v>82</v>
      </c>
      <c r="AQ662" s="2" t="s">
        <v>74</v>
      </c>
      <c r="AR662" s="2" t="s">
        <v>74</v>
      </c>
      <c r="AS662" s="2" t="s">
        <v>74</v>
      </c>
      <c r="AT662" s="2" t="s">
        <v>74</v>
      </c>
      <c r="AU662" s="2">
        <v>2015</v>
      </c>
      <c r="AV662" s="2">
        <v>152</v>
      </c>
      <c r="AW662" s="2" t="s">
        <v>6362</v>
      </c>
      <c r="AX662" s="2" t="s">
        <v>74</v>
      </c>
      <c r="AY662" s="2" t="s">
        <v>74</v>
      </c>
      <c r="AZ662" s="2" t="s">
        <v>74</v>
      </c>
      <c r="BA662" s="2" t="s">
        <v>74</v>
      </c>
      <c r="BB662" s="2">
        <v>1601</v>
      </c>
      <c r="BC662" s="2">
        <v>1621</v>
      </c>
      <c r="BD662" s="2" t="s">
        <v>74</v>
      </c>
      <c r="BE662" s="2" t="s">
        <v>6363</v>
      </c>
      <c r="BF662" s="2" t="str">
        <f>HYPERLINK("http://dx.doi.org/10.1163/1568539X-00003295","http://dx.doi.org/10.1163/1568539X-00003295")</f>
        <v>http://dx.doi.org/10.1163/1568539X-00003295</v>
      </c>
      <c r="BG662" s="2" t="s">
        <v>74</v>
      </c>
      <c r="BH662" s="2" t="s">
        <v>74</v>
      </c>
      <c r="BI662" s="2" t="s">
        <v>74</v>
      </c>
      <c r="BJ662" s="2" t="s">
        <v>74</v>
      </c>
      <c r="BK662" s="2" t="s">
        <v>74</v>
      </c>
      <c r="BL662" s="2" t="s">
        <v>74</v>
      </c>
      <c r="BM662" s="2" t="s">
        <v>74</v>
      </c>
      <c r="BN662" s="2" t="s">
        <v>74</v>
      </c>
      <c r="BO662" s="2" t="s">
        <v>74</v>
      </c>
      <c r="BP662" s="2" t="s">
        <v>74</v>
      </c>
      <c r="BQ662" s="2" t="s">
        <v>74</v>
      </c>
      <c r="BR662" s="2" t="s">
        <v>74</v>
      </c>
      <c r="BS662" s="2" t="s">
        <v>6364</v>
      </c>
      <c r="BT662" s="2" t="str">
        <f>HYPERLINK("https%3A%2F%2Fwww.webofscience.com%2Fwos%2Fwoscc%2Ffull-record%2FWOS:000362911000001","View Full Record in Web of Science")</f>
        <v>View Full Record in Web of Science</v>
      </c>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row>
    <row r="663" spans="1:314" s="2" customFormat="1" x14ac:dyDescent="0.4">
      <c r="A663" s="2" t="s">
        <v>72</v>
      </c>
      <c r="B663" s="2" t="s">
        <v>8706</v>
      </c>
      <c r="C663" s="2" t="s">
        <v>74</v>
      </c>
      <c r="D663" s="2" t="s">
        <v>74</v>
      </c>
      <c r="E663" s="2" t="s">
        <v>74</v>
      </c>
      <c r="F663" s="2" t="s">
        <v>8707</v>
      </c>
      <c r="G663" s="2" t="s">
        <v>74</v>
      </c>
      <c r="H663" s="2" t="s">
        <v>74</v>
      </c>
      <c r="I663" s="2" t="s">
        <v>8708</v>
      </c>
      <c r="J663" s="2" t="s">
        <v>4522</v>
      </c>
      <c r="K663" s="2" t="s">
        <v>74</v>
      </c>
      <c r="L663" s="2" t="s">
        <v>74</v>
      </c>
      <c r="M663" s="2" t="s">
        <v>74</v>
      </c>
      <c r="N663" s="2" t="s">
        <v>74</v>
      </c>
      <c r="O663" s="2" t="s">
        <v>74</v>
      </c>
      <c r="P663" s="2" t="s">
        <v>74</v>
      </c>
      <c r="Q663" s="2" t="s">
        <v>74</v>
      </c>
      <c r="R663" s="2" t="s">
        <v>74</v>
      </c>
      <c r="S663" s="2" t="s">
        <v>74</v>
      </c>
      <c r="T663" s="2" t="s">
        <v>74</v>
      </c>
      <c r="U663" s="2" t="s">
        <v>74</v>
      </c>
      <c r="V663" s="5" t="s">
        <v>8709</v>
      </c>
      <c r="W663" s="2" t="s">
        <v>74</v>
      </c>
      <c r="X663" s="2" t="s">
        <v>74</v>
      </c>
      <c r="Y663" s="2" t="s">
        <v>74</v>
      </c>
      <c r="Z663" s="2" t="s">
        <v>74</v>
      </c>
      <c r="AA663" s="2" t="s">
        <v>8710</v>
      </c>
      <c r="AB663" s="2" t="s">
        <v>8711</v>
      </c>
      <c r="AC663" s="2" t="s">
        <v>74</v>
      </c>
      <c r="AD663" s="2" t="s">
        <v>74</v>
      </c>
      <c r="AE663" s="2" t="s">
        <v>74</v>
      </c>
      <c r="AF663" s="2" t="s">
        <v>74</v>
      </c>
      <c r="AG663" s="2" t="s">
        <v>74</v>
      </c>
      <c r="AH663" s="2" t="s">
        <v>74</v>
      </c>
      <c r="AI663" s="2" t="s">
        <v>74</v>
      </c>
      <c r="AJ663" s="2" t="s">
        <v>74</v>
      </c>
      <c r="AK663" s="2" t="s">
        <v>74</v>
      </c>
      <c r="AL663" s="2" t="s">
        <v>74</v>
      </c>
      <c r="AM663" s="2" t="s">
        <v>74</v>
      </c>
      <c r="AN663" s="2" t="s">
        <v>74</v>
      </c>
      <c r="AO663" s="2" t="s">
        <v>4526</v>
      </c>
      <c r="AP663" s="2" t="s">
        <v>4527</v>
      </c>
      <c r="AQ663" s="2" t="s">
        <v>74</v>
      </c>
      <c r="AR663" s="2" t="s">
        <v>74</v>
      </c>
      <c r="AS663" s="2" t="s">
        <v>74</v>
      </c>
      <c r="AT663" s="2" t="s">
        <v>8712</v>
      </c>
      <c r="AU663" s="2">
        <v>2016</v>
      </c>
      <c r="AV663" s="2">
        <v>50</v>
      </c>
      <c r="AW663" s="2" t="s">
        <v>8713</v>
      </c>
      <c r="AX663" s="2" t="s">
        <v>74</v>
      </c>
      <c r="AY663" s="2" t="s">
        <v>74</v>
      </c>
      <c r="AZ663" s="2" t="s">
        <v>74</v>
      </c>
      <c r="BA663" s="2" t="s">
        <v>74</v>
      </c>
      <c r="BB663" s="2">
        <v>1283</v>
      </c>
      <c r="BC663" s="2">
        <v>1289</v>
      </c>
      <c r="BD663" s="2" t="s">
        <v>74</v>
      </c>
      <c r="BE663" s="2" t="s">
        <v>8714</v>
      </c>
      <c r="BF663" s="2" t="str">
        <f>HYPERLINK("http://dx.doi.org/10.1080/00222933.2015.1105318","http://dx.doi.org/10.1080/00222933.2015.1105318")</f>
        <v>http://dx.doi.org/10.1080/00222933.2015.1105318</v>
      </c>
      <c r="BG663" s="2" t="s">
        <v>74</v>
      </c>
      <c r="BH663" s="2" t="s">
        <v>74</v>
      </c>
      <c r="BI663" s="2" t="s">
        <v>74</v>
      </c>
      <c r="BJ663" s="2" t="s">
        <v>74</v>
      </c>
      <c r="BK663" s="2" t="s">
        <v>74</v>
      </c>
      <c r="BL663" s="2" t="s">
        <v>74</v>
      </c>
      <c r="BM663" s="2" t="s">
        <v>74</v>
      </c>
      <c r="BN663" s="2" t="s">
        <v>74</v>
      </c>
      <c r="BO663" s="2" t="s">
        <v>74</v>
      </c>
      <c r="BP663" s="2" t="s">
        <v>74</v>
      </c>
      <c r="BQ663" s="2" t="s">
        <v>74</v>
      </c>
      <c r="BR663" s="2" t="s">
        <v>74</v>
      </c>
      <c r="BS663" s="2" t="s">
        <v>8715</v>
      </c>
      <c r="BT663" s="2" t="str">
        <f>HYPERLINK("https%3A%2F%2Fwww.webofscience.com%2Fwos%2Fwoscc%2Ffull-record%2FWOS:000373297600001","View Full Record in Web of Science")</f>
        <v>View Full Record in Web of Science</v>
      </c>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row>
    <row r="664" spans="1:314" s="2" customFormat="1" x14ac:dyDescent="0.4">
      <c r="A664" s="2" t="s">
        <v>72</v>
      </c>
      <c r="B664" s="2" t="s">
        <v>4512</v>
      </c>
      <c r="C664" s="2" t="s">
        <v>74</v>
      </c>
      <c r="D664" s="2" t="s">
        <v>74</v>
      </c>
      <c r="E664" s="2" t="s">
        <v>74</v>
      </c>
      <c r="F664" s="2" t="s">
        <v>4513</v>
      </c>
      <c r="G664" s="2" t="s">
        <v>74</v>
      </c>
      <c r="H664" s="2" t="s">
        <v>74</v>
      </c>
      <c r="I664" s="2" t="s">
        <v>4514</v>
      </c>
      <c r="J664" s="2" t="s">
        <v>1949</v>
      </c>
      <c r="K664" s="2" t="s">
        <v>74</v>
      </c>
      <c r="L664" s="2" t="s">
        <v>74</v>
      </c>
      <c r="M664" s="2" t="s">
        <v>74</v>
      </c>
      <c r="N664" s="2" t="s">
        <v>74</v>
      </c>
      <c r="O664" s="2" t="s">
        <v>74</v>
      </c>
      <c r="P664" s="2" t="s">
        <v>74</v>
      </c>
      <c r="Q664" s="2" t="s">
        <v>74</v>
      </c>
      <c r="R664" s="2" t="s">
        <v>74</v>
      </c>
      <c r="S664" s="2" t="s">
        <v>74</v>
      </c>
      <c r="T664" s="2" t="s">
        <v>74</v>
      </c>
      <c r="U664" s="2" t="s">
        <v>74</v>
      </c>
      <c r="V664" s="5" t="s">
        <v>4515</v>
      </c>
      <c r="W664" s="2" t="s">
        <v>74</v>
      </c>
      <c r="X664" s="2" t="s">
        <v>74</v>
      </c>
      <c r="Y664" s="2" t="s">
        <v>74</v>
      </c>
      <c r="Z664" s="2" t="s">
        <v>74</v>
      </c>
      <c r="AA664" s="2" t="s">
        <v>74</v>
      </c>
      <c r="AB664" s="2" t="s">
        <v>4516</v>
      </c>
      <c r="AC664" s="2" t="s">
        <v>74</v>
      </c>
      <c r="AD664" s="2" t="s">
        <v>74</v>
      </c>
      <c r="AE664" s="2" t="s">
        <v>74</v>
      </c>
      <c r="AF664" s="2" t="s">
        <v>74</v>
      </c>
      <c r="AG664" s="2" t="s">
        <v>74</v>
      </c>
      <c r="AH664" s="2" t="s">
        <v>74</v>
      </c>
      <c r="AI664" s="2" t="s">
        <v>74</v>
      </c>
      <c r="AJ664" s="2" t="s">
        <v>74</v>
      </c>
      <c r="AK664" s="2" t="s">
        <v>74</v>
      </c>
      <c r="AL664" s="2" t="s">
        <v>74</v>
      </c>
      <c r="AM664" s="2" t="s">
        <v>74</v>
      </c>
      <c r="AN664" s="2" t="s">
        <v>74</v>
      </c>
      <c r="AO664" s="2" t="s">
        <v>74</v>
      </c>
      <c r="AP664" s="2" t="s">
        <v>1953</v>
      </c>
      <c r="AQ664" s="2" t="s">
        <v>74</v>
      </c>
      <c r="AR664" s="2" t="s">
        <v>74</v>
      </c>
      <c r="AS664" s="2" t="s">
        <v>74</v>
      </c>
      <c r="AT664" s="2" t="s">
        <v>204</v>
      </c>
      <c r="AU664" s="2">
        <v>2024</v>
      </c>
      <c r="AV664" s="2">
        <v>15</v>
      </c>
      <c r="AW664" s="2">
        <v>7</v>
      </c>
      <c r="AX664" s="2" t="s">
        <v>74</v>
      </c>
      <c r="AY664" s="2" t="s">
        <v>74</v>
      </c>
      <c r="AZ664" s="2" t="s">
        <v>74</v>
      </c>
      <c r="BA664" s="2" t="s">
        <v>74</v>
      </c>
      <c r="BB664" s="2" t="s">
        <v>74</v>
      </c>
      <c r="BC664" s="2" t="s">
        <v>74</v>
      </c>
      <c r="BD664" s="2">
        <v>548</v>
      </c>
      <c r="BE664" s="2" t="s">
        <v>4517</v>
      </c>
      <c r="BF664" s="2" t="str">
        <f>HYPERLINK("http://dx.doi.org/10.3390/insects15070548","http://dx.doi.org/10.3390/insects15070548")</f>
        <v>http://dx.doi.org/10.3390/insects15070548</v>
      </c>
      <c r="BG664" s="2" t="s">
        <v>74</v>
      </c>
      <c r="BH664" s="2" t="s">
        <v>74</v>
      </c>
      <c r="BI664" s="2" t="s">
        <v>74</v>
      </c>
      <c r="BJ664" s="2" t="s">
        <v>74</v>
      </c>
      <c r="BK664" s="2" t="s">
        <v>74</v>
      </c>
      <c r="BL664" s="2" t="s">
        <v>74</v>
      </c>
      <c r="BM664" s="2" t="s">
        <v>74</v>
      </c>
      <c r="BN664" s="2">
        <v>39057280</v>
      </c>
      <c r="BO664" s="2" t="s">
        <v>74</v>
      </c>
      <c r="BP664" s="2" t="s">
        <v>74</v>
      </c>
      <c r="BQ664" s="2" t="s">
        <v>74</v>
      </c>
      <c r="BR664" s="2" t="s">
        <v>74</v>
      </c>
      <c r="BS664" s="2" t="s">
        <v>4518</v>
      </c>
      <c r="BT664" s="2" t="str">
        <f>HYPERLINK("https%3A%2F%2Fwww.webofscience.com%2Fwos%2Fwoscc%2Ffull-record%2FWOS:001278556300001","View Full Record in Web of Science")</f>
        <v>View Full Record in Web of Science</v>
      </c>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row>
    <row r="665" spans="1:314" s="2" customFormat="1" x14ac:dyDescent="0.4">
      <c r="A665" s="2" t="s">
        <v>72</v>
      </c>
      <c r="B665" s="2" t="s">
        <v>7648</v>
      </c>
      <c r="C665" s="2" t="s">
        <v>74</v>
      </c>
      <c r="D665" s="2" t="s">
        <v>74</v>
      </c>
      <c r="E665" s="2" t="s">
        <v>74</v>
      </c>
      <c r="F665" s="2" t="s">
        <v>7649</v>
      </c>
      <c r="G665" s="2" t="s">
        <v>74</v>
      </c>
      <c r="H665" s="2" t="s">
        <v>74</v>
      </c>
      <c r="I665" s="2" t="s">
        <v>7650</v>
      </c>
      <c r="J665" s="2" t="s">
        <v>6968</v>
      </c>
      <c r="K665" s="2" t="s">
        <v>74</v>
      </c>
      <c r="L665" s="2" t="s">
        <v>74</v>
      </c>
      <c r="M665" s="2" t="s">
        <v>74</v>
      </c>
      <c r="N665" s="2" t="s">
        <v>74</v>
      </c>
      <c r="O665" s="2" t="s">
        <v>74</v>
      </c>
      <c r="P665" s="2" t="s">
        <v>74</v>
      </c>
      <c r="Q665" s="2" t="s">
        <v>74</v>
      </c>
      <c r="R665" s="2" t="s">
        <v>74</v>
      </c>
      <c r="S665" s="2" t="s">
        <v>74</v>
      </c>
      <c r="T665" s="2" t="s">
        <v>74</v>
      </c>
      <c r="U665" s="2" t="s">
        <v>74</v>
      </c>
      <c r="V665" s="5" t="s">
        <v>7651</v>
      </c>
      <c r="W665" s="2" t="s">
        <v>74</v>
      </c>
      <c r="X665" s="2" t="s">
        <v>74</v>
      </c>
      <c r="Y665" s="2" t="s">
        <v>74</v>
      </c>
      <c r="Z665" s="2" t="s">
        <v>74</v>
      </c>
      <c r="AA665" s="2" t="s">
        <v>74</v>
      </c>
      <c r="AB665" s="2" t="s">
        <v>74</v>
      </c>
      <c r="AC665" s="2" t="s">
        <v>74</v>
      </c>
      <c r="AD665" s="2" t="s">
        <v>74</v>
      </c>
      <c r="AE665" s="2" t="s">
        <v>74</v>
      </c>
      <c r="AF665" s="2" t="s">
        <v>74</v>
      </c>
      <c r="AG665" s="2" t="s">
        <v>74</v>
      </c>
      <c r="AH665" s="2" t="s">
        <v>74</v>
      </c>
      <c r="AI665" s="2" t="s">
        <v>74</v>
      </c>
      <c r="AJ665" s="2" t="s">
        <v>74</v>
      </c>
      <c r="AK665" s="2" t="s">
        <v>74</v>
      </c>
      <c r="AL665" s="2" t="s">
        <v>74</v>
      </c>
      <c r="AM665" s="2" t="s">
        <v>74</v>
      </c>
      <c r="AN665" s="2" t="s">
        <v>74</v>
      </c>
      <c r="AO665" s="2" t="s">
        <v>6970</v>
      </c>
      <c r="AP665" s="2" t="s">
        <v>6971</v>
      </c>
      <c r="AQ665" s="2" t="s">
        <v>74</v>
      </c>
      <c r="AR665" s="2" t="s">
        <v>74</v>
      </c>
      <c r="AS665" s="2" t="s">
        <v>74</v>
      </c>
      <c r="AT665" s="2" t="s">
        <v>352</v>
      </c>
      <c r="AU665" s="2">
        <v>2021</v>
      </c>
      <c r="AV665" s="2">
        <v>21</v>
      </c>
      <c r="AW665" s="2">
        <v>3</v>
      </c>
      <c r="AX665" s="2" t="s">
        <v>74</v>
      </c>
      <c r="AY665" s="2" t="s">
        <v>74</v>
      </c>
      <c r="AZ665" s="2" t="s">
        <v>74</v>
      </c>
      <c r="BA665" s="2" t="s">
        <v>74</v>
      </c>
      <c r="BB665" s="2">
        <v>533</v>
      </c>
      <c r="BC665" s="2">
        <v>545</v>
      </c>
      <c r="BD665" s="2" t="s">
        <v>74</v>
      </c>
      <c r="BE665" s="2" t="s">
        <v>7652</v>
      </c>
      <c r="BF665" s="2" t="str">
        <f>HYPERLINK("http://dx.doi.org/10.1007/s13127-021-00498-9","http://dx.doi.org/10.1007/s13127-021-00498-9")</f>
        <v>http://dx.doi.org/10.1007/s13127-021-00498-9</v>
      </c>
      <c r="BG665" s="2" t="s">
        <v>74</v>
      </c>
      <c r="BH665" s="2" t="s">
        <v>224</v>
      </c>
      <c r="BI665" s="2" t="s">
        <v>74</v>
      </c>
      <c r="BJ665" s="2" t="s">
        <v>74</v>
      </c>
      <c r="BK665" s="2" t="s">
        <v>74</v>
      </c>
      <c r="BL665" s="2" t="s">
        <v>74</v>
      </c>
      <c r="BM665" s="2" t="s">
        <v>74</v>
      </c>
      <c r="BN665" s="2" t="s">
        <v>74</v>
      </c>
      <c r="BO665" s="2" t="s">
        <v>74</v>
      </c>
      <c r="BP665" s="2" t="s">
        <v>74</v>
      </c>
      <c r="BQ665" s="2" t="s">
        <v>74</v>
      </c>
      <c r="BR665" s="2" t="s">
        <v>74</v>
      </c>
      <c r="BS665" s="2" t="s">
        <v>7653</v>
      </c>
      <c r="BT665" s="2" t="str">
        <f>HYPERLINK("https%3A%2F%2Fwww.webofscience.com%2Fwos%2Fwoscc%2Ffull-record%2FWOS:000665705600001","View Full Record in Web of Science")</f>
        <v>View Full Record in Web of Science</v>
      </c>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row>
    <row r="666" spans="1:314" s="2" customFormat="1" x14ac:dyDescent="0.4">
      <c r="A666" s="2" t="s">
        <v>72</v>
      </c>
      <c r="B666" s="2" t="s">
        <v>8227</v>
      </c>
      <c r="C666" s="2" t="s">
        <v>74</v>
      </c>
      <c r="D666" s="2" t="s">
        <v>74</v>
      </c>
      <c r="E666" s="2" t="s">
        <v>74</v>
      </c>
      <c r="F666" s="2" t="s">
        <v>8228</v>
      </c>
      <c r="G666" s="2" t="s">
        <v>74</v>
      </c>
      <c r="H666" s="2" t="s">
        <v>74</v>
      </c>
      <c r="I666" s="2" t="s">
        <v>8229</v>
      </c>
      <c r="J666" s="2" t="s">
        <v>8230</v>
      </c>
      <c r="K666" s="2" t="s">
        <v>74</v>
      </c>
      <c r="L666" s="2" t="s">
        <v>74</v>
      </c>
      <c r="M666" s="2" t="s">
        <v>74</v>
      </c>
      <c r="N666" s="2" t="s">
        <v>74</v>
      </c>
      <c r="O666" s="2" t="s">
        <v>74</v>
      </c>
      <c r="P666" s="2" t="s">
        <v>74</v>
      </c>
      <c r="Q666" s="2" t="s">
        <v>74</v>
      </c>
      <c r="R666" s="2" t="s">
        <v>74</v>
      </c>
      <c r="S666" s="2" t="s">
        <v>74</v>
      </c>
      <c r="T666" s="2" t="s">
        <v>74</v>
      </c>
      <c r="U666" s="2" t="s">
        <v>74</v>
      </c>
      <c r="V666" s="5" t="s">
        <v>8231</v>
      </c>
      <c r="W666" s="2" t="s">
        <v>74</v>
      </c>
      <c r="X666" s="2" t="s">
        <v>74</v>
      </c>
      <c r="Y666" s="2" t="s">
        <v>74</v>
      </c>
      <c r="Z666" s="2" t="s">
        <v>74</v>
      </c>
      <c r="AA666" s="2" t="s">
        <v>74</v>
      </c>
      <c r="AB666" s="2" t="s">
        <v>8232</v>
      </c>
      <c r="AC666" s="2" t="s">
        <v>74</v>
      </c>
      <c r="AD666" s="2" t="s">
        <v>74</v>
      </c>
      <c r="AE666" s="2" t="s">
        <v>74</v>
      </c>
      <c r="AF666" s="2" t="s">
        <v>74</v>
      </c>
      <c r="AG666" s="2" t="s">
        <v>74</v>
      </c>
      <c r="AH666" s="2" t="s">
        <v>74</v>
      </c>
      <c r="AI666" s="2" t="s">
        <v>74</v>
      </c>
      <c r="AJ666" s="2" t="s">
        <v>74</v>
      </c>
      <c r="AK666" s="2" t="s">
        <v>74</v>
      </c>
      <c r="AL666" s="2" t="s">
        <v>74</v>
      </c>
      <c r="AM666" s="2" t="s">
        <v>74</v>
      </c>
      <c r="AN666" s="2" t="s">
        <v>74</v>
      </c>
      <c r="AO666" s="2" t="s">
        <v>8233</v>
      </c>
      <c r="AP666" s="2" t="s">
        <v>8234</v>
      </c>
      <c r="AQ666" s="2" t="s">
        <v>74</v>
      </c>
      <c r="AR666" s="2" t="s">
        <v>74</v>
      </c>
      <c r="AS666" s="2" t="s">
        <v>74</v>
      </c>
      <c r="AT666" s="2" t="s">
        <v>204</v>
      </c>
      <c r="AU666" s="2">
        <v>2010</v>
      </c>
      <c r="AV666" s="2">
        <v>23</v>
      </c>
      <c r="AW666" s="2">
        <v>7</v>
      </c>
      <c r="AX666" s="2" t="s">
        <v>74</v>
      </c>
      <c r="AY666" s="2" t="s">
        <v>74</v>
      </c>
      <c r="AZ666" s="2" t="s">
        <v>74</v>
      </c>
      <c r="BA666" s="2" t="s">
        <v>74</v>
      </c>
      <c r="BB666" s="2">
        <v>952</v>
      </c>
      <c r="BC666" s="2">
        <v>959</v>
      </c>
      <c r="BD666" s="2" t="s">
        <v>74</v>
      </c>
      <c r="BE666" s="2" t="s">
        <v>8235</v>
      </c>
      <c r="BF666" s="2" t="str">
        <f>HYPERLINK("http://dx.doi.org/10.5713/ajas.2010.90276","http://dx.doi.org/10.5713/ajas.2010.90276")</f>
        <v>http://dx.doi.org/10.5713/ajas.2010.90276</v>
      </c>
      <c r="BG666" s="2" t="s">
        <v>74</v>
      </c>
      <c r="BH666" s="2" t="s">
        <v>74</v>
      </c>
      <c r="BI666" s="2" t="s">
        <v>74</v>
      </c>
      <c r="BJ666" s="2" t="s">
        <v>74</v>
      </c>
      <c r="BK666" s="2" t="s">
        <v>74</v>
      </c>
      <c r="BL666" s="2" t="s">
        <v>74</v>
      </c>
      <c r="BM666" s="2" t="s">
        <v>74</v>
      </c>
      <c r="BN666" s="2" t="s">
        <v>74</v>
      </c>
      <c r="BO666" s="2" t="s">
        <v>74</v>
      </c>
      <c r="BP666" s="2" t="s">
        <v>74</v>
      </c>
      <c r="BQ666" s="2" t="s">
        <v>74</v>
      </c>
      <c r="BR666" s="2" t="s">
        <v>74</v>
      </c>
      <c r="BS666" s="2" t="s">
        <v>8236</v>
      </c>
      <c r="BT666" s="2" t="str">
        <f>HYPERLINK("https%3A%2F%2Fwww.webofscience.com%2Fwos%2Fwoscc%2Ffull-record%2FWOS:000279576700016","View Full Record in Web of Science")</f>
        <v>View Full Record in Web of Science</v>
      </c>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row>
    <row r="667" spans="1:314" s="2" customFormat="1" x14ac:dyDescent="0.4">
      <c r="A667" s="2" t="s">
        <v>72</v>
      </c>
      <c r="B667" s="2" t="s">
        <v>6510</v>
      </c>
      <c r="C667" s="2" t="s">
        <v>74</v>
      </c>
      <c r="D667" s="2" t="s">
        <v>74</v>
      </c>
      <c r="E667" s="2" t="s">
        <v>74</v>
      </c>
      <c r="F667" s="2" t="s">
        <v>6511</v>
      </c>
      <c r="G667" s="2" t="s">
        <v>74</v>
      </c>
      <c r="H667" s="2" t="s">
        <v>74</v>
      </c>
      <c r="I667" s="2" t="s">
        <v>6512</v>
      </c>
      <c r="J667" s="2" t="s">
        <v>6513</v>
      </c>
      <c r="K667" s="2" t="s">
        <v>74</v>
      </c>
      <c r="L667" s="2" t="s">
        <v>74</v>
      </c>
      <c r="M667" s="2" t="s">
        <v>74</v>
      </c>
      <c r="N667" s="2" t="s">
        <v>74</v>
      </c>
      <c r="O667" s="2" t="s">
        <v>74</v>
      </c>
      <c r="P667" s="2" t="s">
        <v>74</v>
      </c>
      <c r="Q667" s="2" t="s">
        <v>74</v>
      </c>
      <c r="R667" s="2" t="s">
        <v>74</v>
      </c>
      <c r="S667" s="2" t="s">
        <v>74</v>
      </c>
      <c r="T667" s="2" t="s">
        <v>74</v>
      </c>
      <c r="U667" s="2" t="s">
        <v>74</v>
      </c>
      <c r="V667" s="5" t="s">
        <v>6514</v>
      </c>
      <c r="W667" s="2" t="s">
        <v>74</v>
      </c>
      <c r="X667" s="2" t="s">
        <v>74</v>
      </c>
      <c r="Y667" s="2" t="s">
        <v>74</v>
      </c>
      <c r="Z667" s="2" t="s">
        <v>74</v>
      </c>
      <c r="AA667" s="2" t="s">
        <v>6515</v>
      </c>
      <c r="AB667" s="2" t="s">
        <v>6516</v>
      </c>
      <c r="AC667" s="2" t="s">
        <v>74</v>
      </c>
      <c r="AD667" s="2" t="s">
        <v>74</v>
      </c>
      <c r="AE667" s="2" t="s">
        <v>74</v>
      </c>
      <c r="AF667" s="2" t="s">
        <v>74</v>
      </c>
      <c r="AG667" s="2" t="s">
        <v>74</v>
      </c>
      <c r="AH667" s="2" t="s">
        <v>74</v>
      </c>
      <c r="AI667" s="2" t="s">
        <v>74</v>
      </c>
      <c r="AJ667" s="2" t="s">
        <v>74</v>
      </c>
      <c r="AK667" s="2" t="s">
        <v>74</v>
      </c>
      <c r="AL667" s="2" t="s">
        <v>74</v>
      </c>
      <c r="AM667" s="2" t="s">
        <v>74</v>
      </c>
      <c r="AN667" s="2" t="s">
        <v>74</v>
      </c>
      <c r="AO667" s="2" t="s">
        <v>74</v>
      </c>
      <c r="AP667" s="2" t="s">
        <v>6517</v>
      </c>
      <c r="AQ667" s="2" t="s">
        <v>74</v>
      </c>
      <c r="AR667" s="2" t="s">
        <v>74</v>
      </c>
      <c r="AS667" s="2" t="s">
        <v>74</v>
      </c>
      <c r="AT667" s="2" t="s">
        <v>352</v>
      </c>
      <c r="AU667" s="2">
        <v>2022</v>
      </c>
      <c r="AV667" s="2">
        <v>4</v>
      </c>
      <c r="AW667" s="2">
        <v>5</v>
      </c>
      <c r="AX667" s="2" t="s">
        <v>74</v>
      </c>
      <c r="AY667" s="2" t="s">
        <v>74</v>
      </c>
      <c r="AZ667" s="2" t="s">
        <v>74</v>
      </c>
      <c r="BA667" s="2" t="s">
        <v>74</v>
      </c>
      <c r="BB667" s="2">
        <v>499</v>
      </c>
      <c r="BC667" s="2">
        <v>510</v>
      </c>
      <c r="BD667" s="2" t="s">
        <v>74</v>
      </c>
      <c r="BE667" s="2" t="s">
        <v>6518</v>
      </c>
      <c r="BF667" s="2" t="str">
        <f>HYPERLINK("http://dx.doi.org/10.1002/ppp3.10286","http://dx.doi.org/10.1002/ppp3.10286")</f>
        <v>http://dx.doi.org/10.1002/ppp3.10286</v>
      </c>
      <c r="BG667" s="2" t="s">
        <v>74</v>
      </c>
      <c r="BH667" s="2" t="s">
        <v>2832</v>
      </c>
      <c r="BI667" s="2" t="s">
        <v>74</v>
      </c>
      <c r="BJ667" s="2" t="s">
        <v>74</v>
      </c>
      <c r="BK667" s="2" t="s">
        <v>74</v>
      </c>
      <c r="BL667" s="2" t="s">
        <v>74</v>
      </c>
      <c r="BM667" s="2" t="s">
        <v>74</v>
      </c>
      <c r="BN667" s="2" t="s">
        <v>74</v>
      </c>
      <c r="BO667" s="2" t="s">
        <v>74</v>
      </c>
      <c r="BP667" s="2" t="s">
        <v>74</v>
      </c>
      <c r="BQ667" s="2" t="s">
        <v>74</v>
      </c>
      <c r="BR667" s="2" t="s">
        <v>74</v>
      </c>
      <c r="BS667" s="2" t="s">
        <v>6519</v>
      </c>
      <c r="BT667" s="2" t="str">
        <f>HYPERLINK("https%3A%2F%2Fwww.webofscience.com%2Fwos%2Fwoscc%2Ffull-record%2FWOS:000820245800001","View Full Record in Web of Science")</f>
        <v>View Full Record in Web of Science</v>
      </c>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row>
    <row r="668" spans="1:314" s="2" customFormat="1" x14ac:dyDescent="0.4">
      <c r="A668" s="2" t="s">
        <v>72</v>
      </c>
      <c r="B668" s="2" t="s">
        <v>6150</v>
      </c>
      <c r="C668" s="2" t="s">
        <v>74</v>
      </c>
      <c r="D668" s="2" t="s">
        <v>74</v>
      </c>
      <c r="E668" s="2" t="s">
        <v>74</v>
      </c>
      <c r="F668" s="2" t="s">
        <v>6150</v>
      </c>
      <c r="G668" s="2" t="s">
        <v>74</v>
      </c>
      <c r="H668" s="2" t="s">
        <v>74</v>
      </c>
      <c r="I668" s="2" t="s">
        <v>6151</v>
      </c>
      <c r="J668" s="2" t="s">
        <v>6152</v>
      </c>
      <c r="K668" s="2" t="s">
        <v>74</v>
      </c>
      <c r="L668" s="2" t="s">
        <v>74</v>
      </c>
      <c r="M668" s="2" t="s">
        <v>74</v>
      </c>
      <c r="N668" s="2" t="s">
        <v>74</v>
      </c>
      <c r="O668" s="2" t="s">
        <v>74</v>
      </c>
      <c r="P668" s="2" t="s">
        <v>74</v>
      </c>
      <c r="Q668" s="2" t="s">
        <v>74</v>
      </c>
      <c r="R668" s="2" t="s">
        <v>74</v>
      </c>
      <c r="S668" s="2" t="s">
        <v>74</v>
      </c>
      <c r="T668" s="2" t="s">
        <v>74</v>
      </c>
      <c r="U668" s="2" t="s">
        <v>74</v>
      </c>
      <c r="V668" s="5" t="s">
        <v>6153</v>
      </c>
      <c r="W668" s="2" t="s">
        <v>74</v>
      </c>
      <c r="X668" s="2" t="s">
        <v>74</v>
      </c>
      <c r="Y668" s="2" t="s">
        <v>74</v>
      </c>
      <c r="Z668" s="2" t="s">
        <v>74</v>
      </c>
      <c r="AA668" s="2" t="s">
        <v>6154</v>
      </c>
      <c r="AB668" s="2" t="s">
        <v>6155</v>
      </c>
      <c r="AC668" s="2" t="s">
        <v>74</v>
      </c>
      <c r="AD668" s="2" t="s">
        <v>74</v>
      </c>
      <c r="AE668" s="2" t="s">
        <v>74</v>
      </c>
      <c r="AF668" s="2" t="s">
        <v>74</v>
      </c>
      <c r="AG668" s="2" t="s">
        <v>74</v>
      </c>
      <c r="AH668" s="2" t="s">
        <v>74</v>
      </c>
      <c r="AI668" s="2" t="s">
        <v>74</v>
      </c>
      <c r="AJ668" s="2" t="s">
        <v>74</v>
      </c>
      <c r="AK668" s="2" t="s">
        <v>74</v>
      </c>
      <c r="AL668" s="2" t="s">
        <v>74</v>
      </c>
      <c r="AM668" s="2" t="s">
        <v>74</v>
      </c>
      <c r="AN668" s="2" t="s">
        <v>74</v>
      </c>
      <c r="AO668" s="2" t="s">
        <v>6156</v>
      </c>
      <c r="AP668" s="2" t="s">
        <v>6157</v>
      </c>
      <c r="AQ668" s="2" t="s">
        <v>74</v>
      </c>
      <c r="AR668" s="2" t="s">
        <v>74</v>
      </c>
      <c r="AS668" s="2" t="s">
        <v>74</v>
      </c>
      <c r="AT668" s="2" t="s">
        <v>74</v>
      </c>
      <c r="AU668" s="2">
        <v>1984</v>
      </c>
      <c r="AV668" s="2">
        <v>116</v>
      </c>
      <c r="AW668" s="2">
        <v>6</v>
      </c>
      <c r="AX668" s="2" t="s">
        <v>74</v>
      </c>
      <c r="AY668" s="2" t="s">
        <v>74</v>
      </c>
      <c r="AZ668" s="2" t="s">
        <v>74</v>
      </c>
      <c r="BA668" s="2" t="s">
        <v>74</v>
      </c>
      <c r="BB668" s="2">
        <v>827</v>
      </c>
      <c r="BC668" s="2">
        <v>840</v>
      </c>
      <c r="BD668" s="2" t="s">
        <v>74</v>
      </c>
      <c r="BE668" s="2" t="s">
        <v>6158</v>
      </c>
      <c r="BF668" s="2" t="str">
        <f>HYPERLINK("http://dx.doi.org/10.4039/Ent116827-6","http://dx.doi.org/10.4039/Ent116827-6")</f>
        <v>http://dx.doi.org/10.4039/Ent116827-6</v>
      </c>
      <c r="BG668" s="2" t="s">
        <v>74</v>
      </c>
      <c r="BH668" s="2" t="s">
        <v>74</v>
      </c>
      <c r="BI668" s="2" t="s">
        <v>74</v>
      </c>
      <c r="BJ668" s="2" t="s">
        <v>74</v>
      </c>
      <c r="BK668" s="2" t="s">
        <v>74</v>
      </c>
      <c r="BL668" s="2" t="s">
        <v>74</v>
      </c>
      <c r="BM668" s="2" t="s">
        <v>74</v>
      </c>
      <c r="BN668" s="2" t="s">
        <v>74</v>
      </c>
      <c r="BO668" s="2" t="s">
        <v>74</v>
      </c>
      <c r="BP668" s="2" t="s">
        <v>74</v>
      </c>
      <c r="BQ668" s="2" t="s">
        <v>74</v>
      </c>
      <c r="BR668" s="2" t="s">
        <v>74</v>
      </c>
      <c r="BS668" s="2" t="s">
        <v>6159</v>
      </c>
      <c r="BT668" s="2" t="str">
        <f>HYPERLINK("https%3A%2F%2Fwww.webofscience.com%2Fwos%2Fwoscc%2Ffull-record%2FWOS:A1984SW69600006","View Full Record in Web of Science")</f>
        <v>View Full Record in Web of Science</v>
      </c>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row>
    <row r="669" spans="1:314" s="2" customFormat="1" x14ac:dyDescent="0.4">
      <c r="A669" s="2" t="s">
        <v>72</v>
      </c>
      <c r="B669" s="2" t="s">
        <v>6019</v>
      </c>
      <c r="C669" s="2" t="s">
        <v>74</v>
      </c>
      <c r="D669" s="2" t="s">
        <v>74</v>
      </c>
      <c r="E669" s="2" t="s">
        <v>74</v>
      </c>
      <c r="F669" s="2" t="s">
        <v>6020</v>
      </c>
      <c r="G669" s="2" t="s">
        <v>74</v>
      </c>
      <c r="H669" s="2" t="s">
        <v>74</v>
      </c>
      <c r="I669" s="2" t="s">
        <v>6021</v>
      </c>
      <c r="J669" s="2" t="s">
        <v>129</v>
      </c>
      <c r="K669" s="2" t="s">
        <v>74</v>
      </c>
      <c r="L669" s="2" t="s">
        <v>74</v>
      </c>
      <c r="M669" s="2" t="s">
        <v>74</v>
      </c>
      <c r="N669" s="2" t="s">
        <v>74</v>
      </c>
      <c r="O669" s="2" t="s">
        <v>74</v>
      </c>
      <c r="P669" s="2" t="s">
        <v>74</v>
      </c>
      <c r="Q669" s="2" t="s">
        <v>74</v>
      </c>
      <c r="R669" s="2" t="s">
        <v>74</v>
      </c>
      <c r="S669" s="2" t="s">
        <v>74</v>
      </c>
      <c r="T669" s="2" t="s">
        <v>74</v>
      </c>
      <c r="U669" s="2" t="s">
        <v>74</v>
      </c>
      <c r="V669" s="5" t="s">
        <v>6022</v>
      </c>
      <c r="W669" s="2" t="s">
        <v>74</v>
      </c>
      <c r="X669" s="2" t="s">
        <v>74</v>
      </c>
      <c r="Y669" s="2" t="s">
        <v>74</v>
      </c>
      <c r="Z669" s="2" t="s">
        <v>74</v>
      </c>
      <c r="AA669" s="2" t="s">
        <v>74</v>
      </c>
      <c r="AB669" s="2" t="s">
        <v>74</v>
      </c>
      <c r="AC669" s="2" t="s">
        <v>74</v>
      </c>
      <c r="AD669" s="2" t="s">
        <v>74</v>
      </c>
      <c r="AE669" s="2" t="s">
        <v>74</v>
      </c>
      <c r="AF669" s="2" t="s">
        <v>74</v>
      </c>
      <c r="AG669" s="2" t="s">
        <v>74</v>
      </c>
      <c r="AH669" s="2" t="s">
        <v>74</v>
      </c>
      <c r="AI669" s="2" t="s">
        <v>74</v>
      </c>
      <c r="AJ669" s="2" t="s">
        <v>74</v>
      </c>
      <c r="AK669" s="2" t="s">
        <v>74</v>
      </c>
      <c r="AL669" s="2" t="s">
        <v>74</v>
      </c>
      <c r="AM669" s="2" t="s">
        <v>74</v>
      </c>
      <c r="AN669" s="2" t="s">
        <v>74</v>
      </c>
      <c r="AO669" s="2" t="s">
        <v>132</v>
      </c>
      <c r="AP669" s="2" t="s">
        <v>133</v>
      </c>
      <c r="AQ669" s="2" t="s">
        <v>74</v>
      </c>
      <c r="AR669" s="2" t="s">
        <v>74</v>
      </c>
      <c r="AS669" s="2" t="s">
        <v>74</v>
      </c>
      <c r="AT669" s="2" t="s">
        <v>102</v>
      </c>
      <c r="AU669" s="2">
        <v>2019</v>
      </c>
      <c r="AV669" s="2">
        <v>73</v>
      </c>
      <c r="AW669" s="2">
        <v>6</v>
      </c>
      <c r="AX669" s="2" t="s">
        <v>74</v>
      </c>
      <c r="AY669" s="2" t="s">
        <v>74</v>
      </c>
      <c r="AZ669" s="2" t="s">
        <v>74</v>
      </c>
      <c r="BA669" s="2" t="s">
        <v>74</v>
      </c>
      <c r="BB669" s="2" t="s">
        <v>74</v>
      </c>
      <c r="BC669" s="2" t="s">
        <v>74</v>
      </c>
      <c r="BD669" s="2">
        <v>83</v>
      </c>
      <c r="BE669" s="2" t="s">
        <v>6023</v>
      </c>
      <c r="BF669" s="2" t="str">
        <f>HYPERLINK("http://dx.doi.org/10.1007/s00265-019-2691-y","http://dx.doi.org/10.1007/s00265-019-2691-y")</f>
        <v>http://dx.doi.org/10.1007/s00265-019-2691-y</v>
      </c>
      <c r="BG669" s="2" t="s">
        <v>74</v>
      </c>
      <c r="BH669" s="2" t="s">
        <v>74</v>
      </c>
      <c r="BI669" s="2" t="s">
        <v>74</v>
      </c>
      <c r="BJ669" s="2" t="s">
        <v>74</v>
      </c>
      <c r="BK669" s="2" t="s">
        <v>74</v>
      </c>
      <c r="BL669" s="2" t="s">
        <v>74</v>
      </c>
      <c r="BM669" s="2" t="s">
        <v>74</v>
      </c>
      <c r="BN669" s="2" t="s">
        <v>74</v>
      </c>
      <c r="BO669" s="2" t="s">
        <v>74</v>
      </c>
      <c r="BP669" s="2" t="s">
        <v>74</v>
      </c>
      <c r="BQ669" s="2" t="s">
        <v>74</v>
      </c>
      <c r="BR669" s="2" t="s">
        <v>74</v>
      </c>
      <c r="BS669" s="2" t="s">
        <v>6024</v>
      </c>
      <c r="BT669" s="2" t="str">
        <f>HYPERLINK("https%3A%2F%2Fwww.webofscience.com%2Fwos%2Fwoscc%2Ffull-record%2FWOS:000469197100001","View Full Record in Web of Science")</f>
        <v>View Full Record in Web of Science</v>
      </c>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row>
    <row r="670" spans="1:314" s="2" customFormat="1" x14ac:dyDescent="0.4">
      <c r="A670" s="2" t="s">
        <v>72</v>
      </c>
      <c r="B670" s="2" t="s">
        <v>1728</v>
      </c>
      <c r="C670" s="2" t="s">
        <v>74</v>
      </c>
      <c r="D670" s="2" t="s">
        <v>74</v>
      </c>
      <c r="E670" s="2" t="s">
        <v>74</v>
      </c>
      <c r="F670" s="2" t="s">
        <v>1729</v>
      </c>
      <c r="G670" s="2" t="s">
        <v>74</v>
      </c>
      <c r="H670" s="2" t="s">
        <v>74</v>
      </c>
      <c r="I670" s="2" t="s">
        <v>1730</v>
      </c>
      <c r="J670" s="2" t="s">
        <v>129</v>
      </c>
      <c r="K670" s="2" t="s">
        <v>74</v>
      </c>
      <c r="L670" s="2" t="s">
        <v>74</v>
      </c>
      <c r="M670" s="2" t="s">
        <v>74</v>
      </c>
      <c r="N670" s="2" t="s">
        <v>74</v>
      </c>
      <c r="O670" s="2" t="s">
        <v>74</v>
      </c>
      <c r="P670" s="2" t="s">
        <v>74</v>
      </c>
      <c r="Q670" s="2" t="s">
        <v>74</v>
      </c>
      <c r="R670" s="2" t="s">
        <v>74</v>
      </c>
      <c r="S670" s="2" t="s">
        <v>74</v>
      </c>
      <c r="T670" s="2" t="s">
        <v>74</v>
      </c>
      <c r="U670" s="2" t="s">
        <v>74</v>
      </c>
      <c r="V670" s="5" t="s">
        <v>1731</v>
      </c>
      <c r="W670" s="2" t="s">
        <v>74</v>
      </c>
      <c r="X670" s="2" t="s">
        <v>74</v>
      </c>
      <c r="Y670" s="2" t="s">
        <v>74</v>
      </c>
      <c r="Z670" s="2" t="s">
        <v>74</v>
      </c>
      <c r="AA670" s="2" t="s">
        <v>1011</v>
      </c>
      <c r="AB670" s="2" t="s">
        <v>1012</v>
      </c>
      <c r="AC670" s="2" t="s">
        <v>74</v>
      </c>
      <c r="AD670" s="2" t="s">
        <v>74</v>
      </c>
      <c r="AE670" s="2" t="s">
        <v>74</v>
      </c>
      <c r="AF670" s="2" t="s">
        <v>74</v>
      </c>
      <c r="AG670" s="2" t="s">
        <v>74</v>
      </c>
      <c r="AH670" s="2" t="s">
        <v>74</v>
      </c>
      <c r="AI670" s="2" t="s">
        <v>74</v>
      </c>
      <c r="AJ670" s="2" t="s">
        <v>74</v>
      </c>
      <c r="AK670" s="2" t="s">
        <v>74</v>
      </c>
      <c r="AL670" s="2" t="s">
        <v>74</v>
      </c>
      <c r="AM670" s="2" t="s">
        <v>74</v>
      </c>
      <c r="AN670" s="2" t="s">
        <v>74</v>
      </c>
      <c r="AO670" s="2" t="s">
        <v>132</v>
      </c>
      <c r="AP670" s="2" t="s">
        <v>133</v>
      </c>
      <c r="AQ670" s="2" t="s">
        <v>74</v>
      </c>
      <c r="AR670" s="2" t="s">
        <v>74</v>
      </c>
      <c r="AS670" s="2" t="s">
        <v>74</v>
      </c>
      <c r="AT670" s="2" t="s">
        <v>102</v>
      </c>
      <c r="AU670" s="2">
        <v>2014</v>
      </c>
      <c r="AV670" s="2">
        <v>68</v>
      </c>
      <c r="AW670" s="2">
        <v>6</v>
      </c>
      <c r="AX670" s="2" t="s">
        <v>74</v>
      </c>
      <c r="AY670" s="2" t="s">
        <v>74</v>
      </c>
      <c r="AZ670" s="2" t="s">
        <v>74</v>
      </c>
      <c r="BA670" s="2" t="s">
        <v>74</v>
      </c>
      <c r="BB670" s="2">
        <v>1007</v>
      </c>
      <c r="BC670" s="2">
        <v>1017</v>
      </c>
      <c r="BD670" s="2" t="s">
        <v>74</v>
      </c>
      <c r="BE670" s="2" t="s">
        <v>1732</v>
      </c>
      <c r="BF670" s="2" t="str">
        <f>HYPERLINK("http://dx.doi.org/10.1007/s00265-014-1713-z","http://dx.doi.org/10.1007/s00265-014-1713-z")</f>
        <v>http://dx.doi.org/10.1007/s00265-014-1713-z</v>
      </c>
      <c r="BG670" s="2" t="s">
        <v>74</v>
      </c>
      <c r="BH670" s="2" t="s">
        <v>74</v>
      </c>
      <c r="BI670" s="2" t="s">
        <v>74</v>
      </c>
      <c r="BJ670" s="2" t="s">
        <v>74</v>
      </c>
      <c r="BK670" s="2" t="s">
        <v>74</v>
      </c>
      <c r="BL670" s="2" t="s">
        <v>74</v>
      </c>
      <c r="BM670" s="2" t="s">
        <v>74</v>
      </c>
      <c r="BN670" s="2" t="s">
        <v>74</v>
      </c>
      <c r="BO670" s="2" t="s">
        <v>74</v>
      </c>
      <c r="BP670" s="2" t="s">
        <v>74</v>
      </c>
      <c r="BQ670" s="2" t="s">
        <v>74</v>
      </c>
      <c r="BR670" s="2" t="s">
        <v>74</v>
      </c>
      <c r="BS670" s="2" t="s">
        <v>1733</v>
      </c>
      <c r="BT670" s="2" t="str">
        <f>HYPERLINK("https%3A%2F%2Fwww.webofscience.com%2Fwos%2Fwoscc%2Ffull-record%2FWOS:000336022700013","View Full Record in Web of Science")</f>
        <v>View Full Record in Web of Science</v>
      </c>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row>
    <row r="671" spans="1:314" s="1" customFormat="1" x14ac:dyDescent="0.4">
      <c r="A671" s="2" t="s">
        <v>72</v>
      </c>
      <c r="B671" s="2" t="s">
        <v>3725</v>
      </c>
      <c r="C671" s="2" t="s">
        <v>74</v>
      </c>
      <c r="D671" s="2" t="s">
        <v>74</v>
      </c>
      <c r="E671" s="2" t="s">
        <v>74</v>
      </c>
      <c r="F671" s="2" t="s">
        <v>3726</v>
      </c>
      <c r="G671" s="2" t="s">
        <v>74</v>
      </c>
      <c r="H671" s="2" t="s">
        <v>74</v>
      </c>
      <c r="I671" s="2" t="s">
        <v>3727</v>
      </c>
      <c r="J671" s="2" t="s">
        <v>119</v>
      </c>
      <c r="K671" s="2" t="s">
        <v>74</v>
      </c>
      <c r="L671" s="2" t="s">
        <v>74</v>
      </c>
      <c r="M671" s="2" t="s">
        <v>74</v>
      </c>
      <c r="N671" s="2" t="s">
        <v>74</v>
      </c>
      <c r="O671" s="2" t="s">
        <v>74</v>
      </c>
      <c r="P671" s="2" t="s">
        <v>74</v>
      </c>
      <c r="Q671" s="2" t="s">
        <v>74</v>
      </c>
      <c r="R671" s="2" t="s">
        <v>74</v>
      </c>
      <c r="S671" s="2" t="s">
        <v>74</v>
      </c>
      <c r="T671" s="2" t="s">
        <v>74</v>
      </c>
      <c r="U671" s="2" t="s">
        <v>74</v>
      </c>
      <c r="V671" s="5" t="s">
        <v>3728</v>
      </c>
      <c r="W671" s="2" t="s">
        <v>74</v>
      </c>
      <c r="X671" s="2" t="s">
        <v>74</v>
      </c>
      <c r="Y671" s="2" t="s">
        <v>74</v>
      </c>
      <c r="Z671" s="2" t="s">
        <v>74</v>
      </c>
      <c r="AA671" s="2" t="s">
        <v>3729</v>
      </c>
      <c r="AB671" s="2" t="s">
        <v>3730</v>
      </c>
      <c r="AC671" s="2" t="s">
        <v>74</v>
      </c>
      <c r="AD671" s="2" t="s">
        <v>74</v>
      </c>
      <c r="AE671" s="2" t="s">
        <v>74</v>
      </c>
      <c r="AF671" s="2" t="s">
        <v>74</v>
      </c>
      <c r="AG671" s="2" t="s">
        <v>74</v>
      </c>
      <c r="AH671" s="2" t="s">
        <v>74</v>
      </c>
      <c r="AI671" s="2" t="s">
        <v>74</v>
      </c>
      <c r="AJ671" s="2" t="s">
        <v>74</v>
      </c>
      <c r="AK671" s="2" t="s">
        <v>74</v>
      </c>
      <c r="AL671" s="2" t="s">
        <v>74</v>
      </c>
      <c r="AM671" s="2" t="s">
        <v>74</v>
      </c>
      <c r="AN671" s="2" t="s">
        <v>74</v>
      </c>
      <c r="AO671" s="2" t="s">
        <v>121</v>
      </c>
      <c r="AP671" s="2" t="s">
        <v>122</v>
      </c>
      <c r="AQ671" s="2" t="s">
        <v>74</v>
      </c>
      <c r="AR671" s="2" t="s">
        <v>74</v>
      </c>
      <c r="AS671" s="2" t="s">
        <v>74</v>
      </c>
      <c r="AT671" s="2" t="s">
        <v>175</v>
      </c>
      <c r="AU671" s="2">
        <v>2016</v>
      </c>
      <c r="AV671" s="2">
        <v>131</v>
      </c>
      <c r="AW671" s="2" t="s">
        <v>74</v>
      </c>
      <c r="AX671" s="2" t="s">
        <v>74</v>
      </c>
      <c r="AY671" s="2" t="s">
        <v>74</v>
      </c>
      <c r="AZ671" s="2" t="s">
        <v>74</v>
      </c>
      <c r="BA671" s="2" t="s">
        <v>74</v>
      </c>
      <c r="BB671" s="2">
        <v>59</v>
      </c>
      <c r="BC671" s="2">
        <v>67</v>
      </c>
      <c r="BD671" s="2" t="s">
        <v>74</v>
      </c>
      <c r="BE671" s="2" t="s">
        <v>3731</v>
      </c>
      <c r="BF671" s="2" t="str">
        <f>HYPERLINK("http://dx.doi.org/10.1016/j.beproc.2016.08.010","http://dx.doi.org/10.1016/j.beproc.2016.08.010")</f>
        <v>http://dx.doi.org/10.1016/j.beproc.2016.08.010</v>
      </c>
      <c r="BG671" s="2" t="s">
        <v>74</v>
      </c>
      <c r="BH671" s="2" t="s">
        <v>74</v>
      </c>
      <c r="BI671" s="2" t="s">
        <v>74</v>
      </c>
      <c r="BJ671" s="2" t="s">
        <v>74</v>
      </c>
      <c r="BK671" s="2" t="s">
        <v>74</v>
      </c>
      <c r="BL671" s="2" t="s">
        <v>74</v>
      </c>
      <c r="BM671" s="2" t="s">
        <v>74</v>
      </c>
      <c r="BN671" s="2">
        <v>27561967</v>
      </c>
      <c r="BO671" s="2" t="s">
        <v>74</v>
      </c>
      <c r="BP671" s="2" t="s">
        <v>74</v>
      </c>
      <c r="BQ671" s="2" t="s">
        <v>74</v>
      </c>
      <c r="BR671" s="2" t="s">
        <v>74</v>
      </c>
      <c r="BS671" s="2" t="s">
        <v>3732</v>
      </c>
      <c r="BT671" s="2" t="str">
        <f>HYPERLINK("https%3A%2F%2Fwww.webofscience.com%2Fwos%2Fwoscc%2Ffull-record%2FWOS:000384383500009","View Full Record in Web of Science")</f>
        <v>View Full Record in Web of Science</v>
      </c>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row>
    <row r="672" spans="1:314" s="2" customFormat="1" x14ac:dyDescent="0.4">
      <c r="A672" s="2" t="s">
        <v>72</v>
      </c>
      <c r="B672" s="2" t="s">
        <v>1393</v>
      </c>
      <c r="C672" s="2" t="s">
        <v>74</v>
      </c>
      <c r="D672" s="2" t="s">
        <v>74</v>
      </c>
      <c r="E672" s="2" t="s">
        <v>74</v>
      </c>
      <c r="F672" s="2" t="s">
        <v>1394</v>
      </c>
      <c r="G672" s="2" t="s">
        <v>74</v>
      </c>
      <c r="H672" s="2" t="s">
        <v>74</v>
      </c>
      <c r="I672" s="2" t="s">
        <v>1395</v>
      </c>
      <c r="J672" s="2" t="s">
        <v>1396</v>
      </c>
      <c r="K672" s="2" t="s">
        <v>74</v>
      </c>
      <c r="L672" s="2" t="s">
        <v>74</v>
      </c>
      <c r="M672" s="2" t="s">
        <v>74</v>
      </c>
      <c r="N672" s="2" t="s">
        <v>74</v>
      </c>
      <c r="O672" s="2" t="s">
        <v>74</v>
      </c>
      <c r="P672" s="2" t="s">
        <v>74</v>
      </c>
      <c r="Q672" s="2" t="s">
        <v>74</v>
      </c>
      <c r="R672" s="2" t="s">
        <v>74</v>
      </c>
      <c r="S672" s="2" t="s">
        <v>74</v>
      </c>
      <c r="T672" s="2" t="s">
        <v>74</v>
      </c>
      <c r="U672" s="2" t="s">
        <v>74</v>
      </c>
      <c r="V672" s="5" t="s">
        <v>1397</v>
      </c>
      <c r="W672" s="2" t="s">
        <v>74</v>
      </c>
      <c r="X672" s="2" t="s">
        <v>74</v>
      </c>
      <c r="Y672" s="2" t="s">
        <v>74</v>
      </c>
      <c r="Z672" s="2" t="s">
        <v>74</v>
      </c>
      <c r="AA672" s="2" t="s">
        <v>1398</v>
      </c>
      <c r="AB672" s="2" t="s">
        <v>1399</v>
      </c>
      <c r="AC672" s="2" t="s">
        <v>74</v>
      </c>
      <c r="AD672" s="2" t="s">
        <v>74</v>
      </c>
      <c r="AE672" s="2" t="s">
        <v>74</v>
      </c>
      <c r="AF672" s="2" t="s">
        <v>74</v>
      </c>
      <c r="AG672" s="2" t="s">
        <v>74</v>
      </c>
      <c r="AH672" s="2" t="s">
        <v>74</v>
      </c>
      <c r="AI672" s="2" t="s">
        <v>74</v>
      </c>
      <c r="AJ672" s="2" t="s">
        <v>74</v>
      </c>
      <c r="AK672" s="2" t="s">
        <v>74</v>
      </c>
      <c r="AL672" s="2" t="s">
        <v>74</v>
      </c>
      <c r="AM672" s="2" t="s">
        <v>74</v>
      </c>
      <c r="AN672" s="2" t="s">
        <v>74</v>
      </c>
      <c r="AO672" s="2" t="s">
        <v>1400</v>
      </c>
      <c r="AP672" s="2" t="s">
        <v>74</v>
      </c>
      <c r="AQ672" s="2" t="s">
        <v>74</v>
      </c>
      <c r="AR672" s="2" t="s">
        <v>74</v>
      </c>
      <c r="AS672" s="2" t="s">
        <v>74</v>
      </c>
      <c r="AT672" s="2" t="s">
        <v>964</v>
      </c>
      <c r="AU672" s="2">
        <v>2013</v>
      </c>
      <c r="AV672" s="2">
        <v>51</v>
      </c>
      <c r="AW672" s="2">
        <v>1</v>
      </c>
      <c r="AX672" s="2" t="s">
        <v>74</v>
      </c>
      <c r="AY672" s="2" t="s">
        <v>74</v>
      </c>
      <c r="AZ672" s="2" t="s">
        <v>74</v>
      </c>
      <c r="BA672" s="2" t="s">
        <v>74</v>
      </c>
      <c r="BB672" s="2">
        <v>64</v>
      </c>
      <c r="BC672" s="2">
        <v>71</v>
      </c>
      <c r="BD672" s="2" t="s">
        <v>74</v>
      </c>
      <c r="BE672" s="2" t="s">
        <v>1401</v>
      </c>
      <c r="BF672" s="2" t="str">
        <f>HYPERLINK("http://dx.doi.org/10.1111/j.1439-0469.2012.00668.x","http://dx.doi.org/10.1111/j.1439-0469.2012.00668.x")</f>
        <v>http://dx.doi.org/10.1111/j.1439-0469.2012.00668.x</v>
      </c>
      <c r="BG672" s="2" t="s">
        <v>74</v>
      </c>
      <c r="BH672" s="2" t="s">
        <v>74</v>
      </c>
      <c r="BI672" s="2" t="s">
        <v>74</v>
      </c>
      <c r="BJ672" s="2" t="s">
        <v>74</v>
      </c>
      <c r="BK672" s="2" t="s">
        <v>74</v>
      </c>
      <c r="BL672" s="2" t="s">
        <v>74</v>
      </c>
      <c r="BM672" s="2" t="s">
        <v>74</v>
      </c>
      <c r="BN672" s="2" t="s">
        <v>74</v>
      </c>
      <c r="BO672" s="2" t="s">
        <v>74</v>
      </c>
      <c r="BP672" s="2" t="s">
        <v>74</v>
      </c>
      <c r="BQ672" s="2" t="s">
        <v>74</v>
      </c>
      <c r="BR672" s="2" t="s">
        <v>74</v>
      </c>
      <c r="BS672" s="2" t="s">
        <v>1402</v>
      </c>
      <c r="BT672" s="2" t="str">
        <f>HYPERLINK("https%3A%2F%2Fwww.webofscience.com%2Fwos%2Fwoscc%2Ffull-record%2FWOS:000313753400008","View Full Record in Web of Science")</f>
        <v>View Full Record in Web of Science</v>
      </c>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row>
    <row r="673" spans="1:314" s="2" customFormat="1" x14ac:dyDescent="0.4">
      <c r="A673" s="2" t="s">
        <v>72</v>
      </c>
      <c r="B673" s="2" t="s">
        <v>1393</v>
      </c>
      <c r="C673" s="2" t="s">
        <v>74</v>
      </c>
      <c r="D673" s="2" t="s">
        <v>74</v>
      </c>
      <c r="E673" s="2" t="s">
        <v>74</v>
      </c>
      <c r="F673" s="2" t="s">
        <v>1394</v>
      </c>
      <c r="G673" s="2" t="s">
        <v>74</v>
      </c>
      <c r="H673" s="2" t="s">
        <v>74</v>
      </c>
      <c r="I673" s="2" t="s">
        <v>1749</v>
      </c>
      <c r="J673" s="2" t="s">
        <v>140</v>
      </c>
      <c r="K673" s="2" t="s">
        <v>74</v>
      </c>
      <c r="L673" s="2" t="s">
        <v>74</v>
      </c>
      <c r="M673" s="2" t="s">
        <v>74</v>
      </c>
      <c r="N673" s="2" t="s">
        <v>74</v>
      </c>
      <c r="O673" s="2" t="s">
        <v>74</v>
      </c>
      <c r="P673" s="2" t="s">
        <v>74</v>
      </c>
      <c r="Q673" s="2" t="s">
        <v>74</v>
      </c>
      <c r="R673" s="2" t="s">
        <v>74</v>
      </c>
      <c r="S673" s="2" t="s">
        <v>74</v>
      </c>
      <c r="T673" s="2" t="s">
        <v>74</v>
      </c>
      <c r="U673" s="2" t="s">
        <v>74</v>
      </c>
      <c r="V673" s="5" t="s">
        <v>1750</v>
      </c>
      <c r="W673" s="2" t="s">
        <v>74</v>
      </c>
      <c r="X673" s="2" t="s">
        <v>74</v>
      </c>
      <c r="Y673" s="2" t="s">
        <v>74</v>
      </c>
      <c r="Z673" s="2" t="s">
        <v>74</v>
      </c>
      <c r="AA673" s="2" t="s">
        <v>1398</v>
      </c>
      <c r="AB673" s="2" t="s">
        <v>1399</v>
      </c>
      <c r="AC673" s="2" t="s">
        <v>74</v>
      </c>
      <c r="AD673" s="2" t="s">
        <v>74</v>
      </c>
      <c r="AE673" s="2" t="s">
        <v>74</v>
      </c>
      <c r="AF673" s="2" t="s">
        <v>74</v>
      </c>
      <c r="AG673" s="2" t="s">
        <v>74</v>
      </c>
      <c r="AH673" s="2" t="s">
        <v>74</v>
      </c>
      <c r="AI673" s="2" t="s">
        <v>74</v>
      </c>
      <c r="AJ673" s="2" t="s">
        <v>74</v>
      </c>
      <c r="AK673" s="2" t="s">
        <v>74</v>
      </c>
      <c r="AL673" s="2" t="s">
        <v>74</v>
      </c>
      <c r="AM673" s="2" t="s">
        <v>74</v>
      </c>
      <c r="AN673" s="2" t="s">
        <v>74</v>
      </c>
      <c r="AO673" s="2" t="s">
        <v>143</v>
      </c>
      <c r="AP673" s="2" t="s">
        <v>74</v>
      </c>
      <c r="AQ673" s="2" t="s">
        <v>74</v>
      </c>
      <c r="AR673" s="2" t="s">
        <v>74</v>
      </c>
      <c r="AS673" s="2" t="s">
        <v>74</v>
      </c>
      <c r="AT673" s="2" t="s">
        <v>134</v>
      </c>
      <c r="AU673" s="2">
        <v>2009</v>
      </c>
      <c r="AV673" s="2">
        <v>77</v>
      </c>
      <c r="AW673" s="2">
        <v>5</v>
      </c>
      <c r="AX673" s="2" t="s">
        <v>74</v>
      </c>
      <c r="AY673" s="2" t="s">
        <v>74</v>
      </c>
      <c r="AZ673" s="2" t="s">
        <v>74</v>
      </c>
      <c r="BA673" s="2" t="s">
        <v>74</v>
      </c>
      <c r="BB673" s="2">
        <v>1267</v>
      </c>
      <c r="BC673" s="2">
        <v>1272</v>
      </c>
      <c r="BD673" s="2" t="s">
        <v>74</v>
      </c>
      <c r="BE673" s="2" t="s">
        <v>1751</v>
      </c>
      <c r="BF673" s="2" t="str">
        <f>HYPERLINK("http://dx.doi.org/10.1016/j.anbehav.2009.01.031","http://dx.doi.org/10.1016/j.anbehav.2009.01.031")</f>
        <v>http://dx.doi.org/10.1016/j.anbehav.2009.01.031</v>
      </c>
      <c r="BG673" s="2" t="s">
        <v>74</v>
      </c>
      <c r="BH673" s="2" t="s">
        <v>74</v>
      </c>
      <c r="BI673" s="2" t="s">
        <v>74</v>
      </c>
      <c r="BJ673" s="2" t="s">
        <v>74</v>
      </c>
      <c r="BK673" s="2" t="s">
        <v>74</v>
      </c>
      <c r="BL673" s="2" t="s">
        <v>74</v>
      </c>
      <c r="BM673" s="2" t="s">
        <v>74</v>
      </c>
      <c r="BN673" s="2">
        <v>20161226</v>
      </c>
      <c r="BO673" s="2" t="s">
        <v>74</v>
      </c>
      <c r="BP673" s="2" t="s">
        <v>74</v>
      </c>
      <c r="BQ673" s="2" t="s">
        <v>74</v>
      </c>
      <c r="BR673" s="2" t="s">
        <v>74</v>
      </c>
      <c r="BS673" s="2" t="s">
        <v>1752</v>
      </c>
      <c r="BT673" s="2" t="str">
        <f>HYPERLINK("https%3A%2F%2Fwww.webofscience.com%2Fwos%2Fwoscc%2Ffull-record%2FWOS:000265283900036","View Full Record in Web of Science")</f>
        <v>View Full Record in Web of Science</v>
      </c>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row>
    <row r="674" spans="1:314" s="2" customFormat="1" x14ac:dyDescent="0.4">
      <c r="A674" s="2" t="s">
        <v>72</v>
      </c>
      <c r="B674" s="2" t="s">
        <v>1007</v>
      </c>
      <c r="C674" s="2" t="s">
        <v>74</v>
      </c>
      <c r="D674" s="2" t="s">
        <v>74</v>
      </c>
      <c r="E674" s="2" t="s">
        <v>74</v>
      </c>
      <c r="F674" s="2" t="s">
        <v>1008</v>
      </c>
      <c r="G674" s="2" t="s">
        <v>74</v>
      </c>
      <c r="H674" s="2" t="s">
        <v>74</v>
      </c>
      <c r="I674" s="2" t="s">
        <v>1009</v>
      </c>
      <c r="J674" s="2" t="s">
        <v>333</v>
      </c>
      <c r="K674" s="2" t="s">
        <v>74</v>
      </c>
      <c r="L674" s="2" t="s">
        <v>74</v>
      </c>
      <c r="M674" s="2" t="s">
        <v>74</v>
      </c>
      <c r="N674" s="2" t="s">
        <v>74</v>
      </c>
      <c r="O674" s="2" t="s">
        <v>74</v>
      </c>
      <c r="P674" s="2" t="s">
        <v>74</v>
      </c>
      <c r="Q674" s="2" t="s">
        <v>74</v>
      </c>
      <c r="R674" s="2" t="s">
        <v>74</v>
      </c>
      <c r="S674" s="2" t="s">
        <v>74</v>
      </c>
      <c r="T674" s="2" t="s">
        <v>74</v>
      </c>
      <c r="U674" s="2" t="s">
        <v>74</v>
      </c>
      <c r="V674" s="5" t="s">
        <v>1010</v>
      </c>
      <c r="W674" s="2" t="s">
        <v>74</v>
      </c>
      <c r="X674" s="2" t="s">
        <v>74</v>
      </c>
      <c r="Y674" s="2" t="s">
        <v>74</v>
      </c>
      <c r="Z674" s="2" t="s">
        <v>74</v>
      </c>
      <c r="AA674" s="2" t="s">
        <v>1011</v>
      </c>
      <c r="AB674" s="2" t="s">
        <v>1012</v>
      </c>
      <c r="AC674" s="2" t="s">
        <v>74</v>
      </c>
      <c r="AD674" s="2" t="s">
        <v>74</v>
      </c>
      <c r="AE674" s="2" t="s">
        <v>74</v>
      </c>
      <c r="AF674" s="2" t="s">
        <v>74</v>
      </c>
      <c r="AG674" s="2" t="s">
        <v>74</v>
      </c>
      <c r="AH674" s="2" t="s">
        <v>74</v>
      </c>
      <c r="AI674" s="2" t="s">
        <v>74</v>
      </c>
      <c r="AJ674" s="2" t="s">
        <v>74</v>
      </c>
      <c r="AK674" s="2" t="s">
        <v>74</v>
      </c>
      <c r="AL674" s="2" t="s">
        <v>74</v>
      </c>
      <c r="AM674" s="2" t="s">
        <v>74</v>
      </c>
      <c r="AN674" s="2" t="s">
        <v>74</v>
      </c>
      <c r="AO674" s="2" t="s">
        <v>337</v>
      </c>
      <c r="AP674" s="2" t="s">
        <v>338</v>
      </c>
      <c r="AQ674" s="2" t="s">
        <v>74</v>
      </c>
      <c r="AR674" s="2" t="s">
        <v>74</v>
      </c>
      <c r="AS674" s="2" t="s">
        <v>74</v>
      </c>
      <c r="AT674" s="2" t="s">
        <v>1013</v>
      </c>
      <c r="AU674" s="2">
        <v>2018</v>
      </c>
      <c r="AV674" s="2">
        <v>29</v>
      </c>
      <c r="AW674" s="2">
        <v>5</v>
      </c>
      <c r="AX674" s="2" t="s">
        <v>74</v>
      </c>
      <c r="AY674" s="2" t="s">
        <v>74</v>
      </c>
      <c r="AZ674" s="2" t="s">
        <v>74</v>
      </c>
      <c r="BA674" s="2" t="s">
        <v>74</v>
      </c>
      <c r="BB674" s="2">
        <v>1075</v>
      </c>
      <c r="BC674" s="2">
        <v>1087</v>
      </c>
      <c r="BD674" s="2" t="s">
        <v>74</v>
      </c>
      <c r="BE674" s="2" t="s">
        <v>1014</v>
      </c>
      <c r="BF674" s="2" t="str">
        <f>HYPERLINK("http://dx.doi.org/10.1093/beheco/ary076","http://dx.doi.org/10.1093/beheco/ary076")</f>
        <v>http://dx.doi.org/10.1093/beheco/ary076</v>
      </c>
      <c r="BG674" s="2" t="s">
        <v>74</v>
      </c>
      <c r="BH674" s="2" t="s">
        <v>74</v>
      </c>
      <c r="BI674" s="2" t="s">
        <v>74</v>
      </c>
      <c r="BJ674" s="2" t="s">
        <v>74</v>
      </c>
      <c r="BK674" s="2" t="s">
        <v>74</v>
      </c>
      <c r="BL674" s="2" t="s">
        <v>74</v>
      </c>
      <c r="BM674" s="2" t="s">
        <v>74</v>
      </c>
      <c r="BN674" s="2" t="s">
        <v>74</v>
      </c>
      <c r="BO674" s="2" t="s">
        <v>74</v>
      </c>
      <c r="BP674" s="2" t="s">
        <v>74</v>
      </c>
      <c r="BQ674" s="2" t="s">
        <v>74</v>
      </c>
      <c r="BR674" s="2" t="s">
        <v>74</v>
      </c>
      <c r="BS674" s="2" t="s">
        <v>1015</v>
      </c>
      <c r="BT674" s="2" t="str">
        <f>HYPERLINK("https%3A%2F%2Fwww.webofscience.com%2Fwos%2Fwoscc%2Ffull-record%2FWOS:000444301900027","View Full Record in Web of Science")</f>
        <v>View Full Record in Web of Science</v>
      </c>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row>
    <row r="675" spans="1:314" s="2" customFormat="1" x14ac:dyDescent="0.4">
      <c r="A675" s="2" t="s">
        <v>72</v>
      </c>
      <c r="B675" s="2" t="s">
        <v>1007</v>
      </c>
      <c r="C675" s="2" t="s">
        <v>74</v>
      </c>
      <c r="D675" s="2" t="s">
        <v>74</v>
      </c>
      <c r="E675" s="2" t="s">
        <v>74</v>
      </c>
      <c r="F675" s="2" t="s">
        <v>1008</v>
      </c>
      <c r="G675" s="2" t="s">
        <v>74</v>
      </c>
      <c r="H675" s="2" t="s">
        <v>74</v>
      </c>
      <c r="I675" s="2" t="s">
        <v>2285</v>
      </c>
      <c r="J675" s="2" t="s">
        <v>108</v>
      </c>
      <c r="K675" s="2" t="s">
        <v>74</v>
      </c>
      <c r="L675" s="2" t="s">
        <v>74</v>
      </c>
      <c r="M675" s="2" t="s">
        <v>74</v>
      </c>
      <c r="N675" s="2" t="s">
        <v>74</v>
      </c>
      <c r="O675" s="2" t="s">
        <v>74</v>
      </c>
      <c r="P675" s="2" t="s">
        <v>74</v>
      </c>
      <c r="Q675" s="2" t="s">
        <v>74</v>
      </c>
      <c r="R675" s="2" t="s">
        <v>74</v>
      </c>
      <c r="S675" s="2" t="s">
        <v>74</v>
      </c>
      <c r="T675" s="2" t="s">
        <v>74</v>
      </c>
      <c r="U675" s="2" t="s">
        <v>74</v>
      </c>
      <c r="V675" s="5" t="s">
        <v>2286</v>
      </c>
      <c r="W675" s="2" t="s">
        <v>74</v>
      </c>
      <c r="X675" s="2" t="s">
        <v>74</v>
      </c>
      <c r="Y675" s="2" t="s">
        <v>74</v>
      </c>
      <c r="Z675" s="2" t="s">
        <v>74</v>
      </c>
      <c r="AA675" s="2" t="s">
        <v>1011</v>
      </c>
      <c r="AB675" s="2" t="s">
        <v>1012</v>
      </c>
      <c r="AC675" s="2" t="s">
        <v>74</v>
      </c>
      <c r="AD675" s="2" t="s">
        <v>74</v>
      </c>
      <c r="AE675" s="2" t="s">
        <v>74</v>
      </c>
      <c r="AF675" s="2" t="s">
        <v>74</v>
      </c>
      <c r="AG675" s="2" t="s">
        <v>74</v>
      </c>
      <c r="AH675" s="2" t="s">
        <v>74</v>
      </c>
      <c r="AI675" s="2" t="s">
        <v>74</v>
      </c>
      <c r="AJ675" s="2" t="s">
        <v>74</v>
      </c>
      <c r="AK675" s="2" t="s">
        <v>74</v>
      </c>
      <c r="AL675" s="2" t="s">
        <v>74</v>
      </c>
      <c r="AM675" s="2" t="s">
        <v>74</v>
      </c>
      <c r="AN675" s="2" t="s">
        <v>74</v>
      </c>
      <c r="AO675" s="2" t="s">
        <v>111</v>
      </c>
      <c r="AP675" s="2" t="s">
        <v>112</v>
      </c>
      <c r="AQ675" s="2" t="s">
        <v>74</v>
      </c>
      <c r="AR675" s="2" t="s">
        <v>74</v>
      </c>
      <c r="AS675" s="2" t="s">
        <v>74</v>
      </c>
      <c r="AT675" s="2" t="s">
        <v>2287</v>
      </c>
      <c r="AU675" s="2">
        <v>2016</v>
      </c>
      <c r="AV675" s="2">
        <v>283</v>
      </c>
      <c r="AW675" s="2">
        <v>1841</v>
      </c>
      <c r="AX675" s="2" t="s">
        <v>74</v>
      </c>
      <c r="AY675" s="2" t="s">
        <v>74</v>
      </c>
      <c r="AZ675" s="2" t="s">
        <v>74</v>
      </c>
      <c r="BA675" s="2" t="s">
        <v>74</v>
      </c>
      <c r="BB675" s="2" t="s">
        <v>74</v>
      </c>
      <c r="BC675" s="2" t="s">
        <v>74</v>
      </c>
      <c r="BD675" s="2">
        <v>20161873</v>
      </c>
      <c r="BE675" s="2" t="s">
        <v>2288</v>
      </c>
      <c r="BF675" s="2" t="str">
        <f>HYPERLINK("http://dx.doi.org/10.1098/rspb.2016.1873","http://dx.doi.org/10.1098/rspb.2016.1873")</f>
        <v>http://dx.doi.org/10.1098/rspb.2016.1873</v>
      </c>
      <c r="BG675" s="2" t="s">
        <v>74</v>
      </c>
      <c r="BH675" s="2" t="s">
        <v>74</v>
      </c>
      <c r="BI675" s="2" t="s">
        <v>74</v>
      </c>
      <c r="BJ675" s="2" t="s">
        <v>74</v>
      </c>
      <c r="BK675" s="2" t="s">
        <v>74</v>
      </c>
      <c r="BL675" s="2" t="s">
        <v>74</v>
      </c>
      <c r="BM675" s="2" t="s">
        <v>74</v>
      </c>
      <c r="BN675" s="2">
        <v>27798310</v>
      </c>
      <c r="BO675" s="2" t="s">
        <v>74</v>
      </c>
      <c r="BP675" s="2" t="s">
        <v>74</v>
      </c>
      <c r="BQ675" s="2" t="s">
        <v>74</v>
      </c>
      <c r="BR675" s="2" t="s">
        <v>74</v>
      </c>
      <c r="BS675" s="2" t="s">
        <v>2289</v>
      </c>
      <c r="BT675" s="2" t="str">
        <f>HYPERLINK("https%3A%2F%2Fwww.webofscience.com%2Fwos%2Fwoscc%2Ffull-record%2FWOS:000386492600019","View Full Record in Web of Science")</f>
        <v>View Full Record in Web of Science</v>
      </c>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row>
    <row r="676" spans="1:314" s="2" customFormat="1" x14ac:dyDescent="0.4">
      <c r="A676" s="2" t="s">
        <v>72</v>
      </c>
      <c r="B676" s="2" t="s">
        <v>2222</v>
      </c>
      <c r="C676" s="2" t="s">
        <v>74</v>
      </c>
      <c r="D676" s="2" t="s">
        <v>74</v>
      </c>
      <c r="E676" s="2" t="s">
        <v>74</v>
      </c>
      <c r="F676" s="2" t="s">
        <v>2223</v>
      </c>
      <c r="G676" s="2" t="s">
        <v>74</v>
      </c>
      <c r="H676" s="2" t="s">
        <v>74</v>
      </c>
      <c r="I676" s="2" t="s">
        <v>2224</v>
      </c>
      <c r="J676" s="2" t="s">
        <v>1803</v>
      </c>
      <c r="K676" s="2" t="s">
        <v>74</v>
      </c>
      <c r="L676" s="2" t="s">
        <v>74</v>
      </c>
      <c r="M676" s="2" t="s">
        <v>74</v>
      </c>
      <c r="N676" s="2" t="s">
        <v>74</v>
      </c>
      <c r="O676" s="2" t="s">
        <v>74</v>
      </c>
      <c r="P676" s="2" t="s">
        <v>74</v>
      </c>
      <c r="Q676" s="2" t="s">
        <v>74</v>
      </c>
      <c r="R676" s="2" t="s">
        <v>74</v>
      </c>
      <c r="S676" s="2" t="s">
        <v>74</v>
      </c>
      <c r="T676" s="2" t="s">
        <v>74</v>
      </c>
      <c r="U676" s="2" t="s">
        <v>74</v>
      </c>
      <c r="V676" s="5" t="s">
        <v>2225</v>
      </c>
      <c r="W676" s="2" t="s">
        <v>74</v>
      </c>
      <c r="X676" s="2" t="s">
        <v>74</v>
      </c>
      <c r="Y676" s="2" t="s">
        <v>74</v>
      </c>
      <c r="Z676" s="2" t="s">
        <v>74</v>
      </c>
      <c r="AA676" s="2" t="s">
        <v>2226</v>
      </c>
      <c r="AB676" s="2" t="s">
        <v>2227</v>
      </c>
      <c r="AC676" s="2" t="s">
        <v>74</v>
      </c>
      <c r="AD676" s="2" t="s">
        <v>74</v>
      </c>
      <c r="AE676" s="2" t="s">
        <v>74</v>
      </c>
      <c r="AF676" s="2" t="s">
        <v>74</v>
      </c>
      <c r="AG676" s="2" t="s">
        <v>74</v>
      </c>
      <c r="AH676" s="2" t="s">
        <v>74</v>
      </c>
      <c r="AI676" s="2" t="s">
        <v>74</v>
      </c>
      <c r="AJ676" s="2" t="s">
        <v>74</v>
      </c>
      <c r="AK676" s="2" t="s">
        <v>74</v>
      </c>
      <c r="AL676" s="2" t="s">
        <v>74</v>
      </c>
      <c r="AM676" s="2" t="s">
        <v>74</v>
      </c>
      <c r="AN676" s="2" t="s">
        <v>74</v>
      </c>
      <c r="AO676" s="2" t="s">
        <v>1807</v>
      </c>
      <c r="AP676" s="2" t="s">
        <v>1808</v>
      </c>
      <c r="AQ676" s="2" t="s">
        <v>74</v>
      </c>
      <c r="AR676" s="2" t="s">
        <v>74</v>
      </c>
      <c r="AS676" s="2" t="s">
        <v>74</v>
      </c>
      <c r="AT676" s="2" t="s">
        <v>175</v>
      </c>
      <c r="AU676" s="2">
        <v>2014</v>
      </c>
      <c r="AV676" s="2">
        <v>28</v>
      </c>
      <c r="AW676" s="2">
        <v>5</v>
      </c>
      <c r="AX676" s="2" t="s">
        <v>74</v>
      </c>
      <c r="AY676" s="2" t="s">
        <v>74</v>
      </c>
      <c r="AZ676" s="2" t="s">
        <v>74</v>
      </c>
      <c r="BA676" s="2" t="s">
        <v>74</v>
      </c>
      <c r="BB676" s="2">
        <v>1197</v>
      </c>
      <c r="BC676" s="2">
        <v>1207</v>
      </c>
      <c r="BD676" s="2" t="s">
        <v>74</v>
      </c>
      <c r="BE676" s="2" t="s">
        <v>2228</v>
      </c>
      <c r="BF676" s="2" t="str">
        <f>HYPERLINK("http://dx.doi.org/10.1111/1365-2435.12244","http://dx.doi.org/10.1111/1365-2435.12244")</f>
        <v>http://dx.doi.org/10.1111/1365-2435.12244</v>
      </c>
      <c r="BG676" s="2" t="s">
        <v>74</v>
      </c>
      <c r="BH676" s="2" t="s">
        <v>74</v>
      </c>
      <c r="BI676" s="2" t="s">
        <v>74</v>
      </c>
      <c r="BJ676" s="2" t="s">
        <v>74</v>
      </c>
      <c r="BK676" s="2" t="s">
        <v>74</v>
      </c>
      <c r="BL676" s="2" t="s">
        <v>74</v>
      </c>
      <c r="BM676" s="2" t="s">
        <v>74</v>
      </c>
      <c r="BN676" s="2" t="s">
        <v>74</v>
      </c>
      <c r="BO676" s="2" t="s">
        <v>74</v>
      </c>
      <c r="BP676" s="2" t="s">
        <v>74</v>
      </c>
      <c r="BQ676" s="2" t="s">
        <v>74</v>
      </c>
      <c r="BR676" s="2" t="s">
        <v>74</v>
      </c>
      <c r="BS676" s="2" t="s">
        <v>2229</v>
      </c>
      <c r="BT676" s="2" t="str">
        <f>HYPERLINK("https%3A%2F%2Fwww.webofscience.com%2Fwos%2Fwoscc%2Ffull-record%2FWOS:000342615100015","View Full Record in Web of Science")</f>
        <v>View Full Record in Web of Science</v>
      </c>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row>
    <row r="677" spans="1:314" s="2" customFormat="1" x14ac:dyDescent="0.4">
      <c r="A677" s="2" t="s">
        <v>72</v>
      </c>
      <c r="B677" s="2" t="s">
        <v>4212</v>
      </c>
      <c r="C677" s="2" t="s">
        <v>74</v>
      </c>
      <c r="D677" s="2" t="s">
        <v>74</v>
      </c>
      <c r="E677" s="2" t="s">
        <v>74</v>
      </c>
      <c r="F677" s="2" t="s">
        <v>4213</v>
      </c>
      <c r="G677" s="2" t="s">
        <v>74</v>
      </c>
      <c r="H677" s="2" t="s">
        <v>74</v>
      </c>
      <c r="I677" s="2" t="s">
        <v>4214</v>
      </c>
      <c r="J677" s="2" t="s">
        <v>140</v>
      </c>
      <c r="K677" s="2" t="s">
        <v>74</v>
      </c>
      <c r="L677" s="2" t="s">
        <v>74</v>
      </c>
      <c r="M677" s="2" t="s">
        <v>74</v>
      </c>
      <c r="N677" s="2" t="s">
        <v>74</v>
      </c>
      <c r="O677" s="2" t="s">
        <v>74</v>
      </c>
      <c r="P677" s="2" t="s">
        <v>74</v>
      </c>
      <c r="Q677" s="2" t="s">
        <v>74</v>
      </c>
      <c r="R677" s="2" t="s">
        <v>74</v>
      </c>
      <c r="S677" s="2" t="s">
        <v>74</v>
      </c>
      <c r="T677" s="2" t="s">
        <v>74</v>
      </c>
      <c r="U677" s="2" t="s">
        <v>74</v>
      </c>
      <c r="V677" s="5" t="s">
        <v>4215</v>
      </c>
      <c r="W677" s="2" t="s">
        <v>74</v>
      </c>
      <c r="X677" s="2" t="s">
        <v>74</v>
      </c>
      <c r="Y677" s="2" t="s">
        <v>74</v>
      </c>
      <c r="Z677" s="2" t="s">
        <v>74</v>
      </c>
      <c r="AA677" s="2" t="s">
        <v>4216</v>
      </c>
      <c r="AB677" s="2" t="s">
        <v>4217</v>
      </c>
      <c r="AC677" s="2" t="s">
        <v>74</v>
      </c>
      <c r="AD677" s="2" t="s">
        <v>74</v>
      </c>
      <c r="AE677" s="2" t="s">
        <v>74</v>
      </c>
      <c r="AF677" s="2" t="s">
        <v>74</v>
      </c>
      <c r="AG677" s="2" t="s">
        <v>74</v>
      </c>
      <c r="AH677" s="2" t="s">
        <v>74</v>
      </c>
      <c r="AI677" s="2" t="s">
        <v>74</v>
      </c>
      <c r="AJ677" s="2" t="s">
        <v>74</v>
      </c>
      <c r="AK677" s="2" t="s">
        <v>74</v>
      </c>
      <c r="AL677" s="2" t="s">
        <v>74</v>
      </c>
      <c r="AM677" s="2" t="s">
        <v>74</v>
      </c>
      <c r="AN677" s="2" t="s">
        <v>74</v>
      </c>
      <c r="AO677" s="2" t="s">
        <v>143</v>
      </c>
      <c r="AP677" s="2" t="s">
        <v>144</v>
      </c>
      <c r="AQ677" s="2" t="s">
        <v>74</v>
      </c>
      <c r="AR677" s="2" t="s">
        <v>74</v>
      </c>
      <c r="AS677" s="2" t="s">
        <v>74</v>
      </c>
      <c r="AT677" s="2" t="s">
        <v>102</v>
      </c>
      <c r="AU677" s="2">
        <v>2009</v>
      </c>
      <c r="AV677" s="2">
        <v>77</v>
      </c>
      <c r="AW677" s="2">
        <v>6</v>
      </c>
      <c r="AX677" s="2" t="s">
        <v>74</v>
      </c>
      <c r="AY677" s="2" t="s">
        <v>74</v>
      </c>
      <c r="AZ677" s="2" t="s">
        <v>74</v>
      </c>
      <c r="BA677" s="2" t="s">
        <v>74</v>
      </c>
      <c r="BB677" s="2">
        <v>1525</v>
      </c>
      <c r="BC677" s="2">
        <v>1532</v>
      </c>
      <c r="BD677" s="2" t="s">
        <v>74</v>
      </c>
      <c r="BE677" s="2" t="s">
        <v>4218</v>
      </c>
      <c r="BF677" s="2" t="str">
        <f>HYPERLINK("http://dx.doi.org/10.1016/j.anbehav.2009.02.027","http://dx.doi.org/10.1016/j.anbehav.2009.02.027")</f>
        <v>http://dx.doi.org/10.1016/j.anbehav.2009.02.027</v>
      </c>
      <c r="BG677" s="2" t="s">
        <v>74</v>
      </c>
      <c r="BH677" s="2" t="s">
        <v>74</v>
      </c>
      <c r="BI677" s="2" t="s">
        <v>74</v>
      </c>
      <c r="BJ677" s="2" t="s">
        <v>74</v>
      </c>
      <c r="BK677" s="2" t="s">
        <v>74</v>
      </c>
      <c r="BL677" s="2" t="s">
        <v>74</v>
      </c>
      <c r="BM677" s="2" t="s">
        <v>74</v>
      </c>
      <c r="BN677" s="2" t="s">
        <v>74</v>
      </c>
      <c r="BO677" s="2" t="s">
        <v>74</v>
      </c>
      <c r="BP677" s="2" t="s">
        <v>74</v>
      </c>
      <c r="BQ677" s="2" t="s">
        <v>74</v>
      </c>
      <c r="BR677" s="2" t="s">
        <v>74</v>
      </c>
      <c r="BS677" s="2" t="s">
        <v>4219</v>
      </c>
      <c r="BT677" s="2" t="str">
        <f>HYPERLINK("https%3A%2F%2Fwww.webofscience.com%2Fwos%2Fwoscc%2Ffull-record%2FWOS:000266884200022","View Full Record in Web of Science")</f>
        <v>View Full Record in Web of Science</v>
      </c>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row>
    <row r="678" spans="1:314" s="2" customFormat="1" x14ac:dyDescent="0.4">
      <c r="A678" s="2" t="s">
        <v>72</v>
      </c>
      <c r="B678" s="2" t="s">
        <v>6000</v>
      </c>
      <c r="C678" s="2" t="s">
        <v>74</v>
      </c>
      <c r="D678" s="2" t="s">
        <v>74</v>
      </c>
      <c r="E678" s="2" t="s">
        <v>74</v>
      </c>
      <c r="F678" s="2" t="s">
        <v>6001</v>
      </c>
      <c r="G678" s="2" t="s">
        <v>74</v>
      </c>
      <c r="H678" s="2" t="s">
        <v>74</v>
      </c>
      <c r="I678" s="2" t="s">
        <v>6002</v>
      </c>
      <c r="J678" s="2" t="s">
        <v>1384</v>
      </c>
      <c r="K678" s="2" t="s">
        <v>74</v>
      </c>
      <c r="L678" s="2" t="s">
        <v>74</v>
      </c>
      <c r="M678" s="2" t="s">
        <v>74</v>
      </c>
      <c r="N678" s="2" t="s">
        <v>74</v>
      </c>
      <c r="O678" s="2" t="s">
        <v>74</v>
      </c>
      <c r="P678" s="2" t="s">
        <v>74</v>
      </c>
      <c r="Q678" s="2" t="s">
        <v>74</v>
      </c>
      <c r="R678" s="2" t="s">
        <v>74</v>
      </c>
      <c r="S678" s="2" t="s">
        <v>74</v>
      </c>
      <c r="T678" s="2" t="s">
        <v>74</v>
      </c>
      <c r="U678" s="2" t="s">
        <v>74</v>
      </c>
      <c r="V678" s="5" t="s">
        <v>6003</v>
      </c>
      <c r="W678" s="2" t="s">
        <v>74</v>
      </c>
      <c r="X678" s="2" t="s">
        <v>74</v>
      </c>
      <c r="Y678" s="2" t="s">
        <v>74</v>
      </c>
      <c r="Z678" s="2" t="s">
        <v>74</v>
      </c>
      <c r="AA678" s="2" t="s">
        <v>74</v>
      </c>
      <c r="AB678" s="2" t="s">
        <v>6004</v>
      </c>
      <c r="AC678" s="2" t="s">
        <v>74</v>
      </c>
      <c r="AD678" s="2" t="s">
        <v>74</v>
      </c>
      <c r="AE678" s="2" t="s">
        <v>74</v>
      </c>
      <c r="AF678" s="2" t="s">
        <v>74</v>
      </c>
      <c r="AG678" s="2" t="s">
        <v>74</v>
      </c>
      <c r="AH678" s="2" t="s">
        <v>74</v>
      </c>
      <c r="AI678" s="2" t="s">
        <v>74</v>
      </c>
      <c r="AJ678" s="2" t="s">
        <v>74</v>
      </c>
      <c r="AK678" s="2" t="s">
        <v>74</v>
      </c>
      <c r="AL678" s="2" t="s">
        <v>74</v>
      </c>
      <c r="AM678" s="2" t="s">
        <v>74</v>
      </c>
      <c r="AN678" s="2" t="s">
        <v>74</v>
      </c>
      <c r="AO678" s="2" t="s">
        <v>1388</v>
      </c>
      <c r="AP678" s="2" t="s">
        <v>1389</v>
      </c>
      <c r="AQ678" s="2" t="s">
        <v>74</v>
      </c>
      <c r="AR678" s="2" t="s">
        <v>74</v>
      </c>
      <c r="AS678" s="2" t="s">
        <v>74</v>
      </c>
      <c r="AT678" s="2" t="s">
        <v>633</v>
      </c>
      <c r="AU678" s="2">
        <v>2023</v>
      </c>
      <c r="AV678" s="2">
        <v>165</v>
      </c>
      <c r="AW678" s="2">
        <v>2</v>
      </c>
      <c r="AX678" s="2" t="s">
        <v>74</v>
      </c>
      <c r="AY678" s="2" t="s">
        <v>74</v>
      </c>
      <c r="AZ678" s="2" t="s">
        <v>74</v>
      </c>
      <c r="BA678" s="2" t="s">
        <v>74</v>
      </c>
      <c r="BB678" s="2">
        <v>561</v>
      </c>
      <c r="BC678" s="2">
        <v>570</v>
      </c>
      <c r="BD678" s="2" t="s">
        <v>74</v>
      </c>
      <c r="BE678" s="2" t="s">
        <v>6005</v>
      </c>
      <c r="BF678" s="2" t="str">
        <f>HYPERLINK("http://dx.doi.org/10.1111/ibi.13141","http://dx.doi.org/10.1111/ibi.13141")</f>
        <v>http://dx.doi.org/10.1111/ibi.13141</v>
      </c>
      <c r="BG678" s="2" t="s">
        <v>74</v>
      </c>
      <c r="BH678" s="2" t="s">
        <v>6006</v>
      </c>
      <c r="BI678" s="2" t="s">
        <v>74</v>
      </c>
      <c r="BJ678" s="2" t="s">
        <v>74</v>
      </c>
      <c r="BK678" s="2" t="s">
        <v>74</v>
      </c>
      <c r="BL678" s="2" t="s">
        <v>74</v>
      </c>
      <c r="BM678" s="2" t="s">
        <v>74</v>
      </c>
      <c r="BN678" s="2" t="s">
        <v>74</v>
      </c>
      <c r="BO678" s="2" t="s">
        <v>74</v>
      </c>
      <c r="BP678" s="2" t="s">
        <v>74</v>
      </c>
      <c r="BQ678" s="2" t="s">
        <v>74</v>
      </c>
      <c r="BR678" s="2" t="s">
        <v>74</v>
      </c>
      <c r="BS678" s="2" t="s">
        <v>6007</v>
      </c>
      <c r="BT678" s="2" t="str">
        <f>HYPERLINK("https%3A%2F%2Fwww.webofscience.com%2Fwos%2Fwoscc%2Ffull-record%2FWOS:000864028600001","View Full Record in Web of Science")</f>
        <v>View Full Record in Web of Science</v>
      </c>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row>
    <row r="679" spans="1:314" s="2" customFormat="1" x14ac:dyDescent="0.4">
      <c r="A679" s="2" t="s">
        <v>72</v>
      </c>
      <c r="B679" s="2" t="s">
        <v>8406</v>
      </c>
      <c r="C679" s="2" t="s">
        <v>74</v>
      </c>
      <c r="D679" s="2" t="s">
        <v>74</v>
      </c>
      <c r="E679" s="2" t="s">
        <v>74</v>
      </c>
      <c r="F679" s="2" t="s">
        <v>8407</v>
      </c>
      <c r="G679" s="2" t="s">
        <v>74</v>
      </c>
      <c r="H679" s="2" t="s">
        <v>74</v>
      </c>
      <c r="I679" s="2" t="s">
        <v>8408</v>
      </c>
      <c r="J679" s="2" t="s">
        <v>5937</v>
      </c>
      <c r="K679" s="2" t="s">
        <v>74</v>
      </c>
      <c r="L679" s="2" t="s">
        <v>74</v>
      </c>
      <c r="M679" s="2" t="s">
        <v>74</v>
      </c>
      <c r="N679" s="2" t="s">
        <v>74</v>
      </c>
      <c r="O679" s="2" t="s">
        <v>74</v>
      </c>
      <c r="P679" s="2" t="s">
        <v>74</v>
      </c>
      <c r="Q679" s="2" t="s">
        <v>74</v>
      </c>
      <c r="R679" s="2" t="s">
        <v>74</v>
      </c>
      <c r="S679" s="2" t="s">
        <v>74</v>
      </c>
      <c r="T679" s="2" t="s">
        <v>74</v>
      </c>
      <c r="U679" s="2" t="s">
        <v>74</v>
      </c>
      <c r="V679" s="5" t="s">
        <v>8409</v>
      </c>
      <c r="W679" s="2" t="s">
        <v>74</v>
      </c>
      <c r="X679" s="2" t="s">
        <v>74</v>
      </c>
      <c r="Y679" s="2" t="s">
        <v>74</v>
      </c>
      <c r="Z679" s="2" t="s">
        <v>74</v>
      </c>
      <c r="AA679" s="2" t="s">
        <v>612</v>
      </c>
      <c r="AB679" s="2" t="s">
        <v>613</v>
      </c>
      <c r="AC679" s="2" t="s">
        <v>74</v>
      </c>
      <c r="AD679" s="2" t="s">
        <v>74</v>
      </c>
      <c r="AE679" s="2" t="s">
        <v>74</v>
      </c>
      <c r="AF679" s="2" t="s">
        <v>74</v>
      </c>
      <c r="AG679" s="2" t="s">
        <v>74</v>
      </c>
      <c r="AH679" s="2" t="s">
        <v>74</v>
      </c>
      <c r="AI679" s="2" t="s">
        <v>74</v>
      </c>
      <c r="AJ679" s="2" t="s">
        <v>74</v>
      </c>
      <c r="AK679" s="2" t="s">
        <v>74</v>
      </c>
      <c r="AL679" s="2" t="s">
        <v>74</v>
      </c>
      <c r="AM679" s="2" t="s">
        <v>74</v>
      </c>
      <c r="AN679" s="2" t="s">
        <v>74</v>
      </c>
      <c r="AO679" s="2" t="s">
        <v>5941</v>
      </c>
      <c r="AP679" s="2" t="s">
        <v>74</v>
      </c>
      <c r="AQ679" s="2" t="s">
        <v>74</v>
      </c>
      <c r="AR679" s="2" t="s">
        <v>74</v>
      </c>
      <c r="AS679" s="2" t="s">
        <v>74</v>
      </c>
      <c r="AT679" s="2" t="s">
        <v>145</v>
      </c>
      <c r="AU679" s="2">
        <v>2023</v>
      </c>
      <c r="AV679" s="2">
        <v>13</v>
      </c>
      <c r="AW679" s="2">
        <v>16</v>
      </c>
      <c r="AX679" s="2" t="s">
        <v>74</v>
      </c>
      <c r="AY679" s="2" t="s">
        <v>74</v>
      </c>
      <c r="AZ679" s="2" t="s">
        <v>74</v>
      </c>
      <c r="BA679" s="2" t="s">
        <v>74</v>
      </c>
      <c r="BB679" s="2" t="s">
        <v>74</v>
      </c>
      <c r="BC679" s="2" t="s">
        <v>74</v>
      </c>
      <c r="BD679" s="2">
        <v>2623</v>
      </c>
      <c r="BE679" s="2" t="s">
        <v>8410</v>
      </c>
      <c r="BF679" s="2" t="str">
        <f>HYPERLINK("http://dx.doi.org/10.3390/ani13162623","http://dx.doi.org/10.3390/ani13162623")</f>
        <v>http://dx.doi.org/10.3390/ani13162623</v>
      </c>
      <c r="BG679" s="2" t="s">
        <v>74</v>
      </c>
      <c r="BH679" s="2" t="s">
        <v>74</v>
      </c>
      <c r="BI679" s="2" t="s">
        <v>74</v>
      </c>
      <c r="BJ679" s="2" t="s">
        <v>74</v>
      </c>
      <c r="BK679" s="2" t="s">
        <v>74</v>
      </c>
      <c r="BL679" s="2" t="s">
        <v>74</v>
      </c>
      <c r="BM679" s="2" t="s">
        <v>74</v>
      </c>
      <c r="BN679" s="2">
        <v>37627414</v>
      </c>
      <c r="BO679" s="2" t="s">
        <v>74</v>
      </c>
      <c r="BP679" s="2" t="s">
        <v>74</v>
      </c>
      <c r="BQ679" s="2" t="s">
        <v>74</v>
      </c>
      <c r="BR679" s="2" t="s">
        <v>74</v>
      </c>
      <c r="BS679" s="2" t="s">
        <v>8411</v>
      </c>
      <c r="BT679" s="2" t="str">
        <f>HYPERLINK("https%3A%2F%2Fwww.webofscience.com%2Fwos%2Fwoscc%2Ffull-record%2FWOS:001055601600001","View Full Record in Web of Science")</f>
        <v>View Full Record in Web of Science</v>
      </c>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row>
    <row r="680" spans="1:314" s="2" customFormat="1" x14ac:dyDescent="0.4">
      <c r="A680" s="2" t="s">
        <v>72</v>
      </c>
      <c r="B680" s="2" t="s">
        <v>7345</v>
      </c>
      <c r="C680" s="2" t="s">
        <v>74</v>
      </c>
      <c r="D680" s="2" t="s">
        <v>74</v>
      </c>
      <c r="E680" s="2" t="s">
        <v>74</v>
      </c>
      <c r="F680" s="2" t="s">
        <v>7346</v>
      </c>
      <c r="G680" s="2" t="s">
        <v>74</v>
      </c>
      <c r="H680" s="2" t="s">
        <v>74</v>
      </c>
      <c r="I680" s="2" t="s">
        <v>7347</v>
      </c>
      <c r="J680" s="2" t="s">
        <v>1112</v>
      </c>
      <c r="K680" s="2" t="s">
        <v>74</v>
      </c>
      <c r="L680" s="2" t="s">
        <v>74</v>
      </c>
      <c r="M680" s="2" t="s">
        <v>74</v>
      </c>
      <c r="N680" s="2" t="s">
        <v>74</v>
      </c>
      <c r="O680" s="2" t="s">
        <v>74</v>
      </c>
      <c r="P680" s="2" t="s">
        <v>74</v>
      </c>
      <c r="Q680" s="2" t="s">
        <v>74</v>
      </c>
      <c r="R680" s="2" t="s">
        <v>74</v>
      </c>
      <c r="S680" s="2" t="s">
        <v>74</v>
      </c>
      <c r="T680" s="2" t="s">
        <v>74</v>
      </c>
      <c r="U680" s="2" t="s">
        <v>74</v>
      </c>
      <c r="V680" s="5" t="s">
        <v>7348</v>
      </c>
      <c r="W680" s="2" t="s">
        <v>74</v>
      </c>
      <c r="X680" s="2" t="s">
        <v>74</v>
      </c>
      <c r="Y680" s="2" t="s">
        <v>74</v>
      </c>
      <c r="Z680" s="2" t="s">
        <v>74</v>
      </c>
      <c r="AA680" s="2" t="s">
        <v>7349</v>
      </c>
      <c r="AB680" s="2" t="s">
        <v>7350</v>
      </c>
      <c r="AC680" s="2" t="s">
        <v>74</v>
      </c>
      <c r="AD680" s="2" t="s">
        <v>74</v>
      </c>
      <c r="AE680" s="2" t="s">
        <v>74</v>
      </c>
      <c r="AF680" s="2" t="s">
        <v>74</v>
      </c>
      <c r="AG680" s="2" t="s">
        <v>74</v>
      </c>
      <c r="AH680" s="2" t="s">
        <v>74</v>
      </c>
      <c r="AI680" s="2" t="s">
        <v>74</v>
      </c>
      <c r="AJ680" s="2" t="s">
        <v>74</v>
      </c>
      <c r="AK680" s="2" t="s">
        <v>74</v>
      </c>
      <c r="AL680" s="2" t="s">
        <v>74</v>
      </c>
      <c r="AM680" s="2" t="s">
        <v>74</v>
      </c>
      <c r="AN680" s="2" t="s">
        <v>74</v>
      </c>
      <c r="AO680" s="2" t="s">
        <v>1114</v>
      </c>
      <c r="AP680" s="2" t="s">
        <v>1115</v>
      </c>
      <c r="AQ680" s="2" t="s">
        <v>74</v>
      </c>
      <c r="AR680" s="2" t="s">
        <v>74</v>
      </c>
      <c r="AS680" s="2" t="s">
        <v>74</v>
      </c>
      <c r="AT680" s="2" t="s">
        <v>204</v>
      </c>
      <c r="AU680" s="2">
        <v>2014</v>
      </c>
      <c r="AV680" s="2">
        <v>156</v>
      </c>
      <c r="AW680" s="2" t="s">
        <v>74</v>
      </c>
      <c r="AX680" s="2" t="s">
        <v>74</v>
      </c>
      <c r="AY680" s="2" t="s">
        <v>74</v>
      </c>
      <c r="AZ680" s="2" t="s">
        <v>74</v>
      </c>
      <c r="BA680" s="2" t="s">
        <v>74</v>
      </c>
      <c r="BB680" s="2">
        <v>44</v>
      </c>
      <c r="BC680" s="2">
        <v>53</v>
      </c>
      <c r="BD680" s="2" t="s">
        <v>74</v>
      </c>
      <c r="BE680" s="2" t="s">
        <v>7351</v>
      </c>
      <c r="BF680" s="2" t="str">
        <f>HYPERLINK("http://dx.doi.org/10.1016/j.applanim.2014.04.006","http://dx.doi.org/10.1016/j.applanim.2014.04.006")</f>
        <v>http://dx.doi.org/10.1016/j.applanim.2014.04.006</v>
      </c>
      <c r="BG680" s="2" t="s">
        <v>74</v>
      </c>
      <c r="BH680" s="2" t="s">
        <v>74</v>
      </c>
      <c r="BI680" s="2" t="s">
        <v>74</v>
      </c>
      <c r="BJ680" s="2" t="s">
        <v>74</v>
      </c>
      <c r="BK680" s="2" t="s">
        <v>74</v>
      </c>
      <c r="BL680" s="2" t="s">
        <v>74</v>
      </c>
      <c r="BM680" s="2" t="s">
        <v>74</v>
      </c>
      <c r="BN680" s="2" t="s">
        <v>74</v>
      </c>
      <c r="BO680" s="2" t="s">
        <v>74</v>
      </c>
      <c r="BP680" s="2" t="s">
        <v>74</v>
      </c>
      <c r="BQ680" s="2" t="s">
        <v>74</v>
      </c>
      <c r="BR680" s="2" t="s">
        <v>74</v>
      </c>
      <c r="BS680" s="2" t="s">
        <v>7352</v>
      </c>
      <c r="BT680" s="2" t="str">
        <f>HYPERLINK("https%3A%2F%2Fwww.webofscience.com%2Fwos%2Fwoscc%2Ffull-record%2FWOS:000337998000006","View Full Record in Web of Science")</f>
        <v>View Full Record in Web of Science</v>
      </c>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row>
    <row r="681" spans="1:314" s="2" customFormat="1" x14ac:dyDescent="0.4">
      <c r="A681" s="2" t="s">
        <v>72</v>
      </c>
      <c r="B681" s="2" t="s">
        <v>5790</v>
      </c>
      <c r="C681" s="2" t="s">
        <v>74</v>
      </c>
      <c r="D681" s="2" t="s">
        <v>74</v>
      </c>
      <c r="E681" s="2" t="s">
        <v>74</v>
      </c>
      <c r="F681" s="2" t="s">
        <v>5791</v>
      </c>
      <c r="G681" s="2" t="s">
        <v>74</v>
      </c>
      <c r="H681" s="2" t="s">
        <v>74</v>
      </c>
      <c r="I681" s="2" t="s">
        <v>5792</v>
      </c>
      <c r="J681" s="2" t="s">
        <v>281</v>
      </c>
      <c r="K681" s="2" t="s">
        <v>74</v>
      </c>
      <c r="L681" s="2" t="s">
        <v>74</v>
      </c>
      <c r="M681" s="2" t="s">
        <v>74</v>
      </c>
      <c r="N681" s="2" t="s">
        <v>74</v>
      </c>
      <c r="O681" s="2" t="s">
        <v>74</v>
      </c>
      <c r="P681" s="2" t="s">
        <v>74</v>
      </c>
      <c r="Q681" s="2" t="s">
        <v>74</v>
      </c>
      <c r="R681" s="2" t="s">
        <v>74</v>
      </c>
      <c r="S681" s="2" t="s">
        <v>74</v>
      </c>
      <c r="T681" s="2" t="s">
        <v>74</v>
      </c>
      <c r="U681" s="2" t="s">
        <v>74</v>
      </c>
      <c r="V681" s="5" t="s">
        <v>5793</v>
      </c>
      <c r="W681" s="2" t="s">
        <v>74</v>
      </c>
      <c r="X681" s="2" t="s">
        <v>74</v>
      </c>
      <c r="Y681" s="2" t="s">
        <v>74</v>
      </c>
      <c r="Z681" s="2" t="s">
        <v>74</v>
      </c>
      <c r="AA681" s="2" t="s">
        <v>5794</v>
      </c>
      <c r="AB681" s="2" t="s">
        <v>5795</v>
      </c>
      <c r="AC681" s="2" t="s">
        <v>74</v>
      </c>
      <c r="AD681" s="2" t="s">
        <v>74</v>
      </c>
      <c r="AE681" s="2" t="s">
        <v>74</v>
      </c>
      <c r="AF681" s="2" t="s">
        <v>74</v>
      </c>
      <c r="AG681" s="2" t="s">
        <v>74</v>
      </c>
      <c r="AH681" s="2" t="s">
        <v>74</v>
      </c>
      <c r="AI681" s="2" t="s">
        <v>74</v>
      </c>
      <c r="AJ681" s="2" t="s">
        <v>74</v>
      </c>
      <c r="AK681" s="2" t="s">
        <v>74</v>
      </c>
      <c r="AL681" s="2" t="s">
        <v>74</v>
      </c>
      <c r="AM681" s="2" t="s">
        <v>74</v>
      </c>
      <c r="AN681" s="2" t="s">
        <v>74</v>
      </c>
      <c r="AO681" s="2" t="s">
        <v>285</v>
      </c>
      <c r="AP681" s="2" t="s">
        <v>286</v>
      </c>
      <c r="AQ681" s="2" t="s">
        <v>74</v>
      </c>
      <c r="AR681" s="2" t="s">
        <v>74</v>
      </c>
      <c r="AS681" s="2" t="s">
        <v>74</v>
      </c>
      <c r="AT681" s="2" t="s">
        <v>255</v>
      </c>
      <c r="AU681" s="2">
        <v>2021</v>
      </c>
      <c r="AV681" s="2">
        <v>24</v>
      </c>
      <c r="AW681" s="2">
        <v>1</v>
      </c>
      <c r="AX681" s="2" t="s">
        <v>74</v>
      </c>
      <c r="AY681" s="2" t="s">
        <v>74</v>
      </c>
      <c r="AZ681" s="2" t="s">
        <v>74</v>
      </c>
      <c r="BA681" s="2" t="s">
        <v>74</v>
      </c>
      <c r="BB681" s="2">
        <v>205</v>
      </c>
      <c r="BC681" s="2">
        <v>212</v>
      </c>
      <c r="BD681" s="2" t="s">
        <v>74</v>
      </c>
      <c r="BE681" s="2" t="s">
        <v>5796</v>
      </c>
      <c r="BF681" s="2" t="str">
        <f>HYPERLINK("http://dx.doi.org/10.1007/s10071-020-01434-8","http://dx.doi.org/10.1007/s10071-020-01434-8")</f>
        <v>http://dx.doi.org/10.1007/s10071-020-01434-8</v>
      </c>
      <c r="BG681" s="2" t="s">
        <v>74</v>
      </c>
      <c r="BH681" s="2" t="s">
        <v>1067</v>
      </c>
      <c r="BI681" s="2" t="s">
        <v>74</v>
      </c>
      <c r="BJ681" s="2" t="s">
        <v>74</v>
      </c>
      <c r="BK681" s="2" t="s">
        <v>74</v>
      </c>
      <c r="BL681" s="2" t="s">
        <v>74</v>
      </c>
      <c r="BM681" s="2" t="s">
        <v>74</v>
      </c>
      <c r="BN681" s="2">
        <v>32980971</v>
      </c>
      <c r="BO681" s="2" t="s">
        <v>74</v>
      </c>
      <c r="BP681" s="2" t="s">
        <v>74</v>
      </c>
      <c r="BQ681" s="2" t="s">
        <v>74</v>
      </c>
      <c r="BR681" s="2" t="s">
        <v>74</v>
      </c>
      <c r="BS681" s="2" t="s">
        <v>5797</v>
      </c>
      <c r="BT681" s="2" t="str">
        <f>HYPERLINK("https%3A%2F%2Fwww.webofscience.com%2Fwos%2Fwoscc%2Ffull-record%2FWOS:000573200000001","View Full Record in Web of Science")</f>
        <v>View Full Record in Web of Science</v>
      </c>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row>
    <row r="682" spans="1:314" s="2" customFormat="1" x14ac:dyDescent="0.4">
      <c r="A682" s="2" t="s">
        <v>72</v>
      </c>
      <c r="B682" s="2" t="s">
        <v>4391</v>
      </c>
      <c r="C682" s="2" t="s">
        <v>74</v>
      </c>
      <c r="D682" s="2" t="s">
        <v>74</v>
      </c>
      <c r="E682" s="2" t="s">
        <v>74</v>
      </c>
      <c r="F682" s="2" t="s">
        <v>4391</v>
      </c>
      <c r="G682" s="2" t="s">
        <v>74</v>
      </c>
      <c r="H682" s="2" t="s">
        <v>74</v>
      </c>
      <c r="I682" s="2" t="s">
        <v>4392</v>
      </c>
      <c r="J682" s="2" t="s">
        <v>1533</v>
      </c>
      <c r="K682" s="2" t="s">
        <v>74</v>
      </c>
      <c r="L682" s="2" t="s">
        <v>74</v>
      </c>
      <c r="M682" s="2" t="s">
        <v>74</v>
      </c>
      <c r="N682" s="2" t="s">
        <v>74</v>
      </c>
      <c r="O682" s="2" t="s">
        <v>74</v>
      </c>
      <c r="P682" s="2" t="s">
        <v>74</v>
      </c>
      <c r="Q682" s="2" t="s">
        <v>74</v>
      </c>
      <c r="R682" s="2" t="s">
        <v>74</v>
      </c>
      <c r="S682" s="2" t="s">
        <v>74</v>
      </c>
      <c r="T682" s="2" t="s">
        <v>74</v>
      </c>
      <c r="U682" s="2" t="s">
        <v>74</v>
      </c>
      <c r="V682" s="5" t="s">
        <v>4393</v>
      </c>
      <c r="W682" s="2" t="s">
        <v>74</v>
      </c>
      <c r="X682" s="2" t="s">
        <v>74</v>
      </c>
      <c r="Y682" s="2" t="s">
        <v>74</v>
      </c>
      <c r="Z682" s="2" t="s">
        <v>74</v>
      </c>
      <c r="AA682" s="2" t="s">
        <v>74</v>
      </c>
      <c r="AB682" s="2" t="s">
        <v>74</v>
      </c>
      <c r="AC682" s="2" t="s">
        <v>74</v>
      </c>
      <c r="AD682" s="2" t="s">
        <v>74</v>
      </c>
      <c r="AE682" s="2" t="s">
        <v>74</v>
      </c>
      <c r="AF682" s="2" t="s">
        <v>74</v>
      </c>
      <c r="AG682" s="2" t="s">
        <v>74</v>
      </c>
      <c r="AH682" s="2" t="s">
        <v>74</v>
      </c>
      <c r="AI682" s="2" t="s">
        <v>74</v>
      </c>
      <c r="AJ682" s="2" t="s">
        <v>74</v>
      </c>
      <c r="AK682" s="2" t="s">
        <v>74</v>
      </c>
      <c r="AL682" s="2" t="s">
        <v>74</v>
      </c>
      <c r="AM682" s="2" t="s">
        <v>74</v>
      </c>
      <c r="AN682" s="2" t="s">
        <v>74</v>
      </c>
      <c r="AO682" s="2" t="s">
        <v>1535</v>
      </c>
      <c r="AP682" s="2" t="s">
        <v>1536</v>
      </c>
      <c r="AQ682" s="2" t="s">
        <v>74</v>
      </c>
      <c r="AR682" s="2" t="s">
        <v>74</v>
      </c>
      <c r="AS682" s="2" t="s">
        <v>74</v>
      </c>
      <c r="AT682" s="2" t="s">
        <v>74</v>
      </c>
      <c r="AU682" s="2">
        <v>1976</v>
      </c>
      <c r="AV682" s="2">
        <v>26</v>
      </c>
      <c r="AW682" s="2">
        <v>3</v>
      </c>
      <c r="AX682" s="2" t="s">
        <v>74</v>
      </c>
      <c r="AY682" s="2" t="s">
        <v>74</v>
      </c>
      <c r="AZ682" s="2" t="s">
        <v>74</v>
      </c>
      <c r="BA682" s="2" t="s">
        <v>74</v>
      </c>
      <c r="BB682" s="2">
        <v>349</v>
      </c>
      <c r="BC682" s="2">
        <v>360</v>
      </c>
      <c r="BD682" s="2" t="s">
        <v>74</v>
      </c>
      <c r="BE682" s="2" t="s">
        <v>4394</v>
      </c>
      <c r="BF682" s="2" t="str">
        <f>HYPERLINK("http://dx.doi.org/10.1901/jeab.1976.26-349","http://dx.doi.org/10.1901/jeab.1976.26-349")</f>
        <v>http://dx.doi.org/10.1901/jeab.1976.26-349</v>
      </c>
      <c r="BG682" s="2" t="s">
        <v>74</v>
      </c>
      <c r="BH682" s="2" t="s">
        <v>74</v>
      </c>
      <c r="BI682" s="2" t="s">
        <v>74</v>
      </c>
      <c r="BJ682" s="2" t="s">
        <v>74</v>
      </c>
      <c r="BK682" s="2" t="s">
        <v>74</v>
      </c>
      <c r="BL682" s="2" t="s">
        <v>74</v>
      </c>
      <c r="BM682" s="2" t="s">
        <v>74</v>
      </c>
      <c r="BN682" s="2">
        <v>1033979</v>
      </c>
      <c r="BO682" s="2" t="s">
        <v>74</v>
      </c>
      <c r="BP682" s="2" t="s">
        <v>74</v>
      </c>
      <c r="BQ682" s="2" t="s">
        <v>74</v>
      </c>
      <c r="BR682" s="2" t="s">
        <v>74</v>
      </c>
      <c r="BS682" s="2" t="s">
        <v>4395</v>
      </c>
      <c r="BT682" s="2" t="str">
        <f>HYPERLINK("https%3A%2F%2Fwww.webofscience.com%2Fwos%2Fwoscc%2Ffull-record%2FWOS:A1976CN54900004","View Full Record in Web of Science")</f>
        <v>View Full Record in Web of Science</v>
      </c>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row>
    <row r="683" spans="1:314" s="2" customFormat="1" x14ac:dyDescent="0.4">
      <c r="A683" s="2" t="s">
        <v>72</v>
      </c>
      <c r="B683" s="2" t="s">
        <v>7604</v>
      </c>
      <c r="C683" s="2" t="s">
        <v>74</v>
      </c>
      <c r="D683" s="2" t="s">
        <v>74</v>
      </c>
      <c r="E683" s="2" t="s">
        <v>74</v>
      </c>
      <c r="F683" s="2" t="s">
        <v>7604</v>
      </c>
      <c r="G683" s="2" t="s">
        <v>74</v>
      </c>
      <c r="H683" s="2" t="s">
        <v>74</v>
      </c>
      <c r="I683" s="2" t="s">
        <v>7605</v>
      </c>
      <c r="J683" s="2" t="s">
        <v>610</v>
      </c>
      <c r="K683" s="2" t="s">
        <v>74</v>
      </c>
      <c r="L683" s="2" t="s">
        <v>74</v>
      </c>
      <c r="M683" s="2" t="s">
        <v>74</v>
      </c>
      <c r="N683" s="2" t="s">
        <v>74</v>
      </c>
      <c r="O683" s="2" t="s">
        <v>74</v>
      </c>
      <c r="P683" s="2" t="s">
        <v>74</v>
      </c>
      <c r="Q683" s="2" t="s">
        <v>74</v>
      </c>
      <c r="R683" s="2" t="s">
        <v>74</v>
      </c>
      <c r="S683" s="2" t="s">
        <v>74</v>
      </c>
      <c r="T683" s="2" t="s">
        <v>74</v>
      </c>
      <c r="U683" s="2" t="s">
        <v>74</v>
      </c>
      <c r="V683" s="5" t="s">
        <v>7606</v>
      </c>
      <c r="W683" s="2" t="s">
        <v>74</v>
      </c>
      <c r="X683" s="2" t="s">
        <v>74</v>
      </c>
      <c r="Y683" s="2" t="s">
        <v>74</v>
      </c>
      <c r="Z683" s="2" t="s">
        <v>74</v>
      </c>
      <c r="AA683" s="2" t="s">
        <v>1933</v>
      </c>
      <c r="AB683" s="2" t="s">
        <v>1934</v>
      </c>
      <c r="AC683" s="2" t="s">
        <v>74</v>
      </c>
      <c r="AD683" s="2" t="s">
        <v>74</v>
      </c>
      <c r="AE683" s="2" t="s">
        <v>74</v>
      </c>
      <c r="AF683" s="2" t="s">
        <v>74</v>
      </c>
      <c r="AG683" s="2" t="s">
        <v>74</v>
      </c>
      <c r="AH683" s="2" t="s">
        <v>74</v>
      </c>
      <c r="AI683" s="2" t="s">
        <v>74</v>
      </c>
      <c r="AJ683" s="2" t="s">
        <v>74</v>
      </c>
      <c r="AK683" s="2" t="s">
        <v>74</v>
      </c>
      <c r="AL683" s="2" t="s">
        <v>74</v>
      </c>
      <c r="AM683" s="2" t="s">
        <v>74</v>
      </c>
      <c r="AN683" s="2" t="s">
        <v>74</v>
      </c>
      <c r="AO683" s="2" t="s">
        <v>614</v>
      </c>
      <c r="AP683" s="2" t="s">
        <v>615</v>
      </c>
      <c r="AQ683" s="2" t="s">
        <v>74</v>
      </c>
      <c r="AR683" s="2" t="s">
        <v>74</v>
      </c>
      <c r="AS683" s="2" t="s">
        <v>74</v>
      </c>
      <c r="AT683" s="2" t="s">
        <v>175</v>
      </c>
      <c r="AU683" s="2">
        <v>2001</v>
      </c>
      <c r="AV683" s="2">
        <v>107</v>
      </c>
      <c r="AW683" s="2">
        <v>10</v>
      </c>
      <c r="AX683" s="2" t="s">
        <v>74</v>
      </c>
      <c r="AY683" s="2" t="s">
        <v>74</v>
      </c>
      <c r="AZ683" s="2" t="s">
        <v>74</v>
      </c>
      <c r="BA683" s="2" t="s">
        <v>74</v>
      </c>
      <c r="BB683" s="2">
        <v>901</v>
      </c>
      <c r="BC683" s="2">
        <v>912</v>
      </c>
      <c r="BD683" s="2" t="s">
        <v>74</v>
      </c>
      <c r="BE683" s="2" t="s">
        <v>7607</v>
      </c>
      <c r="BF683" s="2" t="str">
        <f>HYPERLINK("http://dx.doi.org/10.1046/j.1439-0310.2001.00724.x","http://dx.doi.org/10.1046/j.1439-0310.2001.00724.x")</f>
        <v>http://dx.doi.org/10.1046/j.1439-0310.2001.00724.x</v>
      </c>
      <c r="BG683" s="2" t="s">
        <v>74</v>
      </c>
      <c r="BH683" s="2" t="s">
        <v>74</v>
      </c>
      <c r="BI683" s="2" t="s">
        <v>74</v>
      </c>
      <c r="BJ683" s="2" t="s">
        <v>74</v>
      </c>
      <c r="BK683" s="2" t="s">
        <v>74</v>
      </c>
      <c r="BL683" s="2" t="s">
        <v>74</v>
      </c>
      <c r="BM683" s="2" t="s">
        <v>74</v>
      </c>
      <c r="BN683" s="2" t="s">
        <v>74</v>
      </c>
      <c r="BO683" s="2" t="s">
        <v>74</v>
      </c>
      <c r="BP683" s="2" t="s">
        <v>74</v>
      </c>
      <c r="BQ683" s="2" t="s">
        <v>74</v>
      </c>
      <c r="BR683" s="2" t="s">
        <v>74</v>
      </c>
      <c r="BS683" s="2" t="s">
        <v>7608</v>
      </c>
      <c r="BT683" s="2" t="str">
        <f>HYPERLINK("https%3A%2F%2Fwww.webofscience.com%2Fwos%2Fwoscc%2Ffull-record%2FWOS:000172914000004","View Full Record in Web of Science")</f>
        <v>View Full Record in Web of Science</v>
      </c>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row>
    <row r="684" spans="1:314" s="2" customFormat="1" x14ac:dyDescent="0.4">
      <c r="A684" s="2" t="s">
        <v>72</v>
      </c>
      <c r="B684" s="2" t="s">
        <v>1930</v>
      </c>
      <c r="C684" s="2" t="s">
        <v>74</v>
      </c>
      <c r="D684" s="2" t="s">
        <v>74</v>
      </c>
      <c r="E684" s="2" t="s">
        <v>74</v>
      </c>
      <c r="F684" s="2" t="s">
        <v>1930</v>
      </c>
      <c r="G684" s="2" t="s">
        <v>74</v>
      </c>
      <c r="H684" s="2" t="s">
        <v>74</v>
      </c>
      <c r="I684" s="2" t="s">
        <v>1931</v>
      </c>
      <c r="J684" s="2" t="s">
        <v>229</v>
      </c>
      <c r="K684" s="2" t="s">
        <v>74</v>
      </c>
      <c r="L684" s="2" t="s">
        <v>74</v>
      </c>
      <c r="M684" s="2" t="s">
        <v>74</v>
      </c>
      <c r="N684" s="2" t="s">
        <v>74</v>
      </c>
      <c r="O684" s="2" t="s">
        <v>74</v>
      </c>
      <c r="P684" s="2" t="s">
        <v>74</v>
      </c>
      <c r="Q684" s="2" t="s">
        <v>74</v>
      </c>
      <c r="R684" s="2" t="s">
        <v>74</v>
      </c>
      <c r="S684" s="2" t="s">
        <v>74</v>
      </c>
      <c r="T684" s="2" t="s">
        <v>74</v>
      </c>
      <c r="U684" s="2" t="s">
        <v>74</v>
      </c>
      <c r="V684" s="5" t="s">
        <v>1932</v>
      </c>
      <c r="W684" s="2" t="s">
        <v>74</v>
      </c>
      <c r="X684" s="2" t="s">
        <v>74</v>
      </c>
      <c r="Y684" s="2" t="s">
        <v>74</v>
      </c>
      <c r="Z684" s="2" t="s">
        <v>74</v>
      </c>
      <c r="AA684" s="2" t="s">
        <v>1933</v>
      </c>
      <c r="AB684" s="2" t="s">
        <v>1934</v>
      </c>
      <c r="AC684" s="2" t="s">
        <v>74</v>
      </c>
      <c r="AD684" s="2" t="s">
        <v>74</v>
      </c>
      <c r="AE684" s="2" t="s">
        <v>74</v>
      </c>
      <c r="AF684" s="2" t="s">
        <v>74</v>
      </c>
      <c r="AG684" s="2" t="s">
        <v>74</v>
      </c>
      <c r="AH684" s="2" t="s">
        <v>74</v>
      </c>
      <c r="AI684" s="2" t="s">
        <v>74</v>
      </c>
      <c r="AJ684" s="2" t="s">
        <v>74</v>
      </c>
      <c r="AK684" s="2" t="s">
        <v>74</v>
      </c>
      <c r="AL684" s="2" t="s">
        <v>74</v>
      </c>
      <c r="AM684" s="2" t="s">
        <v>74</v>
      </c>
      <c r="AN684" s="2" t="s">
        <v>74</v>
      </c>
      <c r="AO684" s="2" t="s">
        <v>233</v>
      </c>
      <c r="AP684" s="2" t="s">
        <v>234</v>
      </c>
      <c r="AQ684" s="2" t="s">
        <v>74</v>
      </c>
      <c r="AR684" s="2" t="s">
        <v>74</v>
      </c>
      <c r="AS684" s="2" t="s">
        <v>74</v>
      </c>
      <c r="AT684" s="2" t="s">
        <v>1038</v>
      </c>
      <c r="AU684" s="2">
        <v>2002</v>
      </c>
      <c r="AV684" s="2">
        <v>28</v>
      </c>
      <c r="AW684" s="2">
        <v>2</v>
      </c>
      <c r="AX684" s="2" t="s">
        <v>74</v>
      </c>
      <c r="AY684" s="2" t="s">
        <v>74</v>
      </c>
      <c r="AZ684" s="2" t="s">
        <v>74</v>
      </c>
      <c r="BA684" s="2" t="s">
        <v>74</v>
      </c>
      <c r="BB684" s="2">
        <v>154</v>
      </c>
      <c r="BC684" s="2">
        <v>163</v>
      </c>
      <c r="BD684" s="2" t="s">
        <v>74</v>
      </c>
      <c r="BE684" s="2" t="s">
        <v>1935</v>
      </c>
      <c r="BF684" s="2" t="str">
        <f>HYPERLINK("http://dx.doi.org/10.1002/ab.90017","http://dx.doi.org/10.1002/ab.90017")</f>
        <v>http://dx.doi.org/10.1002/ab.90017</v>
      </c>
      <c r="BG684" s="2" t="s">
        <v>74</v>
      </c>
      <c r="BH684" s="2" t="s">
        <v>74</v>
      </c>
      <c r="BI684" s="2" t="s">
        <v>74</v>
      </c>
      <c r="BJ684" s="2" t="s">
        <v>74</v>
      </c>
      <c r="BK684" s="2" t="s">
        <v>74</v>
      </c>
      <c r="BL684" s="2" t="s">
        <v>74</v>
      </c>
      <c r="BM684" s="2" t="s">
        <v>74</v>
      </c>
      <c r="BN684" s="2" t="s">
        <v>74</v>
      </c>
      <c r="BO684" s="2" t="s">
        <v>74</v>
      </c>
      <c r="BP684" s="2" t="s">
        <v>74</v>
      </c>
      <c r="BQ684" s="2" t="s">
        <v>74</v>
      </c>
      <c r="BR684" s="2" t="s">
        <v>74</v>
      </c>
      <c r="BS684" s="2" t="s">
        <v>1936</v>
      </c>
      <c r="BT684" s="2" t="str">
        <f>HYPERLINK("https%3A%2F%2Fwww.webofscience.com%2Fwos%2Fwoscc%2Ffull-record%2FWOS:000174435600008","View Full Record in Web of Science")</f>
        <v>View Full Record in Web of Science</v>
      </c>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row>
    <row r="685" spans="1:314" s="2" customFormat="1" x14ac:dyDescent="0.4">
      <c r="A685" s="2" t="s">
        <v>72</v>
      </c>
      <c r="B685" s="2" t="s">
        <v>1930</v>
      </c>
      <c r="C685" s="2" t="s">
        <v>74</v>
      </c>
      <c r="D685" s="2" t="s">
        <v>74</v>
      </c>
      <c r="E685" s="2" t="s">
        <v>74</v>
      </c>
      <c r="F685" s="2" t="s">
        <v>1930</v>
      </c>
      <c r="G685" s="2" t="s">
        <v>74</v>
      </c>
      <c r="H685" s="2" t="s">
        <v>74</v>
      </c>
      <c r="I685" s="2" t="s">
        <v>5603</v>
      </c>
      <c r="J685" s="2" t="s">
        <v>129</v>
      </c>
      <c r="K685" s="2" t="s">
        <v>74</v>
      </c>
      <c r="L685" s="2" t="s">
        <v>74</v>
      </c>
      <c r="M685" s="2" t="s">
        <v>74</v>
      </c>
      <c r="N685" s="2" t="s">
        <v>74</v>
      </c>
      <c r="O685" s="2" t="s">
        <v>74</v>
      </c>
      <c r="P685" s="2" t="s">
        <v>74</v>
      </c>
      <c r="Q685" s="2" t="s">
        <v>74</v>
      </c>
      <c r="R685" s="2" t="s">
        <v>74</v>
      </c>
      <c r="S685" s="2" t="s">
        <v>74</v>
      </c>
      <c r="T685" s="2" t="s">
        <v>74</v>
      </c>
      <c r="U685" s="2" t="s">
        <v>74</v>
      </c>
      <c r="V685" s="5" t="s">
        <v>5604</v>
      </c>
      <c r="W685" s="2" t="s">
        <v>74</v>
      </c>
      <c r="X685" s="2" t="s">
        <v>74</v>
      </c>
      <c r="Y685" s="2" t="s">
        <v>74</v>
      </c>
      <c r="Z685" s="2" t="s">
        <v>74</v>
      </c>
      <c r="AA685" s="2" t="s">
        <v>1933</v>
      </c>
      <c r="AB685" s="2" t="s">
        <v>1934</v>
      </c>
      <c r="AC685" s="2" t="s">
        <v>74</v>
      </c>
      <c r="AD685" s="2" t="s">
        <v>74</v>
      </c>
      <c r="AE685" s="2" t="s">
        <v>74</v>
      </c>
      <c r="AF685" s="2" t="s">
        <v>74</v>
      </c>
      <c r="AG685" s="2" t="s">
        <v>74</v>
      </c>
      <c r="AH685" s="2" t="s">
        <v>74</v>
      </c>
      <c r="AI685" s="2" t="s">
        <v>74</v>
      </c>
      <c r="AJ685" s="2" t="s">
        <v>74</v>
      </c>
      <c r="AK685" s="2" t="s">
        <v>74</v>
      </c>
      <c r="AL685" s="2" t="s">
        <v>74</v>
      </c>
      <c r="AM685" s="2" t="s">
        <v>74</v>
      </c>
      <c r="AN685" s="2" t="s">
        <v>74</v>
      </c>
      <c r="AO685" s="2" t="s">
        <v>132</v>
      </c>
      <c r="AP685" s="2" t="s">
        <v>74</v>
      </c>
      <c r="AQ685" s="2" t="s">
        <v>74</v>
      </c>
      <c r="AR685" s="2" t="s">
        <v>74</v>
      </c>
      <c r="AS685" s="2" t="s">
        <v>74</v>
      </c>
      <c r="AT685" s="2" t="s">
        <v>145</v>
      </c>
      <c r="AU685" s="2">
        <v>2003</v>
      </c>
      <c r="AV685" s="2">
        <v>54</v>
      </c>
      <c r="AW685" s="2">
        <v>3</v>
      </c>
      <c r="AX685" s="2" t="s">
        <v>74</v>
      </c>
      <c r="AY685" s="2" t="s">
        <v>74</v>
      </c>
      <c r="AZ685" s="2" t="s">
        <v>74</v>
      </c>
      <c r="BA685" s="2" t="s">
        <v>74</v>
      </c>
      <c r="BB685" s="2">
        <v>218</v>
      </c>
      <c r="BC685" s="2">
        <v>224</v>
      </c>
      <c r="BD685" s="2" t="s">
        <v>74</v>
      </c>
      <c r="BE685" s="2" t="s">
        <v>5605</v>
      </c>
      <c r="BF685" s="2" t="str">
        <f>HYPERLINK("http://dx.doi.org/10.1007/s00265-003-0623-2","http://dx.doi.org/10.1007/s00265-003-0623-2")</f>
        <v>http://dx.doi.org/10.1007/s00265-003-0623-2</v>
      </c>
      <c r="BG685" s="2" t="s">
        <v>74</v>
      </c>
      <c r="BH685" s="2" t="s">
        <v>74</v>
      </c>
      <c r="BI685" s="2" t="s">
        <v>74</v>
      </c>
      <c r="BJ685" s="2" t="s">
        <v>74</v>
      </c>
      <c r="BK685" s="2" t="s">
        <v>74</v>
      </c>
      <c r="BL685" s="2" t="s">
        <v>74</v>
      </c>
      <c r="BM685" s="2" t="s">
        <v>74</v>
      </c>
      <c r="BN685" s="2" t="s">
        <v>74</v>
      </c>
      <c r="BO685" s="2" t="s">
        <v>74</v>
      </c>
      <c r="BP685" s="2" t="s">
        <v>74</v>
      </c>
      <c r="BQ685" s="2" t="s">
        <v>74</v>
      </c>
      <c r="BR685" s="2" t="s">
        <v>74</v>
      </c>
      <c r="BS685" s="2" t="s">
        <v>5606</v>
      </c>
      <c r="BT685" s="2" t="str">
        <f>HYPERLINK("https%3A%2F%2Fwww.webofscience.com%2Fwos%2Fwoscc%2Ffull-record%2FWOS:000184754900003","View Full Record in Web of Science")</f>
        <v>View Full Record in Web of Science</v>
      </c>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row>
    <row r="686" spans="1:314" s="2" customFormat="1" x14ac:dyDescent="0.4">
      <c r="A686" s="2" t="s">
        <v>72</v>
      </c>
      <c r="B686" s="2" t="s">
        <v>1930</v>
      </c>
      <c r="C686" s="2" t="s">
        <v>74</v>
      </c>
      <c r="D686" s="2" t="s">
        <v>74</v>
      </c>
      <c r="E686" s="2" t="s">
        <v>74</v>
      </c>
      <c r="F686" s="2" t="s">
        <v>1930</v>
      </c>
      <c r="G686" s="2" t="s">
        <v>74</v>
      </c>
      <c r="H686" s="2" t="s">
        <v>74</v>
      </c>
      <c r="I686" s="2" t="s">
        <v>7276</v>
      </c>
      <c r="J686" s="2" t="s">
        <v>610</v>
      </c>
      <c r="K686" s="2" t="s">
        <v>74</v>
      </c>
      <c r="L686" s="2" t="s">
        <v>74</v>
      </c>
      <c r="M686" s="2" t="s">
        <v>74</v>
      </c>
      <c r="N686" s="2" t="s">
        <v>74</v>
      </c>
      <c r="O686" s="2" t="s">
        <v>74</v>
      </c>
      <c r="P686" s="2" t="s">
        <v>74</v>
      </c>
      <c r="Q686" s="2" t="s">
        <v>74</v>
      </c>
      <c r="R686" s="2" t="s">
        <v>74</v>
      </c>
      <c r="S686" s="2" t="s">
        <v>74</v>
      </c>
      <c r="T686" s="2" t="s">
        <v>74</v>
      </c>
      <c r="U686" s="2" t="s">
        <v>74</v>
      </c>
      <c r="V686" s="5" t="s">
        <v>7277</v>
      </c>
      <c r="W686" s="2" t="s">
        <v>74</v>
      </c>
      <c r="X686" s="2" t="s">
        <v>74</v>
      </c>
      <c r="Y686" s="2" t="s">
        <v>74</v>
      </c>
      <c r="Z686" s="2" t="s">
        <v>74</v>
      </c>
      <c r="AA686" s="2" t="s">
        <v>1933</v>
      </c>
      <c r="AB686" s="2" t="s">
        <v>1934</v>
      </c>
      <c r="AC686" s="2" t="s">
        <v>74</v>
      </c>
      <c r="AD686" s="2" t="s">
        <v>74</v>
      </c>
      <c r="AE686" s="2" t="s">
        <v>74</v>
      </c>
      <c r="AF686" s="2" t="s">
        <v>74</v>
      </c>
      <c r="AG686" s="2" t="s">
        <v>74</v>
      </c>
      <c r="AH686" s="2" t="s">
        <v>74</v>
      </c>
      <c r="AI686" s="2" t="s">
        <v>74</v>
      </c>
      <c r="AJ686" s="2" t="s">
        <v>74</v>
      </c>
      <c r="AK686" s="2" t="s">
        <v>74</v>
      </c>
      <c r="AL686" s="2" t="s">
        <v>74</v>
      </c>
      <c r="AM686" s="2" t="s">
        <v>74</v>
      </c>
      <c r="AN686" s="2" t="s">
        <v>74</v>
      </c>
      <c r="AO686" s="2" t="s">
        <v>614</v>
      </c>
      <c r="AP686" s="2" t="s">
        <v>615</v>
      </c>
      <c r="AQ686" s="2" t="s">
        <v>74</v>
      </c>
      <c r="AR686" s="2" t="s">
        <v>74</v>
      </c>
      <c r="AS686" s="2" t="s">
        <v>74</v>
      </c>
      <c r="AT686" s="2" t="s">
        <v>204</v>
      </c>
      <c r="AU686" s="2">
        <v>2004</v>
      </c>
      <c r="AV686" s="2">
        <v>110</v>
      </c>
      <c r="AW686" s="2">
        <v>7</v>
      </c>
      <c r="AX686" s="2" t="s">
        <v>74</v>
      </c>
      <c r="AY686" s="2" t="s">
        <v>74</v>
      </c>
      <c r="AZ686" s="2" t="s">
        <v>74</v>
      </c>
      <c r="BA686" s="2" t="s">
        <v>74</v>
      </c>
      <c r="BB686" s="2">
        <v>543</v>
      </c>
      <c r="BC686" s="2">
        <v>561</v>
      </c>
      <c r="BD686" s="2" t="s">
        <v>74</v>
      </c>
      <c r="BE686" s="2" t="s">
        <v>7278</v>
      </c>
      <c r="BF686" s="2" t="str">
        <f>HYPERLINK("http://dx.doi.org/10.1111/j.1439-0310.2004.00996.x","http://dx.doi.org/10.1111/j.1439-0310.2004.00996.x")</f>
        <v>http://dx.doi.org/10.1111/j.1439-0310.2004.00996.x</v>
      </c>
      <c r="BG686" s="2" t="s">
        <v>74</v>
      </c>
      <c r="BH686" s="2" t="s">
        <v>74</v>
      </c>
      <c r="BI686" s="2" t="s">
        <v>74</v>
      </c>
      <c r="BJ686" s="2" t="s">
        <v>74</v>
      </c>
      <c r="BK686" s="2" t="s">
        <v>74</v>
      </c>
      <c r="BL686" s="2" t="s">
        <v>74</v>
      </c>
      <c r="BM686" s="2" t="s">
        <v>74</v>
      </c>
      <c r="BN686" s="2" t="s">
        <v>74</v>
      </c>
      <c r="BO686" s="2" t="s">
        <v>74</v>
      </c>
      <c r="BP686" s="2" t="s">
        <v>74</v>
      </c>
      <c r="BQ686" s="2" t="s">
        <v>74</v>
      </c>
      <c r="BR686" s="2" t="s">
        <v>74</v>
      </c>
      <c r="BS686" s="2" t="s">
        <v>7279</v>
      </c>
      <c r="BT686" s="2" t="str">
        <f>HYPERLINK("https%3A%2F%2Fwww.webofscience.com%2Fwos%2Fwoscc%2Ffull-record%2FWOS:000222483900004","View Full Record in Web of Science")</f>
        <v>View Full Record in Web of Science</v>
      </c>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row>
    <row r="687" spans="1:314" s="2" customFormat="1" x14ac:dyDescent="0.4">
      <c r="A687" s="2" t="s">
        <v>72</v>
      </c>
      <c r="B687" s="2" t="s">
        <v>249</v>
      </c>
      <c r="C687" s="2" t="s">
        <v>74</v>
      </c>
      <c r="D687" s="2" t="s">
        <v>74</v>
      </c>
      <c r="E687" s="2" t="s">
        <v>74</v>
      </c>
      <c r="F687" s="2" t="s">
        <v>250</v>
      </c>
      <c r="G687" s="2" t="s">
        <v>74</v>
      </c>
      <c r="H687" s="2" t="s">
        <v>74</v>
      </c>
      <c r="I687" s="2" t="s">
        <v>251</v>
      </c>
      <c r="J687" s="2" t="s">
        <v>129</v>
      </c>
      <c r="K687" s="2" t="s">
        <v>74</v>
      </c>
      <c r="L687" s="2" t="s">
        <v>74</v>
      </c>
      <c r="M687" s="2" t="s">
        <v>74</v>
      </c>
      <c r="N687" s="2" t="s">
        <v>74</v>
      </c>
      <c r="O687" s="2" t="s">
        <v>74</v>
      </c>
      <c r="P687" s="2" t="s">
        <v>74</v>
      </c>
      <c r="Q687" s="2" t="s">
        <v>74</v>
      </c>
      <c r="R687" s="2" t="s">
        <v>74</v>
      </c>
      <c r="S687" s="2" t="s">
        <v>74</v>
      </c>
      <c r="T687" s="2" t="s">
        <v>74</v>
      </c>
      <c r="U687" s="2" t="s">
        <v>74</v>
      </c>
      <c r="V687" s="5" t="s">
        <v>252</v>
      </c>
      <c r="W687" s="2" t="s">
        <v>74</v>
      </c>
      <c r="X687" s="2" t="s">
        <v>74</v>
      </c>
      <c r="Y687" s="2" t="s">
        <v>74</v>
      </c>
      <c r="Z687" s="2" t="s">
        <v>74</v>
      </c>
      <c r="AA687" s="2" t="s">
        <v>253</v>
      </c>
      <c r="AB687" s="2" t="s">
        <v>254</v>
      </c>
      <c r="AC687" s="2" t="s">
        <v>74</v>
      </c>
      <c r="AD687" s="2" t="s">
        <v>74</v>
      </c>
      <c r="AE687" s="2" t="s">
        <v>74</v>
      </c>
      <c r="AF687" s="2" t="s">
        <v>74</v>
      </c>
      <c r="AG687" s="2" t="s">
        <v>74</v>
      </c>
      <c r="AH687" s="2" t="s">
        <v>74</v>
      </c>
      <c r="AI687" s="2" t="s">
        <v>74</v>
      </c>
      <c r="AJ687" s="2" t="s">
        <v>74</v>
      </c>
      <c r="AK687" s="2" t="s">
        <v>74</v>
      </c>
      <c r="AL687" s="2" t="s">
        <v>74</v>
      </c>
      <c r="AM687" s="2" t="s">
        <v>74</v>
      </c>
      <c r="AN687" s="2" t="s">
        <v>74</v>
      </c>
      <c r="AO687" s="2" t="s">
        <v>132</v>
      </c>
      <c r="AP687" s="2" t="s">
        <v>133</v>
      </c>
      <c r="AQ687" s="2" t="s">
        <v>74</v>
      </c>
      <c r="AR687" s="2" t="s">
        <v>74</v>
      </c>
      <c r="AS687" s="2" t="s">
        <v>74</v>
      </c>
      <c r="AT687" s="2" t="s">
        <v>255</v>
      </c>
      <c r="AU687" s="2">
        <v>2010</v>
      </c>
      <c r="AV687" s="2">
        <v>64</v>
      </c>
      <c r="AW687" s="2">
        <v>3</v>
      </c>
      <c r="AX687" s="2" t="s">
        <v>74</v>
      </c>
      <c r="AY687" s="2" t="s">
        <v>74</v>
      </c>
      <c r="AZ687" s="2" t="s">
        <v>74</v>
      </c>
      <c r="BA687" s="2" t="s">
        <v>74</v>
      </c>
      <c r="BB687" s="2">
        <v>317</v>
      </c>
      <c r="BC687" s="2">
        <v>324</v>
      </c>
      <c r="BD687" s="2" t="s">
        <v>74</v>
      </c>
      <c r="BE687" s="2" t="s">
        <v>256</v>
      </c>
      <c r="BF687" s="2" t="str">
        <f>HYPERLINK("http://dx.doi.org/10.1007/s00265-009-0811-9","http://dx.doi.org/10.1007/s00265-009-0811-9")</f>
        <v>http://dx.doi.org/10.1007/s00265-009-0811-9</v>
      </c>
      <c r="BG687" s="2" t="s">
        <v>74</v>
      </c>
      <c r="BH687" s="2" t="s">
        <v>74</v>
      </c>
      <c r="BI687" s="2" t="s">
        <v>74</v>
      </c>
      <c r="BJ687" s="2" t="s">
        <v>74</v>
      </c>
      <c r="BK687" s="2" t="s">
        <v>74</v>
      </c>
      <c r="BL687" s="2" t="s">
        <v>74</v>
      </c>
      <c r="BM687" s="2" t="s">
        <v>74</v>
      </c>
      <c r="BN687" s="2" t="s">
        <v>74</v>
      </c>
      <c r="BO687" s="2" t="s">
        <v>74</v>
      </c>
      <c r="BP687" s="2" t="s">
        <v>74</v>
      </c>
      <c r="BQ687" s="2" t="s">
        <v>74</v>
      </c>
      <c r="BR687" s="2" t="s">
        <v>74</v>
      </c>
      <c r="BS687" s="2" t="s">
        <v>257</v>
      </c>
      <c r="BT687" s="2" t="str">
        <f>HYPERLINK("https%3A%2F%2Fwww.webofscience.com%2Fwos%2Fwoscc%2Ffull-record%2FWOS:000274433500002","View Full Record in Web of Science")</f>
        <v>View Full Record in Web of Science</v>
      </c>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row>
    <row r="688" spans="1:314" s="2" customFormat="1" x14ac:dyDescent="0.4">
      <c r="A688" s="2" t="s">
        <v>72</v>
      </c>
      <c r="B688" s="2" t="s">
        <v>5272</v>
      </c>
      <c r="C688" s="2" t="s">
        <v>74</v>
      </c>
      <c r="D688" s="2" t="s">
        <v>74</v>
      </c>
      <c r="E688" s="2" t="s">
        <v>74</v>
      </c>
      <c r="F688" s="2" t="s">
        <v>5273</v>
      </c>
      <c r="G688" s="2" t="s">
        <v>74</v>
      </c>
      <c r="H688" s="2" t="s">
        <v>74</v>
      </c>
      <c r="I688" s="2" t="s">
        <v>5274</v>
      </c>
      <c r="J688" s="2" t="s">
        <v>1656</v>
      </c>
      <c r="K688" s="2" t="s">
        <v>74</v>
      </c>
      <c r="L688" s="2" t="s">
        <v>74</v>
      </c>
      <c r="M688" s="2" t="s">
        <v>74</v>
      </c>
      <c r="N688" s="2" t="s">
        <v>74</v>
      </c>
      <c r="O688" s="2" t="s">
        <v>74</v>
      </c>
      <c r="P688" s="2" t="s">
        <v>74</v>
      </c>
      <c r="Q688" s="2" t="s">
        <v>74</v>
      </c>
      <c r="R688" s="2" t="s">
        <v>74</v>
      </c>
      <c r="S688" s="2" t="s">
        <v>74</v>
      </c>
      <c r="T688" s="2" t="s">
        <v>74</v>
      </c>
      <c r="U688" s="2" t="s">
        <v>74</v>
      </c>
      <c r="V688" s="5" t="s">
        <v>5275</v>
      </c>
      <c r="W688" s="2" t="s">
        <v>74</v>
      </c>
      <c r="X688" s="2" t="s">
        <v>74</v>
      </c>
      <c r="Y688" s="2" t="s">
        <v>74</v>
      </c>
      <c r="Z688" s="2" t="s">
        <v>74</v>
      </c>
      <c r="AA688" s="2" t="s">
        <v>5276</v>
      </c>
      <c r="AB688" s="2" t="s">
        <v>5277</v>
      </c>
      <c r="AC688" s="2" t="s">
        <v>74</v>
      </c>
      <c r="AD688" s="2" t="s">
        <v>74</v>
      </c>
      <c r="AE688" s="2" t="s">
        <v>74</v>
      </c>
      <c r="AF688" s="2" t="s">
        <v>74</v>
      </c>
      <c r="AG688" s="2" t="s">
        <v>74</v>
      </c>
      <c r="AH688" s="2" t="s">
        <v>74</v>
      </c>
      <c r="AI688" s="2" t="s">
        <v>74</v>
      </c>
      <c r="AJ688" s="2" t="s">
        <v>74</v>
      </c>
      <c r="AK688" s="2" t="s">
        <v>74</v>
      </c>
      <c r="AL688" s="2" t="s">
        <v>74</v>
      </c>
      <c r="AM688" s="2" t="s">
        <v>74</v>
      </c>
      <c r="AN688" s="2" t="s">
        <v>74</v>
      </c>
      <c r="AO688" s="2" t="s">
        <v>1658</v>
      </c>
      <c r="AP688" s="2" t="s">
        <v>1659</v>
      </c>
      <c r="AQ688" s="2" t="s">
        <v>74</v>
      </c>
      <c r="AR688" s="2" t="s">
        <v>74</v>
      </c>
      <c r="AS688" s="2" t="s">
        <v>74</v>
      </c>
      <c r="AT688" s="2" t="s">
        <v>5278</v>
      </c>
      <c r="AU688" s="2">
        <v>2013</v>
      </c>
      <c r="AV688" s="2">
        <v>3664</v>
      </c>
      <c r="AW688" s="2">
        <v>4</v>
      </c>
      <c r="AX688" s="2" t="s">
        <v>74</v>
      </c>
      <c r="AY688" s="2" t="s">
        <v>74</v>
      </c>
      <c r="AZ688" s="2" t="s">
        <v>74</v>
      </c>
      <c r="BA688" s="2" t="s">
        <v>74</v>
      </c>
      <c r="BB688" s="2">
        <v>505</v>
      </c>
      <c r="BC688" s="2">
        <v>524</v>
      </c>
      <c r="BD688" s="2" t="s">
        <v>74</v>
      </c>
      <c r="BE688" s="2" t="s">
        <v>5279</v>
      </c>
      <c r="BF688" s="2" t="str">
        <f>HYPERLINK("http://dx.doi.org/10.11646/zootaxa.3664.4.5","http://dx.doi.org/10.11646/zootaxa.3664.4.5")</f>
        <v>http://dx.doi.org/10.11646/zootaxa.3664.4.5</v>
      </c>
      <c r="BG688" s="2" t="s">
        <v>74</v>
      </c>
      <c r="BH688" s="2" t="s">
        <v>74</v>
      </c>
      <c r="BI688" s="2" t="s">
        <v>74</v>
      </c>
      <c r="BJ688" s="2" t="s">
        <v>74</v>
      </c>
      <c r="BK688" s="2" t="s">
        <v>74</v>
      </c>
      <c r="BL688" s="2" t="s">
        <v>74</v>
      </c>
      <c r="BM688" s="2" t="s">
        <v>74</v>
      </c>
      <c r="BN688" s="2">
        <v>26266316</v>
      </c>
      <c r="BO688" s="2" t="s">
        <v>74</v>
      </c>
      <c r="BP688" s="2" t="s">
        <v>74</v>
      </c>
      <c r="BQ688" s="2" t="s">
        <v>74</v>
      </c>
      <c r="BR688" s="2" t="s">
        <v>74</v>
      </c>
      <c r="BS688" s="2" t="s">
        <v>5280</v>
      </c>
      <c r="BT688" s="2" t="str">
        <f>HYPERLINK("https%3A%2F%2Fwww.webofscience.com%2Fwos%2Fwoscc%2Ffull-record%2FWOS:000319727800005","View Full Record in Web of Science")</f>
        <v>View Full Record in Web of Science</v>
      </c>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row>
    <row r="689" spans="1:314" s="1" customFormat="1" x14ac:dyDescent="0.4">
      <c r="A689" s="2" t="s">
        <v>72</v>
      </c>
      <c r="B689" s="2" t="s">
        <v>5499</v>
      </c>
      <c r="C689" s="2" t="s">
        <v>74</v>
      </c>
      <c r="D689" s="2" t="s">
        <v>74</v>
      </c>
      <c r="E689" s="2" t="s">
        <v>74</v>
      </c>
      <c r="F689" s="2" t="s">
        <v>5499</v>
      </c>
      <c r="G689" s="2" t="s">
        <v>74</v>
      </c>
      <c r="H689" s="2" t="s">
        <v>74</v>
      </c>
      <c r="I689" s="2" t="s">
        <v>5500</v>
      </c>
      <c r="J689" s="2" t="s">
        <v>140</v>
      </c>
      <c r="K689" s="2" t="s">
        <v>74</v>
      </c>
      <c r="L689" s="2" t="s">
        <v>74</v>
      </c>
      <c r="M689" s="2" t="s">
        <v>74</v>
      </c>
      <c r="N689" s="2" t="s">
        <v>74</v>
      </c>
      <c r="O689" s="2" t="s">
        <v>74</v>
      </c>
      <c r="P689" s="2" t="s">
        <v>74</v>
      </c>
      <c r="Q689" s="2" t="s">
        <v>74</v>
      </c>
      <c r="R689" s="2" t="s">
        <v>74</v>
      </c>
      <c r="S689" s="2" t="s">
        <v>74</v>
      </c>
      <c r="T689" s="2" t="s">
        <v>74</v>
      </c>
      <c r="U689" s="2" t="s">
        <v>74</v>
      </c>
      <c r="V689" s="5" t="s">
        <v>5501</v>
      </c>
      <c r="W689" s="2" t="s">
        <v>74</v>
      </c>
      <c r="X689" s="2" t="s">
        <v>74</v>
      </c>
      <c r="Y689" s="2" t="s">
        <v>74</v>
      </c>
      <c r="Z689" s="2" t="s">
        <v>74</v>
      </c>
      <c r="AA689" s="2" t="s">
        <v>74</v>
      </c>
      <c r="AB689" s="2" t="s">
        <v>74</v>
      </c>
      <c r="AC689" s="2" t="s">
        <v>74</v>
      </c>
      <c r="AD689" s="2" t="s">
        <v>74</v>
      </c>
      <c r="AE689" s="2" t="s">
        <v>74</v>
      </c>
      <c r="AF689" s="2" t="s">
        <v>74</v>
      </c>
      <c r="AG689" s="2" t="s">
        <v>74</v>
      </c>
      <c r="AH689" s="2" t="s">
        <v>74</v>
      </c>
      <c r="AI689" s="2" t="s">
        <v>74</v>
      </c>
      <c r="AJ689" s="2" t="s">
        <v>74</v>
      </c>
      <c r="AK689" s="2" t="s">
        <v>74</v>
      </c>
      <c r="AL689" s="2" t="s">
        <v>74</v>
      </c>
      <c r="AM689" s="2" t="s">
        <v>74</v>
      </c>
      <c r="AN689" s="2" t="s">
        <v>74</v>
      </c>
      <c r="AO689" s="2" t="s">
        <v>143</v>
      </c>
      <c r="AP689" s="2" t="s">
        <v>144</v>
      </c>
      <c r="AQ689" s="2" t="s">
        <v>74</v>
      </c>
      <c r="AR689" s="2" t="s">
        <v>74</v>
      </c>
      <c r="AS689" s="2" t="s">
        <v>74</v>
      </c>
      <c r="AT689" s="2" t="s">
        <v>145</v>
      </c>
      <c r="AU689" s="2">
        <v>2003</v>
      </c>
      <c r="AV689" s="2">
        <v>66</v>
      </c>
      <c r="AW689" s="2" t="s">
        <v>74</v>
      </c>
      <c r="AX689" s="2">
        <v>2</v>
      </c>
      <c r="AY689" s="2" t="s">
        <v>74</v>
      </c>
      <c r="AZ689" s="2" t="s">
        <v>74</v>
      </c>
      <c r="BA689" s="2" t="s">
        <v>74</v>
      </c>
      <c r="BB689" s="2">
        <v>299</v>
      </c>
      <c r="BC689" s="2">
        <v>307</v>
      </c>
      <c r="BD689" s="2" t="s">
        <v>74</v>
      </c>
      <c r="BE689" s="2" t="s">
        <v>5502</v>
      </c>
      <c r="BF689" s="2" t="str">
        <f>HYPERLINK("http://dx.doi.org/10.1006/anbe.2003.2214","http://dx.doi.org/10.1006/anbe.2003.2214")</f>
        <v>http://dx.doi.org/10.1006/anbe.2003.2214</v>
      </c>
      <c r="BG689" s="2" t="s">
        <v>74</v>
      </c>
      <c r="BH689" s="2" t="s">
        <v>74</v>
      </c>
      <c r="BI689" s="2" t="s">
        <v>74</v>
      </c>
      <c r="BJ689" s="2" t="s">
        <v>74</v>
      </c>
      <c r="BK689" s="2" t="s">
        <v>74</v>
      </c>
      <c r="BL689" s="2" t="s">
        <v>74</v>
      </c>
      <c r="BM689" s="2" t="s">
        <v>74</v>
      </c>
      <c r="BN689" s="2" t="s">
        <v>74</v>
      </c>
      <c r="BO689" s="2" t="s">
        <v>74</v>
      </c>
      <c r="BP689" s="2" t="s">
        <v>74</v>
      </c>
      <c r="BQ689" s="2" t="s">
        <v>74</v>
      </c>
      <c r="BR689" s="2" t="s">
        <v>74</v>
      </c>
      <c r="BS689" s="2" t="s">
        <v>5503</v>
      </c>
      <c r="BT689" s="2" t="str">
        <f>HYPERLINK("https%3A%2F%2Fwww.webofscience.com%2Fwos%2Fwoscc%2Ffull-record%2FWOS:000184899600013","View Full Record in Web of Science")</f>
        <v>View Full Record in Web of Science</v>
      </c>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row>
    <row r="690" spans="1:314" s="1" customFormat="1" x14ac:dyDescent="0.4">
      <c r="A690" s="2" t="s">
        <v>72</v>
      </c>
      <c r="B690" s="2" t="s">
        <v>2025</v>
      </c>
      <c r="C690" s="2" t="s">
        <v>74</v>
      </c>
      <c r="D690" s="2" t="s">
        <v>74</v>
      </c>
      <c r="E690" s="2" t="s">
        <v>74</v>
      </c>
      <c r="F690" s="2" t="s">
        <v>2025</v>
      </c>
      <c r="G690" s="2" t="s">
        <v>74</v>
      </c>
      <c r="H690" s="2" t="s">
        <v>74</v>
      </c>
      <c r="I690" s="2" t="s">
        <v>2026</v>
      </c>
      <c r="J690" s="2" t="s">
        <v>1126</v>
      </c>
      <c r="K690" s="2" t="s">
        <v>74</v>
      </c>
      <c r="L690" s="2" t="s">
        <v>74</v>
      </c>
      <c r="M690" s="2" t="s">
        <v>74</v>
      </c>
      <c r="N690" s="2" t="s">
        <v>74</v>
      </c>
      <c r="O690" s="2" t="s">
        <v>74</v>
      </c>
      <c r="P690" s="2" t="s">
        <v>74</v>
      </c>
      <c r="Q690" s="2" t="s">
        <v>74</v>
      </c>
      <c r="R690" s="2" t="s">
        <v>74</v>
      </c>
      <c r="S690" s="2" t="s">
        <v>74</v>
      </c>
      <c r="T690" s="2" t="s">
        <v>74</v>
      </c>
      <c r="U690" s="2" t="s">
        <v>74</v>
      </c>
      <c r="V690" s="5" t="s">
        <v>2027</v>
      </c>
      <c r="W690" s="2" t="s">
        <v>74</v>
      </c>
      <c r="X690" s="2" t="s">
        <v>74</v>
      </c>
      <c r="Y690" s="2" t="s">
        <v>74</v>
      </c>
      <c r="Z690" s="2" t="s">
        <v>74</v>
      </c>
      <c r="AA690" s="2" t="s">
        <v>74</v>
      </c>
      <c r="AB690" s="2" t="s">
        <v>74</v>
      </c>
      <c r="AC690" s="2" t="s">
        <v>74</v>
      </c>
      <c r="AD690" s="2" t="s">
        <v>74</v>
      </c>
      <c r="AE690" s="2" t="s">
        <v>74</v>
      </c>
      <c r="AF690" s="2" t="s">
        <v>74</v>
      </c>
      <c r="AG690" s="2" t="s">
        <v>74</v>
      </c>
      <c r="AH690" s="2" t="s">
        <v>74</v>
      </c>
      <c r="AI690" s="2" t="s">
        <v>74</v>
      </c>
      <c r="AJ690" s="2" t="s">
        <v>74</v>
      </c>
      <c r="AK690" s="2" t="s">
        <v>74</v>
      </c>
      <c r="AL690" s="2" t="s">
        <v>74</v>
      </c>
      <c r="AM690" s="2" t="s">
        <v>74</v>
      </c>
      <c r="AN690" s="2" t="s">
        <v>74</v>
      </c>
      <c r="AO690" s="2" t="s">
        <v>1128</v>
      </c>
      <c r="AP690" s="2" t="s">
        <v>1129</v>
      </c>
      <c r="AQ690" s="2" t="s">
        <v>74</v>
      </c>
      <c r="AR690" s="2" t="s">
        <v>74</v>
      </c>
      <c r="AS690" s="2" t="s">
        <v>74</v>
      </c>
      <c r="AT690" s="2" t="s">
        <v>2028</v>
      </c>
      <c r="AU690" s="2">
        <v>1985</v>
      </c>
      <c r="AV690" s="2" t="s">
        <v>74</v>
      </c>
      <c r="AW690" s="2">
        <v>4</v>
      </c>
      <c r="AX690" s="2" t="s">
        <v>74</v>
      </c>
      <c r="AY690" s="2" t="s">
        <v>74</v>
      </c>
      <c r="AZ690" s="2" t="s">
        <v>74</v>
      </c>
      <c r="BA690" s="2" t="s">
        <v>74</v>
      </c>
      <c r="BB690" s="2">
        <v>905</v>
      </c>
      <c r="BC690" s="2">
        <v>910</v>
      </c>
      <c r="BD690" s="2" t="s">
        <v>74</v>
      </c>
      <c r="BE690" s="2" t="s">
        <v>2029</v>
      </c>
      <c r="BF690" s="2" t="str">
        <f>HYPERLINK("http://dx.doi.org/10.2307/1445240","http://dx.doi.org/10.2307/1445240")</f>
        <v>http://dx.doi.org/10.2307/1445240</v>
      </c>
      <c r="BG690" s="2" t="s">
        <v>74</v>
      </c>
      <c r="BH690" s="2" t="s">
        <v>74</v>
      </c>
      <c r="BI690" s="2" t="s">
        <v>74</v>
      </c>
      <c r="BJ690" s="2" t="s">
        <v>74</v>
      </c>
      <c r="BK690" s="2" t="s">
        <v>74</v>
      </c>
      <c r="BL690" s="2" t="s">
        <v>74</v>
      </c>
      <c r="BM690" s="2" t="s">
        <v>74</v>
      </c>
      <c r="BN690" s="2" t="s">
        <v>74</v>
      </c>
      <c r="BO690" s="2" t="s">
        <v>74</v>
      </c>
      <c r="BP690" s="2" t="s">
        <v>74</v>
      </c>
      <c r="BQ690" s="2" t="s">
        <v>74</v>
      </c>
      <c r="BR690" s="2" t="s">
        <v>74</v>
      </c>
      <c r="BS690" s="2" t="s">
        <v>2030</v>
      </c>
      <c r="BT690" s="2" t="str">
        <f>HYPERLINK("https%3A%2F%2Fwww.webofscience.com%2Fwos%2Fwoscc%2Ffull-record%2FWOS:A1985AXC0800010","View Full Record in Web of Science")</f>
        <v>View Full Record in Web of Science</v>
      </c>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row>
    <row r="691" spans="1:314" s="2" customFormat="1" x14ac:dyDescent="0.4">
      <c r="A691" s="2" t="s">
        <v>72</v>
      </c>
      <c r="B691" s="2" t="s">
        <v>1381</v>
      </c>
      <c r="C691" s="2" t="s">
        <v>74</v>
      </c>
      <c r="D691" s="2" t="s">
        <v>74</v>
      </c>
      <c r="E691" s="2" t="s">
        <v>74</v>
      </c>
      <c r="F691" s="2" t="s">
        <v>1382</v>
      </c>
      <c r="G691" s="2" t="s">
        <v>74</v>
      </c>
      <c r="H691" s="2" t="s">
        <v>74</v>
      </c>
      <c r="I691" s="2" t="s">
        <v>1383</v>
      </c>
      <c r="J691" s="2" t="s">
        <v>1384</v>
      </c>
      <c r="K691" s="2" t="s">
        <v>74</v>
      </c>
      <c r="L691" s="2" t="s">
        <v>74</v>
      </c>
      <c r="M691" s="2" t="s">
        <v>74</v>
      </c>
      <c r="N691" s="2" t="s">
        <v>74</v>
      </c>
      <c r="O691" s="2" t="s">
        <v>74</v>
      </c>
      <c r="P691" s="2" t="s">
        <v>74</v>
      </c>
      <c r="Q691" s="2" t="s">
        <v>74</v>
      </c>
      <c r="R691" s="2" t="s">
        <v>74</v>
      </c>
      <c r="S691" s="2" t="s">
        <v>74</v>
      </c>
      <c r="T691" s="2" t="s">
        <v>74</v>
      </c>
      <c r="U691" s="2" t="s">
        <v>74</v>
      </c>
      <c r="V691" s="5" t="s">
        <v>1385</v>
      </c>
      <c r="W691" s="2" t="s">
        <v>74</v>
      </c>
      <c r="X691" s="2" t="s">
        <v>74</v>
      </c>
      <c r="Y691" s="2" t="s">
        <v>74</v>
      </c>
      <c r="Z691" s="2" t="s">
        <v>74</v>
      </c>
      <c r="AA691" s="2" t="s">
        <v>1386</v>
      </c>
      <c r="AB691" s="2" t="s">
        <v>1387</v>
      </c>
      <c r="AC691" s="2" t="s">
        <v>74</v>
      </c>
      <c r="AD691" s="2" t="s">
        <v>74</v>
      </c>
      <c r="AE691" s="2" t="s">
        <v>74</v>
      </c>
      <c r="AF691" s="2" t="s">
        <v>74</v>
      </c>
      <c r="AG691" s="2" t="s">
        <v>74</v>
      </c>
      <c r="AH691" s="2" t="s">
        <v>74</v>
      </c>
      <c r="AI691" s="2" t="s">
        <v>74</v>
      </c>
      <c r="AJ691" s="2" t="s">
        <v>74</v>
      </c>
      <c r="AK691" s="2" t="s">
        <v>74</v>
      </c>
      <c r="AL691" s="2" t="s">
        <v>74</v>
      </c>
      <c r="AM691" s="2" t="s">
        <v>74</v>
      </c>
      <c r="AN691" s="2" t="s">
        <v>74</v>
      </c>
      <c r="AO691" s="2" t="s">
        <v>1388</v>
      </c>
      <c r="AP691" s="2" t="s">
        <v>1389</v>
      </c>
      <c r="AQ691" s="2" t="s">
        <v>74</v>
      </c>
      <c r="AR691" s="2" t="s">
        <v>74</v>
      </c>
      <c r="AS691" s="2" t="s">
        <v>74</v>
      </c>
      <c r="AT691" s="2" t="s">
        <v>175</v>
      </c>
      <c r="AU691" s="2">
        <v>2023</v>
      </c>
      <c r="AV691" s="2">
        <v>165</v>
      </c>
      <c r="AW691" s="2">
        <v>4</v>
      </c>
      <c r="AX691" s="2" t="s">
        <v>74</v>
      </c>
      <c r="AY691" s="2" t="s">
        <v>74</v>
      </c>
      <c r="AZ691" s="2" t="s">
        <v>74</v>
      </c>
      <c r="BA691" s="2" t="s">
        <v>74</v>
      </c>
      <c r="BB691" s="2">
        <v>1359</v>
      </c>
      <c r="BC691" s="2">
        <v>1367</v>
      </c>
      <c r="BD691" s="2" t="s">
        <v>74</v>
      </c>
      <c r="BE691" s="2" t="s">
        <v>1390</v>
      </c>
      <c r="BF691" s="2" t="str">
        <f>HYPERLINK("http://dx.doi.org/10.1111/ibi.13219","http://dx.doi.org/10.1111/ibi.13219")</f>
        <v>http://dx.doi.org/10.1111/ibi.13219</v>
      </c>
      <c r="BG691" s="2" t="s">
        <v>74</v>
      </c>
      <c r="BH691" s="2" t="s">
        <v>1391</v>
      </c>
      <c r="BI691" s="2" t="s">
        <v>74</v>
      </c>
      <c r="BJ691" s="2" t="s">
        <v>74</v>
      </c>
      <c r="BK691" s="2" t="s">
        <v>74</v>
      </c>
      <c r="BL691" s="2" t="s">
        <v>74</v>
      </c>
      <c r="BM691" s="2" t="s">
        <v>74</v>
      </c>
      <c r="BN691" s="2" t="s">
        <v>74</v>
      </c>
      <c r="BO691" s="2" t="s">
        <v>74</v>
      </c>
      <c r="BP691" s="2" t="s">
        <v>74</v>
      </c>
      <c r="BQ691" s="2" t="s">
        <v>74</v>
      </c>
      <c r="BR691" s="2" t="s">
        <v>74</v>
      </c>
      <c r="BS691" s="2" t="s">
        <v>1392</v>
      </c>
      <c r="BT691" s="2" t="str">
        <f>HYPERLINK("https%3A%2F%2Fwww.webofscience.com%2Fwos%2Fwoscc%2Ffull-record%2FWOS:000985415400001","View Full Record in Web of Science")</f>
        <v>View Full Record in Web of Science</v>
      </c>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row>
    <row r="692" spans="1:314" s="1" customFormat="1" x14ac:dyDescent="0.4">
      <c r="A692" s="2" t="s">
        <v>72</v>
      </c>
      <c r="B692" s="2" t="s">
        <v>7373</v>
      </c>
      <c r="C692" s="2" t="s">
        <v>74</v>
      </c>
      <c r="D692" s="2" t="s">
        <v>74</v>
      </c>
      <c r="E692" s="2" t="s">
        <v>74</v>
      </c>
      <c r="F692" s="2" t="s">
        <v>7374</v>
      </c>
      <c r="G692" s="2" t="s">
        <v>74</v>
      </c>
      <c r="H692" s="2" t="s">
        <v>74</v>
      </c>
      <c r="I692" s="2" t="s">
        <v>7375</v>
      </c>
      <c r="J692" s="2" t="s">
        <v>7376</v>
      </c>
      <c r="K692" s="2" t="s">
        <v>74</v>
      </c>
      <c r="L692" s="2" t="s">
        <v>74</v>
      </c>
      <c r="M692" s="2" t="s">
        <v>74</v>
      </c>
      <c r="N692" s="2" t="s">
        <v>74</v>
      </c>
      <c r="O692" s="2" t="s">
        <v>74</v>
      </c>
      <c r="P692" s="2" t="s">
        <v>74</v>
      </c>
      <c r="Q692" s="2" t="s">
        <v>74</v>
      </c>
      <c r="R692" s="2" t="s">
        <v>74</v>
      </c>
      <c r="S692" s="2" t="s">
        <v>74</v>
      </c>
      <c r="T692" s="2" t="s">
        <v>74</v>
      </c>
      <c r="U692" s="2" t="s">
        <v>74</v>
      </c>
      <c r="V692" s="5" t="s">
        <v>7377</v>
      </c>
      <c r="W692" s="2" t="s">
        <v>74</v>
      </c>
      <c r="X692" s="2" t="s">
        <v>74</v>
      </c>
      <c r="Y692" s="2" t="s">
        <v>74</v>
      </c>
      <c r="Z692" s="2" t="s">
        <v>74</v>
      </c>
      <c r="AA692" s="2" t="s">
        <v>7378</v>
      </c>
      <c r="AB692" s="2" t="s">
        <v>7379</v>
      </c>
      <c r="AC692" s="2" t="s">
        <v>74</v>
      </c>
      <c r="AD692" s="2" t="s">
        <v>74</v>
      </c>
      <c r="AE692" s="2" t="s">
        <v>74</v>
      </c>
      <c r="AF692" s="2" t="s">
        <v>74</v>
      </c>
      <c r="AG692" s="2" t="s">
        <v>74</v>
      </c>
      <c r="AH692" s="2" t="s">
        <v>74</v>
      </c>
      <c r="AI692" s="2" t="s">
        <v>74</v>
      </c>
      <c r="AJ692" s="2" t="s">
        <v>74</v>
      </c>
      <c r="AK692" s="2" t="s">
        <v>74</v>
      </c>
      <c r="AL692" s="2" t="s">
        <v>74</v>
      </c>
      <c r="AM692" s="2" t="s">
        <v>74</v>
      </c>
      <c r="AN692" s="2" t="s">
        <v>74</v>
      </c>
      <c r="AO692" s="2" t="s">
        <v>7380</v>
      </c>
      <c r="AP692" s="2" t="s">
        <v>7381</v>
      </c>
      <c r="AQ692" s="2" t="s">
        <v>74</v>
      </c>
      <c r="AR692" s="2" t="s">
        <v>74</v>
      </c>
      <c r="AS692" s="2" t="s">
        <v>74</v>
      </c>
      <c r="AT692" s="2" t="s">
        <v>255</v>
      </c>
      <c r="AU692" s="2">
        <v>2021</v>
      </c>
      <c r="AV692" s="2">
        <v>62</v>
      </c>
      <c r="AW692" s="2">
        <v>1</v>
      </c>
      <c r="AX692" s="2" t="s">
        <v>74</v>
      </c>
      <c r="AY692" s="2" t="s">
        <v>74</v>
      </c>
      <c r="AZ692" s="2" t="s">
        <v>74</v>
      </c>
      <c r="BA692" s="2" t="s">
        <v>74</v>
      </c>
      <c r="BB692" s="2">
        <v>11</v>
      </c>
      <c r="BC692" s="2">
        <v>17</v>
      </c>
      <c r="BD692" s="2" t="s">
        <v>74</v>
      </c>
      <c r="BE692" s="2" t="s">
        <v>7382</v>
      </c>
      <c r="BF692" s="2" t="str">
        <f>HYPERLINK("http://dx.doi.org/10.1007/s10329-020-00852-z","http://dx.doi.org/10.1007/s10329-020-00852-z")</f>
        <v>http://dx.doi.org/10.1007/s10329-020-00852-z</v>
      </c>
      <c r="BG692" s="2" t="s">
        <v>74</v>
      </c>
      <c r="BH692" s="2" t="s">
        <v>2560</v>
      </c>
      <c r="BI692" s="2" t="s">
        <v>74</v>
      </c>
      <c r="BJ692" s="2" t="s">
        <v>74</v>
      </c>
      <c r="BK692" s="2" t="s">
        <v>74</v>
      </c>
      <c r="BL692" s="2" t="s">
        <v>74</v>
      </c>
      <c r="BM692" s="2" t="s">
        <v>74</v>
      </c>
      <c r="BN692" s="2">
        <v>32804328</v>
      </c>
      <c r="BO692" s="2" t="s">
        <v>74</v>
      </c>
      <c r="BP692" s="2" t="s">
        <v>74</v>
      </c>
      <c r="BQ692" s="2" t="s">
        <v>74</v>
      </c>
      <c r="BR692" s="2" t="s">
        <v>74</v>
      </c>
      <c r="BS692" s="2" t="s">
        <v>7383</v>
      </c>
      <c r="BT692" s="2" t="str">
        <f>HYPERLINK("https%3A%2F%2Fwww.webofscience.com%2Fwos%2Fwoscc%2Ffull-record%2FWOS:000560278300001","View Full Record in Web of Science")</f>
        <v>View Full Record in Web of Science</v>
      </c>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row>
    <row r="693" spans="1:314" s="2" customFormat="1" x14ac:dyDescent="0.4">
      <c r="A693" s="2" t="s">
        <v>72</v>
      </c>
      <c r="B693" s="2" t="s">
        <v>3322</v>
      </c>
      <c r="C693" s="2" t="s">
        <v>74</v>
      </c>
      <c r="D693" s="2" t="s">
        <v>74</v>
      </c>
      <c r="E693" s="2" t="s">
        <v>74</v>
      </c>
      <c r="F693" s="2" t="s">
        <v>3323</v>
      </c>
      <c r="G693" s="2" t="s">
        <v>74</v>
      </c>
      <c r="H693" s="2" t="s">
        <v>74</v>
      </c>
      <c r="I693" s="2" t="s">
        <v>3324</v>
      </c>
      <c r="J693" s="2" t="s">
        <v>119</v>
      </c>
      <c r="K693" s="2" t="s">
        <v>74</v>
      </c>
      <c r="L693" s="2" t="s">
        <v>74</v>
      </c>
      <c r="M693" s="2" t="s">
        <v>74</v>
      </c>
      <c r="N693" s="2" t="s">
        <v>74</v>
      </c>
      <c r="O693" s="2" t="s">
        <v>74</v>
      </c>
      <c r="P693" s="2" t="s">
        <v>74</v>
      </c>
      <c r="Q693" s="2" t="s">
        <v>74</v>
      </c>
      <c r="R693" s="2" t="s">
        <v>74</v>
      </c>
      <c r="S693" s="2" t="s">
        <v>74</v>
      </c>
      <c r="T693" s="2" t="s">
        <v>74</v>
      </c>
      <c r="U693" s="2" t="s">
        <v>74</v>
      </c>
      <c r="V693" s="5" t="s">
        <v>3325</v>
      </c>
      <c r="W693" s="2" t="s">
        <v>74</v>
      </c>
      <c r="X693" s="2" t="s">
        <v>74</v>
      </c>
      <c r="Y693" s="2" t="s">
        <v>74</v>
      </c>
      <c r="Z693" s="2" t="s">
        <v>74</v>
      </c>
      <c r="AA693" s="2" t="s">
        <v>3163</v>
      </c>
      <c r="AB693" s="2" t="s">
        <v>3326</v>
      </c>
      <c r="AC693" s="2" t="s">
        <v>74</v>
      </c>
      <c r="AD693" s="2" t="s">
        <v>74</v>
      </c>
      <c r="AE693" s="2" t="s">
        <v>74</v>
      </c>
      <c r="AF693" s="2" t="s">
        <v>74</v>
      </c>
      <c r="AG693" s="2" t="s">
        <v>74</v>
      </c>
      <c r="AH693" s="2" t="s">
        <v>74</v>
      </c>
      <c r="AI693" s="2" t="s">
        <v>74</v>
      </c>
      <c r="AJ693" s="2" t="s">
        <v>74</v>
      </c>
      <c r="AK693" s="2" t="s">
        <v>74</v>
      </c>
      <c r="AL693" s="2" t="s">
        <v>74</v>
      </c>
      <c r="AM693" s="2" t="s">
        <v>74</v>
      </c>
      <c r="AN693" s="2" t="s">
        <v>74</v>
      </c>
      <c r="AO693" s="2" t="s">
        <v>121</v>
      </c>
      <c r="AP693" s="2" t="s">
        <v>122</v>
      </c>
      <c r="AQ693" s="2" t="s">
        <v>74</v>
      </c>
      <c r="AR693" s="2" t="s">
        <v>74</v>
      </c>
      <c r="AS693" s="2" t="s">
        <v>74</v>
      </c>
      <c r="AT693" s="2" t="s">
        <v>123</v>
      </c>
      <c r="AU693" s="2">
        <v>2016</v>
      </c>
      <c r="AV693" s="2">
        <v>124</v>
      </c>
      <c r="AW693" s="2" t="s">
        <v>74</v>
      </c>
      <c r="AX693" s="2" t="s">
        <v>74</v>
      </c>
      <c r="AY693" s="2" t="s">
        <v>74</v>
      </c>
      <c r="AZ693" s="2" t="s">
        <v>74</v>
      </c>
      <c r="BA693" s="2" t="s">
        <v>74</v>
      </c>
      <c r="BB693" s="2">
        <v>47</v>
      </c>
      <c r="BC693" s="2">
        <v>51</v>
      </c>
      <c r="BD693" s="2" t="s">
        <v>74</v>
      </c>
      <c r="BE693" s="2" t="s">
        <v>3327</v>
      </c>
      <c r="BF693" s="2" t="str">
        <f>HYPERLINK("http://dx.doi.org/10.1016/j.beproc.2015.11.021","http://dx.doi.org/10.1016/j.beproc.2015.11.021")</f>
        <v>http://dx.doi.org/10.1016/j.beproc.2015.11.021</v>
      </c>
      <c r="BG693" s="2" t="s">
        <v>74</v>
      </c>
      <c r="BH693" s="2" t="s">
        <v>74</v>
      </c>
      <c r="BI693" s="2" t="s">
        <v>74</v>
      </c>
      <c r="BJ693" s="2" t="s">
        <v>74</v>
      </c>
      <c r="BK693" s="2" t="s">
        <v>74</v>
      </c>
      <c r="BL693" s="2" t="s">
        <v>74</v>
      </c>
      <c r="BM693" s="2" t="s">
        <v>74</v>
      </c>
      <c r="BN693" s="2">
        <v>26655891</v>
      </c>
      <c r="BO693" s="2" t="s">
        <v>74</v>
      </c>
      <c r="BP693" s="2" t="s">
        <v>74</v>
      </c>
      <c r="BQ693" s="2" t="s">
        <v>74</v>
      </c>
      <c r="BR693" s="2" t="s">
        <v>74</v>
      </c>
      <c r="BS693" s="2" t="s">
        <v>3328</v>
      </c>
      <c r="BT693" s="2" t="str">
        <f>HYPERLINK("https%3A%2F%2Fwww.webofscience.com%2Fwos%2Fwoscc%2Ffull-record%2FWOS:000371552600007","View Full Record in Web of Science")</f>
        <v>View Full Record in Web of Science</v>
      </c>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row>
    <row r="694" spans="1:314" s="1" customFormat="1" x14ac:dyDescent="0.4">
      <c r="A694" s="2" t="s">
        <v>72</v>
      </c>
      <c r="B694" s="2" t="s">
        <v>7235</v>
      </c>
      <c r="C694" s="2" t="s">
        <v>74</v>
      </c>
      <c r="D694" s="2" t="s">
        <v>74</v>
      </c>
      <c r="E694" s="2" t="s">
        <v>74</v>
      </c>
      <c r="F694" s="2" t="s">
        <v>7236</v>
      </c>
      <c r="G694" s="2" t="s">
        <v>74</v>
      </c>
      <c r="H694" s="2" t="s">
        <v>74</v>
      </c>
      <c r="I694" s="2" t="s">
        <v>7237</v>
      </c>
      <c r="J694" s="2" t="s">
        <v>654</v>
      </c>
      <c r="K694" s="2" t="s">
        <v>74</v>
      </c>
      <c r="L694" s="2" t="s">
        <v>74</v>
      </c>
      <c r="M694" s="2" t="s">
        <v>74</v>
      </c>
      <c r="N694" s="2" t="s">
        <v>74</v>
      </c>
      <c r="O694" s="2" t="s">
        <v>74</v>
      </c>
      <c r="P694" s="2" t="s">
        <v>74</v>
      </c>
      <c r="Q694" s="2" t="s">
        <v>74</v>
      </c>
      <c r="R694" s="2" t="s">
        <v>74</v>
      </c>
      <c r="S694" s="2" t="s">
        <v>74</v>
      </c>
      <c r="T694" s="2" t="s">
        <v>74</v>
      </c>
      <c r="U694" s="2" t="s">
        <v>74</v>
      </c>
      <c r="V694" s="5" t="s">
        <v>7238</v>
      </c>
      <c r="W694" s="2" t="s">
        <v>74</v>
      </c>
      <c r="X694" s="2" t="s">
        <v>74</v>
      </c>
      <c r="Y694" s="2" t="s">
        <v>74</v>
      </c>
      <c r="Z694" s="2" t="s">
        <v>74</v>
      </c>
      <c r="AA694" s="2" t="s">
        <v>7239</v>
      </c>
      <c r="AB694" s="2" t="s">
        <v>7240</v>
      </c>
      <c r="AC694" s="2" t="s">
        <v>74</v>
      </c>
      <c r="AD694" s="2" t="s">
        <v>74</v>
      </c>
      <c r="AE694" s="2" t="s">
        <v>74</v>
      </c>
      <c r="AF694" s="2" t="s">
        <v>74</v>
      </c>
      <c r="AG694" s="2" t="s">
        <v>74</v>
      </c>
      <c r="AH694" s="2" t="s">
        <v>74</v>
      </c>
      <c r="AI694" s="2" t="s">
        <v>74</v>
      </c>
      <c r="AJ694" s="2" t="s">
        <v>74</v>
      </c>
      <c r="AK694" s="2" t="s">
        <v>74</v>
      </c>
      <c r="AL694" s="2" t="s">
        <v>74</v>
      </c>
      <c r="AM694" s="2" t="s">
        <v>74</v>
      </c>
      <c r="AN694" s="2" t="s">
        <v>74</v>
      </c>
      <c r="AO694" s="2" t="s">
        <v>658</v>
      </c>
      <c r="AP694" s="2" t="s">
        <v>74</v>
      </c>
      <c r="AQ694" s="2" t="s">
        <v>74</v>
      </c>
      <c r="AR694" s="2" t="s">
        <v>74</v>
      </c>
      <c r="AS694" s="2" t="s">
        <v>74</v>
      </c>
      <c r="AT694" s="2" t="s">
        <v>633</v>
      </c>
      <c r="AU694" s="2">
        <v>2019</v>
      </c>
      <c r="AV694" s="2">
        <v>9</v>
      </c>
      <c r="AW694" s="2">
        <v>7</v>
      </c>
      <c r="AX694" s="2" t="s">
        <v>74</v>
      </c>
      <c r="AY694" s="2" t="s">
        <v>74</v>
      </c>
      <c r="AZ694" s="2" t="s">
        <v>74</v>
      </c>
      <c r="BA694" s="2" t="s">
        <v>74</v>
      </c>
      <c r="BB694" s="2">
        <v>4001</v>
      </c>
      <c r="BC694" s="2">
        <v>4012</v>
      </c>
      <c r="BD694" s="2" t="s">
        <v>74</v>
      </c>
      <c r="BE694" s="2" t="s">
        <v>7241</v>
      </c>
      <c r="BF694" s="2" t="str">
        <f>HYPERLINK("http://dx.doi.org/10.1002/ece3.5029","http://dx.doi.org/10.1002/ece3.5029")</f>
        <v>http://dx.doi.org/10.1002/ece3.5029</v>
      </c>
      <c r="BG694" s="2" t="s">
        <v>74</v>
      </c>
      <c r="BH694" s="2" t="s">
        <v>74</v>
      </c>
      <c r="BI694" s="2" t="s">
        <v>74</v>
      </c>
      <c r="BJ694" s="2" t="s">
        <v>74</v>
      </c>
      <c r="BK694" s="2" t="s">
        <v>74</v>
      </c>
      <c r="BL694" s="2" t="s">
        <v>74</v>
      </c>
      <c r="BM694" s="2" t="s">
        <v>74</v>
      </c>
      <c r="BN694" s="2">
        <v>31015983</v>
      </c>
      <c r="BO694" s="2" t="s">
        <v>74</v>
      </c>
      <c r="BP694" s="2" t="s">
        <v>74</v>
      </c>
      <c r="BQ694" s="2" t="s">
        <v>74</v>
      </c>
      <c r="BR694" s="2" t="s">
        <v>74</v>
      </c>
      <c r="BS694" s="2" t="s">
        <v>7242</v>
      </c>
      <c r="BT694" s="2" t="str">
        <f>HYPERLINK("https%3A%2F%2Fwww.webofscience.com%2Fwos%2Fwoscc%2Ffull-record%2FWOS:000465089500027","View Full Record in Web of Science")</f>
        <v>View Full Record in Web of Science</v>
      </c>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row>
    <row r="695" spans="1:314" s="2" customFormat="1" x14ac:dyDescent="0.4">
      <c r="A695" s="2" t="s">
        <v>72</v>
      </c>
      <c r="B695" s="2" t="s">
        <v>7826</v>
      </c>
      <c r="C695" s="2" t="s">
        <v>74</v>
      </c>
      <c r="D695" s="2" t="s">
        <v>74</v>
      </c>
      <c r="E695" s="2" t="s">
        <v>74</v>
      </c>
      <c r="F695" s="2" t="s">
        <v>7827</v>
      </c>
      <c r="G695" s="2" t="s">
        <v>74</v>
      </c>
      <c r="H695" s="2" t="s">
        <v>74</v>
      </c>
      <c r="I695" s="2" t="s">
        <v>7828</v>
      </c>
      <c r="J695" s="2" t="s">
        <v>218</v>
      </c>
      <c r="K695" s="2" t="s">
        <v>74</v>
      </c>
      <c r="L695" s="2" t="s">
        <v>74</v>
      </c>
      <c r="M695" s="2" t="s">
        <v>74</v>
      </c>
      <c r="N695" s="2" t="s">
        <v>74</v>
      </c>
      <c r="O695" s="2" t="s">
        <v>74</v>
      </c>
      <c r="P695" s="2" t="s">
        <v>74</v>
      </c>
      <c r="Q695" s="2" t="s">
        <v>74</v>
      </c>
      <c r="R695" s="2" t="s">
        <v>74</v>
      </c>
      <c r="S695" s="2" t="s">
        <v>74</v>
      </c>
      <c r="T695" s="2" t="s">
        <v>74</v>
      </c>
      <c r="U695" s="2" t="s">
        <v>74</v>
      </c>
      <c r="V695" s="5" t="s">
        <v>7829</v>
      </c>
      <c r="W695" s="2" t="s">
        <v>74</v>
      </c>
      <c r="X695" s="2" t="s">
        <v>74</v>
      </c>
      <c r="Y695" s="2" t="s">
        <v>74</v>
      </c>
      <c r="Z695" s="2" t="s">
        <v>74</v>
      </c>
      <c r="AA695" s="2" t="s">
        <v>74</v>
      </c>
      <c r="AB695" s="2" t="s">
        <v>7830</v>
      </c>
      <c r="AC695" s="2" t="s">
        <v>74</v>
      </c>
      <c r="AD695" s="2" t="s">
        <v>74</v>
      </c>
      <c r="AE695" s="2" t="s">
        <v>74</v>
      </c>
      <c r="AF695" s="2" t="s">
        <v>74</v>
      </c>
      <c r="AG695" s="2" t="s">
        <v>74</v>
      </c>
      <c r="AH695" s="2" t="s">
        <v>74</v>
      </c>
      <c r="AI695" s="2" t="s">
        <v>74</v>
      </c>
      <c r="AJ695" s="2" t="s">
        <v>74</v>
      </c>
      <c r="AK695" s="2" t="s">
        <v>74</v>
      </c>
      <c r="AL695" s="2" t="s">
        <v>74</v>
      </c>
      <c r="AM695" s="2" t="s">
        <v>74</v>
      </c>
      <c r="AN695" s="2" t="s">
        <v>74</v>
      </c>
      <c r="AO695" s="2" t="s">
        <v>221</v>
      </c>
      <c r="AP695" s="2" t="s">
        <v>222</v>
      </c>
      <c r="AQ695" s="2" t="s">
        <v>74</v>
      </c>
      <c r="AR695" s="2" t="s">
        <v>74</v>
      </c>
      <c r="AS695" s="2" t="s">
        <v>74</v>
      </c>
      <c r="AT695" s="2" t="s">
        <v>213</v>
      </c>
      <c r="AU695" s="2">
        <v>2022</v>
      </c>
      <c r="AV695" s="2">
        <v>35</v>
      </c>
      <c r="AW695" s="2">
        <v>11</v>
      </c>
      <c r="AX695" s="2" t="s">
        <v>74</v>
      </c>
      <c r="AY695" s="2" t="s">
        <v>74</v>
      </c>
      <c r="AZ695" s="2" t="s">
        <v>74</v>
      </c>
      <c r="BA695" s="2" t="s">
        <v>74</v>
      </c>
      <c r="BB695" s="2">
        <v>1558</v>
      </c>
      <c r="BC695" s="2">
        <v>1567</v>
      </c>
      <c r="BD695" s="2" t="s">
        <v>74</v>
      </c>
      <c r="BE695" s="2" t="s">
        <v>7831</v>
      </c>
      <c r="BF695" s="2" t="str">
        <f>HYPERLINK("http://dx.doi.org/10.1111/jeb.14089","http://dx.doi.org/10.1111/jeb.14089")</f>
        <v>http://dx.doi.org/10.1111/jeb.14089</v>
      </c>
      <c r="BG695" s="2" t="s">
        <v>74</v>
      </c>
      <c r="BH695" s="2" t="s">
        <v>6006</v>
      </c>
      <c r="BI695" s="2" t="s">
        <v>74</v>
      </c>
      <c r="BJ695" s="2" t="s">
        <v>74</v>
      </c>
      <c r="BK695" s="2" t="s">
        <v>74</v>
      </c>
      <c r="BL695" s="2" t="s">
        <v>74</v>
      </c>
      <c r="BM695" s="2" t="s">
        <v>74</v>
      </c>
      <c r="BN695" s="2">
        <v>36196886</v>
      </c>
      <c r="BO695" s="2" t="s">
        <v>74</v>
      </c>
      <c r="BP695" s="2" t="s">
        <v>74</v>
      </c>
      <c r="BQ695" s="2" t="s">
        <v>74</v>
      </c>
      <c r="BR695" s="2" t="s">
        <v>74</v>
      </c>
      <c r="BS695" s="2" t="s">
        <v>7832</v>
      </c>
      <c r="BT695" s="2" t="str">
        <f>HYPERLINK("https%3A%2F%2Fwww.webofscience.com%2Fwos%2Fwoscc%2Ffull-record%2FWOS:000863852000001","View Full Record in Web of Science")</f>
        <v>View Full Record in Web of Science</v>
      </c>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row>
    <row r="696" spans="1:314" s="2" customFormat="1" x14ac:dyDescent="0.4">
      <c r="A696" s="2" t="s">
        <v>72</v>
      </c>
      <c r="B696" s="2" t="s">
        <v>8492</v>
      </c>
      <c r="C696" s="2" t="s">
        <v>74</v>
      </c>
      <c r="D696" s="2" t="s">
        <v>74</v>
      </c>
      <c r="E696" s="2" t="s">
        <v>74</v>
      </c>
      <c r="F696" s="2" t="s">
        <v>8492</v>
      </c>
      <c r="G696" s="2" t="s">
        <v>74</v>
      </c>
      <c r="H696" s="2" t="s">
        <v>74</v>
      </c>
      <c r="I696" s="2" t="s">
        <v>8493</v>
      </c>
      <c r="J696" s="2" t="s">
        <v>140</v>
      </c>
      <c r="K696" s="2" t="s">
        <v>74</v>
      </c>
      <c r="L696" s="2" t="s">
        <v>74</v>
      </c>
      <c r="M696" s="2" t="s">
        <v>74</v>
      </c>
      <c r="N696" s="2" t="s">
        <v>74</v>
      </c>
      <c r="O696" s="2" t="s">
        <v>74</v>
      </c>
      <c r="P696" s="2" t="s">
        <v>74</v>
      </c>
      <c r="Q696" s="2" t="s">
        <v>74</v>
      </c>
      <c r="R696" s="2" t="s">
        <v>74</v>
      </c>
      <c r="S696" s="2" t="s">
        <v>74</v>
      </c>
      <c r="T696" s="2" t="s">
        <v>74</v>
      </c>
      <c r="U696" s="2" t="s">
        <v>74</v>
      </c>
      <c r="V696" s="5" t="s">
        <v>8494</v>
      </c>
      <c r="W696" s="2" t="s">
        <v>74</v>
      </c>
      <c r="X696" s="2" t="s">
        <v>74</v>
      </c>
      <c r="Y696" s="2" t="s">
        <v>74</v>
      </c>
      <c r="Z696" s="2" t="s">
        <v>74</v>
      </c>
      <c r="AA696" s="2" t="s">
        <v>468</v>
      </c>
      <c r="AB696" s="2" t="s">
        <v>74</v>
      </c>
      <c r="AC696" s="2" t="s">
        <v>74</v>
      </c>
      <c r="AD696" s="2" t="s">
        <v>74</v>
      </c>
      <c r="AE696" s="2" t="s">
        <v>74</v>
      </c>
      <c r="AF696" s="2" t="s">
        <v>74</v>
      </c>
      <c r="AG696" s="2" t="s">
        <v>74</v>
      </c>
      <c r="AH696" s="2" t="s">
        <v>74</v>
      </c>
      <c r="AI696" s="2" t="s">
        <v>74</v>
      </c>
      <c r="AJ696" s="2" t="s">
        <v>74</v>
      </c>
      <c r="AK696" s="2" t="s">
        <v>74</v>
      </c>
      <c r="AL696" s="2" t="s">
        <v>74</v>
      </c>
      <c r="AM696" s="2" t="s">
        <v>74</v>
      </c>
      <c r="AN696" s="2" t="s">
        <v>74</v>
      </c>
      <c r="AO696" s="2" t="s">
        <v>143</v>
      </c>
      <c r="AP696" s="2" t="s">
        <v>144</v>
      </c>
      <c r="AQ696" s="2" t="s">
        <v>74</v>
      </c>
      <c r="AR696" s="2" t="s">
        <v>74</v>
      </c>
      <c r="AS696" s="2" t="s">
        <v>74</v>
      </c>
      <c r="AT696" s="2" t="s">
        <v>175</v>
      </c>
      <c r="AU696" s="2">
        <v>1997</v>
      </c>
      <c r="AV696" s="2">
        <v>54</v>
      </c>
      <c r="AW696" s="2" t="s">
        <v>74</v>
      </c>
      <c r="AX696" s="2">
        <v>4</v>
      </c>
      <c r="AY696" s="2" t="s">
        <v>74</v>
      </c>
      <c r="AZ696" s="2" t="s">
        <v>74</v>
      </c>
      <c r="BA696" s="2" t="s">
        <v>74</v>
      </c>
      <c r="BB696" s="2">
        <v>927</v>
      </c>
      <c r="BC696" s="2">
        <v>939</v>
      </c>
      <c r="BD696" s="2" t="s">
        <v>74</v>
      </c>
      <c r="BE696" s="2" t="s">
        <v>8495</v>
      </c>
      <c r="BF696" s="2" t="str">
        <f>HYPERLINK("http://dx.doi.org/10.1006/anbe.1997.0476","http://dx.doi.org/10.1006/anbe.1997.0476")</f>
        <v>http://dx.doi.org/10.1006/anbe.1997.0476</v>
      </c>
      <c r="BG696" s="2" t="s">
        <v>74</v>
      </c>
      <c r="BH696" s="2" t="s">
        <v>74</v>
      </c>
      <c r="BI696" s="2" t="s">
        <v>74</v>
      </c>
      <c r="BJ696" s="2" t="s">
        <v>74</v>
      </c>
      <c r="BK696" s="2" t="s">
        <v>74</v>
      </c>
      <c r="BL696" s="2" t="s">
        <v>74</v>
      </c>
      <c r="BM696" s="2" t="s">
        <v>74</v>
      </c>
      <c r="BN696" s="2">
        <v>9344445</v>
      </c>
      <c r="BO696" s="2" t="s">
        <v>74</v>
      </c>
      <c r="BP696" s="2" t="s">
        <v>74</v>
      </c>
      <c r="BQ696" s="2" t="s">
        <v>74</v>
      </c>
      <c r="BR696" s="2" t="s">
        <v>74</v>
      </c>
      <c r="BS696" s="2" t="s">
        <v>8496</v>
      </c>
      <c r="BT696" s="2" t="str">
        <f>HYPERLINK("https%3A%2F%2Fwww.webofscience.com%2Fwos%2Fwoscc%2Ffull-record%2FWOS:A1997YE30600016","View Full Record in Web of Science")</f>
        <v>View Full Record in Web of Science</v>
      </c>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row>
    <row r="697" spans="1:314" s="2" customFormat="1" x14ac:dyDescent="0.4">
      <c r="A697" s="2" t="s">
        <v>72</v>
      </c>
      <c r="B697" s="2" t="s">
        <v>6388</v>
      </c>
      <c r="C697" s="2" t="s">
        <v>74</v>
      </c>
      <c r="D697" s="2" t="s">
        <v>74</v>
      </c>
      <c r="E697" s="2" t="s">
        <v>74</v>
      </c>
      <c r="F697" s="2" t="s">
        <v>6388</v>
      </c>
      <c r="G697" s="2" t="s">
        <v>74</v>
      </c>
      <c r="H697" s="2" t="s">
        <v>74</v>
      </c>
      <c r="I697" s="2" t="s">
        <v>6389</v>
      </c>
      <c r="J697" s="2" t="s">
        <v>171</v>
      </c>
      <c r="K697" s="2" t="s">
        <v>74</v>
      </c>
      <c r="L697" s="2" t="s">
        <v>74</v>
      </c>
      <c r="M697" s="2" t="s">
        <v>74</v>
      </c>
      <c r="N697" s="2" t="s">
        <v>74</v>
      </c>
      <c r="O697" s="2" t="s">
        <v>74</v>
      </c>
      <c r="P697" s="2" t="s">
        <v>74</v>
      </c>
      <c r="Q697" s="2" t="s">
        <v>74</v>
      </c>
      <c r="R697" s="2" t="s">
        <v>74</v>
      </c>
      <c r="S697" s="2" t="s">
        <v>74</v>
      </c>
      <c r="T697" s="2" t="s">
        <v>74</v>
      </c>
      <c r="U697" s="2" t="s">
        <v>74</v>
      </c>
      <c r="V697" s="5" t="s">
        <v>6390</v>
      </c>
      <c r="W697" s="2" t="s">
        <v>74</v>
      </c>
      <c r="X697" s="2" t="s">
        <v>74</v>
      </c>
      <c r="Y697" s="2" t="s">
        <v>74</v>
      </c>
      <c r="Z697" s="2" t="s">
        <v>74</v>
      </c>
      <c r="AA697" s="2" t="s">
        <v>6391</v>
      </c>
      <c r="AB697" s="2" t="s">
        <v>74</v>
      </c>
      <c r="AC697" s="2" t="s">
        <v>74</v>
      </c>
      <c r="AD697" s="2" t="s">
        <v>74</v>
      </c>
      <c r="AE697" s="2" t="s">
        <v>74</v>
      </c>
      <c r="AF697" s="2" t="s">
        <v>74</v>
      </c>
      <c r="AG697" s="2" t="s">
        <v>74</v>
      </c>
      <c r="AH697" s="2" t="s">
        <v>74</v>
      </c>
      <c r="AI697" s="2" t="s">
        <v>74</v>
      </c>
      <c r="AJ697" s="2" t="s">
        <v>74</v>
      </c>
      <c r="AK697" s="2" t="s">
        <v>74</v>
      </c>
      <c r="AL697" s="2" t="s">
        <v>74</v>
      </c>
      <c r="AM697" s="2" t="s">
        <v>74</v>
      </c>
      <c r="AN697" s="2" t="s">
        <v>74</v>
      </c>
      <c r="AO697" s="2" t="s">
        <v>173</v>
      </c>
      <c r="AP697" s="2" t="s">
        <v>174</v>
      </c>
      <c r="AQ697" s="2" t="s">
        <v>74</v>
      </c>
      <c r="AR697" s="2" t="s">
        <v>74</v>
      </c>
      <c r="AS697" s="2" t="s">
        <v>74</v>
      </c>
      <c r="AT697" s="2" t="s">
        <v>134</v>
      </c>
      <c r="AU697" s="2">
        <v>1986</v>
      </c>
      <c r="AV697" s="2">
        <v>40</v>
      </c>
      <c r="AW697" s="2">
        <v>3</v>
      </c>
      <c r="AX697" s="2" t="s">
        <v>74</v>
      </c>
      <c r="AY697" s="2" t="s">
        <v>74</v>
      </c>
      <c r="AZ697" s="2" t="s">
        <v>74</v>
      </c>
      <c r="BA697" s="2" t="s">
        <v>74</v>
      </c>
      <c r="BB697" s="2">
        <v>605</v>
      </c>
      <c r="BC697" s="2">
        <v>615</v>
      </c>
      <c r="BD697" s="2" t="s">
        <v>74</v>
      </c>
      <c r="BE697" s="2" t="s">
        <v>6392</v>
      </c>
      <c r="BF697" s="2" t="str">
        <f>HYPERLINK("http://dx.doi.org/10.2307/2408581","http://dx.doi.org/10.2307/2408581")</f>
        <v>http://dx.doi.org/10.2307/2408581</v>
      </c>
      <c r="BG697" s="2" t="s">
        <v>74</v>
      </c>
      <c r="BH697" s="2" t="s">
        <v>74</v>
      </c>
      <c r="BI697" s="2" t="s">
        <v>74</v>
      </c>
      <c r="BJ697" s="2" t="s">
        <v>74</v>
      </c>
      <c r="BK697" s="2" t="s">
        <v>74</v>
      </c>
      <c r="BL697" s="2" t="s">
        <v>74</v>
      </c>
      <c r="BM697" s="2" t="s">
        <v>74</v>
      </c>
      <c r="BN697" s="2">
        <v>28556339</v>
      </c>
      <c r="BO697" s="2" t="s">
        <v>74</v>
      </c>
      <c r="BP697" s="2" t="s">
        <v>74</v>
      </c>
      <c r="BQ697" s="2" t="s">
        <v>74</v>
      </c>
      <c r="BR697" s="2" t="s">
        <v>74</v>
      </c>
      <c r="BS697" s="2" t="s">
        <v>6393</v>
      </c>
      <c r="BT697" s="2" t="str">
        <f>HYPERLINK("https%3A%2F%2Fwww.webofscience.com%2Fwos%2Fwoscc%2Ffull-record%2FWOS:A1986C438800014","View Full Record in Web of Science")</f>
        <v>View Full Record in Web of Science</v>
      </c>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row>
    <row r="698" spans="1:314" s="2" customFormat="1" x14ac:dyDescent="0.4">
      <c r="A698" s="2" t="s">
        <v>72</v>
      </c>
      <c r="B698" s="2" t="s">
        <v>464</v>
      </c>
      <c r="C698" s="2" t="s">
        <v>74</v>
      </c>
      <c r="D698" s="2" t="s">
        <v>74</v>
      </c>
      <c r="E698" s="2" t="s">
        <v>74</v>
      </c>
      <c r="F698" s="2" t="s">
        <v>465</v>
      </c>
      <c r="G698" s="2" t="s">
        <v>74</v>
      </c>
      <c r="H698" s="2" t="s">
        <v>74</v>
      </c>
      <c r="I698" s="2" t="s">
        <v>466</v>
      </c>
      <c r="J698" s="2" t="s">
        <v>140</v>
      </c>
      <c r="K698" s="2" t="s">
        <v>74</v>
      </c>
      <c r="L698" s="2" t="s">
        <v>74</v>
      </c>
      <c r="M698" s="2" t="s">
        <v>74</v>
      </c>
      <c r="N698" s="2" t="s">
        <v>74</v>
      </c>
      <c r="O698" s="2" t="s">
        <v>74</v>
      </c>
      <c r="P698" s="2" t="s">
        <v>74</v>
      </c>
      <c r="Q698" s="2" t="s">
        <v>74</v>
      </c>
      <c r="R698" s="2" t="s">
        <v>74</v>
      </c>
      <c r="S698" s="2" t="s">
        <v>74</v>
      </c>
      <c r="T698" s="2" t="s">
        <v>74</v>
      </c>
      <c r="U698" s="2" t="s">
        <v>74</v>
      </c>
      <c r="V698" s="5" t="s">
        <v>467</v>
      </c>
      <c r="W698" s="2" t="s">
        <v>74</v>
      </c>
      <c r="X698" s="2" t="s">
        <v>74</v>
      </c>
      <c r="Y698" s="2" t="s">
        <v>74</v>
      </c>
      <c r="Z698" s="2" t="s">
        <v>74</v>
      </c>
      <c r="AA698" s="2" t="s">
        <v>468</v>
      </c>
      <c r="AB698" s="2" t="s">
        <v>469</v>
      </c>
      <c r="AC698" s="2" t="s">
        <v>74</v>
      </c>
      <c r="AD698" s="2" t="s">
        <v>74</v>
      </c>
      <c r="AE698" s="2" t="s">
        <v>74</v>
      </c>
      <c r="AF698" s="2" t="s">
        <v>74</v>
      </c>
      <c r="AG698" s="2" t="s">
        <v>74</v>
      </c>
      <c r="AH698" s="2" t="s">
        <v>74</v>
      </c>
      <c r="AI698" s="2" t="s">
        <v>74</v>
      </c>
      <c r="AJ698" s="2" t="s">
        <v>74</v>
      </c>
      <c r="AK698" s="2" t="s">
        <v>74</v>
      </c>
      <c r="AL698" s="2" t="s">
        <v>74</v>
      </c>
      <c r="AM698" s="2" t="s">
        <v>74</v>
      </c>
      <c r="AN698" s="2" t="s">
        <v>74</v>
      </c>
      <c r="AO698" s="2" t="s">
        <v>143</v>
      </c>
      <c r="AP698" s="2" t="s">
        <v>144</v>
      </c>
      <c r="AQ698" s="2" t="s">
        <v>74</v>
      </c>
      <c r="AR698" s="2" t="s">
        <v>74</v>
      </c>
      <c r="AS698" s="2" t="s">
        <v>74</v>
      </c>
      <c r="AT698" s="2" t="s">
        <v>134</v>
      </c>
      <c r="AU698" s="2">
        <v>2015</v>
      </c>
      <c r="AV698" s="2">
        <v>103</v>
      </c>
      <c r="AW698" s="2" t="s">
        <v>74</v>
      </c>
      <c r="AX698" s="2" t="s">
        <v>74</v>
      </c>
      <c r="AY698" s="2" t="s">
        <v>74</v>
      </c>
      <c r="AZ698" s="2" t="s">
        <v>74</v>
      </c>
      <c r="BA698" s="2" t="s">
        <v>74</v>
      </c>
      <c r="BB698" s="2">
        <v>117</v>
      </c>
      <c r="BC698" s="2">
        <v>124</v>
      </c>
      <c r="BD698" s="2" t="s">
        <v>74</v>
      </c>
      <c r="BE698" s="2" t="s">
        <v>470</v>
      </c>
      <c r="BF698" s="2" t="str">
        <f>HYPERLINK("http://dx.doi.org/10.1016/j.anbehav.2015.02.010","http://dx.doi.org/10.1016/j.anbehav.2015.02.010")</f>
        <v>http://dx.doi.org/10.1016/j.anbehav.2015.02.010</v>
      </c>
      <c r="BG698" s="2" t="s">
        <v>74</v>
      </c>
      <c r="BH698" s="2" t="s">
        <v>74</v>
      </c>
      <c r="BI698" s="2" t="s">
        <v>74</v>
      </c>
      <c r="BJ698" s="2" t="s">
        <v>74</v>
      </c>
      <c r="BK698" s="2" t="s">
        <v>74</v>
      </c>
      <c r="BL698" s="2" t="s">
        <v>74</v>
      </c>
      <c r="BM698" s="2" t="s">
        <v>74</v>
      </c>
      <c r="BN698" s="2" t="s">
        <v>74</v>
      </c>
      <c r="BO698" s="2" t="s">
        <v>74</v>
      </c>
      <c r="BP698" s="2" t="s">
        <v>74</v>
      </c>
      <c r="BQ698" s="2" t="s">
        <v>74</v>
      </c>
      <c r="BR698" s="2" t="s">
        <v>74</v>
      </c>
      <c r="BS698" s="2" t="s">
        <v>471</v>
      </c>
      <c r="BT698" s="2" t="str">
        <f>HYPERLINK("https%3A%2F%2Fwww.webofscience.com%2Fwos%2Fwoscc%2Ffull-record%2FWOS:000353378200015","View Full Record in Web of Science")</f>
        <v>View Full Record in Web of Science</v>
      </c>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row>
    <row r="699" spans="1:314" s="2" customFormat="1" x14ac:dyDescent="0.4">
      <c r="A699" s="2" t="s">
        <v>72</v>
      </c>
      <c r="B699" s="2" t="s">
        <v>2163</v>
      </c>
      <c r="C699" s="2" t="s">
        <v>74</v>
      </c>
      <c r="D699" s="2" t="s">
        <v>74</v>
      </c>
      <c r="E699" s="2" t="s">
        <v>74</v>
      </c>
      <c r="F699" s="2" t="s">
        <v>2164</v>
      </c>
      <c r="G699" s="2" t="s">
        <v>74</v>
      </c>
      <c r="H699" s="2" t="s">
        <v>74</v>
      </c>
      <c r="I699" s="2" t="s">
        <v>2165</v>
      </c>
      <c r="J699" s="2" t="s">
        <v>312</v>
      </c>
      <c r="K699" s="2" t="s">
        <v>74</v>
      </c>
      <c r="L699" s="2" t="s">
        <v>74</v>
      </c>
      <c r="M699" s="2" t="s">
        <v>74</v>
      </c>
      <c r="N699" s="2" t="s">
        <v>74</v>
      </c>
      <c r="O699" s="2" t="s">
        <v>74</v>
      </c>
      <c r="P699" s="2" t="s">
        <v>74</v>
      </c>
      <c r="Q699" s="2" t="s">
        <v>74</v>
      </c>
      <c r="R699" s="2" t="s">
        <v>74</v>
      </c>
      <c r="S699" s="2" t="s">
        <v>74</v>
      </c>
      <c r="T699" s="2" t="s">
        <v>74</v>
      </c>
      <c r="U699" s="2" t="s">
        <v>74</v>
      </c>
      <c r="V699" s="5" t="s">
        <v>2166</v>
      </c>
      <c r="W699" s="2" t="s">
        <v>74</v>
      </c>
      <c r="X699" s="2" t="s">
        <v>74</v>
      </c>
      <c r="Y699" s="2" t="s">
        <v>74</v>
      </c>
      <c r="Z699" s="2" t="s">
        <v>74</v>
      </c>
      <c r="AA699" s="2" t="s">
        <v>2167</v>
      </c>
      <c r="AB699" s="2" t="s">
        <v>2168</v>
      </c>
      <c r="AC699" s="2" t="s">
        <v>74</v>
      </c>
      <c r="AD699" s="2" t="s">
        <v>74</v>
      </c>
      <c r="AE699" s="2" t="s">
        <v>74</v>
      </c>
      <c r="AF699" s="2" t="s">
        <v>74</v>
      </c>
      <c r="AG699" s="2" t="s">
        <v>74</v>
      </c>
      <c r="AH699" s="2" t="s">
        <v>74</v>
      </c>
      <c r="AI699" s="2" t="s">
        <v>74</v>
      </c>
      <c r="AJ699" s="2" t="s">
        <v>74</v>
      </c>
      <c r="AK699" s="2" t="s">
        <v>74</v>
      </c>
      <c r="AL699" s="2" t="s">
        <v>74</v>
      </c>
      <c r="AM699" s="2" t="s">
        <v>74</v>
      </c>
      <c r="AN699" s="2" t="s">
        <v>74</v>
      </c>
      <c r="AO699" s="2" t="s">
        <v>314</v>
      </c>
      <c r="AP699" s="2" t="s">
        <v>74</v>
      </c>
      <c r="AQ699" s="2" t="s">
        <v>74</v>
      </c>
      <c r="AR699" s="2" t="s">
        <v>74</v>
      </c>
      <c r="AS699" s="2" t="s">
        <v>74</v>
      </c>
      <c r="AT699" s="2" t="s">
        <v>255</v>
      </c>
      <c r="AU699" s="2">
        <v>2012</v>
      </c>
      <c r="AV699" s="2">
        <v>179</v>
      </c>
      <c r="AW699" s="2">
        <v>1</v>
      </c>
      <c r="AX699" s="2" t="s">
        <v>74</v>
      </c>
      <c r="AY699" s="2" t="s">
        <v>74</v>
      </c>
      <c r="AZ699" s="2" t="s">
        <v>74</v>
      </c>
      <c r="BA699" s="2" t="s">
        <v>74</v>
      </c>
      <c r="BB699" s="2" t="s">
        <v>2169</v>
      </c>
      <c r="BC699" s="2" t="s">
        <v>2170</v>
      </c>
      <c r="BD699" s="2" t="s">
        <v>74</v>
      </c>
      <c r="BE699" s="2" t="s">
        <v>2171</v>
      </c>
      <c r="BF699" s="2" t="str">
        <f>HYPERLINK("http://dx.doi.org/10.1086/663197","http://dx.doi.org/10.1086/663197")</f>
        <v>http://dx.doi.org/10.1086/663197</v>
      </c>
      <c r="BG699" s="2" t="s">
        <v>74</v>
      </c>
      <c r="BH699" s="2" t="s">
        <v>74</v>
      </c>
      <c r="BI699" s="2" t="s">
        <v>74</v>
      </c>
      <c r="BJ699" s="2" t="s">
        <v>74</v>
      </c>
      <c r="BK699" s="2" t="s">
        <v>74</v>
      </c>
      <c r="BL699" s="2" t="s">
        <v>74</v>
      </c>
      <c r="BM699" s="2" t="s">
        <v>74</v>
      </c>
      <c r="BN699" s="2">
        <v>22173468</v>
      </c>
      <c r="BO699" s="2" t="s">
        <v>74</v>
      </c>
      <c r="BP699" s="2" t="s">
        <v>74</v>
      </c>
      <c r="BQ699" s="2" t="s">
        <v>74</v>
      </c>
      <c r="BR699" s="2" t="s">
        <v>74</v>
      </c>
      <c r="BS699" s="2" t="s">
        <v>2172</v>
      </c>
      <c r="BT699" s="2" t="str">
        <f>HYPERLINK("https%3A%2F%2Fwww.webofscience.com%2Fwos%2Fwoscc%2Ffull-record%2FWOS:000298379200001","View Full Record in Web of Science")</f>
        <v>View Full Record in Web of Science</v>
      </c>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row>
    <row r="700" spans="1:314" s="2" customFormat="1" x14ac:dyDescent="0.4">
      <c r="A700" s="2" t="s">
        <v>72</v>
      </c>
      <c r="B700" s="2" t="s">
        <v>1272</v>
      </c>
      <c r="C700" s="2" t="s">
        <v>74</v>
      </c>
      <c r="D700" s="2" t="s">
        <v>74</v>
      </c>
      <c r="E700" s="2" t="s">
        <v>74</v>
      </c>
      <c r="F700" s="2" t="s">
        <v>1272</v>
      </c>
      <c r="G700" s="2" t="s">
        <v>74</v>
      </c>
      <c r="H700" s="2" t="s">
        <v>74</v>
      </c>
      <c r="I700" s="2" t="s">
        <v>1273</v>
      </c>
      <c r="J700" s="2" t="s">
        <v>610</v>
      </c>
      <c r="K700" s="2" t="s">
        <v>74</v>
      </c>
      <c r="L700" s="2" t="s">
        <v>74</v>
      </c>
      <c r="M700" s="2" t="s">
        <v>74</v>
      </c>
      <c r="N700" s="2" t="s">
        <v>74</v>
      </c>
      <c r="O700" s="2" t="s">
        <v>74</v>
      </c>
      <c r="P700" s="2" t="s">
        <v>74</v>
      </c>
      <c r="Q700" s="2" t="s">
        <v>74</v>
      </c>
      <c r="R700" s="2" t="s">
        <v>74</v>
      </c>
      <c r="S700" s="2" t="s">
        <v>74</v>
      </c>
      <c r="T700" s="2" t="s">
        <v>74</v>
      </c>
      <c r="U700" s="2" t="s">
        <v>74</v>
      </c>
      <c r="V700" s="5" t="s">
        <v>1274</v>
      </c>
      <c r="W700" s="2" t="s">
        <v>74</v>
      </c>
      <c r="X700" s="2" t="s">
        <v>74</v>
      </c>
      <c r="Y700" s="2" t="s">
        <v>74</v>
      </c>
      <c r="Z700" s="2" t="s">
        <v>74</v>
      </c>
      <c r="AA700" s="2" t="s">
        <v>1275</v>
      </c>
      <c r="AB700" s="2" t="s">
        <v>74</v>
      </c>
      <c r="AC700" s="2" t="s">
        <v>74</v>
      </c>
      <c r="AD700" s="2" t="s">
        <v>74</v>
      </c>
      <c r="AE700" s="2" t="s">
        <v>74</v>
      </c>
      <c r="AF700" s="2" t="s">
        <v>74</v>
      </c>
      <c r="AG700" s="2" t="s">
        <v>74</v>
      </c>
      <c r="AH700" s="2" t="s">
        <v>74</v>
      </c>
      <c r="AI700" s="2" t="s">
        <v>74</v>
      </c>
      <c r="AJ700" s="2" t="s">
        <v>74</v>
      </c>
      <c r="AK700" s="2" t="s">
        <v>74</v>
      </c>
      <c r="AL700" s="2" t="s">
        <v>74</v>
      </c>
      <c r="AM700" s="2" t="s">
        <v>74</v>
      </c>
      <c r="AN700" s="2" t="s">
        <v>74</v>
      </c>
      <c r="AO700" s="2" t="s">
        <v>614</v>
      </c>
      <c r="AP700" s="2" t="s">
        <v>74</v>
      </c>
      <c r="AQ700" s="2" t="s">
        <v>74</v>
      </c>
      <c r="AR700" s="2" t="s">
        <v>74</v>
      </c>
      <c r="AS700" s="2" t="s">
        <v>74</v>
      </c>
      <c r="AT700" s="2" t="s">
        <v>1075</v>
      </c>
      <c r="AU700" s="2">
        <v>1994</v>
      </c>
      <c r="AV700" s="2">
        <v>98</v>
      </c>
      <c r="AW700" s="2" t="s">
        <v>1276</v>
      </c>
      <c r="AX700" s="2" t="s">
        <v>74</v>
      </c>
      <c r="AY700" s="2" t="s">
        <v>74</v>
      </c>
      <c r="AZ700" s="2" t="s">
        <v>74</v>
      </c>
      <c r="BA700" s="2" t="s">
        <v>74</v>
      </c>
      <c r="BB700" s="2">
        <v>246</v>
      </c>
      <c r="BC700" s="2">
        <v>264</v>
      </c>
      <c r="BD700" s="2" t="s">
        <v>74</v>
      </c>
      <c r="BE700" s="2" t="s">
        <v>74</v>
      </c>
      <c r="BF700" s="2" t="s">
        <v>74</v>
      </c>
      <c r="BG700" s="2" t="s">
        <v>74</v>
      </c>
      <c r="BH700" s="2" t="s">
        <v>74</v>
      </c>
      <c r="BI700" s="2" t="s">
        <v>74</v>
      </c>
      <c r="BJ700" s="2" t="s">
        <v>74</v>
      </c>
      <c r="BK700" s="2" t="s">
        <v>74</v>
      </c>
      <c r="BL700" s="2" t="s">
        <v>74</v>
      </c>
      <c r="BM700" s="2" t="s">
        <v>74</v>
      </c>
      <c r="BN700" s="2" t="s">
        <v>74</v>
      </c>
      <c r="BO700" s="2" t="s">
        <v>74</v>
      </c>
      <c r="BP700" s="2" t="s">
        <v>74</v>
      </c>
      <c r="BQ700" s="2" t="s">
        <v>74</v>
      </c>
      <c r="BR700" s="2" t="s">
        <v>74</v>
      </c>
      <c r="BS700" s="2" t="s">
        <v>1277</v>
      </c>
      <c r="BT700" s="2" t="str">
        <f>HYPERLINK("https%3A%2F%2Fwww.webofscience.com%2Fwos%2Fwoscc%2Ffull-record%2FWOS:A1994QA66800006","View Full Record in Web of Science")</f>
        <v>View Full Record in Web of Science</v>
      </c>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row>
    <row r="701" spans="1:314" s="2" customFormat="1" x14ac:dyDescent="0.4">
      <c r="A701" s="2" t="s">
        <v>72</v>
      </c>
      <c r="B701" s="2" t="s">
        <v>3860</v>
      </c>
      <c r="C701" s="2" t="s">
        <v>74</v>
      </c>
      <c r="D701" s="2" t="s">
        <v>74</v>
      </c>
      <c r="E701" s="2" t="s">
        <v>74</v>
      </c>
      <c r="F701" s="2" t="s">
        <v>3861</v>
      </c>
      <c r="G701" s="2" t="s">
        <v>74</v>
      </c>
      <c r="H701" s="2" t="s">
        <v>74</v>
      </c>
      <c r="I701" s="2" t="s">
        <v>3862</v>
      </c>
      <c r="J701" s="2" t="s">
        <v>1198</v>
      </c>
      <c r="K701" s="2" t="s">
        <v>74</v>
      </c>
      <c r="L701" s="2" t="s">
        <v>74</v>
      </c>
      <c r="M701" s="2" t="s">
        <v>74</v>
      </c>
      <c r="N701" s="2" t="s">
        <v>74</v>
      </c>
      <c r="O701" s="2" t="s">
        <v>74</v>
      </c>
      <c r="P701" s="2" t="s">
        <v>74</v>
      </c>
      <c r="Q701" s="2" t="s">
        <v>74</v>
      </c>
      <c r="R701" s="2" t="s">
        <v>74</v>
      </c>
      <c r="S701" s="2" t="s">
        <v>74</v>
      </c>
      <c r="T701" s="2" t="s">
        <v>74</v>
      </c>
      <c r="U701" s="2" t="s">
        <v>74</v>
      </c>
      <c r="V701" s="5" t="s">
        <v>3863</v>
      </c>
      <c r="W701" s="2" t="s">
        <v>74</v>
      </c>
      <c r="X701" s="2" t="s">
        <v>74</v>
      </c>
      <c r="Y701" s="2" t="s">
        <v>74</v>
      </c>
      <c r="Z701" s="2" t="s">
        <v>74</v>
      </c>
      <c r="AA701" s="2" t="s">
        <v>74</v>
      </c>
      <c r="AB701" s="2" t="s">
        <v>2709</v>
      </c>
      <c r="AC701" s="2" t="s">
        <v>74</v>
      </c>
      <c r="AD701" s="2" t="s">
        <v>74</v>
      </c>
      <c r="AE701" s="2" t="s">
        <v>74</v>
      </c>
      <c r="AF701" s="2" t="s">
        <v>74</v>
      </c>
      <c r="AG701" s="2" t="s">
        <v>74</v>
      </c>
      <c r="AH701" s="2" t="s">
        <v>74</v>
      </c>
      <c r="AI701" s="2" t="s">
        <v>74</v>
      </c>
      <c r="AJ701" s="2" t="s">
        <v>74</v>
      </c>
      <c r="AK701" s="2" t="s">
        <v>74</v>
      </c>
      <c r="AL701" s="2" t="s">
        <v>74</v>
      </c>
      <c r="AM701" s="2" t="s">
        <v>74</v>
      </c>
      <c r="AN701" s="2" t="s">
        <v>74</v>
      </c>
      <c r="AO701" s="2" t="s">
        <v>1202</v>
      </c>
      <c r="AP701" s="2" t="s">
        <v>1203</v>
      </c>
      <c r="AQ701" s="2" t="s">
        <v>74</v>
      </c>
      <c r="AR701" s="2" t="s">
        <v>74</v>
      </c>
      <c r="AS701" s="2" t="s">
        <v>74</v>
      </c>
      <c r="AT701" s="2" t="s">
        <v>102</v>
      </c>
      <c r="AU701" s="2">
        <v>2015</v>
      </c>
      <c r="AV701" s="2">
        <v>71</v>
      </c>
      <c r="AW701" s="2">
        <v>2</v>
      </c>
      <c r="AX701" s="2" t="s">
        <v>74</v>
      </c>
      <c r="AY701" s="2" t="s">
        <v>74</v>
      </c>
      <c r="AZ701" s="2" t="s">
        <v>74</v>
      </c>
      <c r="BA701" s="2" t="s">
        <v>74</v>
      </c>
      <c r="BB701" s="2">
        <v>110</v>
      </c>
      <c r="BC701" s="2">
        <v>116</v>
      </c>
      <c r="BD701" s="2" t="s">
        <v>74</v>
      </c>
      <c r="BE701" s="2" t="s">
        <v>3864</v>
      </c>
      <c r="BF701" s="2" t="str">
        <f>HYPERLINK("http://dx.doi.org/10.1655/HERPETOLOGICA-D-14-00044","http://dx.doi.org/10.1655/HERPETOLOGICA-D-14-00044")</f>
        <v>http://dx.doi.org/10.1655/HERPETOLOGICA-D-14-00044</v>
      </c>
      <c r="BG701" s="2" t="s">
        <v>74</v>
      </c>
      <c r="BH701" s="2" t="s">
        <v>74</v>
      </c>
      <c r="BI701" s="2" t="s">
        <v>74</v>
      </c>
      <c r="BJ701" s="2" t="s">
        <v>74</v>
      </c>
      <c r="BK701" s="2" t="s">
        <v>74</v>
      </c>
      <c r="BL701" s="2" t="s">
        <v>74</v>
      </c>
      <c r="BM701" s="2" t="s">
        <v>74</v>
      </c>
      <c r="BN701" s="2" t="s">
        <v>74</v>
      </c>
      <c r="BO701" s="2" t="s">
        <v>74</v>
      </c>
      <c r="BP701" s="2" t="s">
        <v>74</v>
      </c>
      <c r="BQ701" s="2" t="s">
        <v>74</v>
      </c>
      <c r="BR701" s="2" t="s">
        <v>74</v>
      </c>
      <c r="BS701" s="2" t="s">
        <v>3865</v>
      </c>
      <c r="BT701" s="2" t="str">
        <f>HYPERLINK("https%3A%2F%2Fwww.webofscience.com%2Fwos%2Fwoscc%2Ffull-record%2FWOS:000357733800005","View Full Record in Web of Science")</f>
        <v>View Full Record in Web of Science</v>
      </c>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row>
    <row r="702" spans="1:314" s="2" customFormat="1" x14ac:dyDescent="0.4">
      <c r="A702" s="2" t="s">
        <v>72</v>
      </c>
      <c r="B702" s="2" t="s">
        <v>7069</v>
      </c>
      <c r="C702" s="2" t="s">
        <v>74</v>
      </c>
      <c r="D702" s="2" t="s">
        <v>74</v>
      </c>
      <c r="E702" s="2" t="s">
        <v>74</v>
      </c>
      <c r="F702" s="2" t="s">
        <v>7070</v>
      </c>
      <c r="G702" s="2" t="s">
        <v>74</v>
      </c>
      <c r="H702" s="2" t="s">
        <v>74</v>
      </c>
      <c r="I702" s="2" t="s">
        <v>7071</v>
      </c>
      <c r="J702" s="2" t="s">
        <v>1198</v>
      </c>
      <c r="K702" s="2" t="s">
        <v>74</v>
      </c>
      <c r="L702" s="2" t="s">
        <v>74</v>
      </c>
      <c r="M702" s="2" t="s">
        <v>74</v>
      </c>
      <c r="N702" s="2" t="s">
        <v>74</v>
      </c>
      <c r="O702" s="2" t="s">
        <v>74</v>
      </c>
      <c r="P702" s="2" t="s">
        <v>74</v>
      </c>
      <c r="Q702" s="2" t="s">
        <v>74</v>
      </c>
      <c r="R702" s="2" t="s">
        <v>74</v>
      </c>
      <c r="S702" s="2" t="s">
        <v>74</v>
      </c>
      <c r="T702" s="2" t="s">
        <v>74</v>
      </c>
      <c r="U702" s="2" t="s">
        <v>74</v>
      </c>
      <c r="V702" s="5" t="s">
        <v>7072</v>
      </c>
      <c r="W702" s="2" t="s">
        <v>74</v>
      </c>
      <c r="X702" s="2" t="s">
        <v>74</v>
      </c>
      <c r="Y702" s="2" t="s">
        <v>74</v>
      </c>
      <c r="Z702" s="2" t="s">
        <v>74</v>
      </c>
      <c r="AA702" s="2" t="s">
        <v>74</v>
      </c>
      <c r="AB702" s="2" t="s">
        <v>74</v>
      </c>
      <c r="AC702" s="2" t="s">
        <v>74</v>
      </c>
      <c r="AD702" s="2" t="s">
        <v>74</v>
      </c>
      <c r="AE702" s="2" t="s">
        <v>74</v>
      </c>
      <c r="AF702" s="2" t="s">
        <v>74</v>
      </c>
      <c r="AG702" s="2" t="s">
        <v>74</v>
      </c>
      <c r="AH702" s="2" t="s">
        <v>74</v>
      </c>
      <c r="AI702" s="2" t="s">
        <v>74</v>
      </c>
      <c r="AJ702" s="2" t="s">
        <v>74</v>
      </c>
      <c r="AK702" s="2" t="s">
        <v>74</v>
      </c>
      <c r="AL702" s="2" t="s">
        <v>74</v>
      </c>
      <c r="AM702" s="2" t="s">
        <v>74</v>
      </c>
      <c r="AN702" s="2" t="s">
        <v>74</v>
      </c>
      <c r="AO702" s="2" t="s">
        <v>1202</v>
      </c>
      <c r="AP702" s="2" t="s">
        <v>1203</v>
      </c>
      <c r="AQ702" s="2" t="s">
        <v>74</v>
      </c>
      <c r="AR702" s="2" t="s">
        <v>74</v>
      </c>
      <c r="AS702" s="2" t="s">
        <v>74</v>
      </c>
      <c r="AT702" s="2" t="s">
        <v>305</v>
      </c>
      <c r="AU702" s="2">
        <v>2023</v>
      </c>
      <c r="AV702" s="2">
        <v>79</v>
      </c>
      <c r="AW702" s="2">
        <v>4</v>
      </c>
      <c r="AX702" s="2" t="s">
        <v>74</v>
      </c>
      <c r="AY702" s="2" t="s">
        <v>74</v>
      </c>
      <c r="AZ702" s="2" t="s">
        <v>74</v>
      </c>
      <c r="BA702" s="2" t="s">
        <v>74</v>
      </c>
      <c r="BB702" s="2">
        <v>196</v>
      </c>
      <c r="BC702" s="2">
        <v>206</v>
      </c>
      <c r="BD702" s="2" t="s">
        <v>74</v>
      </c>
      <c r="BE702" s="2" t="s">
        <v>7073</v>
      </c>
      <c r="BF702" s="2" t="str">
        <f>HYPERLINK("http://dx.doi.org/10.1655/Herpetologica-D-23-00011.s1","http://dx.doi.org/10.1655/Herpetologica-D-23-00011.s1")</f>
        <v>http://dx.doi.org/10.1655/Herpetologica-D-23-00011.s1</v>
      </c>
      <c r="BG702" s="2" t="s">
        <v>74</v>
      </c>
      <c r="BH702" s="2" t="s">
        <v>74</v>
      </c>
      <c r="BI702" s="2" t="s">
        <v>74</v>
      </c>
      <c r="BJ702" s="2" t="s">
        <v>74</v>
      </c>
      <c r="BK702" s="2" t="s">
        <v>74</v>
      </c>
      <c r="BL702" s="2" t="s">
        <v>74</v>
      </c>
      <c r="BM702" s="2" t="s">
        <v>74</v>
      </c>
      <c r="BN702" s="2" t="s">
        <v>74</v>
      </c>
      <c r="BO702" s="2" t="s">
        <v>74</v>
      </c>
      <c r="BP702" s="2" t="s">
        <v>74</v>
      </c>
      <c r="BQ702" s="2" t="s">
        <v>74</v>
      </c>
      <c r="BR702" s="2" t="s">
        <v>74</v>
      </c>
      <c r="BS702" s="2" t="s">
        <v>7074</v>
      </c>
      <c r="BT702" s="2" t="str">
        <f>HYPERLINK("https%3A%2F%2Fwww.webofscience.com%2Fwos%2Fwoscc%2Ffull-record%2FWOS:001208746500005","View Full Record in Web of Science")</f>
        <v>View Full Record in Web of Science</v>
      </c>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row>
    <row r="703" spans="1:314" s="2" customFormat="1" x14ac:dyDescent="0.4">
      <c r="A703" s="2" t="s">
        <v>72</v>
      </c>
      <c r="B703" s="2" t="s">
        <v>2180</v>
      </c>
      <c r="C703" s="2" t="s">
        <v>74</v>
      </c>
      <c r="D703" s="2" t="s">
        <v>74</v>
      </c>
      <c r="E703" s="2" t="s">
        <v>74</v>
      </c>
      <c r="F703" s="2" t="s">
        <v>2181</v>
      </c>
      <c r="G703" s="2" t="s">
        <v>74</v>
      </c>
      <c r="H703" s="2" t="s">
        <v>74</v>
      </c>
      <c r="I703" s="2" t="s">
        <v>2182</v>
      </c>
      <c r="J703" s="2" t="s">
        <v>333</v>
      </c>
      <c r="K703" s="2" t="s">
        <v>74</v>
      </c>
      <c r="L703" s="2" t="s">
        <v>74</v>
      </c>
      <c r="M703" s="2" t="s">
        <v>74</v>
      </c>
      <c r="N703" s="2" t="s">
        <v>74</v>
      </c>
      <c r="O703" s="2" t="s">
        <v>74</v>
      </c>
      <c r="P703" s="2" t="s">
        <v>74</v>
      </c>
      <c r="Q703" s="2" t="s">
        <v>74</v>
      </c>
      <c r="R703" s="2" t="s">
        <v>74</v>
      </c>
      <c r="S703" s="2" t="s">
        <v>74</v>
      </c>
      <c r="T703" s="2" t="s">
        <v>74</v>
      </c>
      <c r="U703" s="2" t="s">
        <v>74</v>
      </c>
      <c r="V703" s="5" t="s">
        <v>2183</v>
      </c>
      <c r="W703" s="2" t="s">
        <v>74</v>
      </c>
      <c r="X703" s="2" t="s">
        <v>74</v>
      </c>
      <c r="Y703" s="2" t="s">
        <v>74</v>
      </c>
      <c r="Z703" s="2" t="s">
        <v>74</v>
      </c>
      <c r="AA703" s="2" t="s">
        <v>2184</v>
      </c>
      <c r="AB703" s="2" t="s">
        <v>2185</v>
      </c>
      <c r="AC703" s="2" t="s">
        <v>74</v>
      </c>
      <c r="AD703" s="2" t="s">
        <v>74</v>
      </c>
      <c r="AE703" s="2" t="s">
        <v>74</v>
      </c>
      <c r="AF703" s="2" t="s">
        <v>74</v>
      </c>
      <c r="AG703" s="2" t="s">
        <v>74</v>
      </c>
      <c r="AH703" s="2" t="s">
        <v>74</v>
      </c>
      <c r="AI703" s="2" t="s">
        <v>74</v>
      </c>
      <c r="AJ703" s="2" t="s">
        <v>74</v>
      </c>
      <c r="AK703" s="2" t="s">
        <v>74</v>
      </c>
      <c r="AL703" s="2" t="s">
        <v>74</v>
      </c>
      <c r="AM703" s="2" t="s">
        <v>74</v>
      </c>
      <c r="AN703" s="2" t="s">
        <v>74</v>
      </c>
      <c r="AO703" s="2" t="s">
        <v>337</v>
      </c>
      <c r="AP703" s="2" t="s">
        <v>338</v>
      </c>
      <c r="AQ703" s="2" t="s">
        <v>74</v>
      </c>
      <c r="AR703" s="2" t="s">
        <v>74</v>
      </c>
      <c r="AS703" s="2" t="s">
        <v>74</v>
      </c>
      <c r="AT703" s="2" t="s">
        <v>339</v>
      </c>
      <c r="AU703" s="2">
        <v>2013</v>
      </c>
      <c r="AV703" s="2">
        <v>24</v>
      </c>
      <c r="AW703" s="2">
        <v>4</v>
      </c>
      <c r="AX703" s="2" t="s">
        <v>74</v>
      </c>
      <c r="AY703" s="2" t="s">
        <v>74</v>
      </c>
      <c r="AZ703" s="2" t="s">
        <v>74</v>
      </c>
      <c r="BA703" s="2" t="s">
        <v>74</v>
      </c>
      <c r="BB703" s="2">
        <v>846</v>
      </c>
      <c r="BC703" s="2">
        <v>852</v>
      </c>
      <c r="BD703" s="2" t="s">
        <v>74</v>
      </c>
      <c r="BE703" s="2" t="s">
        <v>2186</v>
      </c>
      <c r="BF703" s="2" t="str">
        <f>HYPERLINK("http://dx.doi.org/10.1093/beheco/art027","http://dx.doi.org/10.1093/beheco/art027")</f>
        <v>http://dx.doi.org/10.1093/beheco/art027</v>
      </c>
      <c r="BG703" s="2" t="s">
        <v>74</v>
      </c>
      <c r="BH703" s="2" t="s">
        <v>74</v>
      </c>
      <c r="BI703" s="2" t="s">
        <v>74</v>
      </c>
      <c r="BJ703" s="2" t="s">
        <v>74</v>
      </c>
      <c r="BK703" s="2" t="s">
        <v>74</v>
      </c>
      <c r="BL703" s="2" t="s">
        <v>74</v>
      </c>
      <c r="BM703" s="2" t="s">
        <v>74</v>
      </c>
      <c r="BN703" s="2" t="s">
        <v>74</v>
      </c>
      <c r="BO703" s="2" t="s">
        <v>74</v>
      </c>
      <c r="BP703" s="2" t="s">
        <v>74</v>
      </c>
      <c r="BQ703" s="2" t="s">
        <v>74</v>
      </c>
      <c r="BR703" s="2" t="s">
        <v>74</v>
      </c>
      <c r="BS703" s="2" t="s">
        <v>2187</v>
      </c>
      <c r="BT703" s="2" t="str">
        <f>HYPERLINK("https%3A%2F%2Fwww.webofscience.com%2Fwos%2Fwoscc%2Ffull-record%2FWOS:000320409900014","View Full Record in Web of Science")</f>
        <v>View Full Record in Web of Science</v>
      </c>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row>
    <row r="704" spans="1:314" s="2" customFormat="1" x14ac:dyDescent="0.4">
      <c r="A704" s="2" t="s">
        <v>72</v>
      </c>
      <c r="B704" s="2" t="s">
        <v>2705</v>
      </c>
      <c r="C704" s="2" t="s">
        <v>74</v>
      </c>
      <c r="D704" s="2" t="s">
        <v>74</v>
      </c>
      <c r="E704" s="2" t="s">
        <v>74</v>
      </c>
      <c r="F704" s="2" t="s">
        <v>2706</v>
      </c>
      <c r="G704" s="2" t="s">
        <v>74</v>
      </c>
      <c r="H704" s="2" t="s">
        <v>74</v>
      </c>
      <c r="I704" s="2" t="s">
        <v>2707</v>
      </c>
      <c r="J704" s="2" t="s">
        <v>1198</v>
      </c>
      <c r="K704" s="2" t="s">
        <v>74</v>
      </c>
      <c r="L704" s="2" t="s">
        <v>74</v>
      </c>
      <c r="M704" s="2" t="s">
        <v>74</v>
      </c>
      <c r="N704" s="2" t="s">
        <v>74</v>
      </c>
      <c r="O704" s="2" t="s">
        <v>74</v>
      </c>
      <c r="P704" s="2" t="s">
        <v>74</v>
      </c>
      <c r="Q704" s="2" t="s">
        <v>74</v>
      </c>
      <c r="R704" s="2" t="s">
        <v>74</v>
      </c>
      <c r="S704" s="2" t="s">
        <v>74</v>
      </c>
      <c r="T704" s="2" t="s">
        <v>74</v>
      </c>
      <c r="U704" s="2" t="s">
        <v>74</v>
      </c>
      <c r="V704" s="5" t="s">
        <v>2708</v>
      </c>
      <c r="W704" s="2" t="s">
        <v>74</v>
      </c>
      <c r="X704" s="2" t="s">
        <v>74</v>
      </c>
      <c r="Y704" s="2" t="s">
        <v>74</v>
      </c>
      <c r="Z704" s="2" t="s">
        <v>74</v>
      </c>
      <c r="AA704" s="2" t="s">
        <v>74</v>
      </c>
      <c r="AB704" s="2" t="s">
        <v>2709</v>
      </c>
      <c r="AC704" s="2" t="s">
        <v>74</v>
      </c>
      <c r="AD704" s="2" t="s">
        <v>74</v>
      </c>
      <c r="AE704" s="2" t="s">
        <v>74</v>
      </c>
      <c r="AF704" s="2" t="s">
        <v>74</v>
      </c>
      <c r="AG704" s="2" t="s">
        <v>74</v>
      </c>
      <c r="AH704" s="2" t="s">
        <v>74</v>
      </c>
      <c r="AI704" s="2" t="s">
        <v>74</v>
      </c>
      <c r="AJ704" s="2" t="s">
        <v>74</v>
      </c>
      <c r="AK704" s="2" t="s">
        <v>74</v>
      </c>
      <c r="AL704" s="2" t="s">
        <v>74</v>
      </c>
      <c r="AM704" s="2" t="s">
        <v>74</v>
      </c>
      <c r="AN704" s="2" t="s">
        <v>74</v>
      </c>
      <c r="AO704" s="2" t="s">
        <v>1202</v>
      </c>
      <c r="AP704" s="2" t="s">
        <v>1203</v>
      </c>
      <c r="AQ704" s="2" t="s">
        <v>74</v>
      </c>
      <c r="AR704" s="2" t="s">
        <v>74</v>
      </c>
      <c r="AS704" s="2" t="s">
        <v>74</v>
      </c>
      <c r="AT704" s="2" t="s">
        <v>102</v>
      </c>
      <c r="AU704" s="2">
        <v>2014</v>
      </c>
      <c r="AV704" s="2">
        <v>70</v>
      </c>
      <c r="AW704" s="2">
        <v>2</v>
      </c>
      <c r="AX704" s="2" t="s">
        <v>74</v>
      </c>
      <c r="AY704" s="2" t="s">
        <v>74</v>
      </c>
      <c r="AZ704" s="2" t="s">
        <v>74</v>
      </c>
      <c r="BA704" s="2" t="s">
        <v>74</v>
      </c>
      <c r="BB704" s="2">
        <v>157</v>
      </c>
      <c r="BC704" s="2">
        <v>170</v>
      </c>
      <c r="BD704" s="2" t="s">
        <v>74</v>
      </c>
      <c r="BE704" s="2" t="s">
        <v>2710</v>
      </c>
      <c r="BF704" s="2" t="str">
        <f>HYPERLINK("http://dx.doi.org/10.1655/HERPETOLOGICA-D-13-00073","http://dx.doi.org/10.1655/HERPETOLOGICA-D-13-00073")</f>
        <v>http://dx.doi.org/10.1655/HERPETOLOGICA-D-13-00073</v>
      </c>
      <c r="BG704" s="2" t="s">
        <v>74</v>
      </c>
      <c r="BH704" s="2" t="s">
        <v>74</v>
      </c>
      <c r="BI704" s="2" t="s">
        <v>74</v>
      </c>
      <c r="BJ704" s="2" t="s">
        <v>74</v>
      </c>
      <c r="BK704" s="2" t="s">
        <v>74</v>
      </c>
      <c r="BL704" s="2" t="s">
        <v>74</v>
      </c>
      <c r="BM704" s="2" t="s">
        <v>74</v>
      </c>
      <c r="BN704" s="2" t="s">
        <v>74</v>
      </c>
      <c r="BO704" s="2" t="s">
        <v>74</v>
      </c>
      <c r="BP704" s="2" t="s">
        <v>74</v>
      </c>
      <c r="BQ704" s="2" t="s">
        <v>74</v>
      </c>
      <c r="BR704" s="2" t="s">
        <v>74</v>
      </c>
      <c r="BS704" s="2" t="s">
        <v>2711</v>
      </c>
      <c r="BT704" s="2" t="str">
        <f>HYPERLINK("https%3A%2F%2Fwww.webofscience.com%2Fwos%2Fwoscc%2Ffull-record%2FWOS:000336047900004","View Full Record in Web of Science")</f>
        <v>View Full Record in Web of Science</v>
      </c>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row>
    <row r="705" spans="1:314" s="2" customFormat="1" x14ac:dyDescent="0.4">
      <c r="A705" s="2" t="s">
        <v>72</v>
      </c>
      <c r="B705" s="2" t="s">
        <v>3989</v>
      </c>
      <c r="C705" s="2" t="s">
        <v>74</v>
      </c>
      <c r="D705" s="2" t="s">
        <v>74</v>
      </c>
      <c r="E705" s="2" t="s">
        <v>74</v>
      </c>
      <c r="F705" s="2" t="s">
        <v>3990</v>
      </c>
      <c r="G705" s="2" t="s">
        <v>74</v>
      </c>
      <c r="H705" s="2" t="s">
        <v>74</v>
      </c>
      <c r="I705" s="2" t="s">
        <v>3991</v>
      </c>
      <c r="J705" s="2" t="s">
        <v>129</v>
      </c>
      <c r="K705" s="2" t="s">
        <v>74</v>
      </c>
      <c r="L705" s="2" t="s">
        <v>74</v>
      </c>
      <c r="M705" s="2" t="s">
        <v>74</v>
      </c>
      <c r="N705" s="2" t="s">
        <v>74</v>
      </c>
      <c r="O705" s="2" t="s">
        <v>74</v>
      </c>
      <c r="P705" s="2" t="s">
        <v>74</v>
      </c>
      <c r="Q705" s="2" t="s">
        <v>74</v>
      </c>
      <c r="R705" s="2" t="s">
        <v>74</v>
      </c>
      <c r="S705" s="2" t="s">
        <v>74</v>
      </c>
      <c r="T705" s="2" t="s">
        <v>74</v>
      </c>
      <c r="U705" s="2" t="s">
        <v>74</v>
      </c>
      <c r="V705" s="5" t="s">
        <v>3992</v>
      </c>
      <c r="W705" s="2" t="s">
        <v>74</v>
      </c>
      <c r="X705" s="2" t="s">
        <v>74</v>
      </c>
      <c r="Y705" s="2" t="s">
        <v>74</v>
      </c>
      <c r="Z705" s="2" t="s">
        <v>74</v>
      </c>
      <c r="AA705" s="2" t="s">
        <v>3993</v>
      </c>
      <c r="AB705" s="2" t="s">
        <v>3994</v>
      </c>
      <c r="AC705" s="2" t="s">
        <v>74</v>
      </c>
      <c r="AD705" s="2" t="s">
        <v>74</v>
      </c>
      <c r="AE705" s="2" t="s">
        <v>74</v>
      </c>
      <c r="AF705" s="2" t="s">
        <v>74</v>
      </c>
      <c r="AG705" s="2" t="s">
        <v>74</v>
      </c>
      <c r="AH705" s="2" t="s">
        <v>74</v>
      </c>
      <c r="AI705" s="2" t="s">
        <v>74</v>
      </c>
      <c r="AJ705" s="2" t="s">
        <v>74</v>
      </c>
      <c r="AK705" s="2" t="s">
        <v>74</v>
      </c>
      <c r="AL705" s="2" t="s">
        <v>74</v>
      </c>
      <c r="AM705" s="2" t="s">
        <v>74</v>
      </c>
      <c r="AN705" s="2" t="s">
        <v>74</v>
      </c>
      <c r="AO705" s="2" t="s">
        <v>132</v>
      </c>
      <c r="AP705" s="2" t="s">
        <v>133</v>
      </c>
      <c r="AQ705" s="2" t="s">
        <v>74</v>
      </c>
      <c r="AR705" s="2" t="s">
        <v>74</v>
      </c>
      <c r="AS705" s="2" t="s">
        <v>74</v>
      </c>
      <c r="AT705" s="2" t="s">
        <v>633</v>
      </c>
      <c r="AU705" s="2">
        <v>2008</v>
      </c>
      <c r="AV705" s="2">
        <v>62</v>
      </c>
      <c r="AW705" s="2">
        <v>8</v>
      </c>
      <c r="AX705" s="2" t="s">
        <v>74</v>
      </c>
      <c r="AY705" s="2" t="s">
        <v>74</v>
      </c>
      <c r="AZ705" s="2" t="s">
        <v>74</v>
      </c>
      <c r="BA705" s="2" t="s">
        <v>74</v>
      </c>
      <c r="BB705" s="2">
        <v>1341</v>
      </c>
      <c r="BC705" s="2">
        <v>1350</v>
      </c>
      <c r="BD705" s="2" t="s">
        <v>74</v>
      </c>
      <c r="BE705" s="2" t="s">
        <v>3995</v>
      </c>
      <c r="BF705" s="2" t="str">
        <f>HYPERLINK("http://dx.doi.org/10.1007/s00265-008-0562-z","http://dx.doi.org/10.1007/s00265-008-0562-z")</f>
        <v>http://dx.doi.org/10.1007/s00265-008-0562-z</v>
      </c>
      <c r="BG705" s="2" t="s">
        <v>74</v>
      </c>
      <c r="BH705" s="2" t="s">
        <v>74</v>
      </c>
      <c r="BI705" s="2" t="s">
        <v>74</v>
      </c>
      <c r="BJ705" s="2" t="s">
        <v>74</v>
      </c>
      <c r="BK705" s="2" t="s">
        <v>74</v>
      </c>
      <c r="BL705" s="2" t="s">
        <v>74</v>
      </c>
      <c r="BM705" s="2" t="s">
        <v>74</v>
      </c>
      <c r="BN705" s="2" t="s">
        <v>74</v>
      </c>
      <c r="BO705" s="2" t="s">
        <v>74</v>
      </c>
      <c r="BP705" s="2" t="s">
        <v>74</v>
      </c>
      <c r="BQ705" s="2" t="s">
        <v>74</v>
      </c>
      <c r="BR705" s="2" t="s">
        <v>74</v>
      </c>
      <c r="BS705" s="2" t="s">
        <v>3996</v>
      </c>
      <c r="BT705" s="2" t="str">
        <f>HYPERLINK("https%3A%2F%2Fwww.webofscience.com%2Fwos%2Fwoscc%2Ffull-record%2FWOS:000255851400013","View Full Record in Web of Science")</f>
        <v>View Full Record in Web of Science</v>
      </c>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row>
    <row r="706" spans="1:314" s="2" customFormat="1" x14ac:dyDescent="0.4">
      <c r="A706" s="2" t="s">
        <v>72</v>
      </c>
      <c r="B706" s="2" t="s">
        <v>7673</v>
      </c>
      <c r="C706" s="2" t="s">
        <v>74</v>
      </c>
      <c r="D706" s="2" t="s">
        <v>74</v>
      </c>
      <c r="E706" s="2" t="s">
        <v>74</v>
      </c>
      <c r="F706" s="2" t="s">
        <v>7674</v>
      </c>
      <c r="G706" s="2" t="s">
        <v>74</v>
      </c>
      <c r="H706" s="2" t="s">
        <v>74</v>
      </c>
      <c r="I706" s="2" t="s">
        <v>7675</v>
      </c>
      <c r="J706" s="2" t="s">
        <v>610</v>
      </c>
      <c r="K706" s="2" t="s">
        <v>74</v>
      </c>
      <c r="L706" s="2" t="s">
        <v>74</v>
      </c>
      <c r="M706" s="2" t="s">
        <v>74</v>
      </c>
      <c r="N706" s="2" t="s">
        <v>74</v>
      </c>
      <c r="O706" s="2" t="s">
        <v>74</v>
      </c>
      <c r="P706" s="2" t="s">
        <v>74</v>
      </c>
      <c r="Q706" s="2" t="s">
        <v>74</v>
      </c>
      <c r="R706" s="2" t="s">
        <v>74</v>
      </c>
      <c r="S706" s="2" t="s">
        <v>74</v>
      </c>
      <c r="T706" s="2" t="s">
        <v>74</v>
      </c>
      <c r="U706" s="2" t="s">
        <v>74</v>
      </c>
      <c r="V706" s="5" t="s">
        <v>7676</v>
      </c>
      <c r="W706" s="2" t="s">
        <v>74</v>
      </c>
      <c r="X706" s="2" t="s">
        <v>74</v>
      </c>
      <c r="Y706" s="2" t="s">
        <v>74</v>
      </c>
      <c r="Z706" s="2" t="s">
        <v>74</v>
      </c>
      <c r="AA706" s="2" t="s">
        <v>74</v>
      </c>
      <c r="AB706" s="2" t="s">
        <v>74</v>
      </c>
      <c r="AC706" s="2" t="s">
        <v>74</v>
      </c>
      <c r="AD706" s="2" t="s">
        <v>74</v>
      </c>
      <c r="AE706" s="2" t="s">
        <v>74</v>
      </c>
      <c r="AF706" s="2" t="s">
        <v>74</v>
      </c>
      <c r="AG706" s="2" t="s">
        <v>74</v>
      </c>
      <c r="AH706" s="2" t="s">
        <v>74</v>
      </c>
      <c r="AI706" s="2" t="s">
        <v>74</v>
      </c>
      <c r="AJ706" s="2" t="s">
        <v>74</v>
      </c>
      <c r="AK706" s="2" t="s">
        <v>74</v>
      </c>
      <c r="AL706" s="2" t="s">
        <v>74</v>
      </c>
      <c r="AM706" s="2" t="s">
        <v>74</v>
      </c>
      <c r="AN706" s="2" t="s">
        <v>74</v>
      </c>
      <c r="AO706" s="2" t="s">
        <v>614</v>
      </c>
      <c r="AP706" s="2" t="s">
        <v>615</v>
      </c>
      <c r="AQ706" s="2" t="s">
        <v>74</v>
      </c>
      <c r="AR706" s="2" t="s">
        <v>74</v>
      </c>
      <c r="AS706" s="2" t="s">
        <v>74</v>
      </c>
      <c r="AT706" s="2" t="s">
        <v>145</v>
      </c>
      <c r="AU706" s="2">
        <v>2019</v>
      </c>
      <c r="AV706" s="2">
        <v>125</v>
      </c>
      <c r="AW706" s="2">
        <v>8</v>
      </c>
      <c r="AX706" s="2" t="s">
        <v>74</v>
      </c>
      <c r="AY706" s="2" t="s">
        <v>74</v>
      </c>
      <c r="AZ706" s="2" t="s">
        <v>74</v>
      </c>
      <c r="BA706" s="2" t="s">
        <v>74</v>
      </c>
      <c r="BB706" s="2">
        <v>575</v>
      </c>
      <c r="BC706" s="2">
        <v>586</v>
      </c>
      <c r="BD706" s="2" t="s">
        <v>74</v>
      </c>
      <c r="BE706" s="2" t="s">
        <v>7677</v>
      </c>
      <c r="BF706" s="2" t="str">
        <f>HYPERLINK("http://dx.doi.org/10.1111/eth.12885","http://dx.doi.org/10.1111/eth.12885")</f>
        <v>http://dx.doi.org/10.1111/eth.12885</v>
      </c>
      <c r="BG706" s="2" t="s">
        <v>74</v>
      </c>
      <c r="BH706" s="2" t="s">
        <v>74</v>
      </c>
      <c r="BI706" s="2" t="s">
        <v>74</v>
      </c>
      <c r="BJ706" s="2" t="s">
        <v>74</v>
      </c>
      <c r="BK706" s="2" t="s">
        <v>74</v>
      </c>
      <c r="BL706" s="2" t="s">
        <v>74</v>
      </c>
      <c r="BM706" s="2" t="s">
        <v>74</v>
      </c>
      <c r="BN706" s="2" t="s">
        <v>74</v>
      </c>
      <c r="BO706" s="2" t="s">
        <v>74</v>
      </c>
      <c r="BP706" s="2" t="s">
        <v>74</v>
      </c>
      <c r="BQ706" s="2" t="s">
        <v>74</v>
      </c>
      <c r="BR706" s="2" t="s">
        <v>74</v>
      </c>
      <c r="BS706" s="2" t="s">
        <v>7678</v>
      </c>
      <c r="BT706" s="2" t="str">
        <f>HYPERLINK("https%3A%2F%2Fwww.webofscience.com%2Fwos%2Fwoscc%2Ffull-record%2FWOS:000474271600009","View Full Record in Web of Science")</f>
        <v>View Full Record in Web of Science</v>
      </c>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row>
    <row r="707" spans="1:314" s="2" customFormat="1" x14ac:dyDescent="0.4">
      <c r="A707" s="2" t="s">
        <v>72</v>
      </c>
      <c r="B707" s="2" t="s">
        <v>5631</v>
      </c>
      <c r="C707" s="2" t="s">
        <v>74</v>
      </c>
      <c r="D707" s="2" t="s">
        <v>74</v>
      </c>
      <c r="E707" s="2" t="s">
        <v>74</v>
      </c>
      <c r="F707" s="2" t="s">
        <v>5632</v>
      </c>
      <c r="G707" s="2" t="s">
        <v>74</v>
      </c>
      <c r="H707" s="2" t="s">
        <v>74</v>
      </c>
      <c r="I707" s="2" t="s">
        <v>5633</v>
      </c>
      <c r="J707" s="2" t="s">
        <v>1549</v>
      </c>
      <c r="K707" s="2" t="s">
        <v>74</v>
      </c>
      <c r="L707" s="2" t="s">
        <v>74</v>
      </c>
      <c r="M707" s="2" t="s">
        <v>74</v>
      </c>
      <c r="N707" s="2" t="s">
        <v>74</v>
      </c>
      <c r="O707" s="2" t="s">
        <v>74</v>
      </c>
      <c r="P707" s="2" t="s">
        <v>74</v>
      </c>
      <c r="Q707" s="2" t="s">
        <v>74</v>
      </c>
      <c r="R707" s="2" t="s">
        <v>74</v>
      </c>
      <c r="S707" s="2" t="s">
        <v>74</v>
      </c>
      <c r="T707" s="2" t="s">
        <v>74</v>
      </c>
      <c r="U707" s="2" t="s">
        <v>74</v>
      </c>
      <c r="V707" s="5" t="s">
        <v>5634</v>
      </c>
      <c r="W707" s="2" t="s">
        <v>74</v>
      </c>
      <c r="X707" s="2" t="s">
        <v>74</v>
      </c>
      <c r="Y707" s="2" t="s">
        <v>74</v>
      </c>
      <c r="Z707" s="2" t="s">
        <v>74</v>
      </c>
      <c r="AA707" s="2" t="s">
        <v>74</v>
      </c>
      <c r="AB707" s="2" t="s">
        <v>5635</v>
      </c>
      <c r="AC707" s="2" t="s">
        <v>74</v>
      </c>
      <c r="AD707" s="2" t="s">
        <v>74</v>
      </c>
      <c r="AE707" s="2" t="s">
        <v>74</v>
      </c>
      <c r="AF707" s="2" t="s">
        <v>74</v>
      </c>
      <c r="AG707" s="2" t="s">
        <v>74</v>
      </c>
      <c r="AH707" s="2" t="s">
        <v>74</v>
      </c>
      <c r="AI707" s="2" t="s">
        <v>74</v>
      </c>
      <c r="AJ707" s="2" t="s">
        <v>74</v>
      </c>
      <c r="AK707" s="2" t="s">
        <v>74</v>
      </c>
      <c r="AL707" s="2" t="s">
        <v>74</v>
      </c>
      <c r="AM707" s="2" t="s">
        <v>74</v>
      </c>
      <c r="AN707" s="2" t="s">
        <v>74</v>
      </c>
      <c r="AO707" s="2" t="s">
        <v>1551</v>
      </c>
      <c r="AP707" s="2" t="s">
        <v>74</v>
      </c>
      <c r="AQ707" s="2" t="s">
        <v>74</v>
      </c>
      <c r="AR707" s="2" t="s">
        <v>74</v>
      </c>
      <c r="AS707" s="2" t="s">
        <v>74</v>
      </c>
      <c r="AT707" s="2" t="s">
        <v>102</v>
      </c>
      <c r="AU707" s="2">
        <v>2012</v>
      </c>
      <c r="AV707" s="2">
        <v>37</v>
      </c>
      <c r="AW707" s="2">
        <v>2</v>
      </c>
      <c r="AX707" s="2" t="s">
        <v>74</v>
      </c>
      <c r="AY707" s="2" t="s">
        <v>74</v>
      </c>
      <c r="AZ707" s="2" t="s">
        <v>74</v>
      </c>
      <c r="BA707" s="2" t="s">
        <v>74</v>
      </c>
      <c r="BB707" s="2">
        <v>109</v>
      </c>
      <c r="BC707" s="2">
        <v>118</v>
      </c>
      <c r="BD707" s="2" t="s">
        <v>74</v>
      </c>
      <c r="BE707" s="2" t="s">
        <v>5636</v>
      </c>
      <c r="BF707" s="2" t="str">
        <f>HYPERLINK("http://dx.doi.org/10.1111/j.1365-3032.2011.00812.x","http://dx.doi.org/10.1111/j.1365-3032.2011.00812.x")</f>
        <v>http://dx.doi.org/10.1111/j.1365-3032.2011.00812.x</v>
      </c>
      <c r="BG707" s="2" t="s">
        <v>74</v>
      </c>
      <c r="BH707" s="2" t="s">
        <v>74</v>
      </c>
      <c r="BI707" s="2" t="s">
        <v>74</v>
      </c>
      <c r="BJ707" s="2" t="s">
        <v>74</v>
      </c>
      <c r="BK707" s="2" t="s">
        <v>74</v>
      </c>
      <c r="BL707" s="2" t="s">
        <v>74</v>
      </c>
      <c r="BM707" s="2" t="s">
        <v>74</v>
      </c>
      <c r="BN707" s="2" t="s">
        <v>74</v>
      </c>
      <c r="BO707" s="2" t="s">
        <v>74</v>
      </c>
      <c r="BP707" s="2" t="s">
        <v>74</v>
      </c>
      <c r="BQ707" s="2" t="s">
        <v>74</v>
      </c>
      <c r="BR707" s="2" t="s">
        <v>74</v>
      </c>
      <c r="BS707" s="2" t="s">
        <v>5637</v>
      </c>
      <c r="BT707" s="2" t="str">
        <f>HYPERLINK("https%3A%2F%2Fwww.webofscience.com%2Fwos%2Fwoscc%2Ffull-record%2FWOS:000304091500002","View Full Record in Web of Science")</f>
        <v>View Full Record in Web of Science</v>
      </c>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row>
    <row r="708" spans="1:314" s="2" customFormat="1" x14ac:dyDescent="0.4">
      <c r="A708" s="2" t="s">
        <v>72</v>
      </c>
      <c r="B708" s="2" t="s">
        <v>1102</v>
      </c>
      <c r="C708" s="2" t="s">
        <v>74</v>
      </c>
      <c r="D708" s="2" t="s">
        <v>74</v>
      </c>
      <c r="E708" s="2" t="s">
        <v>74</v>
      </c>
      <c r="F708" s="2" t="s">
        <v>1103</v>
      </c>
      <c r="G708" s="2" t="s">
        <v>74</v>
      </c>
      <c r="H708" s="2" t="s">
        <v>74</v>
      </c>
      <c r="I708" s="2" t="s">
        <v>1104</v>
      </c>
      <c r="J708" s="2" t="s">
        <v>1044</v>
      </c>
      <c r="K708" s="2" t="s">
        <v>74</v>
      </c>
      <c r="L708" s="2" t="s">
        <v>74</v>
      </c>
      <c r="M708" s="2" t="s">
        <v>74</v>
      </c>
      <c r="N708" s="2" t="s">
        <v>74</v>
      </c>
      <c r="O708" s="2" t="s">
        <v>74</v>
      </c>
      <c r="P708" s="2" t="s">
        <v>74</v>
      </c>
      <c r="Q708" s="2" t="s">
        <v>74</v>
      </c>
      <c r="R708" s="2" t="s">
        <v>74</v>
      </c>
      <c r="S708" s="2" t="s">
        <v>74</v>
      </c>
      <c r="T708" s="2" t="s">
        <v>74</v>
      </c>
      <c r="U708" s="2" t="s">
        <v>74</v>
      </c>
      <c r="V708" s="5" t="s">
        <v>1105</v>
      </c>
      <c r="W708" s="2" t="s">
        <v>74</v>
      </c>
      <c r="X708" s="2" t="s">
        <v>74</v>
      </c>
      <c r="Y708" s="2" t="s">
        <v>74</v>
      </c>
      <c r="Z708" s="2" t="s">
        <v>74</v>
      </c>
      <c r="AA708" s="2" t="s">
        <v>1106</v>
      </c>
      <c r="AB708" s="2" t="s">
        <v>1107</v>
      </c>
      <c r="AC708" s="2" t="s">
        <v>74</v>
      </c>
      <c r="AD708" s="2" t="s">
        <v>74</v>
      </c>
      <c r="AE708" s="2" t="s">
        <v>74</v>
      </c>
      <c r="AF708" s="2" t="s">
        <v>74</v>
      </c>
      <c r="AG708" s="2" t="s">
        <v>74</v>
      </c>
      <c r="AH708" s="2" t="s">
        <v>74</v>
      </c>
      <c r="AI708" s="2" t="s">
        <v>74</v>
      </c>
      <c r="AJ708" s="2" t="s">
        <v>74</v>
      </c>
      <c r="AK708" s="2" t="s">
        <v>74</v>
      </c>
      <c r="AL708" s="2" t="s">
        <v>74</v>
      </c>
      <c r="AM708" s="2" t="s">
        <v>74</v>
      </c>
      <c r="AN708" s="2" t="s">
        <v>74</v>
      </c>
      <c r="AO708" s="2" t="s">
        <v>1048</v>
      </c>
      <c r="AP708" s="2" t="s">
        <v>74</v>
      </c>
      <c r="AQ708" s="2" t="s">
        <v>74</v>
      </c>
      <c r="AR708" s="2" t="s">
        <v>74</v>
      </c>
      <c r="AS708" s="2" t="s">
        <v>74</v>
      </c>
      <c r="AT708" s="2" t="s">
        <v>145</v>
      </c>
      <c r="AU708" s="2">
        <v>2010</v>
      </c>
      <c r="AV708" s="2">
        <v>19</v>
      </c>
      <c r="AW708" s="2">
        <v>16</v>
      </c>
      <c r="AX708" s="2" t="s">
        <v>74</v>
      </c>
      <c r="AY708" s="2" t="s">
        <v>74</v>
      </c>
      <c r="AZ708" s="2" t="s">
        <v>74</v>
      </c>
      <c r="BA708" s="2" t="s">
        <v>74</v>
      </c>
      <c r="BB708" s="2">
        <v>3285</v>
      </c>
      <c r="BC708" s="2">
        <v>3300</v>
      </c>
      <c r="BD708" s="2" t="s">
        <v>74</v>
      </c>
      <c r="BE708" s="2" t="s">
        <v>1108</v>
      </c>
      <c r="BF708" s="2" t="str">
        <f>HYPERLINK("http://dx.doi.org/10.1111/j.1365-294X.2010.04751.x","http://dx.doi.org/10.1111/j.1365-294X.2010.04751.x")</f>
        <v>http://dx.doi.org/10.1111/j.1365-294X.2010.04751.x</v>
      </c>
      <c r="BG708" s="2" t="s">
        <v>74</v>
      </c>
      <c r="BH708" s="2" t="s">
        <v>74</v>
      </c>
      <c r="BI708" s="2" t="s">
        <v>74</v>
      </c>
      <c r="BJ708" s="2" t="s">
        <v>74</v>
      </c>
      <c r="BK708" s="2" t="s">
        <v>74</v>
      </c>
      <c r="BL708" s="2" t="s">
        <v>74</v>
      </c>
      <c r="BM708" s="2" t="s">
        <v>74</v>
      </c>
      <c r="BN708" s="2">
        <v>20659245</v>
      </c>
      <c r="BO708" s="2" t="s">
        <v>74</v>
      </c>
      <c r="BP708" s="2" t="s">
        <v>74</v>
      </c>
      <c r="BQ708" s="2" t="s">
        <v>74</v>
      </c>
      <c r="BR708" s="2" t="s">
        <v>74</v>
      </c>
      <c r="BS708" s="2" t="s">
        <v>1109</v>
      </c>
      <c r="BT708" s="2" t="str">
        <f>HYPERLINK("https%3A%2F%2Fwww.webofscience.com%2Fwos%2Fwoscc%2Ffull-record%2FWOS:000208393200001","View Full Record in Web of Science")</f>
        <v>View Full Record in Web of Science</v>
      </c>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row>
    <row r="709" spans="1:314" s="2" customFormat="1" x14ac:dyDescent="0.4">
      <c r="A709" s="2" t="s">
        <v>72</v>
      </c>
      <c r="B709" s="2" t="s">
        <v>3448</v>
      </c>
      <c r="C709" s="2" t="s">
        <v>74</v>
      </c>
      <c r="D709" s="2" t="s">
        <v>74</v>
      </c>
      <c r="E709" s="2" t="s">
        <v>74</v>
      </c>
      <c r="F709" s="2" t="s">
        <v>3449</v>
      </c>
      <c r="G709" s="2" t="s">
        <v>74</v>
      </c>
      <c r="H709" s="2" t="s">
        <v>74</v>
      </c>
      <c r="I709" s="2" t="s">
        <v>3450</v>
      </c>
      <c r="J709" s="2" t="s">
        <v>3451</v>
      </c>
      <c r="K709" s="2" t="s">
        <v>74</v>
      </c>
      <c r="L709" s="2" t="s">
        <v>74</v>
      </c>
      <c r="M709" s="2" t="s">
        <v>74</v>
      </c>
      <c r="N709" s="2" t="s">
        <v>74</v>
      </c>
      <c r="O709" s="2" t="s">
        <v>74</v>
      </c>
      <c r="P709" s="2" t="s">
        <v>74</v>
      </c>
      <c r="Q709" s="2" t="s">
        <v>74</v>
      </c>
      <c r="R709" s="2" t="s">
        <v>74</v>
      </c>
      <c r="S709" s="2" t="s">
        <v>74</v>
      </c>
      <c r="T709" s="2" t="s">
        <v>74</v>
      </c>
      <c r="U709" s="2" t="s">
        <v>74</v>
      </c>
      <c r="V709" s="5" t="s">
        <v>3452</v>
      </c>
      <c r="W709" s="2" t="s">
        <v>74</v>
      </c>
      <c r="X709" s="2" t="s">
        <v>74</v>
      </c>
      <c r="Y709" s="2" t="s">
        <v>74</v>
      </c>
      <c r="Z709" s="2" t="s">
        <v>74</v>
      </c>
      <c r="AA709" s="2" t="s">
        <v>3453</v>
      </c>
      <c r="AB709" s="2" t="s">
        <v>1610</v>
      </c>
      <c r="AC709" s="2" t="s">
        <v>74</v>
      </c>
      <c r="AD709" s="2" t="s">
        <v>74</v>
      </c>
      <c r="AE709" s="2" t="s">
        <v>74</v>
      </c>
      <c r="AF709" s="2" t="s">
        <v>74</v>
      </c>
      <c r="AG709" s="2" t="s">
        <v>74</v>
      </c>
      <c r="AH709" s="2" t="s">
        <v>74</v>
      </c>
      <c r="AI709" s="2" t="s">
        <v>74</v>
      </c>
      <c r="AJ709" s="2" t="s">
        <v>74</v>
      </c>
      <c r="AK709" s="2" t="s">
        <v>74</v>
      </c>
      <c r="AL709" s="2" t="s">
        <v>74</v>
      </c>
      <c r="AM709" s="2" t="s">
        <v>74</v>
      </c>
      <c r="AN709" s="2" t="s">
        <v>74</v>
      </c>
      <c r="AO709" s="2" t="s">
        <v>3454</v>
      </c>
      <c r="AP709" s="2" t="s">
        <v>74</v>
      </c>
      <c r="AQ709" s="2" t="s">
        <v>74</v>
      </c>
      <c r="AR709" s="2" t="s">
        <v>74</v>
      </c>
      <c r="AS709" s="2" t="s">
        <v>74</v>
      </c>
      <c r="AT709" s="2" t="s">
        <v>213</v>
      </c>
      <c r="AU709" s="2">
        <v>2010</v>
      </c>
      <c r="AV709" s="2">
        <v>81</v>
      </c>
      <c r="AW709" s="2">
        <v>3</v>
      </c>
      <c r="AX709" s="2" t="s">
        <v>74</v>
      </c>
      <c r="AY709" s="2" t="s">
        <v>74</v>
      </c>
      <c r="AZ709" s="2" t="s">
        <v>74</v>
      </c>
      <c r="BA709" s="2" t="s">
        <v>74</v>
      </c>
      <c r="BB709" s="2">
        <v>247</v>
      </c>
      <c r="BC709" s="2">
        <v>250</v>
      </c>
      <c r="BD709" s="2" t="s">
        <v>3455</v>
      </c>
      <c r="BE709" s="2" t="s">
        <v>3456</v>
      </c>
      <c r="BF709" s="2" t="str">
        <f>HYPERLINK("http://dx.doi.org/10.2989/00306525.2010.519864","http://dx.doi.org/10.2989/00306525.2010.519864")</f>
        <v>http://dx.doi.org/10.2989/00306525.2010.519864</v>
      </c>
      <c r="BG709" s="2" t="s">
        <v>74</v>
      </c>
      <c r="BH709" s="2" t="s">
        <v>74</v>
      </c>
      <c r="BI709" s="2" t="s">
        <v>74</v>
      </c>
      <c r="BJ709" s="2" t="s">
        <v>74</v>
      </c>
      <c r="BK709" s="2" t="s">
        <v>74</v>
      </c>
      <c r="BL709" s="2" t="s">
        <v>74</v>
      </c>
      <c r="BM709" s="2" t="s">
        <v>74</v>
      </c>
      <c r="BN709" s="2" t="s">
        <v>74</v>
      </c>
      <c r="BO709" s="2" t="s">
        <v>74</v>
      </c>
      <c r="BP709" s="2" t="s">
        <v>74</v>
      </c>
      <c r="BQ709" s="2" t="s">
        <v>74</v>
      </c>
      <c r="BR709" s="2" t="s">
        <v>74</v>
      </c>
      <c r="BS709" s="2" t="s">
        <v>3457</v>
      </c>
      <c r="BT709" s="2" t="str">
        <f>HYPERLINK("https%3A%2F%2Fwww.webofscience.com%2Fwos%2Fwoscc%2Ffull-record%2FWOS:000284229300012","View Full Record in Web of Science")</f>
        <v>View Full Record in Web of Science</v>
      </c>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row>
    <row r="710" spans="1:314" s="2" customFormat="1" x14ac:dyDescent="0.4">
      <c r="A710" s="2" t="s">
        <v>72</v>
      </c>
      <c r="B710" s="2" t="s">
        <v>2121</v>
      </c>
      <c r="C710" s="2" t="s">
        <v>74</v>
      </c>
      <c r="D710" s="2" t="s">
        <v>74</v>
      </c>
      <c r="E710" s="2" t="s">
        <v>74</v>
      </c>
      <c r="F710" s="2" t="s">
        <v>2121</v>
      </c>
      <c r="G710" s="2" t="s">
        <v>74</v>
      </c>
      <c r="H710" s="2" t="s">
        <v>74</v>
      </c>
      <c r="I710" s="2" t="s">
        <v>2122</v>
      </c>
      <c r="J710" s="2" t="s">
        <v>77</v>
      </c>
      <c r="K710" s="2" t="s">
        <v>74</v>
      </c>
      <c r="L710" s="2" t="s">
        <v>74</v>
      </c>
      <c r="M710" s="2" t="s">
        <v>74</v>
      </c>
      <c r="N710" s="2" t="s">
        <v>74</v>
      </c>
      <c r="O710" s="2" t="s">
        <v>74</v>
      </c>
      <c r="P710" s="2" t="s">
        <v>74</v>
      </c>
      <c r="Q710" s="2" t="s">
        <v>74</v>
      </c>
      <c r="R710" s="2" t="s">
        <v>74</v>
      </c>
      <c r="S710" s="2" t="s">
        <v>74</v>
      </c>
      <c r="T710" s="2" t="s">
        <v>74</v>
      </c>
      <c r="U710" s="2" t="s">
        <v>74</v>
      </c>
      <c r="V710" s="5" t="s">
        <v>2123</v>
      </c>
      <c r="W710" s="2" t="s">
        <v>74</v>
      </c>
      <c r="X710" s="2" t="s">
        <v>74</v>
      </c>
      <c r="Y710" s="2" t="s">
        <v>74</v>
      </c>
      <c r="Z710" s="2" t="s">
        <v>74</v>
      </c>
      <c r="AA710" s="2" t="s">
        <v>2124</v>
      </c>
      <c r="AB710" s="2" t="s">
        <v>2125</v>
      </c>
      <c r="AC710" s="2" t="s">
        <v>74</v>
      </c>
      <c r="AD710" s="2" t="s">
        <v>74</v>
      </c>
      <c r="AE710" s="2" t="s">
        <v>74</v>
      </c>
      <c r="AF710" s="2" t="s">
        <v>74</v>
      </c>
      <c r="AG710" s="2" t="s">
        <v>74</v>
      </c>
      <c r="AH710" s="2" t="s">
        <v>74</v>
      </c>
      <c r="AI710" s="2" t="s">
        <v>74</v>
      </c>
      <c r="AJ710" s="2" t="s">
        <v>74</v>
      </c>
      <c r="AK710" s="2" t="s">
        <v>74</v>
      </c>
      <c r="AL710" s="2" t="s">
        <v>74</v>
      </c>
      <c r="AM710" s="2" t="s">
        <v>74</v>
      </c>
      <c r="AN710" s="2" t="s">
        <v>74</v>
      </c>
      <c r="AO710" s="2" t="s">
        <v>81</v>
      </c>
      <c r="AP710" s="2" t="s">
        <v>74</v>
      </c>
      <c r="AQ710" s="2" t="s">
        <v>74</v>
      </c>
      <c r="AR710" s="2" t="s">
        <v>74</v>
      </c>
      <c r="AS710" s="2" t="s">
        <v>74</v>
      </c>
      <c r="AT710" s="2" t="s">
        <v>352</v>
      </c>
      <c r="AU710" s="2">
        <v>1991</v>
      </c>
      <c r="AV710" s="2">
        <v>118</v>
      </c>
      <c r="AW710" s="2" t="s">
        <v>74</v>
      </c>
      <c r="AX710" s="2" t="s">
        <v>1276</v>
      </c>
      <c r="AY710" s="2" t="s">
        <v>74</v>
      </c>
      <c r="AZ710" s="2" t="s">
        <v>74</v>
      </c>
      <c r="BA710" s="2" t="s">
        <v>74</v>
      </c>
      <c r="BB710" s="2">
        <v>214</v>
      </c>
      <c r="BC710" s="2">
        <v>234</v>
      </c>
      <c r="BD710" s="2" t="s">
        <v>74</v>
      </c>
      <c r="BE710" s="2" t="s">
        <v>2126</v>
      </c>
      <c r="BF710" s="2" t="str">
        <f>HYPERLINK("http://dx.doi.org/10.1163/156853991X00292","http://dx.doi.org/10.1163/156853991X00292")</f>
        <v>http://dx.doi.org/10.1163/156853991X00292</v>
      </c>
      <c r="BG710" s="2" t="s">
        <v>74</v>
      </c>
      <c r="BH710" s="2" t="s">
        <v>74</v>
      </c>
      <c r="BI710" s="2" t="s">
        <v>74</v>
      </c>
      <c r="BJ710" s="2" t="s">
        <v>74</v>
      </c>
      <c r="BK710" s="2" t="s">
        <v>74</v>
      </c>
      <c r="BL710" s="2" t="s">
        <v>74</v>
      </c>
      <c r="BM710" s="2" t="s">
        <v>74</v>
      </c>
      <c r="BN710" s="2" t="s">
        <v>74</v>
      </c>
      <c r="BO710" s="2" t="s">
        <v>74</v>
      </c>
      <c r="BP710" s="2" t="s">
        <v>74</v>
      </c>
      <c r="BQ710" s="2" t="s">
        <v>74</v>
      </c>
      <c r="BR710" s="2" t="s">
        <v>74</v>
      </c>
      <c r="BS710" s="2" t="s">
        <v>2127</v>
      </c>
      <c r="BT710" s="2" t="str">
        <f>HYPERLINK("https%3A%2F%2Fwww.webofscience.com%2Fwos%2Fwoscc%2Ffull-record%2FWOS:A1991GT42800004","View Full Record in Web of Science")</f>
        <v>View Full Record in Web of Science</v>
      </c>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row>
    <row r="711" spans="1:314" s="2" customFormat="1" x14ac:dyDescent="0.4">
      <c r="A711" s="2" t="s">
        <v>72</v>
      </c>
      <c r="B711" s="2" t="s">
        <v>7943</v>
      </c>
      <c r="C711" s="2" t="s">
        <v>74</v>
      </c>
      <c r="D711" s="2" t="s">
        <v>74</v>
      </c>
      <c r="E711" s="2" t="s">
        <v>74</v>
      </c>
      <c r="F711" s="2" t="s">
        <v>7943</v>
      </c>
      <c r="G711" s="2" t="s">
        <v>74</v>
      </c>
      <c r="H711" s="2" t="s">
        <v>74</v>
      </c>
      <c r="I711" s="2" t="s">
        <v>7944</v>
      </c>
      <c r="J711" s="2" t="s">
        <v>5065</v>
      </c>
      <c r="K711" s="2" t="s">
        <v>74</v>
      </c>
      <c r="L711" s="2" t="s">
        <v>74</v>
      </c>
      <c r="M711" s="2" t="s">
        <v>74</v>
      </c>
      <c r="N711" s="2" t="s">
        <v>74</v>
      </c>
      <c r="O711" s="2" t="s">
        <v>7945</v>
      </c>
      <c r="P711" s="2" t="s">
        <v>7946</v>
      </c>
      <c r="Q711" s="2" t="s">
        <v>7947</v>
      </c>
      <c r="R711" s="2" t="s">
        <v>7948</v>
      </c>
      <c r="S711" s="2" t="s">
        <v>7949</v>
      </c>
      <c r="T711" s="2" t="s">
        <v>74</v>
      </c>
      <c r="U711" s="2" t="s">
        <v>74</v>
      </c>
      <c r="V711" s="5" t="s">
        <v>7950</v>
      </c>
      <c r="W711" s="2" t="s">
        <v>74</v>
      </c>
      <c r="X711" s="2" t="s">
        <v>74</v>
      </c>
      <c r="Y711" s="2" t="s">
        <v>74</v>
      </c>
      <c r="Z711" s="2" t="s">
        <v>74</v>
      </c>
      <c r="AA711" s="2" t="s">
        <v>2124</v>
      </c>
      <c r="AB711" s="2" t="s">
        <v>74</v>
      </c>
      <c r="AC711" s="2" t="s">
        <v>74</v>
      </c>
      <c r="AD711" s="2" t="s">
        <v>74</v>
      </c>
      <c r="AE711" s="2" t="s">
        <v>74</v>
      </c>
      <c r="AF711" s="2" t="s">
        <v>74</v>
      </c>
      <c r="AG711" s="2" t="s">
        <v>74</v>
      </c>
      <c r="AH711" s="2" t="s">
        <v>74</v>
      </c>
      <c r="AI711" s="2" t="s">
        <v>74</v>
      </c>
      <c r="AJ711" s="2" t="s">
        <v>74</v>
      </c>
      <c r="AK711" s="2" t="s">
        <v>74</v>
      </c>
      <c r="AL711" s="2" t="s">
        <v>74</v>
      </c>
      <c r="AM711" s="2" t="s">
        <v>74</v>
      </c>
      <c r="AN711" s="2" t="s">
        <v>74</v>
      </c>
      <c r="AO711" s="2" t="s">
        <v>5068</v>
      </c>
      <c r="AP711" s="2" t="s">
        <v>74</v>
      </c>
      <c r="AQ711" s="2" t="s">
        <v>74</v>
      </c>
      <c r="AR711" s="2" t="s">
        <v>74</v>
      </c>
      <c r="AS711" s="2" t="s">
        <v>74</v>
      </c>
      <c r="AT711" s="2" t="s">
        <v>74</v>
      </c>
      <c r="AU711" s="2">
        <v>1993</v>
      </c>
      <c r="AV711" s="2">
        <v>23</v>
      </c>
      <c r="AW711" s="2" t="s">
        <v>3743</v>
      </c>
      <c r="AX711" s="2" t="s">
        <v>74</v>
      </c>
      <c r="AY711" s="2" t="s">
        <v>74</v>
      </c>
      <c r="AZ711" s="2" t="s">
        <v>74</v>
      </c>
      <c r="BA711" s="2" t="s">
        <v>74</v>
      </c>
      <c r="BB711" s="2">
        <v>29</v>
      </c>
      <c r="BC711" s="2">
        <v>44</v>
      </c>
      <c r="BD711" s="2" t="s">
        <v>74</v>
      </c>
      <c r="BE711" s="2" t="s">
        <v>7951</v>
      </c>
      <c r="BF711" s="2" t="str">
        <f>HYPERLINK("http://dx.doi.org/10.1080/10236249309378855","http://dx.doi.org/10.1080/10236249309378855")</f>
        <v>http://dx.doi.org/10.1080/10236249309378855</v>
      </c>
      <c r="BG711" s="2" t="s">
        <v>74</v>
      </c>
      <c r="BH711" s="2" t="s">
        <v>74</v>
      </c>
      <c r="BI711" s="2" t="s">
        <v>74</v>
      </c>
      <c r="BJ711" s="2" t="s">
        <v>74</v>
      </c>
      <c r="BK711" s="2" t="s">
        <v>74</v>
      </c>
      <c r="BL711" s="2" t="s">
        <v>74</v>
      </c>
      <c r="BM711" s="2" t="s">
        <v>74</v>
      </c>
      <c r="BN711" s="2" t="s">
        <v>74</v>
      </c>
      <c r="BO711" s="2" t="s">
        <v>74</v>
      </c>
      <c r="BP711" s="2" t="s">
        <v>74</v>
      </c>
      <c r="BQ711" s="2" t="s">
        <v>74</v>
      </c>
      <c r="BR711" s="2" t="s">
        <v>74</v>
      </c>
      <c r="BS711" s="2" t="s">
        <v>7952</v>
      </c>
      <c r="BT711" s="2" t="str">
        <f>HYPERLINK("https%3A%2F%2Fwww.webofscience.com%2Fwos%2Fwoscc%2Ffull-record%2FWOS:A1993MN22500006","View Full Record in Web of Science")</f>
        <v>View Full Record in Web of Science</v>
      </c>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row>
    <row r="712" spans="1:314" s="2" customFormat="1" x14ac:dyDescent="0.4">
      <c r="A712" s="2" t="s">
        <v>72</v>
      </c>
      <c r="B712" s="2" t="s">
        <v>7220</v>
      </c>
      <c r="C712" s="2" t="s">
        <v>74</v>
      </c>
      <c r="D712" s="2" t="s">
        <v>74</v>
      </c>
      <c r="E712" s="2" t="s">
        <v>74</v>
      </c>
      <c r="F712" s="2" t="s">
        <v>7221</v>
      </c>
      <c r="G712" s="2" t="s">
        <v>74</v>
      </c>
      <c r="H712" s="2" t="s">
        <v>74</v>
      </c>
      <c r="I712" s="2" t="s">
        <v>7222</v>
      </c>
      <c r="J712" s="2" t="s">
        <v>1656</v>
      </c>
      <c r="K712" s="2" t="s">
        <v>74</v>
      </c>
      <c r="L712" s="2" t="s">
        <v>74</v>
      </c>
      <c r="M712" s="2" t="s">
        <v>74</v>
      </c>
      <c r="N712" s="2" t="s">
        <v>74</v>
      </c>
      <c r="O712" s="2" t="s">
        <v>74</v>
      </c>
      <c r="P712" s="2" t="s">
        <v>74</v>
      </c>
      <c r="Q712" s="2" t="s">
        <v>74</v>
      </c>
      <c r="R712" s="2" t="s">
        <v>74</v>
      </c>
      <c r="S712" s="2" t="s">
        <v>74</v>
      </c>
      <c r="T712" s="2" t="s">
        <v>74</v>
      </c>
      <c r="U712" s="2" t="s">
        <v>74</v>
      </c>
      <c r="V712" s="5" t="s">
        <v>7223</v>
      </c>
      <c r="W712" s="2" t="s">
        <v>74</v>
      </c>
      <c r="X712" s="2" t="s">
        <v>74</v>
      </c>
      <c r="Y712" s="2" t="s">
        <v>74</v>
      </c>
      <c r="Z712" s="2" t="s">
        <v>74</v>
      </c>
      <c r="AA712" s="2" t="s">
        <v>7224</v>
      </c>
      <c r="AB712" s="2" t="s">
        <v>7225</v>
      </c>
      <c r="AC712" s="2" t="s">
        <v>74</v>
      </c>
      <c r="AD712" s="2" t="s">
        <v>74</v>
      </c>
      <c r="AE712" s="2" t="s">
        <v>74</v>
      </c>
      <c r="AF712" s="2" t="s">
        <v>74</v>
      </c>
      <c r="AG712" s="2" t="s">
        <v>74</v>
      </c>
      <c r="AH712" s="2" t="s">
        <v>74</v>
      </c>
      <c r="AI712" s="2" t="s">
        <v>74</v>
      </c>
      <c r="AJ712" s="2" t="s">
        <v>74</v>
      </c>
      <c r="AK712" s="2" t="s">
        <v>74</v>
      </c>
      <c r="AL712" s="2" t="s">
        <v>74</v>
      </c>
      <c r="AM712" s="2" t="s">
        <v>74</v>
      </c>
      <c r="AN712" s="2" t="s">
        <v>74</v>
      </c>
      <c r="AO712" s="2" t="s">
        <v>1658</v>
      </c>
      <c r="AP712" s="2" t="s">
        <v>1659</v>
      </c>
      <c r="AQ712" s="2" t="s">
        <v>74</v>
      </c>
      <c r="AR712" s="2" t="s">
        <v>74</v>
      </c>
      <c r="AS712" s="2" t="s">
        <v>74</v>
      </c>
      <c r="AT712" s="2" t="s">
        <v>2492</v>
      </c>
      <c r="AU712" s="2">
        <v>2021</v>
      </c>
      <c r="AV712" s="2">
        <v>5072</v>
      </c>
      <c r="AW712" s="2">
        <v>3</v>
      </c>
      <c r="AX712" s="2" t="s">
        <v>74</v>
      </c>
      <c r="AY712" s="2" t="s">
        <v>74</v>
      </c>
      <c r="AZ712" s="2" t="s">
        <v>74</v>
      </c>
      <c r="BA712" s="2" t="s">
        <v>74</v>
      </c>
      <c r="BB712" s="2">
        <v>201</v>
      </c>
      <c r="BC712" s="2">
        <v>237</v>
      </c>
      <c r="BD712" s="2" t="s">
        <v>74</v>
      </c>
      <c r="BE712" s="2" t="s">
        <v>7226</v>
      </c>
      <c r="BF712" s="2" t="str">
        <f>HYPERLINK("http://dx.doi.org/10.11646/zootaxa.5072.3.1","http://dx.doi.org/10.11646/zootaxa.5072.3.1")</f>
        <v>http://dx.doi.org/10.11646/zootaxa.5072.3.1</v>
      </c>
      <c r="BG712" s="2" t="s">
        <v>74</v>
      </c>
      <c r="BH712" s="2" t="s">
        <v>74</v>
      </c>
      <c r="BI712" s="2" t="s">
        <v>74</v>
      </c>
      <c r="BJ712" s="2" t="s">
        <v>74</v>
      </c>
      <c r="BK712" s="2" t="s">
        <v>74</v>
      </c>
      <c r="BL712" s="2" t="s">
        <v>74</v>
      </c>
      <c r="BM712" s="2" t="s">
        <v>74</v>
      </c>
      <c r="BN712" s="2">
        <v>35390870</v>
      </c>
      <c r="BO712" s="2" t="s">
        <v>74</v>
      </c>
      <c r="BP712" s="2" t="s">
        <v>74</v>
      </c>
      <c r="BQ712" s="2" t="s">
        <v>74</v>
      </c>
      <c r="BR712" s="2" t="s">
        <v>74</v>
      </c>
      <c r="BS712" s="2" t="s">
        <v>7227</v>
      </c>
      <c r="BT712" s="2" t="str">
        <f>HYPERLINK("https%3A%2F%2Fwww.webofscience.com%2Fwos%2Fwoscc%2Ffull-record%2FWOS:000725866700001","View Full Record in Web of Science")</f>
        <v>View Full Record in Web of Science</v>
      </c>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row>
    <row r="713" spans="1:314" s="2" customFormat="1" x14ac:dyDescent="0.4">
      <c r="A713" s="2" t="s">
        <v>72</v>
      </c>
      <c r="B713" s="2" t="s">
        <v>4548</v>
      </c>
      <c r="C713" s="2" t="s">
        <v>74</v>
      </c>
      <c r="D713" s="2" t="s">
        <v>74</v>
      </c>
      <c r="E713" s="2" t="s">
        <v>74</v>
      </c>
      <c r="F713" s="2" t="s">
        <v>4549</v>
      </c>
      <c r="G713" s="2" t="s">
        <v>74</v>
      </c>
      <c r="H713" s="2" t="s">
        <v>74</v>
      </c>
      <c r="I713" s="2" t="s">
        <v>4550</v>
      </c>
      <c r="J713" s="2" t="s">
        <v>4551</v>
      </c>
      <c r="K713" s="2" t="s">
        <v>74</v>
      </c>
      <c r="L713" s="2" t="s">
        <v>74</v>
      </c>
      <c r="M713" s="2" t="s">
        <v>74</v>
      </c>
      <c r="N713" s="2" t="s">
        <v>74</v>
      </c>
      <c r="O713" s="2" t="s">
        <v>74</v>
      </c>
      <c r="P713" s="2" t="s">
        <v>74</v>
      </c>
      <c r="Q713" s="2" t="s">
        <v>74</v>
      </c>
      <c r="R713" s="2" t="s">
        <v>74</v>
      </c>
      <c r="S713" s="2" t="s">
        <v>74</v>
      </c>
      <c r="T713" s="2" t="s">
        <v>74</v>
      </c>
      <c r="U713" s="2" t="s">
        <v>74</v>
      </c>
      <c r="V713" s="5" t="s">
        <v>4552</v>
      </c>
      <c r="W713" s="2" t="s">
        <v>74</v>
      </c>
      <c r="X713" s="2" t="s">
        <v>74</v>
      </c>
      <c r="Y713" s="2" t="s">
        <v>74</v>
      </c>
      <c r="Z713" s="2" t="s">
        <v>74</v>
      </c>
      <c r="AA713" s="2" t="s">
        <v>4553</v>
      </c>
      <c r="AB713" s="2" t="s">
        <v>4554</v>
      </c>
      <c r="AC713" s="2" t="s">
        <v>74</v>
      </c>
      <c r="AD713" s="2" t="s">
        <v>74</v>
      </c>
      <c r="AE713" s="2" t="s">
        <v>74</v>
      </c>
      <c r="AF713" s="2" t="s">
        <v>74</v>
      </c>
      <c r="AG713" s="2" t="s">
        <v>74</v>
      </c>
      <c r="AH713" s="2" t="s">
        <v>74</v>
      </c>
      <c r="AI713" s="2" t="s">
        <v>74</v>
      </c>
      <c r="AJ713" s="2" t="s">
        <v>74</v>
      </c>
      <c r="AK713" s="2" t="s">
        <v>74</v>
      </c>
      <c r="AL713" s="2" t="s">
        <v>74</v>
      </c>
      <c r="AM713" s="2" t="s">
        <v>74</v>
      </c>
      <c r="AN713" s="2" t="s">
        <v>74</v>
      </c>
      <c r="AO713" s="2" t="s">
        <v>4555</v>
      </c>
      <c r="AP713" s="2" t="s">
        <v>4556</v>
      </c>
      <c r="AQ713" s="2" t="s">
        <v>74</v>
      </c>
      <c r="AR713" s="2" t="s">
        <v>74</v>
      </c>
      <c r="AS713" s="2" t="s">
        <v>74</v>
      </c>
      <c r="AT713" s="2" t="s">
        <v>4557</v>
      </c>
      <c r="AU713" s="2">
        <v>2023</v>
      </c>
      <c r="AV713" s="2">
        <v>577</v>
      </c>
      <c r="AW713" s="2" t="s">
        <v>74</v>
      </c>
      <c r="AX713" s="2" t="s">
        <v>74</v>
      </c>
      <c r="AY713" s="2" t="s">
        <v>74</v>
      </c>
      <c r="AZ713" s="2" t="s">
        <v>74</v>
      </c>
      <c r="BA713" s="2" t="s">
        <v>74</v>
      </c>
      <c r="BB713" s="2" t="s">
        <v>74</v>
      </c>
      <c r="BC713" s="2" t="s">
        <v>74</v>
      </c>
      <c r="BD713" s="2">
        <v>739980</v>
      </c>
      <c r="BE713" s="2" t="s">
        <v>4558</v>
      </c>
      <c r="BF713" s="2" t="str">
        <f>HYPERLINK("http://dx.doi.org/10.1016/j.aquaculture.2023.739980","http://dx.doi.org/10.1016/j.aquaculture.2023.739980")</f>
        <v>http://dx.doi.org/10.1016/j.aquaculture.2023.739980</v>
      </c>
      <c r="BG713" s="2" t="s">
        <v>74</v>
      </c>
      <c r="BH713" s="2" t="s">
        <v>4559</v>
      </c>
      <c r="BI713" s="2" t="s">
        <v>74</v>
      </c>
      <c r="BJ713" s="2" t="s">
        <v>74</v>
      </c>
      <c r="BK713" s="2" t="s">
        <v>74</v>
      </c>
      <c r="BL713" s="2" t="s">
        <v>74</v>
      </c>
      <c r="BM713" s="2" t="s">
        <v>74</v>
      </c>
      <c r="BN713" s="2" t="s">
        <v>74</v>
      </c>
      <c r="BO713" s="2" t="s">
        <v>74</v>
      </c>
      <c r="BP713" s="2" t="s">
        <v>74</v>
      </c>
      <c r="BQ713" s="2" t="s">
        <v>74</v>
      </c>
      <c r="BR713" s="2" t="s">
        <v>74</v>
      </c>
      <c r="BS713" s="2" t="s">
        <v>4560</v>
      </c>
      <c r="BT713" s="2" t="str">
        <f>HYPERLINK("https%3A%2F%2Fwww.webofscience.com%2Fwos%2Fwoscc%2Ffull-record%2FWOS:001065191600001","View Full Record in Web of Science")</f>
        <v>View Full Record in Web of Science</v>
      </c>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row>
    <row r="714" spans="1:314" s="2" customFormat="1" x14ac:dyDescent="0.4">
      <c r="A714" s="2" t="s">
        <v>72</v>
      </c>
      <c r="B714" s="2" t="s">
        <v>1346</v>
      </c>
      <c r="C714" s="2" t="s">
        <v>74</v>
      </c>
      <c r="D714" s="2" t="s">
        <v>74</v>
      </c>
      <c r="E714" s="2" t="s">
        <v>74</v>
      </c>
      <c r="F714" s="2" t="s">
        <v>1346</v>
      </c>
      <c r="G714" s="2" t="s">
        <v>74</v>
      </c>
      <c r="H714" s="2" t="s">
        <v>74</v>
      </c>
      <c r="I714" s="2" t="s">
        <v>1347</v>
      </c>
      <c r="J714" s="2" t="s">
        <v>192</v>
      </c>
      <c r="K714" s="2" t="s">
        <v>74</v>
      </c>
      <c r="L714" s="2" t="s">
        <v>74</v>
      </c>
      <c r="M714" s="2" t="s">
        <v>74</v>
      </c>
      <c r="N714" s="2" t="s">
        <v>74</v>
      </c>
      <c r="O714" s="2" t="s">
        <v>74</v>
      </c>
      <c r="P714" s="2" t="s">
        <v>74</v>
      </c>
      <c r="Q714" s="2" t="s">
        <v>74</v>
      </c>
      <c r="R714" s="2" t="s">
        <v>74</v>
      </c>
      <c r="S714" s="2" t="s">
        <v>74</v>
      </c>
      <c r="T714" s="2" t="s">
        <v>74</v>
      </c>
      <c r="U714" s="2" t="s">
        <v>74</v>
      </c>
      <c r="V714" s="5" t="s">
        <v>1348</v>
      </c>
      <c r="W714" s="2" t="s">
        <v>74</v>
      </c>
      <c r="X714" s="2" t="s">
        <v>74</v>
      </c>
      <c r="Y714" s="2" t="s">
        <v>74</v>
      </c>
      <c r="Z714" s="2" t="s">
        <v>74</v>
      </c>
      <c r="AA714" s="2" t="s">
        <v>74</v>
      </c>
      <c r="AB714" s="2" t="s">
        <v>74</v>
      </c>
      <c r="AC714" s="2" t="s">
        <v>74</v>
      </c>
      <c r="AD714" s="2" t="s">
        <v>74</v>
      </c>
      <c r="AE714" s="2" t="s">
        <v>74</v>
      </c>
      <c r="AF714" s="2" t="s">
        <v>74</v>
      </c>
      <c r="AG714" s="2" t="s">
        <v>74</v>
      </c>
      <c r="AH714" s="2" t="s">
        <v>74</v>
      </c>
      <c r="AI714" s="2" t="s">
        <v>74</v>
      </c>
      <c r="AJ714" s="2" t="s">
        <v>74</v>
      </c>
      <c r="AK714" s="2" t="s">
        <v>74</v>
      </c>
      <c r="AL714" s="2" t="s">
        <v>74</v>
      </c>
      <c r="AM714" s="2" t="s">
        <v>74</v>
      </c>
      <c r="AN714" s="2" t="s">
        <v>74</v>
      </c>
      <c r="AO714" s="2" t="s">
        <v>195</v>
      </c>
      <c r="AP714" s="2" t="s">
        <v>196</v>
      </c>
      <c r="AQ714" s="2" t="s">
        <v>74</v>
      </c>
      <c r="AR714" s="2" t="s">
        <v>74</v>
      </c>
      <c r="AS714" s="2" t="s">
        <v>74</v>
      </c>
      <c r="AT714" s="2" t="s">
        <v>1349</v>
      </c>
      <c r="AU714" s="2">
        <v>1996</v>
      </c>
      <c r="AV714" s="2">
        <v>337</v>
      </c>
      <c r="AW714" s="2" t="s">
        <v>1350</v>
      </c>
      <c r="AX714" s="2" t="s">
        <v>74</v>
      </c>
      <c r="AY714" s="2" t="s">
        <v>74</v>
      </c>
      <c r="AZ714" s="2" t="s">
        <v>74</v>
      </c>
      <c r="BA714" s="2" t="s">
        <v>74</v>
      </c>
      <c r="BB714" s="2">
        <v>69</v>
      </c>
      <c r="BC714" s="2">
        <v>76</v>
      </c>
      <c r="BD714" s="2" t="s">
        <v>74</v>
      </c>
      <c r="BE714" s="2" t="s">
        <v>1351</v>
      </c>
      <c r="BF714" s="2" t="str">
        <f>HYPERLINK("http://dx.doi.org/10.1007/BF00028507","http://dx.doi.org/10.1007/BF00028507")</f>
        <v>http://dx.doi.org/10.1007/BF00028507</v>
      </c>
      <c r="BG714" s="2" t="s">
        <v>74</v>
      </c>
      <c r="BH714" s="2" t="s">
        <v>74</v>
      </c>
      <c r="BI714" s="2" t="s">
        <v>74</v>
      </c>
      <c r="BJ714" s="2" t="s">
        <v>74</v>
      </c>
      <c r="BK714" s="2" t="s">
        <v>74</v>
      </c>
      <c r="BL714" s="2" t="s">
        <v>74</v>
      </c>
      <c r="BM714" s="2" t="s">
        <v>74</v>
      </c>
      <c r="BN714" s="2" t="s">
        <v>74</v>
      </c>
      <c r="BO714" s="2" t="s">
        <v>74</v>
      </c>
      <c r="BP714" s="2" t="s">
        <v>74</v>
      </c>
      <c r="BQ714" s="2" t="s">
        <v>74</v>
      </c>
      <c r="BR714" s="2" t="s">
        <v>74</v>
      </c>
      <c r="BS714" s="2" t="s">
        <v>1352</v>
      </c>
      <c r="BT714" s="2" t="str">
        <f>HYPERLINK("https%3A%2F%2Fwww.webofscience.com%2Fwos%2Fwoscc%2Ffull-record%2FWOS:A1996WB14600006","View Full Record in Web of Science")</f>
        <v>View Full Record in Web of Science</v>
      </c>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row>
    <row r="715" spans="1:314" s="2" customFormat="1" x14ac:dyDescent="0.4">
      <c r="A715" s="2" t="s">
        <v>72</v>
      </c>
      <c r="B715" s="2" t="s">
        <v>4294</v>
      </c>
      <c r="C715" s="2" t="s">
        <v>74</v>
      </c>
      <c r="D715" s="2" t="s">
        <v>74</v>
      </c>
      <c r="E715" s="2" t="s">
        <v>74</v>
      </c>
      <c r="F715" s="2" t="s">
        <v>4294</v>
      </c>
      <c r="G715" s="2" t="s">
        <v>74</v>
      </c>
      <c r="H715" s="2" t="s">
        <v>74</v>
      </c>
      <c r="I715" s="2" t="s">
        <v>4295</v>
      </c>
      <c r="J715" s="2" t="s">
        <v>140</v>
      </c>
      <c r="K715" s="2" t="s">
        <v>74</v>
      </c>
      <c r="L715" s="2" t="s">
        <v>74</v>
      </c>
      <c r="M715" s="2" t="s">
        <v>74</v>
      </c>
      <c r="N715" s="2" t="s">
        <v>74</v>
      </c>
      <c r="O715" s="2" t="s">
        <v>74</v>
      </c>
      <c r="P715" s="2" t="s">
        <v>74</v>
      </c>
      <c r="Q715" s="2" t="s">
        <v>74</v>
      </c>
      <c r="R715" s="2" t="s">
        <v>74</v>
      </c>
      <c r="S715" s="2" t="s">
        <v>74</v>
      </c>
      <c r="T715" s="2" t="s">
        <v>74</v>
      </c>
      <c r="U715" s="2" t="s">
        <v>74</v>
      </c>
      <c r="V715" s="5" t="s">
        <v>4296</v>
      </c>
      <c r="W715" s="2" t="s">
        <v>74</v>
      </c>
      <c r="X715" s="2" t="s">
        <v>74</v>
      </c>
      <c r="Y715" s="2" t="s">
        <v>74</v>
      </c>
      <c r="Z715" s="2" t="s">
        <v>74</v>
      </c>
      <c r="AA715" s="2" t="s">
        <v>74</v>
      </c>
      <c r="AB715" s="2" t="s">
        <v>74</v>
      </c>
      <c r="AC715" s="2" t="s">
        <v>74</v>
      </c>
      <c r="AD715" s="2" t="s">
        <v>74</v>
      </c>
      <c r="AE715" s="2" t="s">
        <v>74</v>
      </c>
      <c r="AF715" s="2" t="s">
        <v>74</v>
      </c>
      <c r="AG715" s="2" t="s">
        <v>74</v>
      </c>
      <c r="AH715" s="2" t="s">
        <v>74</v>
      </c>
      <c r="AI715" s="2" t="s">
        <v>74</v>
      </c>
      <c r="AJ715" s="2" t="s">
        <v>74</v>
      </c>
      <c r="AK715" s="2" t="s">
        <v>74</v>
      </c>
      <c r="AL715" s="2" t="s">
        <v>74</v>
      </c>
      <c r="AM715" s="2" t="s">
        <v>74</v>
      </c>
      <c r="AN715" s="2" t="s">
        <v>74</v>
      </c>
      <c r="AO715" s="2" t="s">
        <v>143</v>
      </c>
      <c r="AP715" s="2" t="s">
        <v>144</v>
      </c>
      <c r="AQ715" s="2" t="s">
        <v>74</v>
      </c>
      <c r="AR715" s="2" t="s">
        <v>74</v>
      </c>
      <c r="AS715" s="2" t="s">
        <v>74</v>
      </c>
      <c r="AT715" s="2" t="s">
        <v>123</v>
      </c>
      <c r="AU715" s="2">
        <v>2004</v>
      </c>
      <c r="AV715" s="2">
        <v>67</v>
      </c>
      <c r="AW715" s="2" t="s">
        <v>74</v>
      </c>
      <c r="AX715" s="2">
        <v>3</v>
      </c>
      <c r="AY715" s="2" t="s">
        <v>74</v>
      </c>
      <c r="AZ715" s="2" t="s">
        <v>74</v>
      </c>
      <c r="BA715" s="2" t="s">
        <v>74</v>
      </c>
      <c r="BB715" s="2">
        <v>397</v>
      </c>
      <c r="BC715" s="2">
        <v>402</v>
      </c>
      <c r="BD715" s="2" t="s">
        <v>74</v>
      </c>
      <c r="BE715" s="2" t="s">
        <v>4297</v>
      </c>
      <c r="BF715" s="2" t="str">
        <f>HYPERLINK("http://dx.doi.org/10.1016/j.anbehav.2003.03.017","http://dx.doi.org/10.1016/j.anbehav.2003.03.017")</f>
        <v>http://dx.doi.org/10.1016/j.anbehav.2003.03.017</v>
      </c>
      <c r="BG715" s="2" t="s">
        <v>74</v>
      </c>
      <c r="BH715" s="2" t="s">
        <v>74</v>
      </c>
      <c r="BI715" s="2" t="s">
        <v>74</v>
      </c>
      <c r="BJ715" s="2" t="s">
        <v>74</v>
      </c>
      <c r="BK715" s="2" t="s">
        <v>74</v>
      </c>
      <c r="BL715" s="2" t="s">
        <v>74</v>
      </c>
      <c r="BM715" s="2" t="s">
        <v>74</v>
      </c>
      <c r="BN715" s="2" t="s">
        <v>74</v>
      </c>
      <c r="BO715" s="2" t="s">
        <v>74</v>
      </c>
      <c r="BP715" s="2" t="s">
        <v>74</v>
      </c>
      <c r="BQ715" s="2" t="s">
        <v>74</v>
      </c>
      <c r="BR715" s="2" t="s">
        <v>74</v>
      </c>
      <c r="BS715" s="2" t="s">
        <v>4298</v>
      </c>
      <c r="BT715" s="2" t="str">
        <f>HYPERLINK("https%3A%2F%2Fwww.webofscience.com%2Fwos%2Fwoscc%2Ffull-record%2FWOS:000220540800003","View Full Record in Web of Science")</f>
        <v>View Full Record in Web of Science</v>
      </c>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row>
    <row r="716" spans="1:314" s="2" customFormat="1" x14ac:dyDescent="0.4">
      <c r="A716" s="2" t="s">
        <v>72</v>
      </c>
      <c r="B716" s="2" t="s">
        <v>2940</v>
      </c>
      <c r="C716" s="2" t="s">
        <v>74</v>
      </c>
      <c r="D716" s="2" t="s">
        <v>74</v>
      </c>
      <c r="E716" s="2" t="s">
        <v>74</v>
      </c>
      <c r="F716" s="2" t="s">
        <v>2941</v>
      </c>
      <c r="G716" s="2" t="s">
        <v>74</v>
      </c>
      <c r="H716" s="2" t="s">
        <v>74</v>
      </c>
      <c r="I716" s="2" t="s">
        <v>2942</v>
      </c>
      <c r="J716" s="2" t="s">
        <v>970</v>
      </c>
      <c r="K716" s="2" t="s">
        <v>74</v>
      </c>
      <c r="L716" s="2" t="s">
        <v>74</v>
      </c>
      <c r="M716" s="2" t="s">
        <v>74</v>
      </c>
      <c r="N716" s="2" t="s">
        <v>74</v>
      </c>
      <c r="O716" s="2" t="s">
        <v>74</v>
      </c>
      <c r="P716" s="2" t="s">
        <v>74</v>
      </c>
      <c r="Q716" s="2" t="s">
        <v>74</v>
      </c>
      <c r="R716" s="2" t="s">
        <v>74</v>
      </c>
      <c r="S716" s="2" t="s">
        <v>74</v>
      </c>
      <c r="T716" s="2" t="s">
        <v>74</v>
      </c>
      <c r="U716" s="2" t="s">
        <v>74</v>
      </c>
      <c r="V716" s="5" t="s">
        <v>2943</v>
      </c>
      <c r="W716" s="2" t="s">
        <v>74</v>
      </c>
      <c r="X716" s="2" t="s">
        <v>74</v>
      </c>
      <c r="Y716" s="2" t="s">
        <v>74</v>
      </c>
      <c r="Z716" s="2" t="s">
        <v>74</v>
      </c>
      <c r="AA716" s="2" t="s">
        <v>2944</v>
      </c>
      <c r="AB716" s="2" t="s">
        <v>2945</v>
      </c>
      <c r="AC716" s="2" t="s">
        <v>74</v>
      </c>
      <c r="AD716" s="2" t="s">
        <v>74</v>
      </c>
      <c r="AE716" s="2" t="s">
        <v>74</v>
      </c>
      <c r="AF716" s="2" t="s">
        <v>74</v>
      </c>
      <c r="AG716" s="2" t="s">
        <v>74</v>
      </c>
      <c r="AH716" s="2" t="s">
        <v>74</v>
      </c>
      <c r="AI716" s="2" t="s">
        <v>74</v>
      </c>
      <c r="AJ716" s="2" t="s">
        <v>74</v>
      </c>
      <c r="AK716" s="2" t="s">
        <v>74</v>
      </c>
      <c r="AL716" s="2" t="s">
        <v>74</v>
      </c>
      <c r="AM716" s="2" t="s">
        <v>74</v>
      </c>
      <c r="AN716" s="2" t="s">
        <v>74</v>
      </c>
      <c r="AO716" s="2" t="s">
        <v>974</v>
      </c>
      <c r="AP716" s="2" t="s">
        <v>975</v>
      </c>
      <c r="AQ716" s="2" t="s">
        <v>74</v>
      </c>
      <c r="AR716" s="2" t="s">
        <v>74</v>
      </c>
      <c r="AS716" s="2" t="s">
        <v>74</v>
      </c>
      <c r="AT716" s="2" t="s">
        <v>204</v>
      </c>
      <c r="AU716" s="2">
        <v>2015</v>
      </c>
      <c r="AV716" s="2">
        <v>156</v>
      </c>
      <c r="AW716" s="2">
        <v>3</v>
      </c>
      <c r="AX716" s="2" t="s">
        <v>74</v>
      </c>
      <c r="AY716" s="2" t="s">
        <v>74</v>
      </c>
      <c r="AZ716" s="2" t="s">
        <v>74</v>
      </c>
      <c r="BA716" s="2" t="s">
        <v>74</v>
      </c>
      <c r="BB716" s="2">
        <v>783</v>
      </c>
      <c r="BC716" s="2">
        <v>793</v>
      </c>
      <c r="BD716" s="2" t="s">
        <v>74</v>
      </c>
      <c r="BE716" s="2" t="s">
        <v>2946</v>
      </c>
      <c r="BF716" s="2" t="str">
        <f>HYPERLINK("http://dx.doi.org/10.1007/s10336-015-1168-7","http://dx.doi.org/10.1007/s10336-015-1168-7")</f>
        <v>http://dx.doi.org/10.1007/s10336-015-1168-7</v>
      </c>
      <c r="BG716" s="2" t="s">
        <v>74</v>
      </c>
      <c r="BH716" s="2" t="s">
        <v>74</v>
      </c>
      <c r="BI716" s="2" t="s">
        <v>74</v>
      </c>
      <c r="BJ716" s="2" t="s">
        <v>74</v>
      </c>
      <c r="BK716" s="2" t="s">
        <v>74</v>
      </c>
      <c r="BL716" s="2" t="s">
        <v>74</v>
      </c>
      <c r="BM716" s="2" t="s">
        <v>74</v>
      </c>
      <c r="BN716" s="2" t="s">
        <v>74</v>
      </c>
      <c r="BO716" s="2" t="s">
        <v>74</v>
      </c>
      <c r="BP716" s="2" t="s">
        <v>74</v>
      </c>
      <c r="BQ716" s="2" t="s">
        <v>74</v>
      </c>
      <c r="BR716" s="2" t="s">
        <v>74</v>
      </c>
      <c r="BS716" s="2" t="s">
        <v>2947</v>
      </c>
      <c r="BT716" s="2" t="str">
        <f>HYPERLINK("https%3A%2F%2Fwww.webofscience.com%2Fwos%2Fwoscc%2Ffull-record%2FWOS:000356447100022","View Full Record in Web of Science")</f>
        <v>View Full Record in Web of Science</v>
      </c>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row>
    <row r="717" spans="1:314" s="2" customFormat="1" x14ac:dyDescent="0.4">
      <c r="A717" s="2" t="s">
        <v>72</v>
      </c>
      <c r="B717" s="2" t="s">
        <v>7061</v>
      </c>
      <c r="C717" s="2" t="s">
        <v>74</v>
      </c>
      <c r="D717" s="2" t="s">
        <v>74</v>
      </c>
      <c r="E717" s="2" t="s">
        <v>74</v>
      </c>
      <c r="F717" s="2" t="s">
        <v>7062</v>
      </c>
      <c r="G717" s="2" t="s">
        <v>74</v>
      </c>
      <c r="H717" s="2" t="s">
        <v>74</v>
      </c>
      <c r="I717" s="2" t="s">
        <v>7063</v>
      </c>
      <c r="J717" s="2" t="s">
        <v>108</v>
      </c>
      <c r="K717" s="2" t="s">
        <v>74</v>
      </c>
      <c r="L717" s="2" t="s">
        <v>74</v>
      </c>
      <c r="M717" s="2" t="s">
        <v>74</v>
      </c>
      <c r="N717" s="2" t="s">
        <v>74</v>
      </c>
      <c r="O717" s="2" t="s">
        <v>74</v>
      </c>
      <c r="P717" s="2" t="s">
        <v>74</v>
      </c>
      <c r="Q717" s="2" t="s">
        <v>74</v>
      </c>
      <c r="R717" s="2" t="s">
        <v>74</v>
      </c>
      <c r="S717" s="2" t="s">
        <v>74</v>
      </c>
      <c r="T717" s="2" t="s">
        <v>74</v>
      </c>
      <c r="U717" s="2" t="s">
        <v>74</v>
      </c>
      <c r="V717" s="5" t="s">
        <v>7064</v>
      </c>
      <c r="W717" s="2" t="s">
        <v>74</v>
      </c>
      <c r="X717" s="2" t="s">
        <v>74</v>
      </c>
      <c r="Y717" s="2" t="s">
        <v>74</v>
      </c>
      <c r="Z717" s="2" t="s">
        <v>74</v>
      </c>
      <c r="AA717" s="2" t="s">
        <v>7065</v>
      </c>
      <c r="AB717" s="2" t="s">
        <v>7066</v>
      </c>
      <c r="AC717" s="2" t="s">
        <v>74</v>
      </c>
      <c r="AD717" s="2" t="s">
        <v>74</v>
      </c>
      <c r="AE717" s="2" t="s">
        <v>74</v>
      </c>
      <c r="AF717" s="2" t="s">
        <v>74</v>
      </c>
      <c r="AG717" s="2" t="s">
        <v>74</v>
      </c>
      <c r="AH717" s="2" t="s">
        <v>74</v>
      </c>
      <c r="AI717" s="2" t="s">
        <v>74</v>
      </c>
      <c r="AJ717" s="2" t="s">
        <v>74</v>
      </c>
      <c r="AK717" s="2" t="s">
        <v>74</v>
      </c>
      <c r="AL717" s="2" t="s">
        <v>74</v>
      </c>
      <c r="AM717" s="2" t="s">
        <v>74</v>
      </c>
      <c r="AN717" s="2" t="s">
        <v>74</v>
      </c>
      <c r="AO717" s="2" t="s">
        <v>111</v>
      </c>
      <c r="AP717" s="2" t="s">
        <v>112</v>
      </c>
      <c r="AQ717" s="2" t="s">
        <v>74</v>
      </c>
      <c r="AR717" s="2" t="s">
        <v>74</v>
      </c>
      <c r="AS717" s="2" t="s">
        <v>74</v>
      </c>
      <c r="AT717" s="2" t="s">
        <v>493</v>
      </c>
      <c r="AU717" s="2">
        <v>2015</v>
      </c>
      <c r="AV717" s="2">
        <v>282</v>
      </c>
      <c r="AW717" s="2">
        <v>1811</v>
      </c>
      <c r="AX717" s="2" t="s">
        <v>74</v>
      </c>
      <c r="AY717" s="2" t="s">
        <v>74</v>
      </c>
      <c r="AZ717" s="2" t="s">
        <v>74</v>
      </c>
      <c r="BA717" s="2" t="s">
        <v>74</v>
      </c>
      <c r="BB717" s="2" t="s">
        <v>74</v>
      </c>
      <c r="BC717" s="2" t="s">
        <v>74</v>
      </c>
      <c r="BD717" s="2">
        <v>20150624</v>
      </c>
      <c r="BE717" s="2" t="s">
        <v>7067</v>
      </c>
      <c r="BF717" s="2" t="str">
        <f>HYPERLINK("http://dx.doi.org/10.1098/rspb.2015.0624","http://dx.doi.org/10.1098/rspb.2015.0624")</f>
        <v>http://dx.doi.org/10.1098/rspb.2015.0624</v>
      </c>
      <c r="BG717" s="2" t="s">
        <v>74</v>
      </c>
      <c r="BH717" s="2" t="s">
        <v>74</v>
      </c>
      <c r="BI717" s="2" t="s">
        <v>74</v>
      </c>
      <c r="BJ717" s="2" t="s">
        <v>74</v>
      </c>
      <c r="BK717" s="2" t="s">
        <v>74</v>
      </c>
      <c r="BL717" s="2" t="s">
        <v>74</v>
      </c>
      <c r="BM717" s="2" t="s">
        <v>74</v>
      </c>
      <c r="BN717" s="2">
        <v>26136445</v>
      </c>
      <c r="BO717" s="2" t="s">
        <v>74</v>
      </c>
      <c r="BP717" s="2" t="s">
        <v>74</v>
      </c>
      <c r="BQ717" s="2" t="s">
        <v>74</v>
      </c>
      <c r="BR717" s="2" t="s">
        <v>74</v>
      </c>
      <c r="BS717" s="2" t="s">
        <v>7068</v>
      </c>
      <c r="BT717" s="2" t="str">
        <f>HYPERLINK("https%3A%2F%2Fwww.webofscience.com%2Fwos%2Fwoscc%2Ffull-record%2FWOS:000358735700011","View Full Record in Web of Science")</f>
        <v>View Full Record in Web of Science</v>
      </c>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row>
    <row r="718" spans="1:314" s="2" customFormat="1" x14ac:dyDescent="0.4">
      <c r="A718" s="2" t="s">
        <v>72</v>
      </c>
      <c r="B718" s="2" t="s">
        <v>5257</v>
      </c>
      <c r="C718" s="2" t="s">
        <v>74</v>
      </c>
      <c r="D718" s="2" t="s">
        <v>74</v>
      </c>
      <c r="E718" s="2" t="s">
        <v>74</v>
      </c>
      <c r="F718" s="2" t="s">
        <v>5257</v>
      </c>
      <c r="G718" s="2" t="s">
        <v>74</v>
      </c>
      <c r="H718" s="2" t="s">
        <v>74</v>
      </c>
      <c r="I718" s="2" t="s">
        <v>5258</v>
      </c>
      <c r="J718" s="2" t="s">
        <v>3817</v>
      </c>
      <c r="K718" s="2" t="s">
        <v>74</v>
      </c>
      <c r="L718" s="2" t="s">
        <v>74</v>
      </c>
      <c r="M718" s="2" t="s">
        <v>74</v>
      </c>
      <c r="N718" s="2" t="s">
        <v>74</v>
      </c>
      <c r="O718" s="2" t="s">
        <v>74</v>
      </c>
      <c r="P718" s="2" t="s">
        <v>74</v>
      </c>
      <c r="Q718" s="2" t="s">
        <v>74</v>
      </c>
      <c r="R718" s="2" t="s">
        <v>74</v>
      </c>
      <c r="S718" s="2" t="s">
        <v>74</v>
      </c>
      <c r="T718" s="2" t="s">
        <v>74</v>
      </c>
      <c r="U718" s="2" t="s">
        <v>74</v>
      </c>
      <c r="V718" s="5" t="s">
        <v>5259</v>
      </c>
      <c r="W718" s="2" t="s">
        <v>74</v>
      </c>
      <c r="X718" s="2" t="s">
        <v>74</v>
      </c>
      <c r="Y718" s="2" t="s">
        <v>74</v>
      </c>
      <c r="Z718" s="2" t="s">
        <v>74</v>
      </c>
      <c r="AA718" s="2" t="s">
        <v>74</v>
      </c>
      <c r="AB718" s="2" t="s">
        <v>74</v>
      </c>
      <c r="AC718" s="2" t="s">
        <v>74</v>
      </c>
      <c r="AD718" s="2" t="s">
        <v>74</v>
      </c>
      <c r="AE718" s="2" t="s">
        <v>74</v>
      </c>
      <c r="AF718" s="2" t="s">
        <v>74</v>
      </c>
      <c r="AG718" s="2" t="s">
        <v>74</v>
      </c>
      <c r="AH718" s="2" t="s">
        <v>74</v>
      </c>
      <c r="AI718" s="2" t="s">
        <v>74</v>
      </c>
      <c r="AJ718" s="2" t="s">
        <v>74</v>
      </c>
      <c r="AK718" s="2" t="s">
        <v>74</v>
      </c>
      <c r="AL718" s="2" t="s">
        <v>74</v>
      </c>
      <c r="AM718" s="2" t="s">
        <v>74</v>
      </c>
      <c r="AN718" s="2" t="s">
        <v>74</v>
      </c>
      <c r="AO718" s="2" t="s">
        <v>3821</v>
      </c>
      <c r="AP718" s="2" t="s">
        <v>3822</v>
      </c>
      <c r="AQ718" s="2" t="s">
        <v>74</v>
      </c>
      <c r="AR718" s="2" t="s">
        <v>74</v>
      </c>
      <c r="AS718" s="2" t="s">
        <v>74</v>
      </c>
      <c r="AT718" s="2" t="s">
        <v>74</v>
      </c>
      <c r="AU718" s="2">
        <v>1981</v>
      </c>
      <c r="AV718" s="2">
        <v>71</v>
      </c>
      <c r="AW718" s="2">
        <v>3</v>
      </c>
      <c r="AX718" s="2" t="s">
        <v>74</v>
      </c>
      <c r="AY718" s="2" t="s">
        <v>74</v>
      </c>
      <c r="AZ718" s="2" t="s">
        <v>74</v>
      </c>
      <c r="BA718" s="2" t="s">
        <v>74</v>
      </c>
      <c r="BB718" s="2">
        <v>253</v>
      </c>
      <c r="BC718" s="2">
        <v>264</v>
      </c>
      <c r="BD718" s="2" t="s">
        <v>74</v>
      </c>
      <c r="BE718" s="2" t="s">
        <v>5260</v>
      </c>
      <c r="BF718" s="2" t="str">
        <f>HYPERLINK("http://dx.doi.org/10.1111/j.1096-3642.1981.tb01132.x","http://dx.doi.org/10.1111/j.1096-3642.1981.tb01132.x")</f>
        <v>http://dx.doi.org/10.1111/j.1096-3642.1981.tb01132.x</v>
      </c>
      <c r="BG718" s="2" t="s">
        <v>74</v>
      </c>
      <c r="BH718" s="2" t="s">
        <v>74</v>
      </c>
      <c r="BI718" s="2" t="s">
        <v>74</v>
      </c>
      <c r="BJ718" s="2" t="s">
        <v>74</v>
      </c>
      <c r="BK718" s="2" t="s">
        <v>74</v>
      </c>
      <c r="BL718" s="2" t="s">
        <v>74</v>
      </c>
      <c r="BM718" s="2" t="s">
        <v>74</v>
      </c>
      <c r="BN718" s="2" t="s">
        <v>74</v>
      </c>
      <c r="BO718" s="2" t="s">
        <v>74</v>
      </c>
      <c r="BP718" s="2" t="s">
        <v>74</v>
      </c>
      <c r="BQ718" s="2" t="s">
        <v>74</v>
      </c>
      <c r="BR718" s="2" t="s">
        <v>74</v>
      </c>
      <c r="BS718" s="2" t="s">
        <v>5261</v>
      </c>
      <c r="BT718" s="2" t="str">
        <f>HYPERLINK("https%3A%2F%2Fwww.webofscience.com%2Fwos%2Fwoscc%2Ffull-record%2FWOS:A1981LF81100001","View Full Record in Web of Science")</f>
        <v>View Full Record in Web of Science</v>
      </c>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row>
    <row r="719" spans="1:314" s="2" customFormat="1" x14ac:dyDescent="0.4">
      <c r="A719" s="2" t="s">
        <v>72</v>
      </c>
      <c r="B719" s="2" t="s">
        <v>4183</v>
      </c>
      <c r="C719" s="2" t="s">
        <v>74</v>
      </c>
      <c r="D719" s="2" t="s">
        <v>74</v>
      </c>
      <c r="E719" s="2" t="s">
        <v>74</v>
      </c>
      <c r="F719" s="2" t="s">
        <v>4184</v>
      </c>
      <c r="G719" s="2" t="s">
        <v>74</v>
      </c>
      <c r="H719" s="2" t="s">
        <v>74</v>
      </c>
      <c r="I719" s="2" t="s">
        <v>4185</v>
      </c>
      <c r="J719" s="2" t="s">
        <v>333</v>
      </c>
      <c r="K719" s="2" t="s">
        <v>74</v>
      </c>
      <c r="L719" s="2" t="s">
        <v>74</v>
      </c>
      <c r="M719" s="2" t="s">
        <v>74</v>
      </c>
      <c r="N719" s="2" t="s">
        <v>74</v>
      </c>
      <c r="O719" s="2" t="s">
        <v>74</v>
      </c>
      <c r="P719" s="2" t="s">
        <v>74</v>
      </c>
      <c r="Q719" s="2" t="s">
        <v>74</v>
      </c>
      <c r="R719" s="2" t="s">
        <v>74</v>
      </c>
      <c r="S719" s="2" t="s">
        <v>74</v>
      </c>
      <c r="T719" s="2" t="s">
        <v>74</v>
      </c>
      <c r="U719" s="2" t="s">
        <v>74</v>
      </c>
      <c r="V719" s="5" t="s">
        <v>4186</v>
      </c>
      <c r="W719" s="2" t="s">
        <v>74</v>
      </c>
      <c r="X719" s="2" t="s">
        <v>74</v>
      </c>
      <c r="Y719" s="2" t="s">
        <v>74</v>
      </c>
      <c r="Z719" s="2" t="s">
        <v>74</v>
      </c>
      <c r="AA719" s="2" t="s">
        <v>74</v>
      </c>
      <c r="AB719" s="2" t="s">
        <v>4187</v>
      </c>
      <c r="AC719" s="2" t="s">
        <v>74</v>
      </c>
      <c r="AD719" s="2" t="s">
        <v>74</v>
      </c>
      <c r="AE719" s="2" t="s">
        <v>74</v>
      </c>
      <c r="AF719" s="2" t="s">
        <v>74</v>
      </c>
      <c r="AG719" s="2" t="s">
        <v>74</v>
      </c>
      <c r="AH719" s="2" t="s">
        <v>74</v>
      </c>
      <c r="AI719" s="2" t="s">
        <v>74</v>
      </c>
      <c r="AJ719" s="2" t="s">
        <v>74</v>
      </c>
      <c r="AK719" s="2" t="s">
        <v>74</v>
      </c>
      <c r="AL719" s="2" t="s">
        <v>74</v>
      </c>
      <c r="AM719" s="2" t="s">
        <v>74</v>
      </c>
      <c r="AN719" s="2" t="s">
        <v>74</v>
      </c>
      <c r="AO719" s="2" t="s">
        <v>337</v>
      </c>
      <c r="AP719" s="2" t="s">
        <v>338</v>
      </c>
      <c r="AQ719" s="2" t="s">
        <v>74</v>
      </c>
      <c r="AR719" s="2" t="s">
        <v>74</v>
      </c>
      <c r="AS719" s="2" t="s">
        <v>74</v>
      </c>
      <c r="AT719" s="2" t="s">
        <v>1075</v>
      </c>
      <c r="AU719" s="2">
        <v>2014</v>
      </c>
      <c r="AV719" s="2">
        <v>25</v>
      </c>
      <c r="AW719" s="2">
        <v>6</v>
      </c>
      <c r="AX719" s="2" t="s">
        <v>74</v>
      </c>
      <c r="AY719" s="2" t="s">
        <v>74</v>
      </c>
      <c r="AZ719" s="2" t="s">
        <v>74</v>
      </c>
      <c r="BA719" s="2" t="s">
        <v>74</v>
      </c>
      <c r="BB719" s="2">
        <v>1325</v>
      </c>
      <c r="BC719" s="2">
        <v>1337</v>
      </c>
      <c r="BD719" s="2" t="s">
        <v>74</v>
      </c>
      <c r="BE719" s="2" t="s">
        <v>4188</v>
      </c>
      <c r="BF719" s="2" t="str">
        <f>HYPERLINK("http://dx.doi.org/10.1093/beheco/aru126","http://dx.doi.org/10.1093/beheco/aru126")</f>
        <v>http://dx.doi.org/10.1093/beheco/aru126</v>
      </c>
      <c r="BG719" s="2" t="s">
        <v>74</v>
      </c>
      <c r="BH719" s="2" t="s">
        <v>74</v>
      </c>
      <c r="BI719" s="2" t="s">
        <v>74</v>
      </c>
      <c r="BJ719" s="2" t="s">
        <v>74</v>
      </c>
      <c r="BK719" s="2" t="s">
        <v>74</v>
      </c>
      <c r="BL719" s="2" t="s">
        <v>74</v>
      </c>
      <c r="BM719" s="2" t="s">
        <v>74</v>
      </c>
      <c r="BN719" s="2">
        <v>25419083</v>
      </c>
      <c r="BO719" s="2" t="s">
        <v>74</v>
      </c>
      <c r="BP719" s="2" t="s">
        <v>74</v>
      </c>
      <c r="BQ719" s="2" t="s">
        <v>74</v>
      </c>
      <c r="BR719" s="2" t="s">
        <v>74</v>
      </c>
      <c r="BS719" s="2" t="s">
        <v>4189</v>
      </c>
      <c r="BT719" s="2" t="str">
        <f>HYPERLINK("https%3A%2F%2Fwww.webofscience.com%2Fwos%2Fwoscc%2Ffull-record%2FWOS:000345432900014","View Full Record in Web of Science")</f>
        <v>View Full Record in Web of Science</v>
      </c>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row>
    <row r="720" spans="1:314" s="2" customFormat="1" x14ac:dyDescent="0.4">
      <c r="A720" s="2" t="s">
        <v>72</v>
      </c>
      <c r="B720" s="2" t="s">
        <v>5047</v>
      </c>
      <c r="C720" s="2" t="s">
        <v>74</v>
      </c>
      <c r="D720" s="2" t="s">
        <v>74</v>
      </c>
      <c r="E720" s="2" t="s">
        <v>74</v>
      </c>
      <c r="F720" s="2" t="s">
        <v>5047</v>
      </c>
      <c r="G720" s="2" t="s">
        <v>74</v>
      </c>
      <c r="H720" s="2" t="s">
        <v>74</v>
      </c>
      <c r="I720" s="2" t="s">
        <v>5048</v>
      </c>
      <c r="J720" s="2" t="s">
        <v>5049</v>
      </c>
      <c r="K720" s="2" t="s">
        <v>74</v>
      </c>
      <c r="L720" s="2" t="s">
        <v>74</v>
      </c>
      <c r="M720" s="2" t="s">
        <v>74</v>
      </c>
      <c r="N720" s="2" t="s">
        <v>74</v>
      </c>
      <c r="O720" s="2" t="s">
        <v>74</v>
      </c>
      <c r="P720" s="2" t="s">
        <v>74</v>
      </c>
      <c r="Q720" s="2" t="s">
        <v>74</v>
      </c>
      <c r="R720" s="2" t="s">
        <v>74</v>
      </c>
      <c r="S720" s="2" t="s">
        <v>74</v>
      </c>
      <c r="T720" s="2" t="s">
        <v>74</v>
      </c>
      <c r="U720" s="2" t="s">
        <v>74</v>
      </c>
      <c r="V720" s="5" t="s">
        <v>5050</v>
      </c>
      <c r="W720" s="2" t="s">
        <v>74</v>
      </c>
      <c r="X720" s="2" t="s">
        <v>74</v>
      </c>
      <c r="Y720" s="2" t="s">
        <v>74</v>
      </c>
      <c r="Z720" s="2" t="s">
        <v>74</v>
      </c>
      <c r="AA720" s="2" t="s">
        <v>5051</v>
      </c>
      <c r="AB720" s="2" t="s">
        <v>5052</v>
      </c>
      <c r="AC720" s="2" t="s">
        <v>74</v>
      </c>
      <c r="AD720" s="2" t="s">
        <v>74</v>
      </c>
      <c r="AE720" s="2" t="s">
        <v>74</v>
      </c>
      <c r="AF720" s="2" t="s">
        <v>74</v>
      </c>
      <c r="AG720" s="2" t="s">
        <v>74</v>
      </c>
      <c r="AH720" s="2" t="s">
        <v>74</v>
      </c>
      <c r="AI720" s="2" t="s">
        <v>74</v>
      </c>
      <c r="AJ720" s="2" t="s">
        <v>74</v>
      </c>
      <c r="AK720" s="2" t="s">
        <v>74</v>
      </c>
      <c r="AL720" s="2" t="s">
        <v>74</v>
      </c>
      <c r="AM720" s="2" t="s">
        <v>74</v>
      </c>
      <c r="AN720" s="2" t="s">
        <v>74</v>
      </c>
      <c r="AO720" s="2" t="s">
        <v>5053</v>
      </c>
      <c r="AP720" s="2" t="s">
        <v>74</v>
      </c>
      <c r="AQ720" s="2" t="s">
        <v>74</v>
      </c>
      <c r="AR720" s="2" t="s">
        <v>74</v>
      </c>
      <c r="AS720" s="2" t="s">
        <v>74</v>
      </c>
      <c r="AT720" s="2" t="s">
        <v>255</v>
      </c>
      <c r="AU720" s="2">
        <v>2006</v>
      </c>
      <c r="AV720" s="2">
        <v>22</v>
      </c>
      <c r="AW720" s="2">
        <v>1</v>
      </c>
      <c r="AX720" s="2" t="s">
        <v>74</v>
      </c>
      <c r="AY720" s="2" t="s">
        <v>74</v>
      </c>
      <c r="AZ720" s="2" t="s">
        <v>74</v>
      </c>
      <c r="BA720" s="2" t="s">
        <v>74</v>
      </c>
      <c r="BB720" s="2">
        <v>25</v>
      </c>
      <c r="BC720" s="2">
        <v>33</v>
      </c>
      <c r="BD720" s="2" t="s">
        <v>74</v>
      </c>
      <c r="BE720" s="2" t="s">
        <v>5054</v>
      </c>
      <c r="BF720" s="2" t="str">
        <f>HYPERLINK("http://dx.doi.org/10.1111/j.1748-7692.2006.00003.x","http://dx.doi.org/10.1111/j.1748-7692.2006.00003.x")</f>
        <v>http://dx.doi.org/10.1111/j.1748-7692.2006.00003.x</v>
      </c>
      <c r="BG720" s="2" t="s">
        <v>74</v>
      </c>
      <c r="BH720" s="2" t="s">
        <v>74</v>
      </c>
      <c r="BI720" s="2" t="s">
        <v>74</v>
      </c>
      <c r="BJ720" s="2" t="s">
        <v>74</v>
      </c>
      <c r="BK720" s="2" t="s">
        <v>74</v>
      </c>
      <c r="BL720" s="2" t="s">
        <v>74</v>
      </c>
      <c r="BM720" s="2" t="s">
        <v>74</v>
      </c>
      <c r="BN720" s="2" t="s">
        <v>74</v>
      </c>
      <c r="BO720" s="2" t="s">
        <v>74</v>
      </c>
      <c r="BP720" s="2" t="s">
        <v>74</v>
      </c>
      <c r="BQ720" s="2" t="s">
        <v>74</v>
      </c>
      <c r="BR720" s="2" t="s">
        <v>74</v>
      </c>
      <c r="BS720" s="2" t="s">
        <v>5055</v>
      </c>
      <c r="BT720" s="2" t="str">
        <f>HYPERLINK("https%3A%2F%2Fwww.webofscience.com%2Fwos%2Fwoscc%2Ffull-record%2FWOS:000234942300003","View Full Record in Web of Science")</f>
        <v>View Full Record in Web of Science</v>
      </c>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row>
    <row r="721" spans="1:314" s="2" customFormat="1" x14ac:dyDescent="0.4">
      <c r="A721" s="2" t="s">
        <v>72</v>
      </c>
      <c r="B721" s="2" t="s">
        <v>3953</v>
      </c>
      <c r="C721" s="2" t="s">
        <v>74</v>
      </c>
      <c r="D721" s="2" t="s">
        <v>74</v>
      </c>
      <c r="E721" s="2" t="s">
        <v>74</v>
      </c>
      <c r="F721" s="2" t="s">
        <v>3954</v>
      </c>
      <c r="G721" s="2" t="s">
        <v>74</v>
      </c>
      <c r="H721" s="2" t="s">
        <v>74</v>
      </c>
      <c r="I721" s="2" t="s">
        <v>3955</v>
      </c>
      <c r="J721" s="2" t="s">
        <v>201</v>
      </c>
      <c r="K721" s="2" t="s">
        <v>74</v>
      </c>
      <c r="L721" s="2" t="s">
        <v>74</v>
      </c>
      <c r="M721" s="2" t="s">
        <v>74</v>
      </c>
      <c r="N721" s="2" t="s">
        <v>74</v>
      </c>
      <c r="O721" s="2" t="s">
        <v>74</v>
      </c>
      <c r="P721" s="2" t="s">
        <v>74</v>
      </c>
      <c r="Q721" s="2" t="s">
        <v>74</v>
      </c>
      <c r="R721" s="2" t="s">
        <v>74</v>
      </c>
      <c r="S721" s="2" t="s">
        <v>74</v>
      </c>
      <c r="T721" s="2" t="s">
        <v>74</v>
      </c>
      <c r="U721" s="2" t="s">
        <v>74</v>
      </c>
      <c r="V721" s="5" t="s">
        <v>3956</v>
      </c>
      <c r="W721" s="2" t="s">
        <v>74</v>
      </c>
      <c r="X721" s="2" t="s">
        <v>74</v>
      </c>
      <c r="Y721" s="2" t="s">
        <v>74</v>
      </c>
      <c r="Z721" s="2" t="s">
        <v>74</v>
      </c>
      <c r="AA721" s="2" t="s">
        <v>379</v>
      </c>
      <c r="AB721" s="2" t="s">
        <v>3957</v>
      </c>
      <c r="AC721" s="2" t="s">
        <v>74</v>
      </c>
      <c r="AD721" s="2" t="s">
        <v>74</v>
      </c>
      <c r="AE721" s="2" t="s">
        <v>74</v>
      </c>
      <c r="AF721" s="2" t="s">
        <v>74</v>
      </c>
      <c r="AG721" s="2" t="s">
        <v>74</v>
      </c>
      <c r="AH721" s="2" t="s">
        <v>74</v>
      </c>
      <c r="AI721" s="2" t="s">
        <v>74</v>
      </c>
      <c r="AJ721" s="2" t="s">
        <v>74</v>
      </c>
      <c r="AK721" s="2" t="s">
        <v>74</v>
      </c>
      <c r="AL721" s="2" t="s">
        <v>74</v>
      </c>
      <c r="AM721" s="2" t="s">
        <v>74</v>
      </c>
      <c r="AN721" s="2" t="s">
        <v>74</v>
      </c>
      <c r="AO721" s="2" t="s">
        <v>203</v>
      </c>
      <c r="AP721" s="2" t="s">
        <v>1192</v>
      </c>
      <c r="AQ721" s="2" t="s">
        <v>74</v>
      </c>
      <c r="AR721" s="2" t="s">
        <v>74</v>
      </c>
      <c r="AS721" s="2" t="s">
        <v>74</v>
      </c>
      <c r="AT721" s="2" t="s">
        <v>213</v>
      </c>
      <c r="AU721" s="2">
        <v>2013</v>
      </c>
      <c r="AV721" s="2">
        <v>83</v>
      </c>
      <c r="AW721" s="2">
        <v>5</v>
      </c>
      <c r="AX721" s="2" t="s">
        <v>74</v>
      </c>
      <c r="AY721" s="2" t="s">
        <v>74</v>
      </c>
      <c r="AZ721" s="2" t="s">
        <v>74</v>
      </c>
      <c r="BA721" s="2" t="s">
        <v>74</v>
      </c>
      <c r="BB721" s="2">
        <v>1371</v>
      </c>
      <c r="BC721" s="2">
        <v>1380</v>
      </c>
      <c r="BD721" s="2" t="s">
        <v>74</v>
      </c>
      <c r="BE721" s="2" t="s">
        <v>3958</v>
      </c>
      <c r="BF721" s="2" t="str">
        <f>HYPERLINK("http://dx.doi.org/10.1111/jfb.12239","http://dx.doi.org/10.1111/jfb.12239")</f>
        <v>http://dx.doi.org/10.1111/jfb.12239</v>
      </c>
      <c r="BG721" s="2" t="s">
        <v>74</v>
      </c>
      <c r="BH721" s="2" t="s">
        <v>74</v>
      </c>
      <c r="BI721" s="2" t="s">
        <v>74</v>
      </c>
      <c r="BJ721" s="2" t="s">
        <v>74</v>
      </c>
      <c r="BK721" s="2" t="s">
        <v>74</v>
      </c>
      <c r="BL721" s="2" t="s">
        <v>74</v>
      </c>
      <c r="BM721" s="2" t="s">
        <v>74</v>
      </c>
      <c r="BN721" s="2">
        <v>24580670</v>
      </c>
      <c r="BO721" s="2" t="s">
        <v>74</v>
      </c>
      <c r="BP721" s="2" t="s">
        <v>74</v>
      </c>
      <c r="BQ721" s="2" t="s">
        <v>74</v>
      </c>
      <c r="BR721" s="2" t="s">
        <v>74</v>
      </c>
      <c r="BS721" s="2" t="s">
        <v>3959</v>
      </c>
      <c r="BT721" s="2" t="str">
        <f>HYPERLINK("https%3A%2F%2Fwww.webofscience.com%2Fwos%2Fwoscc%2Ffull-record%2FWOS:000326476700019","View Full Record in Web of Science")</f>
        <v>View Full Record in Web of Science</v>
      </c>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row>
    <row r="722" spans="1:314" s="2" customFormat="1" x14ac:dyDescent="0.4">
      <c r="A722" s="2" t="s">
        <v>72</v>
      </c>
      <c r="B722" s="2" t="s">
        <v>5638</v>
      </c>
      <c r="C722" s="2" t="s">
        <v>74</v>
      </c>
      <c r="D722" s="2" t="s">
        <v>74</v>
      </c>
      <c r="E722" s="2" t="s">
        <v>74</v>
      </c>
      <c r="F722" s="2" t="s">
        <v>5639</v>
      </c>
      <c r="G722" s="2" t="s">
        <v>74</v>
      </c>
      <c r="H722" s="2" t="s">
        <v>74</v>
      </c>
      <c r="I722" s="2" t="s">
        <v>5640</v>
      </c>
      <c r="J722" s="2" t="s">
        <v>408</v>
      </c>
      <c r="K722" s="2" t="s">
        <v>74</v>
      </c>
      <c r="L722" s="2" t="s">
        <v>74</v>
      </c>
      <c r="M722" s="2" t="s">
        <v>74</v>
      </c>
      <c r="N722" s="2" t="s">
        <v>74</v>
      </c>
      <c r="O722" s="2" t="s">
        <v>74</v>
      </c>
      <c r="P722" s="2" t="s">
        <v>74</v>
      </c>
      <c r="Q722" s="2" t="s">
        <v>74</v>
      </c>
      <c r="R722" s="2" t="s">
        <v>74</v>
      </c>
      <c r="S722" s="2" t="s">
        <v>74</v>
      </c>
      <c r="T722" s="2" t="s">
        <v>74</v>
      </c>
      <c r="U722" s="2" t="s">
        <v>74</v>
      </c>
      <c r="V722" s="5" t="s">
        <v>5641</v>
      </c>
      <c r="W722" s="2" t="s">
        <v>74</v>
      </c>
      <c r="X722" s="2" t="s">
        <v>74</v>
      </c>
      <c r="Y722" s="2" t="s">
        <v>74</v>
      </c>
      <c r="Z722" s="2" t="s">
        <v>74</v>
      </c>
      <c r="AA722" s="2" t="s">
        <v>5642</v>
      </c>
      <c r="AB722" s="2" t="s">
        <v>5643</v>
      </c>
      <c r="AC722" s="2" t="s">
        <v>74</v>
      </c>
      <c r="AD722" s="2" t="s">
        <v>74</v>
      </c>
      <c r="AE722" s="2" t="s">
        <v>74</v>
      </c>
      <c r="AF722" s="2" t="s">
        <v>74</v>
      </c>
      <c r="AG722" s="2" t="s">
        <v>74</v>
      </c>
      <c r="AH722" s="2" t="s">
        <v>74</v>
      </c>
      <c r="AI722" s="2" t="s">
        <v>74</v>
      </c>
      <c r="AJ722" s="2" t="s">
        <v>74</v>
      </c>
      <c r="AK722" s="2" t="s">
        <v>74</v>
      </c>
      <c r="AL722" s="2" t="s">
        <v>74</v>
      </c>
      <c r="AM722" s="2" t="s">
        <v>74</v>
      </c>
      <c r="AN722" s="2" t="s">
        <v>74</v>
      </c>
      <c r="AO722" s="2" t="s">
        <v>412</v>
      </c>
      <c r="AP722" s="2" t="s">
        <v>413</v>
      </c>
      <c r="AQ722" s="2" t="s">
        <v>74</v>
      </c>
      <c r="AR722" s="2" t="s">
        <v>74</v>
      </c>
      <c r="AS722" s="2" t="s">
        <v>74</v>
      </c>
      <c r="AT722" s="2" t="s">
        <v>352</v>
      </c>
      <c r="AU722" s="2">
        <v>2013</v>
      </c>
      <c r="AV722" s="2">
        <v>110</v>
      </c>
      <c r="AW722" s="2">
        <v>1</v>
      </c>
      <c r="AX722" s="2" t="s">
        <v>74</v>
      </c>
      <c r="AY722" s="2" t="s">
        <v>74</v>
      </c>
      <c r="AZ722" s="2" t="s">
        <v>74</v>
      </c>
      <c r="BA722" s="2" t="s">
        <v>74</v>
      </c>
      <c r="BB722" s="2">
        <v>128</v>
      </c>
      <c r="BC722" s="2">
        <v>141</v>
      </c>
      <c r="BD722" s="2" t="s">
        <v>74</v>
      </c>
      <c r="BE722" s="2" t="s">
        <v>5644</v>
      </c>
      <c r="BF722" s="2" t="str">
        <f>HYPERLINK("http://dx.doi.org/10.1111/bij.12104","http://dx.doi.org/10.1111/bij.12104")</f>
        <v>http://dx.doi.org/10.1111/bij.12104</v>
      </c>
      <c r="BG722" s="2" t="s">
        <v>74</v>
      </c>
      <c r="BH722" s="2" t="s">
        <v>74</v>
      </c>
      <c r="BI722" s="2" t="s">
        <v>74</v>
      </c>
      <c r="BJ722" s="2" t="s">
        <v>74</v>
      </c>
      <c r="BK722" s="2" t="s">
        <v>74</v>
      </c>
      <c r="BL722" s="2" t="s">
        <v>74</v>
      </c>
      <c r="BM722" s="2" t="s">
        <v>74</v>
      </c>
      <c r="BN722" s="2" t="s">
        <v>74</v>
      </c>
      <c r="BO722" s="2" t="s">
        <v>74</v>
      </c>
      <c r="BP722" s="2" t="s">
        <v>74</v>
      </c>
      <c r="BQ722" s="2" t="s">
        <v>74</v>
      </c>
      <c r="BR722" s="2" t="s">
        <v>74</v>
      </c>
      <c r="BS722" s="2" t="s">
        <v>5645</v>
      </c>
      <c r="BT722" s="2" t="str">
        <f>HYPERLINK("https%3A%2F%2Fwww.webofscience.com%2Fwos%2Fwoscc%2Ffull-record%2FWOS:000323040200010","View Full Record in Web of Science")</f>
        <v>View Full Record in Web of Science</v>
      </c>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row>
    <row r="723" spans="1:314" s="2" customFormat="1" x14ac:dyDescent="0.4">
      <c r="A723" s="2" t="s">
        <v>72</v>
      </c>
      <c r="B723" s="2" t="s">
        <v>3806</v>
      </c>
      <c r="C723" s="2" t="s">
        <v>74</v>
      </c>
      <c r="D723" s="2" t="s">
        <v>74</v>
      </c>
      <c r="E723" s="2" t="s">
        <v>74</v>
      </c>
      <c r="F723" s="2" t="s">
        <v>3807</v>
      </c>
      <c r="G723" s="2" t="s">
        <v>74</v>
      </c>
      <c r="H723" s="2" t="s">
        <v>74</v>
      </c>
      <c r="I723" s="2" t="s">
        <v>3808</v>
      </c>
      <c r="J723" s="2" t="s">
        <v>333</v>
      </c>
      <c r="K723" s="2" t="s">
        <v>74</v>
      </c>
      <c r="L723" s="2" t="s">
        <v>74</v>
      </c>
      <c r="M723" s="2" t="s">
        <v>74</v>
      </c>
      <c r="N723" s="2" t="s">
        <v>74</v>
      </c>
      <c r="O723" s="2" t="s">
        <v>74</v>
      </c>
      <c r="P723" s="2" t="s">
        <v>74</v>
      </c>
      <c r="Q723" s="2" t="s">
        <v>74</v>
      </c>
      <c r="R723" s="2" t="s">
        <v>74</v>
      </c>
      <c r="S723" s="2" t="s">
        <v>74</v>
      </c>
      <c r="T723" s="2" t="s">
        <v>74</v>
      </c>
      <c r="U723" s="2" t="s">
        <v>74</v>
      </c>
      <c r="V723" s="5" t="s">
        <v>3809</v>
      </c>
      <c r="W723" s="2" t="s">
        <v>74</v>
      </c>
      <c r="X723" s="2" t="s">
        <v>74</v>
      </c>
      <c r="Y723" s="2" t="s">
        <v>74</v>
      </c>
      <c r="Z723" s="2" t="s">
        <v>74</v>
      </c>
      <c r="AA723" s="2" t="s">
        <v>3810</v>
      </c>
      <c r="AB723" s="2" t="s">
        <v>3811</v>
      </c>
      <c r="AC723" s="2" t="s">
        <v>74</v>
      </c>
      <c r="AD723" s="2" t="s">
        <v>74</v>
      </c>
      <c r="AE723" s="2" t="s">
        <v>74</v>
      </c>
      <c r="AF723" s="2" t="s">
        <v>74</v>
      </c>
      <c r="AG723" s="2" t="s">
        <v>74</v>
      </c>
      <c r="AH723" s="2" t="s">
        <v>74</v>
      </c>
      <c r="AI723" s="2" t="s">
        <v>74</v>
      </c>
      <c r="AJ723" s="2" t="s">
        <v>74</v>
      </c>
      <c r="AK723" s="2" t="s">
        <v>74</v>
      </c>
      <c r="AL723" s="2" t="s">
        <v>74</v>
      </c>
      <c r="AM723" s="2" t="s">
        <v>74</v>
      </c>
      <c r="AN723" s="2" t="s">
        <v>74</v>
      </c>
      <c r="AO723" s="2" t="s">
        <v>337</v>
      </c>
      <c r="AP723" s="2" t="s">
        <v>338</v>
      </c>
      <c r="AQ723" s="2" t="s">
        <v>74</v>
      </c>
      <c r="AR723" s="2" t="s">
        <v>74</v>
      </c>
      <c r="AS723" s="2" t="s">
        <v>74</v>
      </c>
      <c r="AT723" s="2" t="s">
        <v>1475</v>
      </c>
      <c r="AU723" s="2">
        <v>2016</v>
      </c>
      <c r="AV723" s="2">
        <v>27</v>
      </c>
      <c r="AW723" s="2">
        <v>1</v>
      </c>
      <c r="AX723" s="2" t="s">
        <v>74</v>
      </c>
      <c r="AY723" s="2" t="s">
        <v>74</v>
      </c>
      <c r="AZ723" s="2" t="s">
        <v>74</v>
      </c>
      <c r="BA723" s="2" t="s">
        <v>74</v>
      </c>
      <c r="BB723" s="2">
        <v>262</v>
      </c>
      <c r="BC723" s="2">
        <v>270</v>
      </c>
      <c r="BD723" s="2" t="s">
        <v>74</v>
      </c>
      <c r="BE723" s="2" t="s">
        <v>3812</v>
      </c>
      <c r="BF723" s="2" t="str">
        <f>HYPERLINK("http://dx.doi.org/10.1093/beheco/arv149","http://dx.doi.org/10.1093/beheco/arv149")</f>
        <v>http://dx.doi.org/10.1093/beheco/arv149</v>
      </c>
      <c r="BG723" s="2" t="s">
        <v>74</v>
      </c>
      <c r="BH723" s="2" t="s">
        <v>74</v>
      </c>
      <c r="BI723" s="2" t="s">
        <v>74</v>
      </c>
      <c r="BJ723" s="2" t="s">
        <v>74</v>
      </c>
      <c r="BK723" s="2" t="s">
        <v>74</v>
      </c>
      <c r="BL723" s="2" t="s">
        <v>74</v>
      </c>
      <c r="BM723" s="2" t="s">
        <v>74</v>
      </c>
      <c r="BN723" s="2" t="s">
        <v>74</v>
      </c>
      <c r="BO723" s="2" t="s">
        <v>74</v>
      </c>
      <c r="BP723" s="2" t="s">
        <v>74</v>
      </c>
      <c r="BQ723" s="2" t="s">
        <v>74</v>
      </c>
      <c r="BR723" s="2" t="s">
        <v>74</v>
      </c>
      <c r="BS723" s="2" t="s">
        <v>3813</v>
      </c>
      <c r="BT723" s="2" t="str">
        <f>HYPERLINK("https%3A%2F%2Fwww.webofscience.com%2Fwos%2Fwoscc%2Ffull-record%2FWOS:000374768300038","View Full Record in Web of Science")</f>
        <v>View Full Record in Web of Science</v>
      </c>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row>
    <row r="724" spans="1:314" s="2" customFormat="1" x14ac:dyDescent="0.4">
      <c r="A724" s="2" t="s">
        <v>72</v>
      </c>
      <c r="B724" s="2" t="s">
        <v>1412</v>
      </c>
      <c r="C724" s="2" t="s">
        <v>74</v>
      </c>
      <c r="D724" s="2" t="s">
        <v>74</v>
      </c>
      <c r="E724" s="2" t="s">
        <v>74</v>
      </c>
      <c r="F724" s="2" t="s">
        <v>1413</v>
      </c>
      <c r="G724" s="2" t="s">
        <v>74</v>
      </c>
      <c r="H724" s="2" t="s">
        <v>74</v>
      </c>
      <c r="I724" s="2" t="s">
        <v>1414</v>
      </c>
      <c r="J724" s="2" t="s">
        <v>312</v>
      </c>
      <c r="K724" s="2" t="s">
        <v>74</v>
      </c>
      <c r="L724" s="2" t="s">
        <v>74</v>
      </c>
      <c r="M724" s="2" t="s">
        <v>74</v>
      </c>
      <c r="N724" s="2" t="s">
        <v>74</v>
      </c>
      <c r="O724" s="2" t="s">
        <v>74</v>
      </c>
      <c r="P724" s="2" t="s">
        <v>74</v>
      </c>
      <c r="Q724" s="2" t="s">
        <v>74</v>
      </c>
      <c r="R724" s="2" t="s">
        <v>74</v>
      </c>
      <c r="S724" s="2" t="s">
        <v>74</v>
      </c>
      <c r="T724" s="2" t="s">
        <v>74</v>
      </c>
      <c r="U724" s="2" t="s">
        <v>74</v>
      </c>
      <c r="V724" s="5" t="s">
        <v>1415</v>
      </c>
      <c r="W724" s="2" t="s">
        <v>74</v>
      </c>
      <c r="X724" s="2" t="s">
        <v>74</v>
      </c>
      <c r="Y724" s="2" t="s">
        <v>74</v>
      </c>
      <c r="Z724" s="2" t="s">
        <v>74</v>
      </c>
      <c r="AA724" s="2" t="s">
        <v>1416</v>
      </c>
      <c r="AB724" s="2" t="s">
        <v>74</v>
      </c>
      <c r="AC724" s="2" t="s">
        <v>74</v>
      </c>
      <c r="AD724" s="2" t="s">
        <v>74</v>
      </c>
      <c r="AE724" s="2" t="s">
        <v>74</v>
      </c>
      <c r="AF724" s="2" t="s">
        <v>74</v>
      </c>
      <c r="AG724" s="2" t="s">
        <v>74</v>
      </c>
      <c r="AH724" s="2" t="s">
        <v>74</v>
      </c>
      <c r="AI724" s="2" t="s">
        <v>74</v>
      </c>
      <c r="AJ724" s="2" t="s">
        <v>74</v>
      </c>
      <c r="AK724" s="2" t="s">
        <v>74</v>
      </c>
      <c r="AL724" s="2" t="s">
        <v>74</v>
      </c>
      <c r="AM724" s="2" t="s">
        <v>74</v>
      </c>
      <c r="AN724" s="2" t="s">
        <v>74</v>
      </c>
      <c r="AO724" s="2" t="s">
        <v>314</v>
      </c>
      <c r="AP724" s="2" t="s">
        <v>315</v>
      </c>
      <c r="AQ724" s="2" t="s">
        <v>74</v>
      </c>
      <c r="AR724" s="2" t="s">
        <v>74</v>
      </c>
      <c r="AS724" s="2" t="s">
        <v>74</v>
      </c>
      <c r="AT724" s="2" t="s">
        <v>633</v>
      </c>
      <c r="AU724" s="2">
        <v>2015</v>
      </c>
      <c r="AV724" s="2">
        <v>185</v>
      </c>
      <c r="AW724" s="2">
        <v>4</v>
      </c>
      <c r="AX724" s="2" t="s">
        <v>74</v>
      </c>
      <c r="AY724" s="2" t="s">
        <v>74</v>
      </c>
      <c r="AZ724" s="2" t="s">
        <v>74</v>
      </c>
      <c r="BA724" s="2" t="s">
        <v>74</v>
      </c>
      <c r="BB724" s="2">
        <v>443</v>
      </c>
      <c r="BC724" s="2">
        <v>451</v>
      </c>
      <c r="BD724" s="2" t="s">
        <v>74</v>
      </c>
      <c r="BE724" s="2" t="s">
        <v>1417</v>
      </c>
      <c r="BF724" s="2" t="str">
        <f>HYPERLINK("http://dx.doi.org/10.1086/680206","http://dx.doi.org/10.1086/680206")</f>
        <v>http://dx.doi.org/10.1086/680206</v>
      </c>
      <c r="BG724" s="2" t="s">
        <v>74</v>
      </c>
      <c r="BH724" s="2" t="s">
        <v>74</v>
      </c>
      <c r="BI724" s="2" t="s">
        <v>74</v>
      </c>
      <c r="BJ724" s="2" t="s">
        <v>74</v>
      </c>
      <c r="BK724" s="2" t="s">
        <v>74</v>
      </c>
      <c r="BL724" s="2" t="s">
        <v>74</v>
      </c>
      <c r="BM724" s="2" t="s">
        <v>74</v>
      </c>
      <c r="BN724" s="2">
        <v>25811081</v>
      </c>
      <c r="BO724" s="2" t="s">
        <v>74</v>
      </c>
      <c r="BP724" s="2" t="s">
        <v>74</v>
      </c>
      <c r="BQ724" s="2" t="s">
        <v>74</v>
      </c>
      <c r="BR724" s="2" t="s">
        <v>74</v>
      </c>
      <c r="BS724" s="2" t="s">
        <v>1418</v>
      </c>
      <c r="BT724" s="2" t="str">
        <f>HYPERLINK("https%3A%2F%2Fwww.webofscience.com%2Fwos%2Fwoscc%2Ffull-record%2FWOS:000351859700005","View Full Record in Web of Science")</f>
        <v>View Full Record in Web of Science</v>
      </c>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row>
    <row r="725" spans="1:314" s="2" customFormat="1" x14ac:dyDescent="0.4">
      <c r="A725" s="2" t="s">
        <v>72</v>
      </c>
      <c r="B725" s="2" t="s">
        <v>689</v>
      </c>
      <c r="C725" s="2" t="s">
        <v>74</v>
      </c>
      <c r="D725" s="2" t="s">
        <v>74</v>
      </c>
      <c r="E725" s="2" t="s">
        <v>74</v>
      </c>
      <c r="F725" s="2" t="s">
        <v>689</v>
      </c>
      <c r="G725" s="2" t="s">
        <v>74</v>
      </c>
      <c r="H725" s="2" t="s">
        <v>74</v>
      </c>
      <c r="I725" s="2" t="s">
        <v>690</v>
      </c>
      <c r="J725" s="2" t="s">
        <v>691</v>
      </c>
      <c r="K725" s="2" t="s">
        <v>74</v>
      </c>
      <c r="L725" s="2" t="s">
        <v>74</v>
      </c>
      <c r="M725" s="2" t="s">
        <v>74</v>
      </c>
      <c r="N725" s="2" t="s">
        <v>74</v>
      </c>
      <c r="O725" s="2" t="s">
        <v>74</v>
      </c>
      <c r="P725" s="2" t="s">
        <v>74</v>
      </c>
      <c r="Q725" s="2" t="s">
        <v>74</v>
      </c>
      <c r="R725" s="2" t="s">
        <v>74</v>
      </c>
      <c r="S725" s="2" t="s">
        <v>74</v>
      </c>
      <c r="T725" s="2" t="s">
        <v>74</v>
      </c>
      <c r="U725" s="2" t="s">
        <v>74</v>
      </c>
      <c r="V725" s="5" t="s">
        <v>692</v>
      </c>
      <c r="W725" s="2" t="s">
        <v>74</v>
      </c>
      <c r="X725" s="2" t="s">
        <v>74</v>
      </c>
      <c r="Y725" s="2" t="s">
        <v>74</v>
      </c>
      <c r="Z725" s="2" t="s">
        <v>74</v>
      </c>
      <c r="AA725" s="2" t="s">
        <v>693</v>
      </c>
      <c r="AB725" s="2" t="s">
        <v>694</v>
      </c>
      <c r="AC725" s="2" t="s">
        <v>74</v>
      </c>
      <c r="AD725" s="2" t="s">
        <v>74</v>
      </c>
      <c r="AE725" s="2" t="s">
        <v>74</v>
      </c>
      <c r="AF725" s="2" t="s">
        <v>74</v>
      </c>
      <c r="AG725" s="2" t="s">
        <v>74</v>
      </c>
      <c r="AH725" s="2" t="s">
        <v>74</v>
      </c>
      <c r="AI725" s="2" t="s">
        <v>74</v>
      </c>
      <c r="AJ725" s="2" t="s">
        <v>74</v>
      </c>
      <c r="AK725" s="2" t="s">
        <v>74</v>
      </c>
      <c r="AL725" s="2" t="s">
        <v>74</v>
      </c>
      <c r="AM725" s="2" t="s">
        <v>74</v>
      </c>
      <c r="AN725" s="2" t="s">
        <v>74</v>
      </c>
      <c r="AO725" s="2" t="s">
        <v>695</v>
      </c>
      <c r="AP725" s="2" t="s">
        <v>74</v>
      </c>
      <c r="AQ725" s="2" t="s">
        <v>74</v>
      </c>
      <c r="AR725" s="2" t="s">
        <v>74</v>
      </c>
      <c r="AS725" s="2" t="s">
        <v>74</v>
      </c>
      <c r="AT725" s="2" t="s">
        <v>145</v>
      </c>
      <c r="AU725" s="2">
        <v>1995</v>
      </c>
      <c r="AV725" s="2">
        <v>58</v>
      </c>
      <c r="AW725" s="2">
        <v>2</v>
      </c>
      <c r="AX725" s="2" t="s">
        <v>74</v>
      </c>
      <c r="AY725" s="2" t="s">
        <v>74</v>
      </c>
      <c r="AZ725" s="2" t="s">
        <v>74</v>
      </c>
      <c r="BA725" s="2" t="s">
        <v>74</v>
      </c>
      <c r="BB725" s="2">
        <v>323</v>
      </c>
      <c r="BC725" s="2">
        <v>328</v>
      </c>
      <c r="BD725" s="2" t="s">
        <v>74</v>
      </c>
      <c r="BE725" s="2" t="s">
        <v>696</v>
      </c>
      <c r="BF725" s="2" t="str">
        <f>HYPERLINK("http://dx.doi.org/10.1016/0031-9384(95)00061-M","http://dx.doi.org/10.1016/0031-9384(95)00061-M")</f>
        <v>http://dx.doi.org/10.1016/0031-9384(95)00061-M</v>
      </c>
      <c r="BG725" s="2" t="s">
        <v>74</v>
      </c>
      <c r="BH725" s="2" t="s">
        <v>74</v>
      </c>
      <c r="BI725" s="2" t="s">
        <v>74</v>
      </c>
      <c r="BJ725" s="2" t="s">
        <v>74</v>
      </c>
      <c r="BK725" s="2" t="s">
        <v>74</v>
      </c>
      <c r="BL725" s="2" t="s">
        <v>74</v>
      </c>
      <c r="BM725" s="2" t="s">
        <v>74</v>
      </c>
      <c r="BN725" s="2">
        <v>7568436</v>
      </c>
      <c r="BO725" s="2" t="s">
        <v>74</v>
      </c>
      <c r="BP725" s="2" t="s">
        <v>74</v>
      </c>
      <c r="BQ725" s="2" t="s">
        <v>74</v>
      </c>
      <c r="BR725" s="2" t="s">
        <v>74</v>
      </c>
      <c r="BS725" s="2" t="s">
        <v>697</v>
      </c>
      <c r="BT725" s="2" t="str">
        <f>HYPERLINK("https%3A%2F%2Fwww.webofscience.com%2Fwos%2Fwoscc%2Ffull-record%2FWOS:A1995RH18300016","View Full Record in Web of Science")</f>
        <v>View Full Record in Web of Science</v>
      </c>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row>
    <row r="726" spans="1:314" s="2" customFormat="1" x14ac:dyDescent="0.4">
      <c r="A726" s="2" t="s">
        <v>72</v>
      </c>
      <c r="B726" s="2" t="s">
        <v>7812</v>
      </c>
      <c r="C726" s="2" t="s">
        <v>74</v>
      </c>
      <c r="D726" s="2" t="s">
        <v>74</v>
      </c>
      <c r="E726" s="2" t="s">
        <v>74</v>
      </c>
      <c r="F726" s="2" t="s">
        <v>7813</v>
      </c>
      <c r="G726" s="2" t="s">
        <v>74</v>
      </c>
      <c r="H726" s="2" t="s">
        <v>74</v>
      </c>
      <c r="I726" s="2" t="s">
        <v>7814</v>
      </c>
      <c r="J726" s="2" t="s">
        <v>803</v>
      </c>
      <c r="K726" s="2" t="s">
        <v>74</v>
      </c>
      <c r="L726" s="2" t="s">
        <v>74</v>
      </c>
      <c r="M726" s="2" t="s">
        <v>74</v>
      </c>
      <c r="N726" s="2" t="s">
        <v>74</v>
      </c>
      <c r="O726" s="2" t="s">
        <v>74</v>
      </c>
      <c r="P726" s="2" t="s">
        <v>74</v>
      </c>
      <c r="Q726" s="2" t="s">
        <v>74</v>
      </c>
      <c r="R726" s="2" t="s">
        <v>74</v>
      </c>
      <c r="S726" s="2" t="s">
        <v>74</v>
      </c>
      <c r="T726" s="2" t="s">
        <v>74</v>
      </c>
      <c r="U726" s="2" t="s">
        <v>74</v>
      </c>
      <c r="V726" s="5" t="s">
        <v>7815</v>
      </c>
      <c r="W726" s="2" t="s">
        <v>74</v>
      </c>
      <c r="X726" s="2" t="s">
        <v>74</v>
      </c>
      <c r="Y726" s="2" t="s">
        <v>74</v>
      </c>
      <c r="Z726" s="2" t="s">
        <v>74</v>
      </c>
      <c r="AA726" s="2" t="s">
        <v>7816</v>
      </c>
      <c r="AB726" s="2" t="s">
        <v>7817</v>
      </c>
      <c r="AC726" s="2" t="s">
        <v>74</v>
      </c>
      <c r="AD726" s="2" t="s">
        <v>74</v>
      </c>
      <c r="AE726" s="2" t="s">
        <v>74</v>
      </c>
      <c r="AF726" s="2" t="s">
        <v>74</v>
      </c>
      <c r="AG726" s="2" t="s">
        <v>74</v>
      </c>
      <c r="AH726" s="2" t="s">
        <v>74</v>
      </c>
      <c r="AI726" s="2" t="s">
        <v>74</v>
      </c>
      <c r="AJ726" s="2" t="s">
        <v>74</v>
      </c>
      <c r="AK726" s="2" t="s">
        <v>74</v>
      </c>
      <c r="AL726" s="2" t="s">
        <v>74</v>
      </c>
      <c r="AM726" s="2" t="s">
        <v>74</v>
      </c>
      <c r="AN726" s="2" t="s">
        <v>74</v>
      </c>
      <c r="AO726" s="2" t="s">
        <v>806</v>
      </c>
      <c r="AP726" s="2" t="s">
        <v>807</v>
      </c>
      <c r="AQ726" s="2" t="s">
        <v>74</v>
      </c>
      <c r="AR726" s="2" t="s">
        <v>74</v>
      </c>
      <c r="AS726" s="2" t="s">
        <v>74</v>
      </c>
      <c r="AT726" s="2" t="s">
        <v>1475</v>
      </c>
      <c r="AU726" s="2">
        <v>2021</v>
      </c>
      <c r="AV726" s="2">
        <v>41</v>
      </c>
      <c r="AW726" s="2" t="s">
        <v>74</v>
      </c>
      <c r="AX726" s="2" t="s">
        <v>74</v>
      </c>
      <c r="AY726" s="2" t="s">
        <v>74</v>
      </c>
      <c r="AZ726" s="2" t="s">
        <v>74</v>
      </c>
      <c r="BA726" s="2" t="s">
        <v>74</v>
      </c>
      <c r="BB726" s="2">
        <v>12</v>
      </c>
      <c r="BC726" s="2">
        <v>21</v>
      </c>
      <c r="BD726" s="2" t="s">
        <v>74</v>
      </c>
      <c r="BE726" s="2" t="s">
        <v>7818</v>
      </c>
      <c r="BF726" s="2" t="str">
        <f>HYPERLINK("http://dx.doi.org/10.1016/j.jveb.2020.10.007","http://dx.doi.org/10.1016/j.jveb.2020.10.007")</f>
        <v>http://dx.doi.org/10.1016/j.jveb.2020.10.007</v>
      </c>
      <c r="BG726" s="2" t="s">
        <v>74</v>
      </c>
      <c r="BH726" s="2" t="s">
        <v>74</v>
      </c>
      <c r="BI726" s="2" t="s">
        <v>74</v>
      </c>
      <c r="BJ726" s="2" t="s">
        <v>74</v>
      </c>
      <c r="BK726" s="2" t="s">
        <v>74</v>
      </c>
      <c r="BL726" s="2" t="s">
        <v>74</v>
      </c>
      <c r="BM726" s="2" t="s">
        <v>74</v>
      </c>
      <c r="BN726" s="2" t="s">
        <v>74</v>
      </c>
      <c r="BO726" s="2" t="s">
        <v>74</v>
      </c>
      <c r="BP726" s="2" t="s">
        <v>74</v>
      </c>
      <c r="BQ726" s="2" t="s">
        <v>74</v>
      </c>
      <c r="BR726" s="2" t="s">
        <v>74</v>
      </c>
      <c r="BS726" s="2" t="s">
        <v>7819</v>
      </c>
      <c r="BT726" s="2" t="str">
        <f>HYPERLINK("https%3A%2F%2Fwww.webofscience.com%2Fwos%2Fwoscc%2Ffull-record%2FWOS:000632186500001","View Full Record in Web of Science")</f>
        <v>View Full Record in Web of Science</v>
      </c>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row>
    <row r="727" spans="1:314" s="2" customFormat="1" x14ac:dyDescent="0.4">
      <c r="A727" s="2" t="s">
        <v>72</v>
      </c>
      <c r="B727" s="2" t="s">
        <v>5673</v>
      </c>
      <c r="C727" s="2" t="s">
        <v>74</v>
      </c>
      <c r="D727" s="2" t="s">
        <v>74</v>
      </c>
      <c r="E727" s="2" t="s">
        <v>74</v>
      </c>
      <c r="F727" s="2" t="s">
        <v>5674</v>
      </c>
      <c r="G727" s="2" t="s">
        <v>74</v>
      </c>
      <c r="H727" s="2" t="s">
        <v>74</v>
      </c>
      <c r="I727" s="2" t="s">
        <v>5675</v>
      </c>
      <c r="J727" s="2" t="s">
        <v>129</v>
      </c>
      <c r="K727" s="2" t="s">
        <v>74</v>
      </c>
      <c r="L727" s="2" t="s">
        <v>74</v>
      </c>
      <c r="M727" s="2" t="s">
        <v>74</v>
      </c>
      <c r="N727" s="2" t="s">
        <v>74</v>
      </c>
      <c r="O727" s="2" t="s">
        <v>74</v>
      </c>
      <c r="P727" s="2" t="s">
        <v>74</v>
      </c>
      <c r="Q727" s="2" t="s">
        <v>74</v>
      </c>
      <c r="R727" s="2" t="s">
        <v>74</v>
      </c>
      <c r="S727" s="2" t="s">
        <v>74</v>
      </c>
      <c r="T727" s="2" t="s">
        <v>74</v>
      </c>
      <c r="U727" s="2" t="s">
        <v>74</v>
      </c>
      <c r="V727" s="5" t="s">
        <v>5676</v>
      </c>
      <c r="W727" s="2" t="s">
        <v>74</v>
      </c>
      <c r="X727" s="2" t="s">
        <v>74</v>
      </c>
      <c r="Y727" s="2" t="s">
        <v>74</v>
      </c>
      <c r="Z727" s="2" t="s">
        <v>74</v>
      </c>
      <c r="AA727" s="2" t="s">
        <v>5677</v>
      </c>
      <c r="AB727" s="2" t="s">
        <v>5678</v>
      </c>
      <c r="AC727" s="2" t="s">
        <v>74</v>
      </c>
      <c r="AD727" s="2" t="s">
        <v>74</v>
      </c>
      <c r="AE727" s="2" t="s">
        <v>74</v>
      </c>
      <c r="AF727" s="2" t="s">
        <v>74</v>
      </c>
      <c r="AG727" s="2" t="s">
        <v>74</v>
      </c>
      <c r="AH727" s="2" t="s">
        <v>74</v>
      </c>
      <c r="AI727" s="2" t="s">
        <v>74</v>
      </c>
      <c r="AJ727" s="2" t="s">
        <v>74</v>
      </c>
      <c r="AK727" s="2" t="s">
        <v>74</v>
      </c>
      <c r="AL727" s="2" t="s">
        <v>74</v>
      </c>
      <c r="AM727" s="2" t="s">
        <v>74</v>
      </c>
      <c r="AN727" s="2" t="s">
        <v>74</v>
      </c>
      <c r="AO727" s="2" t="s">
        <v>132</v>
      </c>
      <c r="AP727" s="2" t="s">
        <v>133</v>
      </c>
      <c r="AQ727" s="2" t="s">
        <v>74</v>
      </c>
      <c r="AR727" s="2" t="s">
        <v>74</v>
      </c>
      <c r="AS727" s="2" t="s">
        <v>74</v>
      </c>
      <c r="AT727" s="2" t="s">
        <v>305</v>
      </c>
      <c r="AU727" s="2">
        <v>2018</v>
      </c>
      <c r="AV727" s="2">
        <v>72</v>
      </c>
      <c r="AW727" s="2">
        <v>12</v>
      </c>
      <c r="AX727" s="2" t="s">
        <v>74</v>
      </c>
      <c r="AY727" s="2" t="s">
        <v>74</v>
      </c>
      <c r="AZ727" s="2" t="s">
        <v>74</v>
      </c>
      <c r="BA727" s="2" t="s">
        <v>74</v>
      </c>
      <c r="BB727" s="2" t="s">
        <v>74</v>
      </c>
      <c r="BC727" s="2" t="s">
        <v>74</v>
      </c>
      <c r="BD727" s="2">
        <v>189</v>
      </c>
      <c r="BE727" s="2" t="s">
        <v>5679</v>
      </c>
      <c r="BF727" s="2" t="str">
        <f>HYPERLINK("http://dx.doi.org/10.1007/s00265-018-2617-0","http://dx.doi.org/10.1007/s00265-018-2617-0")</f>
        <v>http://dx.doi.org/10.1007/s00265-018-2617-0</v>
      </c>
      <c r="BG727" s="2" t="s">
        <v>74</v>
      </c>
      <c r="BH727" s="2" t="s">
        <v>74</v>
      </c>
      <c r="BI727" s="2" t="s">
        <v>74</v>
      </c>
      <c r="BJ727" s="2" t="s">
        <v>74</v>
      </c>
      <c r="BK727" s="2" t="s">
        <v>74</v>
      </c>
      <c r="BL727" s="2" t="s">
        <v>74</v>
      </c>
      <c r="BM727" s="2" t="s">
        <v>74</v>
      </c>
      <c r="BN727" s="2" t="s">
        <v>74</v>
      </c>
      <c r="BO727" s="2" t="s">
        <v>74</v>
      </c>
      <c r="BP727" s="2" t="s">
        <v>74</v>
      </c>
      <c r="BQ727" s="2" t="s">
        <v>74</v>
      </c>
      <c r="BR727" s="2" t="s">
        <v>74</v>
      </c>
      <c r="BS727" s="2" t="s">
        <v>5680</v>
      </c>
      <c r="BT727" s="2" t="str">
        <f>HYPERLINK("https%3A%2F%2Fwww.webofscience.com%2Fwos%2Fwoscc%2Ffull-record%2FWOS:000451753200001","View Full Record in Web of Science")</f>
        <v>View Full Record in Web of Science</v>
      </c>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row>
    <row r="728" spans="1:314" s="2" customFormat="1" x14ac:dyDescent="0.4">
      <c r="A728" s="2" t="s">
        <v>72</v>
      </c>
      <c r="B728" s="2" t="s">
        <v>5395</v>
      </c>
      <c r="C728" s="2" t="s">
        <v>74</v>
      </c>
      <c r="D728" s="2" t="s">
        <v>74</v>
      </c>
      <c r="E728" s="2" t="s">
        <v>74</v>
      </c>
      <c r="F728" s="2" t="s">
        <v>5396</v>
      </c>
      <c r="G728" s="2" t="s">
        <v>74</v>
      </c>
      <c r="H728" s="2" t="s">
        <v>74</v>
      </c>
      <c r="I728" s="2" t="s">
        <v>5397</v>
      </c>
      <c r="J728" s="2" t="s">
        <v>1656</v>
      </c>
      <c r="K728" s="2" t="s">
        <v>74</v>
      </c>
      <c r="L728" s="2" t="s">
        <v>74</v>
      </c>
      <c r="M728" s="2" t="s">
        <v>74</v>
      </c>
      <c r="N728" s="2" t="s">
        <v>74</v>
      </c>
      <c r="O728" s="2" t="s">
        <v>74</v>
      </c>
      <c r="P728" s="2" t="s">
        <v>74</v>
      </c>
      <c r="Q728" s="2" t="s">
        <v>74</v>
      </c>
      <c r="R728" s="2" t="s">
        <v>74</v>
      </c>
      <c r="S728" s="2" t="s">
        <v>74</v>
      </c>
      <c r="T728" s="2" t="s">
        <v>74</v>
      </c>
      <c r="U728" s="2" t="s">
        <v>74</v>
      </c>
      <c r="V728" s="5" t="s">
        <v>5398</v>
      </c>
      <c r="W728" s="2" t="s">
        <v>74</v>
      </c>
      <c r="X728" s="2" t="s">
        <v>74</v>
      </c>
      <c r="Y728" s="2" t="s">
        <v>74</v>
      </c>
      <c r="Z728" s="2" t="s">
        <v>74</v>
      </c>
      <c r="AA728" s="2" t="s">
        <v>5399</v>
      </c>
      <c r="AB728" s="2" t="s">
        <v>5400</v>
      </c>
      <c r="AC728" s="2" t="s">
        <v>74</v>
      </c>
      <c r="AD728" s="2" t="s">
        <v>74</v>
      </c>
      <c r="AE728" s="2" t="s">
        <v>74</v>
      </c>
      <c r="AF728" s="2" t="s">
        <v>74</v>
      </c>
      <c r="AG728" s="2" t="s">
        <v>74</v>
      </c>
      <c r="AH728" s="2" t="s">
        <v>74</v>
      </c>
      <c r="AI728" s="2" t="s">
        <v>74</v>
      </c>
      <c r="AJ728" s="2" t="s">
        <v>74</v>
      </c>
      <c r="AK728" s="2" t="s">
        <v>74</v>
      </c>
      <c r="AL728" s="2" t="s">
        <v>74</v>
      </c>
      <c r="AM728" s="2" t="s">
        <v>74</v>
      </c>
      <c r="AN728" s="2" t="s">
        <v>74</v>
      </c>
      <c r="AO728" s="2" t="s">
        <v>1658</v>
      </c>
      <c r="AP728" s="2" t="s">
        <v>1659</v>
      </c>
      <c r="AQ728" s="2" t="s">
        <v>74</v>
      </c>
      <c r="AR728" s="2" t="s">
        <v>74</v>
      </c>
      <c r="AS728" s="2" t="s">
        <v>74</v>
      </c>
      <c r="AT728" s="2" t="s">
        <v>5401</v>
      </c>
      <c r="AU728" s="2">
        <v>2014</v>
      </c>
      <c r="AV728" s="2">
        <v>3893</v>
      </c>
      <c r="AW728" s="2">
        <v>2</v>
      </c>
      <c r="AX728" s="2" t="s">
        <v>74</v>
      </c>
      <c r="AY728" s="2" t="s">
        <v>74</v>
      </c>
      <c r="AZ728" s="2" t="s">
        <v>74</v>
      </c>
      <c r="BA728" s="2" t="s">
        <v>74</v>
      </c>
      <c r="BB728" s="2">
        <v>277</v>
      </c>
      <c r="BC728" s="2">
        <v>292</v>
      </c>
      <c r="BD728" s="2" t="s">
        <v>74</v>
      </c>
      <c r="BE728" s="2" t="s">
        <v>5402</v>
      </c>
      <c r="BF728" s="2" t="str">
        <f>HYPERLINK("http://dx.doi.org/10.11646/zootaxa.3893.2.7","http://dx.doi.org/10.11646/zootaxa.3893.2.7")</f>
        <v>http://dx.doi.org/10.11646/zootaxa.3893.2.7</v>
      </c>
      <c r="BG728" s="2" t="s">
        <v>74</v>
      </c>
      <c r="BH728" s="2" t="s">
        <v>74</v>
      </c>
      <c r="BI728" s="2" t="s">
        <v>74</v>
      </c>
      <c r="BJ728" s="2" t="s">
        <v>74</v>
      </c>
      <c r="BK728" s="2" t="s">
        <v>74</v>
      </c>
      <c r="BL728" s="2" t="s">
        <v>74</v>
      </c>
      <c r="BM728" s="2" t="s">
        <v>74</v>
      </c>
      <c r="BN728" s="2">
        <v>25544523</v>
      </c>
      <c r="BO728" s="2" t="s">
        <v>74</v>
      </c>
      <c r="BP728" s="2" t="s">
        <v>74</v>
      </c>
      <c r="BQ728" s="2" t="s">
        <v>74</v>
      </c>
      <c r="BR728" s="2" t="s">
        <v>74</v>
      </c>
      <c r="BS728" s="2" t="s">
        <v>5403</v>
      </c>
      <c r="BT728" s="2" t="str">
        <f>HYPERLINK("https%3A%2F%2Fwww.webofscience.com%2Fwos%2Fwoscc%2Ffull-record%2FWOS:000346874900007","View Full Record in Web of Science")</f>
        <v>View Full Record in Web of Science</v>
      </c>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row>
    <row r="729" spans="1:314" s="7" customFormat="1" x14ac:dyDescent="0.4">
      <c r="A729" s="2" t="s">
        <v>72</v>
      </c>
      <c r="B729" s="2" t="s">
        <v>5188</v>
      </c>
      <c r="C729" s="2" t="s">
        <v>74</v>
      </c>
      <c r="D729" s="2" t="s">
        <v>74</v>
      </c>
      <c r="E729" s="2" t="s">
        <v>74</v>
      </c>
      <c r="F729" s="2" t="s">
        <v>5188</v>
      </c>
      <c r="G729" s="2" t="s">
        <v>74</v>
      </c>
      <c r="H729" s="2" t="s">
        <v>74</v>
      </c>
      <c r="I729" s="2" t="s">
        <v>5189</v>
      </c>
      <c r="J729" s="2" t="s">
        <v>431</v>
      </c>
      <c r="K729" s="2" t="s">
        <v>74</v>
      </c>
      <c r="L729" s="2" t="s">
        <v>74</v>
      </c>
      <c r="M729" s="2" t="s">
        <v>74</v>
      </c>
      <c r="N729" s="2" t="s">
        <v>74</v>
      </c>
      <c r="O729" s="2" t="s">
        <v>74</v>
      </c>
      <c r="P729" s="2" t="s">
        <v>74</v>
      </c>
      <c r="Q729" s="2" t="s">
        <v>74</v>
      </c>
      <c r="R729" s="2" t="s">
        <v>74</v>
      </c>
      <c r="S729" s="2" t="s">
        <v>74</v>
      </c>
      <c r="T729" s="2" t="s">
        <v>74</v>
      </c>
      <c r="U729" s="2" t="s">
        <v>74</v>
      </c>
      <c r="V729" s="5" t="s">
        <v>5190</v>
      </c>
      <c r="W729" s="2" t="s">
        <v>74</v>
      </c>
      <c r="X729" s="2" t="s">
        <v>74</v>
      </c>
      <c r="Y729" s="2" t="s">
        <v>74</v>
      </c>
      <c r="Z729" s="2" t="s">
        <v>74</v>
      </c>
      <c r="AA729" s="2" t="s">
        <v>74</v>
      </c>
      <c r="AB729" s="2" t="s">
        <v>74</v>
      </c>
      <c r="AC729" s="2" t="s">
        <v>74</v>
      </c>
      <c r="AD729" s="2" t="s">
        <v>74</v>
      </c>
      <c r="AE729" s="2" t="s">
        <v>74</v>
      </c>
      <c r="AF729" s="2" t="s">
        <v>74</v>
      </c>
      <c r="AG729" s="2" t="s">
        <v>74</v>
      </c>
      <c r="AH729" s="2" t="s">
        <v>74</v>
      </c>
      <c r="AI729" s="2" t="s">
        <v>74</v>
      </c>
      <c r="AJ729" s="2" t="s">
        <v>74</v>
      </c>
      <c r="AK729" s="2" t="s">
        <v>74</v>
      </c>
      <c r="AL729" s="2" t="s">
        <v>74</v>
      </c>
      <c r="AM729" s="2" t="s">
        <v>74</v>
      </c>
      <c r="AN729" s="2" t="s">
        <v>74</v>
      </c>
      <c r="AO729" s="2" t="s">
        <v>74</v>
      </c>
      <c r="AP729" s="2" t="s">
        <v>435</v>
      </c>
      <c r="AQ729" s="2" t="s">
        <v>74</v>
      </c>
      <c r="AR729" s="2" t="s">
        <v>74</v>
      </c>
      <c r="AS729" s="2" t="s">
        <v>74</v>
      </c>
      <c r="AT729" s="2" t="s">
        <v>74</v>
      </c>
      <c r="AU729" s="2">
        <v>1982</v>
      </c>
      <c r="AV729" s="2">
        <v>99</v>
      </c>
      <c r="AW729" s="2">
        <v>3</v>
      </c>
      <c r="AX729" s="2" t="s">
        <v>74</v>
      </c>
      <c r="AY729" s="2" t="s">
        <v>74</v>
      </c>
      <c r="AZ729" s="2" t="s">
        <v>74</v>
      </c>
      <c r="BA729" s="2" t="s">
        <v>74</v>
      </c>
      <c r="BB729" s="2">
        <v>548</v>
      </c>
      <c r="BC729" s="2">
        <v>554</v>
      </c>
      <c r="BD729" s="2" t="s">
        <v>74</v>
      </c>
      <c r="BE729" s="2" t="s">
        <v>74</v>
      </c>
      <c r="BF729" s="2" t="s">
        <v>74</v>
      </c>
      <c r="BG729" s="2" t="s">
        <v>74</v>
      </c>
      <c r="BH729" s="2" t="s">
        <v>74</v>
      </c>
      <c r="BI729" s="2" t="s">
        <v>74</v>
      </c>
      <c r="BJ729" s="2" t="s">
        <v>74</v>
      </c>
      <c r="BK729" s="2" t="s">
        <v>74</v>
      </c>
      <c r="BL729" s="2" t="s">
        <v>74</v>
      </c>
      <c r="BM729" s="2" t="s">
        <v>74</v>
      </c>
      <c r="BN729" s="2" t="s">
        <v>74</v>
      </c>
      <c r="BO729" s="2" t="s">
        <v>74</v>
      </c>
      <c r="BP729" s="2" t="s">
        <v>74</v>
      </c>
      <c r="BQ729" s="2" t="s">
        <v>74</v>
      </c>
      <c r="BR729" s="2" t="s">
        <v>74</v>
      </c>
      <c r="BS729" s="2" t="s">
        <v>5191</v>
      </c>
      <c r="BT729" s="2" t="str">
        <f>HYPERLINK("https%3A%2F%2Fwww.webofscience.com%2Fwos%2Fwoscc%2Ffull-record%2FWOS:A1982NY39800015","View Full Record in Web of Science")</f>
        <v>View Full Record in Web of Science</v>
      </c>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row>
    <row r="730" spans="1:314" s="2" customFormat="1" x14ac:dyDescent="0.4">
      <c r="A730" s="2" t="s">
        <v>72</v>
      </c>
      <c r="B730" s="2" t="s">
        <v>2964</v>
      </c>
      <c r="C730" s="2" t="s">
        <v>74</v>
      </c>
      <c r="D730" s="2" t="s">
        <v>74</v>
      </c>
      <c r="E730" s="2" t="s">
        <v>74</v>
      </c>
      <c r="F730" s="2" t="s">
        <v>2964</v>
      </c>
      <c r="G730" s="2" t="s">
        <v>74</v>
      </c>
      <c r="H730" s="2" t="s">
        <v>74</v>
      </c>
      <c r="I730" s="2" t="s">
        <v>2965</v>
      </c>
      <c r="J730" s="2" t="s">
        <v>2966</v>
      </c>
      <c r="K730" s="2" t="s">
        <v>74</v>
      </c>
      <c r="L730" s="2" t="s">
        <v>74</v>
      </c>
      <c r="M730" s="2" t="s">
        <v>74</v>
      </c>
      <c r="N730" s="2" t="s">
        <v>74</v>
      </c>
      <c r="O730" s="2" t="s">
        <v>74</v>
      </c>
      <c r="P730" s="2" t="s">
        <v>74</v>
      </c>
      <c r="Q730" s="2" t="s">
        <v>74</v>
      </c>
      <c r="R730" s="2" t="s">
        <v>74</v>
      </c>
      <c r="S730" s="2" t="s">
        <v>74</v>
      </c>
      <c r="T730" s="2" t="s">
        <v>74</v>
      </c>
      <c r="U730" s="2" t="s">
        <v>74</v>
      </c>
      <c r="V730" s="5" t="s">
        <v>2967</v>
      </c>
      <c r="W730" s="2" t="s">
        <v>74</v>
      </c>
      <c r="X730" s="2" t="s">
        <v>74</v>
      </c>
      <c r="Y730" s="2" t="s">
        <v>74</v>
      </c>
      <c r="Z730" s="2" t="s">
        <v>74</v>
      </c>
      <c r="AA730" s="2" t="s">
        <v>74</v>
      </c>
      <c r="AB730" s="2" t="s">
        <v>74</v>
      </c>
      <c r="AC730" s="2" t="s">
        <v>74</v>
      </c>
      <c r="AD730" s="2" t="s">
        <v>74</v>
      </c>
      <c r="AE730" s="2" t="s">
        <v>74</v>
      </c>
      <c r="AF730" s="2" t="s">
        <v>74</v>
      </c>
      <c r="AG730" s="2" t="s">
        <v>74</v>
      </c>
      <c r="AH730" s="2" t="s">
        <v>74</v>
      </c>
      <c r="AI730" s="2" t="s">
        <v>74</v>
      </c>
      <c r="AJ730" s="2" t="s">
        <v>74</v>
      </c>
      <c r="AK730" s="2" t="s">
        <v>74</v>
      </c>
      <c r="AL730" s="2" t="s">
        <v>74</v>
      </c>
      <c r="AM730" s="2" t="s">
        <v>74</v>
      </c>
      <c r="AN730" s="2" t="s">
        <v>74</v>
      </c>
      <c r="AO730" s="2" t="s">
        <v>2968</v>
      </c>
      <c r="AP730" s="2" t="s">
        <v>2969</v>
      </c>
      <c r="AQ730" s="2" t="s">
        <v>74</v>
      </c>
      <c r="AR730" s="2" t="s">
        <v>74</v>
      </c>
      <c r="AS730" s="2" t="s">
        <v>74</v>
      </c>
      <c r="AT730" s="2" t="s">
        <v>957</v>
      </c>
      <c r="AU730" s="2">
        <v>1989</v>
      </c>
      <c r="AV730" s="2">
        <v>36</v>
      </c>
      <c r="AW730" s="2">
        <v>1</v>
      </c>
      <c r="AX730" s="2" t="s">
        <v>74</v>
      </c>
      <c r="AY730" s="2" t="s">
        <v>74</v>
      </c>
      <c r="AZ730" s="2" t="s">
        <v>74</v>
      </c>
      <c r="BA730" s="2" t="s">
        <v>74</v>
      </c>
      <c r="BB730" s="2">
        <v>30</v>
      </c>
      <c r="BC730" s="2">
        <v>41</v>
      </c>
      <c r="BD730" s="2" t="s">
        <v>74</v>
      </c>
      <c r="BE730" s="2" t="s">
        <v>2970</v>
      </c>
      <c r="BF730" s="2" t="str">
        <f>HYPERLINK("http://dx.doi.org/10.1007/BF02905670","http://dx.doi.org/10.1007/BF02905670")</f>
        <v>http://dx.doi.org/10.1007/BF02905670</v>
      </c>
      <c r="BG730" s="2" t="s">
        <v>74</v>
      </c>
      <c r="BH730" s="2" t="s">
        <v>74</v>
      </c>
      <c r="BI730" s="2" t="s">
        <v>74</v>
      </c>
      <c r="BJ730" s="2" t="s">
        <v>74</v>
      </c>
      <c r="BK730" s="2" t="s">
        <v>74</v>
      </c>
      <c r="BL730" s="2" t="s">
        <v>74</v>
      </c>
      <c r="BM730" s="2" t="s">
        <v>74</v>
      </c>
      <c r="BN730" s="2" t="s">
        <v>74</v>
      </c>
      <c r="BO730" s="2" t="s">
        <v>74</v>
      </c>
      <c r="BP730" s="2" t="s">
        <v>74</v>
      </c>
      <c r="BQ730" s="2" t="s">
        <v>74</v>
      </c>
      <c r="BR730" s="2" t="s">
        <v>74</v>
      </c>
      <c r="BS730" s="2" t="s">
        <v>2971</v>
      </c>
      <c r="BT730" s="2" t="str">
        <f>HYPERLINK("https%3A%2F%2Fwww.webofscience.com%2Fwos%2Fwoscc%2Ffull-record%2FWOS:A1989AD70900004","View Full Record in Web of Science")</f>
        <v>View Full Record in Web of Science</v>
      </c>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row>
    <row r="731" spans="1:314" s="2" customFormat="1" x14ac:dyDescent="0.4">
      <c r="A731" s="2" t="s">
        <v>72</v>
      </c>
      <c r="B731" s="2" t="s">
        <v>6008</v>
      </c>
      <c r="C731" s="2" t="s">
        <v>74</v>
      </c>
      <c r="D731" s="2" t="s">
        <v>74</v>
      </c>
      <c r="E731" s="2" t="s">
        <v>74</v>
      </c>
      <c r="F731" s="2" t="s">
        <v>6008</v>
      </c>
      <c r="G731" s="2" t="s">
        <v>74</v>
      </c>
      <c r="H731" s="2" t="s">
        <v>74</v>
      </c>
      <c r="I731" s="2" t="s">
        <v>6009</v>
      </c>
      <c r="J731" s="2" t="s">
        <v>140</v>
      </c>
      <c r="K731" s="2" t="s">
        <v>74</v>
      </c>
      <c r="L731" s="2" t="s">
        <v>74</v>
      </c>
      <c r="M731" s="2" t="s">
        <v>74</v>
      </c>
      <c r="N731" s="2" t="s">
        <v>74</v>
      </c>
      <c r="O731" s="2" t="s">
        <v>74</v>
      </c>
      <c r="P731" s="2" t="s">
        <v>74</v>
      </c>
      <c r="Q731" s="2" t="s">
        <v>74</v>
      </c>
      <c r="R731" s="2" t="s">
        <v>74</v>
      </c>
      <c r="S731" s="2" t="s">
        <v>74</v>
      </c>
      <c r="T731" s="2" t="s">
        <v>74</v>
      </c>
      <c r="U731" s="2" t="s">
        <v>74</v>
      </c>
      <c r="V731" s="5" t="s">
        <v>6010</v>
      </c>
      <c r="W731" s="2" t="s">
        <v>74</v>
      </c>
      <c r="X731" s="2" t="s">
        <v>74</v>
      </c>
      <c r="Y731" s="2" t="s">
        <v>74</v>
      </c>
      <c r="Z731" s="2" t="s">
        <v>74</v>
      </c>
      <c r="AA731" s="2" t="s">
        <v>6011</v>
      </c>
      <c r="AB731" s="2" t="s">
        <v>6012</v>
      </c>
      <c r="AC731" s="2" t="s">
        <v>74</v>
      </c>
      <c r="AD731" s="2" t="s">
        <v>74</v>
      </c>
      <c r="AE731" s="2" t="s">
        <v>74</v>
      </c>
      <c r="AF731" s="2" t="s">
        <v>74</v>
      </c>
      <c r="AG731" s="2" t="s">
        <v>74</v>
      </c>
      <c r="AH731" s="2" t="s">
        <v>74</v>
      </c>
      <c r="AI731" s="2" t="s">
        <v>74</v>
      </c>
      <c r="AJ731" s="2" t="s">
        <v>74</v>
      </c>
      <c r="AK731" s="2" t="s">
        <v>74</v>
      </c>
      <c r="AL731" s="2" t="s">
        <v>74</v>
      </c>
      <c r="AM731" s="2" t="s">
        <v>74</v>
      </c>
      <c r="AN731" s="2" t="s">
        <v>74</v>
      </c>
      <c r="AO731" s="2" t="s">
        <v>143</v>
      </c>
      <c r="AP731" s="2" t="s">
        <v>144</v>
      </c>
      <c r="AQ731" s="2" t="s">
        <v>74</v>
      </c>
      <c r="AR731" s="2" t="s">
        <v>74</v>
      </c>
      <c r="AS731" s="2" t="s">
        <v>74</v>
      </c>
      <c r="AT731" s="2" t="s">
        <v>213</v>
      </c>
      <c r="AU731" s="2">
        <v>1997</v>
      </c>
      <c r="AV731" s="2">
        <v>54</v>
      </c>
      <c r="AW731" s="2" t="s">
        <v>74</v>
      </c>
      <c r="AX731" s="2">
        <v>5</v>
      </c>
      <c r="AY731" s="2" t="s">
        <v>74</v>
      </c>
      <c r="AZ731" s="2" t="s">
        <v>74</v>
      </c>
      <c r="BA731" s="2" t="s">
        <v>74</v>
      </c>
      <c r="BB731" s="2">
        <v>1205</v>
      </c>
      <c r="BC731" s="2">
        <v>1214</v>
      </c>
      <c r="BD731" s="2" t="s">
        <v>74</v>
      </c>
      <c r="BE731" s="2" t="s">
        <v>6013</v>
      </c>
      <c r="BF731" s="2" t="str">
        <f>HYPERLINK("http://dx.doi.org/10.1006/anbe.1997.0516","http://dx.doi.org/10.1006/anbe.1997.0516")</f>
        <v>http://dx.doi.org/10.1006/anbe.1997.0516</v>
      </c>
      <c r="BG731" s="2" t="s">
        <v>74</v>
      </c>
      <c r="BH731" s="2" t="s">
        <v>74</v>
      </c>
      <c r="BI731" s="2" t="s">
        <v>74</v>
      </c>
      <c r="BJ731" s="2" t="s">
        <v>74</v>
      </c>
      <c r="BK731" s="2" t="s">
        <v>74</v>
      </c>
      <c r="BL731" s="2" t="s">
        <v>74</v>
      </c>
      <c r="BM731" s="2" t="s">
        <v>74</v>
      </c>
      <c r="BN731" s="2">
        <v>9398373</v>
      </c>
      <c r="BO731" s="2" t="s">
        <v>74</v>
      </c>
      <c r="BP731" s="2" t="s">
        <v>74</v>
      </c>
      <c r="BQ731" s="2" t="s">
        <v>74</v>
      </c>
      <c r="BR731" s="2" t="s">
        <v>74</v>
      </c>
      <c r="BS731" s="2" t="s">
        <v>6014</v>
      </c>
      <c r="BT731" s="2" t="str">
        <f>HYPERLINK("https%3A%2F%2Fwww.webofscience.com%2Fwos%2Fwoscc%2Ffull-record%2FWOS:A1997YJ17400014","View Full Record in Web of Science")</f>
        <v>View Full Record in Web of Science</v>
      </c>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row>
    <row r="732" spans="1:314" s="2" customFormat="1" x14ac:dyDescent="0.4">
      <c r="A732" s="2" t="s">
        <v>72</v>
      </c>
      <c r="B732" s="2" t="s">
        <v>5619</v>
      </c>
      <c r="C732" s="2" t="s">
        <v>74</v>
      </c>
      <c r="D732" s="2" t="s">
        <v>74</v>
      </c>
      <c r="E732" s="2" t="s">
        <v>74</v>
      </c>
      <c r="F732" s="2" t="s">
        <v>5619</v>
      </c>
      <c r="G732" s="2" t="s">
        <v>74</v>
      </c>
      <c r="H732" s="2" t="s">
        <v>74</v>
      </c>
      <c r="I732" s="2" t="s">
        <v>5620</v>
      </c>
      <c r="J732" s="2" t="s">
        <v>456</v>
      </c>
      <c r="K732" s="2" t="s">
        <v>74</v>
      </c>
      <c r="L732" s="2" t="s">
        <v>74</v>
      </c>
      <c r="M732" s="2" t="s">
        <v>74</v>
      </c>
      <c r="N732" s="2" t="s">
        <v>74</v>
      </c>
      <c r="O732" s="2" t="s">
        <v>74</v>
      </c>
      <c r="P732" s="2" t="s">
        <v>74</v>
      </c>
      <c r="Q732" s="2" t="s">
        <v>74</v>
      </c>
      <c r="R732" s="2" t="s">
        <v>74</v>
      </c>
      <c r="S732" s="2" t="s">
        <v>74</v>
      </c>
      <c r="T732" s="2" t="s">
        <v>74</v>
      </c>
      <c r="U732" s="2" t="s">
        <v>74</v>
      </c>
      <c r="V732" s="5" t="s">
        <v>5621</v>
      </c>
      <c r="W732" s="2" t="s">
        <v>74</v>
      </c>
      <c r="X732" s="2" t="s">
        <v>74</v>
      </c>
      <c r="Y732" s="2" t="s">
        <v>74</v>
      </c>
      <c r="Z732" s="2" t="s">
        <v>74</v>
      </c>
      <c r="AA732" s="2" t="s">
        <v>74</v>
      </c>
      <c r="AB732" s="2" t="s">
        <v>74</v>
      </c>
      <c r="AC732" s="2" t="s">
        <v>74</v>
      </c>
      <c r="AD732" s="2" t="s">
        <v>74</v>
      </c>
      <c r="AE732" s="2" t="s">
        <v>74</v>
      </c>
      <c r="AF732" s="2" t="s">
        <v>74</v>
      </c>
      <c r="AG732" s="2" t="s">
        <v>74</v>
      </c>
      <c r="AH732" s="2" t="s">
        <v>74</v>
      </c>
      <c r="AI732" s="2" t="s">
        <v>74</v>
      </c>
      <c r="AJ732" s="2" t="s">
        <v>74</v>
      </c>
      <c r="AK732" s="2" t="s">
        <v>74</v>
      </c>
      <c r="AL732" s="2" t="s">
        <v>74</v>
      </c>
      <c r="AM732" s="2" t="s">
        <v>74</v>
      </c>
      <c r="AN732" s="2" t="s">
        <v>74</v>
      </c>
      <c r="AO732" s="2" t="s">
        <v>460</v>
      </c>
      <c r="AP732" s="2" t="s">
        <v>461</v>
      </c>
      <c r="AQ732" s="2" t="s">
        <v>74</v>
      </c>
      <c r="AR732" s="2" t="s">
        <v>74</v>
      </c>
      <c r="AS732" s="2" t="s">
        <v>74</v>
      </c>
      <c r="AT732" s="2" t="s">
        <v>134</v>
      </c>
      <c r="AU732" s="2">
        <v>2004</v>
      </c>
      <c r="AV732" s="2">
        <v>263</v>
      </c>
      <c r="AW732" s="2" t="s">
        <v>74</v>
      </c>
      <c r="AX732" s="2">
        <v>1</v>
      </c>
      <c r="AY732" s="2" t="s">
        <v>74</v>
      </c>
      <c r="AZ732" s="2" t="s">
        <v>74</v>
      </c>
      <c r="BA732" s="2" t="s">
        <v>74</v>
      </c>
      <c r="BB732" s="2">
        <v>89</v>
      </c>
      <c r="BC732" s="2">
        <v>94</v>
      </c>
      <c r="BD732" s="2" t="s">
        <v>74</v>
      </c>
      <c r="BE732" s="2" t="s">
        <v>5622</v>
      </c>
      <c r="BF732" s="2" t="str">
        <f>HYPERLINK("http://dx.doi.org/10.1017/S0952836904004911","http://dx.doi.org/10.1017/S0952836904004911")</f>
        <v>http://dx.doi.org/10.1017/S0952836904004911</v>
      </c>
      <c r="BG732" s="2" t="s">
        <v>74</v>
      </c>
      <c r="BH732" s="2" t="s">
        <v>74</v>
      </c>
      <c r="BI732" s="2" t="s">
        <v>74</v>
      </c>
      <c r="BJ732" s="2" t="s">
        <v>74</v>
      </c>
      <c r="BK732" s="2" t="s">
        <v>74</v>
      </c>
      <c r="BL732" s="2" t="s">
        <v>74</v>
      </c>
      <c r="BM732" s="2" t="s">
        <v>74</v>
      </c>
      <c r="BN732" s="2" t="s">
        <v>74</v>
      </c>
      <c r="BO732" s="2" t="s">
        <v>74</v>
      </c>
      <c r="BP732" s="2" t="s">
        <v>74</v>
      </c>
      <c r="BQ732" s="2" t="s">
        <v>74</v>
      </c>
      <c r="BR732" s="2" t="s">
        <v>74</v>
      </c>
      <c r="BS732" s="2" t="s">
        <v>5623</v>
      </c>
      <c r="BT732" s="2" t="str">
        <f>HYPERLINK("https%3A%2F%2Fwww.webofscience.com%2Fwos%2Fwoscc%2Ffull-record%2FWOS:000221567900009","View Full Record in Web of Science")</f>
        <v>View Full Record in Web of Science</v>
      </c>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row>
    <row r="733" spans="1:314" s="2" customFormat="1" x14ac:dyDescent="0.4">
      <c r="A733" s="2" t="s">
        <v>72</v>
      </c>
      <c r="B733" s="2" t="s">
        <v>4407</v>
      </c>
      <c r="C733" s="2" t="s">
        <v>74</v>
      </c>
      <c r="D733" s="2" t="s">
        <v>74</v>
      </c>
      <c r="E733" s="2" t="s">
        <v>74</v>
      </c>
      <c r="F733" s="2" t="s">
        <v>4408</v>
      </c>
      <c r="G733" s="2" t="s">
        <v>74</v>
      </c>
      <c r="H733" s="2" t="s">
        <v>74</v>
      </c>
      <c r="I733" s="2" t="s">
        <v>4409</v>
      </c>
      <c r="J733" s="2" t="s">
        <v>88</v>
      </c>
      <c r="K733" s="2" t="s">
        <v>74</v>
      </c>
      <c r="L733" s="2" t="s">
        <v>74</v>
      </c>
      <c r="M733" s="2" t="s">
        <v>74</v>
      </c>
      <c r="N733" s="2" t="s">
        <v>74</v>
      </c>
      <c r="O733" s="2" t="s">
        <v>74</v>
      </c>
      <c r="P733" s="2" t="s">
        <v>74</v>
      </c>
      <c r="Q733" s="2" t="s">
        <v>74</v>
      </c>
      <c r="R733" s="2" t="s">
        <v>74</v>
      </c>
      <c r="S733" s="2" t="s">
        <v>74</v>
      </c>
      <c r="T733" s="2" t="s">
        <v>74</v>
      </c>
      <c r="U733" s="2" t="s">
        <v>74</v>
      </c>
      <c r="V733" s="5" t="s">
        <v>4410</v>
      </c>
      <c r="W733" s="2" t="s">
        <v>74</v>
      </c>
      <c r="X733" s="2" t="s">
        <v>74</v>
      </c>
      <c r="Y733" s="2" t="s">
        <v>74</v>
      </c>
      <c r="Z733" s="2" t="s">
        <v>74</v>
      </c>
      <c r="AA733" s="2" t="s">
        <v>4411</v>
      </c>
      <c r="AB733" s="2" t="s">
        <v>74</v>
      </c>
      <c r="AC733" s="2" t="s">
        <v>74</v>
      </c>
      <c r="AD733" s="2" t="s">
        <v>74</v>
      </c>
      <c r="AE733" s="2" t="s">
        <v>74</v>
      </c>
      <c r="AF733" s="2" t="s">
        <v>74</v>
      </c>
      <c r="AG733" s="2" t="s">
        <v>74</v>
      </c>
      <c r="AH733" s="2" t="s">
        <v>74</v>
      </c>
      <c r="AI733" s="2" t="s">
        <v>74</v>
      </c>
      <c r="AJ733" s="2" t="s">
        <v>74</v>
      </c>
      <c r="AK733" s="2" t="s">
        <v>74</v>
      </c>
      <c r="AL733" s="2" t="s">
        <v>74</v>
      </c>
      <c r="AM733" s="2" t="s">
        <v>74</v>
      </c>
      <c r="AN733" s="2" t="s">
        <v>74</v>
      </c>
      <c r="AO733" s="2" t="s">
        <v>91</v>
      </c>
      <c r="AP733" s="2" t="s">
        <v>74</v>
      </c>
      <c r="AQ733" s="2" t="s">
        <v>74</v>
      </c>
      <c r="AR733" s="2" t="s">
        <v>74</v>
      </c>
      <c r="AS733" s="2" t="s">
        <v>74</v>
      </c>
      <c r="AT733" s="2" t="s">
        <v>1210</v>
      </c>
      <c r="AU733" s="2">
        <v>2006</v>
      </c>
      <c r="AV733" s="2">
        <v>2</v>
      </c>
      <c r="AW733" s="2">
        <v>4</v>
      </c>
      <c r="AX733" s="2" t="s">
        <v>74</v>
      </c>
      <c r="AY733" s="2" t="s">
        <v>74</v>
      </c>
      <c r="AZ733" s="2" t="s">
        <v>74</v>
      </c>
      <c r="BA733" s="2" t="s">
        <v>74</v>
      </c>
      <c r="BB733" s="2">
        <v>494</v>
      </c>
      <c r="BC733" s="2">
        <v>496</v>
      </c>
      <c r="BD733" s="2" t="s">
        <v>74</v>
      </c>
      <c r="BE733" s="2" t="s">
        <v>4412</v>
      </c>
      <c r="BF733" s="2" t="str">
        <f>HYPERLINK("http://dx.doi.org/10.1098/rsbl.2006.0542","http://dx.doi.org/10.1098/rsbl.2006.0542")</f>
        <v>http://dx.doi.org/10.1098/rsbl.2006.0542</v>
      </c>
      <c r="BG733" s="2" t="s">
        <v>74</v>
      </c>
      <c r="BH733" s="2" t="s">
        <v>74</v>
      </c>
      <c r="BI733" s="2" t="s">
        <v>74</v>
      </c>
      <c r="BJ733" s="2" t="s">
        <v>74</v>
      </c>
      <c r="BK733" s="2" t="s">
        <v>74</v>
      </c>
      <c r="BL733" s="2" t="s">
        <v>74</v>
      </c>
      <c r="BM733" s="2" t="s">
        <v>74</v>
      </c>
      <c r="BN733" s="2">
        <v>17148271</v>
      </c>
      <c r="BO733" s="2" t="s">
        <v>74</v>
      </c>
      <c r="BP733" s="2" t="s">
        <v>74</v>
      </c>
      <c r="BQ733" s="2" t="s">
        <v>74</v>
      </c>
      <c r="BR733" s="2" t="s">
        <v>74</v>
      </c>
      <c r="BS733" s="2" t="s">
        <v>4413</v>
      </c>
      <c r="BT733" s="2" t="str">
        <f>HYPERLINK("https%3A%2F%2Fwww.webofscience.com%2Fwos%2Fwoscc%2Ffull-record%2FWOS:000242686500005","View Full Record in Web of Science")</f>
        <v>View Full Record in Web of Science</v>
      </c>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row>
    <row r="734" spans="1:314" s="2" customFormat="1" x14ac:dyDescent="0.4">
      <c r="A734" s="2" t="s">
        <v>72</v>
      </c>
      <c r="B734" s="2" t="s">
        <v>7014</v>
      </c>
      <c r="C734" s="2" t="s">
        <v>74</v>
      </c>
      <c r="D734" s="2" t="s">
        <v>74</v>
      </c>
      <c r="E734" s="2" t="s">
        <v>74</v>
      </c>
      <c r="F734" s="2" t="s">
        <v>7014</v>
      </c>
      <c r="G734" s="2" t="s">
        <v>74</v>
      </c>
      <c r="H734" s="2" t="s">
        <v>74</v>
      </c>
      <c r="I734" s="2" t="s">
        <v>7015</v>
      </c>
      <c r="J734" s="2" t="s">
        <v>1743</v>
      </c>
      <c r="K734" s="2" t="s">
        <v>74</v>
      </c>
      <c r="L734" s="2" t="s">
        <v>74</v>
      </c>
      <c r="M734" s="2" t="s">
        <v>74</v>
      </c>
      <c r="N734" s="2" t="s">
        <v>74</v>
      </c>
      <c r="O734" s="2" t="s">
        <v>74</v>
      </c>
      <c r="P734" s="2" t="s">
        <v>74</v>
      </c>
      <c r="Q734" s="2" t="s">
        <v>74</v>
      </c>
      <c r="R734" s="2" t="s">
        <v>74</v>
      </c>
      <c r="S734" s="2" t="s">
        <v>74</v>
      </c>
      <c r="T734" s="2" t="s">
        <v>74</v>
      </c>
      <c r="U734" s="2" t="s">
        <v>74</v>
      </c>
      <c r="V734" s="5" t="s">
        <v>7016</v>
      </c>
      <c r="W734" s="2" t="s">
        <v>74</v>
      </c>
      <c r="X734" s="2" t="s">
        <v>74</v>
      </c>
      <c r="Y734" s="2" t="s">
        <v>74</v>
      </c>
      <c r="Z734" s="2" t="s">
        <v>74</v>
      </c>
      <c r="AA734" s="2" t="s">
        <v>74</v>
      </c>
      <c r="AB734" s="2" t="s">
        <v>74</v>
      </c>
      <c r="AC734" s="2" t="s">
        <v>74</v>
      </c>
      <c r="AD734" s="2" t="s">
        <v>74</v>
      </c>
      <c r="AE734" s="2" t="s">
        <v>74</v>
      </c>
      <c r="AF734" s="2" t="s">
        <v>74</v>
      </c>
      <c r="AG734" s="2" t="s">
        <v>74</v>
      </c>
      <c r="AH734" s="2" t="s">
        <v>74</v>
      </c>
      <c r="AI734" s="2" t="s">
        <v>74</v>
      </c>
      <c r="AJ734" s="2" t="s">
        <v>74</v>
      </c>
      <c r="AK734" s="2" t="s">
        <v>74</v>
      </c>
      <c r="AL734" s="2" t="s">
        <v>74</v>
      </c>
      <c r="AM734" s="2" t="s">
        <v>74</v>
      </c>
      <c r="AN734" s="2" t="s">
        <v>74</v>
      </c>
      <c r="AO734" s="2" t="s">
        <v>1746</v>
      </c>
      <c r="AP734" s="2" t="s">
        <v>74</v>
      </c>
      <c r="AQ734" s="2" t="s">
        <v>74</v>
      </c>
      <c r="AR734" s="2" t="s">
        <v>74</v>
      </c>
      <c r="AS734" s="2" t="s">
        <v>74</v>
      </c>
      <c r="AT734" s="2" t="s">
        <v>964</v>
      </c>
      <c r="AU734" s="2">
        <v>1991</v>
      </c>
      <c r="AV734" s="2">
        <v>8</v>
      </c>
      <c r="AW734" s="2">
        <v>1</v>
      </c>
      <c r="AX734" s="2" t="s">
        <v>74</v>
      </c>
      <c r="AY734" s="2" t="s">
        <v>74</v>
      </c>
      <c r="AZ734" s="2" t="s">
        <v>74</v>
      </c>
      <c r="BA734" s="2" t="s">
        <v>74</v>
      </c>
      <c r="BB734" s="2">
        <v>121</v>
      </c>
      <c r="BC734" s="2">
        <v>133</v>
      </c>
      <c r="BD734" s="2" t="s">
        <v>74</v>
      </c>
      <c r="BE734" s="2" t="s">
        <v>74</v>
      </c>
      <c r="BF734" s="2" t="s">
        <v>74</v>
      </c>
      <c r="BG734" s="2" t="s">
        <v>74</v>
      </c>
      <c r="BH734" s="2" t="s">
        <v>74</v>
      </c>
      <c r="BI734" s="2" t="s">
        <v>74</v>
      </c>
      <c r="BJ734" s="2" t="s">
        <v>74</v>
      </c>
      <c r="BK734" s="2" t="s">
        <v>74</v>
      </c>
      <c r="BL734" s="2" t="s">
        <v>74</v>
      </c>
      <c r="BM734" s="2" t="s">
        <v>74</v>
      </c>
      <c r="BN734" s="2" t="s">
        <v>74</v>
      </c>
      <c r="BO734" s="2" t="s">
        <v>74</v>
      </c>
      <c r="BP734" s="2" t="s">
        <v>74</v>
      </c>
      <c r="BQ734" s="2" t="s">
        <v>74</v>
      </c>
      <c r="BR734" s="2" t="s">
        <v>74</v>
      </c>
      <c r="BS734" s="2" t="s">
        <v>7017</v>
      </c>
      <c r="BT734" s="2" t="str">
        <f>HYPERLINK("https%3A%2F%2Fwww.webofscience.com%2Fwos%2Fwoscc%2Ffull-record%2FWOS:A1991FG50700015","View Full Record in Web of Science")</f>
        <v>View Full Record in Web of Science</v>
      </c>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row>
    <row r="735" spans="1:314" s="2" customFormat="1" x14ac:dyDescent="0.4">
      <c r="A735" s="2" t="s">
        <v>72</v>
      </c>
      <c r="B735" s="2" t="s">
        <v>7104</v>
      </c>
      <c r="C735" s="2" t="s">
        <v>74</v>
      </c>
      <c r="D735" s="2" t="s">
        <v>74</v>
      </c>
      <c r="E735" s="2" t="s">
        <v>74</v>
      </c>
      <c r="F735" s="2" t="s">
        <v>7104</v>
      </c>
      <c r="G735" s="2" t="s">
        <v>74</v>
      </c>
      <c r="H735" s="2" t="s">
        <v>74</v>
      </c>
      <c r="I735" s="2" t="s">
        <v>7105</v>
      </c>
      <c r="J735" s="2" t="s">
        <v>5129</v>
      </c>
      <c r="K735" s="2" t="s">
        <v>74</v>
      </c>
      <c r="L735" s="2" t="s">
        <v>74</v>
      </c>
      <c r="M735" s="2" t="s">
        <v>74</v>
      </c>
      <c r="N735" s="2" t="s">
        <v>74</v>
      </c>
      <c r="O735" s="2" t="s">
        <v>74</v>
      </c>
      <c r="P735" s="2" t="s">
        <v>74</v>
      </c>
      <c r="Q735" s="2" t="s">
        <v>74</v>
      </c>
      <c r="R735" s="2" t="s">
        <v>74</v>
      </c>
      <c r="S735" s="2" t="s">
        <v>74</v>
      </c>
      <c r="T735" s="2" t="s">
        <v>74</v>
      </c>
      <c r="U735" s="2" t="s">
        <v>74</v>
      </c>
      <c r="V735" s="5" t="s">
        <v>7106</v>
      </c>
      <c r="W735" s="2" t="s">
        <v>74</v>
      </c>
      <c r="X735" s="2" t="s">
        <v>74</v>
      </c>
      <c r="Y735" s="2" t="s">
        <v>74</v>
      </c>
      <c r="Z735" s="2" t="s">
        <v>74</v>
      </c>
      <c r="AA735" s="2" t="s">
        <v>74</v>
      </c>
      <c r="AB735" s="2" t="s">
        <v>74</v>
      </c>
      <c r="AC735" s="2" t="s">
        <v>74</v>
      </c>
      <c r="AD735" s="2" t="s">
        <v>74</v>
      </c>
      <c r="AE735" s="2" t="s">
        <v>74</v>
      </c>
      <c r="AF735" s="2" t="s">
        <v>74</v>
      </c>
      <c r="AG735" s="2" t="s">
        <v>74</v>
      </c>
      <c r="AH735" s="2" t="s">
        <v>74</v>
      </c>
      <c r="AI735" s="2" t="s">
        <v>74</v>
      </c>
      <c r="AJ735" s="2" t="s">
        <v>74</v>
      </c>
      <c r="AK735" s="2" t="s">
        <v>74</v>
      </c>
      <c r="AL735" s="2" t="s">
        <v>74</v>
      </c>
      <c r="AM735" s="2" t="s">
        <v>74</v>
      </c>
      <c r="AN735" s="2" t="s">
        <v>74</v>
      </c>
      <c r="AO735" s="2" t="s">
        <v>5131</v>
      </c>
      <c r="AP735" s="2" t="s">
        <v>5132</v>
      </c>
      <c r="AQ735" s="2" t="s">
        <v>74</v>
      </c>
      <c r="AR735" s="2" t="s">
        <v>74</v>
      </c>
      <c r="AS735" s="2" t="s">
        <v>74</v>
      </c>
      <c r="AT735" s="2" t="s">
        <v>74</v>
      </c>
      <c r="AU735" s="2">
        <v>1986</v>
      </c>
      <c r="AV735" s="2">
        <v>74</v>
      </c>
      <c r="AW735" s="2">
        <v>2</v>
      </c>
      <c r="AX735" s="2" t="s">
        <v>74</v>
      </c>
      <c r="AY735" s="2" t="s">
        <v>74</v>
      </c>
      <c r="AZ735" s="2" t="s">
        <v>74</v>
      </c>
      <c r="BA735" s="2" t="s">
        <v>74</v>
      </c>
      <c r="BB735" s="2">
        <v>177</v>
      </c>
      <c r="BC735" s="2">
        <v>183</v>
      </c>
      <c r="BD735" s="2" t="s">
        <v>74</v>
      </c>
      <c r="BE735" s="2" t="s">
        <v>74</v>
      </c>
      <c r="BF735" s="2" t="s">
        <v>74</v>
      </c>
      <c r="BG735" s="2" t="s">
        <v>74</v>
      </c>
      <c r="BH735" s="2" t="s">
        <v>74</v>
      </c>
      <c r="BI735" s="2" t="s">
        <v>74</v>
      </c>
      <c r="BJ735" s="2" t="s">
        <v>74</v>
      </c>
      <c r="BK735" s="2" t="s">
        <v>74</v>
      </c>
      <c r="BL735" s="2" t="s">
        <v>74</v>
      </c>
      <c r="BM735" s="2" t="s">
        <v>74</v>
      </c>
      <c r="BN735" s="2" t="s">
        <v>74</v>
      </c>
      <c r="BO735" s="2" t="s">
        <v>74</v>
      </c>
      <c r="BP735" s="2" t="s">
        <v>74</v>
      </c>
      <c r="BQ735" s="2" t="s">
        <v>74</v>
      </c>
      <c r="BR735" s="2" t="s">
        <v>74</v>
      </c>
      <c r="BS735" s="2" t="s">
        <v>7107</v>
      </c>
      <c r="BT735" s="2" t="str">
        <f>HYPERLINK("https%3A%2F%2Fwww.webofscience.com%2Fwos%2Fwoscc%2Ffull-record%2FWOS:A1986D993200007","View Full Record in Web of Science")</f>
        <v>View Full Record in Web of Science</v>
      </c>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row>
    <row r="736" spans="1:314" s="2" customFormat="1" x14ac:dyDescent="0.4">
      <c r="A736" s="2" t="s">
        <v>72</v>
      </c>
      <c r="B736" s="2" t="s">
        <v>6827</v>
      </c>
      <c r="C736" s="2" t="s">
        <v>74</v>
      </c>
      <c r="D736" s="2" t="s">
        <v>74</v>
      </c>
      <c r="E736" s="2" t="s">
        <v>74</v>
      </c>
      <c r="F736" s="2" t="s">
        <v>6827</v>
      </c>
      <c r="G736" s="2" t="s">
        <v>74</v>
      </c>
      <c r="H736" s="2" t="s">
        <v>74</v>
      </c>
      <c r="I736" s="2" t="s">
        <v>6828</v>
      </c>
      <c r="J736" s="2" t="s">
        <v>6829</v>
      </c>
      <c r="K736" s="2" t="s">
        <v>74</v>
      </c>
      <c r="L736" s="2" t="s">
        <v>74</v>
      </c>
      <c r="M736" s="2" t="s">
        <v>74</v>
      </c>
      <c r="N736" s="2" t="s">
        <v>74</v>
      </c>
      <c r="O736" s="2" t="s">
        <v>74</v>
      </c>
      <c r="P736" s="2" t="s">
        <v>74</v>
      </c>
      <c r="Q736" s="2" t="s">
        <v>74</v>
      </c>
      <c r="R736" s="2" t="s">
        <v>74</v>
      </c>
      <c r="S736" s="2" t="s">
        <v>74</v>
      </c>
      <c r="T736" s="2" t="s">
        <v>74</v>
      </c>
      <c r="U736" s="2" t="s">
        <v>74</v>
      </c>
      <c r="V736" s="5" t="s">
        <v>6830</v>
      </c>
      <c r="W736" s="2" t="s">
        <v>74</v>
      </c>
      <c r="X736" s="2" t="s">
        <v>74</v>
      </c>
      <c r="Y736" s="2" t="s">
        <v>74</v>
      </c>
      <c r="Z736" s="2" t="s">
        <v>74</v>
      </c>
      <c r="AA736" s="2" t="s">
        <v>74</v>
      </c>
      <c r="AB736" s="2" t="s">
        <v>74</v>
      </c>
      <c r="AC736" s="2" t="s">
        <v>74</v>
      </c>
      <c r="AD736" s="2" t="s">
        <v>74</v>
      </c>
      <c r="AE736" s="2" t="s">
        <v>74</v>
      </c>
      <c r="AF736" s="2" t="s">
        <v>74</v>
      </c>
      <c r="AG736" s="2" t="s">
        <v>74</v>
      </c>
      <c r="AH736" s="2" t="s">
        <v>74</v>
      </c>
      <c r="AI736" s="2" t="s">
        <v>74</v>
      </c>
      <c r="AJ736" s="2" t="s">
        <v>74</v>
      </c>
      <c r="AK736" s="2" t="s">
        <v>74</v>
      </c>
      <c r="AL736" s="2" t="s">
        <v>74</v>
      </c>
      <c r="AM736" s="2" t="s">
        <v>74</v>
      </c>
      <c r="AN736" s="2" t="s">
        <v>74</v>
      </c>
      <c r="AO736" s="2" t="s">
        <v>6831</v>
      </c>
      <c r="AP736" s="2" t="s">
        <v>6832</v>
      </c>
      <c r="AQ736" s="2" t="s">
        <v>74</v>
      </c>
      <c r="AR736" s="2" t="s">
        <v>74</v>
      </c>
      <c r="AS736" s="2" t="s">
        <v>74</v>
      </c>
      <c r="AT736" s="2" t="s">
        <v>305</v>
      </c>
      <c r="AU736" s="2">
        <v>1997</v>
      </c>
      <c r="AV736" s="2">
        <v>87</v>
      </c>
      <c r="AW736" s="2">
        <v>6</v>
      </c>
      <c r="AX736" s="2" t="s">
        <v>74</v>
      </c>
      <c r="AY736" s="2" t="s">
        <v>74</v>
      </c>
      <c r="AZ736" s="2" t="s">
        <v>74</v>
      </c>
      <c r="BA736" s="2" t="s">
        <v>74</v>
      </c>
      <c r="BB736" s="2">
        <v>595</v>
      </c>
      <c r="BC736" s="2">
        <v>608</v>
      </c>
      <c r="BD736" s="2" t="s">
        <v>74</v>
      </c>
      <c r="BE736" s="2" t="s">
        <v>6833</v>
      </c>
      <c r="BF736" s="2" t="str">
        <f>HYPERLINK("http://dx.doi.org/10.1017/S0007485300038694","http://dx.doi.org/10.1017/S0007485300038694")</f>
        <v>http://dx.doi.org/10.1017/S0007485300038694</v>
      </c>
      <c r="BG736" s="2" t="s">
        <v>74</v>
      </c>
      <c r="BH736" s="2" t="s">
        <v>74</v>
      </c>
      <c r="BI736" s="2" t="s">
        <v>74</v>
      </c>
      <c r="BJ736" s="2" t="s">
        <v>74</v>
      </c>
      <c r="BK736" s="2" t="s">
        <v>74</v>
      </c>
      <c r="BL736" s="2" t="s">
        <v>74</v>
      </c>
      <c r="BM736" s="2" t="s">
        <v>74</v>
      </c>
      <c r="BN736" s="2" t="s">
        <v>74</v>
      </c>
      <c r="BO736" s="2" t="s">
        <v>74</v>
      </c>
      <c r="BP736" s="2" t="s">
        <v>74</v>
      </c>
      <c r="BQ736" s="2" t="s">
        <v>74</v>
      </c>
      <c r="BR736" s="2" t="s">
        <v>74</v>
      </c>
      <c r="BS736" s="2" t="s">
        <v>6834</v>
      </c>
      <c r="BT736" s="2" t="str">
        <f>HYPERLINK("https%3A%2F%2Fwww.webofscience.com%2Fwos%2Fwoscc%2Ffull-record%2FWOS:A1997YL39300006","View Full Record in Web of Science")</f>
        <v>View Full Record in Web of Science</v>
      </c>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row>
    <row r="737" spans="1:314" s="1" customFormat="1" x14ac:dyDescent="0.4">
      <c r="A737" s="2" t="s">
        <v>72</v>
      </c>
      <c r="B737" s="2" t="s">
        <v>6122</v>
      </c>
      <c r="C737" s="2" t="s">
        <v>74</v>
      </c>
      <c r="D737" s="2" t="s">
        <v>74</v>
      </c>
      <c r="E737" s="2" t="s">
        <v>74</v>
      </c>
      <c r="F737" s="2" t="s">
        <v>6122</v>
      </c>
      <c r="G737" s="2" t="s">
        <v>74</v>
      </c>
      <c r="H737" s="2" t="s">
        <v>74</v>
      </c>
      <c r="I737" s="2" t="s">
        <v>6123</v>
      </c>
      <c r="J737" s="2" t="s">
        <v>6124</v>
      </c>
      <c r="K737" s="2" t="s">
        <v>74</v>
      </c>
      <c r="L737" s="2" t="s">
        <v>74</v>
      </c>
      <c r="M737" s="2" t="s">
        <v>74</v>
      </c>
      <c r="N737" s="2" t="s">
        <v>74</v>
      </c>
      <c r="O737" s="2" t="s">
        <v>74</v>
      </c>
      <c r="P737" s="2" t="s">
        <v>74</v>
      </c>
      <c r="Q737" s="2" t="s">
        <v>74</v>
      </c>
      <c r="R737" s="2" t="s">
        <v>74</v>
      </c>
      <c r="S737" s="2" t="s">
        <v>74</v>
      </c>
      <c r="T737" s="2" t="s">
        <v>74</v>
      </c>
      <c r="U737" s="2" t="s">
        <v>74</v>
      </c>
      <c r="V737" s="5" t="s">
        <v>6125</v>
      </c>
      <c r="W737" s="2" t="s">
        <v>74</v>
      </c>
      <c r="X737" s="2" t="s">
        <v>74</v>
      </c>
      <c r="Y737" s="2" t="s">
        <v>74</v>
      </c>
      <c r="Z737" s="2" t="s">
        <v>74</v>
      </c>
      <c r="AA737" s="2" t="s">
        <v>74</v>
      </c>
      <c r="AB737" s="2" t="s">
        <v>74</v>
      </c>
      <c r="AC737" s="2" t="s">
        <v>74</v>
      </c>
      <c r="AD737" s="2" t="s">
        <v>74</v>
      </c>
      <c r="AE737" s="2" t="s">
        <v>74</v>
      </c>
      <c r="AF737" s="2" t="s">
        <v>74</v>
      </c>
      <c r="AG737" s="2" t="s">
        <v>74</v>
      </c>
      <c r="AH737" s="2" t="s">
        <v>74</v>
      </c>
      <c r="AI737" s="2" t="s">
        <v>74</v>
      </c>
      <c r="AJ737" s="2" t="s">
        <v>74</v>
      </c>
      <c r="AK737" s="2" t="s">
        <v>74</v>
      </c>
      <c r="AL737" s="2" t="s">
        <v>74</v>
      </c>
      <c r="AM737" s="2" t="s">
        <v>74</v>
      </c>
      <c r="AN737" s="2" t="s">
        <v>74</v>
      </c>
      <c r="AO737" s="2" t="s">
        <v>6126</v>
      </c>
      <c r="AP737" s="2" t="s">
        <v>6127</v>
      </c>
      <c r="AQ737" s="2" t="s">
        <v>74</v>
      </c>
      <c r="AR737" s="2" t="s">
        <v>74</v>
      </c>
      <c r="AS737" s="2" t="s">
        <v>74</v>
      </c>
      <c r="AT737" s="2" t="s">
        <v>74</v>
      </c>
      <c r="AU737" s="2">
        <v>1984</v>
      </c>
      <c r="AV737" s="2">
        <v>70</v>
      </c>
      <c r="AW737" s="2">
        <v>4</v>
      </c>
      <c r="AX737" s="2" t="s">
        <v>74</v>
      </c>
      <c r="AY737" s="2" t="s">
        <v>74</v>
      </c>
      <c r="AZ737" s="2" t="s">
        <v>74</v>
      </c>
      <c r="BA737" s="2" t="s">
        <v>74</v>
      </c>
      <c r="BB737" s="2">
        <v>234</v>
      </c>
      <c r="BC737" s="2">
        <v>239</v>
      </c>
      <c r="BD737" s="2" t="s">
        <v>74</v>
      </c>
      <c r="BE737" s="2" t="s">
        <v>74</v>
      </c>
      <c r="BF737" s="2" t="s">
        <v>74</v>
      </c>
      <c r="BG737" s="2" t="s">
        <v>74</v>
      </c>
      <c r="BH737" s="2" t="s">
        <v>74</v>
      </c>
      <c r="BI737" s="2" t="s">
        <v>74</v>
      </c>
      <c r="BJ737" s="2" t="s">
        <v>74</v>
      </c>
      <c r="BK737" s="2" t="s">
        <v>74</v>
      </c>
      <c r="BL737" s="2" t="s">
        <v>74</v>
      </c>
      <c r="BM737" s="2" t="s">
        <v>74</v>
      </c>
      <c r="BN737" s="2" t="s">
        <v>74</v>
      </c>
      <c r="BO737" s="2" t="s">
        <v>74</v>
      </c>
      <c r="BP737" s="2" t="s">
        <v>74</v>
      </c>
      <c r="BQ737" s="2" t="s">
        <v>74</v>
      </c>
      <c r="BR737" s="2" t="s">
        <v>74</v>
      </c>
      <c r="BS737" s="2" t="s">
        <v>6128</v>
      </c>
      <c r="BT737" s="2" t="str">
        <f>HYPERLINK("https%3A%2F%2Fwww.webofscience.com%2Fwos%2Fwoscc%2Ffull-record%2FWOS:A1984TV59800004","View Full Record in Web of Science")</f>
        <v>View Full Record in Web of Science</v>
      </c>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row>
    <row r="738" spans="1:314" s="2" customFormat="1" x14ac:dyDescent="0.4">
      <c r="A738" s="2" t="s">
        <v>72</v>
      </c>
      <c r="B738" s="2" t="s">
        <v>8247</v>
      </c>
      <c r="C738" s="2" t="s">
        <v>74</v>
      </c>
      <c r="D738" s="2" t="s">
        <v>74</v>
      </c>
      <c r="E738" s="2" t="s">
        <v>74</v>
      </c>
      <c r="F738" s="2" t="s">
        <v>8248</v>
      </c>
      <c r="G738" s="2" t="s">
        <v>74</v>
      </c>
      <c r="H738" s="2" t="s">
        <v>74</v>
      </c>
      <c r="I738" s="2" t="s">
        <v>8249</v>
      </c>
      <c r="J738" s="2" t="s">
        <v>408</v>
      </c>
      <c r="K738" s="2" t="s">
        <v>74</v>
      </c>
      <c r="L738" s="2" t="s">
        <v>74</v>
      </c>
      <c r="M738" s="2" t="s">
        <v>74</v>
      </c>
      <c r="N738" s="2" t="s">
        <v>74</v>
      </c>
      <c r="O738" s="2" t="s">
        <v>74</v>
      </c>
      <c r="P738" s="2" t="s">
        <v>74</v>
      </c>
      <c r="Q738" s="2" t="s">
        <v>74</v>
      </c>
      <c r="R738" s="2" t="s">
        <v>74</v>
      </c>
      <c r="S738" s="2" t="s">
        <v>74</v>
      </c>
      <c r="T738" s="2" t="s">
        <v>74</v>
      </c>
      <c r="U738" s="2" t="s">
        <v>74</v>
      </c>
      <c r="V738" s="5" t="s">
        <v>8250</v>
      </c>
      <c r="W738" s="2" t="s">
        <v>74</v>
      </c>
      <c r="X738" s="2" t="s">
        <v>74</v>
      </c>
      <c r="Y738" s="2" t="s">
        <v>74</v>
      </c>
      <c r="Z738" s="2" t="s">
        <v>74</v>
      </c>
      <c r="AA738" s="2" t="s">
        <v>74</v>
      </c>
      <c r="AB738" s="2" t="s">
        <v>8251</v>
      </c>
      <c r="AC738" s="2" t="s">
        <v>74</v>
      </c>
      <c r="AD738" s="2" t="s">
        <v>74</v>
      </c>
      <c r="AE738" s="2" t="s">
        <v>74</v>
      </c>
      <c r="AF738" s="2" t="s">
        <v>74</v>
      </c>
      <c r="AG738" s="2" t="s">
        <v>74</v>
      </c>
      <c r="AH738" s="2" t="s">
        <v>74</v>
      </c>
      <c r="AI738" s="2" t="s">
        <v>74</v>
      </c>
      <c r="AJ738" s="2" t="s">
        <v>74</v>
      </c>
      <c r="AK738" s="2" t="s">
        <v>74</v>
      </c>
      <c r="AL738" s="2" t="s">
        <v>74</v>
      </c>
      <c r="AM738" s="2" t="s">
        <v>74</v>
      </c>
      <c r="AN738" s="2" t="s">
        <v>74</v>
      </c>
      <c r="AO738" s="2" t="s">
        <v>412</v>
      </c>
      <c r="AP738" s="2" t="s">
        <v>413</v>
      </c>
      <c r="AQ738" s="2" t="s">
        <v>74</v>
      </c>
      <c r="AR738" s="2" t="s">
        <v>74</v>
      </c>
      <c r="AS738" s="2" t="s">
        <v>74</v>
      </c>
      <c r="AT738" s="2" t="s">
        <v>255</v>
      </c>
      <c r="AU738" s="2">
        <v>2020</v>
      </c>
      <c r="AV738" s="2">
        <v>129</v>
      </c>
      <c r="AW738" s="2">
        <v>1</v>
      </c>
      <c r="AX738" s="2" t="s">
        <v>74</v>
      </c>
      <c r="AY738" s="2" t="s">
        <v>74</v>
      </c>
      <c r="AZ738" s="2" t="s">
        <v>74</v>
      </c>
      <c r="BA738" s="2" t="s">
        <v>74</v>
      </c>
      <c r="BB738" s="2">
        <v>143</v>
      </c>
      <c r="BC738" s="2">
        <v>161</v>
      </c>
      <c r="BD738" s="2" t="s">
        <v>74</v>
      </c>
      <c r="BE738" s="2" t="s">
        <v>8252</v>
      </c>
      <c r="BF738" s="2" t="str">
        <f>HYPERLINK("http://dx.doi.org/10.1093/biolinnean/blz162","http://dx.doi.org/10.1093/biolinnean/blz162")</f>
        <v>http://dx.doi.org/10.1093/biolinnean/blz162</v>
      </c>
      <c r="BG738" s="2" t="s">
        <v>74</v>
      </c>
      <c r="BH738" s="2" t="s">
        <v>74</v>
      </c>
      <c r="BI738" s="2" t="s">
        <v>74</v>
      </c>
      <c r="BJ738" s="2" t="s">
        <v>74</v>
      </c>
      <c r="BK738" s="2" t="s">
        <v>74</v>
      </c>
      <c r="BL738" s="2" t="s">
        <v>74</v>
      </c>
      <c r="BM738" s="2" t="s">
        <v>74</v>
      </c>
      <c r="BN738" s="2" t="s">
        <v>74</v>
      </c>
      <c r="BO738" s="2" t="s">
        <v>74</v>
      </c>
      <c r="BP738" s="2" t="s">
        <v>74</v>
      </c>
      <c r="BQ738" s="2" t="s">
        <v>74</v>
      </c>
      <c r="BR738" s="2" t="s">
        <v>74</v>
      </c>
      <c r="BS738" s="2" t="s">
        <v>8253</v>
      </c>
      <c r="BT738" s="2" t="str">
        <f>HYPERLINK("https%3A%2F%2Fwww.webofscience.com%2Fwos%2Fwoscc%2Ffull-record%2FWOS:000506800100011","View Full Record in Web of Science")</f>
        <v>View Full Record in Web of Science</v>
      </c>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row>
    <row r="739" spans="1:314" s="2" customFormat="1" x14ac:dyDescent="0.4">
      <c r="A739" s="2" t="s">
        <v>72</v>
      </c>
      <c r="B739" s="2" t="s">
        <v>7440</v>
      </c>
      <c r="C739" s="2" t="s">
        <v>74</v>
      </c>
      <c r="D739" s="2" t="s">
        <v>74</v>
      </c>
      <c r="E739" s="2" t="s">
        <v>74</v>
      </c>
      <c r="F739" s="2" t="s">
        <v>7440</v>
      </c>
      <c r="G739" s="2" t="s">
        <v>74</v>
      </c>
      <c r="H739" s="2" t="s">
        <v>74</v>
      </c>
      <c r="I739" s="2" t="s">
        <v>7441</v>
      </c>
      <c r="J739" s="2" t="s">
        <v>610</v>
      </c>
      <c r="K739" s="2" t="s">
        <v>74</v>
      </c>
      <c r="L739" s="2" t="s">
        <v>74</v>
      </c>
      <c r="M739" s="2" t="s">
        <v>74</v>
      </c>
      <c r="N739" s="2" t="s">
        <v>74</v>
      </c>
      <c r="O739" s="2" t="s">
        <v>74</v>
      </c>
      <c r="P739" s="2" t="s">
        <v>74</v>
      </c>
      <c r="Q739" s="2" t="s">
        <v>74</v>
      </c>
      <c r="R739" s="2" t="s">
        <v>74</v>
      </c>
      <c r="S739" s="2" t="s">
        <v>74</v>
      </c>
      <c r="T739" s="2" t="s">
        <v>74</v>
      </c>
      <c r="U739" s="2" t="s">
        <v>74</v>
      </c>
      <c r="V739" s="5" t="s">
        <v>7442</v>
      </c>
      <c r="W739" s="2" t="s">
        <v>74</v>
      </c>
      <c r="X739" s="2" t="s">
        <v>74</v>
      </c>
      <c r="Y739" s="2" t="s">
        <v>74</v>
      </c>
      <c r="Z739" s="2" t="s">
        <v>74</v>
      </c>
      <c r="AA739" s="2" t="s">
        <v>74</v>
      </c>
      <c r="AB739" s="2" t="s">
        <v>74</v>
      </c>
      <c r="AC739" s="2" t="s">
        <v>74</v>
      </c>
      <c r="AD739" s="2" t="s">
        <v>74</v>
      </c>
      <c r="AE739" s="2" t="s">
        <v>74</v>
      </c>
      <c r="AF739" s="2" t="s">
        <v>74</v>
      </c>
      <c r="AG739" s="2" t="s">
        <v>74</v>
      </c>
      <c r="AH739" s="2" t="s">
        <v>74</v>
      </c>
      <c r="AI739" s="2" t="s">
        <v>74</v>
      </c>
      <c r="AJ739" s="2" t="s">
        <v>74</v>
      </c>
      <c r="AK739" s="2" t="s">
        <v>74</v>
      </c>
      <c r="AL739" s="2" t="s">
        <v>74</v>
      </c>
      <c r="AM739" s="2" t="s">
        <v>74</v>
      </c>
      <c r="AN739" s="2" t="s">
        <v>74</v>
      </c>
      <c r="AO739" s="2" t="s">
        <v>614</v>
      </c>
      <c r="AP739" s="2" t="s">
        <v>615</v>
      </c>
      <c r="AQ739" s="2" t="s">
        <v>74</v>
      </c>
      <c r="AR739" s="2" t="s">
        <v>74</v>
      </c>
      <c r="AS739" s="2" t="s">
        <v>74</v>
      </c>
      <c r="AT739" s="2" t="s">
        <v>352</v>
      </c>
      <c r="AU739" s="2">
        <v>2004</v>
      </c>
      <c r="AV739" s="2">
        <v>110</v>
      </c>
      <c r="AW739" s="2">
        <v>9</v>
      </c>
      <c r="AX739" s="2" t="s">
        <v>74</v>
      </c>
      <c r="AY739" s="2" t="s">
        <v>74</v>
      </c>
      <c r="AZ739" s="2" t="s">
        <v>74</v>
      </c>
      <c r="BA739" s="2" t="s">
        <v>74</v>
      </c>
      <c r="BB739" s="2">
        <v>707</v>
      </c>
      <c r="BC739" s="2">
        <v>715</v>
      </c>
      <c r="BD739" s="2" t="s">
        <v>74</v>
      </c>
      <c r="BE739" s="2" t="s">
        <v>7443</v>
      </c>
      <c r="BF739" s="2" t="str">
        <f>HYPERLINK("http://dx.doi.org/10.1111/j.1439-0310.2004.01011.x","http://dx.doi.org/10.1111/j.1439-0310.2004.01011.x")</f>
        <v>http://dx.doi.org/10.1111/j.1439-0310.2004.01011.x</v>
      </c>
      <c r="BG739" s="2" t="s">
        <v>74</v>
      </c>
      <c r="BH739" s="2" t="s">
        <v>74</v>
      </c>
      <c r="BI739" s="2" t="s">
        <v>74</v>
      </c>
      <c r="BJ739" s="2" t="s">
        <v>74</v>
      </c>
      <c r="BK739" s="2" t="s">
        <v>74</v>
      </c>
      <c r="BL739" s="2" t="s">
        <v>74</v>
      </c>
      <c r="BM739" s="2" t="s">
        <v>74</v>
      </c>
      <c r="BN739" s="2" t="s">
        <v>74</v>
      </c>
      <c r="BO739" s="2" t="s">
        <v>74</v>
      </c>
      <c r="BP739" s="2" t="s">
        <v>74</v>
      </c>
      <c r="BQ739" s="2" t="s">
        <v>74</v>
      </c>
      <c r="BR739" s="2" t="s">
        <v>74</v>
      </c>
      <c r="BS739" s="2" t="s">
        <v>7444</v>
      </c>
      <c r="BT739" s="2" t="str">
        <f>HYPERLINK("https%3A%2F%2Fwww.webofscience.com%2Fwos%2Fwoscc%2Ffull-record%2FWOS:000223642800004","View Full Record in Web of Science")</f>
        <v>View Full Record in Web of Science</v>
      </c>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row>
    <row r="740" spans="1:314" s="2" customFormat="1" x14ac:dyDescent="0.4">
      <c r="A740" s="2" t="s">
        <v>72</v>
      </c>
      <c r="B740" s="2" t="s">
        <v>6106</v>
      </c>
      <c r="C740" s="2" t="s">
        <v>74</v>
      </c>
      <c r="D740" s="2" t="s">
        <v>74</v>
      </c>
      <c r="E740" s="2" t="s">
        <v>74</v>
      </c>
      <c r="F740" s="2" t="s">
        <v>6106</v>
      </c>
      <c r="G740" s="2" t="s">
        <v>74</v>
      </c>
      <c r="H740" s="2" t="s">
        <v>74</v>
      </c>
      <c r="I740" s="2" t="s">
        <v>6107</v>
      </c>
      <c r="J740" s="2" t="s">
        <v>333</v>
      </c>
      <c r="K740" s="2" t="s">
        <v>74</v>
      </c>
      <c r="L740" s="2" t="s">
        <v>74</v>
      </c>
      <c r="M740" s="2" t="s">
        <v>74</v>
      </c>
      <c r="N740" s="2" t="s">
        <v>74</v>
      </c>
      <c r="O740" s="2" t="s">
        <v>74</v>
      </c>
      <c r="P740" s="2" t="s">
        <v>74</v>
      </c>
      <c r="Q740" s="2" t="s">
        <v>74</v>
      </c>
      <c r="R740" s="2" t="s">
        <v>74</v>
      </c>
      <c r="S740" s="2" t="s">
        <v>74</v>
      </c>
      <c r="T740" s="2" t="s">
        <v>74</v>
      </c>
      <c r="U740" s="2" t="s">
        <v>74</v>
      </c>
      <c r="V740" s="5" t="s">
        <v>6108</v>
      </c>
      <c r="W740" s="2" t="s">
        <v>74</v>
      </c>
      <c r="X740" s="2" t="s">
        <v>74</v>
      </c>
      <c r="Y740" s="2" t="s">
        <v>74</v>
      </c>
      <c r="Z740" s="2" t="s">
        <v>74</v>
      </c>
      <c r="AA740" s="2" t="s">
        <v>5351</v>
      </c>
      <c r="AB740" s="2" t="s">
        <v>6109</v>
      </c>
      <c r="AC740" s="2" t="s">
        <v>74</v>
      </c>
      <c r="AD740" s="2" t="s">
        <v>74</v>
      </c>
      <c r="AE740" s="2" t="s">
        <v>74</v>
      </c>
      <c r="AF740" s="2" t="s">
        <v>74</v>
      </c>
      <c r="AG740" s="2" t="s">
        <v>74</v>
      </c>
      <c r="AH740" s="2" t="s">
        <v>74</v>
      </c>
      <c r="AI740" s="2" t="s">
        <v>74</v>
      </c>
      <c r="AJ740" s="2" t="s">
        <v>74</v>
      </c>
      <c r="AK740" s="2" t="s">
        <v>74</v>
      </c>
      <c r="AL740" s="2" t="s">
        <v>74</v>
      </c>
      <c r="AM740" s="2" t="s">
        <v>74</v>
      </c>
      <c r="AN740" s="2" t="s">
        <v>74</v>
      </c>
      <c r="AO740" s="2" t="s">
        <v>337</v>
      </c>
      <c r="AP740" s="2" t="s">
        <v>338</v>
      </c>
      <c r="AQ740" s="2" t="s">
        <v>74</v>
      </c>
      <c r="AR740" s="2" t="s">
        <v>74</v>
      </c>
      <c r="AS740" s="2" t="s">
        <v>74</v>
      </c>
      <c r="AT740" s="2" t="s">
        <v>1013</v>
      </c>
      <c r="AU740" s="2">
        <v>2000</v>
      </c>
      <c r="AV740" s="2">
        <v>11</v>
      </c>
      <c r="AW740" s="2">
        <v>5</v>
      </c>
      <c r="AX740" s="2" t="s">
        <v>74</v>
      </c>
      <c r="AY740" s="2" t="s">
        <v>74</v>
      </c>
      <c r="AZ740" s="2" t="s">
        <v>74</v>
      </c>
      <c r="BA740" s="2" t="s">
        <v>74</v>
      </c>
      <c r="BB740" s="2">
        <v>520</v>
      </c>
      <c r="BC740" s="2">
        <v>527</v>
      </c>
      <c r="BD740" s="2" t="s">
        <v>74</v>
      </c>
      <c r="BE740" s="2" t="s">
        <v>6110</v>
      </c>
      <c r="BF740" s="2" t="str">
        <f>HYPERLINK("http://dx.doi.org/10.1093/beheco/11.5.520","http://dx.doi.org/10.1093/beheco/11.5.520")</f>
        <v>http://dx.doi.org/10.1093/beheco/11.5.520</v>
      </c>
      <c r="BG740" s="2" t="s">
        <v>74</v>
      </c>
      <c r="BH740" s="2" t="s">
        <v>74</v>
      </c>
      <c r="BI740" s="2" t="s">
        <v>74</v>
      </c>
      <c r="BJ740" s="2" t="s">
        <v>74</v>
      </c>
      <c r="BK740" s="2" t="s">
        <v>74</v>
      </c>
      <c r="BL740" s="2" t="s">
        <v>74</v>
      </c>
      <c r="BM740" s="2" t="s">
        <v>74</v>
      </c>
      <c r="BN740" s="2" t="s">
        <v>74</v>
      </c>
      <c r="BO740" s="2" t="s">
        <v>74</v>
      </c>
      <c r="BP740" s="2" t="s">
        <v>74</v>
      </c>
      <c r="BQ740" s="2" t="s">
        <v>74</v>
      </c>
      <c r="BR740" s="2" t="s">
        <v>74</v>
      </c>
      <c r="BS740" s="2" t="s">
        <v>6111</v>
      </c>
      <c r="BT740" s="2" t="str">
        <f>HYPERLINK("https%3A%2F%2Fwww.webofscience.com%2Fwos%2Fwoscc%2Ffull-record%2FWOS:000089580100008","View Full Record in Web of Science")</f>
        <v>View Full Record in Web of Science</v>
      </c>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row>
    <row r="741" spans="1:314" s="2" customFormat="1" x14ac:dyDescent="0.4">
      <c r="A741" s="2" t="s">
        <v>72</v>
      </c>
      <c r="B741" s="2" t="s">
        <v>1235</v>
      </c>
      <c r="C741" s="2" t="s">
        <v>74</v>
      </c>
      <c r="D741" s="2" t="s">
        <v>74</v>
      </c>
      <c r="E741" s="2" t="s">
        <v>74</v>
      </c>
      <c r="F741" s="2" t="s">
        <v>1235</v>
      </c>
      <c r="G741" s="2" t="s">
        <v>74</v>
      </c>
      <c r="H741" s="2" t="s">
        <v>74</v>
      </c>
      <c r="I741" s="2" t="s">
        <v>1236</v>
      </c>
      <c r="J741" s="2" t="s">
        <v>1237</v>
      </c>
      <c r="K741" s="2" t="s">
        <v>74</v>
      </c>
      <c r="L741" s="2" t="s">
        <v>74</v>
      </c>
      <c r="M741" s="2" t="s">
        <v>74</v>
      </c>
      <c r="N741" s="2" t="s">
        <v>74</v>
      </c>
      <c r="O741" s="2" t="s">
        <v>74</v>
      </c>
      <c r="P741" s="2" t="s">
        <v>74</v>
      </c>
      <c r="Q741" s="2" t="s">
        <v>74</v>
      </c>
      <c r="R741" s="2" t="s">
        <v>74</v>
      </c>
      <c r="S741" s="2" t="s">
        <v>74</v>
      </c>
      <c r="T741" s="2" t="s">
        <v>74</v>
      </c>
      <c r="U741" s="2" t="s">
        <v>74</v>
      </c>
      <c r="V741" s="5" t="s">
        <v>1238</v>
      </c>
      <c r="W741" s="2" t="s">
        <v>74</v>
      </c>
      <c r="X741" s="2" t="s">
        <v>74</v>
      </c>
      <c r="Y741" s="2" t="s">
        <v>74</v>
      </c>
      <c r="Z741" s="2" t="s">
        <v>74</v>
      </c>
      <c r="AA741" s="2" t="s">
        <v>74</v>
      </c>
      <c r="AB741" s="2" t="s">
        <v>74</v>
      </c>
      <c r="AC741" s="2" t="s">
        <v>74</v>
      </c>
      <c r="AD741" s="2" t="s">
        <v>74</v>
      </c>
      <c r="AE741" s="2" t="s">
        <v>74</v>
      </c>
      <c r="AF741" s="2" t="s">
        <v>74</v>
      </c>
      <c r="AG741" s="2" t="s">
        <v>74</v>
      </c>
      <c r="AH741" s="2" t="s">
        <v>74</v>
      </c>
      <c r="AI741" s="2" t="s">
        <v>74</v>
      </c>
      <c r="AJ741" s="2" t="s">
        <v>74</v>
      </c>
      <c r="AK741" s="2" t="s">
        <v>74</v>
      </c>
      <c r="AL741" s="2" t="s">
        <v>74</v>
      </c>
      <c r="AM741" s="2" t="s">
        <v>74</v>
      </c>
      <c r="AN741" s="2" t="s">
        <v>74</v>
      </c>
      <c r="AO741" s="2" t="s">
        <v>1239</v>
      </c>
      <c r="AP741" s="2" t="s">
        <v>74</v>
      </c>
      <c r="AQ741" s="2" t="s">
        <v>74</v>
      </c>
      <c r="AR741" s="2" t="s">
        <v>74</v>
      </c>
      <c r="AS741" s="2" t="s">
        <v>74</v>
      </c>
      <c r="AT741" s="2" t="s">
        <v>352</v>
      </c>
      <c r="AU741" s="2">
        <v>1996</v>
      </c>
      <c r="AV741" s="2">
        <v>74</v>
      </c>
      <c r="AW741" s="2">
        <v>9</v>
      </c>
      <c r="AX741" s="2" t="s">
        <v>74</v>
      </c>
      <c r="AY741" s="2" t="s">
        <v>74</v>
      </c>
      <c r="AZ741" s="2" t="s">
        <v>74</v>
      </c>
      <c r="BA741" s="2" t="s">
        <v>74</v>
      </c>
      <c r="BB741" s="2">
        <v>1727</v>
      </c>
      <c r="BC741" s="2">
        <v>1733</v>
      </c>
      <c r="BD741" s="2" t="s">
        <v>74</v>
      </c>
      <c r="BE741" s="2" t="s">
        <v>1240</v>
      </c>
      <c r="BF741" s="2" t="str">
        <f>HYPERLINK("http://dx.doi.org/10.1139/z96-191","http://dx.doi.org/10.1139/z96-191")</f>
        <v>http://dx.doi.org/10.1139/z96-191</v>
      </c>
      <c r="BG741" s="2" t="s">
        <v>74</v>
      </c>
      <c r="BH741" s="2" t="s">
        <v>74</v>
      </c>
      <c r="BI741" s="2" t="s">
        <v>74</v>
      </c>
      <c r="BJ741" s="2" t="s">
        <v>74</v>
      </c>
      <c r="BK741" s="2" t="s">
        <v>74</v>
      </c>
      <c r="BL741" s="2" t="s">
        <v>74</v>
      </c>
      <c r="BM741" s="2" t="s">
        <v>74</v>
      </c>
      <c r="BN741" s="2" t="s">
        <v>74</v>
      </c>
      <c r="BO741" s="2" t="s">
        <v>74</v>
      </c>
      <c r="BP741" s="2" t="s">
        <v>74</v>
      </c>
      <c r="BQ741" s="2" t="s">
        <v>74</v>
      </c>
      <c r="BR741" s="2" t="s">
        <v>74</v>
      </c>
      <c r="BS741" s="2" t="s">
        <v>1241</v>
      </c>
      <c r="BT741" s="2" t="str">
        <f>HYPERLINK("https%3A%2F%2Fwww.webofscience.com%2Fwos%2Fwoscc%2Ffull-record%2FWOS:A1996VG77300016","View Full Record in Web of Science")</f>
        <v>View Full Record in Web of Science</v>
      </c>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row>
    <row r="742" spans="1:314" s="2" customFormat="1" x14ac:dyDescent="0.4">
      <c r="A742" s="2" t="s">
        <v>72</v>
      </c>
      <c r="B742" s="2" t="s">
        <v>6245</v>
      </c>
      <c r="C742" s="2" t="s">
        <v>74</v>
      </c>
      <c r="D742" s="2" t="s">
        <v>74</v>
      </c>
      <c r="E742" s="2" t="s">
        <v>74</v>
      </c>
      <c r="F742" s="2" t="s">
        <v>6246</v>
      </c>
      <c r="G742" s="2" t="s">
        <v>74</v>
      </c>
      <c r="H742" s="2" t="s">
        <v>74</v>
      </c>
      <c r="I742" s="2" t="s">
        <v>6247</v>
      </c>
      <c r="J742" s="2" t="s">
        <v>88</v>
      </c>
      <c r="K742" s="2" t="s">
        <v>74</v>
      </c>
      <c r="L742" s="2" t="s">
        <v>74</v>
      </c>
      <c r="M742" s="2" t="s">
        <v>74</v>
      </c>
      <c r="N742" s="2" t="s">
        <v>74</v>
      </c>
      <c r="O742" s="2" t="s">
        <v>74</v>
      </c>
      <c r="P742" s="2" t="s">
        <v>74</v>
      </c>
      <c r="Q742" s="2" t="s">
        <v>74</v>
      </c>
      <c r="R742" s="2" t="s">
        <v>74</v>
      </c>
      <c r="S742" s="2" t="s">
        <v>74</v>
      </c>
      <c r="T742" s="2" t="s">
        <v>74</v>
      </c>
      <c r="U742" s="2" t="s">
        <v>74</v>
      </c>
      <c r="V742" s="5" t="s">
        <v>6248</v>
      </c>
      <c r="W742" s="2" t="s">
        <v>74</v>
      </c>
      <c r="X742" s="2" t="s">
        <v>74</v>
      </c>
      <c r="Y742" s="2" t="s">
        <v>74</v>
      </c>
      <c r="Z742" s="2" t="s">
        <v>74</v>
      </c>
      <c r="AA742" s="2" t="s">
        <v>6249</v>
      </c>
      <c r="AB742" s="2" t="s">
        <v>6250</v>
      </c>
      <c r="AC742" s="2" t="s">
        <v>74</v>
      </c>
      <c r="AD742" s="2" t="s">
        <v>74</v>
      </c>
      <c r="AE742" s="2" t="s">
        <v>74</v>
      </c>
      <c r="AF742" s="2" t="s">
        <v>74</v>
      </c>
      <c r="AG742" s="2" t="s">
        <v>74</v>
      </c>
      <c r="AH742" s="2" t="s">
        <v>74</v>
      </c>
      <c r="AI742" s="2" t="s">
        <v>74</v>
      </c>
      <c r="AJ742" s="2" t="s">
        <v>74</v>
      </c>
      <c r="AK742" s="2" t="s">
        <v>74</v>
      </c>
      <c r="AL742" s="2" t="s">
        <v>74</v>
      </c>
      <c r="AM742" s="2" t="s">
        <v>74</v>
      </c>
      <c r="AN742" s="2" t="s">
        <v>74</v>
      </c>
      <c r="AO742" s="2" t="s">
        <v>91</v>
      </c>
      <c r="AP742" s="2" t="s">
        <v>92</v>
      </c>
      <c r="AQ742" s="2" t="s">
        <v>74</v>
      </c>
      <c r="AR742" s="2" t="s">
        <v>74</v>
      </c>
      <c r="AS742" s="2" t="s">
        <v>74</v>
      </c>
      <c r="AT742" s="2" t="s">
        <v>6251</v>
      </c>
      <c r="AU742" s="2">
        <v>2020</v>
      </c>
      <c r="AV742" s="2">
        <v>16</v>
      </c>
      <c r="AW742" s="2">
        <v>5</v>
      </c>
      <c r="AX742" s="2" t="s">
        <v>74</v>
      </c>
      <c r="AY742" s="2" t="s">
        <v>74</v>
      </c>
      <c r="AZ742" s="2" t="s">
        <v>74</v>
      </c>
      <c r="BA742" s="2" t="s">
        <v>74</v>
      </c>
      <c r="BB742" s="2" t="s">
        <v>74</v>
      </c>
      <c r="BC742" s="2" t="s">
        <v>74</v>
      </c>
      <c r="BD742" s="2" t="s">
        <v>74</v>
      </c>
      <c r="BE742" s="2" t="s">
        <v>6252</v>
      </c>
      <c r="BF742" s="2" t="str">
        <f>HYPERLINK("http://dx.doi.org/10.1098/rsbl.2019.0870","http://dx.doi.org/10.1098/rsbl.2019.0870")</f>
        <v>http://dx.doi.org/10.1098/rsbl.2019.0870</v>
      </c>
      <c r="BG742" s="2" t="s">
        <v>74</v>
      </c>
      <c r="BH742" s="2" t="s">
        <v>74</v>
      </c>
      <c r="BI742" s="2" t="s">
        <v>74</v>
      </c>
      <c r="BJ742" s="2" t="s">
        <v>74</v>
      </c>
      <c r="BK742" s="2" t="s">
        <v>74</v>
      </c>
      <c r="BL742" s="2" t="s">
        <v>74</v>
      </c>
      <c r="BM742" s="2" t="s">
        <v>74</v>
      </c>
      <c r="BN742" s="2">
        <v>32396786</v>
      </c>
      <c r="BO742" s="2" t="s">
        <v>74</v>
      </c>
      <c r="BP742" s="2" t="s">
        <v>74</v>
      </c>
      <c r="BQ742" s="2" t="s">
        <v>74</v>
      </c>
      <c r="BR742" s="2" t="s">
        <v>74</v>
      </c>
      <c r="BS742" s="2" t="s">
        <v>6253</v>
      </c>
      <c r="BT742" s="2" t="str">
        <f>HYPERLINK("https%3A%2F%2Fwww.webofscience.com%2Fwos%2Fwoscc%2Ffull-record%2FWOS:000535684800001","View Full Record in Web of Science")</f>
        <v>View Full Record in Web of Science</v>
      </c>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row>
    <row r="743" spans="1:314" s="2" customFormat="1" x14ac:dyDescent="0.4">
      <c r="A743" s="2" t="s">
        <v>72</v>
      </c>
      <c r="B743" s="2" t="s">
        <v>2685</v>
      </c>
      <c r="C743" s="2" t="s">
        <v>74</v>
      </c>
      <c r="D743" s="2" t="s">
        <v>74</v>
      </c>
      <c r="E743" s="2" t="s">
        <v>74</v>
      </c>
      <c r="F743" s="2" t="s">
        <v>2685</v>
      </c>
      <c r="G743" s="2" t="s">
        <v>74</v>
      </c>
      <c r="H743" s="2" t="s">
        <v>74</v>
      </c>
      <c r="I743" s="2" t="s">
        <v>2686</v>
      </c>
      <c r="J743" s="2" t="s">
        <v>1237</v>
      </c>
      <c r="K743" s="2" t="s">
        <v>74</v>
      </c>
      <c r="L743" s="2" t="s">
        <v>74</v>
      </c>
      <c r="M743" s="2" t="s">
        <v>74</v>
      </c>
      <c r="N743" s="2" t="s">
        <v>74</v>
      </c>
      <c r="O743" s="2" t="s">
        <v>74</v>
      </c>
      <c r="P743" s="2" t="s">
        <v>74</v>
      </c>
      <c r="Q743" s="2" t="s">
        <v>74</v>
      </c>
      <c r="R743" s="2" t="s">
        <v>74</v>
      </c>
      <c r="S743" s="2" t="s">
        <v>74</v>
      </c>
      <c r="T743" s="2" t="s">
        <v>74</v>
      </c>
      <c r="U743" s="2" t="s">
        <v>74</v>
      </c>
      <c r="V743" s="5" t="s">
        <v>2687</v>
      </c>
      <c r="W743" s="2" t="s">
        <v>74</v>
      </c>
      <c r="X743" s="2" t="s">
        <v>74</v>
      </c>
      <c r="Y743" s="2" t="s">
        <v>74</v>
      </c>
      <c r="Z743" s="2" t="s">
        <v>74</v>
      </c>
      <c r="AA743" s="2" t="s">
        <v>74</v>
      </c>
      <c r="AB743" s="2" t="s">
        <v>74</v>
      </c>
      <c r="AC743" s="2" t="s">
        <v>74</v>
      </c>
      <c r="AD743" s="2" t="s">
        <v>74</v>
      </c>
      <c r="AE743" s="2" t="s">
        <v>74</v>
      </c>
      <c r="AF743" s="2" t="s">
        <v>74</v>
      </c>
      <c r="AG743" s="2" t="s">
        <v>74</v>
      </c>
      <c r="AH743" s="2" t="s">
        <v>74</v>
      </c>
      <c r="AI743" s="2" t="s">
        <v>74</v>
      </c>
      <c r="AJ743" s="2" t="s">
        <v>74</v>
      </c>
      <c r="AK743" s="2" t="s">
        <v>74</v>
      </c>
      <c r="AL743" s="2" t="s">
        <v>74</v>
      </c>
      <c r="AM743" s="2" t="s">
        <v>74</v>
      </c>
      <c r="AN743" s="2" t="s">
        <v>74</v>
      </c>
      <c r="AO743" s="2" t="s">
        <v>1239</v>
      </c>
      <c r="AP743" s="2" t="s">
        <v>74</v>
      </c>
      <c r="AQ743" s="2" t="s">
        <v>74</v>
      </c>
      <c r="AR743" s="2" t="s">
        <v>74</v>
      </c>
      <c r="AS743" s="2" t="s">
        <v>74</v>
      </c>
      <c r="AT743" s="2" t="s">
        <v>102</v>
      </c>
      <c r="AU743" s="2">
        <v>1993</v>
      </c>
      <c r="AV743" s="2">
        <v>71</v>
      </c>
      <c r="AW743" s="2">
        <v>6</v>
      </c>
      <c r="AX743" s="2" t="s">
        <v>74</v>
      </c>
      <c r="AY743" s="2" t="s">
        <v>74</v>
      </c>
      <c r="AZ743" s="2" t="s">
        <v>74</v>
      </c>
      <c r="BA743" s="2" t="s">
        <v>74</v>
      </c>
      <c r="BB743" s="2">
        <v>1111</v>
      </c>
      <c r="BC743" s="2">
        <v>1119</v>
      </c>
      <c r="BD743" s="2" t="s">
        <v>74</v>
      </c>
      <c r="BE743" s="2" t="s">
        <v>2688</v>
      </c>
      <c r="BF743" s="2" t="str">
        <f>HYPERLINK("http://dx.doi.org/10.1139/z93-151","http://dx.doi.org/10.1139/z93-151")</f>
        <v>http://dx.doi.org/10.1139/z93-151</v>
      </c>
      <c r="BG743" s="2" t="s">
        <v>74</v>
      </c>
      <c r="BH743" s="2" t="s">
        <v>74</v>
      </c>
      <c r="BI743" s="2" t="s">
        <v>74</v>
      </c>
      <c r="BJ743" s="2" t="s">
        <v>74</v>
      </c>
      <c r="BK743" s="2" t="s">
        <v>74</v>
      </c>
      <c r="BL743" s="2" t="s">
        <v>74</v>
      </c>
      <c r="BM743" s="2" t="s">
        <v>74</v>
      </c>
      <c r="BN743" s="2" t="s">
        <v>74</v>
      </c>
      <c r="BO743" s="2" t="s">
        <v>74</v>
      </c>
      <c r="BP743" s="2" t="s">
        <v>74</v>
      </c>
      <c r="BQ743" s="2" t="s">
        <v>74</v>
      </c>
      <c r="BR743" s="2" t="s">
        <v>74</v>
      </c>
      <c r="BS743" s="2" t="s">
        <v>2689</v>
      </c>
      <c r="BT743" s="2" t="str">
        <f>HYPERLINK("https%3A%2F%2Fwww.webofscience.com%2Fwos%2Fwoscc%2Ffull-record%2FWOS:A1993LU73200007","View Full Record in Web of Science")</f>
        <v>View Full Record in Web of Science</v>
      </c>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row>
    <row r="744" spans="1:314" s="2" customFormat="1" x14ac:dyDescent="0.4">
      <c r="A744" s="2" t="s">
        <v>72</v>
      </c>
      <c r="B744" s="2" t="s">
        <v>2685</v>
      </c>
      <c r="C744" s="2" t="s">
        <v>74</v>
      </c>
      <c r="D744" s="2" t="s">
        <v>74</v>
      </c>
      <c r="E744" s="2" t="s">
        <v>74</v>
      </c>
      <c r="F744" s="2" t="s">
        <v>2685</v>
      </c>
      <c r="G744" s="2" t="s">
        <v>74</v>
      </c>
      <c r="H744" s="2" t="s">
        <v>74</v>
      </c>
      <c r="I744" s="2" t="s">
        <v>3634</v>
      </c>
      <c r="J744" s="2" t="s">
        <v>1673</v>
      </c>
      <c r="K744" s="2" t="s">
        <v>74</v>
      </c>
      <c r="L744" s="2" t="s">
        <v>74</v>
      </c>
      <c r="M744" s="2" t="s">
        <v>74</v>
      </c>
      <c r="N744" s="2" t="s">
        <v>74</v>
      </c>
      <c r="O744" s="2" t="s">
        <v>74</v>
      </c>
      <c r="P744" s="2" t="s">
        <v>74</v>
      </c>
      <c r="Q744" s="2" t="s">
        <v>74</v>
      </c>
      <c r="R744" s="2" t="s">
        <v>74</v>
      </c>
      <c r="S744" s="2" t="s">
        <v>74</v>
      </c>
      <c r="T744" s="2" t="s">
        <v>74</v>
      </c>
      <c r="U744" s="2" t="s">
        <v>74</v>
      </c>
      <c r="V744" s="5" t="s">
        <v>3635</v>
      </c>
      <c r="W744" s="2" t="s">
        <v>74</v>
      </c>
      <c r="X744" s="2" t="s">
        <v>74</v>
      </c>
      <c r="Y744" s="2" t="s">
        <v>74</v>
      </c>
      <c r="Z744" s="2" t="s">
        <v>74</v>
      </c>
      <c r="AA744" s="2" t="s">
        <v>74</v>
      </c>
      <c r="AB744" s="2" t="s">
        <v>74</v>
      </c>
      <c r="AC744" s="2" t="s">
        <v>74</v>
      </c>
      <c r="AD744" s="2" t="s">
        <v>74</v>
      </c>
      <c r="AE744" s="2" t="s">
        <v>74</v>
      </c>
      <c r="AF744" s="2" t="s">
        <v>74</v>
      </c>
      <c r="AG744" s="2" t="s">
        <v>74</v>
      </c>
      <c r="AH744" s="2" t="s">
        <v>74</v>
      </c>
      <c r="AI744" s="2" t="s">
        <v>74</v>
      </c>
      <c r="AJ744" s="2" t="s">
        <v>74</v>
      </c>
      <c r="AK744" s="2" t="s">
        <v>74</v>
      </c>
      <c r="AL744" s="2" t="s">
        <v>74</v>
      </c>
      <c r="AM744" s="2" t="s">
        <v>74</v>
      </c>
      <c r="AN744" s="2" t="s">
        <v>74</v>
      </c>
      <c r="AO744" s="2" t="s">
        <v>1239</v>
      </c>
      <c r="AP744" s="2" t="s">
        <v>1675</v>
      </c>
      <c r="AQ744" s="2" t="s">
        <v>74</v>
      </c>
      <c r="AR744" s="2" t="s">
        <v>74</v>
      </c>
      <c r="AS744" s="2" t="s">
        <v>74</v>
      </c>
      <c r="AT744" s="2" t="s">
        <v>255</v>
      </c>
      <c r="AU744" s="2">
        <v>1994</v>
      </c>
      <c r="AV744" s="2">
        <v>72</v>
      </c>
      <c r="AW744" s="2">
        <v>1</v>
      </c>
      <c r="AX744" s="2" t="s">
        <v>74</v>
      </c>
      <c r="AY744" s="2" t="s">
        <v>74</v>
      </c>
      <c r="AZ744" s="2" t="s">
        <v>74</v>
      </c>
      <c r="BA744" s="2" t="s">
        <v>74</v>
      </c>
      <c r="BB744" s="2">
        <v>144</v>
      </c>
      <c r="BC744" s="2">
        <v>153</v>
      </c>
      <c r="BD744" s="2" t="s">
        <v>74</v>
      </c>
      <c r="BE744" s="2" t="s">
        <v>3636</v>
      </c>
      <c r="BF744" s="2" t="str">
        <f>HYPERLINK("http://dx.doi.org/10.1139/z94-018","http://dx.doi.org/10.1139/z94-018")</f>
        <v>http://dx.doi.org/10.1139/z94-018</v>
      </c>
      <c r="BG744" s="2" t="s">
        <v>74</v>
      </c>
      <c r="BH744" s="2" t="s">
        <v>74</v>
      </c>
      <c r="BI744" s="2" t="s">
        <v>74</v>
      </c>
      <c r="BJ744" s="2" t="s">
        <v>74</v>
      </c>
      <c r="BK744" s="2" t="s">
        <v>74</v>
      </c>
      <c r="BL744" s="2" t="s">
        <v>74</v>
      </c>
      <c r="BM744" s="2" t="s">
        <v>74</v>
      </c>
      <c r="BN744" s="2" t="s">
        <v>74</v>
      </c>
      <c r="BO744" s="2" t="s">
        <v>74</v>
      </c>
      <c r="BP744" s="2" t="s">
        <v>74</v>
      </c>
      <c r="BQ744" s="2" t="s">
        <v>74</v>
      </c>
      <c r="BR744" s="2" t="s">
        <v>74</v>
      </c>
      <c r="BS744" s="2" t="s">
        <v>3637</v>
      </c>
      <c r="BT744" s="2" t="str">
        <f>HYPERLINK("https%3A%2F%2Fwww.webofscience.com%2Fwos%2Fwoscc%2Ffull-record%2FWOS:A1994NK85100018","View Full Record in Web of Science")</f>
        <v>View Full Record in Web of Science</v>
      </c>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row>
    <row r="745" spans="1:314" s="2" customFormat="1" x14ac:dyDescent="0.4">
      <c r="A745" s="2" t="s">
        <v>72</v>
      </c>
      <c r="B745" s="2" t="s">
        <v>2685</v>
      </c>
      <c r="C745" s="2" t="s">
        <v>74</v>
      </c>
      <c r="D745" s="2" t="s">
        <v>74</v>
      </c>
      <c r="E745" s="2" t="s">
        <v>74</v>
      </c>
      <c r="F745" s="2" t="s">
        <v>2685</v>
      </c>
      <c r="G745" s="2" t="s">
        <v>74</v>
      </c>
      <c r="H745" s="2" t="s">
        <v>74</v>
      </c>
      <c r="I745" s="2" t="s">
        <v>4476</v>
      </c>
      <c r="J745" s="2" t="s">
        <v>140</v>
      </c>
      <c r="K745" s="2" t="s">
        <v>74</v>
      </c>
      <c r="L745" s="2" t="s">
        <v>74</v>
      </c>
      <c r="M745" s="2" t="s">
        <v>74</v>
      </c>
      <c r="N745" s="2" t="s">
        <v>74</v>
      </c>
      <c r="O745" s="2" t="s">
        <v>74</v>
      </c>
      <c r="P745" s="2" t="s">
        <v>74</v>
      </c>
      <c r="Q745" s="2" t="s">
        <v>74</v>
      </c>
      <c r="R745" s="2" t="s">
        <v>74</v>
      </c>
      <c r="S745" s="2" t="s">
        <v>74</v>
      </c>
      <c r="T745" s="2" t="s">
        <v>74</v>
      </c>
      <c r="U745" s="2" t="s">
        <v>74</v>
      </c>
      <c r="V745" s="5" t="s">
        <v>4477</v>
      </c>
      <c r="W745" s="2" t="s">
        <v>74</v>
      </c>
      <c r="X745" s="2" t="s">
        <v>74</v>
      </c>
      <c r="Y745" s="2" t="s">
        <v>74</v>
      </c>
      <c r="Z745" s="2" t="s">
        <v>74</v>
      </c>
      <c r="AA745" s="2" t="s">
        <v>74</v>
      </c>
      <c r="AB745" s="2" t="s">
        <v>74</v>
      </c>
      <c r="AC745" s="2" t="s">
        <v>74</v>
      </c>
      <c r="AD745" s="2" t="s">
        <v>74</v>
      </c>
      <c r="AE745" s="2" t="s">
        <v>74</v>
      </c>
      <c r="AF745" s="2" t="s">
        <v>74</v>
      </c>
      <c r="AG745" s="2" t="s">
        <v>74</v>
      </c>
      <c r="AH745" s="2" t="s">
        <v>74</v>
      </c>
      <c r="AI745" s="2" t="s">
        <v>74</v>
      </c>
      <c r="AJ745" s="2" t="s">
        <v>74</v>
      </c>
      <c r="AK745" s="2" t="s">
        <v>74</v>
      </c>
      <c r="AL745" s="2" t="s">
        <v>74</v>
      </c>
      <c r="AM745" s="2" t="s">
        <v>74</v>
      </c>
      <c r="AN745" s="2" t="s">
        <v>74</v>
      </c>
      <c r="AO745" s="2" t="s">
        <v>143</v>
      </c>
      <c r="AP745" s="2" t="s">
        <v>74</v>
      </c>
      <c r="AQ745" s="2" t="s">
        <v>74</v>
      </c>
      <c r="AR745" s="2" t="s">
        <v>74</v>
      </c>
      <c r="AS745" s="2" t="s">
        <v>74</v>
      </c>
      <c r="AT745" s="2" t="s">
        <v>204</v>
      </c>
      <c r="AU745" s="2">
        <v>1995</v>
      </c>
      <c r="AV745" s="2">
        <v>50</v>
      </c>
      <c r="AW745" s="2" t="s">
        <v>74</v>
      </c>
      <c r="AX745" s="2">
        <v>1</v>
      </c>
      <c r="AY745" s="2" t="s">
        <v>74</v>
      </c>
      <c r="AZ745" s="2" t="s">
        <v>74</v>
      </c>
      <c r="BA745" s="2" t="s">
        <v>74</v>
      </c>
      <c r="BB745" s="2">
        <v>213</v>
      </c>
      <c r="BC745" s="2">
        <v>221</v>
      </c>
      <c r="BD745" s="2" t="s">
        <v>74</v>
      </c>
      <c r="BE745" s="2" t="s">
        <v>4478</v>
      </c>
      <c r="BF745" s="2" t="str">
        <f>HYPERLINK("http://dx.doi.org/10.1006/anbe.1995.0233","http://dx.doi.org/10.1006/anbe.1995.0233")</f>
        <v>http://dx.doi.org/10.1006/anbe.1995.0233</v>
      </c>
      <c r="BG745" s="2" t="s">
        <v>74</v>
      </c>
      <c r="BH745" s="2" t="s">
        <v>74</v>
      </c>
      <c r="BI745" s="2" t="s">
        <v>74</v>
      </c>
      <c r="BJ745" s="2" t="s">
        <v>74</v>
      </c>
      <c r="BK745" s="2" t="s">
        <v>74</v>
      </c>
      <c r="BL745" s="2" t="s">
        <v>74</v>
      </c>
      <c r="BM745" s="2" t="s">
        <v>74</v>
      </c>
      <c r="BN745" s="2" t="s">
        <v>74</v>
      </c>
      <c r="BO745" s="2" t="s">
        <v>74</v>
      </c>
      <c r="BP745" s="2" t="s">
        <v>74</v>
      </c>
      <c r="BQ745" s="2" t="s">
        <v>74</v>
      </c>
      <c r="BR745" s="2" t="s">
        <v>74</v>
      </c>
      <c r="BS745" s="2" t="s">
        <v>4479</v>
      </c>
      <c r="BT745" s="2" t="str">
        <f>HYPERLINK("https%3A%2F%2Fwww.webofscience.com%2Fwos%2Fwoscc%2Ffull-record%2FWOS:A1995RM19000020","View Full Record in Web of Science")</f>
        <v>View Full Record in Web of Science</v>
      </c>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row>
    <row r="746" spans="1:314" s="2" customFormat="1" x14ac:dyDescent="0.4">
      <c r="A746" s="2" t="s">
        <v>72</v>
      </c>
      <c r="B746" s="2" t="s">
        <v>2307</v>
      </c>
      <c r="C746" s="2" t="s">
        <v>74</v>
      </c>
      <c r="D746" s="2" t="s">
        <v>74</v>
      </c>
      <c r="E746" s="2" t="s">
        <v>74</v>
      </c>
      <c r="F746" s="2" t="s">
        <v>2308</v>
      </c>
      <c r="G746" s="2" t="s">
        <v>74</v>
      </c>
      <c r="H746" s="2" t="s">
        <v>74</v>
      </c>
      <c r="I746" s="2" t="s">
        <v>2309</v>
      </c>
      <c r="J746" s="2" t="s">
        <v>2310</v>
      </c>
      <c r="K746" s="2" t="s">
        <v>74</v>
      </c>
      <c r="L746" s="2" t="s">
        <v>74</v>
      </c>
      <c r="M746" s="2" t="s">
        <v>74</v>
      </c>
      <c r="N746" s="2" t="s">
        <v>74</v>
      </c>
      <c r="O746" s="2" t="s">
        <v>74</v>
      </c>
      <c r="P746" s="2" t="s">
        <v>74</v>
      </c>
      <c r="Q746" s="2" t="s">
        <v>74</v>
      </c>
      <c r="R746" s="2" t="s">
        <v>74</v>
      </c>
      <c r="S746" s="2" t="s">
        <v>74</v>
      </c>
      <c r="T746" s="2" t="s">
        <v>74</v>
      </c>
      <c r="U746" s="2" t="s">
        <v>74</v>
      </c>
      <c r="V746" s="5" t="s">
        <v>2311</v>
      </c>
      <c r="W746" s="2" t="s">
        <v>74</v>
      </c>
      <c r="X746" s="2" t="s">
        <v>74</v>
      </c>
      <c r="Y746" s="2" t="s">
        <v>74</v>
      </c>
      <c r="Z746" s="2" t="s">
        <v>74</v>
      </c>
      <c r="AA746" s="2" t="s">
        <v>74</v>
      </c>
      <c r="AB746" s="2" t="s">
        <v>2312</v>
      </c>
      <c r="AC746" s="2" t="s">
        <v>74</v>
      </c>
      <c r="AD746" s="2" t="s">
        <v>74</v>
      </c>
      <c r="AE746" s="2" t="s">
        <v>74</v>
      </c>
      <c r="AF746" s="2" t="s">
        <v>74</v>
      </c>
      <c r="AG746" s="2" t="s">
        <v>74</v>
      </c>
      <c r="AH746" s="2" t="s">
        <v>74</v>
      </c>
      <c r="AI746" s="2" t="s">
        <v>74</v>
      </c>
      <c r="AJ746" s="2" t="s">
        <v>74</v>
      </c>
      <c r="AK746" s="2" t="s">
        <v>74</v>
      </c>
      <c r="AL746" s="2" t="s">
        <v>74</v>
      </c>
      <c r="AM746" s="2" t="s">
        <v>74</v>
      </c>
      <c r="AN746" s="2" t="s">
        <v>74</v>
      </c>
      <c r="AO746" s="2" t="s">
        <v>2313</v>
      </c>
      <c r="AP746" s="2" t="s">
        <v>74</v>
      </c>
      <c r="AQ746" s="2" t="s">
        <v>74</v>
      </c>
      <c r="AR746" s="2" t="s">
        <v>74</v>
      </c>
      <c r="AS746" s="2" t="s">
        <v>74</v>
      </c>
      <c r="AT746" s="2" t="s">
        <v>123</v>
      </c>
      <c r="AU746" s="2">
        <v>2012</v>
      </c>
      <c r="AV746" s="2">
        <v>46</v>
      </c>
      <c r="AW746" s="2">
        <v>1</v>
      </c>
      <c r="AX746" s="2" t="s">
        <v>74</v>
      </c>
      <c r="AY746" s="2" t="s">
        <v>74</v>
      </c>
      <c r="AZ746" s="2" t="s">
        <v>74</v>
      </c>
      <c r="BA746" s="2" t="s">
        <v>74</v>
      </c>
      <c r="BB746" s="2">
        <v>111</v>
      </c>
      <c r="BC746" s="2">
        <v>123</v>
      </c>
      <c r="BD746" s="2" t="s">
        <v>74</v>
      </c>
      <c r="BE746" s="2" t="s">
        <v>2314</v>
      </c>
      <c r="BF746" s="2" t="str">
        <f>HYPERLINK("http://dx.doi.org/10.1080/00288330.2011.608687","http://dx.doi.org/10.1080/00288330.2011.608687")</f>
        <v>http://dx.doi.org/10.1080/00288330.2011.608687</v>
      </c>
      <c r="BG746" s="2" t="s">
        <v>74</v>
      </c>
      <c r="BH746" s="2" t="s">
        <v>74</v>
      </c>
      <c r="BI746" s="2" t="s">
        <v>74</v>
      </c>
      <c r="BJ746" s="2" t="s">
        <v>74</v>
      </c>
      <c r="BK746" s="2" t="s">
        <v>74</v>
      </c>
      <c r="BL746" s="2" t="s">
        <v>74</v>
      </c>
      <c r="BM746" s="2" t="s">
        <v>74</v>
      </c>
      <c r="BN746" s="2" t="s">
        <v>74</v>
      </c>
      <c r="BO746" s="2" t="s">
        <v>74</v>
      </c>
      <c r="BP746" s="2" t="s">
        <v>74</v>
      </c>
      <c r="BQ746" s="2" t="s">
        <v>74</v>
      </c>
      <c r="BR746" s="2" t="s">
        <v>74</v>
      </c>
      <c r="BS746" s="2" t="s">
        <v>2315</v>
      </c>
      <c r="BT746" s="2" t="str">
        <f>HYPERLINK("https%3A%2F%2Fwww.webofscience.com%2Fwos%2Fwoscc%2Ffull-record%2FWOS:000304675700010","View Full Record in Web of Science")</f>
        <v>View Full Record in Web of Science</v>
      </c>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row>
    <row r="747" spans="1:314" s="2" customFormat="1" x14ac:dyDescent="0.4">
      <c r="A747" s="2" t="s">
        <v>72</v>
      </c>
      <c r="B747" s="2" t="s">
        <v>4341</v>
      </c>
      <c r="C747" s="2" t="s">
        <v>74</v>
      </c>
      <c r="D747" s="2" t="s">
        <v>74</v>
      </c>
      <c r="E747" s="2" t="s">
        <v>74</v>
      </c>
      <c r="F747" s="2" t="s">
        <v>4342</v>
      </c>
      <c r="G747" s="2" t="s">
        <v>74</v>
      </c>
      <c r="H747" s="2" t="s">
        <v>74</v>
      </c>
      <c r="I747" s="2" t="s">
        <v>4343</v>
      </c>
      <c r="J747" s="2" t="s">
        <v>814</v>
      </c>
      <c r="K747" s="2" t="s">
        <v>74</v>
      </c>
      <c r="L747" s="2" t="s">
        <v>74</v>
      </c>
      <c r="M747" s="2" t="s">
        <v>74</v>
      </c>
      <c r="N747" s="2" t="s">
        <v>74</v>
      </c>
      <c r="O747" s="2" t="s">
        <v>74</v>
      </c>
      <c r="P747" s="2" t="s">
        <v>74</v>
      </c>
      <c r="Q747" s="2" t="s">
        <v>74</v>
      </c>
      <c r="R747" s="2" t="s">
        <v>74</v>
      </c>
      <c r="S747" s="2" t="s">
        <v>74</v>
      </c>
      <c r="T747" s="2" t="s">
        <v>74</v>
      </c>
      <c r="U747" s="2" t="s">
        <v>74</v>
      </c>
      <c r="V747" s="5" t="s">
        <v>4344</v>
      </c>
      <c r="W747" s="2" t="s">
        <v>74</v>
      </c>
      <c r="X747" s="2" t="s">
        <v>74</v>
      </c>
      <c r="Y747" s="2" t="s">
        <v>74</v>
      </c>
      <c r="Z747" s="2" t="s">
        <v>74</v>
      </c>
      <c r="AA747" s="2" t="s">
        <v>4345</v>
      </c>
      <c r="AB747" s="2" t="s">
        <v>4346</v>
      </c>
      <c r="AC747" s="2" t="s">
        <v>74</v>
      </c>
      <c r="AD747" s="2" t="s">
        <v>74</v>
      </c>
      <c r="AE747" s="2" t="s">
        <v>74</v>
      </c>
      <c r="AF747" s="2" t="s">
        <v>74</v>
      </c>
      <c r="AG747" s="2" t="s">
        <v>74</v>
      </c>
      <c r="AH747" s="2" t="s">
        <v>74</v>
      </c>
      <c r="AI747" s="2" t="s">
        <v>74</v>
      </c>
      <c r="AJ747" s="2" t="s">
        <v>74</v>
      </c>
      <c r="AK747" s="2" t="s">
        <v>74</v>
      </c>
      <c r="AL747" s="2" t="s">
        <v>74</v>
      </c>
      <c r="AM747" s="2" t="s">
        <v>74</v>
      </c>
      <c r="AN747" s="2" t="s">
        <v>74</v>
      </c>
      <c r="AO747" s="2" t="s">
        <v>818</v>
      </c>
      <c r="AP747" s="2" t="s">
        <v>1505</v>
      </c>
      <c r="AQ747" s="2" t="s">
        <v>74</v>
      </c>
      <c r="AR747" s="2" t="s">
        <v>74</v>
      </c>
      <c r="AS747" s="2" t="s">
        <v>74</v>
      </c>
      <c r="AT747" s="2" t="s">
        <v>74</v>
      </c>
      <c r="AU747" s="2">
        <v>2009</v>
      </c>
      <c r="AV747" s="2">
        <v>112</v>
      </c>
      <c r="AW747" s="2">
        <v>3</v>
      </c>
      <c r="AX747" s="2" t="s">
        <v>74</v>
      </c>
      <c r="AY747" s="2" t="s">
        <v>74</v>
      </c>
      <c r="AZ747" s="2" t="s">
        <v>74</v>
      </c>
      <c r="BA747" s="2" t="s">
        <v>74</v>
      </c>
      <c r="BB747" s="2">
        <v>217</v>
      </c>
      <c r="BC747" s="2">
        <v>226</v>
      </c>
      <c r="BD747" s="2" t="s">
        <v>74</v>
      </c>
      <c r="BE747" s="2" t="s">
        <v>4347</v>
      </c>
      <c r="BF747" s="2" t="str">
        <f>HYPERLINK("http://dx.doi.org/10.1016/j.zool.2008.09.005","http://dx.doi.org/10.1016/j.zool.2008.09.005")</f>
        <v>http://dx.doi.org/10.1016/j.zool.2008.09.005</v>
      </c>
      <c r="BG747" s="2" t="s">
        <v>74</v>
      </c>
      <c r="BH747" s="2" t="s">
        <v>74</v>
      </c>
      <c r="BI747" s="2" t="s">
        <v>74</v>
      </c>
      <c r="BJ747" s="2" t="s">
        <v>74</v>
      </c>
      <c r="BK747" s="2" t="s">
        <v>74</v>
      </c>
      <c r="BL747" s="2" t="s">
        <v>74</v>
      </c>
      <c r="BM747" s="2" t="s">
        <v>74</v>
      </c>
      <c r="BN747" s="2">
        <v>19230632</v>
      </c>
      <c r="BO747" s="2" t="s">
        <v>74</v>
      </c>
      <c r="BP747" s="2" t="s">
        <v>74</v>
      </c>
      <c r="BQ747" s="2" t="s">
        <v>74</v>
      </c>
      <c r="BR747" s="2" t="s">
        <v>74</v>
      </c>
      <c r="BS747" s="2" t="s">
        <v>4348</v>
      </c>
      <c r="BT747" s="2" t="str">
        <f>HYPERLINK("https%3A%2F%2Fwww.webofscience.com%2Fwos%2Fwoscc%2Ffull-record%2FWOS:000265663200006","View Full Record in Web of Science")</f>
        <v>View Full Record in Web of Science</v>
      </c>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row>
    <row r="748" spans="1:314" s="7" customFormat="1" x14ac:dyDescent="0.4">
      <c r="A748" s="2" t="s">
        <v>72</v>
      </c>
      <c r="B748" s="2" t="s">
        <v>3361</v>
      </c>
      <c r="C748" s="2" t="s">
        <v>74</v>
      </c>
      <c r="D748" s="2" t="s">
        <v>74</v>
      </c>
      <c r="E748" s="2" t="s">
        <v>74</v>
      </c>
      <c r="F748" s="2" t="s">
        <v>3361</v>
      </c>
      <c r="G748" s="2" t="s">
        <v>74</v>
      </c>
      <c r="H748" s="2" t="s">
        <v>74</v>
      </c>
      <c r="I748" s="2" t="s">
        <v>3362</v>
      </c>
      <c r="J748" s="2" t="s">
        <v>3363</v>
      </c>
      <c r="K748" s="2" t="s">
        <v>74</v>
      </c>
      <c r="L748" s="2" t="s">
        <v>74</v>
      </c>
      <c r="M748" s="2" t="s">
        <v>74</v>
      </c>
      <c r="N748" s="2" t="s">
        <v>74</v>
      </c>
      <c r="O748" s="2" t="s">
        <v>74</v>
      </c>
      <c r="P748" s="2" t="s">
        <v>74</v>
      </c>
      <c r="Q748" s="2" t="s">
        <v>74</v>
      </c>
      <c r="R748" s="2" t="s">
        <v>74</v>
      </c>
      <c r="S748" s="2" t="s">
        <v>74</v>
      </c>
      <c r="T748" s="2" t="s">
        <v>74</v>
      </c>
      <c r="U748" s="2" t="s">
        <v>74</v>
      </c>
      <c r="V748" s="5" t="s">
        <v>3364</v>
      </c>
      <c r="W748" s="2" t="s">
        <v>74</v>
      </c>
      <c r="X748" s="2" t="s">
        <v>74</v>
      </c>
      <c r="Y748" s="2" t="s">
        <v>74</v>
      </c>
      <c r="Z748" s="2" t="s">
        <v>74</v>
      </c>
      <c r="AA748" s="2" t="s">
        <v>74</v>
      </c>
      <c r="AB748" s="2" t="s">
        <v>74</v>
      </c>
      <c r="AC748" s="2" t="s">
        <v>74</v>
      </c>
      <c r="AD748" s="2" t="s">
        <v>74</v>
      </c>
      <c r="AE748" s="2" t="s">
        <v>74</v>
      </c>
      <c r="AF748" s="2" t="s">
        <v>74</v>
      </c>
      <c r="AG748" s="2" t="s">
        <v>74</v>
      </c>
      <c r="AH748" s="2" t="s">
        <v>74</v>
      </c>
      <c r="AI748" s="2" t="s">
        <v>74</v>
      </c>
      <c r="AJ748" s="2" t="s">
        <v>74</v>
      </c>
      <c r="AK748" s="2" t="s">
        <v>74</v>
      </c>
      <c r="AL748" s="2" t="s">
        <v>74</v>
      </c>
      <c r="AM748" s="2" t="s">
        <v>74</v>
      </c>
      <c r="AN748" s="2" t="s">
        <v>74</v>
      </c>
      <c r="AO748" s="2" t="s">
        <v>3365</v>
      </c>
      <c r="AP748" s="2" t="s">
        <v>3366</v>
      </c>
      <c r="AQ748" s="2" t="s">
        <v>74</v>
      </c>
      <c r="AR748" s="2" t="s">
        <v>74</v>
      </c>
      <c r="AS748" s="2" t="s">
        <v>74</v>
      </c>
      <c r="AT748" s="2" t="s">
        <v>74</v>
      </c>
      <c r="AU748" s="2">
        <v>1979</v>
      </c>
      <c r="AV748" s="2">
        <v>50</v>
      </c>
      <c r="AW748" s="2">
        <v>2</v>
      </c>
      <c r="AX748" s="2" t="s">
        <v>74</v>
      </c>
      <c r="AY748" s="2" t="s">
        <v>74</v>
      </c>
      <c r="AZ748" s="2" t="s">
        <v>74</v>
      </c>
      <c r="BA748" s="2" t="s">
        <v>74</v>
      </c>
      <c r="BB748" s="2">
        <v>97</v>
      </c>
      <c r="BC748" s="2">
        <v>99</v>
      </c>
      <c r="BD748" s="2" t="s">
        <v>74</v>
      </c>
      <c r="BE748" s="2" t="s">
        <v>74</v>
      </c>
      <c r="BF748" s="2" t="s">
        <v>74</v>
      </c>
      <c r="BG748" s="2" t="s">
        <v>74</v>
      </c>
      <c r="BH748" s="2" t="s">
        <v>74</v>
      </c>
      <c r="BI748" s="2" t="s">
        <v>74</v>
      </c>
      <c r="BJ748" s="2" t="s">
        <v>74</v>
      </c>
      <c r="BK748" s="2" t="s">
        <v>74</v>
      </c>
      <c r="BL748" s="2" t="s">
        <v>74</v>
      </c>
      <c r="BM748" s="2" t="s">
        <v>74</v>
      </c>
      <c r="BN748" s="2">
        <v>575907</v>
      </c>
      <c r="BO748" s="2" t="s">
        <v>74</v>
      </c>
      <c r="BP748" s="2" t="s">
        <v>74</v>
      </c>
      <c r="BQ748" s="2" t="s">
        <v>74</v>
      </c>
      <c r="BR748" s="2" t="s">
        <v>74</v>
      </c>
      <c r="BS748" s="2" t="s">
        <v>3367</v>
      </c>
      <c r="BT748" s="2" t="str">
        <f>HYPERLINK("https%3A%2F%2Fwww.webofscience.com%2Fwos%2Fwoscc%2Ffull-record%2FWOS:A1979HS03900007","View Full Record in Web of Science")</f>
        <v>View Full Record in Web of Science</v>
      </c>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row>
    <row r="749" spans="1:314" s="2" customFormat="1" x14ac:dyDescent="0.4">
      <c r="A749" s="2" t="s">
        <v>72</v>
      </c>
      <c r="B749" s="2" t="s">
        <v>2290</v>
      </c>
      <c r="C749" s="2" t="s">
        <v>74</v>
      </c>
      <c r="D749" s="2" t="s">
        <v>74</v>
      </c>
      <c r="E749" s="2" t="s">
        <v>74</v>
      </c>
      <c r="F749" s="2" t="s">
        <v>2291</v>
      </c>
      <c r="G749" s="2" t="s">
        <v>74</v>
      </c>
      <c r="H749" s="2" t="s">
        <v>74</v>
      </c>
      <c r="I749" s="2" t="s">
        <v>2292</v>
      </c>
      <c r="J749" s="2" t="s">
        <v>775</v>
      </c>
      <c r="K749" s="2" t="s">
        <v>74</v>
      </c>
      <c r="L749" s="2" t="s">
        <v>74</v>
      </c>
      <c r="M749" s="2" t="s">
        <v>74</v>
      </c>
      <c r="N749" s="2" t="s">
        <v>74</v>
      </c>
      <c r="O749" s="2" t="s">
        <v>74</v>
      </c>
      <c r="P749" s="2" t="s">
        <v>74</v>
      </c>
      <c r="Q749" s="2" t="s">
        <v>74</v>
      </c>
      <c r="R749" s="2" t="s">
        <v>74</v>
      </c>
      <c r="S749" s="2" t="s">
        <v>74</v>
      </c>
      <c r="T749" s="2" t="s">
        <v>74</v>
      </c>
      <c r="U749" s="2" t="s">
        <v>74</v>
      </c>
      <c r="V749" s="5" t="s">
        <v>2293</v>
      </c>
      <c r="W749" s="2" t="s">
        <v>74</v>
      </c>
      <c r="X749" s="2" t="s">
        <v>74</v>
      </c>
      <c r="Y749" s="2" t="s">
        <v>74</v>
      </c>
      <c r="Z749" s="2" t="s">
        <v>74</v>
      </c>
      <c r="AA749" s="2" t="s">
        <v>2294</v>
      </c>
      <c r="AB749" s="2" t="s">
        <v>2295</v>
      </c>
      <c r="AC749" s="2" t="s">
        <v>74</v>
      </c>
      <c r="AD749" s="2" t="s">
        <v>74</v>
      </c>
      <c r="AE749" s="2" t="s">
        <v>74</v>
      </c>
      <c r="AF749" s="2" t="s">
        <v>74</v>
      </c>
      <c r="AG749" s="2" t="s">
        <v>74</v>
      </c>
      <c r="AH749" s="2" t="s">
        <v>74</v>
      </c>
      <c r="AI749" s="2" t="s">
        <v>74</v>
      </c>
      <c r="AJ749" s="2" t="s">
        <v>74</v>
      </c>
      <c r="AK749" s="2" t="s">
        <v>74</v>
      </c>
      <c r="AL749" s="2" t="s">
        <v>74</v>
      </c>
      <c r="AM749" s="2" t="s">
        <v>74</v>
      </c>
      <c r="AN749" s="2" t="s">
        <v>74</v>
      </c>
      <c r="AO749" s="2" t="s">
        <v>778</v>
      </c>
      <c r="AP749" s="2" t="s">
        <v>779</v>
      </c>
      <c r="AQ749" s="2" t="s">
        <v>74</v>
      </c>
      <c r="AR749" s="2" t="s">
        <v>74</v>
      </c>
      <c r="AS749" s="2" t="s">
        <v>74</v>
      </c>
      <c r="AT749" s="2" t="s">
        <v>2296</v>
      </c>
      <c r="AU749" s="2">
        <v>2024</v>
      </c>
      <c r="AV749" s="2">
        <v>70</v>
      </c>
      <c r="AW749" s="2">
        <v>1</v>
      </c>
      <c r="AX749" s="2" t="s">
        <v>74</v>
      </c>
      <c r="AY749" s="2" t="s">
        <v>74</v>
      </c>
      <c r="AZ749" s="2" t="s">
        <v>74</v>
      </c>
      <c r="BA749" s="2" t="s">
        <v>74</v>
      </c>
      <c r="BB749" s="2">
        <v>59</v>
      </c>
      <c r="BC749" s="2">
        <v>69</v>
      </c>
      <c r="BD749" s="2" t="s">
        <v>74</v>
      </c>
      <c r="BE749" s="2" t="s">
        <v>2297</v>
      </c>
      <c r="BF749" s="2" t="str">
        <f>HYPERLINK("http://dx.doi.org/10.1093/cz/zoac095","http://dx.doi.org/10.1093/cz/zoac095")</f>
        <v>http://dx.doi.org/10.1093/cz/zoac095</v>
      </c>
      <c r="BG749" s="2" t="s">
        <v>74</v>
      </c>
      <c r="BH749" s="2" t="s">
        <v>2298</v>
      </c>
      <c r="BI749" s="2" t="s">
        <v>74</v>
      </c>
      <c r="BJ749" s="2" t="s">
        <v>74</v>
      </c>
      <c r="BK749" s="2" t="s">
        <v>74</v>
      </c>
      <c r="BL749" s="2" t="s">
        <v>74</v>
      </c>
      <c r="BM749" s="2" t="s">
        <v>74</v>
      </c>
      <c r="BN749" s="2">
        <v>38476133</v>
      </c>
      <c r="BO749" s="2" t="s">
        <v>74</v>
      </c>
      <c r="BP749" s="2" t="s">
        <v>74</v>
      </c>
      <c r="BQ749" s="2" t="s">
        <v>74</v>
      </c>
      <c r="BR749" s="2" t="s">
        <v>74</v>
      </c>
      <c r="BS749" s="2" t="s">
        <v>2299</v>
      </c>
      <c r="BT749" s="2" t="str">
        <f>HYPERLINK("https%3A%2F%2Fwww.webofscience.com%2Fwos%2Fwoscc%2Ffull-record%2FWOS:000908307000001","View Full Record in Web of Science")</f>
        <v>View Full Record in Web of Science</v>
      </c>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row>
    <row r="750" spans="1:314" s="2" customFormat="1" x14ac:dyDescent="0.4">
      <c r="A750" s="2" t="s">
        <v>72</v>
      </c>
      <c r="B750" s="2" t="s">
        <v>1721</v>
      </c>
      <c r="C750" s="2" t="s">
        <v>74</v>
      </c>
      <c r="D750" s="2" t="s">
        <v>74</v>
      </c>
      <c r="E750" s="2" t="s">
        <v>74</v>
      </c>
      <c r="F750" s="2" t="s">
        <v>1721</v>
      </c>
      <c r="G750" s="2" t="s">
        <v>74</v>
      </c>
      <c r="H750" s="2" t="s">
        <v>74</v>
      </c>
      <c r="I750" s="2" t="s">
        <v>1722</v>
      </c>
      <c r="J750" s="2" t="s">
        <v>171</v>
      </c>
      <c r="K750" s="2" t="s">
        <v>74</v>
      </c>
      <c r="L750" s="2" t="s">
        <v>74</v>
      </c>
      <c r="M750" s="2" t="s">
        <v>74</v>
      </c>
      <c r="N750" s="2" t="s">
        <v>74</v>
      </c>
      <c r="O750" s="2" t="s">
        <v>74</v>
      </c>
      <c r="P750" s="2" t="s">
        <v>74</v>
      </c>
      <c r="Q750" s="2" t="s">
        <v>74</v>
      </c>
      <c r="R750" s="2" t="s">
        <v>74</v>
      </c>
      <c r="S750" s="2" t="s">
        <v>74</v>
      </c>
      <c r="T750" s="2" t="s">
        <v>74</v>
      </c>
      <c r="U750" s="2" t="s">
        <v>74</v>
      </c>
      <c r="V750" s="5" t="s">
        <v>1723</v>
      </c>
      <c r="W750" s="2" t="s">
        <v>74</v>
      </c>
      <c r="X750" s="2" t="s">
        <v>74</v>
      </c>
      <c r="Y750" s="2" t="s">
        <v>74</v>
      </c>
      <c r="Z750" s="2" t="s">
        <v>74</v>
      </c>
      <c r="AA750" s="2" t="s">
        <v>1724</v>
      </c>
      <c r="AB750" s="2" t="s">
        <v>1725</v>
      </c>
      <c r="AC750" s="2" t="s">
        <v>74</v>
      </c>
      <c r="AD750" s="2" t="s">
        <v>74</v>
      </c>
      <c r="AE750" s="2" t="s">
        <v>74</v>
      </c>
      <c r="AF750" s="2" t="s">
        <v>74</v>
      </c>
      <c r="AG750" s="2" t="s">
        <v>74</v>
      </c>
      <c r="AH750" s="2" t="s">
        <v>74</v>
      </c>
      <c r="AI750" s="2" t="s">
        <v>74</v>
      </c>
      <c r="AJ750" s="2" t="s">
        <v>74</v>
      </c>
      <c r="AK750" s="2" t="s">
        <v>74</v>
      </c>
      <c r="AL750" s="2" t="s">
        <v>74</v>
      </c>
      <c r="AM750" s="2" t="s">
        <v>74</v>
      </c>
      <c r="AN750" s="2" t="s">
        <v>74</v>
      </c>
      <c r="AO750" s="2" t="s">
        <v>173</v>
      </c>
      <c r="AP750" s="2" t="s">
        <v>174</v>
      </c>
      <c r="AQ750" s="2" t="s">
        <v>74</v>
      </c>
      <c r="AR750" s="2" t="s">
        <v>74</v>
      </c>
      <c r="AS750" s="2" t="s">
        <v>74</v>
      </c>
      <c r="AT750" s="2" t="s">
        <v>175</v>
      </c>
      <c r="AU750" s="2">
        <v>1998</v>
      </c>
      <c r="AV750" s="2">
        <v>52</v>
      </c>
      <c r="AW750" s="2">
        <v>5</v>
      </c>
      <c r="AX750" s="2" t="s">
        <v>74</v>
      </c>
      <c r="AY750" s="2" t="s">
        <v>74</v>
      </c>
      <c r="AZ750" s="2" t="s">
        <v>74</v>
      </c>
      <c r="BA750" s="2" t="s">
        <v>74</v>
      </c>
      <c r="BB750" s="2">
        <v>1293</v>
      </c>
      <c r="BC750" s="2">
        <v>1303</v>
      </c>
      <c r="BD750" s="2" t="s">
        <v>74</v>
      </c>
      <c r="BE750" s="2" t="s">
        <v>1726</v>
      </c>
      <c r="BF750" s="2" t="str">
        <f>HYPERLINK("http://dx.doi.org/10.2307/2411299","http://dx.doi.org/10.2307/2411299")</f>
        <v>http://dx.doi.org/10.2307/2411299</v>
      </c>
      <c r="BG750" s="2" t="s">
        <v>74</v>
      </c>
      <c r="BH750" s="2" t="s">
        <v>74</v>
      </c>
      <c r="BI750" s="2" t="s">
        <v>74</v>
      </c>
      <c r="BJ750" s="2" t="s">
        <v>74</v>
      </c>
      <c r="BK750" s="2" t="s">
        <v>74</v>
      </c>
      <c r="BL750" s="2" t="s">
        <v>74</v>
      </c>
      <c r="BM750" s="2" t="s">
        <v>74</v>
      </c>
      <c r="BN750" s="2">
        <v>28565388</v>
      </c>
      <c r="BO750" s="2" t="s">
        <v>74</v>
      </c>
      <c r="BP750" s="2" t="s">
        <v>74</v>
      </c>
      <c r="BQ750" s="2" t="s">
        <v>74</v>
      </c>
      <c r="BR750" s="2" t="s">
        <v>74</v>
      </c>
      <c r="BS750" s="2" t="s">
        <v>1727</v>
      </c>
      <c r="BT750" s="2" t="str">
        <f>HYPERLINK("https%3A%2F%2Fwww.webofscience.com%2Fwos%2Fwoscc%2Ffull-record%2FWOS:000076931100006","View Full Record in Web of Science")</f>
        <v>View Full Record in Web of Science</v>
      </c>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row>
    <row r="751" spans="1:314" s="2" customFormat="1" x14ac:dyDescent="0.4">
      <c r="A751" s="2" t="s">
        <v>72</v>
      </c>
      <c r="B751" s="2" t="s">
        <v>4777</v>
      </c>
      <c r="C751" s="2" t="s">
        <v>74</v>
      </c>
      <c r="D751" s="2" t="s">
        <v>74</v>
      </c>
      <c r="E751" s="2" t="s">
        <v>74</v>
      </c>
      <c r="F751" s="2" t="s">
        <v>4778</v>
      </c>
      <c r="G751" s="2" t="s">
        <v>74</v>
      </c>
      <c r="H751" s="2" t="s">
        <v>74</v>
      </c>
      <c r="I751" s="2" t="s">
        <v>4779</v>
      </c>
      <c r="J751" s="2" t="s">
        <v>171</v>
      </c>
      <c r="K751" s="2" t="s">
        <v>74</v>
      </c>
      <c r="L751" s="2" t="s">
        <v>74</v>
      </c>
      <c r="M751" s="2" t="s">
        <v>74</v>
      </c>
      <c r="N751" s="2" t="s">
        <v>74</v>
      </c>
      <c r="O751" s="2" t="s">
        <v>74</v>
      </c>
      <c r="P751" s="2" t="s">
        <v>74</v>
      </c>
      <c r="Q751" s="2" t="s">
        <v>74</v>
      </c>
      <c r="R751" s="2" t="s">
        <v>74</v>
      </c>
      <c r="S751" s="2" t="s">
        <v>74</v>
      </c>
      <c r="T751" s="2" t="s">
        <v>74</v>
      </c>
      <c r="U751" s="2" t="s">
        <v>74</v>
      </c>
      <c r="V751" s="5" t="s">
        <v>4780</v>
      </c>
      <c r="W751" s="2" t="s">
        <v>74</v>
      </c>
      <c r="X751" s="2" t="s">
        <v>74</v>
      </c>
      <c r="Y751" s="2" t="s">
        <v>74</v>
      </c>
      <c r="Z751" s="2" t="s">
        <v>74</v>
      </c>
      <c r="AA751" s="2" t="s">
        <v>379</v>
      </c>
      <c r="AB751" s="2" t="s">
        <v>3957</v>
      </c>
      <c r="AC751" s="2" t="s">
        <v>74</v>
      </c>
      <c r="AD751" s="2" t="s">
        <v>74</v>
      </c>
      <c r="AE751" s="2" t="s">
        <v>74</v>
      </c>
      <c r="AF751" s="2" t="s">
        <v>74</v>
      </c>
      <c r="AG751" s="2" t="s">
        <v>74</v>
      </c>
      <c r="AH751" s="2" t="s">
        <v>74</v>
      </c>
      <c r="AI751" s="2" t="s">
        <v>74</v>
      </c>
      <c r="AJ751" s="2" t="s">
        <v>74</v>
      </c>
      <c r="AK751" s="2" t="s">
        <v>74</v>
      </c>
      <c r="AL751" s="2" t="s">
        <v>74</v>
      </c>
      <c r="AM751" s="2" t="s">
        <v>74</v>
      </c>
      <c r="AN751" s="2" t="s">
        <v>74</v>
      </c>
      <c r="AO751" s="2" t="s">
        <v>173</v>
      </c>
      <c r="AP751" s="2" t="s">
        <v>174</v>
      </c>
      <c r="AQ751" s="2" t="s">
        <v>74</v>
      </c>
      <c r="AR751" s="2" t="s">
        <v>74</v>
      </c>
      <c r="AS751" s="2" t="s">
        <v>74</v>
      </c>
      <c r="AT751" s="2" t="s">
        <v>964</v>
      </c>
      <c r="AU751" s="2">
        <v>2018</v>
      </c>
      <c r="AV751" s="2">
        <v>72</v>
      </c>
      <c r="AW751" s="2">
        <v>2</v>
      </c>
      <c r="AX751" s="2" t="s">
        <v>74</v>
      </c>
      <c r="AY751" s="2" t="s">
        <v>74</v>
      </c>
      <c r="AZ751" s="2" t="s">
        <v>74</v>
      </c>
      <c r="BA751" s="2" t="s">
        <v>74</v>
      </c>
      <c r="BB751" s="2">
        <v>337</v>
      </c>
      <c r="BC751" s="2">
        <v>347</v>
      </c>
      <c r="BD751" s="2" t="s">
        <v>74</v>
      </c>
      <c r="BE751" s="2" t="s">
        <v>4781</v>
      </c>
      <c r="BF751" s="2" t="str">
        <f>HYPERLINK("http://dx.doi.org/10.1111/evo.13406","http://dx.doi.org/10.1111/evo.13406")</f>
        <v>http://dx.doi.org/10.1111/evo.13406</v>
      </c>
      <c r="BG751" s="2" t="s">
        <v>74</v>
      </c>
      <c r="BH751" s="2" t="s">
        <v>74</v>
      </c>
      <c r="BI751" s="2" t="s">
        <v>74</v>
      </c>
      <c r="BJ751" s="2" t="s">
        <v>74</v>
      </c>
      <c r="BK751" s="2" t="s">
        <v>74</v>
      </c>
      <c r="BL751" s="2" t="s">
        <v>74</v>
      </c>
      <c r="BM751" s="2" t="s">
        <v>74</v>
      </c>
      <c r="BN751" s="2">
        <v>29265367</v>
      </c>
      <c r="BO751" s="2" t="s">
        <v>74</v>
      </c>
      <c r="BP751" s="2" t="s">
        <v>74</v>
      </c>
      <c r="BQ751" s="2" t="s">
        <v>74</v>
      </c>
      <c r="BR751" s="2" t="s">
        <v>74</v>
      </c>
      <c r="BS751" s="2" t="s">
        <v>4782</v>
      </c>
      <c r="BT751" s="2" t="str">
        <f>HYPERLINK("https%3A%2F%2Fwww.webofscience.com%2Fwos%2Fwoscc%2Ffull-record%2FWOS:000424131100009","View Full Record in Web of Science")</f>
        <v>View Full Record in Web of Science</v>
      </c>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row>
    <row r="752" spans="1:314" s="2" customFormat="1" x14ac:dyDescent="0.4">
      <c r="A752" s="2" t="s">
        <v>72</v>
      </c>
      <c r="B752" s="2" t="s">
        <v>8682</v>
      </c>
      <c r="C752" s="2" t="s">
        <v>74</v>
      </c>
      <c r="D752" s="2" t="s">
        <v>74</v>
      </c>
      <c r="E752" s="2" t="s">
        <v>74</v>
      </c>
      <c r="F752" s="2" t="s">
        <v>8683</v>
      </c>
      <c r="G752" s="2" t="s">
        <v>74</v>
      </c>
      <c r="H752" s="2" t="s">
        <v>74</v>
      </c>
      <c r="I752" s="2" t="s">
        <v>8684</v>
      </c>
      <c r="J752" s="2" t="s">
        <v>8685</v>
      </c>
      <c r="K752" s="2" t="s">
        <v>74</v>
      </c>
      <c r="L752" s="2" t="s">
        <v>74</v>
      </c>
      <c r="M752" s="2" t="s">
        <v>74</v>
      </c>
      <c r="N752" s="2" t="s">
        <v>74</v>
      </c>
      <c r="O752" s="2" t="s">
        <v>74</v>
      </c>
      <c r="P752" s="2" t="s">
        <v>74</v>
      </c>
      <c r="Q752" s="2" t="s">
        <v>74</v>
      </c>
      <c r="R752" s="2" t="s">
        <v>74</v>
      </c>
      <c r="S752" s="2" t="s">
        <v>74</v>
      </c>
      <c r="T752" s="2" t="s">
        <v>74</v>
      </c>
      <c r="U752" s="2" t="s">
        <v>74</v>
      </c>
      <c r="V752" s="5" t="s">
        <v>8686</v>
      </c>
      <c r="W752" s="2" t="s">
        <v>74</v>
      </c>
      <c r="X752" s="2" t="s">
        <v>74</v>
      </c>
      <c r="Y752" s="2" t="s">
        <v>74</v>
      </c>
      <c r="Z752" s="2" t="s">
        <v>74</v>
      </c>
      <c r="AA752" s="2" t="s">
        <v>8687</v>
      </c>
      <c r="AB752" s="2" t="s">
        <v>8688</v>
      </c>
      <c r="AC752" s="2" t="s">
        <v>74</v>
      </c>
      <c r="AD752" s="2" t="s">
        <v>74</v>
      </c>
      <c r="AE752" s="2" t="s">
        <v>74</v>
      </c>
      <c r="AF752" s="2" t="s">
        <v>74</v>
      </c>
      <c r="AG752" s="2" t="s">
        <v>74</v>
      </c>
      <c r="AH752" s="2" t="s">
        <v>74</v>
      </c>
      <c r="AI752" s="2" t="s">
        <v>74</v>
      </c>
      <c r="AJ752" s="2" t="s">
        <v>74</v>
      </c>
      <c r="AK752" s="2" t="s">
        <v>74</v>
      </c>
      <c r="AL752" s="2" t="s">
        <v>74</v>
      </c>
      <c r="AM752" s="2" t="s">
        <v>74</v>
      </c>
      <c r="AN752" s="2" t="s">
        <v>74</v>
      </c>
      <c r="AO752" s="2" t="s">
        <v>8689</v>
      </c>
      <c r="AP752" s="2" t="s">
        <v>74</v>
      </c>
      <c r="AQ752" s="2" t="s">
        <v>74</v>
      </c>
      <c r="AR752" s="2" t="s">
        <v>74</v>
      </c>
      <c r="AS752" s="2" t="s">
        <v>74</v>
      </c>
      <c r="AT752" s="2" t="s">
        <v>352</v>
      </c>
      <c r="AU752" s="2">
        <v>2008</v>
      </c>
      <c r="AV752" s="2">
        <v>25</v>
      </c>
      <c r="AW752" s="2">
        <v>3</v>
      </c>
      <c r="AX752" s="2" t="s">
        <v>74</v>
      </c>
      <c r="AY752" s="2" t="s">
        <v>74</v>
      </c>
      <c r="AZ752" s="2" t="s">
        <v>74</v>
      </c>
      <c r="BA752" s="2" t="s">
        <v>74</v>
      </c>
      <c r="BB752" s="2">
        <v>413</v>
      </c>
      <c r="BC752" s="2">
        <v>418</v>
      </c>
      <c r="BD752" s="2" t="s">
        <v>74</v>
      </c>
      <c r="BE752" s="2" t="s">
        <v>8690</v>
      </c>
      <c r="BF752" s="2" t="str">
        <f>HYPERLINK("http://dx.doi.org/10.1590/S0101-81752008000300005","http://dx.doi.org/10.1590/S0101-81752008000300005")</f>
        <v>http://dx.doi.org/10.1590/S0101-81752008000300005</v>
      </c>
      <c r="BG752" s="2" t="s">
        <v>74</v>
      </c>
      <c r="BH752" s="2" t="s">
        <v>74</v>
      </c>
      <c r="BI752" s="2" t="s">
        <v>74</v>
      </c>
      <c r="BJ752" s="2" t="s">
        <v>74</v>
      </c>
      <c r="BK752" s="2" t="s">
        <v>74</v>
      </c>
      <c r="BL752" s="2" t="s">
        <v>74</v>
      </c>
      <c r="BM752" s="2" t="s">
        <v>74</v>
      </c>
      <c r="BN752" s="2" t="s">
        <v>74</v>
      </c>
      <c r="BO752" s="2" t="s">
        <v>74</v>
      </c>
      <c r="BP752" s="2" t="s">
        <v>74</v>
      </c>
      <c r="BQ752" s="2" t="s">
        <v>74</v>
      </c>
      <c r="BR752" s="2" t="s">
        <v>74</v>
      </c>
      <c r="BS752" s="2" t="s">
        <v>8691</v>
      </c>
      <c r="BT752" s="2" t="str">
        <f>HYPERLINK("https%3A%2F%2Fwww.webofscience.com%2Fwos%2Fwoscc%2Ffull-record%2FWOS:000260040800006","View Full Record in Web of Science")</f>
        <v>View Full Record in Web of Science</v>
      </c>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row>
    <row r="753" spans="1:314" s="2" customFormat="1" x14ac:dyDescent="0.4">
      <c r="A753" s="2" t="s">
        <v>72</v>
      </c>
      <c r="B753" s="2" t="s">
        <v>7592</v>
      </c>
      <c r="C753" s="2" t="s">
        <v>74</v>
      </c>
      <c r="D753" s="2" t="s">
        <v>74</v>
      </c>
      <c r="E753" s="2" t="s">
        <v>74</v>
      </c>
      <c r="F753" s="2" t="s">
        <v>7592</v>
      </c>
      <c r="G753" s="2" t="s">
        <v>74</v>
      </c>
      <c r="H753" s="2" t="s">
        <v>74</v>
      </c>
      <c r="I753" s="2" t="s">
        <v>7593</v>
      </c>
      <c r="J753" s="2" t="s">
        <v>2207</v>
      </c>
      <c r="K753" s="2" t="s">
        <v>74</v>
      </c>
      <c r="L753" s="2" t="s">
        <v>74</v>
      </c>
      <c r="M753" s="2" t="s">
        <v>74</v>
      </c>
      <c r="N753" s="2" t="s">
        <v>74</v>
      </c>
      <c r="O753" s="2" t="s">
        <v>74</v>
      </c>
      <c r="P753" s="2" t="s">
        <v>74</v>
      </c>
      <c r="Q753" s="2" t="s">
        <v>74</v>
      </c>
      <c r="R753" s="2" t="s">
        <v>74</v>
      </c>
      <c r="S753" s="2" t="s">
        <v>74</v>
      </c>
      <c r="T753" s="2" t="s">
        <v>74</v>
      </c>
      <c r="U753" s="2" t="s">
        <v>74</v>
      </c>
      <c r="V753" s="5" t="s">
        <v>7594</v>
      </c>
      <c r="W753" s="2" t="s">
        <v>74</v>
      </c>
      <c r="X753" s="2" t="s">
        <v>74</v>
      </c>
      <c r="Y753" s="2" t="s">
        <v>74</v>
      </c>
      <c r="Z753" s="2" t="s">
        <v>74</v>
      </c>
      <c r="AA753" s="2" t="s">
        <v>74</v>
      </c>
      <c r="AB753" s="2" t="s">
        <v>3387</v>
      </c>
      <c r="AC753" s="2" t="s">
        <v>74</v>
      </c>
      <c r="AD753" s="2" t="s">
        <v>74</v>
      </c>
      <c r="AE753" s="2" t="s">
        <v>74</v>
      </c>
      <c r="AF753" s="2" t="s">
        <v>74</v>
      </c>
      <c r="AG753" s="2" t="s">
        <v>74</v>
      </c>
      <c r="AH753" s="2" t="s">
        <v>74</v>
      </c>
      <c r="AI753" s="2" t="s">
        <v>74</v>
      </c>
      <c r="AJ753" s="2" t="s">
        <v>74</v>
      </c>
      <c r="AK753" s="2" t="s">
        <v>74</v>
      </c>
      <c r="AL753" s="2" t="s">
        <v>74</v>
      </c>
      <c r="AM753" s="2" t="s">
        <v>74</v>
      </c>
      <c r="AN753" s="2" t="s">
        <v>74</v>
      </c>
      <c r="AO753" s="2" t="s">
        <v>2211</v>
      </c>
      <c r="AP753" s="2" t="s">
        <v>2461</v>
      </c>
      <c r="AQ753" s="2" t="s">
        <v>74</v>
      </c>
      <c r="AR753" s="2" t="s">
        <v>74</v>
      </c>
      <c r="AS753" s="2" t="s">
        <v>74</v>
      </c>
      <c r="AT753" s="2" t="s">
        <v>213</v>
      </c>
      <c r="AU753" s="2">
        <v>2004</v>
      </c>
      <c r="AV753" s="2">
        <v>35</v>
      </c>
      <c r="AW753" s="2">
        <v>6</v>
      </c>
      <c r="AX753" s="2" t="s">
        <v>74</v>
      </c>
      <c r="AY753" s="2" t="s">
        <v>74</v>
      </c>
      <c r="AZ753" s="2" t="s">
        <v>74</v>
      </c>
      <c r="BA753" s="2" t="s">
        <v>74</v>
      </c>
      <c r="BB753" s="2">
        <v>477</v>
      </c>
      <c r="BC753" s="2">
        <v>482</v>
      </c>
      <c r="BD753" s="2" t="s">
        <v>74</v>
      </c>
      <c r="BE753" s="2" t="s">
        <v>7595</v>
      </c>
      <c r="BF753" s="2" t="str">
        <f>HYPERLINK("http://dx.doi.org/10.1111/j.0908-8857.2004.03351.x","http://dx.doi.org/10.1111/j.0908-8857.2004.03351.x")</f>
        <v>http://dx.doi.org/10.1111/j.0908-8857.2004.03351.x</v>
      </c>
      <c r="BG753" s="2" t="s">
        <v>74</v>
      </c>
      <c r="BH753" s="2" t="s">
        <v>74</v>
      </c>
      <c r="BI753" s="2" t="s">
        <v>74</v>
      </c>
      <c r="BJ753" s="2" t="s">
        <v>74</v>
      </c>
      <c r="BK753" s="2" t="s">
        <v>74</v>
      </c>
      <c r="BL753" s="2" t="s">
        <v>74</v>
      </c>
      <c r="BM753" s="2" t="s">
        <v>74</v>
      </c>
      <c r="BN753" s="2" t="s">
        <v>74</v>
      </c>
      <c r="BO753" s="2" t="s">
        <v>74</v>
      </c>
      <c r="BP753" s="2" t="s">
        <v>74</v>
      </c>
      <c r="BQ753" s="2" t="s">
        <v>74</v>
      </c>
      <c r="BR753" s="2" t="s">
        <v>74</v>
      </c>
      <c r="BS753" s="2" t="s">
        <v>7596</v>
      </c>
      <c r="BT753" s="2" t="str">
        <f>HYPERLINK("https%3A%2F%2Fwww.webofscience.com%2Fwos%2Fwoscc%2Ffull-record%2FWOS:000225224600004","View Full Record in Web of Science")</f>
        <v>View Full Record in Web of Science</v>
      </c>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row>
    <row r="754" spans="1:314" s="2" customFormat="1" x14ac:dyDescent="0.4">
      <c r="A754" s="2" t="s">
        <v>72</v>
      </c>
      <c r="B754" s="2" t="s">
        <v>3080</v>
      </c>
      <c r="C754" s="2" t="s">
        <v>74</v>
      </c>
      <c r="D754" s="2" t="s">
        <v>74</v>
      </c>
      <c r="E754" s="2" t="s">
        <v>74</v>
      </c>
      <c r="F754" s="2" t="s">
        <v>3081</v>
      </c>
      <c r="G754" s="2" t="s">
        <v>74</v>
      </c>
      <c r="H754" s="2" t="s">
        <v>74</v>
      </c>
      <c r="I754" s="2" t="s">
        <v>3082</v>
      </c>
      <c r="J754" s="2" t="s">
        <v>2017</v>
      </c>
      <c r="K754" s="2" t="s">
        <v>74</v>
      </c>
      <c r="L754" s="2" t="s">
        <v>74</v>
      </c>
      <c r="M754" s="2" t="s">
        <v>74</v>
      </c>
      <c r="N754" s="2" t="s">
        <v>74</v>
      </c>
      <c r="O754" s="2" t="s">
        <v>74</v>
      </c>
      <c r="P754" s="2" t="s">
        <v>74</v>
      </c>
      <c r="Q754" s="2" t="s">
        <v>74</v>
      </c>
      <c r="R754" s="2" t="s">
        <v>74</v>
      </c>
      <c r="S754" s="2" t="s">
        <v>74</v>
      </c>
      <c r="T754" s="2" t="s">
        <v>74</v>
      </c>
      <c r="U754" s="2" t="s">
        <v>74</v>
      </c>
      <c r="V754" s="5" t="s">
        <v>3083</v>
      </c>
      <c r="W754" s="2" t="s">
        <v>74</v>
      </c>
      <c r="X754" s="2" t="s">
        <v>74</v>
      </c>
      <c r="Y754" s="2" t="s">
        <v>74</v>
      </c>
      <c r="Z754" s="2" t="s">
        <v>74</v>
      </c>
      <c r="AA754" s="2" t="s">
        <v>74</v>
      </c>
      <c r="AB754" s="2" t="s">
        <v>74</v>
      </c>
      <c r="AC754" s="2" t="s">
        <v>74</v>
      </c>
      <c r="AD754" s="2" t="s">
        <v>74</v>
      </c>
      <c r="AE754" s="2" t="s">
        <v>74</v>
      </c>
      <c r="AF754" s="2" t="s">
        <v>74</v>
      </c>
      <c r="AG754" s="2" t="s">
        <v>74</v>
      </c>
      <c r="AH754" s="2" t="s">
        <v>74</v>
      </c>
      <c r="AI754" s="2" t="s">
        <v>74</v>
      </c>
      <c r="AJ754" s="2" t="s">
        <v>74</v>
      </c>
      <c r="AK754" s="2" t="s">
        <v>74</v>
      </c>
      <c r="AL754" s="2" t="s">
        <v>74</v>
      </c>
      <c r="AM754" s="2" t="s">
        <v>74</v>
      </c>
      <c r="AN754" s="2" t="s">
        <v>74</v>
      </c>
      <c r="AO754" s="2" t="s">
        <v>2021</v>
      </c>
      <c r="AP754" s="2" t="s">
        <v>74</v>
      </c>
      <c r="AQ754" s="2" t="s">
        <v>74</v>
      </c>
      <c r="AR754" s="2" t="s">
        <v>74</v>
      </c>
      <c r="AS754" s="2" t="s">
        <v>74</v>
      </c>
      <c r="AT754" s="2" t="s">
        <v>74</v>
      </c>
      <c r="AU754" s="2">
        <v>2014</v>
      </c>
      <c r="AV754" s="2">
        <v>2</v>
      </c>
      <c r="AW754" s="2" t="s">
        <v>74</v>
      </c>
      <c r="AX754" s="2" t="s">
        <v>74</v>
      </c>
      <c r="AY754" s="2" t="s">
        <v>74</v>
      </c>
      <c r="AZ754" s="2" t="s">
        <v>74</v>
      </c>
      <c r="BA754" s="2" t="s">
        <v>74</v>
      </c>
      <c r="BB754" s="2" t="s">
        <v>74</v>
      </c>
      <c r="BC754" s="2" t="s">
        <v>74</v>
      </c>
      <c r="BD754" s="2">
        <v>24</v>
      </c>
      <c r="BE754" s="2" t="s">
        <v>3084</v>
      </c>
      <c r="BF754" s="2" t="str">
        <f>HYPERLINK("http://dx.doi.org/10.3389/fevo.2014.00024","http://dx.doi.org/10.3389/fevo.2014.00024")</f>
        <v>http://dx.doi.org/10.3389/fevo.2014.00024</v>
      </c>
      <c r="BG754" s="2" t="s">
        <v>74</v>
      </c>
      <c r="BH754" s="2" t="s">
        <v>74</v>
      </c>
      <c r="BI754" s="2" t="s">
        <v>74</v>
      </c>
      <c r="BJ754" s="2" t="s">
        <v>74</v>
      </c>
      <c r="BK754" s="2" t="s">
        <v>74</v>
      </c>
      <c r="BL754" s="2" t="s">
        <v>74</v>
      </c>
      <c r="BM754" s="2" t="s">
        <v>74</v>
      </c>
      <c r="BN754" s="2" t="s">
        <v>74</v>
      </c>
      <c r="BO754" s="2" t="s">
        <v>74</v>
      </c>
      <c r="BP754" s="2" t="s">
        <v>74</v>
      </c>
      <c r="BQ754" s="2" t="s">
        <v>74</v>
      </c>
      <c r="BR754" s="2" t="s">
        <v>74</v>
      </c>
      <c r="BS754" s="2" t="s">
        <v>3085</v>
      </c>
      <c r="BT754" s="2" t="str">
        <f>HYPERLINK("https%3A%2F%2Fwww.webofscience.com%2Fwos%2Fwoscc%2Ffull-record%2FWOS:000517755700023","View Full Record in Web of Science")</f>
        <v>View Full Record in Web of Science</v>
      </c>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row>
    <row r="755" spans="1:314" s="2" customFormat="1" x14ac:dyDescent="0.4">
      <c r="A755" s="2" t="s">
        <v>72</v>
      </c>
      <c r="B755" s="2" t="s">
        <v>7522</v>
      </c>
      <c r="C755" s="2" t="s">
        <v>74</v>
      </c>
      <c r="D755" s="2" t="s">
        <v>74</v>
      </c>
      <c r="E755" s="2" t="s">
        <v>74</v>
      </c>
      <c r="F755" s="2" t="s">
        <v>7523</v>
      </c>
      <c r="G755" s="2" t="s">
        <v>74</v>
      </c>
      <c r="H755" s="2" t="s">
        <v>74</v>
      </c>
      <c r="I755" s="2" t="s">
        <v>7524</v>
      </c>
      <c r="J755" s="2" t="s">
        <v>1526</v>
      </c>
      <c r="K755" s="2" t="s">
        <v>74</v>
      </c>
      <c r="L755" s="2" t="s">
        <v>74</v>
      </c>
      <c r="M755" s="2" t="s">
        <v>74</v>
      </c>
      <c r="N755" s="2" t="s">
        <v>74</v>
      </c>
      <c r="O755" s="2" t="s">
        <v>74</v>
      </c>
      <c r="P755" s="2" t="s">
        <v>74</v>
      </c>
      <c r="Q755" s="2" t="s">
        <v>74</v>
      </c>
      <c r="R755" s="2" t="s">
        <v>74</v>
      </c>
      <c r="S755" s="2" t="s">
        <v>74</v>
      </c>
      <c r="T755" s="2" t="s">
        <v>74</v>
      </c>
      <c r="U755" s="2" t="s">
        <v>74</v>
      </c>
      <c r="V755" s="5" t="s">
        <v>7525</v>
      </c>
      <c r="W755" s="2" t="s">
        <v>74</v>
      </c>
      <c r="X755" s="2" t="s">
        <v>74</v>
      </c>
      <c r="Y755" s="2" t="s">
        <v>74</v>
      </c>
      <c r="Z755" s="2" t="s">
        <v>74</v>
      </c>
      <c r="AA755" s="2" t="s">
        <v>7526</v>
      </c>
      <c r="AB755" s="2" t="s">
        <v>74</v>
      </c>
      <c r="AC755" s="2" t="s">
        <v>74</v>
      </c>
      <c r="AD755" s="2" t="s">
        <v>74</v>
      </c>
      <c r="AE755" s="2" t="s">
        <v>74</v>
      </c>
      <c r="AF755" s="2" t="s">
        <v>74</v>
      </c>
      <c r="AG755" s="2" t="s">
        <v>74</v>
      </c>
      <c r="AH755" s="2" t="s">
        <v>74</v>
      </c>
      <c r="AI755" s="2" t="s">
        <v>74</v>
      </c>
      <c r="AJ755" s="2" t="s">
        <v>74</v>
      </c>
      <c r="AK755" s="2" t="s">
        <v>74</v>
      </c>
      <c r="AL755" s="2" t="s">
        <v>74</v>
      </c>
      <c r="AM755" s="2" t="s">
        <v>74</v>
      </c>
      <c r="AN755" s="2" t="s">
        <v>74</v>
      </c>
      <c r="AO755" s="2" t="s">
        <v>1528</v>
      </c>
      <c r="AP755" s="2" t="s">
        <v>2131</v>
      </c>
      <c r="AQ755" s="2" t="s">
        <v>74</v>
      </c>
      <c r="AR755" s="2" t="s">
        <v>74</v>
      </c>
      <c r="AS755" s="2" t="s">
        <v>74</v>
      </c>
      <c r="AT755" s="2" t="s">
        <v>213</v>
      </c>
      <c r="AU755" s="2">
        <v>2013</v>
      </c>
      <c r="AV755" s="2">
        <v>115</v>
      </c>
      <c r="AW755" s="2">
        <v>4</v>
      </c>
      <c r="AX755" s="2" t="s">
        <v>74</v>
      </c>
      <c r="AY755" s="2" t="s">
        <v>74</v>
      </c>
      <c r="AZ755" s="2" t="s">
        <v>74</v>
      </c>
      <c r="BA755" s="2" t="s">
        <v>74</v>
      </c>
      <c r="BB755" s="2">
        <v>910</v>
      </c>
      <c r="BC755" s="2">
        <v>920</v>
      </c>
      <c r="BD755" s="2" t="s">
        <v>74</v>
      </c>
      <c r="BE755" s="2" t="s">
        <v>7527</v>
      </c>
      <c r="BF755" s="2" t="str">
        <f>HYPERLINK("http://dx.doi.org/10.1525/cond.2013.120146","http://dx.doi.org/10.1525/cond.2013.120146")</f>
        <v>http://dx.doi.org/10.1525/cond.2013.120146</v>
      </c>
      <c r="BG755" s="2" t="s">
        <v>74</v>
      </c>
      <c r="BH755" s="2" t="s">
        <v>74</v>
      </c>
      <c r="BI755" s="2" t="s">
        <v>74</v>
      </c>
      <c r="BJ755" s="2" t="s">
        <v>74</v>
      </c>
      <c r="BK755" s="2" t="s">
        <v>74</v>
      </c>
      <c r="BL755" s="2" t="s">
        <v>74</v>
      </c>
      <c r="BM755" s="2" t="s">
        <v>74</v>
      </c>
      <c r="BN755" s="2" t="s">
        <v>74</v>
      </c>
      <c r="BO755" s="2" t="s">
        <v>74</v>
      </c>
      <c r="BP755" s="2" t="s">
        <v>74</v>
      </c>
      <c r="BQ755" s="2" t="s">
        <v>74</v>
      </c>
      <c r="BR755" s="2" t="s">
        <v>74</v>
      </c>
      <c r="BS755" s="2" t="s">
        <v>7528</v>
      </c>
      <c r="BT755" s="2" t="str">
        <f>HYPERLINK("https%3A%2F%2Fwww.webofscience.com%2Fwos%2Fwoscc%2Ffull-record%2FWOS:000328295800023","View Full Record in Web of Science")</f>
        <v>View Full Record in Web of Science</v>
      </c>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row>
    <row r="756" spans="1:314" s="2" customFormat="1" x14ac:dyDescent="0.4">
      <c r="A756" s="2" t="s">
        <v>72</v>
      </c>
      <c r="B756" s="2" t="s">
        <v>4609</v>
      </c>
      <c r="C756" s="2" t="s">
        <v>74</v>
      </c>
      <c r="D756" s="2" t="s">
        <v>74</v>
      </c>
      <c r="E756" s="2" t="s">
        <v>74</v>
      </c>
      <c r="F756" s="2" t="s">
        <v>4610</v>
      </c>
      <c r="G756" s="2" t="s">
        <v>74</v>
      </c>
      <c r="H756" s="2" t="s">
        <v>74</v>
      </c>
      <c r="I756" s="2" t="s">
        <v>4611</v>
      </c>
      <c r="J756" s="2" t="s">
        <v>654</v>
      </c>
      <c r="K756" s="2" t="s">
        <v>74</v>
      </c>
      <c r="L756" s="2" t="s">
        <v>74</v>
      </c>
      <c r="M756" s="2" t="s">
        <v>74</v>
      </c>
      <c r="N756" s="2" t="s">
        <v>74</v>
      </c>
      <c r="O756" s="2" t="s">
        <v>74</v>
      </c>
      <c r="P756" s="2" t="s">
        <v>74</v>
      </c>
      <c r="Q756" s="2" t="s">
        <v>74</v>
      </c>
      <c r="R756" s="2" t="s">
        <v>74</v>
      </c>
      <c r="S756" s="2" t="s">
        <v>74</v>
      </c>
      <c r="T756" s="2" t="s">
        <v>74</v>
      </c>
      <c r="U756" s="2" t="s">
        <v>74</v>
      </c>
      <c r="V756" s="5" t="s">
        <v>4612</v>
      </c>
      <c r="W756" s="2" t="s">
        <v>74</v>
      </c>
      <c r="X756" s="2" t="s">
        <v>74</v>
      </c>
      <c r="Y756" s="2" t="s">
        <v>74</v>
      </c>
      <c r="Z756" s="2" t="s">
        <v>74</v>
      </c>
      <c r="AA756" s="2" t="s">
        <v>4613</v>
      </c>
      <c r="AB756" s="2" t="s">
        <v>4614</v>
      </c>
      <c r="AC756" s="2" t="s">
        <v>74</v>
      </c>
      <c r="AD756" s="2" t="s">
        <v>74</v>
      </c>
      <c r="AE756" s="2" t="s">
        <v>74</v>
      </c>
      <c r="AF756" s="2" t="s">
        <v>74</v>
      </c>
      <c r="AG756" s="2" t="s">
        <v>74</v>
      </c>
      <c r="AH756" s="2" t="s">
        <v>74</v>
      </c>
      <c r="AI756" s="2" t="s">
        <v>74</v>
      </c>
      <c r="AJ756" s="2" t="s">
        <v>74</v>
      </c>
      <c r="AK756" s="2" t="s">
        <v>74</v>
      </c>
      <c r="AL756" s="2" t="s">
        <v>74</v>
      </c>
      <c r="AM756" s="2" t="s">
        <v>74</v>
      </c>
      <c r="AN756" s="2" t="s">
        <v>74</v>
      </c>
      <c r="AO756" s="2" t="s">
        <v>658</v>
      </c>
      <c r="AP756" s="2" t="s">
        <v>74</v>
      </c>
      <c r="AQ756" s="2" t="s">
        <v>74</v>
      </c>
      <c r="AR756" s="2" t="s">
        <v>74</v>
      </c>
      <c r="AS756" s="2" t="s">
        <v>74</v>
      </c>
      <c r="AT756" s="2" t="s">
        <v>633</v>
      </c>
      <c r="AU756" s="2">
        <v>2014</v>
      </c>
      <c r="AV756" s="2">
        <v>4</v>
      </c>
      <c r="AW756" s="2">
        <v>7</v>
      </c>
      <c r="AX756" s="2" t="s">
        <v>74</v>
      </c>
      <c r="AY756" s="2" t="s">
        <v>74</v>
      </c>
      <c r="AZ756" s="2" t="s">
        <v>74</v>
      </c>
      <c r="BA756" s="2" t="s">
        <v>74</v>
      </c>
      <c r="BB756" s="2">
        <v>911</v>
      </c>
      <c r="BC756" s="2">
        <v>917</v>
      </c>
      <c r="BD756" s="2" t="s">
        <v>74</v>
      </c>
      <c r="BE756" s="2" t="s">
        <v>4615</v>
      </c>
      <c r="BF756" s="2" t="str">
        <f>HYPERLINK("http://dx.doi.org/10.1002/ece3.996","http://dx.doi.org/10.1002/ece3.996")</f>
        <v>http://dx.doi.org/10.1002/ece3.996</v>
      </c>
      <c r="BG756" s="2" t="s">
        <v>74</v>
      </c>
      <c r="BH756" s="2" t="s">
        <v>74</v>
      </c>
      <c r="BI756" s="2" t="s">
        <v>74</v>
      </c>
      <c r="BJ756" s="2" t="s">
        <v>74</v>
      </c>
      <c r="BK756" s="2" t="s">
        <v>74</v>
      </c>
      <c r="BL756" s="2" t="s">
        <v>74</v>
      </c>
      <c r="BM756" s="2" t="s">
        <v>74</v>
      </c>
      <c r="BN756" s="2">
        <v>24772270</v>
      </c>
      <c r="BO756" s="2" t="s">
        <v>74</v>
      </c>
      <c r="BP756" s="2" t="s">
        <v>74</v>
      </c>
      <c r="BQ756" s="2" t="s">
        <v>74</v>
      </c>
      <c r="BR756" s="2" t="s">
        <v>74</v>
      </c>
      <c r="BS756" s="2" t="s">
        <v>4616</v>
      </c>
      <c r="BT756" s="2" t="str">
        <f>HYPERLINK("https%3A%2F%2Fwww.webofscience.com%2Fwos%2Fwoscc%2Ffull-record%2FWOS:000333809000004","View Full Record in Web of Science")</f>
        <v>View Full Record in Web of Science</v>
      </c>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row>
    <row r="757" spans="1:314" s="2" customFormat="1" x14ac:dyDescent="0.4">
      <c r="A757" s="2" t="s">
        <v>72</v>
      </c>
      <c r="B757" s="2" t="s">
        <v>1713</v>
      </c>
      <c r="C757" s="2" t="s">
        <v>74</v>
      </c>
      <c r="D757" s="2" t="s">
        <v>74</v>
      </c>
      <c r="E757" s="2" t="s">
        <v>74</v>
      </c>
      <c r="F757" s="2" t="s">
        <v>1714</v>
      </c>
      <c r="G757" s="2" t="s">
        <v>74</v>
      </c>
      <c r="H757" s="2" t="s">
        <v>74</v>
      </c>
      <c r="I757" s="2" t="s">
        <v>1715</v>
      </c>
      <c r="J757" s="2" t="s">
        <v>1112</v>
      </c>
      <c r="K757" s="2" t="s">
        <v>74</v>
      </c>
      <c r="L757" s="2" t="s">
        <v>74</v>
      </c>
      <c r="M757" s="2" t="s">
        <v>74</v>
      </c>
      <c r="N757" s="2" t="s">
        <v>74</v>
      </c>
      <c r="O757" s="2" t="s">
        <v>74</v>
      </c>
      <c r="P757" s="2" t="s">
        <v>74</v>
      </c>
      <c r="Q757" s="2" t="s">
        <v>74</v>
      </c>
      <c r="R757" s="2" t="s">
        <v>74</v>
      </c>
      <c r="S757" s="2" t="s">
        <v>74</v>
      </c>
      <c r="T757" s="2" t="s">
        <v>74</v>
      </c>
      <c r="U757" s="2" t="s">
        <v>74</v>
      </c>
      <c r="V757" s="5" t="s">
        <v>1716</v>
      </c>
      <c r="W757" s="2" t="s">
        <v>74</v>
      </c>
      <c r="X757" s="2" t="s">
        <v>74</v>
      </c>
      <c r="Y757" s="2" t="s">
        <v>74</v>
      </c>
      <c r="Z757" s="2" t="s">
        <v>74</v>
      </c>
      <c r="AA757" s="2" t="s">
        <v>1717</v>
      </c>
      <c r="AB757" s="2" t="s">
        <v>1718</v>
      </c>
      <c r="AC757" s="2" t="s">
        <v>74</v>
      </c>
      <c r="AD757" s="2" t="s">
        <v>74</v>
      </c>
      <c r="AE757" s="2" t="s">
        <v>74</v>
      </c>
      <c r="AF757" s="2" t="s">
        <v>74</v>
      </c>
      <c r="AG757" s="2" t="s">
        <v>74</v>
      </c>
      <c r="AH757" s="2" t="s">
        <v>74</v>
      </c>
      <c r="AI757" s="2" t="s">
        <v>74</v>
      </c>
      <c r="AJ757" s="2" t="s">
        <v>74</v>
      </c>
      <c r="AK757" s="2" t="s">
        <v>74</v>
      </c>
      <c r="AL757" s="2" t="s">
        <v>74</v>
      </c>
      <c r="AM757" s="2" t="s">
        <v>74</v>
      </c>
      <c r="AN757" s="2" t="s">
        <v>74</v>
      </c>
      <c r="AO757" s="2" t="s">
        <v>1114</v>
      </c>
      <c r="AP757" s="2" t="s">
        <v>1115</v>
      </c>
      <c r="AQ757" s="2" t="s">
        <v>74</v>
      </c>
      <c r="AR757" s="2" t="s">
        <v>74</v>
      </c>
      <c r="AS757" s="2" t="s">
        <v>74</v>
      </c>
      <c r="AT757" s="2" t="s">
        <v>123</v>
      </c>
      <c r="AU757" s="2">
        <v>2020</v>
      </c>
      <c r="AV757" s="2">
        <v>224</v>
      </c>
      <c r="AW757" s="2" t="s">
        <v>74</v>
      </c>
      <c r="AX757" s="2" t="s">
        <v>74</v>
      </c>
      <c r="AY757" s="2" t="s">
        <v>74</v>
      </c>
      <c r="AZ757" s="2" t="s">
        <v>74</v>
      </c>
      <c r="BA757" s="2" t="s">
        <v>74</v>
      </c>
      <c r="BB757" s="2" t="s">
        <v>74</v>
      </c>
      <c r="BC757" s="2" t="s">
        <v>74</v>
      </c>
      <c r="BD757" s="2">
        <v>104939</v>
      </c>
      <c r="BE757" s="2" t="s">
        <v>1719</v>
      </c>
      <c r="BF757" s="2" t="str">
        <f>HYPERLINK("http://dx.doi.org/10.1016/j.applanim.2020.104939","http://dx.doi.org/10.1016/j.applanim.2020.104939")</f>
        <v>http://dx.doi.org/10.1016/j.applanim.2020.104939</v>
      </c>
      <c r="BG757" s="2" t="s">
        <v>74</v>
      </c>
      <c r="BH757" s="2" t="s">
        <v>74</v>
      </c>
      <c r="BI757" s="2" t="s">
        <v>74</v>
      </c>
      <c r="BJ757" s="2" t="s">
        <v>74</v>
      </c>
      <c r="BK757" s="2" t="s">
        <v>74</v>
      </c>
      <c r="BL757" s="2" t="s">
        <v>74</v>
      </c>
      <c r="BM757" s="2" t="s">
        <v>74</v>
      </c>
      <c r="BN757" s="2" t="s">
        <v>74</v>
      </c>
      <c r="BO757" s="2" t="s">
        <v>74</v>
      </c>
      <c r="BP757" s="2" t="s">
        <v>74</v>
      </c>
      <c r="BQ757" s="2" t="s">
        <v>74</v>
      </c>
      <c r="BR757" s="2" t="s">
        <v>74</v>
      </c>
      <c r="BS757" s="2" t="s">
        <v>1720</v>
      </c>
      <c r="BT757" s="2" t="str">
        <f>HYPERLINK("https%3A%2F%2Fwww.webofscience.com%2Fwos%2Fwoscc%2Ffull-record%2FWOS:000524493000008","View Full Record in Web of Science")</f>
        <v>View Full Record in Web of Science</v>
      </c>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row>
    <row r="758" spans="1:314" s="7" customFormat="1" x14ac:dyDescent="0.4">
      <c r="A758" s="2" t="s">
        <v>72</v>
      </c>
      <c r="B758" s="2" t="s">
        <v>4811</v>
      </c>
      <c r="C758" s="2" t="s">
        <v>74</v>
      </c>
      <c r="D758" s="2" t="s">
        <v>74</v>
      </c>
      <c r="E758" s="2" t="s">
        <v>74</v>
      </c>
      <c r="F758" s="2" t="s">
        <v>4812</v>
      </c>
      <c r="G758" s="2" t="s">
        <v>74</v>
      </c>
      <c r="H758" s="2" t="s">
        <v>74</v>
      </c>
      <c r="I758" s="2" t="s">
        <v>4813</v>
      </c>
      <c r="J758" s="2" t="s">
        <v>2248</v>
      </c>
      <c r="K758" s="2" t="s">
        <v>74</v>
      </c>
      <c r="L758" s="2" t="s">
        <v>74</v>
      </c>
      <c r="M758" s="2" t="s">
        <v>74</v>
      </c>
      <c r="N758" s="2" t="s">
        <v>74</v>
      </c>
      <c r="O758" s="2" t="s">
        <v>74</v>
      </c>
      <c r="P758" s="2" t="s">
        <v>74</v>
      </c>
      <c r="Q758" s="2" t="s">
        <v>74</v>
      </c>
      <c r="R758" s="2" t="s">
        <v>74</v>
      </c>
      <c r="S758" s="2" t="s">
        <v>74</v>
      </c>
      <c r="T758" s="2" t="s">
        <v>74</v>
      </c>
      <c r="U758" s="2" t="s">
        <v>74</v>
      </c>
      <c r="V758" s="5" t="s">
        <v>4814</v>
      </c>
      <c r="W758" s="2" t="s">
        <v>74</v>
      </c>
      <c r="X758" s="2" t="s">
        <v>74</v>
      </c>
      <c r="Y758" s="2" t="s">
        <v>74</v>
      </c>
      <c r="Z758" s="2" t="s">
        <v>74</v>
      </c>
      <c r="AA758" s="2" t="s">
        <v>4815</v>
      </c>
      <c r="AB758" s="2" t="s">
        <v>4816</v>
      </c>
      <c r="AC758" s="2" t="s">
        <v>74</v>
      </c>
      <c r="AD758" s="2" t="s">
        <v>74</v>
      </c>
      <c r="AE758" s="2" t="s">
        <v>74</v>
      </c>
      <c r="AF758" s="2" t="s">
        <v>74</v>
      </c>
      <c r="AG758" s="2" t="s">
        <v>74</v>
      </c>
      <c r="AH758" s="2" t="s">
        <v>74</v>
      </c>
      <c r="AI758" s="2" t="s">
        <v>74</v>
      </c>
      <c r="AJ758" s="2" t="s">
        <v>74</v>
      </c>
      <c r="AK758" s="2" t="s">
        <v>74</v>
      </c>
      <c r="AL758" s="2" t="s">
        <v>74</v>
      </c>
      <c r="AM758" s="2" t="s">
        <v>74</v>
      </c>
      <c r="AN758" s="2" t="s">
        <v>74</v>
      </c>
      <c r="AO758" s="2" t="s">
        <v>2251</v>
      </c>
      <c r="AP758" s="2" t="s">
        <v>2252</v>
      </c>
      <c r="AQ758" s="2" t="s">
        <v>74</v>
      </c>
      <c r="AR758" s="2" t="s">
        <v>74</v>
      </c>
      <c r="AS758" s="2" t="s">
        <v>74</v>
      </c>
      <c r="AT758" s="2" t="s">
        <v>4817</v>
      </c>
      <c r="AU758" s="2">
        <v>2021</v>
      </c>
      <c r="AV758" s="2">
        <v>24</v>
      </c>
      <c r="AW758" s="2">
        <v>2</v>
      </c>
      <c r="AX758" s="2" t="s">
        <v>74</v>
      </c>
      <c r="AY758" s="2" t="s">
        <v>74</v>
      </c>
      <c r="AZ758" s="2" t="s">
        <v>74</v>
      </c>
      <c r="BA758" s="2" t="s">
        <v>74</v>
      </c>
      <c r="BB758" s="2">
        <v>107</v>
      </c>
      <c r="BC758" s="2">
        <v>116</v>
      </c>
      <c r="BD758" s="2" t="s">
        <v>74</v>
      </c>
      <c r="BE758" s="2" t="s">
        <v>4818</v>
      </c>
      <c r="BF758" s="2" t="str">
        <f>HYPERLINK("http://dx.doi.org/10.1080/10888705.2021.1872026","http://dx.doi.org/10.1080/10888705.2021.1872026")</f>
        <v>http://dx.doi.org/10.1080/10888705.2021.1872026</v>
      </c>
      <c r="BG758" s="2" t="s">
        <v>74</v>
      </c>
      <c r="BH758" s="2" t="s">
        <v>2962</v>
      </c>
      <c r="BI758" s="2" t="s">
        <v>74</v>
      </c>
      <c r="BJ758" s="2" t="s">
        <v>74</v>
      </c>
      <c r="BK758" s="2" t="s">
        <v>74</v>
      </c>
      <c r="BL758" s="2" t="s">
        <v>74</v>
      </c>
      <c r="BM758" s="2" t="s">
        <v>74</v>
      </c>
      <c r="BN758" s="2">
        <v>33508981</v>
      </c>
      <c r="BO758" s="2" t="s">
        <v>74</v>
      </c>
      <c r="BP758" s="2" t="s">
        <v>74</v>
      </c>
      <c r="BQ758" s="2" t="s">
        <v>74</v>
      </c>
      <c r="BR758" s="2" t="s">
        <v>74</v>
      </c>
      <c r="BS758" s="2" t="s">
        <v>4819</v>
      </c>
      <c r="BT758" s="2" t="str">
        <f>HYPERLINK("https%3A%2F%2Fwww.webofscience.com%2Fwos%2Fwoscc%2Ffull-record%2FWOS:000612753900001","View Full Record in Web of Science")</f>
        <v>View Full Record in Web of Science</v>
      </c>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row>
    <row r="759" spans="1:314" s="2" customFormat="1" x14ac:dyDescent="0.4">
      <c r="A759" s="2" t="s">
        <v>72</v>
      </c>
      <c r="B759" s="2" t="s">
        <v>2668</v>
      </c>
      <c r="C759" s="2" t="s">
        <v>74</v>
      </c>
      <c r="D759" s="2" t="s">
        <v>74</v>
      </c>
      <c r="E759" s="2" t="s">
        <v>74</v>
      </c>
      <c r="F759" s="2" t="s">
        <v>2669</v>
      </c>
      <c r="G759" s="2" t="s">
        <v>74</v>
      </c>
      <c r="H759" s="2" t="s">
        <v>74</v>
      </c>
      <c r="I759" s="2" t="s">
        <v>2670</v>
      </c>
      <c r="J759" s="2" t="s">
        <v>610</v>
      </c>
      <c r="K759" s="2" t="s">
        <v>74</v>
      </c>
      <c r="L759" s="2" t="s">
        <v>74</v>
      </c>
      <c r="M759" s="2" t="s">
        <v>74</v>
      </c>
      <c r="N759" s="2" t="s">
        <v>74</v>
      </c>
      <c r="O759" s="2" t="s">
        <v>74</v>
      </c>
      <c r="P759" s="2" t="s">
        <v>74</v>
      </c>
      <c r="Q759" s="2" t="s">
        <v>74</v>
      </c>
      <c r="R759" s="2" t="s">
        <v>74</v>
      </c>
      <c r="S759" s="2" t="s">
        <v>74</v>
      </c>
      <c r="T759" s="2" t="s">
        <v>74</v>
      </c>
      <c r="U759" s="2" t="s">
        <v>74</v>
      </c>
      <c r="V759" s="5" t="s">
        <v>2671</v>
      </c>
      <c r="W759" s="2" t="s">
        <v>74</v>
      </c>
      <c r="X759" s="2" t="s">
        <v>74</v>
      </c>
      <c r="Y759" s="2" t="s">
        <v>74</v>
      </c>
      <c r="Z759" s="2" t="s">
        <v>74</v>
      </c>
      <c r="AA759" s="2" t="s">
        <v>74</v>
      </c>
      <c r="AB759" s="2" t="s">
        <v>74</v>
      </c>
      <c r="AC759" s="2" t="s">
        <v>74</v>
      </c>
      <c r="AD759" s="2" t="s">
        <v>74</v>
      </c>
      <c r="AE759" s="2" t="s">
        <v>74</v>
      </c>
      <c r="AF759" s="2" t="s">
        <v>74</v>
      </c>
      <c r="AG759" s="2" t="s">
        <v>74</v>
      </c>
      <c r="AH759" s="2" t="s">
        <v>74</v>
      </c>
      <c r="AI759" s="2" t="s">
        <v>74</v>
      </c>
      <c r="AJ759" s="2" t="s">
        <v>74</v>
      </c>
      <c r="AK759" s="2" t="s">
        <v>74</v>
      </c>
      <c r="AL759" s="2" t="s">
        <v>74</v>
      </c>
      <c r="AM759" s="2" t="s">
        <v>74</v>
      </c>
      <c r="AN759" s="2" t="s">
        <v>74</v>
      </c>
      <c r="AO759" s="2" t="s">
        <v>614</v>
      </c>
      <c r="AP759" s="2" t="s">
        <v>615</v>
      </c>
      <c r="AQ759" s="2" t="s">
        <v>74</v>
      </c>
      <c r="AR759" s="2" t="s">
        <v>74</v>
      </c>
      <c r="AS759" s="2" t="s">
        <v>74</v>
      </c>
      <c r="AT759" s="2" t="s">
        <v>352</v>
      </c>
      <c r="AU759" s="2">
        <v>2012</v>
      </c>
      <c r="AV759" s="2">
        <v>118</v>
      </c>
      <c r="AW759" s="2">
        <v>9</v>
      </c>
      <c r="AX759" s="2" t="s">
        <v>74</v>
      </c>
      <c r="AY759" s="2" t="s">
        <v>74</v>
      </c>
      <c r="AZ759" s="2" t="s">
        <v>74</v>
      </c>
      <c r="BA759" s="2" t="s">
        <v>74</v>
      </c>
      <c r="BB759" s="2">
        <v>906</v>
      </c>
      <c r="BC759" s="2">
        <v>916</v>
      </c>
      <c r="BD759" s="2" t="s">
        <v>74</v>
      </c>
      <c r="BE759" s="2" t="s">
        <v>2672</v>
      </c>
      <c r="BF759" s="2" t="str">
        <f>HYPERLINK("http://dx.doi.org/10.1111/j.1439-0310.2012.02079.x","http://dx.doi.org/10.1111/j.1439-0310.2012.02079.x")</f>
        <v>http://dx.doi.org/10.1111/j.1439-0310.2012.02079.x</v>
      </c>
      <c r="BG759" s="2" t="s">
        <v>74</v>
      </c>
      <c r="BH759" s="2" t="s">
        <v>74</v>
      </c>
      <c r="BI759" s="2" t="s">
        <v>74</v>
      </c>
      <c r="BJ759" s="2" t="s">
        <v>74</v>
      </c>
      <c r="BK759" s="2" t="s">
        <v>74</v>
      </c>
      <c r="BL759" s="2" t="s">
        <v>74</v>
      </c>
      <c r="BM759" s="2" t="s">
        <v>74</v>
      </c>
      <c r="BN759" s="2" t="s">
        <v>74</v>
      </c>
      <c r="BO759" s="2" t="s">
        <v>74</v>
      </c>
      <c r="BP759" s="2" t="s">
        <v>74</v>
      </c>
      <c r="BQ759" s="2" t="s">
        <v>74</v>
      </c>
      <c r="BR759" s="2" t="s">
        <v>74</v>
      </c>
      <c r="BS759" s="2" t="s">
        <v>2673</v>
      </c>
      <c r="BT759" s="2" t="str">
        <f>HYPERLINK("https%3A%2F%2Fwww.webofscience.com%2Fwos%2Fwoscc%2Ffull-record%2FWOS:000306734400012","View Full Record in Web of Science")</f>
        <v>View Full Record in Web of Science</v>
      </c>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row>
    <row r="760" spans="1:314" s="2" customFormat="1" x14ac:dyDescent="0.4">
      <c r="A760" s="2" t="s">
        <v>72</v>
      </c>
      <c r="B760" s="2" t="s">
        <v>2668</v>
      </c>
      <c r="C760" s="2" t="s">
        <v>74</v>
      </c>
      <c r="D760" s="2" t="s">
        <v>74</v>
      </c>
      <c r="E760" s="2" t="s">
        <v>74</v>
      </c>
      <c r="F760" s="2" t="s">
        <v>2669</v>
      </c>
      <c r="G760" s="2" t="s">
        <v>74</v>
      </c>
      <c r="H760" s="2" t="s">
        <v>74</v>
      </c>
      <c r="I760" s="2" t="s">
        <v>4726</v>
      </c>
      <c r="J760" s="2" t="s">
        <v>4727</v>
      </c>
      <c r="K760" s="2" t="s">
        <v>74</v>
      </c>
      <c r="L760" s="2" t="s">
        <v>74</v>
      </c>
      <c r="M760" s="2" t="s">
        <v>74</v>
      </c>
      <c r="N760" s="2" t="s">
        <v>74</v>
      </c>
      <c r="O760" s="2" t="s">
        <v>74</v>
      </c>
      <c r="P760" s="2" t="s">
        <v>74</v>
      </c>
      <c r="Q760" s="2" t="s">
        <v>74</v>
      </c>
      <c r="R760" s="2" t="s">
        <v>74</v>
      </c>
      <c r="S760" s="2" t="s">
        <v>74</v>
      </c>
      <c r="T760" s="2" t="s">
        <v>74</v>
      </c>
      <c r="U760" s="2" t="s">
        <v>74</v>
      </c>
      <c r="V760" s="5" t="s">
        <v>4728</v>
      </c>
      <c r="W760" s="2" t="s">
        <v>74</v>
      </c>
      <c r="X760" s="2" t="s">
        <v>74</v>
      </c>
      <c r="Y760" s="2" t="s">
        <v>74</v>
      </c>
      <c r="Z760" s="2" t="s">
        <v>74</v>
      </c>
      <c r="AA760" s="2" t="s">
        <v>74</v>
      </c>
      <c r="AB760" s="2" t="s">
        <v>4729</v>
      </c>
      <c r="AC760" s="2" t="s">
        <v>74</v>
      </c>
      <c r="AD760" s="2" t="s">
        <v>74</v>
      </c>
      <c r="AE760" s="2" t="s">
        <v>74</v>
      </c>
      <c r="AF760" s="2" t="s">
        <v>74</v>
      </c>
      <c r="AG760" s="2" t="s">
        <v>74</v>
      </c>
      <c r="AH760" s="2" t="s">
        <v>74</v>
      </c>
      <c r="AI760" s="2" t="s">
        <v>74</v>
      </c>
      <c r="AJ760" s="2" t="s">
        <v>74</v>
      </c>
      <c r="AK760" s="2" t="s">
        <v>74</v>
      </c>
      <c r="AL760" s="2" t="s">
        <v>74</v>
      </c>
      <c r="AM760" s="2" t="s">
        <v>74</v>
      </c>
      <c r="AN760" s="2" t="s">
        <v>74</v>
      </c>
      <c r="AO760" s="2" t="s">
        <v>74</v>
      </c>
      <c r="AP760" s="2" t="s">
        <v>4730</v>
      </c>
      <c r="AQ760" s="2" t="s">
        <v>74</v>
      </c>
      <c r="AR760" s="2" t="s">
        <v>74</v>
      </c>
      <c r="AS760" s="2" t="s">
        <v>74</v>
      </c>
      <c r="AT760" s="2" t="s">
        <v>305</v>
      </c>
      <c r="AU760" s="2">
        <v>2021</v>
      </c>
      <c r="AV760" s="2">
        <v>2</v>
      </c>
      <c r="AW760" s="2">
        <v>4</v>
      </c>
      <c r="AX760" s="2" t="s">
        <v>74</v>
      </c>
      <c r="AY760" s="2" t="s">
        <v>74</v>
      </c>
      <c r="AZ760" s="2" t="s">
        <v>74</v>
      </c>
      <c r="BA760" s="2" t="s">
        <v>74</v>
      </c>
      <c r="BB760" s="2">
        <v>404</v>
      </c>
      <c r="BC760" s="2">
        <v>414</v>
      </c>
      <c r="BD760" s="2" t="s">
        <v>74</v>
      </c>
      <c r="BE760" s="2" t="s">
        <v>4731</v>
      </c>
      <c r="BF760" s="2" t="str">
        <f>HYPERLINK("http://dx.doi.org/10.3390/birds2040030","http://dx.doi.org/10.3390/birds2040030")</f>
        <v>http://dx.doi.org/10.3390/birds2040030</v>
      </c>
      <c r="BG760" s="2" t="s">
        <v>74</v>
      </c>
      <c r="BH760" s="2" t="s">
        <v>74</v>
      </c>
      <c r="BI760" s="2" t="s">
        <v>74</v>
      </c>
      <c r="BJ760" s="2" t="s">
        <v>74</v>
      </c>
      <c r="BK760" s="2" t="s">
        <v>74</v>
      </c>
      <c r="BL760" s="2" t="s">
        <v>74</v>
      </c>
      <c r="BM760" s="2" t="s">
        <v>74</v>
      </c>
      <c r="BN760" s="2" t="s">
        <v>74</v>
      </c>
      <c r="BO760" s="2" t="s">
        <v>74</v>
      </c>
      <c r="BP760" s="2" t="s">
        <v>74</v>
      </c>
      <c r="BQ760" s="2" t="s">
        <v>74</v>
      </c>
      <c r="BR760" s="2" t="s">
        <v>74</v>
      </c>
      <c r="BS760" s="2" t="s">
        <v>4732</v>
      </c>
      <c r="BT760" s="2" t="str">
        <f>HYPERLINK("https%3A%2F%2Fwww.webofscience.com%2Fwos%2Fwoscc%2Ffull-record%2FWOS:001123340900001","View Full Record in Web of Science")</f>
        <v>View Full Record in Web of Science</v>
      </c>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row>
    <row r="761" spans="1:314" s="2" customFormat="1" x14ac:dyDescent="0.4">
      <c r="A761" s="2" t="s">
        <v>72</v>
      </c>
      <c r="B761" s="2" t="s">
        <v>2547</v>
      </c>
      <c r="C761" s="2" t="s">
        <v>74</v>
      </c>
      <c r="D761" s="2" t="s">
        <v>74</v>
      </c>
      <c r="E761" s="2" t="s">
        <v>74</v>
      </c>
      <c r="F761" s="2" t="s">
        <v>2548</v>
      </c>
      <c r="G761" s="2" t="s">
        <v>74</v>
      </c>
      <c r="H761" s="2" t="s">
        <v>74</v>
      </c>
      <c r="I761" s="2" t="s">
        <v>2549</v>
      </c>
      <c r="J761" s="2" t="s">
        <v>2550</v>
      </c>
      <c r="K761" s="2" t="s">
        <v>74</v>
      </c>
      <c r="L761" s="2" t="s">
        <v>74</v>
      </c>
      <c r="M761" s="2" t="s">
        <v>74</v>
      </c>
      <c r="N761" s="2" t="s">
        <v>74</v>
      </c>
      <c r="O761" s="2" t="s">
        <v>74</v>
      </c>
      <c r="P761" s="2" t="s">
        <v>74</v>
      </c>
      <c r="Q761" s="2" t="s">
        <v>74</v>
      </c>
      <c r="R761" s="2" t="s">
        <v>74</v>
      </c>
      <c r="S761" s="2" t="s">
        <v>74</v>
      </c>
      <c r="T761" s="2" t="s">
        <v>74</v>
      </c>
      <c r="U761" s="2" t="s">
        <v>74</v>
      </c>
      <c r="V761" s="5" t="s">
        <v>2551</v>
      </c>
      <c r="W761" s="2" t="s">
        <v>74</v>
      </c>
      <c r="X761" s="2" t="s">
        <v>74</v>
      </c>
      <c r="Y761" s="2" t="s">
        <v>74</v>
      </c>
      <c r="Z761" s="2" t="s">
        <v>74</v>
      </c>
      <c r="AA761" s="2" t="s">
        <v>2552</v>
      </c>
      <c r="AB761" s="2" t="s">
        <v>2553</v>
      </c>
      <c r="AC761" s="2" t="s">
        <v>74</v>
      </c>
      <c r="AD761" s="2" t="s">
        <v>74</v>
      </c>
      <c r="AE761" s="2" t="s">
        <v>74</v>
      </c>
      <c r="AF761" s="2" t="s">
        <v>74</v>
      </c>
      <c r="AG761" s="2" t="s">
        <v>74</v>
      </c>
      <c r="AH761" s="2" t="s">
        <v>74</v>
      </c>
      <c r="AI761" s="2" t="s">
        <v>74</v>
      </c>
      <c r="AJ761" s="2" t="s">
        <v>74</v>
      </c>
      <c r="AK761" s="2" t="s">
        <v>74</v>
      </c>
      <c r="AL761" s="2" t="s">
        <v>74</v>
      </c>
      <c r="AM761" s="2" t="s">
        <v>74</v>
      </c>
      <c r="AN761" s="2" t="s">
        <v>74</v>
      </c>
      <c r="AO761" s="2" t="s">
        <v>2554</v>
      </c>
      <c r="AP761" s="2" t="s">
        <v>74</v>
      </c>
      <c r="AQ761" s="2" t="s">
        <v>74</v>
      </c>
      <c r="AR761" s="2" t="s">
        <v>74</v>
      </c>
      <c r="AS761" s="2" t="s">
        <v>74</v>
      </c>
      <c r="AT761" s="2" t="s">
        <v>633</v>
      </c>
      <c r="AU761" s="2">
        <v>2008</v>
      </c>
      <c r="AV761" s="2">
        <v>31</v>
      </c>
      <c r="AW761" s="2">
        <v>5</v>
      </c>
      <c r="AX761" s="2" t="s">
        <v>74</v>
      </c>
      <c r="AY761" s="2" t="s">
        <v>74</v>
      </c>
      <c r="AZ761" s="2" t="s">
        <v>74</v>
      </c>
      <c r="BA761" s="2" t="s">
        <v>74</v>
      </c>
      <c r="BB761" s="2">
        <v>557</v>
      </c>
      <c r="BC761" s="2">
        <v>560</v>
      </c>
      <c r="BD761" s="2" t="s">
        <v>74</v>
      </c>
      <c r="BE761" s="2" t="s">
        <v>2555</v>
      </c>
      <c r="BF761" s="2" t="str">
        <f>HYPERLINK("http://dx.doi.org/10.1007/s00300-007-0387-7","http://dx.doi.org/10.1007/s00300-007-0387-7")</f>
        <v>http://dx.doi.org/10.1007/s00300-007-0387-7</v>
      </c>
      <c r="BG761" s="2" t="s">
        <v>74</v>
      </c>
      <c r="BH761" s="2" t="s">
        <v>74</v>
      </c>
      <c r="BI761" s="2" t="s">
        <v>74</v>
      </c>
      <c r="BJ761" s="2" t="s">
        <v>74</v>
      </c>
      <c r="BK761" s="2" t="s">
        <v>74</v>
      </c>
      <c r="BL761" s="2" t="s">
        <v>74</v>
      </c>
      <c r="BM761" s="2" t="s">
        <v>74</v>
      </c>
      <c r="BN761" s="2" t="s">
        <v>74</v>
      </c>
      <c r="BO761" s="2" t="s">
        <v>74</v>
      </c>
      <c r="BP761" s="2" t="s">
        <v>74</v>
      </c>
      <c r="BQ761" s="2" t="s">
        <v>74</v>
      </c>
      <c r="BR761" s="2" t="s">
        <v>74</v>
      </c>
      <c r="BS761" s="2" t="s">
        <v>2556</v>
      </c>
      <c r="BT761" s="2" t="str">
        <f>HYPERLINK("https%3A%2F%2Fwww.webofscience.com%2Fwos%2Fwoscc%2Ffull-record%2FWOS:000254486900004","View Full Record in Web of Science")</f>
        <v>View Full Record in Web of Science</v>
      </c>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row>
    <row r="762" spans="1:314" s="2" customFormat="1" x14ac:dyDescent="0.4">
      <c r="A762" s="2" t="s">
        <v>72</v>
      </c>
      <c r="B762" s="2" t="s">
        <v>2812</v>
      </c>
      <c r="C762" s="2" t="s">
        <v>74</v>
      </c>
      <c r="D762" s="2" t="s">
        <v>74</v>
      </c>
      <c r="E762" s="2" t="s">
        <v>74</v>
      </c>
      <c r="F762" s="2" t="s">
        <v>2813</v>
      </c>
      <c r="G762" s="2" t="s">
        <v>74</v>
      </c>
      <c r="H762" s="2" t="s">
        <v>74</v>
      </c>
      <c r="I762" s="2" t="s">
        <v>2814</v>
      </c>
      <c r="J762" s="2" t="s">
        <v>1755</v>
      </c>
      <c r="K762" s="2" t="s">
        <v>74</v>
      </c>
      <c r="L762" s="2" t="s">
        <v>74</v>
      </c>
      <c r="M762" s="2" t="s">
        <v>74</v>
      </c>
      <c r="N762" s="2" t="s">
        <v>74</v>
      </c>
      <c r="O762" s="2" t="s">
        <v>74</v>
      </c>
      <c r="P762" s="2" t="s">
        <v>74</v>
      </c>
      <c r="Q762" s="2" t="s">
        <v>74</v>
      </c>
      <c r="R762" s="2" t="s">
        <v>74</v>
      </c>
      <c r="S762" s="2" t="s">
        <v>74</v>
      </c>
      <c r="T762" s="2" t="s">
        <v>74</v>
      </c>
      <c r="U762" s="2" t="s">
        <v>74</v>
      </c>
      <c r="V762" s="5" t="s">
        <v>2815</v>
      </c>
      <c r="W762" s="2" t="s">
        <v>74</v>
      </c>
      <c r="X762" s="2" t="s">
        <v>74</v>
      </c>
      <c r="Y762" s="2" t="s">
        <v>74</v>
      </c>
      <c r="Z762" s="2" t="s">
        <v>74</v>
      </c>
      <c r="AA762" s="2" t="s">
        <v>2816</v>
      </c>
      <c r="AB762" s="2" t="s">
        <v>2817</v>
      </c>
      <c r="AC762" s="2" t="s">
        <v>74</v>
      </c>
      <c r="AD762" s="2" t="s">
        <v>74</v>
      </c>
      <c r="AE762" s="2" t="s">
        <v>74</v>
      </c>
      <c r="AF762" s="2" t="s">
        <v>74</v>
      </c>
      <c r="AG762" s="2" t="s">
        <v>74</v>
      </c>
      <c r="AH762" s="2" t="s">
        <v>74</v>
      </c>
      <c r="AI762" s="2" t="s">
        <v>74</v>
      </c>
      <c r="AJ762" s="2" t="s">
        <v>74</v>
      </c>
      <c r="AK762" s="2" t="s">
        <v>74</v>
      </c>
      <c r="AL762" s="2" t="s">
        <v>74</v>
      </c>
      <c r="AM762" s="2" t="s">
        <v>74</v>
      </c>
      <c r="AN762" s="2" t="s">
        <v>74</v>
      </c>
      <c r="AO762" s="2" t="s">
        <v>1759</v>
      </c>
      <c r="AP762" s="2" t="s">
        <v>1760</v>
      </c>
      <c r="AQ762" s="2" t="s">
        <v>74</v>
      </c>
      <c r="AR762" s="2" t="s">
        <v>74</v>
      </c>
      <c r="AS762" s="2" t="s">
        <v>74</v>
      </c>
      <c r="AT762" s="2" t="s">
        <v>123</v>
      </c>
      <c r="AU762" s="2">
        <v>2015</v>
      </c>
      <c r="AV762" s="2">
        <v>28</v>
      </c>
      <c r="AW762" s="2">
        <v>2</v>
      </c>
      <c r="AX762" s="2" t="s">
        <v>74</v>
      </c>
      <c r="AY762" s="2" t="s">
        <v>74</v>
      </c>
      <c r="AZ762" s="2" t="s">
        <v>74</v>
      </c>
      <c r="BA762" s="2" t="s">
        <v>74</v>
      </c>
      <c r="BB762" s="2">
        <v>175</v>
      </c>
      <c r="BC762" s="2">
        <v>182</v>
      </c>
      <c r="BD762" s="2" t="s">
        <v>74</v>
      </c>
      <c r="BE762" s="2" t="s">
        <v>2818</v>
      </c>
      <c r="BF762" s="2" t="str">
        <f>HYPERLINK("http://dx.doi.org/10.1007/s10905-015-9487-3","http://dx.doi.org/10.1007/s10905-015-9487-3")</f>
        <v>http://dx.doi.org/10.1007/s10905-015-9487-3</v>
      </c>
      <c r="BG762" s="2" t="s">
        <v>74</v>
      </c>
      <c r="BH762" s="2" t="s">
        <v>74</v>
      </c>
      <c r="BI762" s="2" t="s">
        <v>74</v>
      </c>
      <c r="BJ762" s="2" t="s">
        <v>74</v>
      </c>
      <c r="BK762" s="2" t="s">
        <v>74</v>
      </c>
      <c r="BL762" s="2" t="s">
        <v>74</v>
      </c>
      <c r="BM762" s="2" t="s">
        <v>74</v>
      </c>
      <c r="BN762" s="2" t="s">
        <v>74</v>
      </c>
      <c r="BO762" s="2" t="s">
        <v>74</v>
      </c>
      <c r="BP762" s="2" t="s">
        <v>74</v>
      </c>
      <c r="BQ762" s="2" t="s">
        <v>74</v>
      </c>
      <c r="BR762" s="2" t="s">
        <v>74</v>
      </c>
      <c r="BS762" s="2" t="s">
        <v>2819</v>
      </c>
      <c r="BT762" s="2" t="str">
        <f>HYPERLINK("https%3A%2F%2Fwww.webofscience.com%2Fwos%2Fwoscc%2Ffull-record%2FWOS:000351525100009","View Full Record in Web of Science")</f>
        <v>View Full Record in Web of Science</v>
      </c>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row>
    <row r="763" spans="1:314" s="2" customFormat="1" x14ac:dyDescent="0.4">
      <c r="A763" s="2" t="s">
        <v>72</v>
      </c>
      <c r="B763" s="2" t="s">
        <v>5587</v>
      </c>
      <c r="C763" s="2" t="s">
        <v>74</v>
      </c>
      <c r="D763" s="2" t="s">
        <v>74</v>
      </c>
      <c r="E763" s="2" t="s">
        <v>74</v>
      </c>
      <c r="F763" s="2" t="s">
        <v>5588</v>
      </c>
      <c r="G763" s="2" t="s">
        <v>74</v>
      </c>
      <c r="H763" s="2" t="s">
        <v>74</v>
      </c>
      <c r="I763" s="2" t="s">
        <v>5589</v>
      </c>
      <c r="J763" s="2" t="s">
        <v>431</v>
      </c>
      <c r="K763" s="2" t="s">
        <v>74</v>
      </c>
      <c r="L763" s="2" t="s">
        <v>74</v>
      </c>
      <c r="M763" s="2" t="s">
        <v>74</v>
      </c>
      <c r="N763" s="2" t="s">
        <v>74</v>
      </c>
      <c r="O763" s="2" t="s">
        <v>74</v>
      </c>
      <c r="P763" s="2" t="s">
        <v>74</v>
      </c>
      <c r="Q763" s="2" t="s">
        <v>74</v>
      </c>
      <c r="R763" s="2" t="s">
        <v>74</v>
      </c>
      <c r="S763" s="2" t="s">
        <v>74</v>
      </c>
      <c r="T763" s="2" t="s">
        <v>74</v>
      </c>
      <c r="U763" s="2" t="s">
        <v>74</v>
      </c>
      <c r="V763" s="5" t="s">
        <v>5590</v>
      </c>
      <c r="W763" s="2" t="s">
        <v>74</v>
      </c>
      <c r="X763" s="2" t="s">
        <v>74</v>
      </c>
      <c r="Y763" s="2" t="s">
        <v>74</v>
      </c>
      <c r="Z763" s="2" t="s">
        <v>74</v>
      </c>
      <c r="AA763" s="2" t="s">
        <v>5591</v>
      </c>
      <c r="AB763" s="2" t="s">
        <v>5592</v>
      </c>
      <c r="AC763" s="2" t="s">
        <v>74</v>
      </c>
      <c r="AD763" s="2" t="s">
        <v>74</v>
      </c>
      <c r="AE763" s="2" t="s">
        <v>74</v>
      </c>
      <c r="AF763" s="2" t="s">
        <v>74</v>
      </c>
      <c r="AG763" s="2" t="s">
        <v>74</v>
      </c>
      <c r="AH763" s="2" t="s">
        <v>74</v>
      </c>
      <c r="AI763" s="2" t="s">
        <v>74</v>
      </c>
      <c r="AJ763" s="2" t="s">
        <v>74</v>
      </c>
      <c r="AK763" s="2" t="s">
        <v>74</v>
      </c>
      <c r="AL763" s="2" t="s">
        <v>74</v>
      </c>
      <c r="AM763" s="2" t="s">
        <v>74</v>
      </c>
      <c r="AN763" s="2" t="s">
        <v>74</v>
      </c>
      <c r="AO763" s="2" t="s">
        <v>1458</v>
      </c>
      <c r="AP763" s="2" t="s">
        <v>435</v>
      </c>
      <c r="AQ763" s="2" t="s">
        <v>74</v>
      </c>
      <c r="AR763" s="2" t="s">
        <v>74</v>
      </c>
      <c r="AS763" s="2" t="s">
        <v>74</v>
      </c>
      <c r="AT763" s="2" t="s">
        <v>175</v>
      </c>
      <c r="AU763" s="2">
        <v>2007</v>
      </c>
      <c r="AV763" s="2">
        <v>124</v>
      </c>
      <c r="AW763" s="2">
        <v>4</v>
      </c>
      <c r="AX763" s="2" t="s">
        <v>74</v>
      </c>
      <c r="AY763" s="2" t="s">
        <v>74</v>
      </c>
      <c r="AZ763" s="2" t="s">
        <v>74</v>
      </c>
      <c r="BA763" s="2" t="s">
        <v>74</v>
      </c>
      <c r="BB763" s="2">
        <v>1330</v>
      </c>
      <c r="BC763" s="2">
        <v>1335</v>
      </c>
      <c r="BD763" s="2" t="s">
        <v>74</v>
      </c>
      <c r="BE763" s="2" t="s">
        <v>5593</v>
      </c>
      <c r="BF763" s="2" t="str">
        <f>HYPERLINK("http://dx.doi.org/10.1642/0004-8038(2007)124[1330:AGATDP]2.0.CO;2","http://dx.doi.org/10.1642/0004-8038(2007)124[1330:AGATDP]2.0.CO;2")</f>
        <v>http://dx.doi.org/10.1642/0004-8038(2007)124[1330:AGATDP]2.0.CO;2</v>
      </c>
      <c r="BG763" s="2" t="s">
        <v>74</v>
      </c>
      <c r="BH763" s="2" t="s">
        <v>74</v>
      </c>
      <c r="BI763" s="2" t="s">
        <v>74</v>
      </c>
      <c r="BJ763" s="2" t="s">
        <v>74</v>
      </c>
      <c r="BK763" s="2" t="s">
        <v>74</v>
      </c>
      <c r="BL763" s="2" t="s">
        <v>74</v>
      </c>
      <c r="BM763" s="2" t="s">
        <v>74</v>
      </c>
      <c r="BN763" s="2" t="s">
        <v>74</v>
      </c>
      <c r="BO763" s="2" t="s">
        <v>74</v>
      </c>
      <c r="BP763" s="2" t="s">
        <v>74</v>
      </c>
      <c r="BQ763" s="2" t="s">
        <v>74</v>
      </c>
      <c r="BR763" s="2" t="s">
        <v>74</v>
      </c>
      <c r="BS763" s="2" t="s">
        <v>5594</v>
      </c>
      <c r="BT763" s="2" t="str">
        <f>HYPERLINK("https%3A%2F%2Fwww.webofscience.com%2Fwos%2Fwoscc%2Ffull-record%2FWOS:000251446100017","View Full Record in Web of Science")</f>
        <v>View Full Record in Web of Science</v>
      </c>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row>
    <row r="764" spans="1:314" s="2" customFormat="1" x14ac:dyDescent="0.4">
      <c r="A764" s="2" t="s">
        <v>72</v>
      </c>
      <c r="B764" s="2" t="s">
        <v>3368</v>
      </c>
      <c r="C764" s="2" t="s">
        <v>74</v>
      </c>
      <c r="D764" s="2" t="s">
        <v>74</v>
      </c>
      <c r="E764" s="2" t="s">
        <v>74</v>
      </c>
      <c r="F764" s="2" t="s">
        <v>3368</v>
      </c>
      <c r="G764" s="2" t="s">
        <v>74</v>
      </c>
      <c r="H764" s="2" t="s">
        <v>74</v>
      </c>
      <c r="I764" s="2" t="s">
        <v>3369</v>
      </c>
      <c r="J764" s="2" t="s">
        <v>201</v>
      </c>
      <c r="K764" s="2" t="s">
        <v>74</v>
      </c>
      <c r="L764" s="2" t="s">
        <v>74</v>
      </c>
      <c r="M764" s="2" t="s">
        <v>74</v>
      </c>
      <c r="N764" s="2" t="s">
        <v>74</v>
      </c>
      <c r="O764" s="2" t="s">
        <v>74</v>
      </c>
      <c r="P764" s="2" t="s">
        <v>74</v>
      </c>
      <c r="Q764" s="2" t="s">
        <v>74</v>
      </c>
      <c r="R764" s="2" t="s">
        <v>74</v>
      </c>
      <c r="S764" s="2" t="s">
        <v>74</v>
      </c>
      <c r="T764" s="2" t="s">
        <v>74</v>
      </c>
      <c r="U764" s="2" t="s">
        <v>74</v>
      </c>
      <c r="V764" s="5" t="s">
        <v>3370</v>
      </c>
      <c r="W764" s="2" t="s">
        <v>74</v>
      </c>
      <c r="X764" s="2" t="s">
        <v>74</v>
      </c>
      <c r="Y764" s="2" t="s">
        <v>74</v>
      </c>
      <c r="Z764" s="2" t="s">
        <v>74</v>
      </c>
      <c r="AA764" s="2" t="s">
        <v>74</v>
      </c>
      <c r="AB764" s="2" t="s">
        <v>74</v>
      </c>
      <c r="AC764" s="2" t="s">
        <v>74</v>
      </c>
      <c r="AD764" s="2" t="s">
        <v>74</v>
      </c>
      <c r="AE764" s="2" t="s">
        <v>74</v>
      </c>
      <c r="AF764" s="2" t="s">
        <v>74</v>
      </c>
      <c r="AG764" s="2" t="s">
        <v>74</v>
      </c>
      <c r="AH764" s="2" t="s">
        <v>74</v>
      </c>
      <c r="AI764" s="2" t="s">
        <v>74</v>
      </c>
      <c r="AJ764" s="2" t="s">
        <v>74</v>
      </c>
      <c r="AK764" s="2" t="s">
        <v>74</v>
      </c>
      <c r="AL764" s="2" t="s">
        <v>74</v>
      </c>
      <c r="AM764" s="2" t="s">
        <v>74</v>
      </c>
      <c r="AN764" s="2" t="s">
        <v>74</v>
      </c>
      <c r="AO764" s="2" t="s">
        <v>203</v>
      </c>
      <c r="AP764" s="2" t="s">
        <v>74</v>
      </c>
      <c r="AQ764" s="2" t="s">
        <v>74</v>
      </c>
      <c r="AR764" s="2" t="s">
        <v>74</v>
      </c>
      <c r="AS764" s="2" t="s">
        <v>74</v>
      </c>
      <c r="AT764" s="2" t="s">
        <v>352</v>
      </c>
      <c r="AU764" s="2">
        <v>1996</v>
      </c>
      <c r="AV764" s="2">
        <v>49</v>
      </c>
      <c r="AW764" s="2">
        <v>3</v>
      </c>
      <c r="AX764" s="2" t="s">
        <v>74</v>
      </c>
      <c r="AY764" s="2" t="s">
        <v>74</v>
      </c>
      <c r="AZ764" s="2" t="s">
        <v>74</v>
      </c>
      <c r="BA764" s="2" t="s">
        <v>74</v>
      </c>
      <c r="BB764" s="2">
        <v>494</v>
      </c>
      <c r="BC764" s="2">
        <v>500</v>
      </c>
      <c r="BD764" s="2" t="s">
        <v>74</v>
      </c>
      <c r="BE764" s="2" t="s">
        <v>74</v>
      </c>
      <c r="BF764" s="2" t="s">
        <v>74</v>
      </c>
      <c r="BG764" s="2" t="s">
        <v>74</v>
      </c>
      <c r="BH764" s="2" t="s">
        <v>74</v>
      </c>
      <c r="BI764" s="2" t="s">
        <v>74</v>
      </c>
      <c r="BJ764" s="2" t="s">
        <v>74</v>
      </c>
      <c r="BK764" s="2" t="s">
        <v>74</v>
      </c>
      <c r="BL764" s="2" t="s">
        <v>74</v>
      </c>
      <c r="BM764" s="2" t="s">
        <v>74</v>
      </c>
      <c r="BN764" s="2" t="s">
        <v>74</v>
      </c>
      <c r="BO764" s="2" t="s">
        <v>74</v>
      </c>
      <c r="BP764" s="2" t="s">
        <v>74</v>
      </c>
      <c r="BQ764" s="2" t="s">
        <v>74</v>
      </c>
      <c r="BR764" s="2" t="s">
        <v>74</v>
      </c>
      <c r="BS764" s="2" t="s">
        <v>3371</v>
      </c>
      <c r="BT764" s="2" t="str">
        <f>HYPERLINK("https%3A%2F%2Fwww.webofscience.com%2Fwos%2Fwoscc%2Ffull-record%2FWOS:A1996VQ32100010","View Full Record in Web of Science")</f>
        <v>View Full Record in Web of Science</v>
      </c>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row>
    <row r="765" spans="1:314" s="2" customFormat="1" x14ac:dyDescent="0.4">
      <c r="A765" s="2" t="s">
        <v>72</v>
      </c>
      <c r="B765" s="2" t="s">
        <v>3586</v>
      </c>
      <c r="C765" s="2" t="s">
        <v>74</v>
      </c>
      <c r="D765" s="2" t="s">
        <v>74</v>
      </c>
      <c r="E765" s="2" t="s">
        <v>74</v>
      </c>
      <c r="F765" s="2" t="s">
        <v>3587</v>
      </c>
      <c r="G765" s="2" t="s">
        <v>74</v>
      </c>
      <c r="H765" s="2" t="s">
        <v>74</v>
      </c>
      <c r="I765" s="2" t="s">
        <v>3588</v>
      </c>
      <c r="J765" s="2" t="s">
        <v>814</v>
      </c>
      <c r="K765" s="2" t="s">
        <v>74</v>
      </c>
      <c r="L765" s="2" t="s">
        <v>74</v>
      </c>
      <c r="M765" s="2" t="s">
        <v>74</v>
      </c>
      <c r="N765" s="2" t="s">
        <v>74</v>
      </c>
      <c r="O765" s="2" t="s">
        <v>74</v>
      </c>
      <c r="P765" s="2" t="s">
        <v>74</v>
      </c>
      <c r="Q765" s="2" t="s">
        <v>74</v>
      </c>
      <c r="R765" s="2" t="s">
        <v>74</v>
      </c>
      <c r="S765" s="2" t="s">
        <v>74</v>
      </c>
      <c r="T765" s="2" t="s">
        <v>74</v>
      </c>
      <c r="U765" s="2" t="s">
        <v>74</v>
      </c>
      <c r="V765" s="5" t="s">
        <v>3589</v>
      </c>
      <c r="W765" s="2" t="s">
        <v>74</v>
      </c>
      <c r="X765" s="2" t="s">
        <v>74</v>
      </c>
      <c r="Y765" s="2" t="s">
        <v>74</v>
      </c>
      <c r="Z765" s="2" t="s">
        <v>74</v>
      </c>
      <c r="AA765" s="2" t="s">
        <v>74</v>
      </c>
      <c r="AB765" s="2" t="s">
        <v>74</v>
      </c>
      <c r="AC765" s="2" t="s">
        <v>74</v>
      </c>
      <c r="AD765" s="2" t="s">
        <v>74</v>
      </c>
      <c r="AE765" s="2" t="s">
        <v>74</v>
      </c>
      <c r="AF765" s="2" t="s">
        <v>74</v>
      </c>
      <c r="AG765" s="2" t="s">
        <v>74</v>
      </c>
      <c r="AH765" s="2" t="s">
        <v>74</v>
      </c>
      <c r="AI765" s="2" t="s">
        <v>74</v>
      </c>
      <c r="AJ765" s="2" t="s">
        <v>74</v>
      </c>
      <c r="AK765" s="2" t="s">
        <v>74</v>
      </c>
      <c r="AL765" s="2" t="s">
        <v>74</v>
      </c>
      <c r="AM765" s="2" t="s">
        <v>74</v>
      </c>
      <c r="AN765" s="2" t="s">
        <v>74</v>
      </c>
      <c r="AO765" s="2" t="s">
        <v>818</v>
      </c>
      <c r="AP765" s="2" t="s">
        <v>1505</v>
      </c>
      <c r="AQ765" s="2" t="s">
        <v>74</v>
      </c>
      <c r="AR765" s="2" t="s">
        <v>74</v>
      </c>
      <c r="AS765" s="2" t="s">
        <v>74</v>
      </c>
      <c r="AT765" s="2" t="s">
        <v>305</v>
      </c>
      <c r="AU765" s="2">
        <v>2023</v>
      </c>
      <c r="AV765" s="2">
        <v>161</v>
      </c>
      <c r="AW765" s="2" t="s">
        <v>74</v>
      </c>
      <c r="AX765" s="2" t="s">
        <v>74</v>
      </c>
      <c r="AY765" s="2" t="s">
        <v>74</v>
      </c>
      <c r="AZ765" s="2" t="s">
        <v>74</v>
      </c>
      <c r="BA765" s="2" t="s">
        <v>74</v>
      </c>
      <c r="BB765" s="2" t="s">
        <v>74</v>
      </c>
      <c r="BC765" s="2" t="s">
        <v>74</v>
      </c>
      <c r="BD765" s="2">
        <v>126128</v>
      </c>
      <c r="BE765" s="2" t="s">
        <v>3590</v>
      </c>
      <c r="BF765" s="2" t="str">
        <f>HYPERLINK("http://dx.doi.org/10.1016/j.zool.2023.126128","http://dx.doi.org/10.1016/j.zool.2023.126128")</f>
        <v>http://dx.doi.org/10.1016/j.zool.2023.126128</v>
      </c>
      <c r="BG765" s="2" t="s">
        <v>74</v>
      </c>
      <c r="BH765" s="2" t="s">
        <v>902</v>
      </c>
      <c r="BI765" s="2" t="s">
        <v>74</v>
      </c>
      <c r="BJ765" s="2" t="s">
        <v>74</v>
      </c>
      <c r="BK765" s="2" t="s">
        <v>74</v>
      </c>
      <c r="BL765" s="2" t="s">
        <v>74</v>
      </c>
      <c r="BM765" s="2" t="s">
        <v>74</v>
      </c>
      <c r="BN765" s="2">
        <v>37839289</v>
      </c>
      <c r="BO765" s="2" t="s">
        <v>74</v>
      </c>
      <c r="BP765" s="2" t="s">
        <v>74</v>
      </c>
      <c r="BQ765" s="2" t="s">
        <v>74</v>
      </c>
      <c r="BR765" s="2" t="s">
        <v>74</v>
      </c>
      <c r="BS765" s="2" t="s">
        <v>3591</v>
      </c>
      <c r="BT765" s="2" t="str">
        <f>HYPERLINK("https%3A%2F%2Fwww.webofscience.com%2Fwos%2Fwoscc%2Ffull-record%2FWOS:001098666600001","View Full Record in Web of Science")</f>
        <v>View Full Record in Web of Science</v>
      </c>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row>
    <row r="766" spans="1:314" s="2" customFormat="1" x14ac:dyDescent="0.4">
      <c r="A766" s="2" t="s">
        <v>72</v>
      </c>
      <c r="B766" s="2" t="s">
        <v>4673</v>
      </c>
      <c r="C766" s="2" t="s">
        <v>74</v>
      </c>
      <c r="D766" s="2" t="s">
        <v>74</v>
      </c>
      <c r="E766" s="2" t="s">
        <v>74</v>
      </c>
      <c r="F766" s="2" t="s">
        <v>4673</v>
      </c>
      <c r="G766" s="2" t="s">
        <v>74</v>
      </c>
      <c r="H766" s="2" t="s">
        <v>74</v>
      </c>
      <c r="I766" s="2" t="s">
        <v>4674</v>
      </c>
      <c r="J766" s="2" t="s">
        <v>1755</v>
      </c>
      <c r="K766" s="2" t="s">
        <v>74</v>
      </c>
      <c r="L766" s="2" t="s">
        <v>74</v>
      </c>
      <c r="M766" s="2" t="s">
        <v>74</v>
      </c>
      <c r="N766" s="2" t="s">
        <v>74</v>
      </c>
      <c r="O766" s="2" t="s">
        <v>74</v>
      </c>
      <c r="P766" s="2" t="s">
        <v>74</v>
      </c>
      <c r="Q766" s="2" t="s">
        <v>74</v>
      </c>
      <c r="R766" s="2" t="s">
        <v>74</v>
      </c>
      <c r="S766" s="2" t="s">
        <v>74</v>
      </c>
      <c r="T766" s="2" t="s">
        <v>74</v>
      </c>
      <c r="U766" s="2" t="s">
        <v>74</v>
      </c>
      <c r="V766" s="5" t="s">
        <v>4675</v>
      </c>
      <c r="W766" s="2" t="s">
        <v>74</v>
      </c>
      <c r="X766" s="2" t="s">
        <v>74</v>
      </c>
      <c r="Y766" s="2" t="s">
        <v>74</v>
      </c>
      <c r="Z766" s="2" t="s">
        <v>74</v>
      </c>
      <c r="AA766" s="2" t="s">
        <v>2989</v>
      </c>
      <c r="AB766" s="2" t="s">
        <v>4093</v>
      </c>
      <c r="AC766" s="2" t="s">
        <v>74</v>
      </c>
      <c r="AD766" s="2" t="s">
        <v>74</v>
      </c>
      <c r="AE766" s="2" t="s">
        <v>74</v>
      </c>
      <c r="AF766" s="2" t="s">
        <v>74</v>
      </c>
      <c r="AG766" s="2" t="s">
        <v>74</v>
      </c>
      <c r="AH766" s="2" t="s">
        <v>74</v>
      </c>
      <c r="AI766" s="2" t="s">
        <v>74</v>
      </c>
      <c r="AJ766" s="2" t="s">
        <v>74</v>
      </c>
      <c r="AK766" s="2" t="s">
        <v>74</v>
      </c>
      <c r="AL766" s="2" t="s">
        <v>74</v>
      </c>
      <c r="AM766" s="2" t="s">
        <v>74</v>
      </c>
      <c r="AN766" s="2" t="s">
        <v>74</v>
      </c>
      <c r="AO766" s="2" t="s">
        <v>1759</v>
      </c>
      <c r="AP766" s="2" t="s">
        <v>1760</v>
      </c>
      <c r="AQ766" s="2" t="s">
        <v>74</v>
      </c>
      <c r="AR766" s="2" t="s">
        <v>74</v>
      </c>
      <c r="AS766" s="2" t="s">
        <v>74</v>
      </c>
      <c r="AT766" s="2" t="s">
        <v>213</v>
      </c>
      <c r="AU766" s="2">
        <v>1999</v>
      </c>
      <c r="AV766" s="2">
        <v>12</v>
      </c>
      <c r="AW766" s="2">
        <v>6</v>
      </c>
      <c r="AX766" s="2" t="s">
        <v>74</v>
      </c>
      <c r="AY766" s="2" t="s">
        <v>74</v>
      </c>
      <c r="AZ766" s="2" t="s">
        <v>74</v>
      </c>
      <c r="BA766" s="2" t="s">
        <v>74</v>
      </c>
      <c r="BB766" s="2">
        <v>801</v>
      </c>
      <c r="BC766" s="2">
        <v>814</v>
      </c>
      <c r="BD766" s="2" t="s">
        <v>74</v>
      </c>
      <c r="BE766" s="2" t="s">
        <v>4676</v>
      </c>
      <c r="BF766" s="2" t="str">
        <f>HYPERLINK("http://dx.doi.org/10.1023/A:1020957110842","http://dx.doi.org/10.1023/A:1020957110842")</f>
        <v>http://dx.doi.org/10.1023/A:1020957110842</v>
      </c>
      <c r="BG766" s="2" t="s">
        <v>74</v>
      </c>
      <c r="BH766" s="2" t="s">
        <v>74</v>
      </c>
      <c r="BI766" s="2" t="s">
        <v>74</v>
      </c>
      <c r="BJ766" s="2" t="s">
        <v>74</v>
      </c>
      <c r="BK766" s="2" t="s">
        <v>74</v>
      </c>
      <c r="BL766" s="2" t="s">
        <v>74</v>
      </c>
      <c r="BM766" s="2" t="s">
        <v>74</v>
      </c>
      <c r="BN766" s="2" t="s">
        <v>74</v>
      </c>
      <c r="BO766" s="2" t="s">
        <v>74</v>
      </c>
      <c r="BP766" s="2" t="s">
        <v>74</v>
      </c>
      <c r="BQ766" s="2" t="s">
        <v>74</v>
      </c>
      <c r="BR766" s="2" t="s">
        <v>74</v>
      </c>
      <c r="BS766" s="2" t="s">
        <v>4677</v>
      </c>
      <c r="BT766" s="2" t="str">
        <f>HYPERLINK("https%3A%2F%2Fwww.webofscience.com%2Fwos%2Fwoscc%2Ffull-record%2FWOS:000087352400006","View Full Record in Web of Science")</f>
        <v>View Full Record in Web of Science</v>
      </c>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row>
    <row r="767" spans="1:314" s="2" customFormat="1" x14ac:dyDescent="0.4">
      <c r="A767" s="2" t="s">
        <v>72</v>
      </c>
      <c r="B767" s="2" t="s">
        <v>4957</v>
      </c>
      <c r="C767" s="2" t="s">
        <v>74</v>
      </c>
      <c r="D767" s="2" t="s">
        <v>74</v>
      </c>
      <c r="E767" s="2" t="s">
        <v>74</v>
      </c>
      <c r="F767" s="2" t="s">
        <v>4958</v>
      </c>
      <c r="G767" s="2" t="s">
        <v>74</v>
      </c>
      <c r="H767" s="2" t="s">
        <v>74</v>
      </c>
      <c r="I767" s="2" t="s">
        <v>4959</v>
      </c>
      <c r="J767" s="2" t="s">
        <v>367</v>
      </c>
      <c r="K767" s="2" t="s">
        <v>74</v>
      </c>
      <c r="L767" s="2" t="s">
        <v>74</v>
      </c>
      <c r="M767" s="2" t="s">
        <v>74</v>
      </c>
      <c r="N767" s="2" t="s">
        <v>74</v>
      </c>
      <c r="O767" s="2" t="s">
        <v>74</v>
      </c>
      <c r="P767" s="2" t="s">
        <v>74</v>
      </c>
      <c r="Q767" s="2" t="s">
        <v>74</v>
      </c>
      <c r="R767" s="2" t="s">
        <v>74</v>
      </c>
      <c r="S767" s="2" t="s">
        <v>74</v>
      </c>
      <c r="T767" s="2" t="s">
        <v>74</v>
      </c>
      <c r="U767" s="2" t="s">
        <v>74</v>
      </c>
      <c r="V767" s="5" t="s">
        <v>4960</v>
      </c>
      <c r="W767" s="2" t="s">
        <v>74</v>
      </c>
      <c r="X767" s="2" t="s">
        <v>74</v>
      </c>
      <c r="Y767" s="2" t="s">
        <v>74</v>
      </c>
      <c r="Z767" s="2" t="s">
        <v>74</v>
      </c>
      <c r="AA767" s="2" t="s">
        <v>74</v>
      </c>
      <c r="AB767" s="2" t="s">
        <v>4961</v>
      </c>
      <c r="AC767" s="2" t="s">
        <v>74</v>
      </c>
      <c r="AD767" s="2" t="s">
        <v>74</v>
      </c>
      <c r="AE767" s="2" t="s">
        <v>74</v>
      </c>
      <c r="AF767" s="2" t="s">
        <v>74</v>
      </c>
      <c r="AG767" s="2" t="s">
        <v>74</v>
      </c>
      <c r="AH767" s="2" t="s">
        <v>74</v>
      </c>
      <c r="AI767" s="2" t="s">
        <v>74</v>
      </c>
      <c r="AJ767" s="2" t="s">
        <v>74</v>
      </c>
      <c r="AK767" s="2" t="s">
        <v>74</v>
      </c>
      <c r="AL767" s="2" t="s">
        <v>74</v>
      </c>
      <c r="AM767" s="2" t="s">
        <v>74</v>
      </c>
      <c r="AN767" s="2" t="s">
        <v>74</v>
      </c>
      <c r="AO767" s="2" t="s">
        <v>371</v>
      </c>
      <c r="AP767" s="2" t="s">
        <v>372</v>
      </c>
      <c r="AQ767" s="2" t="s">
        <v>74</v>
      </c>
      <c r="AR767" s="2" t="s">
        <v>74</v>
      </c>
      <c r="AS767" s="2" t="s">
        <v>74</v>
      </c>
      <c r="AT767" s="2" t="s">
        <v>213</v>
      </c>
      <c r="AU767" s="2">
        <v>2016</v>
      </c>
      <c r="AV767" s="2">
        <v>130</v>
      </c>
      <c r="AW767" s="2">
        <v>4</v>
      </c>
      <c r="AX767" s="2" t="s">
        <v>74</v>
      </c>
      <c r="AY767" s="2" t="s">
        <v>74</v>
      </c>
      <c r="AZ767" s="2" t="s">
        <v>74</v>
      </c>
      <c r="BA767" s="2" t="s">
        <v>74</v>
      </c>
      <c r="BB767" s="2">
        <v>328</v>
      </c>
      <c r="BC767" s="2">
        <v>340</v>
      </c>
      <c r="BD767" s="2" t="s">
        <v>74</v>
      </c>
      <c r="BE767" s="2" t="s">
        <v>4962</v>
      </c>
      <c r="BF767" s="2" t="str">
        <f>HYPERLINK("http://dx.doi.org/10.1037/com0000039","http://dx.doi.org/10.1037/com0000039")</f>
        <v>http://dx.doi.org/10.1037/com0000039</v>
      </c>
      <c r="BG767" s="2" t="s">
        <v>74</v>
      </c>
      <c r="BH767" s="2" t="s">
        <v>74</v>
      </c>
      <c r="BI767" s="2" t="s">
        <v>74</v>
      </c>
      <c r="BJ767" s="2" t="s">
        <v>74</v>
      </c>
      <c r="BK767" s="2" t="s">
        <v>74</v>
      </c>
      <c r="BL767" s="2" t="s">
        <v>74</v>
      </c>
      <c r="BM767" s="2" t="s">
        <v>74</v>
      </c>
      <c r="BN767" s="2">
        <v>27359074</v>
      </c>
      <c r="BO767" s="2" t="s">
        <v>74</v>
      </c>
      <c r="BP767" s="2" t="s">
        <v>74</v>
      </c>
      <c r="BQ767" s="2" t="s">
        <v>74</v>
      </c>
      <c r="BR767" s="2" t="s">
        <v>74</v>
      </c>
      <c r="BS767" s="2" t="s">
        <v>4963</v>
      </c>
      <c r="BT767" s="2" t="str">
        <f>HYPERLINK("https%3A%2F%2Fwww.webofscience.com%2Fwos%2Fwoscc%2Ffull-record%2FWOS:000388497000004","View Full Record in Web of Science")</f>
        <v>View Full Record in Web of Science</v>
      </c>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row>
    <row r="768" spans="1:314" s="2" customFormat="1" x14ac:dyDescent="0.4">
      <c r="A768" s="2" t="s">
        <v>72</v>
      </c>
      <c r="B768" s="2" t="s">
        <v>8568</v>
      </c>
      <c r="C768" s="2" t="s">
        <v>74</v>
      </c>
      <c r="D768" s="2" t="s">
        <v>74</v>
      </c>
      <c r="E768" s="2" t="s">
        <v>74</v>
      </c>
      <c r="F768" s="2" t="s">
        <v>8569</v>
      </c>
      <c r="G768" s="2" t="s">
        <v>74</v>
      </c>
      <c r="H768" s="2" t="s">
        <v>74</v>
      </c>
      <c r="I768" s="2" t="s">
        <v>8570</v>
      </c>
      <c r="J768" s="2" t="s">
        <v>2662</v>
      </c>
      <c r="K768" s="2" t="s">
        <v>74</v>
      </c>
      <c r="L768" s="2" t="s">
        <v>74</v>
      </c>
      <c r="M768" s="2" t="s">
        <v>74</v>
      </c>
      <c r="N768" s="2" t="s">
        <v>74</v>
      </c>
      <c r="O768" s="2" t="s">
        <v>74</v>
      </c>
      <c r="P768" s="2" t="s">
        <v>74</v>
      </c>
      <c r="Q768" s="2" t="s">
        <v>74</v>
      </c>
      <c r="R768" s="2" t="s">
        <v>74</v>
      </c>
      <c r="S768" s="2" t="s">
        <v>74</v>
      </c>
      <c r="T768" s="2" t="s">
        <v>74</v>
      </c>
      <c r="U768" s="2" t="s">
        <v>74</v>
      </c>
      <c r="V768" s="5" t="s">
        <v>8571</v>
      </c>
      <c r="W768" s="2" t="s">
        <v>74</v>
      </c>
      <c r="X768" s="2" t="s">
        <v>74</v>
      </c>
      <c r="Y768" s="2" t="s">
        <v>74</v>
      </c>
      <c r="Z768" s="2" t="s">
        <v>74</v>
      </c>
      <c r="AA768" s="2" t="s">
        <v>8572</v>
      </c>
      <c r="AB768" s="2" t="s">
        <v>8573</v>
      </c>
      <c r="AC768" s="2" t="s">
        <v>74</v>
      </c>
      <c r="AD768" s="2" t="s">
        <v>74</v>
      </c>
      <c r="AE768" s="2" t="s">
        <v>74</v>
      </c>
      <c r="AF768" s="2" t="s">
        <v>74</v>
      </c>
      <c r="AG768" s="2" t="s">
        <v>74</v>
      </c>
      <c r="AH768" s="2" t="s">
        <v>74</v>
      </c>
      <c r="AI768" s="2" t="s">
        <v>74</v>
      </c>
      <c r="AJ768" s="2" t="s">
        <v>74</v>
      </c>
      <c r="AK768" s="2" t="s">
        <v>74</v>
      </c>
      <c r="AL768" s="2" t="s">
        <v>74</v>
      </c>
      <c r="AM768" s="2" t="s">
        <v>74</v>
      </c>
      <c r="AN768" s="2" t="s">
        <v>74</v>
      </c>
      <c r="AO768" s="2" t="s">
        <v>2664</v>
      </c>
      <c r="AP768" s="2" t="s">
        <v>2665</v>
      </c>
      <c r="AQ768" s="2" t="s">
        <v>74</v>
      </c>
      <c r="AR768" s="2" t="s">
        <v>74</v>
      </c>
      <c r="AS768" s="2" t="s">
        <v>74</v>
      </c>
      <c r="AT768" s="2" t="s">
        <v>305</v>
      </c>
      <c r="AU768" s="2">
        <v>2020</v>
      </c>
      <c r="AV768" s="2">
        <v>54</v>
      </c>
      <c r="AW768" s="2">
        <v>4</v>
      </c>
      <c r="AX768" s="2" t="s">
        <v>74</v>
      </c>
      <c r="AY768" s="2" t="s">
        <v>74</v>
      </c>
      <c r="AZ768" s="2" t="s">
        <v>74</v>
      </c>
      <c r="BA768" s="2" t="s">
        <v>74</v>
      </c>
      <c r="BB768" s="2">
        <v>364</v>
      </c>
      <c r="BC768" s="2">
        <v>375</v>
      </c>
      <c r="BD768" s="2" t="s">
        <v>74</v>
      </c>
      <c r="BE768" s="2" t="s">
        <v>8574</v>
      </c>
      <c r="BF768" s="2" t="str">
        <f>HYPERLINK("http://dx.doi.org/10.3356/0892-1016-54.4.364","http://dx.doi.org/10.3356/0892-1016-54.4.364")</f>
        <v>http://dx.doi.org/10.3356/0892-1016-54.4.364</v>
      </c>
      <c r="BG768" s="2" t="s">
        <v>74</v>
      </c>
      <c r="BH768" s="2" t="s">
        <v>74</v>
      </c>
      <c r="BI768" s="2" t="s">
        <v>74</v>
      </c>
      <c r="BJ768" s="2" t="s">
        <v>74</v>
      </c>
      <c r="BK768" s="2" t="s">
        <v>74</v>
      </c>
      <c r="BL768" s="2" t="s">
        <v>74</v>
      </c>
      <c r="BM768" s="2" t="s">
        <v>74</v>
      </c>
      <c r="BN768" s="2" t="s">
        <v>74</v>
      </c>
      <c r="BO768" s="2" t="s">
        <v>74</v>
      </c>
      <c r="BP768" s="2" t="s">
        <v>74</v>
      </c>
      <c r="BQ768" s="2" t="s">
        <v>74</v>
      </c>
      <c r="BR768" s="2" t="s">
        <v>74</v>
      </c>
      <c r="BS768" s="2" t="s">
        <v>8575</v>
      </c>
      <c r="BT768" s="2" t="str">
        <f>HYPERLINK("https%3A%2F%2Fwww.webofscience.com%2Fwos%2Fwoscc%2Ffull-record%2FWOS:000604780200003","View Full Record in Web of Science")</f>
        <v>View Full Record in Web of Science</v>
      </c>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row>
    <row r="769" spans="1:314" s="7" customFormat="1" x14ac:dyDescent="0.4">
      <c r="A769" s="2" t="s">
        <v>72</v>
      </c>
      <c r="B769" s="2" t="s">
        <v>4426</v>
      </c>
      <c r="C769" s="2" t="s">
        <v>74</v>
      </c>
      <c r="D769" s="2" t="s">
        <v>74</v>
      </c>
      <c r="E769" s="2" t="s">
        <v>74</v>
      </c>
      <c r="F769" s="2" t="s">
        <v>4427</v>
      </c>
      <c r="G769" s="2" t="s">
        <v>74</v>
      </c>
      <c r="H769" s="2" t="s">
        <v>74</v>
      </c>
      <c r="I769" s="2" t="s">
        <v>4428</v>
      </c>
      <c r="J769" s="2" t="s">
        <v>1995</v>
      </c>
      <c r="K769" s="2" t="s">
        <v>74</v>
      </c>
      <c r="L769" s="2" t="s">
        <v>74</v>
      </c>
      <c r="M769" s="2" t="s">
        <v>74</v>
      </c>
      <c r="N769" s="2" t="s">
        <v>74</v>
      </c>
      <c r="O769" s="2" t="s">
        <v>74</v>
      </c>
      <c r="P769" s="2" t="s">
        <v>74</v>
      </c>
      <c r="Q769" s="2" t="s">
        <v>74</v>
      </c>
      <c r="R769" s="2" t="s">
        <v>74</v>
      </c>
      <c r="S769" s="2" t="s">
        <v>74</v>
      </c>
      <c r="T769" s="2" t="s">
        <v>74</v>
      </c>
      <c r="U769" s="2" t="s">
        <v>74</v>
      </c>
      <c r="V769" s="5" t="s">
        <v>4429</v>
      </c>
      <c r="W769" s="2" t="s">
        <v>74</v>
      </c>
      <c r="X769" s="2" t="s">
        <v>74</v>
      </c>
      <c r="Y769" s="2" t="s">
        <v>74</v>
      </c>
      <c r="Z769" s="2" t="s">
        <v>74</v>
      </c>
      <c r="AA769" s="2" t="s">
        <v>74</v>
      </c>
      <c r="AB769" s="2" t="s">
        <v>74</v>
      </c>
      <c r="AC769" s="2" t="s">
        <v>74</v>
      </c>
      <c r="AD769" s="2" t="s">
        <v>74</v>
      </c>
      <c r="AE769" s="2" t="s">
        <v>74</v>
      </c>
      <c r="AF769" s="2" t="s">
        <v>74</v>
      </c>
      <c r="AG769" s="2" t="s">
        <v>74</v>
      </c>
      <c r="AH769" s="2" t="s">
        <v>74</v>
      </c>
      <c r="AI769" s="2" t="s">
        <v>74</v>
      </c>
      <c r="AJ769" s="2" t="s">
        <v>74</v>
      </c>
      <c r="AK769" s="2" t="s">
        <v>74</v>
      </c>
      <c r="AL769" s="2" t="s">
        <v>74</v>
      </c>
      <c r="AM769" s="2" t="s">
        <v>74</v>
      </c>
      <c r="AN769" s="2" t="s">
        <v>74</v>
      </c>
      <c r="AO769" s="2" t="s">
        <v>1997</v>
      </c>
      <c r="AP769" s="2" t="s">
        <v>3917</v>
      </c>
      <c r="AQ769" s="2" t="s">
        <v>74</v>
      </c>
      <c r="AR769" s="2" t="s">
        <v>74</v>
      </c>
      <c r="AS769" s="2" t="s">
        <v>74</v>
      </c>
      <c r="AT769" s="2" t="s">
        <v>145</v>
      </c>
      <c r="AU769" s="2">
        <v>2023</v>
      </c>
      <c r="AV769" s="2">
        <v>94</v>
      </c>
      <c r="AW769" s="2">
        <v>3</v>
      </c>
      <c r="AX769" s="2" t="s">
        <v>74</v>
      </c>
      <c r="AY769" s="2" t="s">
        <v>74</v>
      </c>
      <c r="AZ769" s="2" t="s">
        <v>74</v>
      </c>
      <c r="BA769" s="2" t="s">
        <v>74</v>
      </c>
      <c r="BB769" s="2" t="s">
        <v>74</v>
      </c>
      <c r="BC769" s="2" t="s">
        <v>74</v>
      </c>
      <c r="BD769" s="2">
        <v>7</v>
      </c>
      <c r="BE769" s="2" t="s">
        <v>4430</v>
      </c>
      <c r="BF769" s="2" t="str">
        <f>HYPERLINK("http://dx.doi.org/10.5751/JFO-00288-940307","http://dx.doi.org/10.5751/JFO-00288-940307")</f>
        <v>http://dx.doi.org/10.5751/JFO-00288-940307</v>
      </c>
      <c r="BG769" s="2" t="s">
        <v>74</v>
      </c>
      <c r="BH769" s="2" t="s">
        <v>74</v>
      </c>
      <c r="BI769" s="2" t="s">
        <v>74</v>
      </c>
      <c r="BJ769" s="2" t="s">
        <v>74</v>
      </c>
      <c r="BK769" s="2" t="s">
        <v>74</v>
      </c>
      <c r="BL769" s="2" t="s">
        <v>74</v>
      </c>
      <c r="BM769" s="2" t="s">
        <v>74</v>
      </c>
      <c r="BN769" s="2" t="s">
        <v>74</v>
      </c>
      <c r="BO769" s="2" t="s">
        <v>74</v>
      </c>
      <c r="BP769" s="2" t="s">
        <v>74</v>
      </c>
      <c r="BQ769" s="2" t="s">
        <v>74</v>
      </c>
      <c r="BR769" s="2" t="s">
        <v>74</v>
      </c>
      <c r="BS769" s="2" t="s">
        <v>4431</v>
      </c>
      <c r="BT769" s="2" t="str">
        <f>HYPERLINK("https%3A%2F%2Fwww.webofscience.com%2Fwos%2Fwoscc%2Ffull-record%2FWOS:001041634300001","View Full Record in Web of Science")</f>
        <v>View Full Record in Web of Science</v>
      </c>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row>
    <row r="770" spans="1:314" s="2" customFormat="1" x14ac:dyDescent="0.4">
      <c r="A770" s="2" t="s">
        <v>72</v>
      </c>
      <c r="B770" s="2" t="s">
        <v>1291</v>
      </c>
      <c r="C770" s="2" t="s">
        <v>74</v>
      </c>
      <c r="D770" s="2" t="s">
        <v>74</v>
      </c>
      <c r="E770" s="2" t="s">
        <v>74</v>
      </c>
      <c r="F770" s="2" t="s">
        <v>1292</v>
      </c>
      <c r="G770" s="2" t="s">
        <v>74</v>
      </c>
      <c r="H770" s="2" t="s">
        <v>74</v>
      </c>
      <c r="I770" s="2" t="s">
        <v>1293</v>
      </c>
      <c r="J770" s="2" t="s">
        <v>108</v>
      </c>
      <c r="K770" s="2" t="s">
        <v>74</v>
      </c>
      <c r="L770" s="2" t="s">
        <v>74</v>
      </c>
      <c r="M770" s="2" t="s">
        <v>74</v>
      </c>
      <c r="N770" s="2" t="s">
        <v>74</v>
      </c>
      <c r="O770" s="2" t="s">
        <v>74</v>
      </c>
      <c r="P770" s="2" t="s">
        <v>74</v>
      </c>
      <c r="Q770" s="2" t="s">
        <v>74</v>
      </c>
      <c r="R770" s="2" t="s">
        <v>74</v>
      </c>
      <c r="S770" s="2" t="s">
        <v>74</v>
      </c>
      <c r="T770" s="2" t="s">
        <v>74</v>
      </c>
      <c r="U770" s="2" t="s">
        <v>74</v>
      </c>
      <c r="V770" s="5" t="s">
        <v>1294</v>
      </c>
      <c r="W770" s="2" t="s">
        <v>74</v>
      </c>
      <c r="X770" s="2" t="s">
        <v>74</v>
      </c>
      <c r="Y770" s="2" t="s">
        <v>74</v>
      </c>
      <c r="Z770" s="2" t="s">
        <v>74</v>
      </c>
      <c r="AA770" s="2" t="s">
        <v>1295</v>
      </c>
      <c r="AB770" s="2" t="s">
        <v>1296</v>
      </c>
      <c r="AC770" s="2" t="s">
        <v>74</v>
      </c>
      <c r="AD770" s="2" t="s">
        <v>74</v>
      </c>
      <c r="AE770" s="2" t="s">
        <v>74</v>
      </c>
      <c r="AF770" s="2" t="s">
        <v>74</v>
      </c>
      <c r="AG770" s="2" t="s">
        <v>74</v>
      </c>
      <c r="AH770" s="2" t="s">
        <v>74</v>
      </c>
      <c r="AI770" s="2" t="s">
        <v>74</v>
      </c>
      <c r="AJ770" s="2" t="s">
        <v>74</v>
      </c>
      <c r="AK770" s="2" t="s">
        <v>74</v>
      </c>
      <c r="AL770" s="2" t="s">
        <v>74</v>
      </c>
      <c r="AM770" s="2" t="s">
        <v>74</v>
      </c>
      <c r="AN770" s="2" t="s">
        <v>74</v>
      </c>
      <c r="AO770" s="2" t="s">
        <v>111</v>
      </c>
      <c r="AP770" s="2" t="s">
        <v>74</v>
      </c>
      <c r="AQ770" s="2" t="s">
        <v>74</v>
      </c>
      <c r="AR770" s="2" t="s">
        <v>74</v>
      </c>
      <c r="AS770" s="2" t="s">
        <v>74</v>
      </c>
      <c r="AT770" s="2" t="s">
        <v>924</v>
      </c>
      <c r="AU770" s="2">
        <v>2009</v>
      </c>
      <c r="AV770" s="2">
        <v>276</v>
      </c>
      <c r="AW770" s="2">
        <v>1675</v>
      </c>
      <c r="AX770" s="2" t="s">
        <v>74</v>
      </c>
      <c r="AY770" s="2" t="s">
        <v>74</v>
      </c>
      <c r="AZ770" s="2" t="s">
        <v>74</v>
      </c>
      <c r="BA770" s="2" t="s">
        <v>74</v>
      </c>
      <c r="BB770" s="2">
        <v>3989</v>
      </c>
      <c r="BC770" s="2">
        <v>3993</v>
      </c>
      <c r="BD770" s="2" t="s">
        <v>74</v>
      </c>
      <c r="BE770" s="2" t="s">
        <v>1297</v>
      </c>
      <c r="BF770" s="2" t="str">
        <f>HYPERLINK("http://dx.doi.org/10.1098/rspb.2009.1219","http://dx.doi.org/10.1098/rspb.2009.1219")</f>
        <v>http://dx.doi.org/10.1098/rspb.2009.1219</v>
      </c>
      <c r="BG770" s="2" t="s">
        <v>74</v>
      </c>
      <c r="BH770" s="2" t="s">
        <v>74</v>
      </c>
      <c r="BI770" s="2" t="s">
        <v>74</v>
      </c>
      <c r="BJ770" s="2" t="s">
        <v>74</v>
      </c>
      <c r="BK770" s="2" t="s">
        <v>74</v>
      </c>
      <c r="BL770" s="2" t="s">
        <v>74</v>
      </c>
      <c r="BM770" s="2" t="s">
        <v>74</v>
      </c>
      <c r="BN770" s="2">
        <v>19710067</v>
      </c>
      <c r="BO770" s="2" t="s">
        <v>74</v>
      </c>
      <c r="BP770" s="2" t="s">
        <v>74</v>
      </c>
      <c r="BQ770" s="2" t="s">
        <v>74</v>
      </c>
      <c r="BR770" s="2" t="s">
        <v>74</v>
      </c>
      <c r="BS770" s="2" t="s">
        <v>1298</v>
      </c>
      <c r="BT770" s="2" t="str">
        <f>HYPERLINK("https%3A%2F%2Fwww.webofscience.com%2Fwos%2Fwoscc%2Ffull-record%2FWOS:000270665100010","View Full Record in Web of Science")</f>
        <v>View Full Record in Web of Science</v>
      </c>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row>
    <row r="771" spans="1:314" s="2" customFormat="1" x14ac:dyDescent="0.4">
      <c r="A771" s="2" t="s">
        <v>72</v>
      </c>
      <c r="B771" s="2" t="s">
        <v>2627</v>
      </c>
      <c r="C771" s="2" t="s">
        <v>74</v>
      </c>
      <c r="D771" s="2" t="s">
        <v>74</v>
      </c>
      <c r="E771" s="2" t="s">
        <v>74</v>
      </c>
      <c r="F771" s="2" t="s">
        <v>2627</v>
      </c>
      <c r="G771" s="2" t="s">
        <v>74</v>
      </c>
      <c r="H771" s="2" t="s">
        <v>74</v>
      </c>
      <c r="I771" s="2" t="s">
        <v>2628</v>
      </c>
      <c r="J771" s="2" t="s">
        <v>2629</v>
      </c>
      <c r="K771" s="2" t="s">
        <v>74</v>
      </c>
      <c r="L771" s="2" t="s">
        <v>74</v>
      </c>
      <c r="M771" s="2" t="s">
        <v>74</v>
      </c>
      <c r="N771" s="2" t="s">
        <v>74</v>
      </c>
      <c r="O771" s="2" t="s">
        <v>74</v>
      </c>
      <c r="P771" s="2" t="s">
        <v>74</v>
      </c>
      <c r="Q771" s="2" t="s">
        <v>74</v>
      </c>
      <c r="R771" s="2" t="s">
        <v>74</v>
      </c>
      <c r="S771" s="2" t="s">
        <v>74</v>
      </c>
      <c r="T771" s="2" t="s">
        <v>74</v>
      </c>
      <c r="U771" s="2" t="s">
        <v>74</v>
      </c>
      <c r="V771" s="5" t="s">
        <v>2630</v>
      </c>
      <c r="W771" s="2" t="s">
        <v>74</v>
      </c>
      <c r="X771" s="2" t="s">
        <v>74</v>
      </c>
      <c r="Y771" s="2" t="s">
        <v>74</v>
      </c>
      <c r="Z771" s="2" t="s">
        <v>74</v>
      </c>
      <c r="AA771" s="2" t="s">
        <v>2631</v>
      </c>
      <c r="AB771" s="2" t="s">
        <v>74</v>
      </c>
      <c r="AC771" s="2" t="s">
        <v>74</v>
      </c>
      <c r="AD771" s="2" t="s">
        <v>74</v>
      </c>
      <c r="AE771" s="2" t="s">
        <v>74</v>
      </c>
      <c r="AF771" s="2" t="s">
        <v>74</v>
      </c>
      <c r="AG771" s="2" t="s">
        <v>74</v>
      </c>
      <c r="AH771" s="2" t="s">
        <v>74</v>
      </c>
      <c r="AI771" s="2" t="s">
        <v>74</v>
      </c>
      <c r="AJ771" s="2" t="s">
        <v>74</v>
      </c>
      <c r="AK771" s="2" t="s">
        <v>74</v>
      </c>
      <c r="AL771" s="2" t="s">
        <v>74</v>
      </c>
      <c r="AM771" s="2" t="s">
        <v>74</v>
      </c>
      <c r="AN771" s="2" t="s">
        <v>74</v>
      </c>
      <c r="AO771" s="2" t="s">
        <v>2632</v>
      </c>
      <c r="AP771" s="2" t="s">
        <v>2633</v>
      </c>
      <c r="AQ771" s="2" t="s">
        <v>74</v>
      </c>
      <c r="AR771" s="2" t="s">
        <v>74</v>
      </c>
      <c r="AS771" s="2" t="s">
        <v>74</v>
      </c>
      <c r="AT771" s="2" t="s">
        <v>74</v>
      </c>
      <c r="AU771" s="2">
        <v>1990</v>
      </c>
      <c r="AV771" s="2">
        <v>38</v>
      </c>
      <c r="AW771" s="2">
        <v>2</v>
      </c>
      <c r="AX771" s="2" t="s">
        <v>74</v>
      </c>
      <c r="AY771" s="2" t="s">
        <v>74</v>
      </c>
      <c r="AZ771" s="2" t="s">
        <v>74</v>
      </c>
      <c r="BA771" s="2" t="s">
        <v>74</v>
      </c>
      <c r="BB771" s="2">
        <v>117</v>
      </c>
      <c r="BC771" s="2">
        <v>130</v>
      </c>
      <c r="BD771" s="2" t="s">
        <v>74</v>
      </c>
      <c r="BE771" s="2" t="s">
        <v>2634</v>
      </c>
      <c r="BF771" s="2" t="str">
        <f>HYPERLINK("http://dx.doi.org/10.1071/ZO9900117","http://dx.doi.org/10.1071/ZO9900117")</f>
        <v>http://dx.doi.org/10.1071/ZO9900117</v>
      </c>
      <c r="BG771" s="2" t="s">
        <v>74</v>
      </c>
      <c r="BH771" s="2" t="s">
        <v>74</v>
      </c>
      <c r="BI771" s="2" t="s">
        <v>74</v>
      </c>
      <c r="BJ771" s="2" t="s">
        <v>74</v>
      </c>
      <c r="BK771" s="2" t="s">
        <v>74</v>
      </c>
      <c r="BL771" s="2" t="s">
        <v>74</v>
      </c>
      <c r="BM771" s="2" t="s">
        <v>74</v>
      </c>
      <c r="BN771" s="2" t="s">
        <v>74</v>
      </c>
      <c r="BO771" s="2" t="s">
        <v>74</v>
      </c>
      <c r="BP771" s="2" t="s">
        <v>74</v>
      </c>
      <c r="BQ771" s="2" t="s">
        <v>74</v>
      </c>
      <c r="BR771" s="2" t="s">
        <v>74</v>
      </c>
      <c r="BS771" s="2" t="s">
        <v>2635</v>
      </c>
      <c r="BT771" s="2" t="str">
        <f>HYPERLINK("https%3A%2F%2Fwww.webofscience.com%2Fwos%2Fwoscc%2Ffull-record%2FWOS:A1990ED59400002","View Full Record in Web of Science")</f>
        <v>View Full Record in Web of Science</v>
      </c>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row>
    <row r="772" spans="1:314" s="2" customFormat="1" x14ac:dyDescent="0.4">
      <c r="A772" s="2" t="s">
        <v>72</v>
      </c>
      <c r="B772" s="2" t="s">
        <v>5355</v>
      </c>
      <c r="C772" s="2" t="s">
        <v>74</v>
      </c>
      <c r="D772" s="2" t="s">
        <v>74</v>
      </c>
      <c r="E772" s="2" t="s">
        <v>74</v>
      </c>
      <c r="F772" s="2" t="s">
        <v>5355</v>
      </c>
      <c r="G772" s="2" t="s">
        <v>74</v>
      </c>
      <c r="H772" s="2" t="s">
        <v>74</v>
      </c>
      <c r="I772" s="2" t="s">
        <v>5356</v>
      </c>
      <c r="J772" s="2" t="s">
        <v>5357</v>
      </c>
      <c r="K772" s="2" t="s">
        <v>74</v>
      </c>
      <c r="L772" s="2" t="s">
        <v>74</v>
      </c>
      <c r="M772" s="2" t="s">
        <v>74</v>
      </c>
      <c r="N772" s="2" t="s">
        <v>74</v>
      </c>
      <c r="O772" s="2" t="s">
        <v>74</v>
      </c>
      <c r="P772" s="2" t="s">
        <v>74</v>
      </c>
      <c r="Q772" s="2" t="s">
        <v>74</v>
      </c>
      <c r="R772" s="2" t="s">
        <v>74</v>
      </c>
      <c r="S772" s="2" t="s">
        <v>74</v>
      </c>
      <c r="T772" s="2" t="s">
        <v>74</v>
      </c>
      <c r="U772" s="2" t="s">
        <v>74</v>
      </c>
      <c r="V772" s="5" t="s">
        <v>5358</v>
      </c>
      <c r="W772" s="2" t="s">
        <v>74</v>
      </c>
      <c r="X772" s="2" t="s">
        <v>74</v>
      </c>
      <c r="Y772" s="2" t="s">
        <v>74</v>
      </c>
      <c r="Z772" s="2" t="s">
        <v>74</v>
      </c>
      <c r="AA772" s="2" t="s">
        <v>74</v>
      </c>
      <c r="AB772" s="2" t="s">
        <v>74</v>
      </c>
      <c r="AC772" s="2" t="s">
        <v>74</v>
      </c>
      <c r="AD772" s="2" t="s">
        <v>74</v>
      </c>
      <c r="AE772" s="2" t="s">
        <v>74</v>
      </c>
      <c r="AF772" s="2" t="s">
        <v>74</v>
      </c>
      <c r="AG772" s="2" t="s">
        <v>74</v>
      </c>
      <c r="AH772" s="2" t="s">
        <v>74</v>
      </c>
      <c r="AI772" s="2" t="s">
        <v>74</v>
      </c>
      <c r="AJ772" s="2" t="s">
        <v>74</v>
      </c>
      <c r="AK772" s="2" t="s">
        <v>74</v>
      </c>
      <c r="AL772" s="2" t="s">
        <v>74</v>
      </c>
      <c r="AM772" s="2" t="s">
        <v>74</v>
      </c>
      <c r="AN772" s="2" t="s">
        <v>74</v>
      </c>
      <c r="AO772" s="2" t="s">
        <v>5359</v>
      </c>
      <c r="AP772" s="2" t="s">
        <v>5360</v>
      </c>
      <c r="AQ772" s="2" t="s">
        <v>74</v>
      </c>
      <c r="AR772" s="2" t="s">
        <v>74</v>
      </c>
      <c r="AS772" s="2" t="s">
        <v>74</v>
      </c>
      <c r="AT772" s="2" t="s">
        <v>74</v>
      </c>
      <c r="AU772" s="2">
        <v>2001</v>
      </c>
      <c r="AV772" s="2">
        <v>16</v>
      </c>
      <c r="AW772" s="2" t="s">
        <v>548</v>
      </c>
      <c r="AX772" s="2" t="s">
        <v>74</v>
      </c>
      <c r="AY772" s="2" t="s">
        <v>74</v>
      </c>
      <c r="AZ772" s="2" t="s">
        <v>74</v>
      </c>
      <c r="BA772" s="2" t="s">
        <v>74</v>
      </c>
      <c r="BB772" s="2">
        <v>13</v>
      </c>
      <c r="BC772" s="2">
        <v>20</v>
      </c>
      <c r="BD772" s="2" t="s">
        <v>74</v>
      </c>
      <c r="BE772" s="2" t="s">
        <v>74</v>
      </c>
      <c r="BF772" s="2" t="s">
        <v>74</v>
      </c>
      <c r="BG772" s="2" t="s">
        <v>74</v>
      </c>
      <c r="BH772" s="2" t="s">
        <v>74</v>
      </c>
      <c r="BI772" s="2" t="s">
        <v>74</v>
      </c>
      <c r="BJ772" s="2" t="s">
        <v>74</v>
      </c>
      <c r="BK772" s="2" t="s">
        <v>74</v>
      </c>
      <c r="BL772" s="2" t="s">
        <v>74</v>
      </c>
      <c r="BM772" s="2" t="s">
        <v>74</v>
      </c>
      <c r="BN772" s="2" t="s">
        <v>74</v>
      </c>
      <c r="BO772" s="2" t="s">
        <v>74</v>
      </c>
      <c r="BP772" s="2" t="s">
        <v>74</v>
      </c>
      <c r="BQ772" s="2" t="s">
        <v>74</v>
      </c>
      <c r="BR772" s="2" t="s">
        <v>74</v>
      </c>
      <c r="BS772" s="2" t="s">
        <v>5361</v>
      </c>
      <c r="BT772" s="2" t="str">
        <f>HYPERLINK("https%3A%2F%2Fwww.webofscience.com%2Fwos%2Fwoscc%2Ffull-record%2FWOS:000180542900002","View Full Record in Web of Science")</f>
        <v>View Full Record in Web of Science</v>
      </c>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row>
    <row r="773" spans="1:314" s="2" customFormat="1" x14ac:dyDescent="0.4">
      <c r="A773" s="2" t="s">
        <v>72</v>
      </c>
      <c r="B773" s="2" t="s">
        <v>5969</v>
      </c>
      <c r="C773" s="2" t="s">
        <v>74</v>
      </c>
      <c r="D773" s="2" t="s">
        <v>74</v>
      </c>
      <c r="E773" s="2" t="s">
        <v>74</v>
      </c>
      <c r="F773" s="2" t="s">
        <v>5970</v>
      </c>
      <c r="G773" s="2" t="s">
        <v>74</v>
      </c>
      <c r="H773" s="2" t="s">
        <v>74</v>
      </c>
      <c r="I773" s="2" t="s">
        <v>5971</v>
      </c>
      <c r="J773" s="2" t="s">
        <v>5972</v>
      </c>
      <c r="K773" s="2" t="s">
        <v>74</v>
      </c>
      <c r="L773" s="2" t="s">
        <v>74</v>
      </c>
      <c r="M773" s="2" t="s">
        <v>74</v>
      </c>
      <c r="N773" s="2" t="s">
        <v>74</v>
      </c>
      <c r="O773" s="2" t="s">
        <v>74</v>
      </c>
      <c r="P773" s="2" t="s">
        <v>74</v>
      </c>
      <c r="Q773" s="2" t="s">
        <v>74</v>
      </c>
      <c r="R773" s="2" t="s">
        <v>74</v>
      </c>
      <c r="S773" s="2" t="s">
        <v>74</v>
      </c>
      <c r="T773" s="2" t="s">
        <v>74</v>
      </c>
      <c r="U773" s="2" t="s">
        <v>74</v>
      </c>
      <c r="V773" s="5" t="s">
        <v>5973</v>
      </c>
      <c r="W773" s="2" t="s">
        <v>74</v>
      </c>
      <c r="X773" s="2" t="s">
        <v>74</v>
      </c>
      <c r="Y773" s="2" t="s">
        <v>74</v>
      </c>
      <c r="Z773" s="2" t="s">
        <v>74</v>
      </c>
      <c r="AA773" s="2" t="s">
        <v>74</v>
      </c>
      <c r="AB773" s="2" t="s">
        <v>5974</v>
      </c>
      <c r="AC773" s="2" t="s">
        <v>74</v>
      </c>
      <c r="AD773" s="2" t="s">
        <v>74</v>
      </c>
      <c r="AE773" s="2" t="s">
        <v>74</v>
      </c>
      <c r="AF773" s="2" t="s">
        <v>74</v>
      </c>
      <c r="AG773" s="2" t="s">
        <v>74</v>
      </c>
      <c r="AH773" s="2" t="s">
        <v>74</v>
      </c>
      <c r="AI773" s="2" t="s">
        <v>74</v>
      </c>
      <c r="AJ773" s="2" t="s">
        <v>74</v>
      </c>
      <c r="AK773" s="2" t="s">
        <v>74</v>
      </c>
      <c r="AL773" s="2" t="s">
        <v>74</v>
      </c>
      <c r="AM773" s="2" t="s">
        <v>74</v>
      </c>
      <c r="AN773" s="2" t="s">
        <v>74</v>
      </c>
      <c r="AO773" s="2" t="s">
        <v>5975</v>
      </c>
      <c r="AP773" s="2" t="s">
        <v>74</v>
      </c>
      <c r="AQ773" s="2" t="s">
        <v>74</v>
      </c>
      <c r="AR773" s="2" t="s">
        <v>74</v>
      </c>
      <c r="AS773" s="2" t="s">
        <v>74</v>
      </c>
      <c r="AT773" s="2" t="s">
        <v>74</v>
      </c>
      <c r="AU773" s="2">
        <v>2017</v>
      </c>
      <c r="AV773" s="2">
        <v>93</v>
      </c>
      <c r="AW773" s="2">
        <v>1</v>
      </c>
      <c r="AX773" s="2" t="s">
        <v>74</v>
      </c>
      <c r="AY773" s="2" t="s">
        <v>74</v>
      </c>
      <c r="AZ773" s="2" t="s">
        <v>74</v>
      </c>
      <c r="BA773" s="2" t="s">
        <v>74</v>
      </c>
      <c r="BB773" s="2">
        <v>95</v>
      </c>
      <c r="BC773" s="2">
        <v>104</v>
      </c>
      <c r="BD773" s="2" t="s">
        <v>74</v>
      </c>
      <c r="BE773" s="2" t="s">
        <v>5976</v>
      </c>
      <c r="BF773" s="2" t="str">
        <f>HYPERLINK("http://dx.doi.org/10.3897/zse.93.10794","http://dx.doi.org/10.3897/zse.93.10794")</f>
        <v>http://dx.doi.org/10.3897/zse.93.10794</v>
      </c>
      <c r="BG773" s="2" t="s">
        <v>74</v>
      </c>
      <c r="BH773" s="2" t="s">
        <v>74</v>
      </c>
      <c r="BI773" s="2" t="s">
        <v>74</v>
      </c>
      <c r="BJ773" s="2" t="s">
        <v>74</v>
      </c>
      <c r="BK773" s="2" t="s">
        <v>74</v>
      </c>
      <c r="BL773" s="2" t="s">
        <v>74</v>
      </c>
      <c r="BM773" s="2" t="s">
        <v>74</v>
      </c>
      <c r="BN773" s="2" t="s">
        <v>74</v>
      </c>
      <c r="BO773" s="2" t="s">
        <v>74</v>
      </c>
      <c r="BP773" s="2" t="s">
        <v>74</v>
      </c>
      <c r="BQ773" s="2" t="s">
        <v>74</v>
      </c>
      <c r="BR773" s="2" t="s">
        <v>74</v>
      </c>
      <c r="BS773" s="2" t="s">
        <v>5977</v>
      </c>
      <c r="BT773" s="2" t="str">
        <f>HYPERLINK("https%3A%2F%2Fwww.webofscience.com%2Fwos%2Fwoscc%2Ffull-record%2FWOS:000393302300005","View Full Record in Web of Science")</f>
        <v>View Full Record in Web of Science</v>
      </c>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row>
    <row r="774" spans="1:314" s="2" customFormat="1" x14ac:dyDescent="0.4">
      <c r="A774" s="2" t="s">
        <v>72</v>
      </c>
      <c r="B774" s="2" t="s">
        <v>4909</v>
      </c>
      <c r="C774" s="2" t="s">
        <v>74</v>
      </c>
      <c r="D774" s="2" t="s">
        <v>74</v>
      </c>
      <c r="E774" s="2" t="s">
        <v>74</v>
      </c>
      <c r="F774" s="2" t="s">
        <v>4910</v>
      </c>
      <c r="G774" s="2" t="s">
        <v>74</v>
      </c>
      <c r="H774" s="2" t="s">
        <v>74</v>
      </c>
      <c r="I774" s="2" t="s">
        <v>4911</v>
      </c>
      <c r="J774" s="2" t="s">
        <v>1656</v>
      </c>
      <c r="K774" s="2" t="s">
        <v>74</v>
      </c>
      <c r="L774" s="2" t="s">
        <v>74</v>
      </c>
      <c r="M774" s="2" t="s">
        <v>74</v>
      </c>
      <c r="N774" s="2" t="s">
        <v>74</v>
      </c>
      <c r="O774" s="2" t="s">
        <v>74</v>
      </c>
      <c r="P774" s="2" t="s">
        <v>74</v>
      </c>
      <c r="Q774" s="2" t="s">
        <v>74</v>
      </c>
      <c r="R774" s="2" t="s">
        <v>74</v>
      </c>
      <c r="S774" s="2" t="s">
        <v>74</v>
      </c>
      <c r="T774" s="2" t="s">
        <v>74</v>
      </c>
      <c r="U774" s="2" t="s">
        <v>74</v>
      </c>
      <c r="V774" s="5" t="s">
        <v>4912</v>
      </c>
      <c r="W774" s="2" t="s">
        <v>74</v>
      </c>
      <c r="X774" s="2" t="s">
        <v>74</v>
      </c>
      <c r="Y774" s="2" t="s">
        <v>74</v>
      </c>
      <c r="Z774" s="2" t="s">
        <v>74</v>
      </c>
      <c r="AA774" s="2" t="s">
        <v>74</v>
      </c>
      <c r="AB774" s="2" t="s">
        <v>74</v>
      </c>
      <c r="AC774" s="2" t="s">
        <v>74</v>
      </c>
      <c r="AD774" s="2" t="s">
        <v>74</v>
      </c>
      <c r="AE774" s="2" t="s">
        <v>74</v>
      </c>
      <c r="AF774" s="2" t="s">
        <v>74</v>
      </c>
      <c r="AG774" s="2" t="s">
        <v>74</v>
      </c>
      <c r="AH774" s="2" t="s">
        <v>74</v>
      </c>
      <c r="AI774" s="2" t="s">
        <v>74</v>
      </c>
      <c r="AJ774" s="2" t="s">
        <v>74</v>
      </c>
      <c r="AK774" s="2" t="s">
        <v>74</v>
      </c>
      <c r="AL774" s="2" t="s">
        <v>74</v>
      </c>
      <c r="AM774" s="2" t="s">
        <v>74</v>
      </c>
      <c r="AN774" s="2" t="s">
        <v>74</v>
      </c>
      <c r="AO774" s="2" t="s">
        <v>1658</v>
      </c>
      <c r="AP774" s="2" t="s">
        <v>1659</v>
      </c>
      <c r="AQ774" s="2" t="s">
        <v>74</v>
      </c>
      <c r="AR774" s="2" t="s">
        <v>74</v>
      </c>
      <c r="AS774" s="2" t="s">
        <v>74</v>
      </c>
      <c r="AT774" s="2" t="s">
        <v>4913</v>
      </c>
      <c r="AU774" s="2">
        <v>2008</v>
      </c>
      <c r="AV774" s="2" t="s">
        <v>74</v>
      </c>
      <c r="AW774" s="2">
        <v>1703</v>
      </c>
      <c r="AX774" s="2" t="s">
        <v>74</v>
      </c>
      <c r="AY774" s="2" t="s">
        <v>74</v>
      </c>
      <c r="AZ774" s="2" t="s">
        <v>74</v>
      </c>
      <c r="BA774" s="2" t="s">
        <v>74</v>
      </c>
      <c r="BB774" s="2">
        <v>1</v>
      </c>
      <c r="BC774" s="2">
        <v>24</v>
      </c>
      <c r="BD774" s="2" t="s">
        <v>74</v>
      </c>
      <c r="BE774" s="2" t="s">
        <v>74</v>
      </c>
      <c r="BF774" s="2" t="s">
        <v>74</v>
      </c>
      <c r="BG774" s="2" t="s">
        <v>74</v>
      </c>
      <c r="BH774" s="2" t="s">
        <v>74</v>
      </c>
      <c r="BI774" s="2" t="s">
        <v>74</v>
      </c>
      <c r="BJ774" s="2" t="s">
        <v>74</v>
      </c>
      <c r="BK774" s="2" t="s">
        <v>74</v>
      </c>
      <c r="BL774" s="2" t="s">
        <v>74</v>
      </c>
      <c r="BM774" s="2" t="s">
        <v>74</v>
      </c>
      <c r="BN774" s="2" t="s">
        <v>74</v>
      </c>
      <c r="BO774" s="2" t="s">
        <v>74</v>
      </c>
      <c r="BP774" s="2" t="s">
        <v>74</v>
      </c>
      <c r="BQ774" s="2" t="s">
        <v>74</v>
      </c>
      <c r="BR774" s="2" t="s">
        <v>74</v>
      </c>
      <c r="BS774" s="2" t="s">
        <v>4914</v>
      </c>
      <c r="BT774" s="2" t="str">
        <f>HYPERLINK("https%3A%2F%2Fwww.webofscience.com%2Fwos%2Fwoscc%2Ffull-record%2FWOS:000253163600001","View Full Record in Web of Science")</f>
        <v>View Full Record in Web of Science</v>
      </c>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row>
    <row r="775" spans="1:314" s="2" customFormat="1" x14ac:dyDescent="0.4">
      <c r="A775" s="2" t="s">
        <v>72</v>
      </c>
      <c r="B775" s="2" t="s">
        <v>811</v>
      </c>
      <c r="C775" s="2" t="s">
        <v>74</v>
      </c>
      <c r="D775" s="2" t="s">
        <v>74</v>
      </c>
      <c r="E775" s="2" t="s">
        <v>74</v>
      </c>
      <c r="F775" s="2" t="s">
        <v>812</v>
      </c>
      <c r="G775" s="2" t="s">
        <v>74</v>
      </c>
      <c r="H775" s="2" t="s">
        <v>74</v>
      </c>
      <c r="I775" s="2" t="s">
        <v>813</v>
      </c>
      <c r="J775" s="2" t="s">
        <v>814</v>
      </c>
      <c r="K775" s="2" t="s">
        <v>74</v>
      </c>
      <c r="L775" s="2" t="s">
        <v>74</v>
      </c>
      <c r="M775" s="2" t="s">
        <v>74</v>
      </c>
      <c r="N775" s="2" t="s">
        <v>74</v>
      </c>
      <c r="O775" s="2" t="s">
        <v>74</v>
      </c>
      <c r="P775" s="2" t="s">
        <v>74</v>
      </c>
      <c r="Q775" s="2" t="s">
        <v>74</v>
      </c>
      <c r="R775" s="2" t="s">
        <v>74</v>
      </c>
      <c r="S775" s="2" t="s">
        <v>74</v>
      </c>
      <c r="T775" s="2" t="s">
        <v>74</v>
      </c>
      <c r="U775" s="2" t="s">
        <v>74</v>
      </c>
      <c r="V775" s="5" t="s">
        <v>815</v>
      </c>
      <c r="W775" s="2" t="s">
        <v>74</v>
      </c>
      <c r="X775" s="2" t="s">
        <v>74</v>
      </c>
      <c r="Y775" s="2" t="s">
        <v>74</v>
      </c>
      <c r="Z775" s="2" t="s">
        <v>74</v>
      </c>
      <c r="AA775" s="2" t="s">
        <v>816</v>
      </c>
      <c r="AB775" s="2" t="s">
        <v>817</v>
      </c>
      <c r="AC775" s="2" t="s">
        <v>74</v>
      </c>
      <c r="AD775" s="2" t="s">
        <v>74</v>
      </c>
      <c r="AE775" s="2" t="s">
        <v>74</v>
      </c>
      <c r="AF775" s="2" t="s">
        <v>74</v>
      </c>
      <c r="AG775" s="2" t="s">
        <v>74</v>
      </c>
      <c r="AH775" s="2" t="s">
        <v>74</v>
      </c>
      <c r="AI775" s="2" t="s">
        <v>74</v>
      </c>
      <c r="AJ775" s="2" t="s">
        <v>74</v>
      </c>
      <c r="AK775" s="2" t="s">
        <v>74</v>
      </c>
      <c r="AL775" s="2" t="s">
        <v>74</v>
      </c>
      <c r="AM775" s="2" t="s">
        <v>74</v>
      </c>
      <c r="AN775" s="2" t="s">
        <v>74</v>
      </c>
      <c r="AO775" s="2" t="s">
        <v>818</v>
      </c>
      <c r="AP775" s="2" t="s">
        <v>74</v>
      </c>
      <c r="AQ775" s="2" t="s">
        <v>74</v>
      </c>
      <c r="AR775" s="2" t="s">
        <v>74</v>
      </c>
      <c r="AS775" s="2" t="s">
        <v>74</v>
      </c>
      <c r="AT775" s="2" t="s">
        <v>305</v>
      </c>
      <c r="AU775" s="2">
        <v>2011</v>
      </c>
      <c r="AV775" s="2">
        <v>114</v>
      </c>
      <c r="AW775" s="2">
        <v>6</v>
      </c>
      <c r="AX775" s="2" t="s">
        <v>74</v>
      </c>
      <c r="AY775" s="2" t="s">
        <v>74</v>
      </c>
      <c r="AZ775" s="2" t="s">
        <v>74</v>
      </c>
      <c r="BA775" s="2" t="s">
        <v>74</v>
      </c>
      <c r="BB775" s="2">
        <v>335</v>
      </c>
      <c r="BC775" s="2">
        <v>339</v>
      </c>
      <c r="BD775" s="2" t="s">
        <v>74</v>
      </c>
      <c r="BE775" s="2" t="s">
        <v>819</v>
      </c>
      <c r="BF775" s="2" t="str">
        <f>HYPERLINK("http://dx.doi.org/10.1016/j.zool.2011.07.001","http://dx.doi.org/10.1016/j.zool.2011.07.001")</f>
        <v>http://dx.doi.org/10.1016/j.zool.2011.07.001</v>
      </c>
      <c r="BG775" s="2" t="s">
        <v>74</v>
      </c>
      <c r="BH775" s="2" t="s">
        <v>74</v>
      </c>
      <c r="BI775" s="2" t="s">
        <v>74</v>
      </c>
      <c r="BJ775" s="2" t="s">
        <v>74</v>
      </c>
      <c r="BK775" s="2" t="s">
        <v>74</v>
      </c>
      <c r="BL775" s="2" t="s">
        <v>74</v>
      </c>
      <c r="BM775" s="2" t="s">
        <v>74</v>
      </c>
      <c r="BN775" s="2">
        <v>21975142</v>
      </c>
      <c r="BO775" s="2" t="s">
        <v>74</v>
      </c>
      <c r="BP775" s="2" t="s">
        <v>74</v>
      </c>
      <c r="BQ775" s="2" t="s">
        <v>74</v>
      </c>
      <c r="BR775" s="2" t="s">
        <v>74</v>
      </c>
      <c r="BS775" s="2" t="s">
        <v>820</v>
      </c>
      <c r="BT775" s="2" t="str">
        <f>HYPERLINK("https%3A%2F%2Fwww.webofscience.com%2Fwos%2Fwoscc%2Ffull-record%2FWOS:000297909600003","View Full Record in Web of Science")</f>
        <v>View Full Record in Web of Science</v>
      </c>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row>
    <row r="776" spans="1:314" s="2" customFormat="1" x14ac:dyDescent="0.4">
      <c r="A776" s="2" t="s">
        <v>72</v>
      </c>
      <c r="B776" s="2" t="s">
        <v>5878</v>
      </c>
      <c r="C776" s="2" t="s">
        <v>74</v>
      </c>
      <c r="D776" s="2" t="s">
        <v>74</v>
      </c>
      <c r="E776" s="2" t="s">
        <v>74</v>
      </c>
      <c r="F776" s="2" t="s">
        <v>5879</v>
      </c>
      <c r="G776" s="2" t="s">
        <v>74</v>
      </c>
      <c r="H776" s="2" t="s">
        <v>74</v>
      </c>
      <c r="I776" s="2" t="s">
        <v>5880</v>
      </c>
      <c r="J776" s="2" t="s">
        <v>5881</v>
      </c>
      <c r="K776" s="2" t="s">
        <v>74</v>
      </c>
      <c r="L776" s="2" t="s">
        <v>74</v>
      </c>
      <c r="M776" s="2" t="s">
        <v>74</v>
      </c>
      <c r="N776" s="2" t="s">
        <v>74</v>
      </c>
      <c r="O776" s="2" t="s">
        <v>74</v>
      </c>
      <c r="P776" s="2" t="s">
        <v>74</v>
      </c>
      <c r="Q776" s="2" t="s">
        <v>74</v>
      </c>
      <c r="R776" s="2" t="s">
        <v>74</v>
      </c>
      <c r="S776" s="2" t="s">
        <v>74</v>
      </c>
      <c r="T776" s="2" t="s">
        <v>74</v>
      </c>
      <c r="U776" s="2" t="s">
        <v>74</v>
      </c>
      <c r="V776" s="5" t="s">
        <v>5882</v>
      </c>
      <c r="W776" s="2" t="s">
        <v>74</v>
      </c>
      <c r="X776" s="2" t="s">
        <v>74</v>
      </c>
      <c r="Y776" s="2" t="s">
        <v>74</v>
      </c>
      <c r="Z776" s="2" t="s">
        <v>74</v>
      </c>
      <c r="AA776" s="2" t="s">
        <v>5883</v>
      </c>
      <c r="AB776" s="2" t="s">
        <v>5884</v>
      </c>
      <c r="AC776" s="2" t="s">
        <v>74</v>
      </c>
      <c r="AD776" s="2" t="s">
        <v>74</v>
      </c>
      <c r="AE776" s="2" t="s">
        <v>74</v>
      </c>
      <c r="AF776" s="2" t="s">
        <v>74</v>
      </c>
      <c r="AG776" s="2" t="s">
        <v>74</v>
      </c>
      <c r="AH776" s="2" t="s">
        <v>74</v>
      </c>
      <c r="AI776" s="2" t="s">
        <v>74</v>
      </c>
      <c r="AJ776" s="2" t="s">
        <v>74</v>
      </c>
      <c r="AK776" s="2" t="s">
        <v>74</v>
      </c>
      <c r="AL776" s="2" t="s">
        <v>74</v>
      </c>
      <c r="AM776" s="2" t="s">
        <v>74</v>
      </c>
      <c r="AN776" s="2" t="s">
        <v>74</v>
      </c>
      <c r="AO776" s="2" t="s">
        <v>5885</v>
      </c>
      <c r="AP776" s="2" t="s">
        <v>5886</v>
      </c>
      <c r="AQ776" s="2" t="s">
        <v>74</v>
      </c>
      <c r="AR776" s="2" t="s">
        <v>74</v>
      </c>
      <c r="AS776" s="2" t="s">
        <v>74</v>
      </c>
      <c r="AT776" s="2" t="s">
        <v>5887</v>
      </c>
      <c r="AU776" s="2">
        <v>2015</v>
      </c>
      <c r="AV776" s="2">
        <v>82</v>
      </c>
      <c r="AW776" s="2">
        <v>3</v>
      </c>
      <c r="AX776" s="2" t="s">
        <v>74</v>
      </c>
      <c r="AY776" s="2" t="s">
        <v>74</v>
      </c>
      <c r="AZ776" s="2" t="s">
        <v>74</v>
      </c>
      <c r="BA776" s="2" t="s">
        <v>74</v>
      </c>
      <c r="BB776" s="2">
        <v>398</v>
      </c>
      <c r="BC776" s="2">
        <v>403</v>
      </c>
      <c r="BD776" s="2" t="s">
        <v>74</v>
      </c>
      <c r="BE776" s="2" t="s">
        <v>5888</v>
      </c>
      <c r="BF776" s="2" t="str">
        <f>HYPERLINK("http://dx.doi.org/10.1080/11250003.2015.1021391","http://dx.doi.org/10.1080/11250003.2015.1021391")</f>
        <v>http://dx.doi.org/10.1080/11250003.2015.1021391</v>
      </c>
      <c r="BG776" s="2" t="s">
        <v>74</v>
      </c>
      <c r="BH776" s="2" t="s">
        <v>74</v>
      </c>
      <c r="BI776" s="2" t="s">
        <v>74</v>
      </c>
      <c r="BJ776" s="2" t="s">
        <v>74</v>
      </c>
      <c r="BK776" s="2" t="s">
        <v>74</v>
      </c>
      <c r="BL776" s="2" t="s">
        <v>74</v>
      </c>
      <c r="BM776" s="2" t="s">
        <v>74</v>
      </c>
      <c r="BN776" s="2" t="s">
        <v>74</v>
      </c>
      <c r="BO776" s="2" t="s">
        <v>74</v>
      </c>
      <c r="BP776" s="2" t="s">
        <v>74</v>
      </c>
      <c r="BQ776" s="2" t="s">
        <v>74</v>
      </c>
      <c r="BR776" s="2" t="s">
        <v>74</v>
      </c>
      <c r="BS776" s="2" t="s">
        <v>5889</v>
      </c>
      <c r="BT776" s="2" t="str">
        <f>HYPERLINK("https%3A%2F%2Fwww.webofscience.com%2Fwos%2Fwoscc%2Ffull-record%2FWOS:000359742100011","View Full Record in Web of Science")</f>
        <v>View Full Record in Web of Science</v>
      </c>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row>
    <row r="777" spans="1:314" s="2" customFormat="1" x14ac:dyDescent="0.4">
      <c r="A777" s="2" t="s">
        <v>72</v>
      </c>
      <c r="B777" s="2" t="s">
        <v>296</v>
      </c>
      <c r="C777" s="2" t="s">
        <v>74</v>
      </c>
      <c r="D777" s="2" t="s">
        <v>74</v>
      </c>
      <c r="E777" s="2" t="s">
        <v>74</v>
      </c>
      <c r="F777" s="2" t="s">
        <v>297</v>
      </c>
      <c r="G777" s="2" t="s">
        <v>74</v>
      </c>
      <c r="H777" s="2" t="s">
        <v>74</v>
      </c>
      <c r="I777" s="2" t="s">
        <v>298</v>
      </c>
      <c r="J777" s="2" t="s">
        <v>299</v>
      </c>
      <c r="K777" s="2" t="s">
        <v>74</v>
      </c>
      <c r="L777" s="2" t="s">
        <v>74</v>
      </c>
      <c r="M777" s="2" t="s">
        <v>74</v>
      </c>
      <c r="N777" s="2" t="s">
        <v>74</v>
      </c>
      <c r="O777" s="2" t="s">
        <v>74</v>
      </c>
      <c r="P777" s="2" t="s">
        <v>74</v>
      </c>
      <c r="Q777" s="2" t="s">
        <v>74</v>
      </c>
      <c r="R777" s="2" t="s">
        <v>74</v>
      </c>
      <c r="S777" s="2" t="s">
        <v>74</v>
      </c>
      <c r="T777" s="2" t="s">
        <v>74</v>
      </c>
      <c r="U777" s="2" t="s">
        <v>74</v>
      </c>
      <c r="V777" s="5" t="s">
        <v>300</v>
      </c>
      <c r="W777" s="2" t="s">
        <v>74</v>
      </c>
      <c r="X777" s="2" t="s">
        <v>74</v>
      </c>
      <c r="Y777" s="2" t="s">
        <v>74</v>
      </c>
      <c r="Z777" s="2" t="s">
        <v>74</v>
      </c>
      <c r="AA777" s="2" t="s">
        <v>301</v>
      </c>
      <c r="AB777" s="2" t="s">
        <v>302</v>
      </c>
      <c r="AC777" s="2" t="s">
        <v>74</v>
      </c>
      <c r="AD777" s="2" t="s">
        <v>74</v>
      </c>
      <c r="AE777" s="2" t="s">
        <v>74</v>
      </c>
      <c r="AF777" s="2" t="s">
        <v>74</v>
      </c>
      <c r="AG777" s="2" t="s">
        <v>74</v>
      </c>
      <c r="AH777" s="2" t="s">
        <v>74</v>
      </c>
      <c r="AI777" s="2" t="s">
        <v>74</v>
      </c>
      <c r="AJ777" s="2" t="s">
        <v>74</v>
      </c>
      <c r="AK777" s="2" t="s">
        <v>74</v>
      </c>
      <c r="AL777" s="2" t="s">
        <v>74</v>
      </c>
      <c r="AM777" s="2" t="s">
        <v>74</v>
      </c>
      <c r="AN777" s="2" t="s">
        <v>74</v>
      </c>
      <c r="AO777" s="2" t="s">
        <v>303</v>
      </c>
      <c r="AP777" s="2" t="s">
        <v>304</v>
      </c>
      <c r="AQ777" s="2" t="s">
        <v>74</v>
      </c>
      <c r="AR777" s="2" t="s">
        <v>74</v>
      </c>
      <c r="AS777" s="2" t="s">
        <v>74</v>
      </c>
      <c r="AT777" s="2" t="s">
        <v>305</v>
      </c>
      <c r="AU777" s="2">
        <v>2022</v>
      </c>
      <c r="AV777" s="2">
        <v>53</v>
      </c>
      <c r="AW777" s="2">
        <v>17</v>
      </c>
      <c r="AX777" s="2" t="s">
        <v>74</v>
      </c>
      <c r="AY777" s="2" t="s">
        <v>74</v>
      </c>
      <c r="AZ777" s="2" t="s">
        <v>74</v>
      </c>
      <c r="BA777" s="2" t="s">
        <v>74</v>
      </c>
      <c r="BB777" s="2">
        <v>6407</v>
      </c>
      <c r="BC777" s="2">
        <v>6413</v>
      </c>
      <c r="BD777" s="2" t="s">
        <v>74</v>
      </c>
      <c r="BE777" s="2" t="s">
        <v>306</v>
      </c>
      <c r="BF777" s="2" t="str">
        <f>HYPERLINK("http://dx.doi.org/10.1111/are.16083","http://dx.doi.org/10.1111/are.16083")</f>
        <v>http://dx.doi.org/10.1111/are.16083</v>
      </c>
      <c r="BG777" s="2" t="s">
        <v>74</v>
      </c>
      <c r="BH777" s="2" t="s">
        <v>307</v>
      </c>
      <c r="BI777" s="2" t="s">
        <v>74</v>
      </c>
      <c r="BJ777" s="2" t="s">
        <v>74</v>
      </c>
      <c r="BK777" s="2" t="s">
        <v>74</v>
      </c>
      <c r="BL777" s="2" t="s">
        <v>74</v>
      </c>
      <c r="BM777" s="2" t="s">
        <v>74</v>
      </c>
      <c r="BN777" s="2" t="s">
        <v>74</v>
      </c>
      <c r="BO777" s="2" t="s">
        <v>74</v>
      </c>
      <c r="BP777" s="2" t="s">
        <v>74</v>
      </c>
      <c r="BQ777" s="2" t="s">
        <v>74</v>
      </c>
      <c r="BR777" s="2" t="s">
        <v>74</v>
      </c>
      <c r="BS777" s="2" t="s">
        <v>308</v>
      </c>
      <c r="BT777" s="2" t="str">
        <f>HYPERLINK("https%3A%2F%2Fwww.webofscience.com%2Fwos%2Fwoscc%2Ffull-record%2FWOS:000847232100001","View Full Record in Web of Science")</f>
        <v>View Full Record in Web of Science</v>
      </c>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row>
    <row r="778" spans="1:314" s="1" customFormat="1" x14ac:dyDescent="0.4">
      <c r="A778" s="2" t="s">
        <v>72</v>
      </c>
      <c r="B778" s="2" t="s">
        <v>1606</v>
      </c>
      <c r="C778" s="2" t="s">
        <v>74</v>
      </c>
      <c r="D778" s="2" t="s">
        <v>74</v>
      </c>
      <c r="E778" s="2" t="s">
        <v>74</v>
      </c>
      <c r="F778" s="2" t="s">
        <v>1606</v>
      </c>
      <c r="G778" s="2" t="s">
        <v>74</v>
      </c>
      <c r="H778" s="2" t="s">
        <v>74</v>
      </c>
      <c r="I778" s="2" t="s">
        <v>1607</v>
      </c>
      <c r="J778" s="2" t="s">
        <v>1135</v>
      </c>
      <c r="K778" s="2" t="s">
        <v>74</v>
      </c>
      <c r="L778" s="2" t="s">
        <v>74</v>
      </c>
      <c r="M778" s="2" t="s">
        <v>74</v>
      </c>
      <c r="N778" s="2" t="s">
        <v>74</v>
      </c>
      <c r="O778" s="2" t="s">
        <v>74</v>
      </c>
      <c r="P778" s="2" t="s">
        <v>74</v>
      </c>
      <c r="Q778" s="2" t="s">
        <v>74</v>
      </c>
      <c r="R778" s="2" t="s">
        <v>74</v>
      </c>
      <c r="S778" s="2" t="s">
        <v>74</v>
      </c>
      <c r="T778" s="2" t="s">
        <v>74</v>
      </c>
      <c r="U778" s="2" t="s">
        <v>74</v>
      </c>
      <c r="V778" s="5" t="s">
        <v>1608</v>
      </c>
      <c r="W778" s="2" t="s">
        <v>74</v>
      </c>
      <c r="X778" s="2" t="s">
        <v>74</v>
      </c>
      <c r="Y778" s="2" t="s">
        <v>74</v>
      </c>
      <c r="Z778" s="2" t="s">
        <v>74</v>
      </c>
      <c r="AA778" s="2" t="s">
        <v>1609</v>
      </c>
      <c r="AB778" s="2" t="s">
        <v>1610</v>
      </c>
      <c r="AC778" s="2" t="s">
        <v>74</v>
      </c>
      <c r="AD778" s="2" t="s">
        <v>74</v>
      </c>
      <c r="AE778" s="2" t="s">
        <v>74</v>
      </c>
      <c r="AF778" s="2" t="s">
        <v>74</v>
      </c>
      <c r="AG778" s="2" t="s">
        <v>74</v>
      </c>
      <c r="AH778" s="2" t="s">
        <v>74</v>
      </c>
      <c r="AI778" s="2" t="s">
        <v>74</v>
      </c>
      <c r="AJ778" s="2" t="s">
        <v>74</v>
      </c>
      <c r="AK778" s="2" t="s">
        <v>74</v>
      </c>
      <c r="AL778" s="2" t="s">
        <v>74</v>
      </c>
      <c r="AM778" s="2" t="s">
        <v>74</v>
      </c>
      <c r="AN778" s="2" t="s">
        <v>74</v>
      </c>
      <c r="AO778" s="2" t="s">
        <v>1137</v>
      </c>
      <c r="AP778" s="2" t="s">
        <v>74</v>
      </c>
      <c r="AQ778" s="2" t="s">
        <v>74</v>
      </c>
      <c r="AR778" s="2" t="s">
        <v>74</v>
      </c>
      <c r="AS778" s="2" t="s">
        <v>74</v>
      </c>
      <c r="AT778" s="2" t="s">
        <v>1611</v>
      </c>
      <c r="AU778" s="2">
        <v>1992</v>
      </c>
      <c r="AV778" s="2">
        <v>23</v>
      </c>
      <c r="AW778" s="2">
        <v>1</v>
      </c>
      <c r="AX778" s="2" t="s">
        <v>74</v>
      </c>
      <c r="AY778" s="2" t="s">
        <v>74</v>
      </c>
      <c r="AZ778" s="2" t="s">
        <v>74</v>
      </c>
      <c r="BA778" s="2" t="s">
        <v>74</v>
      </c>
      <c r="BB778" s="2">
        <v>17</v>
      </c>
      <c r="BC778" s="2">
        <v>23</v>
      </c>
      <c r="BD778" s="2" t="s">
        <v>74</v>
      </c>
      <c r="BE778" s="2" t="s">
        <v>1612</v>
      </c>
      <c r="BF778" s="2" t="str">
        <f>HYPERLINK("http://dx.doi.org/10.2307/3676422","http://dx.doi.org/10.2307/3676422")</f>
        <v>http://dx.doi.org/10.2307/3676422</v>
      </c>
      <c r="BG778" s="2" t="s">
        <v>74</v>
      </c>
      <c r="BH778" s="2" t="s">
        <v>74</v>
      </c>
      <c r="BI778" s="2" t="s">
        <v>74</v>
      </c>
      <c r="BJ778" s="2" t="s">
        <v>74</v>
      </c>
      <c r="BK778" s="2" t="s">
        <v>74</v>
      </c>
      <c r="BL778" s="2" t="s">
        <v>74</v>
      </c>
      <c r="BM778" s="2" t="s">
        <v>74</v>
      </c>
      <c r="BN778" s="2" t="s">
        <v>74</v>
      </c>
      <c r="BO778" s="2" t="s">
        <v>74</v>
      </c>
      <c r="BP778" s="2" t="s">
        <v>74</v>
      </c>
      <c r="BQ778" s="2" t="s">
        <v>74</v>
      </c>
      <c r="BR778" s="2" t="s">
        <v>74</v>
      </c>
      <c r="BS778" s="2" t="s">
        <v>1613</v>
      </c>
      <c r="BT778" s="2" t="str">
        <f>HYPERLINK("https%3A%2F%2Fwww.webofscience.com%2Fwos%2Fwoscc%2Ffull-record%2FWOS:A1992HN98800004","View Full Record in Web of Science")</f>
        <v>View Full Record in Web of Science</v>
      </c>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row>
    <row r="779" spans="1:314" s="1" customFormat="1" x14ac:dyDescent="0.4">
      <c r="A779" s="2" t="s">
        <v>72</v>
      </c>
      <c r="B779" s="2" t="s">
        <v>8412</v>
      </c>
      <c r="C779" s="2" t="s">
        <v>74</v>
      </c>
      <c r="D779" s="2" t="s">
        <v>74</v>
      </c>
      <c r="E779" s="2" t="s">
        <v>74</v>
      </c>
      <c r="F779" s="2" t="s">
        <v>8413</v>
      </c>
      <c r="G779" s="2" t="s">
        <v>74</v>
      </c>
      <c r="H779" s="2" t="s">
        <v>74</v>
      </c>
      <c r="I779" s="2" t="s">
        <v>8414</v>
      </c>
      <c r="J779" s="2" t="s">
        <v>1656</v>
      </c>
      <c r="K779" s="2" t="s">
        <v>74</v>
      </c>
      <c r="L779" s="2" t="s">
        <v>74</v>
      </c>
      <c r="M779" s="2" t="s">
        <v>74</v>
      </c>
      <c r="N779" s="2" t="s">
        <v>74</v>
      </c>
      <c r="O779" s="2" t="s">
        <v>74</v>
      </c>
      <c r="P779" s="2" t="s">
        <v>74</v>
      </c>
      <c r="Q779" s="2" t="s">
        <v>74</v>
      </c>
      <c r="R779" s="2" t="s">
        <v>74</v>
      </c>
      <c r="S779" s="2" t="s">
        <v>74</v>
      </c>
      <c r="T779" s="2" t="s">
        <v>74</v>
      </c>
      <c r="U779" s="2" t="s">
        <v>74</v>
      </c>
      <c r="V779" s="5" t="s">
        <v>8415</v>
      </c>
      <c r="W779" s="2" t="s">
        <v>74</v>
      </c>
      <c r="X779" s="2" t="s">
        <v>74</v>
      </c>
      <c r="Y779" s="2" t="s">
        <v>74</v>
      </c>
      <c r="Z779" s="2" t="s">
        <v>74</v>
      </c>
      <c r="AA779" s="2" t="s">
        <v>8416</v>
      </c>
      <c r="AB779" s="2" t="s">
        <v>8417</v>
      </c>
      <c r="AC779" s="2" t="s">
        <v>74</v>
      </c>
      <c r="AD779" s="2" t="s">
        <v>74</v>
      </c>
      <c r="AE779" s="2" t="s">
        <v>74</v>
      </c>
      <c r="AF779" s="2" t="s">
        <v>74</v>
      </c>
      <c r="AG779" s="2" t="s">
        <v>74</v>
      </c>
      <c r="AH779" s="2" t="s">
        <v>74</v>
      </c>
      <c r="AI779" s="2" t="s">
        <v>74</v>
      </c>
      <c r="AJ779" s="2" t="s">
        <v>74</v>
      </c>
      <c r="AK779" s="2" t="s">
        <v>74</v>
      </c>
      <c r="AL779" s="2" t="s">
        <v>74</v>
      </c>
      <c r="AM779" s="2" t="s">
        <v>74</v>
      </c>
      <c r="AN779" s="2" t="s">
        <v>74</v>
      </c>
      <c r="AO779" s="2" t="s">
        <v>1658</v>
      </c>
      <c r="AP779" s="2" t="s">
        <v>1659</v>
      </c>
      <c r="AQ779" s="2" t="s">
        <v>74</v>
      </c>
      <c r="AR779" s="2" t="s">
        <v>74</v>
      </c>
      <c r="AS779" s="2" t="s">
        <v>74</v>
      </c>
      <c r="AT779" s="2" t="s">
        <v>8418</v>
      </c>
      <c r="AU779" s="2">
        <v>2023</v>
      </c>
      <c r="AV779" s="2">
        <v>5285</v>
      </c>
      <c r="AW779" s="2">
        <v>2</v>
      </c>
      <c r="AX779" s="2" t="s">
        <v>74</v>
      </c>
      <c r="AY779" s="2" t="s">
        <v>74</v>
      </c>
      <c r="AZ779" s="2" t="s">
        <v>74</v>
      </c>
      <c r="BA779" s="2" t="s">
        <v>74</v>
      </c>
      <c r="BB779" s="2">
        <v>201</v>
      </c>
      <c r="BC779" s="2">
        <v>251</v>
      </c>
      <c r="BD779" s="2" t="s">
        <v>74</v>
      </c>
      <c r="BE779" s="2" t="s">
        <v>8419</v>
      </c>
      <c r="BF779" s="2" t="str">
        <f>HYPERLINK("http://dx.doi.org/10.11646/zootaxa.5285.2.1","http://dx.doi.org/10.11646/zootaxa.5285.2.1")</f>
        <v>http://dx.doi.org/10.11646/zootaxa.5285.2.1</v>
      </c>
      <c r="BG779" s="2" t="s">
        <v>74</v>
      </c>
      <c r="BH779" s="2" t="s">
        <v>74</v>
      </c>
      <c r="BI779" s="2" t="s">
        <v>74</v>
      </c>
      <c r="BJ779" s="2" t="s">
        <v>74</v>
      </c>
      <c r="BK779" s="2" t="s">
        <v>74</v>
      </c>
      <c r="BL779" s="2" t="s">
        <v>74</v>
      </c>
      <c r="BM779" s="2" t="s">
        <v>74</v>
      </c>
      <c r="BN779" s="2">
        <v>37518708</v>
      </c>
      <c r="BO779" s="2" t="s">
        <v>74</v>
      </c>
      <c r="BP779" s="2" t="s">
        <v>74</v>
      </c>
      <c r="BQ779" s="2" t="s">
        <v>74</v>
      </c>
      <c r="BR779" s="2" t="s">
        <v>74</v>
      </c>
      <c r="BS779" s="2" t="s">
        <v>8420</v>
      </c>
      <c r="BT779" s="2" t="str">
        <f>HYPERLINK("https%3A%2F%2Fwww.webofscience.com%2Fwos%2Fwoscc%2Ffull-record%2FWOS:000996486900001","View Full Record in Web of Science")</f>
        <v>View Full Record in Web of Science</v>
      </c>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row>
    <row r="780" spans="1:314" s="2" customFormat="1" x14ac:dyDescent="0.4">
      <c r="A780" s="2" t="s">
        <v>72</v>
      </c>
      <c r="B780" s="2" t="s">
        <v>8716</v>
      </c>
      <c r="C780" s="2" t="s">
        <v>74</v>
      </c>
      <c r="D780" s="2" t="s">
        <v>74</v>
      </c>
      <c r="E780" s="2" t="s">
        <v>74</v>
      </c>
      <c r="F780" s="2" t="s">
        <v>8717</v>
      </c>
      <c r="G780" s="2" t="s">
        <v>74</v>
      </c>
      <c r="H780" s="2" t="s">
        <v>74</v>
      </c>
      <c r="I780" s="2" t="s">
        <v>8718</v>
      </c>
      <c r="J780" s="2" t="s">
        <v>1112</v>
      </c>
      <c r="K780" s="2" t="s">
        <v>74</v>
      </c>
      <c r="L780" s="2" t="s">
        <v>74</v>
      </c>
      <c r="M780" s="2" t="s">
        <v>74</v>
      </c>
      <c r="N780" s="2" t="s">
        <v>74</v>
      </c>
      <c r="O780" s="2" t="s">
        <v>74</v>
      </c>
      <c r="P780" s="2" t="s">
        <v>74</v>
      </c>
      <c r="Q780" s="2" t="s">
        <v>74</v>
      </c>
      <c r="R780" s="2" t="s">
        <v>74</v>
      </c>
      <c r="S780" s="2" t="s">
        <v>74</v>
      </c>
      <c r="T780" s="2" t="s">
        <v>74</v>
      </c>
      <c r="U780" s="2" t="s">
        <v>74</v>
      </c>
      <c r="V780" s="5" t="s">
        <v>8719</v>
      </c>
      <c r="W780" s="2" t="s">
        <v>74</v>
      </c>
      <c r="X780" s="2" t="s">
        <v>74</v>
      </c>
      <c r="Y780" s="2" t="s">
        <v>74</v>
      </c>
      <c r="Z780" s="2" t="s">
        <v>74</v>
      </c>
      <c r="AA780" s="2" t="s">
        <v>74</v>
      </c>
      <c r="AB780" s="2" t="s">
        <v>8720</v>
      </c>
      <c r="AC780" s="2" t="s">
        <v>74</v>
      </c>
      <c r="AD780" s="2" t="s">
        <v>74</v>
      </c>
      <c r="AE780" s="2" t="s">
        <v>74</v>
      </c>
      <c r="AF780" s="2" t="s">
        <v>74</v>
      </c>
      <c r="AG780" s="2" t="s">
        <v>74</v>
      </c>
      <c r="AH780" s="2" t="s">
        <v>74</v>
      </c>
      <c r="AI780" s="2" t="s">
        <v>74</v>
      </c>
      <c r="AJ780" s="2" t="s">
        <v>74</v>
      </c>
      <c r="AK780" s="2" t="s">
        <v>74</v>
      </c>
      <c r="AL780" s="2" t="s">
        <v>74</v>
      </c>
      <c r="AM780" s="2" t="s">
        <v>74</v>
      </c>
      <c r="AN780" s="2" t="s">
        <v>74</v>
      </c>
      <c r="AO780" s="2" t="s">
        <v>1114</v>
      </c>
      <c r="AP780" s="2" t="s">
        <v>1115</v>
      </c>
      <c r="AQ780" s="2" t="s">
        <v>74</v>
      </c>
      <c r="AR780" s="2" t="s">
        <v>74</v>
      </c>
      <c r="AS780" s="2" t="s">
        <v>74</v>
      </c>
      <c r="AT780" s="2" t="s">
        <v>255</v>
      </c>
      <c r="AU780" s="2">
        <v>2019</v>
      </c>
      <c r="AV780" s="2">
        <v>210</v>
      </c>
      <c r="AW780" s="2" t="s">
        <v>74</v>
      </c>
      <c r="AX780" s="2" t="s">
        <v>74</v>
      </c>
      <c r="AY780" s="2" t="s">
        <v>74</v>
      </c>
      <c r="AZ780" s="2" t="s">
        <v>74</v>
      </c>
      <c r="BA780" s="2" t="s">
        <v>74</v>
      </c>
      <c r="BB780" s="2">
        <v>73</v>
      </c>
      <c r="BC780" s="2">
        <v>80</v>
      </c>
      <c r="BD780" s="2" t="s">
        <v>74</v>
      </c>
      <c r="BE780" s="2" t="s">
        <v>8721</v>
      </c>
      <c r="BF780" s="2" t="str">
        <f>HYPERLINK("http://dx.doi.org/10.1016/j.applanim.2018.10.011","http://dx.doi.org/10.1016/j.applanim.2018.10.011")</f>
        <v>http://dx.doi.org/10.1016/j.applanim.2018.10.011</v>
      </c>
      <c r="BG780" s="2" t="s">
        <v>74</v>
      </c>
      <c r="BH780" s="2" t="s">
        <v>74</v>
      </c>
      <c r="BI780" s="2" t="s">
        <v>74</v>
      </c>
      <c r="BJ780" s="2" t="s">
        <v>74</v>
      </c>
      <c r="BK780" s="2" t="s">
        <v>74</v>
      </c>
      <c r="BL780" s="2" t="s">
        <v>74</v>
      </c>
      <c r="BM780" s="2" t="s">
        <v>74</v>
      </c>
      <c r="BN780" s="2" t="s">
        <v>74</v>
      </c>
      <c r="BO780" s="2" t="s">
        <v>74</v>
      </c>
      <c r="BP780" s="2" t="s">
        <v>74</v>
      </c>
      <c r="BQ780" s="2" t="s">
        <v>74</v>
      </c>
      <c r="BR780" s="2" t="s">
        <v>74</v>
      </c>
      <c r="BS780" s="2" t="s">
        <v>8722</v>
      </c>
      <c r="BT780" s="2" t="str">
        <f>HYPERLINK("https%3A%2F%2Fwww.webofscience.com%2Fwos%2Fwoscc%2Ffull-record%2FWOS:000457661700010","View Full Record in Web of Science")</f>
        <v>View Full Record in Web of Science</v>
      </c>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row>
    <row r="781" spans="1:314" s="2" customFormat="1" x14ac:dyDescent="0.4">
      <c r="A781" s="2" t="s">
        <v>72</v>
      </c>
      <c r="B781" s="2" t="s">
        <v>105</v>
      </c>
      <c r="C781" s="2" t="s">
        <v>74</v>
      </c>
      <c r="D781" s="2" t="s">
        <v>74</v>
      </c>
      <c r="E781" s="2" t="s">
        <v>74</v>
      </c>
      <c r="F781" s="2" t="s">
        <v>106</v>
      </c>
      <c r="G781" s="2" t="s">
        <v>74</v>
      </c>
      <c r="H781" s="2" t="s">
        <v>74</v>
      </c>
      <c r="I781" s="2" t="s">
        <v>107</v>
      </c>
      <c r="J781" s="2" t="s">
        <v>108</v>
      </c>
      <c r="K781" s="2" t="s">
        <v>74</v>
      </c>
      <c r="L781" s="2" t="s">
        <v>74</v>
      </c>
      <c r="M781" s="2" t="s">
        <v>74</v>
      </c>
      <c r="N781" s="2" t="s">
        <v>74</v>
      </c>
      <c r="O781" s="2" t="s">
        <v>74</v>
      </c>
      <c r="P781" s="2" t="s">
        <v>74</v>
      </c>
      <c r="Q781" s="2" t="s">
        <v>74</v>
      </c>
      <c r="R781" s="2" t="s">
        <v>74</v>
      </c>
      <c r="S781" s="2" t="s">
        <v>74</v>
      </c>
      <c r="T781" s="2" t="s">
        <v>74</v>
      </c>
      <c r="U781" s="2" t="s">
        <v>74</v>
      </c>
      <c r="V781" s="5" t="s">
        <v>109</v>
      </c>
      <c r="W781" s="2" t="s">
        <v>74</v>
      </c>
      <c r="X781" s="2" t="s">
        <v>74</v>
      </c>
      <c r="Y781" s="2" t="s">
        <v>74</v>
      </c>
      <c r="Z781" s="2" t="s">
        <v>74</v>
      </c>
      <c r="AA781" s="2" t="s">
        <v>74</v>
      </c>
      <c r="AB781" s="2" t="s">
        <v>110</v>
      </c>
      <c r="AC781" s="2" t="s">
        <v>74</v>
      </c>
      <c r="AD781" s="2" t="s">
        <v>74</v>
      </c>
      <c r="AE781" s="2" t="s">
        <v>74</v>
      </c>
      <c r="AF781" s="2" t="s">
        <v>74</v>
      </c>
      <c r="AG781" s="2" t="s">
        <v>74</v>
      </c>
      <c r="AH781" s="2" t="s">
        <v>74</v>
      </c>
      <c r="AI781" s="2" t="s">
        <v>74</v>
      </c>
      <c r="AJ781" s="2" t="s">
        <v>74</v>
      </c>
      <c r="AK781" s="2" t="s">
        <v>74</v>
      </c>
      <c r="AL781" s="2" t="s">
        <v>74</v>
      </c>
      <c r="AM781" s="2" t="s">
        <v>74</v>
      </c>
      <c r="AN781" s="2" t="s">
        <v>74</v>
      </c>
      <c r="AO781" s="2" t="s">
        <v>111</v>
      </c>
      <c r="AP781" s="2" t="s">
        <v>112</v>
      </c>
      <c r="AQ781" s="2" t="s">
        <v>74</v>
      </c>
      <c r="AR781" s="2" t="s">
        <v>74</v>
      </c>
      <c r="AS781" s="2" t="s">
        <v>74</v>
      </c>
      <c r="AT781" s="2" t="s">
        <v>113</v>
      </c>
      <c r="AU781" s="2">
        <v>2018</v>
      </c>
      <c r="AV781" s="2">
        <v>285</v>
      </c>
      <c r="AW781" s="2">
        <v>1884</v>
      </c>
      <c r="AX781" s="2" t="s">
        <v>74</v>
      </c>
      <c r="AY781" s="2" t="s">
        <v>74</v>
      </c>
      <c r="AZ781" s="2" t="s">
        <v>74</v>
      </c>
      <c r="BA781" s="2" t="s">
        <v>74</v>
      </c>
      <c r="BB781" s="2" t="s">
        <v>74</v>
      </c>
      <c r="BC781" s="2" t="s">
        <v>74</v>
      </c>
      <c r="BD781" s="2">
        <v>20181248</v>
      </c>
      <c r="BE781" s="2" t="s">
        <v>114</v>
      </c>
      <c r="BF781" s="2" t="str">
        <f>HYPERLINK("http://dx.doi.org/10.1098/rspb.2018.1248","http://dx.doi.org/10.1098/rspb.2018.1248")</f>
        <v>http://dx.doi.org/10.1098/rspb.2018.1248</v>
      </c>
      <c r="BG781" s="2" t="s">
        <v>74</v>
      </c>
      <c r="BH781" s="2" t="s">
        <v>74</v>
      </c>
      <c r="BI781" s="2" t="s">
        <v>74</v>
      </c>
      <c r="BJ781" s="2" t="s">
        <v>74</v>
      </c>
      <c r="BK781" s="2" t="s">
        <v>74</v>
      </c>
      <c r="BL781" s="2" t="s">
        <v>74</v>
      </c>
      <c r="BM781" s="2" t="s">
        <v>74</v>
      </c>
      <c r="BN781" s="2">
        <v>30068684</v>
      </c>
      <c r="BO781" s="2" t="s">
        <v>74</v>
      </c>
      <c r="BP781" s="2" t="s">
        <v>74</v>
      </c>
      <c r="BQ781" s="2" t="s">
        <v>74</v>
      </c>
      <c r="BR781" s="2" t="s">
        <v>74</v>
      </c>
      <c r="BS781" s="2" t="s">
        <v>115</v>
      </c>
      <c r="BT781" s="2" t="str">
        <f>HYPERLINK("https%3A%2F%2Fwww.webofscience.com%2Fwos%2Fwoscc%2Ffull-record%2FWOS:000441725900027","View Full Record in Web of Science")</f>
        <v>View Full Record in Web of Science</v>
      </c>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row>
    <row r="782" spans="1:314" s="2" customFormat="1" x14ac:dyDescent="0.4">
      <c r="A782" s="2" t="s">
        <v>72</v>
      </c>
      <c r="B782" s="2" t="s">
        <v>168</v>
      </c>
      <c r="C782" s="2" t="s">
        <v>74</v>
      </c>
      <c r="D782" s="2" t="s">
        <v>74</v>
      </c>
      <c r="E782" s="2" t="s">
        <v>74</v>
      </c>
      <c r="F782" s="2" t="s">
        <v>169</v>
      </c>
      <c r="G782" s="2" t="s">
        <v>74</v>
      </c>
      <c r="H782" s="2" t="s">
        <v>74</v>
      </c>
      <c r="I782" s="2" t="s">
        <v>170</v>
      </c>
      <c r="J782" s="2" t="s">
        <v>171</v>
      </c>
      <c r="K782" s="2" t="s">
        <v>74</v>
      </c>
      <c r="L782" s="2" t="s">
        <v>74</v>
      </c>
      <c r="M782" s="2" t="s">
        <v>74</v>
      </c>
      <c r="N782" s="2" t="s">
        <v>74</v>
      </c>
      <c r="O782" s="2" t="s">
        <v>74</v>
      </c>
      <c r="P782" s="2" t="s">
        <v>74</v>
      </c>
      <c r="Q782" s="2" t="s">
        <v>74</v>
      </c>
      <c r="R782" s="2" t="s">
        <v>74</v>
      </c>
      <c r="S782" s="2" t="s">
        <v>74</v>
      </c>
      <c r="T782" s="2" t="s">
        <v>74</v>
      </c>
      <c r="U782" s="2" t="s">
        <v>74</v>
      </c>
      <c r="V782" s="5" t="s">
        <v>172</v>
      </c>
      <c r="W782" s="2" t="s">
        <v>74</v>
      </c>
      <c r="X782" s="2" t="s">
        <v>74</v>
      </c>
      <c r="Y782" s="2" t="s">
        <v>74</v>
      </c>
      <c r="Z782" s="2" t="s">
        <v>74</v>
      </c>
      <c r="AA782" s="2" t="s">
        <v>74</v>
      </c>
      <c r="AB782" s="2" t="s">
        <v>110</v>
      </c>
      <c r="AC782" s="2" t="s">
        <v>74</v>
      </c>
      <c r="AD782" s="2" t="s">
        <v>74</v>
      </c>
      <c r="AE782" s="2" t="s">
        <v>74</v>
      </c>
      <c r="AF782" s="2" t="s">
        <v>74</v>
      </c>
      <c r="AG782" s="2" t="s">
        <v>74</v>
      </c>
      <c r="AH782" s="2" t="s">
        <v>74</v>
      </c>
      <c r="AI782" s="2" t="s">
        <v>74</v>
      </c>
      <c r="AJ782" s="2" t="s">
        <v>74</v>
      </c>
      <c r="AK782" s="2" t="s">
        <v>74</v>
      </c>
      <c r="AL782" s="2" t="s">
        <v>74</v>
      </c>
      <c r="AM782" s="2" t="s">
        <v>74</v>
      </c>
      <c r="AN782" s="2" t="s">
        <v>74</v>
      </c>
      <c r="AO782" s="2" t="s">
        <v>173</v>
      </c>
      <c r="AP782" s="2" t="s">
        <v>174</v>
      </c>
      <c r="AQ782" s="2" t="s">
        <v>74</v>
      </c>
      <c r="AR782" s="2" t="s">
        <v>74</v>
      </c>
      <c r="AS782" s="2" t="s">
        <v>74</v>
      </c>
      <c r="AT782" s="2" t="s">
        <v>175</v>
      </c>
      <c r="AU782" s="2">
        <v>2017</v>
      </c>
      <c r="AV782" s="2">
        <v>71</v>
      </c>
      <c r="AW782" s="2">
        <v>10</v>
      </c>
      <c r="AX782" s="2" t="s">
        <v>74</v>
      </c>
      <c r="AY782" s="2" t="s">
        <v>74</v>
      </c>
      <c r="AZ782" s="2" t="s">
        <v>74</v>
      </c>
      <c r="BA782" s="2" t="s">
        <v>74</v>
      </c>
      <c r="BB782" s="2">
        <v>2428</v>
      </c>
      <c r="BC782" s="2">
        <v>2444</v>
      </c>
      <c r="BD782" s="2" t="s">
        <v>74</v>
      </c>
      <c r="BE782" s="2" t="s">
        <v>176</v>
      </c>
      <c r="BF782" s="2" t="str">
        <f>HYPERLINK("http://dx.doi.org/10.1111/evo.13321","http://dx.doi.org/10.1111/evo.13321")</f>
        <v>http://dx.doi.org/10.1111/evo.13321</v>
      </c>
      <c r="BG782" s="2" t="s">
        <v>74</v>
      </c>
      <c r="BH782" s="2" t="s">
        <v>74</v>
      </c>
      <c r="BI782" s="2" t="s">
        <v>74</v>
      </c>
      <c r="BJ782" s="2" t="s">
        <v>74</v>
      </c>
      <c r="BK782" s="2" t="s">
        <v>74</v>
      </c>
      <c r="BL782" s="2" t="s">
        <v>74</v>
      </c>
      <c r="BM782" s="2" t="s">
        <v>74</v>
      </c>
      <c r="BN782" s="2">
        <v>28776645</v>
      </c>
      <c r="BO782" s="2" t="s">
        <v>74</v>
      </c>
      <c r="BP782" s="2" t="s">
        <v>74</v>
      </c>
      <c r="BQ782" s="2" t="s">
        <v>74</v>
      </c>
      <c r="BR782" s="2" t="s">
        <v>74</v>
      </c>
      <c r="BS782" s="2" t="s">
        <v>177</v>
      </c>
      <c r="BT782" s="2" t="str">
        <f>HYPERLINK("https%3A%2F%2Fwww.webofscience.com%2Fwos%2Fwoscc%2Ffull-record%2FWOS:000412834700011","View Full Record in Web of Science")</f>
        <v>View Full Record in Web of Science</v>
      </c>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row>
    <row r="783" spans="1:314" s="2" customFormat="1" x14ac:dyDescent="0.4">
      <c r="A783" s="2" t="s">
        <v>72</v>
      </c>
      <c r="B783" s="2" t="s">
        <v>6835</v>
      </c>
      <c r="C783" s="2" t="s">
        <v>74</v>
      </c>
      <c r="D783" s="2" t="s">
        <v>74</v>
      </c>
      <c r="E783" s="2" t="s">
        <v>74</v>
      </c>
      <c r="F783" s="2" t="s">
        <v>6836</v>
      </c>
      <c r="G783" s="2" t="s">
        <v>74</v>
      </c>
      <c r="H783" s="2" t="s">
        <v>74</v>
      </c>
      <c r="I783" s="2" t="s">
        <v>6837</v>
      </c>
      <c r="J783" s="2" t="s">
        <v>1656</v>
      </c>
      <c r="K783" s="2" t="s">
        <v>74</v>
      </c>
      <c r="L783" s="2" t="s">
        <v>74</v>
      </c>
      <c r="M783" s="2" t="s">
        <v>74</v>
      </c>
      <c r="N783" s="2" t="s">
        <v>74</v>
      </c>
      <c r="O783" s="2" t="s">
        <v>74</v>
      </c>
      <c r="P783" s="2" t="s">
        <v>74</v>
      </c>
      <c r="Q783" s="2" t="s">
        <v>74</v>
      </c>
      <c r="R783" s="2" t="s">
        <v>74</v>
      </c>
      <c r="S783" s="2" t="s">
        <v>74</v>
      </c>
      <c r="T783" s="2" t="s">
        <v>74</v>
      </c>
      <c r="U783" s="2" t="s">
        <v>74</v>
      </c>
      <c r="V783" s="5" t="s">
        <v>6838</v>
      </c>
      <c r="W783" s="2" t="s">
        <v>74</v>
      </c>
      <c r="X783" s="2" t="s">
        <v>74</v>
      </c>
      <c r="Y783" s="2" t="s">
        <v>74</v>
      </c>
      <c r="Z783" s="2" t="s">
        <v>74</v>
      </c>
      <c r="AA783" s="2" t="s">
        <v>74</v>
      </c>
      <c r="AB783" s="2" t="s">
        <v>6839</v>
      </c>
      <c r="AC783" s="2" t="s">
        <v>74</v>
      </c>
      <c r="AD783" s="2" t="s">
        <v>74</v>
      </c>
      <c r="AE783" s="2" t="s">
        <v>74</v>
      </c>
      <c r="AF783" s="2" t="s">
        <v>74</v>
      </c>
      <c r="AG783" s="2" t="s">
        <v>74</v>
      </c>
      <c r="AH783" s="2" t="s">
        <v>74</v>
      </c>
      <c r="AI783" s="2" t="s">
        <v>74</v>
      </c>
      <c r="AJ783" s="2" t="s">
        <v>74</v>
      </c>
      <c r="AK783" s="2" t="s">
        <v>74</v>
      </c>
      <c r="AL783" s="2" t="s">
        <v>74</v>
      </c>
      <c r="AM783" s="2" t="s">
        <v>74</v>
      </c>
      <c r="AN783" s="2" t="s">
        <v>74</v>
      </c>
      <c r="AO783" s="2" t="s">
        <v>1658</v>
      </c>
      <c r="AP783" s="2" t="s">
        <v>1659</v>
      </c>
      <c r="AQ783" s="2" t="s">
        <v>74</v>
      </c>
      <c r="AR783" s="2" t="s">
        <v>74</v>
      </c>
      <c r="AS783" s="2" t="s">
        <v>74</v>
      </c>
      <c r="AT783" s="2" t="s">
        <v>6840</v>
      </c>
      <c r="AU783" s="2">
        <v>2019</v>
      </c>
      <c r="AV783" s="2">
        <v>4700</v>
      </c>
      <c r="AW783" s="2">
        <v>4</v>
      </c>
      <c r="AX783" s="2" t="s">
        <v>74</v>
      </c>
      <c r="AY783" s="2" t="s">
        <v>74</v>
      </c>
      <c r="AZ783" s="2" t="s">
        <v>74</v>
      </c>
      <c r="BA783" s="2" t="s">
        <v>74</v>
      </c>
      <c r="BB783" s="2">
        <v>501</v>
      </c>
      <c r="BC783" s="2">
        <v>534</v>
      </c>
      <c r="BD783" s="2" t="s">
        <v>74</v>
      </c>
      <c r="BE783" s="2" t="s">
        <v>6841</v>
      </c>
      <c r="BF783" s="2" t="str">
        <f>HYPERLINK("http://dx.doi.org/10.11646/zootaxa.4700.4.9","http://dx.doi.org/10.11646/zootaxa.4700.4.9")</f>
        <v>http://dx.doi.org/10.11646/zootaxa.4700.4.9</v>
      </c>
      <c r="BG783" s="2" t="s">
        <v>74</v>
      </c>
      <c r="BH783" s="2" t="s">
        <v>74</v>
      </c>
      <c r="BI783" s="2" t="s">
        <v>74</v>
      </c>
      <c r="BJ783" s="2" t="s">
        <v>74</v>
      </c>
      <c r="BK783" s="2" t="s">
        <v>74</v>
      </c>
      <c r="BL783" s="2" t="s">
        <v>74</v>
      </c>
      <c r="BM783" s="2" t="s">
        <v>74</v>
      </c>
      <c r="BN783" s="2">
        <v>32229960</v>
      </c>
      <c r="BO783" s="2" t="s">
        <v>74</v>
      </c>
      <c r="BP783" s="2" t="s">
        <v>74</v>
      </c>
      <c r="BQ783" s="2" t="s">
        <v>74</v>
      </c>
      <c r="BR783" s="2" t="s">
        <v>74</v>
      </c>
      <c r="BS783" s="2" t="s">
        <v>6842</v>
      </c>
      <c r="BT783" s="2" t="str">
        <f>HYPERLINK("https%3A%2F%2Fwww.webofscience.com%2Fwos%2Fwoscc%2Ffull-record%2FWOS:000498944700009","View Full Record in Web of Science")</f>
        <v>View Full Record in Web of Science</v>
      </c>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row>
    <row r="784" spans="1:314" s="2" customFormat="1" x14ac:dyDescent="0.4">
      <c r="A784" s="2" t="s">
        <v>72</v>
      </c>
      <c r="B784" s="2" t="s">
        <v>559</v>
      </c>
      <c r="C784" s="2" t="s">
        <v>74</v>
      </c>
      <c r="D784" s="2" t="s">
        <v>74</v>
      </c>
      <c r="E784" s="2" t="s">
        <v>74</v>
      </c>
      <c r="F784" s="2" t="s">
        <v>559</v>
      </c>
      <c r="G784" s="2" t="s">
        <v>74</v>
      </c>
      <c r="H784" s="2" t="s">
        <v>74</v>
      </c>
      <c r="I784" s="2" t="s">
        <v>560</v>
      </c>
      <c r="J784" s="2" t="s">
        <v>129</v>
      </c>
      <c r="K784" s="2" t="s">
        <v>74</v>
      </c>
      <c r="L784" s="2" t="s">
        <v>74</v>
      </c>
      <c r="M784" s="2" t="s">
        <v>74</v>
      </c>
      <c r="N784" s="2" t="s">
        <v>74</v>
      </c>
      <c r="O784" s="2" t="s">
        <v>74</v>
      </c>
      <c r="P784" s="2" t="s">
        <v>74</v>
      </c>
      <c r="Q784" s="2" t="s">
        <v>74</v>
      </c>
      <c r="R784" s="2" t="s">
        <v>74</v>
      </c>
      <c r="S784" s="2" t="s">
        <v>74</v>
      </c>
      <c r="T784" s="2" t="s">
        <v>74</v>
      </c>
      <c r="U784" s="2" t="s">
        <v>74</v>
      </c>
      <c r="V784" s="5" t="s">
        <v>561</v>
      </c>
      <c r="W784" s="2" t="s">
        <v>74</v>
      </c>
      <c r="X784" s="2" t="s">
        <v>74</v>
      </c>
      <c r="Y784" s="2" t="s">
        <v>74</v>
      </c>
      <c r="Z784" s="2" t="s">
        <v>74</v>
      </c>
      <c r="AA784" s="2" t="s">
        <v>74</v>
      </c>
      <c r="AB784" s="2" t="s">
        <v>74</v>
      </c>
      <c r="AC784" s="2" t="s">
        <v>74</v>
      </c>
      <c r="AD784" s="2" t="s">
        <v>74</v>
      </c>
      <c r="AE784" s="2" t="s">
        <v>74</v>
      </c>
      <c r="AF784" s="2" t="s">
        <v>74</v>
      </c>
      <c r="AG784" s="2" t="s">
        <v>74</v>
      </c>
      <c r="AH784" s="2" t="s">
        <v>74</v>
      </c>
      <c r="AI784" s="2" t="s">
        <v>74</v>
      </c>
      <c r="AJ784" s="2" t="s">
        <v>74</v>
      </c>
      <c r="AK784" s="2" t="s">
        <v>74</v>
      </c>
      <c r="AL784" s="2" t="s">
        <v>74</v>
      </c>
      <c r="AM784" s="2" t="s">
        <v>74</v>
      </c>
      <c r="AN784" s="2" t="s">
        <v>74</v>
      </c>
      <c r="AO784" s="2" t="s">
        <v>132</v>
      </c>
      <c r="AP784" s="2" t="s">
        <v>133</v>
      </c>
      <c r="AQ784" s="2" t="s">
        <v>74</v>
      </c>
      <c r="AR784" s="2" t="s">
        <v>74</v>
      </c>
      <c r="AS784" s="2" t="s">
        <v>74</v>
      </c>
      <c r="AT784" s="2" t="s">
        <v>213</v>
      </c>
      <c r="AU784" s="2">
        <v>2005</v>
      </c>
      <c r="AV784" s="2">
        <v>59</v>
      </c>
      <c r="AW784" s="2">
        <v>1</v>
      </c>
      <c r="AX784" s="2" t="s">
        <v>74</v>
      </c>
      <c r="AY784" s="2" t="s">
        <v>74</v>
      </c>
      <c r="AZ784" s="2" t="s">
        <v>74</v>
      </c>
      <c r="BA784" s="2" t="s">
        <v>74</v>
      </c>
      <c r="BB784" s="2">
        <v>51</v>
      </c>
      <c r="BC784" s="2">
        <v>57</v>
      </c>
      <c r="BD784" s="2" t="s">
        <v>74</v>
      </c>
      <c r="BE784" s="2" t="s">
        <v>562</v>
      </c>
      <c r="BF784" s="2" t="str">
        <f>HYPERLINK("http://dx.doi.org/10.1007/s00265-005-0008-9","http://dx.doi.org/10.1007/s00265-005-0008-9")</f>
        <v>http://dx.doi.org/10.1007/s00265-005-0008-9</v>
      </c>
      <c r="BG784" s="2" t="s">
        <v>74</v>
      </c>
      <c r="BH784" s="2" t="s">
        <v>74</v>
      </c>
      <c r="BI784" s="2" t="s">
        <v>74</v>
      </c>
      <c r="BJ784" s="2" t="s">
        <v>74</v>
      </c>
      <c r="BK784" s="2" t="s">
        <v>74</v>
      </c>
      <c r="BL784" s="2" t="s">
        <v>74</v>
      </c>
      <c r="BM784" s="2" t="s">
        <v>74</v>
      </c>
      <c r="BN784" s="2" t="s">
        <v>74</v>
      </c>
      <c r="BO784" s="2" t="s">
        <v>74</v>
      </c>
      <c r="BP784" s="2" t="s">
        <v>74</v>
      </c>
      <c r="BQ784" s="2" t="s">
        <v>74</v>
      </c>
      <c r="BR784" s="2" t="s">
        <v>74</v>
      </c>
      <c r="BS784" s="2" t="s">
        <v>563</v>
      </c>
      <c r="BT784" s="2" t="str">
        <f>HYPERLINK("https%3A%2F%2Fwww.webofscience.com%2Fwos%2Fwoscc%2Ffull-record%2FWOS:000233242600008","View Full Record in Web of Science")</f>
        <v>View Full Record in Web of Science</v>
      </c>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row>
    <row r="785" spans="1:314" s="2" customFormat="1" x14ac:dyDescent="0.4">
      <c r="A785" s="2" t="s">
        <v>72</v>
      </c>
      <c r="B785" s="2" t="s">
        <v>3976</v>
      </c>
      <c r="C785" s="2" t="s">
        <v>74</v>
      </c>
      <c r="D785" s="2" t="s">
        <v>74</v>
      </c>
      <c r="E785" s="2" t="s">
        <v>74</v>
      </c>
      <c r="F785" s="2" t="s">
        <v>3976</v>
      </c>
      <c r="G785" s="2" t="s">
        <v>74</v>
      </c>
      <c r="H785" s="2" t="s">
        <v>74</v>
      </c>
      <c r="I785" s="2" t="s">
        <v>3977</v>
      </c>
      <c r="J785" s="2" t="s">
        <v>108</v>
      </c>
      <c r="K785" s="2" t="s">
        <v>74</v>
      </c>
      <c r="L785" s="2" t="s">
        <v>74</v>
      </c>
      <c r="M785" s="2" t="s">
        <v>74</v>
      </c>
      <c r="N785" s="2" t="s">
        <v>74</v>
      </c>
      <c r="O785" s="2" t="s">
        <v>74</v>
      </c>
      <c r="P785" s="2" t="s">
        <v>74</v>
      </c>
      <c r="Q785" s="2" t="s">
        <v>74</v>
      </c>
      <c r="R785" s="2" t="s">
        <v>74</v>
      </c>
      <c r="S785" s="2" t="s">
        <v>74</v>
      </c>
      <c r="T785" s="2" t="s">
        <v>74</v>
      </c>
      <c r="U785" s="2" t="s">
        <v>74</v>
      </c>
      <c r="V785" s="5" t="s">
        <v>3978</v>
      </c>
      <c r="W785" s="2" t="s">
        <v>74</v>
      </c>
      <c r="X785" s="2" t="s">
        <v>74</v>
      </c>
      <c r="Y785" s="2" t="s">
        <v>74</v>
      </c>
      <c r="Z785" s="2" t="s">
        <v>74</v>
      </c>
      <c r="AA785" s="2" t="s">
        <v>74</v>
      </c>
      <c r="AB785" s="2" t="s">
        <v>3979</v>
      </c>
      <c r="AC785" s="2" t="s">
        <v>74</v>
      </c>
      <c r="AD785" s="2" t="s">
        <v>74</v>
      </c>
      <c r="AE785" s="2" t="s">
        <v>74</v>
      </c>
      <c r="AF785" s="2" t="s">
        <v>74</v>
      </c>
      <c r="AG785" s="2" t="s">
        <v>74</v>
      </c>
      <c r="AH785" s="2" t="s">
        <v>74</v>
      </c>
      <c r="AI785" s="2" t="s">
        <v>74</v>
      </c>
      <c r="AJ785" s="2" t="s">
        <v>74</v>
      </c>
      <c r="AK785" s="2" t="s">
        <v>74</v>
      </c>
      <c r="AL785" s="2" t="s">
        <v>74</v>
      </c>
      <c r="AM785" s="2" t="s">
        <v>74</v>
      </c>
      <c r="AN785" s="2" t="s">
        <v>74</v>
      </c>
      <c r="AO785" s="2" t="s">
        <v>111</v>
      </c>
      <c r="AP785" s="2" t="s">
        <v>112</v>
      </c>
      <c r="AQ785" s="2" t="s">
        <v>74</v>
      </c>
      <c r="AR785" s="2" t="s">
        <v>74</v>
      </c>
      <c r="AS785" s="2" t="s">
        <v>74</v>
      </c>
      <c r="AT785" s="2" t="s">
        <v>3980</v>
      </c>
      <c r="AU785" s="2">
        <v>2003</v>
      </c>
      <c r="AV785" s="2">
        <v>270</v>
      </c>
      <c r="AW785" s="2">
        <v>1530</v>
      </c>
      <c r="AX785" s="2" t="s">
        <v>74</v>
      </c>
      <c r="AY785" s="2" t="s">
        <v>74</v>
      </c>
      <c r="AZ785" s="2" t="s">
        <v>74</v>
      </c>
      <c r="BA785" s="2" t="s">
        <v>74</v>
      </c>
      <c r="BB785" s="2">
        <v>2271</v>
      </c>
      <c r="BC785" s="2">
        <v>2277</v>
      </c>
      <c r="BD785" s="2" t="s">
        <v>74</v>
      </c>
      <c r="BE785" s="2" t="s">
        <v>3981</v>
      </c>
      <c r="BF785" s="2" t="str">
        <f>HYPERLINK("http://dx.doi.org/10.1098/rspb.2003.2510","http://dx.doi.org/10.1098/rspb.2003.2510")</f>
        <v>http://dx.doi.org/10.1098/rspb.2003.2510</v>
      </c>
      <c r="BG785" s="2" t="s">
        <v>74</v>
      </c>
      <c r="BH785" s="2" t="s">
        <v>74</v>
      </c>
      <c r="BI785" s="2" t="s">
        <v>74</v>
      </c>
      <c r="BJ785" s="2" t="s">
        <v>74</v>
      </c>
      <c r="BK785" s="2" t="s">
        <v>74</v>
      </c>
      <c r="BL785" s="2" t="s">
        <v>74</v>
      </c>
      <c r="BM785" s="2" t="s">
        <v>74</v>
      </c>
      <c r="BN785" s="2">
        <v>14613614</v>
      </c>
      <c r="BO785" s="2" t="s">
        <v>74</v>
      </c>
      <c r="BP785" s="2" t="s">
        <v>74</v>
      </c>
      <c r="BQ785" s="2" t="s">
        <v>74</v>
      </c>
      <c r="BR785" s="2" t="s">
        <v>74</v>
      </c>
      <c r="BS785" s="2" t="s">
        <v>3982</v>
      </c>
      <c r="BT785" s="2" t="str">
        <f>HYPERLINK("https%3A%2F%2Fwww.webofscience.com%2Fwos%2Fwoscc%2Ffull-record%2FWOS:000186630800010","View Full Record in Web of Science")</f>
        <v>View Full Record in Web of Science</v>
      </c>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row>
    <row r="786" spans="1:314" s="2" customFormat="1" x14ac:dyDescent="0.4">
      <c r="A786" s="2" t="s">
        <v>72</v>
      </c>
      <c r="B786" s="2" t="s">
        <v>3746</v>
      </c>
      <c r="C786" s="2" t="s">
        <v>74</v>
      </c>
      <c r="D786" s="2" t="s">
        <v>74</v>
      </c>
      <c r="E786" s="2" t="s">
        <v>74</v>
      </c>
      <c r="F786" s="2" t="s">
        <v>3747</v>
      </c>
      <c r="G786" s="2" t="s">
        <v>74</v>
      </c>
      <c r="H786" s="2" t="s">
        <v>74</v>
      </c>
      <c r="I786" s="2" t="s">
        <v>3748</v>
      </c>
      <c r="J786" s="2" t="s">
        <v>3089</v>
      </c>
      <c r="K786" s="2" t="s">
        <v>74</v>
      </c>
      <c r="L786" s="2" t="s">
        <v>74</v>
      </c>
      <c r="M786" s="2" t="s">
        <v>74</v>
      </c>
      <c r="N786" s="2" t="s">
        <v>74</v>
      </c>
      <c r="O786" s="2" t="s">
        <v>74</v>
      </c>
      <c r="P786" s="2" t="s">
        <v>74</v>
      </c>
      <c r="Q786" s="2" t="s">
        <v>74</v>
      </c>
      <c r="R786" s="2" t="s">
        <v>74</v>
      </c>
      <c r="S786" s="2" t="s">
        <v>74</v>
      </c>
      <c r="T786" s="2" t="s">
        <v>74</v>
      </c>
      <c r="U786" s="2" t="s">
        <v>74</v>
      </c>
      <c r="V786" s="5" t="s">
        <v>3749</v>
      </c>
      <c r="W786" s="2" t="s">
        <v>74</v>
      </c>
      <c r="X786" s="2" t="s">
        <v>74</v>
      </c>
      <c r="Y786" s="2" t="s">
        <v>74</v>
      </c>
      <c r="Z786" s="2" t="s">
        <v>74</v>
      </c>
      <c r="AA786" s="2" t="s">
        <v>3750</v>
      </c>
      <c r="AB786" s="2" t="s">
        <v>74</v>
      </c>
      <c r="AC786" s="2" t="s">
        <v>74</v>
      </c>
      <c r="AD786" s="2" t="s">
        <v>74</v>
      </c>
      <c r="AE786" s="2" t="s">
        <v>74</v>
      </c>
      <c r="AF786" s="2" t="s">
        <v>74</v>
      </c>
      <c r="AG786" s="2" t="s">
        <v>74</v>
      </c>
      <c r="AH786" s="2" t="s">
        <v>74</v>
      </c>
      <c r="AI786" s="2" t="s">
        <v>74</v>
      </c>
      <c r="AJ786" s="2" t="s">
        <v>74</v>
      </c>
      <c r="AK786" s="2" t="s">
        <v>74</v>
      </c>
      <c r="AL786" s="2" t="s">
        <v>74</v>
      </c>
      <c r="AM786" s="2" t="s">
        <v>74</v>
      </c>
      <c r="AN786" s="2" t="s">
        <v>74</v>
      </c>
      <c r="AO786" s="2" t="s">
        <v>3093</v>
      </c>
      <c r="AP786" s="2" t="s">
        <v>3094</v>
      </c>
      <c r="AQ786" s="2" t="s">
        <v>74</v>
      </c>
      <c r="AR786" s="2" t="s">
        <v>74</v>
      </c>
      <c r="AS786" s="2" t="s">
        <v>74</v>
      </c>
      <c r="AT786" s="2" t="s">
        <v>74</v>
      </c>
      <c r="AU786" s="2">
        <v>2006</v>
      </c>
      <c r="AV786" s="2">
        <v>24</v>
      </c>
      <c r="AW786" s="2">
        <v>3</v>
      </c>
      <c r="AX786" s="2" t="s">
        <v>74</v>
      </c>
      <c r="AY786" s="2" t="s">
        <v>74</v>
      </c>
      <c r="AZ786" s="2" t="s">
        <v>74</v>
      </c>
      <c r="BA786" s="2" t="s">
        <v>74</v>
      </c>
      <c r="BB786" s="2">
        <v>261</v>
      </c>
      <c r="BC786" s="2">
        <v>266</v>
      </c>
      <c r="BD786" s="2" t="s">
        <v>74</v>
      </c>
      <c r="BE786" s="2" t="s">
        <v>3751</v>
      </c>
      <c r="BF786" s="2" t="str">
        <f>HYPERLINK("http://dx.doi.org/10.1007/s10164-005-0187-x","http://dx.doi.org/10.1007/s10164-005-0187-x")</f>
        <v>http://dx.doi.org/10.1007/s10164-005-0187-x</v>
      </c>
      <c r="BG786" s="2" t="s">
        <v>74</v>
      </c>
      <c r="BH786" s="2" t="s">
        <v>74</v>
      </c>
      <c r="BI786" s="2" t="s">
        <v>74</v>
      </c>
      <c r="BJ786" s="2" t="s">
        <v>74</v>
      </c>
      <c r="BK786" s="2" t="s">
        <v>74</v>
      </c>
      <c r="BL786" s="2" t="s">
        <v>74</v>
      </c>
      <c r="BM786" s="2" t="s">
        <v>74</v>
      </c>
      <c r="BN786" s="2" t="s">
        <v>74</v>
      </c>
      <c r="BO786" s="2" t="s">
        <v>74</v>
      </c>
      <c r="BP786" s="2" t="s">
        <v>74</v>
      </c>
      <c r="BQ786" s="2" t="s">
        <v>74</v>
      </c>
      <c r="BR786" s="2" t="s">
        <v>74</v>
      </c>
      <c r="BS786" s="2" t="s">
        <v>3752</v>
      </c>
      <c r="BT786" s="2" t="str">
        <f>HYPERLINK("https%3A%2F%2Fwww.webofscience.com%2Fwos%2Fwoscc%2Ffull-record%2FWOS:000239427700009","View Full Record in Web of Science")</f>
        <v>View Full Record in Web of Science</v>
      </c>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row>
    <row r="787" spans="1:314" s="2" customFormat="1" x14ac:dyDescent="0.4">
      <c r="A787" s="2" t="s">
        <v>72</v>
      </c>
      <c r="B787" s="2" t="s">
        <v>7154</v>
      </c>
      <c r="C787" s="2" t="s">
        <v>74</v>
      </c>
      <c r="D787" s="2" t="s">
        <v>74</v>
      </c>
      <c r="E787" s="2" t="s">
        <v>74</v>
      </c>
      <c r="F787" s="2" t="s">
        <v>7155</v>
      </c>
      <c r="G787" s="2" t="s">
        <v>74</v>
      </c>
      <c r="H787" s="2" t="s">
        <v>74</v>
      </c>
      <c r="I787" s="2" t="s">
        <v>7156</v>
      </c>
      <c r="J787" s="2" t="s">
        <v>610</v>
      </c>
      <c r="K787" s="2" t="s">
        <v>74</v>
      </c>
      <c r="L787" s="2" t="s">
        <v>74</v>
      </c>
      <c r="M787" s="2" t="s">
        <v>74</v>
      </c>
      <c r="N787" s="2" t="s">
        <v>74</v>
      </c>
      <c r="O787" s="2" t="s">
        <v>74</v>
      </c>
      <c r="P787" s="2" t="s">
        <v>74</v>
      </c>
      <c r="Q787" s="2" t="s">
        <v>74</v>
      </c>
      <c r="R787" s="2" t="s">
        <v>74</v>
      </c>
      <c r="S787" s="2" t="s">
        <v>74</v>
      </c>
      <c r="T787" s="2" t="s">
        <v>74</v>
      </c>
      <c r="U787" s="2" t="s">
        <v>74</v>
      </c>
      <c r="V787" s="5" t="s">
        <v>7157</v>
      </c>
      <c r="W787" s="2" t="s">
        <v>74</v>
      </c>
      <c r="X787" s="2" t="s">
        <v>74</v>
      </c>
      <c r="Y787" s="2" t="s">
        <v>74</v>
      </c>
      <c r="Z787" s="2" t="s">
        <v>74</v>
      </c>
      <c r="AA787" s="2" t="s">
        <v>7158</v>
      </c>
      <c r="AB787" s="2" t="s">
        <v>7159</v>
      </c>
      <c r="AC787" s="2" t="s">
        <v>74</v>
      </c>
      <c r="AD787" s="2" t="s">
        <v>74</v>
      </c>
      <c r="AE787" s="2" t="s">
        <v>74</v>
      </c>
      <c r="AF787" s="2" t="s">
        <v>74</v>
      </c>
      <c r="AG787" s="2" t="s">
        <v>74</v>
      </c>
      <c r="AH787" s="2" t="s">
        <v>74</v>
      </c>
      <c r="AI787" s="2" t="s">
        <v>74</v>
      </c>
      <c r="AJ787" s="2" t="s">
        <v>74</v>
      </c>
      <c r="AK787" s="2" t="s">
        <v>74</v>
      </c>
      <c r="AL787" s="2" t="s">
        <v>74</v>
      </c>
      <c r="AM787" s="2" t="s">
        <v>74</v>
      </c>
      <c r="AN787" s="2" t="s">
        <v>74</v>
      </c>
      <c r="AO787" s="2" t="s">
        <v>614</v>
      </c>
      <c r="AP787" s="2" t="s">
        <v>615</v>
      </c>
      <c r="AQ787" s="2" t="s">
        <v>74</v>
      </c>
      <c r="AR787" s="2" t="s">
        <v>74</v>
      </c>
      <c r="AS787" s="2" t="s">
        <v>74</v>
      </c>
      <c r="AT787" s="2" t="s">
        <v>102</v>
      </c>
      <c r="AU787" s="2">
        <v>2014</v>
      </c>
      <c r="AV787" s="2">
        <v>120</v>
      </c>
      <c r="AW787" s="2">
        <v>6</v>
      </c>
      <c r="AX787" s="2" t="s">
        <v>74</v>
      </c>
      <c r="AY787" s="2" t="s">
        <v>74</v>
      </c>
      <c r="AZ787" s="2" t="s">
        <v>74</v>
      </c>
      <c r="BA787" s="2" t="s">
        <v>74</v>
      </c>
      <c r="BB787" s="2">
        <v>616</v>
      </c>
      <c r="BC787" s="2">
        <v>626</v>
      </c>
      <c r="BD787" s="2" t="s">
        <v>74</v>
      </c>
      <c r="BE787" s="2" t="s">
        <v>7160</v>
      </c>
      <c r="BF787" s="2" t="str">
        <f>HYPERLINK("http://dx.doi.org/10.1111/eth.12234","http://dx.doi.org/10.1111/eth.12234")</f>
        <v>http://dx.doi.org/10.1111/eth.12234</v>
      </c>
      <c r="BG787" s="2" t="s">
        <v>74</v>
      </c>
      <c r="BH787" s="2" t="s">
        <v>74</v>
      </c>
      <c r="BI787" s="2" t="s">
        <v>74</v>
      </c>
      <c r="BJ787" s="2" t="s">
        <v>74</v>
      </c>
      <c r="BK787" s="2" t="s">
        <v>74</v>
      </c>
      <c r="BL787" s="2" t="s">
        <v>74</v>
      </c>
      <c r="BM787" s="2" t="s">
        <v>74</v>
      </c>
      <c r="BN787" s="2" t="s">
        <v>74</v>
      </c>
      <c r="BO787" s="2" t="s">
        <v>74</v>
      </c>
      <c r="BP787" s="2" t="s">
        <v>74</v>
      </c>
      <c r="BQ787" s="2" t="s">
        <v>74</v>
      </c>
      <c r="BR787" s="2" t="s">
        <v>74</v>
      </c>
      <c r="BS787" s="2" t="s">
        <v>7161</v>
      </c>
      <c r="BT787" s="2" t="str">
        <f>HYPERLINK("https%3A%2F%2Fwww.webofscience.com%2Fwos%2Fwoscc%2Ffull-record%2FWOS:000334692600010","View Full Record in Web of Science")</f>
        <v>View Full Record in Web of Science</v>
      </c>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row>
    <row r="788" spans="1:314" s="2" customFormat="1" x14ac:dyDescent="0.4">
      <c r="A788" s="2" t="s">
        <v>72</v>
      </c>
      <c r="B788" s="2" t="s">
        <v>8357</v>
      </c>
      <c r="C788" s="2" t="s">
        <v>74</v>
      </c>
      <c r="D788" s="2" t="s">
        <v>74</v>
      </c>
      <c r="E788" s="2" t="s">
        <v>74</v>
      </c>
      <c r="F788" s="2" t="s">
        <v>8358</v>
      </c>
      <c r="G788" s="2" t="s">
        <v>74</v>
      </c>
      <c r="H788" s="2" t="s">
        <v>74</v>
      </c>
      <c r="I788" s="2" t="s">
        <v>8359</v>
      </c>
      <c r="J788" s="2" t="s">
        <v>1803</v>
      </c>
      <c r="K788" s="2" t="s">
        <v>74</v>
      </c>
      <c r="L788" s="2" t="s">
        <v>74</v>
      </c>
      <c r="M788" s="2" t="s">
        <v>74</v>
      </c>
      <c r="N788" s="2" t="s">
        <v>74</v>
      </c>
      <c r="O788" s="2" t="s">
        <v>74</v>
      </c>
      <c r="P788" s="2" t="s">
        <v>74</v>
      </c>
      <c r="Q788" s="2" t="s">
        <v>74</v>
      </c>
      <c r="R788" s="2" t="s">
        <v>74</v>
      </c>
      <c r="S788" s="2" t="s">
        <v>74</v>
      </c>
      <c r="T788" s="2" t="s">
        <v>74</v>
      </c>
      <c r="U788" s="2" t="s">
        <v>74</v>
      </c>
      <c r="V788" s="5" t="s">
        <v>8360</v>
      </c>
      <c r="W788" s="2" t="s">
        <v>74</v>
      </c>
      <c r="X788" s="2" t="s">
        <v>74</v>
      </c>
      <c r="Y788" s="2" t="s">
        <v>74</v>
      </c>
      <c r="Z788" s="2" t="s">
        <v>74</v>
      </c>
      <c r="AA788" s="2" t="s">
        <v>8361</v>
      </c>
      <c r="AB788" s="2" t="s">
        <v>8362</v>
      </c>
      <c r="AC788" s="2" t="s">
        <v>74</v>
      </c>
      <c r="AD788" s="2" t="s">
        <v>74</v>
      </c>
      <c r="AE788" s="2" t="s">
        <v>74</v>
      </c>
      <c r="AF788" s="2" t="s">
        <v>74</v>
      </c>
      <c r="AG788" s="2" t="s">
        <v>74</v>
      </c>
      <c r="AH788" s="2" t="s">
        <v>74</v>
      </c>
      <c r="AI788" s="2" t="s">
        <v>74</v>
      </c>
      <c r="AJ788" s="2" t="s">
        <v>74</v>
      </c>
      <c r="AK788" s="2" t="s">
        <v>74</v>
      </c>
      <c r="AL788" s="2" t="s">
        <v>74</v>
      </c>
      <c r="AM788" s="2" t="s">
        <v>74</v>
      </c>
      <c r="AN788" s="2" t="s">
        <v>74</v>
      </c>
      <c r="AO788" s="2" t="s">
        <v>1807</v>
      </c>
      <c r="AP788" s="2" t="s">
        <v>1808</v>
      </c>
      <c r="AQ788" s="2" t="s">
        <v>74</v>
      </c>
      <c r="AR788" s="2" t="s">
        <v>74</v>
      </c>
      <c r="AS788" s="2" t="s">
        <v>74</v>
      </c>
      <c r="AT788" s="2" t="s">
        <v>175</v>
      </c>
      <c r="AU788" s="2">
        <v>2007</v>
      </c>
      <c r="AV788" s="2">
        <v>21</v>
      </c>
      <c r="AW788" s="2">
        <v>5</v>
      </c>
      <c r="AX788" s="2" t="s">
        <v>74</v>
      </c>
      <c r="AY788" s="2" t="s">
        <v>74</v>
      </c>
      <c r="AZ788" s="2" t="s">
        <v>74</v>
      </c>
      <c r="BA788" s="2" t="s">
        <v>74</v>
      </c>
      <c r="BB788" s="2">
        <v>886</v>
      </c>
      <c r="BC788" s="2">
        <v>898</v>
      </c>
      <c r="BD788" s="2" t="s">
        <v>74</v>
      </c>
      <c r="BE788" s="2" t="s">
        <v>8363</v>
      </c>
      <c r="BF788" s="2" t="str">
        <f>HYPERLINK("http://dx.doi.org/10.1111/j.1365-2435.2007.01302.x","http://dx.doi.org/10.1111/j.1365-2435.2007.01302.x")</f>
        <v>http://dx.doi.org/10.1111/j.1365-2435.2007.01302.x</v>
      </c>
      <c r="BG788" s="2" t="s">
        <v>74</v>
      </c>
      <c r="BH788" s="2" t="s">
        <v>74</v>
      </c>
      <c r="BI788" s="2" t="s">
        <v>74</v>
      </c>
      <c r="BJ788" s="2" t="s">
        <v>74</v>
      </c>
      <c r="BK788" s="2" t="s">
        <v>74</v>
      </c>
      <c r="BL788" s="2" t="s">
        <v>74</v>
      </c>
      <c r="BM788" s="2" t="s">
        <v>74</v>
      </c>
      <c r="BN788" s="2" t="s">
        <v>74</v>
      </c>
      <c r="BO788" s="2" t="s">
        <v>74</v>
      </c>
      <c r="BP788" s="2" t="s">
        <v>74</v>
      </c>
      <c r="BQ788" s="2" t="s">
        <v>74</v>
      </c>
      <c r="BR788" s="2" t="s">
        <v>74</v>
      </c>
      <c r="BS788" s="2" t="s">
        <v>8364</v>
      </c>
      <c r="BT788" s="2" t="str">
        <f>HYPERLINK("https%3A%2F%2Fwww.webofscience.com%2Fwos%2Fwoscc%2Ffull-record%2FWOS:000249165000008","View Full Record in Web of Science")</f>
        <v>View Full Record in Web of Science</v>
      </c>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row>
    <row r="789" spans="1:314" s="2" customFormat="1" x14ac:dyDescent="0.4">
      <c r="A789" s="2" t="s">
        <v>72</v>
      </c>
      <c r="B789" s="2" t="s">
        <v>5362</v>
      </c>
      <c r="C789" s="2" t="s">
        <v>74</v>
      </c>
      <c r="D789" s="2" t="s">
        <v>74</v>
      </c>
      <c r="E789" s="2" t="s">
        <v>74</v>
      </c>
      <c r="F789" s="2" t="s">
        <v>5362</v>
      </c>
      <c r="G789" s="2" t="s">
        <v>74</v>
      </c>
      <c r="H789" s="2" t="s">
        <v>74</v>
      </c>
      <c r="I789" s="2" t="s">
        <v>5363</v>
      </c>
      <c r="J789" s="2" t="s">
        <v>140</v>
      </c>
      <c r="K789" s="2" t="s">
        <v>74</v>
      </c>
      <c r="L789" s="2" t="s">
        <v>74</v>
      </c>
      <c r="M789" s="2" t="s">
        <v>74</v>
      </c>
      <c r="N789" s="2" t="s">
        <v>74</v>
      </c>
      <c r="O789" s="2" t="s">
        <v>74</v>
      </c>
      <c r="P789" s="2" t="s">
        <v>74</v>
      </c>
      <c r="Q789" s="2" t="s">
        <v>74</v>
      </c>
      <c r="R789" s="2" t="s">
        <v>74</v>
      </c>
      <c r="S789" s="2" t="s">
        <v>74</v>
      </c>
      <c r="T789" s="2" t="s">
        <v>74</v>
      </c>
      <c r="U789" s="2" t="s">
        <v>74</v>
      </c>
      <c r="V789" s="5" t="s">
        <v>5364</v>
      </c>
      <c r="W789" s="2" t="s">
        <v>74</v>
      </c>
      <c r="X789" s="2" t="s">
        <v>74</v>
      </c>
      <c r="Y789" s="2" t="s">
        <v>74</v>
      </c>
      <c r="Z789" s="2" t="s">
        <v>74</v>
      </c>
      <c r="AA789" s="2" t="s">
        <v>5365</v>
      </c>
      <c r="AB789" s="2" t="s">
        <v>5366</v>
      </c>
      <c r="AC789" s="2" t="s">
        <v>74</v>
      </c>
      <c r="AD789" s="2" t="s">
        <v>74</v>
      </c>
      <c r="AE789" s="2" t="s">
        <v>74</v>
      </c>
      <c r="AF789" s="2" t="s">
        <v>74</v>
      </c>
      <c r="AG789" s="2" t="s">
        <v>74</v>
      </c>
      <c r="AH789" s="2" t="s">
        <v>74</v>
      </c>
      <c r="AI789" s="2" t="s">
        <v>74</v>
      </c>
      <c r="AJ789" s="2" t="s">
        <v>74</v>
      </c>
      <c r="AK789" s="2" t="s">
        <v>74</v>
      </c>
      <c r="AL789" s="2" t="s">
        <v>74</v>
      </c>
      <c r="AM789" s="2" t="s">
        <v>74</v>
      </c>
      <c r="AN789" s="2" t="s">
        <v>74</v>
      </c>
      <c r="AO789" s="2" t="s">
        <v>143</v>
      </c>
      <c r="AP789" s="2" t="s">
        <v>144</v>
      </c>
      <c r="AQ789" s="2" t="s">
        <v>74</v>
      </c>
      <c r="AR789" s="2" t="s">
        <v>74</v>
      </c>
      <c r="AS789" s="2" t="s">
        <v>74</v>
      </c>
      <c r="AT789" s="2" t="s">
        <v>255</v>
      </c>
      <c r="AU789" s="2">
        <v>2006</v>
      </c>
      <c r="AV789" s="2">
        <v>71</v>
      </c>
      <c r="AW789" s="2" t="s">
        <v>74</v>
      </c>
      <c r="AX789" s="2">
        <v>1</v>
      </c>
      <c r="AY789" s="2" t="s">
        <v>74</v>
      </c>
      <c r="AZ789" s="2" t="s">
        <v>74</v>
      </c>
      <c r="BA789" s="2" t="s">
        <v>74</v>
      </c>
      <c r="BB789" s="2">
        <v>101</v>
      </c>
      <c r="BC789" s="2">
        <v>108</v>
      </c>
      <c r="BD789" s="2" t="s">
        <v>74</v>
      </c>
      <c r="BE789" s="2" t="s">
        <v>5367</v>
      </c>
      <c r="BF789" s="2" t="str">
        <f>HYPERLINK("http://dx.doi.org/10.1016/j.anbehav.2005.03.036","http://dx.doi.org/10.1016/j.anbehav.2005.03.036")</f>
        <v>http://dx.doi.org/10.1016/j.anbehav.2005.03.036</v>
      </c>
      <c r="BG789" s="2" t="s">
        <v>74</v>
      </c>
      <c r="BH789" s="2" t="s">
        <v>74</v>
      </c>
      <c r="BI789" s="2" t="s">
        <v>74</v>
      </c>
      <c r="BJ789" s="2" t="s">
        <v>74</v>
      </c>
      <c r="BK789" s="2" t="s">
        <v>74</v>
      </c>
      <c r="BL789" s="2" t="s">
        <v>74</v>
      </c>
      <c r="BM789" s="2" t="s">
        <v>74</v>
      </c>
      <c r="BN789" s="2" t="s">
        <v>74</v>
      </c>
      <c r="BO789" s="2" t="s">
        <v>74</v>
      </c>
      <c r="BP789" s="2" t="s">
        <v>74</v>
      </c>
      <c r="BQ789" s="2" t="s">
        <v>74</v>
      </c>
      <c r="BR789" s="2" t="s">
        <v>74</v>
      </c>
      <c r="BS789" s="2" t="s">
        <v>5368</v>
      </c>
      <c r="BT789" s="2" t="str">
        <f>HYPERLINK("https%3A%2F%2Fwww.webofscience.com%2Fwos%2Fwoscc%2Ffull-record%2FWOS:000234764500010","View Full Record in Web of Science")</f>
        <v>View Full Record in Web of Science</v>
      </c>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row>
    <row r="790" spans="1:314" s="2" customFormat="1" x14ac:dyDescent="0.4">
      <c r="A790" s="2" t="s">
        <v>72</v>
      </c>
      <c r="B790" s="2" t="s">
        <v>5666</v>
      </c>
      <c r="C790" s="2" t="s">
        <v>74</v>
      </c>
      <c r="D790" s="2" t="s">
        <v>74</v>
      </c>
      <c r="E790" s="2" t="s">
        <v>74</v>
      </c>
      <c r="F790" s="2" t="s">
        <v>5667</v>
      </c>
      <c r="G790" s="2" t="s">
        <v>74</v>
      </c>
      <c r="H790" s="2" t="s">
        <v>74</v>
      </c>
      <c r="I790" s="2" t="s">
        <v>5668</v>
      </c>
      <c r="J790" s="2" t="s">
        <v>88</v>
      </c>
      <c r="K790" s="2" t="s">
        <v>74</v>
      </c>
      <c r="L790" s="2" t="s">
        <v>74</v>
      </c>
      <c r="M790" s="2" t="s">
        <v>74</v>
      </c>
      <c r="N790" s="2" t="s">
        <v>74</v>
      </c>
      <c r="O790" s="2" t="s">
        <v>74</v>
      </c>
      <c r="P790" s="2" t="s">
        <v>74</v>
      </c>
      <c r="Q790" s="2" t="s">
        <v>74</v>
      </c>
      <c r="R790" s="2" t="s">
        <v>74</v>
      </c>
      <c r="S790" s="2" t="s">
        <v>74</v>
      </c>
      <c r="T790" s="2" t="s">
        <v>74</v>
      </c>
      <c r="U790" s="2" t="s">
        <v>74</v>
      </c>
      <c r="V790" s="5" t="s">
        <v>5669</v>
      </c>
      <c r="W790" s="2" t="s">
        <v>74</v>
      </c>
      <c r="X790" s="2" t="s">
        <v>74</v>
      </c>
      <c r="Y790" s="2" t="s">
        <v>74</v>
      </c>
      <c r="Z790" s="2" t="s">
        <v>74</v>
      </c>
      <c r="AA790" s="2" t="s">
        <v>74</v>
      </c>
      <c r="AB790" s="2" t="s">
        <v>5670</v>
      </c>
      <c r="AC790" s="2" t="s">
        <v>74</v>
      </c>
      <c r="AD790" s="2" t="s">
        <v>74</v>
      </c>
      <c r="AE790" s="2" t="s">
        <v>74</v>
      </c>
      <c r="AF790" s="2" t="s">
        <v>74</v>
      </c>
      <c r="AG790" s="2" t="s">
        <v>74</v>
      </c>
      <c r="AH790" s="2" t="s">
        <v>74</v>
      </c>
      <c r="AI790" s="2" t="s">
        <v>74</v>
      </c>
      <c r="AJ790" s="2" t="s">
        <v>74</v>
      </c>
      <c r="AK790" s="2" t="s">
        <v>74</v>
      </c>
      <c r="AL790" s="2" t="s">
        <v>74</v>
      </c>
      <c r="AM790" s="2" t="s">
        <v>74</v>
      </c>
      <c r="AN790" s="2" t="s">
        <v>74</v>
      </c>
      <c r="AO790" s="2" t="s">
        <v>91</v>
      </c>
      <c r="AP790" s="2" t="s">
        <v>92</v>
      </c>
      <c r="AQ790" s="2" t="s">
        <v>74</v>
      </c>
      <c r="AR790" s="2" t="s">
        <v>74</v>
      </c>
      <c r="AS790" s="2" t="s">
        <v>74</v>
      </c>
      <c r="AT790" s="2" t="s">
        <v>5044</v>
      </c>
      <c r="AU790" s="2">
        <v>2023</v>
      </c>
      <c r="AV790" s="2">
        <v>19</v>
      </c>
      <c r="AW790" s="2">
        <v>5</v>
      </c>
      <c r="AX790" s="2" t="s">
        <v>74</v>
      </c>
      <c r="AY790" s="2" t="s">
        <v>74</v>
      </c>
      <c r="AZ790" s="2" t="s">
        <v>74</v>
      </c>
      <c r="BA790" s="2" t="s">
        <v>74</v>
      </c>
      <c r="BB790" s="2" t="s">
        <v>74</v>
      </c>
      <c r="BC790" s="2" t="s">
        <v>74</v>
      </c>
      <c r="BD790" s="2">
        <v>20220490</v>
      </c>
      <c r="BE790" s="2" t="s">
        <v>5671</v>
      </c>
      <c r="BF790" s="2" t="str">
        <f>HYPERLINK("http://dx.doi.org/10.1098/rsbl.2022.0490","http://dx.doi.org/10.1098/rsbl.2022.0490")</f>
        <v>http://dx.doi.org/10.1098/rsbl.2022.0490</v>
      </c>
      <c r="BG790" s="2" t="s">
        <v>74</v>
      </c>
      <c r="BH790" s="2" t="s">
        <v>74</v>
      </c>
      <c r="BI790" s="2" t="s">
        <v>74</v>
      </c>
      <c r="BJ790" s="2" t="s">
        <v>74</v>
      </c>
      <c r="BK790" s="2" t="s">
        <v>74</v>
      </c>
      <c r="BL790" s="2" t="s">
        <v>74</v>
      </c>
      <c r="BM790" s="2" t="s">
        <v>74</v>
      </c>
      <c r="BN790" s="2">
        <v>37194257</v>
      </c>
      <c r="BO790" s="2" t="s">
        <v>74</v>
      </c>
      <c r="BP790" s="2" t="s">
        <v>74</v>
      </c>
      <c r="BQ790" s="2" t="s">
        <v>74</v>
      </c>
      <c r="BR790" s="2" t="s">
        <v>74</v>
      </c>
      <c r="BS790" s="2" t="s">
        <v>5672</v>
      </c>
      <c r="BT790" s="2" t="str">
        <f>HYPERLINK("https%3A%2F%2Fwww.webofscience.com%2Fwos%2Fwoscc%2Ffull-record%2FWOS:000988392000001","View Full Record in Web of Science")</f>
        <v>View Full Record in Web of Science</v>
      </c>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row>
    <row r="791" spans="1:314" s="7" customFormat="1" x14ac:dyDescent="0.4">
      <c r="A791" s="2" t="s">
        <v>72</v>
      </c>
      <c r="B791" s="2" t="s">
        <v>5614</v>
      </c>
      <c r="C791" s="2" t="s">
        <v>74</v>
      </c>
      <c r="D791" s="2" t="s">
        <v>74</v>
      </c>
      <c r="E791" s="2" t="s">
        <v>74</v>
      </c>
      <c r="F791" s="2" t="s">
        <v>5614</v>
      </c>
      <c r="G791" s="2" t="s">
        <v>74</v>
      </c>
      <c r="H791" s="2" t="s">
        <v>74</v>
      </c>
      <c r="I791" s="2" t="s">
        <v>5615</v>
      </c>
      <c r="J791" s="2" t="s">
        <v>344</v>
      </c>
      <c r="K791" s="2" t="s">
        <v>74</v>
      </c>
      <c r="L791" s="2" t="s">
        <v>74</v>
      </c>
      <c r="M791" s="2" t="s">
        <v>74</v>
      </c>
      <c r="N791" s="2" t="s">
        <v>74</v>
      </c>
      <c r="O791" s="2" t="s">
        <v>74</v>
      </c>
      <c r="P791" s="2" t="s">
        <v>74</v>
      </c>
      <c r="Q791" s="2" t="s">
        <v>74</v>
      </c>
      <c r="R791" s="2" t="s">
        <v>74</v>
      </c>
      <c r="S791" s="2" t="s">
        <v>74</v>
      </c>
      <c r="T791" s="2" t="s">
        <v>74</v>
      </c>
      <c r="U791" s="2" t="s">
        <v>74</v>
      </c>
      <c r="V791" s="5" t="s">
        <v>5616</v>
      </c>
      <c r="W791" s="2" t="s">
        <v>74</v>
      </c>
      <c r="X791" s="2" t="s">
        <v>74</v>
      </c>
      <c r="Y791" s="2" t="s">
        <v>74</v>
      </c>
      <c r="Z791" s="2" t="s">
        <v>74</v>
      </c>
      <c r="AA791" s="2" t="s">
        <v>74</v>
      </c>
      <c r="AB791" s="2" t="s">
        <v>74</v>
      </c>
      <c r="AC791" s="2" t="s">
        <v>74</v>
      </c>
      <c r="AD791" s="2" t="s">
        <v>74</v>
      </c>
      <c r="AE791" s="2" t="s">
        <v>74</v>
      </c>
      <c r="AF791" s="2" t="s">
        <v>74</v>
      </c>
      <c r="AG791" s="2" t="s">
        <v>74</v>
      </c>
      <c r="AH791" s="2" t="s">
        <v>74</v>
      </c>
      <c r="AI791" s="2" t="s">
        <v>74</v>
      </c>
      <c r="AJ791" s="2" t="s">
        <v>74</v>
      </c>
      <c r="AK791" s="2" t="s">
        <v>74</v>
      </c>
      <c r="AL791" s="2" t="s">
        <v>74</v>
      </c>
      <c r="AM791" s="2" t="s">
        <v>74</v>
      </c>
      <c r="AN791" s="2" t="s">
        <v>74</v>
      </c>
      <c r="AO791" s="2" t="s">
        <v>346</v>
      </c>
      <c r="AP791" s="2" t="s">
        <v>74</v>
      </c>
      <c r="AQ791" s="2" t="s">
        <v>74</v>
      </c>
      <c r="AR791" s="2" t="s">
        <v>74</v>
      </c>
      <c r="AS791" s="2" t="s">
        <v>74</v>
      </c>
      <c r="AT791" s="2" t="s">
        <v>102</v>
      </c>
      <c r="AU791" s="2">
        <v>1994</v>
      </c>
      <c r="AV791" s="2">
        <v>40</v>
      </c>
      <c r="AW791" s="2">
        <v>2</v>
      </c>
      <c r="AX791" s="2" t="s">
        <v>74</v>
      </c>
      <c r="AY791" s="2" t="s">
        <v>74</v>
      </c>
      <c r="AZ791" s="2" t="s">
        <v>74</v>
      </c>
      <c r="BA791" s="2" t="s">
        <v>74</v>
      </c>
      <c r="BB791" s="2">
        <v>175</v>
      </c>
      <c r="BC791" s="2">
        <v>188</v>
      </c>
      <c r="BD791" s="2" t="s">
        <v>74</v>
      </c>
      <c r="BE791" s="2" t="s">
        <v>5617</v>
      </c>
      <c r="BF791" s="2" t="str">
        <f>HYPERLINK("http://dx.doi.org/10.1007/BF00002544","http://dx.doi.org/10.1007/BF00002544")</f>
        <v>http://dx.doi.org/10.1007/BF00002544</v>
      </c>
      <c r="BG791" s="2" t="s">
        <v>74</v>
      </c>
      <c r="BH791" s="2" t="s">
        <v>74</v>
      </c>
      <c r="BI791" s="2" t="s">
        <v>74</v>
      </c>
      <c r="BJ791" s="2" t="s">
        <v>74</v>
      </c>
      <c r="BK791" s="2" t="s">
        <v>74</v>
      </c>
      <c r="BL791" s="2" t="s">
        <v>74</v>
      </c>
      <c r="BM791" s="2" t="s">
        <v>74</v>
      </c>
      <c r="BN791" s="2" t="s">
        <v>74</v>
      </c>
      <c r="BO791" s="2" t="s">
        <v>74</v>
      </c>
      <c r="BP791" s="2" t="s">
        <v>74</v>
      </c>
      <c r="BQ791" s="2" t="s">
        <v>74</v>
      </c>
      <c r="BR791" s="2" t="s">
        <v>74</v>
      </c>
      <c r="BS791" s="2" t="s">
        <v>5618</v>
      </c>
      <c r="BT791" s="2" t="str">
        <f>HYPERLINK("https%3A%2F%2Fwww.webofscience.com%2Fwos%2Fwoscc%2Ffull-record%2FWOS:A1994NN69200007","View Full Record in Web of Science")</f>
        <v>View Full Record in Web of Science</v>
      </c>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row>
    <row r="792" spans="1:314" s="2" customFormat="1" x14ac:dyDescent="0.4">
      <c r="A792" s="2" t="s">
        <v>72</v>
      </c>
      <c r="B792" s="2" t="s">
        <v>6231</v>
      </c>
      <c r="C792" s="2" t="s">
        <v>74</v>
      </c>
      <c r="D792" s="2" t="s">
        <v>74</v>
      </c>
      <c r="E792" s="2" t="s">
        <v>74</v>
      </c>
      <c r="F792" s="2" t="s">
        <v>6232</v>
      </c>
      <c r="G792" s="2" t="s">
        <v>74</v>
      </c>
      <c r="H792" s="2" t="s">
        <v>74</v>
      </c>
      <c r="I792" s="2" t="s">
        <v>6233</v>
      </c>
      <c r="J792" s="2" t="s">
        <v>218</v>
      </c>
      <c r="K792" s="2" t="s">
        <v>74</v>
      </c>
      <c r="L792" s="2" t="s">
        <v>74</v>
      </c>
      <c r="M792" s="2" t="s">
        <v>74</v>
      </c>
      <c r="N792" s="2" t="s">
        <v>74</v>
      </c>
      <c r="O792" s="2" t="s">
        <v>74</v>
      </c>
      <c r="P792" s="2" t="s">
        <v>74</v>
      </c>
      <c r="Q792" s="2" t="s">
        <v>74</v>
      </c>
      <c r="R792" s="2" t="s">
        <v>74</v>
      </c>
      <c r="S792" s="2" t="s">
        <v>74</v>
      </c>
      <c r="T792" s="2" t="s">
        <v>74</v>
      </c>
      <c r="U792" s="2" t="s">
        <v>74</v>
      </c>
      <c r="V792" s="5" t="s">
        <v>6234</v>
      </c>
      <c r="W792" s="2" t="s">
        <v>74</v>
      </c>
      <c r="X792" s="2" t="s">
        <v>74</v>
      </c>
      <c r="Y792" s="2" t="s">
        <v>74</v>
      </c>
      <c r="Z792" s="2" t="s">
        <v>74</v>
      </c>
      <c r="AA792" s="2" t="s">
        <v>6235</v>
      </c>
      <c r="AB792" s="2" t="s">
        <v>74</v>
      </c>
      <c r="AC792" s="2" t="s">
        <v>74</v>
      </c>
      <c r="AD792" s="2" t="s">
        <v>74</v>
      </c>
      <c r="AE792" s="2" t="s">
        <v>74</v>
      </c>
      <c r="AF792" s="2" t="s">
        <v>74</v>
      </c>
      <c r="AG792" s="2" t="s">
        <v>74</v>
      </c>
      <c r="AH792" s="2" t="s">
        <v>74</v>
      </c>
      <c r="AI792" s="2" t="s">
        <v>74</v>
      </c>
      <c r="AJ792" s="2" t="s">
        <v>74</v>
      </c>
      <c r="AK792" s="2" t="s">
        <v>74</v>
      </c>
      <c r="AL792" s="2" t="s">
        <v>74</v>
      </c>
      <c r="AM792" s="2" t="s">
        <v>74</v>
      </c>
      <c r="AN792" s="2" t="s">
        <v>74</v>
      </c>
      <c r="AO792" s="2" t="s">
        <v>221</v>
      </c>
      <c r="AP792" s="2" t="s">
        <v>222</v>
      </c>
      <c r="AQ792" s="2" t="s">
        <v>74</v>
      </c>
      <c r="AR792" s="2" t="s">
        <v>74</v>
      </c>
      <c r="AS792" s="2" t="s">
        <v>74</v>
      </c>
      <c r="AT792" s="2" t="s">
        <v>204</v>
      </c>
      <c r="AU792" s="2">
        <v>2007</v>
      </c>
      <c r="AV792" s="2">
        <v>20</v>
      </c>
      <c r="AW792" s="2">
        <v>4</v>
      </c>
      <c r="AX792" s="2" t="s">
        <v>74</v>
      </c>
      <c r="AY792" s="2" t="s">
        <v>74</v>
      </c>
      <c r="AZ792" s="2" t="s">
        <v>74</v>
      </c>
      <c r="BA792" s="2" t="s">
        <v>74</v>
      </c>
      <c r="BB792" s="2">
        <v>1637</v>
      </c>
      <c r="BC792" s="2">
        <v>1648</v>
      </c>
      <c r="BD792" s="2" t="s">
        <v>74</v>
      </c>
      <c r="BE792" s="2" t="s">
        <v>6236</v>
      </c>
      <c r="BF792" s="2" t="str">
        <f>HYPERLINK("http://dx.doi.org/10.1111/j.1420-9101.2007.01297.x","http://dx.doi.org/10.1111/j.1420-9101.2007.01297.x")</f>
        <v>http://dx.doi.org/10.1111/j.1420-9101.2007.01297.x</v>
      </c>
      <c r="BG792" s="2" t="s">
        <v>74</v>
      </c>
      <c r="BH792" s="2" t="s">
        <v>74</v>
      </c>
      <c r="BI792" s="2" t="s">
        <v>74</v>
      </c>
      <c r="BJ792" s="2" t="s">
        <v>74</v>
      </c>
      <c r="BK792" s="2" t="s">
        <v>74</v>
      </c>
      <c r="BL792" s="2" t="s">
        <v>74</v>
      </c>
      <c r="BM792" s="2" t="s">
        <v>74</v>
      </c>
      <c r="BN792" s="2">
        <v>17584256</v>
      </c>
      <c r="BO792" s="2" t="s">
        <v>74</v>
      </c>
      <c r="BP792" s="2" t="s">
        <v>74</v>
      </c>
      <c r="BQ792" s="2" t="s">
        <v>74</v>
      </c>
      <c r="BR792" s="2" t="s">
        <v>74</v>
      </c>
      <c r="BS792" s="2" t="s">
        <v>6237</v>
      </c>
      <c r="BT792" s="2" t="str">
        <f>HYPERLINK("https%3A%2F%2Fwww.webofscience.com%2Fwos%2Fwoscc%2Ffull-record%2FWOS:000248177600037","View Full Record in Web of Science")</f>
        <v>View Full Record in Web of Science</v>
      </c>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row>
    <row r="793" spans="1:314" s="2" customFormat="1" x14ac:dyDescent="0.4">
      <c r="A793" s="2" t="s">
        <v>72</v>
      </c>
      <c r="B793" s="2" t="s">
        <v>3783</v>
      </c>
      <c r="C793" s="2" t="s">
        <v>74</v>
      </c>
      <c r="D793" s="2" t="s">
        <v>74</v>
      </c>
      <c r="E793" s="2" t="s">
        <v>74</v>
      </c>
      <c r="F793" s="2" t="s">
        <v>3783</v>
      </c>
      <c r="G793" s="2" t="s">
        <v>74</v>
      </c>
      <c r="H793" s="2" t="s">
        <v>74</v>
      </c>
      <c r="I793" s="2" t="s">
        <v>3784</v>
      </c>
      <c r="J793" s="2" t="s">
        <v>3785</v>
      </c>
      <c r="K793" s="2" t="s">
        <v>74</v>
      </c>
      <c r="L793" s="2" t="s">
        <v>74</v>
      </c>
      <c r="M793" s="2" t="s">
        <v>74</v>
      </c>
      <c r="N793" s="2" t="s">
        <v>74</v>
      </c>
      <c r="O793" s="2" t="s">
        <v>74</v>
      </c>
      <c r="P793" s="2" t="s">
        <v>74</v>
      </c>
      <c r="Q793" s="2" t="s">
        <v>74</v>
      </c>
      <c r="R793" s="2" t="s">
        <v>74</v>
      </c>
      <c r="S793" s="2" t="s">
        <v>74</v>
      </c>
      <c r="T793" s="2" t="s">
        <v>74</v>
      </c>
      <c r="U793" s="2" t="s">
        <v>74</v>
      </c>
      <c r="V793" s="5" t="s">
        <v>3786</v>
      </c>
      <c r="W793" s="2" t="s">
        <v>74</v>
      </c>
      <c r="X793" s="2" t="s">
        <v>74</v>
      </c>
      <c r="Y793" s="2" t="s">
        <v>74</v>
      </c>
      <c r="Z793" s="2" t="s">
        <v>74</v>
      </c>
      <c r="AA793" s="2" t="s">
        <v>74</v>
      </c>
      <c r="AB793" s="2" t="s">
        <v>74</v>
      </c>
      <c r="AC793" s="2" t="s">
        <v>74</v>
      </c>
      <c r="AD793" s="2" t="s">
        <v>74</v>
      </c>
      <c r="AE793" s="2" t="s">
        <v>74</v>
      </c>
      <c r="AF793" s="2" t="s">
        <v>74</v>
      </c>
      <c r="AG793" s="2" t="s">
        <v>74</v>
      </c>
      <c r="AH793" s="2" t="s">
        <v>74</v>
      </c>
      <c r="AI793" s="2" t="s">
        <v>74</v>
      </c>
      <c r="AJ793" s="2" t="s">
        <v>74</v>
      </c>
      <c r="AK793" s="2" t="s">
        <v>74</v>
      </c>
      <c r="AL793" s="2" t="s">
        <v>74</v>
      </c>
      <c r="AM793" s="2" t="s">
        <v>74</v>
      </c>
      <c r="AN793" s="2" t="s">
        <v>74</v>
      </c>
      <c r="AO793" s="2" t="s">
        <v>3787</v>
      </c>
      <c r="AP793" s="2" t="s">
        <v>3788</v>
      </c>
      <c r="AQ793" s="2" t="s">
        <v>74</v>
      </c>
      <c r="AR793" s="2" t="s">
        <v>74</v>
      </c>
      <c r="AS793" s="2" t="s">
        <v>74</v>
      </c>
      <c r="AT793" s="2" t="s">
        <v>213</v>
      </c>
      <c r="AU793" s="2">
        <v>2002</v>
      </c>
      <c r="AV793" s="2">
        <v>47</v>
      </c>
      <c r="AW793" s="2">
        <v>11</v>
      </c>
      <c r="AX793" s="2" t="s">
        <v>74</v>
      </c>
      <c r="AY793" s="2" t="s">
        <v>74</v>
      </c>
      <c r="AZ793" s="2" t="s">
        <v>74</v>
      </c>
      <c r="BA793" s="2" t="s">
        <v>74</v>
      </c>
      <c r="BB793" s="2">
        <v>2039</v>
      </c>
      <c r="BC793" s="2">
        <v>2048</v>
      </c>
      <c r="BD793" s="2" t="s">
        <v>74</v>
      </c>
      <c r="BE793" s="2" t="s">
        <v>3789</v>
      </c>
      <c r="BF793" s="2" t="str">
        <f>HYPERLINK("http://dx.doi.org/10.1046/j.1365-2427.2002.00944.x","http://dx.doi.org/10.1046/j.1365-2427.2002.00944.x")</f>
        <v>http://dx.doi.org/10.1046/j.1365-2427.2002.00944.x</v>
      </c>
      <c r="BG793" s="2" t="s">
        <v>74</v>
      </c>
      <c r="BH793" s="2" t="s">
        <v>74</v>
      </c>
      <c r="BI793" s="2" t="s">
        <v>74</v>
      </c>
      <c r="BJ793" s="2" t="s">
        <v>74</v>
      </c>
      <c r="BK793" s="2" t="s">
        <v>74</v>
      </c>
      <c r="BL793" s="2" t="s">
        <v>74</v>
      </c>
      <c r="BM793" s="2" t="s">
        <v>74</v>
      </c>
      <c r="BN793" s="2" t="s">
        <v>74</v>
      </c>
      <c r="BO793" s="2" t="s">
        <v>74</v>
      </c>
      <c r="BP793" s="2" t="s">
        <v>74</v>
      </c>
      <c r="BQ793" s="2" t="s">
        <v>74</v>
      </c>
      <c r="BR793" s="2" t="s">
        <v>74</v>
      </c>
      <c r="BS793" s="2" t="s">
        <v>3790</v>
      </c>
      <c r="BT793" s="2" t="str">
        <f>HYPERLINK("https%3A%2F%2Fwww.webofscience.com%2Fwos%2Fwoscc%2Ffull-record%2FWOS:000178848300001","View Full Record in Web of Science")</f>
        <v>View Full Record in Web of Science</v>
      </c>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row>
    <row r="794" spans="1:314" s="2" customFormat="1" x14ac:dyDescent="0.4">
      <c r="A794" s="2" t="s">
        <v>72</v>
      </c>
      <c r="B794" s="2" t="s">
        <v>8452</v>
      </c>
      <c r="C794" s="2" t="s">
        <v>74</v>
      </c>
      <c r="D794" s="2" t="s">
        <v>74</v>
      </c>
      <c r="E794" s="2" t="s">
        <v>74</v>
      </c>
      <c r="F794" s="2" t="s">
        <v>8452</v>
      </c>
      <c r="G794" s="2" t="s">
        <v>74</v>
      </c>
      <c r="H794" s="2" t="s">
        <v>74</v>
      </c>
      <c r="I794" s="2" t="s">
        <v>8453</v>
      </c>
      <c r="J794" s="2" t="s">
        <v>4655</v>
      </c>
      <c r="K794" s="2" t="s">
        <v>74</v>
      </c>
      <c r="L794" s="2" t="s">
        <v>74</v>
      </c>
      <c r="M794" s="2" t="s">
        <v>74</v>
      </c>
      <c r="N794" s="2" t="s">
        <v>74</v>
      </c>
      <c r="O794" s="2" t="s">
        <v>74</v>
      </c>
      <c r="P794" s="2" t="s">
        <v>74</v>
      </c>
      <c r="Q794" s="2" t="s">
        <v>74</v>
      </c>
      <c r="R794" s="2" t="s">
        <v>74</v>
      </c>
      <c r="S794" s="2" t="s">
        <v>74</v>
      </c>
      <c r="T794" s="2" t="s">
        <v>74</v>
      </c>
      <c r="U794" s="2" t="s">
        <v>74</v>
      </c>
      <c r="V794" s="5" t="s">
        <v>8454</v>
      </c>
      <c r="W794" s="2" t="s">
        <v>74</v>
      </c>
      <c r="X794" s="2" t="s">
        <v>74</v>
      </c>
      <c r="Y794" s="2" t="s">
        <v>74</v>
      </c>
      <c r="Z794" s="2" t="s">
        <v>74</v>
      </c>
      <c r="AA794" s="2" t="s">
        <v>8455</v>
      </c>
      <c r="AB794" s="2" t="s">
        <v>8456</v>
      </c>
      <c r="AC794" s="2" t="s">
        <v>74</v>
      </c>
      <c r="AD794" s="2" t="s">
        <v>74</v>
      </c>
      <c r="AE794" s="2" t="s">
        <v>74</v>
      </c>
      <c r="AF794" s="2" t="s">
        <v>74</v>
      </c>
      <c r="AG794" s="2" t="s">
        <v>74</v>
      </c>
      <c r="AH794" s="2" t="s">
        <v>74</v>
      </c>
      <c r="AI794" s="2" t="s">
        <v>74</v>
      </c>
      <c r="AJ794" s="2" t="s">
        <v>74</v>
      </c>
      <c r="AK794" s="2" t="s">
        <v>74</v>
      </c>
      <c r="AL794" s="2" t="s">
        <v>74</v>
      </c>
      <c r="AM794" s="2" t="s">
        <v>74</v>
      </c>
      <c r="AN794" s="2" t="s">
        <v>74</v>
      </c>
      <c r="AO794" s="2" t="s">
        <v>4657</v>
      </c>
      <c r="AP794" s="2" t="s">
        <v>74</v>
      </c>
      <c r="AQ794" s="2" t="s">
        <v>74</v>
      </c>
      <c r="AR794" s="2" t="s">
        <v>74</v>
      </c>
      <c r="AS794" s="2" t="s">
        <v>74</v>
      </c>
      <c r="AT794" s="2" t="s">
        <v>123</v>
      </c>
      <c r="AU794" s="2">
        <v>2002</v>
      </c>
      <c r="AV794" s="2">
        <v>114</v>
      </c>
      <c r="AW794" s="2">
        <v>1</v>
      </c>
      <c r="AX794" s="2" t="s">
        <v>74</v>
      </c>
      <c r="AY794" s="2" t="s">
        <v>74</v>
      </c>
      <c r="AZ794" s="2" t="s">
        <v>74</v>
      </c>
      <c r="BA794" s="2" t="s">
        <v>74</v>
      </c>
      <c r="BB794" s="2">
        <v>106</v>
      </c>
      <c r="BC794" s="2">
        <v>113</v>
      </c>
      <c r="BD794" s="2" t="s">
        <v>74</v>
      </c>
      <c r="BE794" s="2" t="s">
        <v>8457</v>
      </c>
      <c r="BF794" s="2" t="str">
        <f>HYPERLINK("http://dx.doi.org/10.1676/0043-5643(2002)114[0106:OPITLW]2.0.CO;2","http://dx.doi.org/10.1676/0043-5643(2002)114[0106:OPITLW]2.0.CO;2")</f>
        <v>http://dx.doi.org/10.1676/0043-5643(2002)114[0106:OPITLW]2.0.CO;2</v>
      </c>
      <c r="BG794" s="2" t="s">
        <v>74</v>
      </c>
      <c r="BH794" s="2" t="s">
        <v>74</v>
      </c>
      <c r="BI794" s="2" t="s">
        <v>74</v>
      </c>
      <c r="BJ794" s="2" t="s">
        <v>74</v>
      </c>
      <c r="BK794" s="2" t="s">
        <v>74</v>
      </c>
      <c r="BL794" s="2" t="s">
        <v>74</v>
      </c>
      <c r="BM794" s="2" t="s">
        <v>74</v>
      </c>
      <c r="BN794" s="2" t="s">
        <v>74</v>
      </c>
      <c r="BO794" s="2" t="s">
        <v>74</v>
      </c>
      <c r="BP794" s="2" t="s">
        <v>74</v>
      </c>
      <c r="BQ794" s="2" t="s">
        <v>74</v>
      </c>
      <c r="BR794" s="2" t="s">
        <v>74</v>
      </c>
      <c r="BS794" s="2" t="s">
        <v>8458</v>
      </c>
      <c r="BT794" s="2" t="str">
        <f>HYPERLINK("https%3A%2F%2Fwww.webofscience.com%2Fwos%2Fwoscc%2Ffull-record%2FWOS:000178580800010","View Full Record in Web of Science")</f>
        <v>View Full Record in Web of Science</v>
      </c>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row>
    <row r="795" spans="1:314" s="2" customFormat="1" x14ac:dyDescent="0.4">
      <c r="A795" s="2" t="s">
        <v>72</v>
      </c>
      <c r="B795" s="2" t="s">
        <v>6940</v>
      </c>
      <c r="C795" s="2" t="s">
        <v>74</v>
      </c>
      <c r="D795" s="2" t="s">
        <v>74</v>
      </c>
      <c r="E795" s="2" t="s">
        <v>74</v>
      </c>
      <c r="F795" s="2" t="s">
        <v>6940</v>
      </c>
      <c r="G795" s="2" t="s">
        <v>74</v>
      </c>
      <c r="H795" s="2" t="s">
        <v>74</v>
      </c>
      <c r="I795" s="2" t="s">
        <v>6941</v>
      </c>
      <c r="J795" s="2" t="s">
        <v>129</v>
      </c>
      <c r="K795" s="2" t="s">
        <v>74</v>
      </c>
      <c r="L795" s="2" t="s">
        <v>74</v>
      </c>
      <c r="M795" s="2" t="s">
        <v>74</v>
      </c>
      <c r="N795" s="2" t="s">
        <v>74</v>
      </c>
      <c r="O795" s="2" t="s">
        <v>74</v>
      </c>
      <c r="P795" s="2" t="s">
        <v>74</v>
      </c>
      <c r="Q795" s="2" t="s">
        <v>74</v>
      </c>
      <c r="R795" s="2" t="s">
        <v>74</v>
      </c>
      <c r="S795" s="2" t="s">
        <v>74</v>
      </c>
      <c r="T795" s="2" t="s">
        <v>74</v>
      </c>
      <c r="U795" s="2" t="s">
        <v>74</v>
      </c>
      <c r="V795" s="5" t="s">
        <v>6942</v>
      </c>
      <c r="W795" s="2" t="s">
        <v>74</v>
      </c>
      <c r="X795" s="2" t="s">
        <v>74</v>
      </c>
      <c r="Y795" s="2" t="s">
        <v>74</v>
      </c>
      <c r="Z795" s="2" t="s">
        <v>74</v>
      </c>
      <c r="AA795" s="2" t="s">
        <v>74</v>
      </c>
      <c r="AB795" s="2" t="s">
        <v>74</v>
      </c>
      <c r="AC795" s="2" t="s">
        <v>74</v>
      </c>
      <c r="AD795" s="2" t="s">
        <v>74</v>
      </c>
      <c r="AE795" s="2" t="s">
        <v>74</v>
      </c>
      <c r="AF795" s="2" t="s">
        <v>74</v>
      </c>
      <c r="AG795" s="2" t="s">
        <v>74</v>
      </c>
      <c r="AH795" s="2" t="s">
        <v>74</v>
      </c>
      <c r="AI795" s="2" t="s">
        <v>74</v>
      </c>
      <c r="AJ795" s="2" t="s">
        <v>74</v>
      </c>
      <c r="AK795" s="2" t="s">
        <v>74</v>
      </c>
      <c r="AL795" s="2" t="s">
        <v>74</v>
      </c>
      <c r="AM795" s="2" t="s">
        <v>74</v>
      </c>
      <c r="AN795" s="2" t="s">
        <v>74</v>
      </c>
      <c r="AO795" s="2" t="s">
        <v>132</v>
      </c>
      <c r="AP795" s="2" t="s">
        <v>133</v>
      </c>
      <c r="AQ795" s="2" t="s">
        <v>74</v>
      </c>
      <c r="AR795" s="2" t="s">
        <v>74</v>
      </c>
      <c r="AS795" s="2" t="s">
        <v>74</v>
      </c>
      <c r="AT795" s="2" t="s">
        <v>74</v>
      </c>
      <c r="AU795" s="2">
        <v>1989</v>
      </c>
      <c r="AV795" s="2">
        <v>25</v>
      </c>
      <c r="AW795" s="2">
        <v>1</v>
      </c>
      <c r="AX795" s="2" t="s">
        <v>74</v>
      </c>
      <c r="AY795" s="2" t="s">
        <v>74</v>
      </c>
      <c r="AZ795" s="2" t="s">
        <v>74</v>
      </c>
      <c r="BA795" s="2" t="s">
        <v>74</v>
      </c>
      <c r="BB795" s="2">
        <v>23</v>
      </c>
      <c r="BC795" s="2">
        <v>31</v>
      </c>
      <c r="BD795" s="2" t="s">
        <v>74</v>
      </c>
      <c r="BE795" s="2" t="s">
        <v>6943</v>
      </c>
      <c r="BF795" s="2" t="str">
        <f>HYPERLINK("http://dx.doi.org/10.1007/BF00299707","http://dx.doi.org/10.1007/BF00299707")</f>
        <v>http://dx.doi.org/10.1007/BF00299707</v>
      </c>
      <c r="BG795" s="2" t="s">
        <v>74</v>
      </c>
      <c r="BH795" s="2" t="s">
        <v>74</v>
      </c>
      <c r="BI795" s="2" t="s">
        <v>74</v>
      </c>
      <c r="BJ795" s="2" t="s">
        <v>74</v>
      </c>
      <c r="BK795" s="2" t="s">
        <v>74</v>
      </c>
      <c r="BL795" s="2" t="s">
        <v>74</v>
      </c>
      <c r="BM795" s="2" t="s">
        <v>74</v>
      </c>
      <c r="BN795" s="2" t="s">
        <v>74</v>
      </c>
      <c r="BO795" s="2" t="s">
        <v>74</v>
      </c>
      <c r="BP795" s="2" t="s">
        <v>74</v>
      </c>
      <c r="BQ795" s="2" t="s">
        <v>74</v>
      </c>
      <c r="BR795" s="2" t="s">
        <v>74</v>
      </c>
      <c r="BS795" s="2" t="s">
        <v>6944</v>
      </c>
      <c r="BT795" s="2" t="str">
        <f>HYPERLINK("https%3A%2F%2Fwww.webofscience.com%2Fwos%2Fwoscc%2Ffull-record%2FWOS:A1989AJ00400003","View Full Record in Web of Science")</f>
        <v>View Full Record in Web of Science</v>
      </c>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row>
    <row r="796" spans="1:314" s="2" customFormat="1" x14ac:dyDescent="0.4">
      <c r="A796" s="2" t="s">
        <v>72</v>
      </c>
      <c r="B796" s="2" t="s">
        <v>8050</v>
      </c>
      <c r="C796" s="2" t="s">
        <v>74</v>
      </c>
      <c r="D796" s="2" t="s">
        <v>74</v>
      </c>
      <c r="E796" s="2" t="s">
        <v>74</v>
      </c>
      <c r="F796" s="2" t="s">
        <v>8051</v>
      </c>
      <c r="G796" s="2" t="s">
        <v>74</v>
      </c>
      <c r="H796" s="2" t="s">
        <v>74</v>
      </c>
      <c r="I796" s="2" t="s">
        <v>8052</v>
      </c>
      <c r="J796" s="2" t="s">
        <v>431</v>
      </c>
      <c r="K796" s="2" t="s">
        <v>74</v>
      </c>
      <c r="L796" s="2" t="s">
        <v>74</v>
      </c>
      <c r="M796" s="2" t="s">
        <v>74</v>
      </c>
      <c r="N796" s="2" t="s">
        <v>74</v>
      </c>
      <c r="O796" s="2" t="s">
        <v>74</v>
      </c>
      <c r="P796" s="2" t="s">
        <v>74</v>
      </c>
      <c r="Q796" s="2" t="s">
        <v>74</v>
      </c>
      <c r="R796" s="2" t="s">
        <v>74</v>
      </c>
      <c r="S796" s="2" t="s">
        <v>74</v>
      </c>
      <c r="T796" s="2" t="s">
        <v>74</v>
      </c>
      <c r="U796" s="2" t="s">
        <v>74</v>
      </c>
      <c r="V796" s="5" t="s">
        <v>8053</v>
      </c>
      <c r="W796" s="2" t="s">
        <v>74</v>
      </c>
      <c r="X796" s="2" t="s">
        <v>74</v>
      </c>
      <c r="Y796" s="2" t="s">
        <v>74</v>
      </c>
      <c r="Z796" s="2" t="s">
        <v>74</v>
      </c>
      <c r="AA796" s="2" t="s">
        <v>8054</v>
      </c>
      <c r="AB796" s="2" t="s">
        <v>8055</v>
      </c>
      <c r="AC796" s="2" t="s">
        <v>74</v>
      </c>
      <c r="AD796" s="2" t="s">
        <v>74</v>
      </c>
      <c r="AE796" s="2" t="s">
        <v>74</v>
      </c>
      <c r="AF796" s="2" t="s">
        <v>74</v>
      </c>
      <c r="AG796" s="2" t="s">
        <v>74</v>
      </c>
      <c r="AH796" s="2" t="s">
        <v>74</v>
      </c>
      <c r="AI796" s="2" t="s">
        <v>74</v>
      </c>
      <c r="AJ796" s="2" t="s">
        <v>74</v>
      </c>
      <c r="AK796" s="2" t="s">
        <v>74</v>
      </c>
      <c r="AL796" s="2" t="s">
        <v>74</v>
      </c>
      <c r="AM796" s="2" t="s">
        <v>74</v>
      </c>
      <c r="AN796" s="2" t="s">
        <v>74</v>
      </c>
      <c r="AO796" s="2" t="s">
        <v>1458</v>
      </c>
      <c r="AP796" s="2" t="s">
        <v>435</v>
      </c>
      <c r="AQ796" s="2" t="s">
        <v>74</v>
      </c>
      <c r="AR796" s="2" t="s">
        <v>74</v>
      </c>
      <c r="AS796" s="2" t="s">
        <v>74</v>
      </c>
      <c r="AT796" s="2" t="s">
        <v>633</v>
      </c>
      <c r="AU796" s="2">
        <v>2007</v>
      </c>
      <c r="AV796" s="2">
        <v>124</v>
      </c>
      <c r="AW796" s="2">
        <v>2</v>
      </c>
      <c r="AX796" s="2" t="s">
        <v>74</v>
      </c>
      <c r="AY796" s="2" t="s">
        <v>74</v>
      </c>
      <c r="AZ796" s="2" t="s">
        <v>74</v>
      </c>
      <c r="BA796" s="2" t="s">
        <v>74</v>
      </c>
      <c r="BB796" s="2">
        <v>619</v>
      </c>
      <c r="BC796" s="2">
        <v>627</v>
      </c>
      <c r="BD796" s="2" t="s">
        <v>74</v>
      </c>
      <c r="BE796" s="2" t="s">
        <v>8056</v>
      </c>
      <c r="BF796" s="2" t="str">
        <f>HYPERLINK("http://dx.doi.org/10.1093/auk/124.2.619","http://dx.doi.org/10.1093/auk/124.2.619")</f>
        <v>http://dx.doi.org/10.1093/auk/124.2.619</v>
      </c>
      <c r="BG796" s="2" t="s">
        <v>74</v>
      </c>
      <c r="BH796" s="2" t="s">
        <v>74</v>
      </c>
      <c r="BI796" s="2" t="s">
        <v>74</v>
      </c>
      <c r="BJ796" s="2" t="s">
        <v>74</v>
      </c>
      <c r="BK796" s="2" t="s">
        <v>74</v>
      </c>
      <c r="BL796" s="2" t="s">
        <v>74</v>
      </c>
      <c r="BM796" s="2" t="s">
        <v>74</v>
      </c>
      <c r="BN796" s="2" t="s">
        <v>74</v>
      </c>
      <c r="BO796" s="2" t="s">
        <v>74</v>
      </c>
      <c r="BP796" s="2" t="s">
        <v>74</v>
      </c>
      <c r="BQ796" s="2" t="s">
        <v>74</v>
      </c>
      <c r="BR796" s="2" t="s">
        <v>74</v>
      </c>
      <c r="BS796" s="2" t="s">
        <v>8057</v>
      </c>
      <c r="BT796" s="2" t="str">
        <f>HYPERLINK("https%3A%2F%2Fwww.webofscience.com%2Fwos%2Fwoscc%2Ffull-record%2FWOS:000246596400020","View Full Record in Web of Science")</f>
        <v>View Full Record in Web of Science</v>
      </c>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row>
    <row r="797" spans="1:314" s="2" customFormat="1" x14ac:dyDescent="0.4">
      <c r="A797" s="2" t="s">
        <v>72</v>
      </c>
      <c r="B797" s="2" t="s">
        <v>7175</v>
      </c>
      <c r="C797" s="2" t="s">
        <v>74</v>
      </c>
      <c r="D797" s="2" t="s">
        <v>74</v>
      </c>
      <c r="E797" s="2" t="s">
        <v>74</v>
      </c>
      <c r="F797" s="2" t="s">
        <v>7176</v>
      </c>
      <c r="G797" s="2" t="s">
        <v>74</v>
      </c>
      <c r="H797" s="2" t="s">
        <v>74</v>
      </c>
      <c r="I797" s="2" t="s">
        <v>7177</v>
      </c>
      <c r="J797" s="2" t="s">
        <v>763</v>
      </c>
      <c r="K797" s="2" t="s">
        <v>74</v>
      </c>
      <c r="L797" s="2" t="s">
        <v>74</v>
      </c>
      <c r="M797" s="2" t="s">
        <v>74</v>
      </c>
      <c r="N797" s="2" t="s">
        <v>74</v>
      </c>
      <c r="O797" s="2" t="s">
        <v>74</v>
      </c>
      <c r="P797" s="2" t="s">
        <v>74</v>
      </c>
      <c r="Q797" s="2" t="s">
        <v>74</v>
      </c>
      <c r="R797" s="2" t="s">
        <v>74</v>
      </c>
      <c r="S797" s="2" t="s">
        <v>74</v>
      </c>
      <c r="T797" s="2" t="s">
        <v>74</v>
      </c>
      <c r="U797" s="2" t="s">
        <v>74</v>
      </c>
      <c r="V797" s="5" t="s">
        <v>7178</v>
      </c>
      <c r="W797" s="2" t="s">
        <v>74</v>
      </c>
      <c r="X797" s="2" t="s">
        <v>74</v>
      </c>
      <c r="Y797" s="2" t="s">
        <v>74</v>
      </c>
      <c r="Z797" s="2" t="s">
        <v>74</v>
      </c>
      <c r="AA797" s="2" t="s">
        <v>7179</v>
      </c>
      <c r="AB797" s="2" t="s">
        <v>7180</v>
      </c>
      <c r="AC797" s="2" t="s">
        <v>74</v>
      </c>
      <c r="AD797" s="2" t="s">
        <v>74</v>
      </c>
      <c r="AE797" s="2" t="s">
        <v>74</v>
      </c>
      <c r="AF797" s="2" t="s">
        <v>74</v>
      </c>
      <c r="AG797" s="2" t="s">
        <v>74</v>
      </c>
      <c r="AH797" s="2" t="s">
        <v>74</v>
      </c>
      <c r="AI797" s="2" t="s">
        <v>74</v>
      </c>
      <c r="AJ797" s="2" t="s">
        <v>74</v>
      </c>
      <c r="AK797" s="2" t="s">
        <v>74</v>
      </c>
      <c r="AL797" s="2" t="s">
        <v>74</v>
      </c>
      <c r="AM797" s="2" t="s">
        <v>74</v>
      </c>
      <c r="AN797" s="2" t="s">
        <v>74</v>
      </c>
      <c r="AO797" s="2" t="s">
        <v>767</v>
      </c>
      <c r="AP797" s="2" t="s">
        <v>768</v>
      </c>
      <c r="AQ797" s="2" t="s">
        <v>74</v>
      </c>
      <c r="AR797" s="2" t="s">
        <v>74</v>
      </c>
      <c r="AS797" s="2" t="s">
        <v>74</v>
      </c>
      <c r="AT797" s="2" t="s">
        <v>102</v>
      </c>
      <c r="AU797" s="2">
        <v>2022</v>
      </c>
      <c r="AV797" s="2">
        <v>225</v>
      </c>
      <c r="AW797" s="2">
        <v>11</v>
      </c>
      <c r="AX797" s="2" t="s">
        <v>74</v>
      </c>
      <c r="AY797" s="2" t="s">
        <v>74</v>
      </c>
      <c r="AZ797" s="2" t="s">
        <v>74</v>
      </c>
      <c r="BA797" s="2" t="s">
        <v>74</v>
      </c>
      <c r="BB797" s="2" t="s">
        <v>74</v>
      </c>
      <c r="BC797" s="2" t="s">
        <v>74</v>
      </c>
      <c r="BD797" s="2" t="s">
        <v>7181</v>
      </c>
      <c r="BE797" s="2" t="s">
        <v>7182</v>
      </c>
      <c r="BF797" s="2" t="str">
        <f>HYPERLINK("http://dx.doi.org/10.1242/jeb.244317","http://dx.doi.org/10.1242/jeb.244317")</f>
        <v>http://dx.doi.org/10.1242/jeb.244317</v>
      </c>
      <c r="BG797" s="2" t="s">
        <v>74</v>
      </c>
      <c r="BH797" s="2" t="s">
        <v>74</v>
      </c>
      <c r="BI797" s="2" t="s">
        <v>74</v>
      </c>
      <c r="BJ797" s="2" t="s">
        <v>74</v>
      </c>
      <c r="BK797" s="2" t="s">
        <v>74</v>
      </c>
      <c r="BL797" s="2" t="s">
        <v>74</v>
      </c>
      <c r="BM797" s="2" t="s">
        <v>74</v>
      </c>
      <c r="BN797" s="2">
        <v>35582824</v>
      </c>
      <c r="BO797" s="2" t="s">
        <v>74</v>
      </c>
      <c r="BP797" s="2" t="s">
        <v>74</v>
      </c>
      <c r="BQ797" s="2" t="s">
        <v>74</v>
      </c>
      <c r="BR797" s="2" t="s">
        <v>74</v>
      </c>
      <c r="BS797" s="2" t="s">
        <v>7183</v>
      </c>
      <c r="BT797" s="2" t="str">
        <f>HYPERLINK("https%3A%2F%2Fwww.webofscience.com%2Fwos%2Fwoscc%2Ffull-record%2FWOS:000811278900021","View Full Record in Web of Science")</f>
        <v>View Full Record in Web of Science</v>
      </c>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row>
    <row r="798" spans="1:314" s="2" customFormat="1" x14ac:dyDescent="0.4">
      <c r="A798" s="2" t="s">
        <v>72</v>
      </c>
      <c r="B798" s="2" t="s">
        <v>7039</v>
      </c>
      <c r="C798" s="2" t="s">
        <v>74</v>
      </c>
      <c r="D798" s="2" t="s">
        <v>74</v>
      </c>
      <c r="E798" s="2" t="s">
        <v>74</v>
      </c>
      <c r="F798" s="2" t="s">
        <v>7040</v>
      </c>
      <c r="G798" s="2" t="s">
        <v>74</v>
      </c>
      <c r="H798" s="2" t="s">
        <v>74</v>
      </c>
      <c r="I798" s="2" t="s">
        <v>7041</v>
      </c>
      <c r="J798" s="2" t="s">
        <v>129</v>
      </c>
      <c r="K798" s="2" t="s">
        <v>74</v>
      </c>
      <c r="L798" s="2" t="s">
        <v>74</v>
      </c>
      <c r="M798" s="2" t="s">
        <v>74</v>
      </c>
      <c r="N798" s="2" t="s">
        <v>74</v>
      </c>
      <c r="O798" s="2" t="s">
        <v>74</v>
      </c>
      <c r="P798" s="2" t="s">
        <v>74</v>
      </c>
      <c r="Q798" s="2" t="s">
        <v>74</v>
      </c>
      <c r="R798" s="2" t="s">
        <v>74</v>
      </c>
      <c r="S798" s="2" t="s">
        <v>74</v>
      </c>
      <c r="T798" s="2" t="s">
        <v>74</v>
      </c>
      <c r="U798" s="2" t="s">
        <v>74</v>
      </c>
      <c r="V798" s="5" t="s">
        <v>7042</v>
      </c>
      <c r="W798" s="2" t="s">
        <v>74</v>
      </c>
      <c r="X798" s="2" t="s">
        <v>74</v>
      </c>
      <c r="Y798" s="2" t="s">
        <v>74</v>
      </c>
      <c r="Z798" s="2" t="s">
        <v>74</v>
      </c>
      <c r="AA798" s="2" t="s">
        <v>7043</v>
      </c>
      <c r="AB798" s="2" t="s">
        <v>7044</v>
      </c>
      <c r="AC798" s="2" t="s">
        <v>74</v>
      </c>
      <c r="AD798" s="2" t="s">
        <v>74</v>
      </c>
      <c r="AE798" s="2" t="s">
        <v>74</v>
      </c>
      <c r="AF798" s="2" t="s">
        <v>74</v>
      </c>
      <c r="AG798" s="2" t="s">
        <v>74</v>
      </c>
      <c r="AH798" s="2" t="s">
        <v>74</v>
      </c>
      <c r="AI798" s="2" t="s">
        <v>74</v>
      </c>
      <c r="AJ798" s="2" t="s">
        <v>74</v>
      </c>
      <c r="AK798" s="2" t="s">
        <v>74</v>
      </c>
      <c r="AL798" s="2" t="s">
        <v>74</v>
      </c>
      <c r="AM798" s="2" t="s">
        <v>74</v>
      </c>
      <c r="AN798" s="2" t="s">
        <v>74</v>
      </c>
      <c r="AO798" s="2" t="s">
        <v>132</v>
      </c>
      <c r="AP798" s="2" t="s">
        <v>133</v>
      </c>
      <c r="AQ798" s="2" t="s">
        <v>74</v>
      </c>
      <c r="AR798" s="2" t="s">
        <v>74</v>
      </c>
      <c r="AS798" s="2" t="s">
        <v>74</v>
      </c>
      <c r="AT798" s="2" t="s">
        <v>204</v>
      </c>
      <c r="AU798" s="2">
        <v>2019</v>
      </c>
      <c r="AV798" s="2">
        <v>73</v>
      </c>
      <c r="AW798" s="2">
        <v>7</v>
      </c>
      <c r="AX798" s="2" t="s">
        <v>74</v>
      </c>
      <c r="AY798" s="2" t="s">
        <v>74</v>
      </c>
      <c r="AZ798" s="2" t="s">
        <v>74</v>
      </c>
      <c r="BA798" s="2" t="s">
        <v>74</v>
      </c>
      <c r="BB798" s="2" t="s">
        <v>74</v>
      </c>
      <c r="BC798" s="2" t="s">
        <v>74</v>
      </c>
      <c r="BD798" s="2">
        <v>98</v>
      </c>
      <c r="BE798" s="2" t="s">
        <v>7045</v>
      </c>
      <c r="BF798" s="2" t="str">
        <f>HYPERLINK("http://dx.doi.org/10.1007/s00265-019-2710-z","http://dx.doi.org/10.1007/s00265-019-2710-z")</f>
        <v>http://dx.doi.org/10.1007/s00265-019-2710-z</v>
      </c>
      <c r="BG798" s="2" t="s">
        <v>74</v>
      </c>
      <c r="BH798" s="2" t="s">
        <v>74</v>
      </c>
      <c r="BI798" s="2" t="s">
        <v>74</v>
      </c>
      <c r="BJ798" s="2" t="s">
        <v>74</v>
      </c>
      <c r="BK798" s="2" t="s">
        <v>74</v>
      </c>
      <c r="BL798" s="2" t="s">
        <v>74</v>
      </c>
      <c r="BM798" s="2" t="s">
        <v>74</v>
      </c>
      <c r="BN798" s="2" t="s">
        <v>74</v>
      </c>
      <c r="BO798" s="2" t="s">
        <v>74</v>
      </c>
      <c r="BP798" s="2" t="s">
        <v>74</v>
      </c>
      <c r="BQ798" s="2" t="s">
        <v>74</v>
      </c>
      <c r="BR798" s="2" t="s">
        <v>74</v>
      </c>
      <c r="BS798" s="2" t="s">
        <v>7046</v>
      </c>
      <c r="BT798" s="2" t="str">
        <f>HYPERLINK("https%3A%2F%2Fwww.webofscience.com%2Fwos%2Fwoscc%2Ffull-record%2FWOS:000473131000001","View Full Record in Web of Science")</f>
        <v>View Full Record in Web of Science</v>
      </c>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row>
    <row r="799" spans="1:314" s="2" customFormat="1" x14ac:dyDescent="0.4">
      <c r="A799" s="2" t="s">
        <v>72</v>
      </c>
      <c r="B799" s="2" t="s">
        <v>4833</v>
      </c>
      <c r="C799" s="2" t="s">
        <v>74</v>
      </c>
      <c r="D799" s="2" t="s">
        <v>74</v>
      </c>
      <c r="E799" s="2" t="s">
        <v>74</v>
      </c>
      <c r="F799" s="2" t="s">
        <v>4834</v>
      </c>
      <c r="G799" s="2" t="s">
        <v>74</v>
      </c>
      <c r="H799" s="2" t="s">
        <v>74</v>
      </c>
      <c r="I799" s="2" t="s">
        <v>4835</v>
      </c>
      <c r="J799" s="2" t="s">
        <v>4836</v>
      </c>
      <c r="K799" s="2" t="s">
        <v>74</v>
      </c>
      <c r="L799" s="2" t="s">
        <v>74</v>
      </c>
      <c r="M799" s="2" t="s">
        <v>74</v>
      </c>
      <c r="N799" s="2" t="s">
        <v>74</v>
      </c>
      <c r="O799" s="2" t="s">
        <v>74</v>
      </c>
      <c r="P799" s="2" t="s">
        <v>74</v>
      </c>
      <c r="Q799" s="2" t="s">
        <v>74</v>
      </c>
      <c r="R799" s="2" t="s">
        <v>74</v>
      </c>
      <c r="S799" s="2" t="s">
        <v>74</v>
      </c>
      <c r="T799" s="2" t="s">
        <v>74</v>
      </c>
      <c r="U799" s="2" t="s">
        <v>74</v>
      </c>
      <c r="V799" s="5" t="s">
        <v>4837</v>
      </c>
      <c r="W799" s="2" t="s">
        <v>74</v>
      </c>
      <c r="X799" s="2" t="s">
        <v>74</v>
      </c>
      <c r="Y799" s="2" t="s">
        <v>74</v>
      </c>
      <c r="Z799" s="2" t="s">
        <v>74</v>
      </c>
      <c r="AA799" s="2" t="s">
        <v>4838</v>
      </c>
      <c r="AB799" s="2" t="s">
        <v>4839</v>
      </c>
      <c r="AC799" s="2" t="s">
        <v>74</v>
      </c>
      <c r="AD799" s="2" t="s">
        <v>74</v>
      </c>
      <c r="AE799" s="2" t="s">
        <v>74</v>
      </c>
      <c r="AF799" s="2" t="s">
        <v>74</v>
      </c>
      <c r="AG799" s="2" t="s">
        <v>74</v>
      </c>
      <c r="AH799" s="2" t="s">
        <v>74</v>
      </c>
      <c r="AI799" s="2" t="s">
        <v>74</v>
      </c>
      <c r="AJ799" s="2" t="s">
        <v>74</v>
      </c>
      <c r="AK799" s="2" t="s">
        <v>74</v>
      </c>
      <c r="AL799" s="2" t="s">
        <v>74</v>
      </c>
      <c r="AM799" s="2" t="s">
        <v>74</v>
      </c>
      <c r="AN799" s="2" t="s">
        <v>74</v>
      </c>
      <c r="AO799" s="2" t="s">
        <v>4840</v>
      </c>
      <c r="AP799" s="2" t="s">
        <v>74</v>
      </c>
      <c r="AQ799" s="2" t="s">
        <v>74</v>
      </c>
      <c r="AR799" s="2" t="s">
        <v>74</v>
      </c>
      <c r="AS799" s="2" t="s">
        <v>74</v>
      </c>
      <c r="AT799" s="2" t="s">
        <v>4841</v>
      </c>
      <c r="AU799" s="2">
        <v>2023</v>
      </c>
      <c r="AV799" s="2">
        <v>73</v>
      </c>
      <c r="AW799" s="2" t="s">
        <v>74</v>
      </c>
      <c r="AX799" s="2" t="s">
        <v>74</v>
      </c>
      <c r="AY799" s="2" t="s">
        <v>74</v>
      </c>
      <c r="AZ799" s="2" t="s">
        <v>74</v>
      </c>
      <c r="BA799" s="2" t="s">
        <v>74</v>
      </c>
      <c r="BB799" s="2">
        <v>1</v>
      </c>
      <c r="BC799" s="2">
        <v>21</v>
      </c>
      <c r="BD799" s="2" t="s">
        <v>74</v>
      </c>
      <c r="BE799" s="2" t="s">
        <v>4842</v>
      </c>
      <c r="BF799" s="2" t="str">
        <f>HYPERLINK("http://dx.doi.org/10.3897/vz.73.e97002","http://dx.doi.org/10.3897/vz.73.e97002")</f>
        <v>http://dx.doi.org/10.3897/vz.73.e97002</v>
      </c>
      <c r="BG799" s="2" t="s">
        <v>74</v>
      </c>
      <c r="BH799" s="2" t="s">
        <v>74</v>
      </c>
      <c r="BI799" s="2" t="s">
        <v>74</v>
      </c>
      <c r="BJ799" s="2" t="s">
        <v>74</v>
      </c>
      <c r="BK799" s="2" t="s">
        <v>74</v>
      </c>
      <c r="BL799" s="2" t="s">
        <v>74</v>
      </c>
      <c r="BM799" s="2" t="s">
        <v>74</v>
      </c>
      <c r="BN799" s="2" t="s">
        <v>74</v>
      </c>
      <c r="BO799" s="2" t="s">
        <v>74</v>
      </c>
      <c r="BP799" s="2" t="s">
        <v>74</v>
      </c>
      <c r="BQ799" s="2" t="s">
        <v>74</v>
      </c>
      <c r="BR799" s="2" t="s">
        <v>74</v>
      </c>
      <c r="BS799" s="2" t="s">
        <v>4843</v>
      </c>
      <c r="BT799" s="2" t="str">
        <f>HYPERLINK("https%3A%2F%2Fwww.webofscience.com%2Fwos%2Fwoscc%2Ffull-record%2FWOS:000960500300001","View Full Record in Web of Science")</f>
        <v>View Full Record in Web of Science</v>
      </c>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row>
    <row r="800" spans="1:314" s="2" customFormat="1" x14ac:dyDescent="0.4">
      <c r="A800" s="2" t="s">
        <v>72</v>
      </c>
      <c r="B800" s="2" t="s">
        <v>4480</v>
      </c>
      <c r="C800" s="2" t="s">
        <v>74</v>
      </c>
      <c r="D800" s="2" t="s">
        <v>74</v>
      </c>
      <c r="E800" s="2" t="s">
        <v>74</v>
      </c>
      <c r="F800" s="2" t="s">
        <v>4481</v>
      </c>
      <c r="G800" s="2" t="s">
        <v>74</v>
      </c>
      <c r="H800" s="2" t="s">
        <v>74</v>
      </c>
      <c r="I800" s="2" t="s">
        <v>4482</v>
      </c>
      <c r="J800" s="2" t="s">
        <v>2901</v>
      </c>
      <c r="K800" s="2" t="s">
        <v>74</v>
      </c>
      <c r="L800" s="2" t="s">
        <v>74</v>
      </c>
      <c r="M800" s="2" t="s">
        <v>74</v>
      </c>
      <c r="N800" s="2" t="s">
        <v>74</v>
      </c>
      <c r="O800" s="2" t="s">
        <v>74</v>
      </c>
      <c r="P800" s="2" t="s">
        <v>74</v>
      </c>
      <c r="Q800" s="2" t="s">
        <v>74</v>
      </c>
      <c r="R800" s="2" t="s">
        <v>74</v>
      </c>
      <c r="S800" s="2" t="s">
        <v>74</v>
      </c>
      <c r="T800" s="2" t="s">
        <v>74</v>
      </c>
      <c r="U800" s="2" t="s">
        <v>74</v>
      </c>
      <c r="V800" s="5" t="s">
        <v>4483</v>
      </c>
      <c r="W800" s="2" t="s">
        <v>74</v>
      </c>
      <c r="X800" s="2" t="s">
        <v>74</v>
      </c>
      <c r="Y800" s="2" t="s">
        <v>74</v>
      </c>
      <c r="Z800" s="2" t="s">
        <v>74</v>
      </c>
      <c r="AA800" s="2" t="s">
        <v>4484</v>
      </c>
      <c r="AB800" s="2" t="s">
        <v>4485</v>
      </c>
      <c r="AC800" s="2" t="s">
        <v>74</v>
      </c>
      <c r="AD800" s="2" t="s">
        <v>74</v>
      </c>
      <c r="AE800" s="2" t="s">
        <v>74</v>
      </c>
      <c r="AF800" s="2" t="s">
        <v>74</v>
      </c>
      <c r="AG800" s="2" t="s">
        <v>74</v>
      </c>
      <c r="AH800" s="2" t="s">
        <v>74</v>
      </c>
      <c r="AI800" s="2" t="s">
        <v>74</v>
      </c>
      <c r="AJ800" s="2" t="s">
        <v>74</v>
      </c>
      <c r="AK800" s="2" t="s">
        <v>74</v>
      </c>
      <c r="AL800" s="2" t="s">
        <v>74</v>
      </c>
      <c r="AM800" s="2" t="s">
        <v>74</v>
      </c>
      <c r="AN800" s="2" t="s">
        <v>74</v>
      </c>
      <c r="AO800" s="2" t="s">
        <v>2903</v>
      </c>
      <c r="AP800" s="2" t="s">
        <v>2904</v>
      </c>
      <c r="AQ800" s="2" t="s">
        <v>74</v>
      </c>
      <c r="AR800" s="2" t="s">
        <v>74</v>
      </c>
      <c r="AS800" s="2" t="s">
        <v>74</v>
      </c>
      <c r="AT800" s="2" t="s">
        <v>74</v>
      </c>
      <c r="AU800" s="2">
        <v>2018</v>
      </c>
      <c r="AV800" s="2">
        <v>30</v>
      </c>
      <c r="AW800" s="2">
        <v>4</v>
      </c>
      <c r="AX800" s="2" t="s">
        <v>74</v>
      </c>
      <c r="AY800" s="2" t="s">
        <v>74</v>
      </c>
      <c r="AZ800" s="2" t="s">
        <v>74</v>
      </c>
      <c r="BA800" s="2" t="s">
        <v>74</v>
      </c>
      <c r="BB800" s="2">
        <v>319</v>
      </c>
      <c r="BC800" s="2">
        <v>330</v>
      </c>
      <c r="BD800" s="2" t="s">
        <v>74</v>
      </c>
      <c r="BE800" s="2" t="s">
        <v>4486</v>
      </c>
      <c r="BF800" s="2" t="str">
        <f>HYPERLINK("http://dx.doi.org/10.1080/03949370.2017.1402091","http://dx.doi.org/10.1080/03949370.2017.1402091")</f>
        <v>http://dx.doi.org/10.1080/03949370.2017.1402091</v>
      </c>
      <c r="BG800" s="2" t="s">
        <v>74</v>
      </c>
      <c r="BH800" s="2" t="s">
        <v>74</v>
      </c>
      <c r="BI800" s="2" t="s">
        <v>74</v>
      </c>
      <c r="BJ800" s="2" t="s">
        <v>74</v>
      </c>
      <c r="BK800" s="2" t="s">
        <v>74</v>
      </c>
      <c r="BL800" s="2" t="s">
        <v>74</v>
      </c>
      <c r="BM800" s="2" t="s">
        <v>74</v>
      </c>
      <c r="BN800" s="2" t="s">
        <v>74</v>
      </c>
      <c r="BO800" s="2" t="s">
        <v>74</v>
      </c>
      <c r="BP800" s="2" t="s">
        <v>74</v>
      </c>
      <c r="BQ800" s="2" t="s">
        <v>74</v>
      </c>
      <c r="BR800" s="2" t="s">
        <v>74</v>
      </c>
      <c r="BS800" s="2" t="s">
        <v>4487</v>
      </c>
      <c r="BT800" s="2" t="str">
        <f>HYPERLINK("https%3A%2F%2Fwww.webofscience.com%2Fwos%2Fwoscc%2Ffull-record%2FWOS:000435677500003","View Full Record in Web of Science")</f>
        <v>View Full Record in Web of Science</v>
      </c>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row>
    <row r="801" spans="1:314" s="2" customFormat="1" x14ac:dyDescent="0.4">
      <c r="A801" s="2" t="s">
        <v>72</v>
      </c>
      <c r="B801" s="2" t="s">
        <v>4349</v>
      </c>
      <c r="C801" s="2" t="s">
        <v>74</v>
      </c>
      <c r="D801" s="2" t="s">
        <v>74</v>
      </c>
      <c r="E801" s="2" t="s">
        <v>74</v>
      </c>
      <c r="F801" s="2" t="s">
        <v>4349</v>
      </c>
      <c r="G801" s="2" t="s">
        <v>74</v>
      </c>
      <c r="H801" s="2" t="s">
        <v>74</v>
      </c>
      <c r="I801" s="2" t="s">
        <v>4350</v>
      </c>
      <c r="J801" s="2" t="s">
        <v>4351</v>
      </c>
      <c r="K801" s="2" t="s">
        <v>74</v>
      </c>
      <c r="L801" s="2" t="s">
        <v>74</v>
      </c>
      <c r="M801" s="2" t="s">
        <v>74</v>
      </c>
      <c r="N801" s="2" t="s">
        <v>74</v>
      </c>
      <c r="O801" s="2" t="s">
        <v>74</v>
      </c>
      <c r="P801" s="2" t="s">
        <v>74</v>
      </c>
      <c r="Q801" s="2" t="s">
        <v>74</v>
      </c>
      <c r="R801" s="2" t="s">
        <v>74</v>
      </c>
      <c r="S801" s="2" t="s">
        <v>74</v>
      </c>
      <c r="T801" s="2" t="s">
        <v>74</v>
      </c>
      <c r="U801" s="2" t="s">
        <v>74</v>
      </c>
      <c r="V801" s="5" t="s">
        <v>4352</v>
      </c>
      <c r="W801" s="2" t="s">
        <v>74</v>
      </c>
      <c r="X801" s="2" t="s">
        <v>74</v>
      </c>
      <c r="Y801" s="2" t="s">
        <v>74</v>
      </c>
      <c r="Z801" s="2" t="s">
        <v>74</v>
      </c>
      <c r="AA801" s="2" t="s">
        <v>4353</v>
      </c>
      <c r="AB801" s="2" t="s">
        <v>74</v>
      </c>
      <c r="AC801" s="2" t="s">
        <v>74</v>
      </c>
      <c r="AD801" s="2" t="s">
        <v>74</v>
      </c>
      <c r="AE801" s="2" t="s">
        <v>74</v>
      </c>
      <c r="AF801" s="2" t="s">
        <v>74</v>
      </c>
      <c r="AG801" s="2" t="s">
        <v>74</v>
      </c>
      <c r="AH801" s="2" t="s">
        <v>74</v>
      </c>
      <c r="AI801" s="2" t="s">
        <v>74</v>
      </c>
      <c r="AJ801" s="2" t="s">
        <v>74</v>
      </c>
      <c r="AK801" s="2" t="s">
        <v>74</v>
      </c>
      <c r="AL801" s="2" t="s">
        <v>74</v>
      </c>
      <c r="AM801" s="2" t="s">
        <v>74</v>
      </c>
      <c r="AN801" s="2" t="s">
        <v>74</v>
      </c>
      <c r="AO801" s="2" t="s">
        <v>4354</v>
      </c>
      <c r="AP801" s="2" t="s">
        <v>74</v>
      </c>
      <c r="AQ801" s="2" t="s">
        <v>74</v>
      </c>
      <c r="AR801" s="2" t="s">
        <v>74</v>
      </c>
      <c r="AS801" s="2" t="s">
        <v>74</v>
      </c>
      <c r="AT801" s="2" t="s">
        <v>255</v>
      </c>
      <c r="AU801" s="2">
        <v>1992</v>
      </c>
      <c r="AV801" s="2">
        <v>100</v>
      </c>
      <c r="AW801" s="2">
        <v>1</v>
      </c>
      <c r="AX801" s="2" t="s">
        <v>74</v>
      </c>
      <c r="AY801" s="2" t="s">
        <v>74</v>
      </c>
      <c r="AZ801" s="2" t="s">
        <v>74</v>
      </c>
      <c r="BA801" s="2" t="s">
        <v>74</v>
      </c>
      <c r="BB801" s="2">
        <v>137</v>
      </c>
      <c r="BC801" s="2">
        <v>141</v>
      </c>
      <c r="BD801" s="2" t="s">
        <v>74</v>
      </c>
      <c r="BE801" s="2" t="s">
        <v>74</v>
      </c>
      <c r="BF801" s="2" t="s">
        <v>74</v>
      </c>
      <c r="BG801" s="2" t="s">
        <v>74</v>
      </c>
      <c r="BH801" s="2" t="s">
        <v>74</v>
      </c>
      <c r="BI801" s="2" t="s">
        <v>74</v>
      </c>
      <c r="BJ801" s="2" t="s">
        <v>74</v>
      </c>
      <c r="BK801" s="2" t="s">
        <v>74</v>
      </c>
      <c r="BL801" s="2" t="s">
        <v>74</v>
      </c>
      <c r="BM801" s="2" t="s">
        <v>74</v>
      </c>
      <c r="BN801" s="2" t="s">
        <v>74</v>
      </c>
      <c r="BO801" s="2" t="s">
        <v>74</v>
      </c>
      <c r="BP801" s="2" t="s">
        <v>74</v>
      </c>
      <c r="BQ801" s="2" t="s">
        <v>74</v>
      </c>
      <c r="BR801" s="2" t="s">
        <v>74</v>
      </c>
      <c r="BS801" s="2" t="s">
        <v>4355</v>
      </c>
      <c r="BT801" s="2" t="str">
        <f>HYPERLINK("https%3A%2F%2Fwww.webofscience.com%2Fwos%2Fwoscc%2Ffull-record%2FWOS:A1992HD98800004","View Full Record in Web of Science")</f>
        <v>View Full Record in Web of Science</v>
      </c>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row>
    <row r="802" spans="1:314" s="2" customFormat="1" x14ac:dyDescent="0.4">
      <c r="A802" s="2" t="s">
        <v>72</v>
      </c>
      <c r="B802" s="2" t="s">
        <v>3000</v>
      </c>
      <c r="C802" s="2" t="s">
        <v>74</v>
      </c>
      <c r="D802" s="2" t="s">
        <v>74</v>
      </c>
      <c r="E802" s="2" t="s">
        <v>74</v>
      </c>
      <c r="F802" s="2" t="s">
        <v>3001</v>
      </c>
      <c r="G802" s="2" t="s">
        <v>74</v>
      </c>
      <c r="H802" s="2" t="s">
        <v>74</v>
      </c>
      <c r="I802" s="2" t="s">
        <v>3002</v>
      </c>
      <c r="J802" s="2" t="s">
        <v>3003</v>
      </c>
      <c r="K802" s="2" t="s">
        <v>74</v>
      </c>
      <c r="L802" s="2" t="s">
        <v>74</v>
      </c>
      <c r="M802" s="2" t="s">
        <v>74</v>
      </c>
      <c r="N802" s="2" t="s">
        <v>74</v>
      </c>
      <c r="O802" s="2" t="s">
        <v>74</v>
      </c>
      <c r="P802" s="2" t="s">
        <v>74</v>
      </c>
      <c r="Q802" s="2" t="s">
        <v>74</v>
      </c>
      <c r="R802" s="2" t="s">
        <v>74</v>
      </c>
      <c r="S802" s="2" t="s">
        <v>74</v>
      </c>
      <c r="T802" s="2" t="s">
        <v>74</v>
      </c>
      <c r="U802" s="2" t="s">
        <v>74</v>
      </c>
      <c r="V802" s="5" t="s">
        <v>3004</v>
      </c>
      <c r="W802" s="2" t="s">
        <v>74</v>
      </c>
      <c r="X802" s="2" t="s">
        <v>74</v>
      </c>
      <c r="Y802" s="2" t="s">
        <v>74</v>
      </c>
      <c r="Z802" s="2" t="s">
        <v>74</v>
      </c>
      <c r="AA802" s="2" t="s">
        <v>74</v>
      </c>
      <c r="AB802" s="2" t="s">
        <v>74</v>
      </c>
      <c r="AC802" s="2" t="s">
        <v>74</v>
      </c>
      <c r="AD802" s="2" t="s">
        <v>74</v>
      </c>
      <c r="AE802" s="2" t="s">
        <v>74</v>
      </c>
      <c r="AF802" s="2" t="s">
        <v>74</v>
      </c>
      <c r="AG802" s="2" t="s">
        <v>74</v>
      </c>
      <c r="AH802" s="2" t="s">
        <v>74</v>
      </c>
      <c r="AI802" s="2" t="s">
        <v>74</v>
      </c>
      <c r="AJ802" s="2" t="s">
        <v>74</v>
      </c>
      <c r="AK802" s="2" t="s">
        <v>74</v>
      </c>
      <c r="AL802" s="2" t="s">
        <v>74</v>
      </c>
      <c r="AM802" s="2" t="s">
        <v>74</v>
      </c>
      <c r="AN802" s="2" t="s">
        <v>74</v>
      </c>
      <c r="AO802" s="2" t="s">
        <v>3005</v>
      </c>
      <c r="AP802" s="2" t="s">
        <v>74</v>
      </c>
      <c r="AQ802" s="2" t="s">
        <v>74</v>
      </c>
      <c r="AR802" s="2" t="s">
        <v>74</v>
      </c>
      <c r="AS802" s="2" t="s">
        <v>74</v>
      </c>
      <c r="AT802" s="2" t="s">
        <v>3006</v>
      </c>
      <c r="AU802" s="2">
        <v>2010</v>
      </c>
      <c r="AV802" s="2">
        <v>64</v>
      </c>
      <c r="AW802" s="2">
        <v>2</v>
      </c>
      <c r="AX802" s="2" t="s">
        <v>74</v>
      </c>
      <c r="AY802" s="2" t="s">
        <v>74</v>
      </c>
      <c r="AZ802" s="2" t="s">
        <v>74</v>
      </c>
      <c r="BA802" s="2" t="s">
        <v>74</v>
      </c>
      <c r="BB802" s="2">
        <v>57</v>
      </c>
      <c r="BC802" s="2">
        <v>68</v>
      </c>
      <c r="BD802" s="2" t="s">
        <v>74</v>
      </c>
      <c r="BE802" s="2" t="s">
        <v>74</v>
      </c>
      <c r="BF802" s="2" t="s">
        <v>74</v>
      </c>
      <c r="BG802" s="2" t="s">
        <v>74</v>
      </c>
      <c r="BH802" s="2" t="s">
        <v>74</v>
      </c>
      <c r="BI802" s="2" t="s">
        <v>74</v>
      </c>
      <c r="BJ802" s="2" t="s">
        <v>74</v>
      </c>
      <c r="BK802" s="2" t="s">
        <v>74</v>
      </c>
      <c r="BL802" s="2" t="s">
        <v>74</v>
      </c>
      <c r="BM802" s="2" t="s">
        <v>74</v>
      </c>
      <c r="BN802" s="2" t="s">
        <v>74</v>
      </c>
      <c r="BO802" s="2" t="s">
        <v>74</v>
      </c>
      <c r="BP802" s="2" t="s">
        <v>74</v>
      </c>
      <c r="BQ802" s="2" t="s">
        <v>74</v>
      </c>
      <c r="BR802" s="2" t="s">
        <v>74</v>
      </c>
      <c r="BS802" s="2" t="s">
        <v>3007</v>
      </c>
      <c r="BT802" s="2" t="str">
        <f>HYPERLINK("https%3A%2F%2Fwww.webofscience.com%2Fwos%2Fwoscc%2Ffull-record%2FWOS:000280497600001","View Full Record in Web of Science")</f>
        <v>View Full Record in Web of Science</v>
      </c>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row>
    <row r="803" spans="1:314" s="2" customFormat="1" x14ac:dyDescent="0.4">
      <c r="A803" s="2" t="s">
        <v>72</v>
      </c>
      <c r="B803" s="2" t="s">
        <v>8088</v>
      </c>
      <c r="C803" s="2" t="s">
        <v>74</v>
      </c>
      <c r="D803" s="2" t="s">
        <v>74</v>
      </c>
      <c r="E803" s="2" t="s">
        <v>74</v>
      </c>
      <c r="F803" s="2" t="s">
        <v>8088</v>
      </c>
      <c r="G803" s="2" t="s">
        <v>74</v>
      </c>
      <c r="H803" s="2" t="s">
        <v>74</v>
      </c>
      <c r="I803" s="2" t="s">
        <v>8089</v>
      </c>
      <c r="J803" s="2" t="s">
        <v>344</v>
      </c>
      <c r="K803" s="2" t="s">
        <v>74</v>
      </c>
      <c r="L803" s="2" t="s">
        <v>74</v>
      </c>
      <c r="M803" s="2" t="s">
        <v>74</v>
      </c>
      <c r="N803" s="2" t="s">
        <v>74</v>
      </c>
      <c r="O803" s="2" t="s">
        <v>74</v>
      </c>
      <c r="P803" s="2" t="s">
        <v>74</v>
      </c>
      <c r="Q803" s="2" t="s">
        <v>74</v>
      </c>
      <c r="R803" s="2" t="s">
        <v>74</v>
      </c>
      <c r="S803" s="2" t="s">
        <v>74</v>
      </c>
      <c r="T803" s="2" t="s">
        <v>74</v>
      </c>
      <c r="U803" s="2" t="s">
        <v>74</v>
      </c>
      <c r="V803" s="5" t="s">
        <v>8090</v>
      </c>
      <c r="W803" s="2" t="s">
        <v>74</v>
      </c>
      <c r="X803" s="2" t="s">
        <v>74</v>
      </c>
      <c r="Y803" s="2" t="s">
        <v>74</v>
      </c>
      <c r="Z803" s="2" t="s">
        <v>74</v>
      </c>
      <c r="AA803" s="2" t="s">
        <v>74</v>
      </c>
      <c r="AB803" s="2" t="s">
        <v>74</v>
      </c>
      <c r="AC803" s="2" t="s">
        <v>74</v>
      </c>
      <c r="AD803" s="2" t="s">
        <v>74</v>
      </c>
      <c r="AE803" s="2" t="s">
        <v>74</v>
      </c>
      <c r="AF803" s="2" t="s">
        <v>74</v>
      </c>
      <c r="AG803" s="2" t="s">
        <v>74</v>
      </c>
      <c r="AH803" s="2" t="s">
        <v>74</v>
      </c>
      <c r="AI803" s="2" t="s">
        <v>74</v>
      </c>
      <c r="AJ803" s="2" t="s">
        <v>74</v>
      </c>
      <c r="AK803" s="2" t="s">
        <v>74</v>
      </c>
      <c r="AL803" s="2" t="s">
        <v>74</v>
      </c>
      <c r="AM803" s="2" t="s">
        <v>74</v>
      </c>
      <c r="AN803" s="2" t="s">
        <v>74</v>
      </c>
      <c r="AO803" s="2" t="s">
        <v>346</v>
      </c>
      <c r="AP803" s="2" t="s">
        <v>74</v>
      </c>
      <c r="AQ803" s="2" t="s">
        <v>74</v>
      </c>
      <c r="AR803" s="2" t="s">
        <v>74</v>
      </c>
      <c r="AS803" s="2" t="s">
        <v>74</v>
      </c>
      <c r="AT803" s="2" t="s">
        <v>213</v>
      </c>
      <c r="AU803" s="2">
        <v>1994</v>
      </c>
      <c r="AV803" s="2">
        <v>41</v>
      </c>
      <c r="AW803" s="2" t="s">
        <v>3743</v>
      </c>
      <c r="AX803" s="2" t="s">
        <v>74</v>
      </c>
      <c r="AY803" s="2" t="s">
        <v>74</v>
      </c>
      <c r="AZ803" s="2" t="s">
        <v>74</v>
      </c>
      <c r="BA803" s="2" t="s">
        <v>74</v>
      </c>
      <c r="BB803" s="2">
        <v>403</v>
      </c>
      <c r="BC803" s="2">
        <v>414</v>
      </c>
      <c r="BD803" s="2" t="s">
        <v>74</v>
      </c>
      <c r="BE803" s="2" t="s">
        <v>74</v>
      </c>
      <c r="BF803" s="2" t="s">
        <v>74</v>
      </c>
      <c r="BG803" s="2" t="s">
        <v>74</v>
      </c>
      <c r="BH803" s="2" t="s">
        <v>74</v>
      </c>
      <c r="BI803" s="2" t="s">
        <v>74</v>
      </c>
      <c r="BJ803" s="2" t="s">
        <v>74</v>
      </c>
      <c r="BK803" s="2" t="s">
        <v>74</v>
      </c>
      <c r="BL803" s="2" t="s">
        <v>74</v>
      </c>
      <c r="BM803" s="2" t="s">
        <v>74</v>
      </c>
      <c r="BN803" s="2" t="s">
        <v>74</v>
      </c>
      <c r="BO803" s="2" t="s">
        <v>74</v>
      </c>
      <c r="BP803" s="2" t="s">
        <v>74</v>
      </c>
      <c r="BQ803" s="2" t="s">
        <v>74</v>
      </c>
      <c r="BR803" s="2" t="s">
        <v>74</v>
      </c>
      <c r="BS803" s="2" t="s">
        <v>8091</v>
      </c>
      <c r="BT803" s="2" t="str">
        <f>HYPERLINK("https%3A%2F%2Fwww.webofscience.com%2Fwos%2Fwoscc%2Ffull-record%2FWOS:A1994QE85200028","View Full Record in Web of Science")</f>
        <v>View Full Record in Web of Science</v>
      </c>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row>
    <row r="804" spans="1:314" s="2" customFormat="1" x14ac:dyDescent="0.4">
      <c r="A804" s="2" t="s">
        <v>72</v>
      </c>
      <c r="B804" s="2" t="s">
        <v>8518</v>
      </c>
      <c r="C804" s="2" t="s">
        <v>74</v>
      </c>
      <c r="D804" s="2" t="s">
        <v>74</v>
      </c>
      <c r="E804" s="2" t="s">
        <v>74</v>
      </c>
      <c r="F804" s="2" t="s">
        <v>8519</v>
      </c>
      <c r="G804" s="2" t="s">
        <v>74</v>
      </c>
      <c r="H804" s="2" t="s">
        <v>74</v>
      </c>
      <c r="I804" s="2" t="s">
        <v>8520</v>
      </c>
      <c r="J804" s="2" t="s">
        <v>281</v>
      </c>
      <c r="K804" s="2" t="s">
        <v>74</v>
      </c>
      <c r="L804" s="2" t="s">
        <v>74</v>
      </c>
      <c r="M804" s="2" t="s">
        <v>74</v>
      </c>
      <c r="N804" s="2" t="s">
        <v>74</v>
      </c>
      <c r="O804" s="2" t="s">
        <v>74</v>
      </c>
      <c r="P804" s="2" t="s">
        <v>74</v>
      </c>
      <c r="Q804" s="2" t="s">
        <v>74</v>
      </c>
      <c r="R804" s="2" t="s">
        <v>74</v>
      </c>
      <c r="S804" s="2" t="s">
        <v>74</v>
      </c>
      <c r="T804" s="2" t="s">
        <v>74</v>
      </c>
      <c r="U804" s="2" t="s">
        <v>74</v>
      </c>
      <c r="V804" s="5" t="s">
        <v>8521</v>
      </c>
      <c r="W804" s="2" t="s">
        <v>74</v>
      </c>
      <c r="X804" s="2" t="s">
        <v>74</v>
      </c>
      <c r="Y804" s="2" t="s">
        <v>74</v>
      </c>
      <c r="Z804" s="2" t="s">
        <v>74</v>
      </c>
      <c r="AA804" s="2" t="s">
        <v>8522</v>
      </c>
      <c r="AB804" s="2" t="s">
        <v>8523</v>
      </c>
      <c r="AC804" s="2" t="s">
        <v>74</v>
      </c>
      <c r="AD804" s="2" t="s">
        <v>74</v>
      </c>
      <c r="AE804" s="2" t="s">
        <v>74</v>
      </c>
      <c r="AF804" s="2" t="s">
        <v>74</v>
      </c>
      <c r="AG804" s="2" t="s">
        <v>74</v>
      </c>
      <c r="AH804" s="2" t="s">
        <v>74</v>
      </c>
      <c r="AI804" s="2" t="s">
        <v>74</v>
      </c>
      <c r="AJ804" s="2" t="s">
        <v>74</v>
      </c>
      <c r="AK804" s="2" t="s">
        <v>74</v>
      </c>
      <c r="AL804" s="2" t="s">
        <v>74</v>
      </c>
      <c r="AM804" s="2" t="s">
        <v>74</v>
      </c>
      <c r="AN804" s="2" t="s">
        <v>74</v>
      </c>
      <c r="AO804" s="2" t="s">
        <v>285</v>
      </c>
      <c r="AP804" s="2" t="s">
        <v>286</v>
      </c>
      <c r="AQ804" s="2" t="s">
        <v>74</v>
      </c>
      <c r="AR804" s="2" t="s">
        <v>74</v>
      </c>
      <c r="AS804" s="2" t="s">
        <v>74</v>
      </c>
      <c r="AT804" s="2" t="s">
        <v>255</v>
      </c>
      <c r="AU804" s="2">
        <v>2020</v>
      </c>
      <c r="AV804" s="2">
        <v>23</v>
      </c>
      <c r="AW804" s="2">
        <v>1</v>
      </c>
      <c r="AX804" s="2" t="s">
        <v>74</v>
      </c>
      <c r="AY804" s="2" t="s">
        <v>74</v>
      </c>
      <c r="AZ804" s="2" t="s">
        <v>74</v>
      </c>
      <c r="BA804" s="2" t="s">
        <v>74</v>
      </c>
      <c r="BB804" s="2">
        <v>41</v>
      </c>
      <c r="BC804" s="2">
        <v>53</v>
      </c>
      <c r="BD804" s="2" t="s">
        <v>74</v>
      </c>
      <c r="BE804" s="2" t="s">
        <v>8524</v>
      </c>
      <c r="BF804" s="2" t="str">
        <f>HYPERLINK("http://dx.doi.org/10.1007/s10071-019-01313-x","http://dx.doi.org/10.1007/s10071-019-01313-x")</f>
        <v>http://dx.doi.org/10.1007/s10071-019-01313-x</v>
      </c>
      <c r="BG804" s="2" t="s">
        <v>74</v>
      </c>
      <c r="BH804" s="2" t="s">
        <v>6757</v>
      </c>
      <c r="BI804" s="2" t="s">
        <v>74</v>
      </c>
      <c r="BJ804" s="2" t="s">
        <v>74</v>
      </c>
      <c r="BK804" s="2" t="s">
        <v>74</v>
      </c>
      <c r="BL804" s="2" t="s">
        <v>74</v>
      </c>
      <c r="BM804" s="2" t="s">
        <v>74</v>
      </c>
      <c r="BN804" s="2">
        <v>31586279</v>
      </c>
      <c r="BO804" s="2" t="s">
        <v>74</v>
      </c>
      <c r="BP804" s="2" t="s">
        <v>74</v>
      </c>
      <c r="BQ804" s="2" t="s">
        <v>74</v>
      </c>
      <c r="BR804" s="2" t="s">
        <v>74</v>
      </c>
      <c r="BS804" s="2" t="s">
        <v>8525</v>
      </c>
      <c r="BT804" s="2" t="str">
        <f>HYPERLINK("https%3A%2F%2Fwww.webofscience.com%2Fwos%2Fwoscc%2Ffull-record%2FWOS:000488937600001","View Full Record in Web of Science")</f>
        <v>View Full Record in Web of Science</v>
      </c>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row>
    <row r="805" spans="1:314" s="2" customFormat="1" x14ac:dyDescent="0.4">
      <c r="A805" s="2" t="s">
        <v>72</v>
      </c>
      <c r="B805" s="2" t="s">
        <v>752</v>
      </c>
      <c r="C805" s="2" t="s">
        <v>74</v>
      </c>
      <c r="D805" s="2" t="s">
        <v>74</v>
      </c>
      <c r="E805" s="2" t="s">
        <v>74</v>
      </c>
      <c r="F805" s="2" t="s">
        <v>753</v>
      </c>
      <c r="G805" s="2" t="s">
        <v>74</v>
      </c>
      <c r="H805" s="2" t="s">
        <v>74</v>
      </c>
      <c r="I805" s="2" t="s">
        <v>754</v>
      </c>
      <c r="J805" s="2" t="s">
        <v>140</v>
      </c>
      <c r="K805" s="2" t="s">
        <v>74</v>
      </c>
      <c r="L805" s="2" t="s">
        <v>74</v>
      </c>
      <c r="M805" s="2" t="s">
        <v>74</v>
      </c>
      <c r="N805" s="2" t="s">
        <v>74</v>
      </c>
      <c r="O805" s="2" t="s">
        <v>74</v>
      </c>
      <c r="P805" s="2" t="s">
        <v>74</v>
      </c>
      <c r="Q805" s="2" t="s">
        <v>74</v>
      </c>
      <c r="R805" s="2" t="s">
        <v>74</v>
      </c>
      <c r="S805" s="2" t="s">
        <v>74</v>
      </c>
      <c r="T805" s="2" t="s">
        <v>74</v>
      </c>
      <c r="U805" s="2" t="s">
        <v>74</v>
      </c>
      <c r="V805" s="5" t="s">
        <v>755</v>
      </c>
      <c r="W805" s="2" t="s">
        <v>74</v>
      </c>
      <c r="X805" s="2" t="s">
        <v>74</v>
      </c>
      <c r="Y805" s="2" t="s">
        <v>74</v>
      </c>
      <c r="Z805" s="2" t="s">
        <v>74</v>
      </c>
      <c r="AA805" s="2" t="s">
        <v>756</v>
      </c>
      <c r="AB805" s="2" t="s">
        <v>757</v>
      </c>
      <c r="AC805" s="2" t="s">
        <v>74</v>
      </c>
      <c r="AD805" s="2" t="s">
        <v>74</v>
      </c>
      <c r="AE805" s="2" t="s">
        <v>74</v>
      </c>
      <c r="AF805" s="2" t="s">
        <v>74</v>
      </c>
      <c r="AG805" s="2" t="s">
        <v>74</v>
      </c>
      <c r="AH805" s="2" t="s">
        <v>74</v>
      </c>
      <c r="AI805" s="2" t="s">
        <v>74</v>
      </c>
      <c r="AJ805" s="2" t="s">
        <v>74</v>
      </c>
      <c r="AK805" s="2" t="s">
        <v>74</v>
      </c>
      <c r="AL805" s="2" t="s">
        <v>74</v>
      </c>
      <c r="AM805" s="2" t="s">
        <v>74</v>
      </c>
      <c r="AN805" s="2" t="s">
        <v>74</v>
      </c>
      <c r="AO805" s="2" t="s">
        <v>143</v>
      </c>
      <c r="AP805" s="2" t="s">
        <v>144</v>
      </c>
      <c r="AQ805" s="2" t="s">
        <v>74</v>
      </c>
      <c r="AR805" s="2" t="s">
        <v>74</v>
      </c>
      <c r="AS805" s="2" t="s">
        <v>74</v>
      </c>
      <c r="AT805" s="2" t="s">
        <v>352</v>
      </c>
      <c r="AU805" s="2">
        <v>2013</v>
      </c>
      <c r="AV805" s="2">
        <v>86</v>
      </c>
      <c r="AW805" s="2">
        <v>3</v>
      </c>
      <c r="AX805" s="2" t="s">
        <v>74</v>
      </c>
      <c r="AY805" s="2" t="s">
        <v>74</v>
      </c>
      <c r="AZ805" s="2" t="s">
        <v>74</v>
      </c>
      <c r="BA805" s="2" t="s">
        <v>74</v>
      </c>
      <c r="BB805" s="2">
        <v>595</v>
      </c>
      <c r="BC805" s="2">
        <v>602</v>
      </c>
      <c r="BD805" s="2" t="s">
        <v>74</v>
      </c>
      <c r="BE805" s="2" t="s">
        <v>758</v>
      </c>
      <c r="BF805" s="2" t="str">
        <f>HYPERLINK("http://dx.doi.org/10.1016/j.anbehav.2013.06.015","http://dx.doi.org/10.1016/j.anbehav.2013.06.015")</f>
        <v>http://dx.doi.org/10.1016/j.anbehav.2013.06.015</v>
      </c>
      <c r="BG805" s="2" t="s">
        <v>74</v>
      </c>
      <c r="BH805" s="2" t="s">
        <v>74</v>
      </c>
      <c r="BI805" s="2" t="s">
        <v>74</v>
      </c>
      <c r="BJ805" s="2" t="s">
        <v>74</v>
      </c>
      <c r="BK805" s="2" t="s">
        <v>74</v>
      </c>
      <c r="BL805" s="2" t="s">
        <v>74</v>
      </c>
      <c r="BM805" s="2" t="s">
        <v>74</v>
      </c>
      <c r="BN805" s="2">
        <v>24027343</v>
      </c>
      <c r="BO805" s="2" t="s">
        <v>74</v>
      </c>
      <c r="BP805" s="2" t="s">
        <v>74</v>
      </c>
      <c r="BQ805" s="2" t="s">
        <v>74</v>
      </c>
      <c r="BR805" s="2" t="s">
        <v>74</v>
      </c>
      <c r="BS805" s="2" t="s">
        <v>759</v>
      </c>
      <c r="BT805" s="2" t="str">
        <f>HYPERLINK("https%3A%2F%2Fwww.webofscience.com%2Fwos%2Fwoscc%2Ffull-record%2FWOS:000323944200016","View Full Record in Web of Science")</f>
        <v>View Full Record in Web of Science</v>
      </c>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row>
    <row r="806" spans="1:314" s="2" customFormat="1" x14ac:dyDescent="0.4">
      <c r="A806" s="2" t="s">
        <v>72</v>
      </c>
      <c r="B806" s="2" t="s">
        <v>4761</v>
      </c>
      <c r="C806" s="2" t="s">
        <v>74</v>
      </c>
      <c r="D806" s="2" t="s">
        <v>74</v>
      </c>
      <c r="E806" s="2" t="s">
        <v>74</v>
      </c>
      <c r="F806" s="2" t="s">
        <v>4762</v>
      </c>
      <c r="G806" s="2" t="s">
        <v>74</v>
      </c>
      <c r="H806" s="2" t="s">
        <v>74</v>
      </c>
      <c r="I806" s="2" t="s">
        <v>4763</v>
      </c>
      <c r="J806" s="2" t="s">
        <v>1656</v>
      </c>
      <c r="K806" s="2" t="s">
        <v>74</v>
      </c>
      <c r="L806" s="2" t="s">
        <v>74</v>
      </c>
      <c r="M806" s="2" t="s">
        <v>74</v>
      </c>
      <c r="N806" s="2" t="s">
        <v>74</v>
      </c>
      <c r="O806" s="2" t="s">
        <v>74</v>
      </c>
      <c r="P806" s="2" t="s">
        <v>74</v>
      </c>
      <c r="Q806" s="2" t="s">
        <v>74</v>
      </c>
      <c r="R806" s="2" t="s">
        <v>74</v>
      </c>
      <c r="S806" s="2" t="s">
        <v>74</v>
      </c>
      <c r="T806" s="2" t="s">
        <v>74</v>
      </c>
      <c r="U806" s="2" t="s">
        <v>74</v>
      </c>
      <c r="V806" s="5" t="s">
        <v>4764</v>
      </c>
      <c r="W806" s="2" t="s">
        <v>74</v>
      </c>
      <c r="X806" s="2" t="s">
        <v>74</v>
      </c>
      <c r="Y806" s="2" t="s">
        <v>74</v>
      </c>
      <c r="Z806" s="2" t="s">
        <v>74</v>
      </c>
      <c r="AA806" s="2" t="s">
        <v>4765</v>
      </c>
      <c r="AB806" s="2" t="s">
        <v>4766</v>
      </c>
      <c r="AC806" s="2" t="s">
        <v>74</v>
      </c>
      <c r="AD806" s="2" t="s">
        <v>74</v>
      </c>
      <c r="AE806" s="2" t="s">
        <v>74</v>
      </c>
      <c r="AF806" s="2" t="s">
        <v>74</v>
      </c>
      <c r="AG806" s="2" t="s">
        <v>74</v>
      </c>
      <c r="AH806" s="2" t="s">
        <v>74</v>
      </c>
      <c r="AI806" s="2" t="s">
        <v>74</v>
      </c>
      <c r="AJ806" s="2" t="s">
        <v>74</v>
      </c>
      <c r="AK806" s="2" t="s">
        <v>74</v>
      </c>
      <c r="AL806" s="2" t="s">
        <v>74</v>
      </c>
      <c r="AM806" s="2" t="s">
        <v>74</v>
      </c>
      <c r="AN806" s="2" t="s">
        <v>74</v>
      </c>
      <c r="AO806" s="2" t="s">
        <v>1658</v>
      </c>
      <c r="AP806" s="2" t="s">
        <v>1659</v>
      </c>
      <c r="AQ806" s="2" t="s">
        <v>74</v>
      </c>
      <c r="AR806" s="2" t="s">
        <v>74</v>
      </c>
      <c r="AS806" s="2" t="s">
        <v>74</v>
      </c>
      <c r="AT806" s="2" t="s">
        <v>3105</v>
      </c>
      <c r="AU806" s="2">
        <v>2009</v>
      </c>
      <c r="AV806" s="2" t="s">
        <v>74</v>
      </c>
      <c r="AW806" s="2">
        <v>2283</v>
      </c>
      <c r="AX806" s="2" t="s">
        <v>74</v>
      </c>
      <c r="AY806" s="2" t="s">
        <v>74</v>
      </c>
      <c r="AZ806" s="2" t="s">
        <v>74</v>
      </c>
      <c r="BA806" s="2" t="s">
        <v>74</v>
      </c>
      <c r="BB806" s="2">
        <v>16</v>
      </c>
      <c r="BC806" s="2">
        <v>28</v>
      </c>
      <c r="BD806" s="2" t="s">
        <v>74</v>
      </c>
      <c r="BE806" s="2" t="s">
        <v>4767</v>
      </c>
      <c r="BF806" s="2" t="str">
        <f>HYPERLINK("http://dx.doi.org/10.11646/zootaxa.2283.1.2","http://dx.doi.org/10.11646/zootaxa.2283.1.2")</f>
        <v>http://dx.doi.org/10.11646/zootaxa.2283.1.2</v>
      </c>
      <c r="BG806" s="2" t="s">
        <v>74</v>
      </c>
      <c r="BH806" s="2" t="s">
        <v>74</v>
      </c>
      <c r="BI806" s="2" t="s">
        <v>74</v>
      </c>
      <c r="BJ806" s="2" t="s">
        <v>74</v>
      </c>
      <c r="BK806" s="2" t="s">
        <v>74</v>
      </c>
      <c r="BL806" s="2" t="s">
        <v>74</v>
      </c>
      <c r="BM806" s="2" t="s">
        <v>74</v>
      </c>
      <c r="BN806" s="2" t="s">
        <v>74</v>
      </c>
      <c r="BO806" s="2" t="s">
        <v>74</v>
      </c>
      <c r="BP806" s="2" t="s">
        <v>74</v>
      </c>
      <c r="BQ806" s="2" t="s">
        <v>74</v>
      </c>
      <c r="BR806" s="2" t="s">
        <v>74</v>
      </c>
      <c r="BS806" s="2" t="s">
        <v>4768</v>
      </c>
      <c r="BT806" s="2" t="str">
        <f>HYPERLINK("https%3A%2F%2Fwww.webofscience.com%2Fwos%2Fwoscc%2Ffull-record%2FWOS:000271469200002","View Full Record in Web of Science")</f>
        <v>View Full Record in Web of Science</v>
      </c>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row>
    <row r="807" spans="1:314" s="2" customFormat="1" x14ac:dyDescent="0.4">
      <c r="A807" s="2" t="s">
        <v>72</v>
      </c>
      <c r="B807" s="2" t="s">
        <v>5246</v>
      </c>
      <c r="C807" s="2" t="s">
        <v>74</v>
      </c>
      <c r="D807" s="2" t="s">
        <v>74</v>
      </c>
      <c r="E807" s="2" t="s">
        <v>74</v>
      </c>
      <c r="F807" s="2" t="s">
        <v>5246</v>
      </c>
      <c r="G807" s="2" t="s">
        <v>74</v>
      </c>
      <c r="H807" s="2" t="s">
        <v>74</v>
      </c>
      <c r="I807" s="2" t="s">
        <v>5247</v>
      </c>
      <c r="J807" s="2" t="s">
        <v>218</v>
      </c>
      <c r="K807" s="2" t="s">
        <v>74</v>
      </c>
      <c r="L807" s="2" t="s">
        <v>74</v>
      </c>
      <c r="M807" s="2" t="s">
        <v>74</v>
      </c>
      <c r="N807" s="2" t="s">
        <v>74</v>
      </c>
      <c r="O807" s="2" t="s">
        <v>74</v>
      </c>
      <c r="P807" s="2" t="s">
        <v>74</v>
      </c>
      <c r="Q807" s="2" t="s">
        <v>74</v>
      </c>
      <c r="R807" s="2" t="s">
        <v>74</v>
      </c>
      <c r="S807" s="2" t="s">
        <v>74</v>
      </c>
      <c r="T807" s="2" t="s">
        <v>74</v>
      </c>
      <c r="U807" s="2" t="s">
        <v>74</v>
      </c>
      <c r="V807" s="5" t="s">
        <v>5248</v>
      </c>
      <c r="W807" s="2" t="s">
        <v>74</v>
      </c>
      <c r="X807" s="2" t="s">
        <v>74</v>
      </c>
      <c r="Y807" s="2" t="s">
        <v>74</v>
      </c>
      <c r="Z807" s="2" t="s">
        <v>74</v>
      </c>
      <c r="AA807" s="2" t="s">
        <v>74</v>
      </c>
      <c r="AB807" s="2" t="s">
        <v>74</v>
      </c>
      <c r="AC807" s="2" t="s">
        <v>74</v>
      </c>
      <c r="AD807" s="2" t="s">
        <v>74</v>
      </c>
      <c r="AE807" s="2" t="s">
        <v>74</v>
      </c>
      <c r="AF807" s="2" t="s">
        <v>74</v>
      </c>
      <c r="AG807" s="2" t="s">
        <v>74</v>
      </c>
      <c r="AH807" s="2" t="s">
        <v>74</v>
      </c>
      <c r="AI807" s="2" t="s">
        <v>74</v>
      </c>
      <c r="AJ807" s="2" t="s">
        <v>74</v>
      </c>
      <c r="AK807" s="2" t="s">
        <v>74</v>
      </c>
      <c r="AL807" s="2" t="s">
        <v>74</v>
      </c>
      <c r="AM807" s="2" t="s">
        <v>74</v>
      </c>
      <c r="AN807" s="2" t="s">
        <v>74</v>
      </c>
      <c r="AO807" s="2" t="s">
        <v>221</v>
      </c>
      <c r="AP807" s="2" t="s">
        <v>74</v>
      </c>
      <c r="AQ807" s="2" t="s">
        <v>74</v>
      </c>
      <c r="AR807" s="2" t="s">
        <v>74</v>
      </c>
      <c r="AS807" s="2" t="s">
        <v>74</v>
      </c>
      <c r="AT807" s="2" t="s">
        <v>352</v>
      </c>
      <c r="AU807" s="2">
        <v>1999</v>
      </c>
      <c r="AV807" s="2">
        <v>12</v>
      </c>
      <c r="AW807" s="2">
        <v>5</v>
      </c>
      <c r="AX807" s="2" t="s">
        <v>74</v>
      </c>
      <c r="AY807" s="2" t="s">
        <v>74</v>
      </c>
      <c r="AZ807" s="2" t="s">
        <v>74</v>
      </c>
      <c r="BA807" s="2" t="s">
        <v>74</v>
      </c>
      <c r="BB807" s="2">
        <v>936</v>
      </c>
      <c r="BC807" s="2">
        <v>950</v>
      </c>
      <c r="BD807" s="2" t="s">
        <v>74</v>
      </c>
      <c r="BE807" s="2" t="s">
        <v>5249</v>
      </c>
      <c r="BF807" s="2" t="str">
        <f>HYPERLINK("http://dx.doi.org/10.1046/j.1420-9101.1999.00111.x","http://dx.doi.org/10.1046/j.1420-9101.1999.00111.x")</f>
        <v>http://dx.doi.org/10.1046/j.1420-9101.1999.00111.x</v>
      </c>
      <c r="BG807" s="2" t="s">
        <v>74</v>
      </c>
      <c r="BH807" s="2" t="s">
        <v>74</v>
      </c>
      <c r="BI807" s="2" t="s">
        <v>74</v>
      </c>
      <c r="BJ807" s="2" t="s">
        <v>74</v>
      </c>
      <c r="BK807" s="2" t="s">
        <v>74</v>
      </c>
      <c r="BL807" s="2" t="s">
        <v>74</v>
      </c>
      <c r="BM807" s="2" t="s">
        <v>74</v>
      </c>
      <c r="BN807" s="2" t="s">
        <v>74</v>
      </c>
      <c r="BO807" s="2" t="s">
        <v>74</v>
      </c>
      <c r="BP807" s="2" t="s">
        <v>74</v>
      </c>
      <c r="BQ807" s="2" t="s">
        <v>74</v>
      </c>
      <c r="BR807" s="2" t="s">
        <v>74</v>
      </c>
      <c r="BS807" s="2" t="s">
        <v>5250</v>
      </c>
      <c r="BT807" s="2" t="str">
        <f>HYPERLINK("https%3A%2F%2Fwww.webofscience.com%2Fwos%2Fwoscc%2Ffull-record%2FWOS:000082609500011","View Full Record in Web of Science")</f>
        <v>View Full Record in Web of Science</v>
      </c>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row>
    <row r="808" spans="1:314" s="2" customFormat="1" x14ac:dyDescent="0.4">
      <c r="A808" s="2" t="s">
        <v>72</v>
      </c>
      <c r="B808" s="2" t="s">
        <v>1041</v>
      </c>
      <c r="C808" s="2" t="s">
        <v>74</v>
      </c>
      <c r="D808" s="2" t="s">
        <v>74</v>
      </c>
      <c r="E808" s="2" t="s">
        <v>74</v>
      </c>
      <c r="F808" s="2" t="s">
        <v>1042</v>
      </c>
      <c r="G808" s="2" t="s">
        <v>74</v>
      </c>
      <c r="H808" s="2" t="s">
        <v>74</v>
      </c>
      <c r="I808" s="2" t="s">
        <v>1043</v>
      </c>
      <c r="J808" s="2" t="s">
        <v>1044</v>
      </c>
      <c r="K808" s="2" t="s">
        <v>74</v>
      </c>
      <c r="L808" s="2" t="s">
        <v>74</v>
      </c>
      <c r="M808" s="2" t="s">
        <v>74</v>
      </c>
      <c r="N808" s="2" t="s">
        <v>74</v>
      </c>
      <c r="O808" s="2" t="s">
        <v>74</v>
      </c>
      <c r="P808" s="2" t="s">
        <v>74</v>
      </c>
      <c r="Q808" s="2" t="s">
        <v>74</v>
      </c>
      <c r="R808" s="2" t="s">
        <v>74</v>
      </c>
      <c r="S808" s="2" t="s">
        <v>74</v>
      </c>
      <c r="T808" s="2" t="s">
        <v>74</v>
      </c>
      <c r="U808" s="2" t="s">
        <v>74</v>
      </c>
      <c r="V808" s="5" t="s">
        <v>1045</v>
      </c>
      <c r="W808" s="2" t="s">
        <v>74</v>
      </c>
      <c r="X808" s="2" t="s">
        <v>74</v>
      </c>
      <c r="Y808" s="2" t="s">
        <v>74</v>
      </c>
      <c r="Z808" s="2" t="s">
        <v>74</v>
      </c>
      <c r="AA808" s="2" t="s">
        <v>1046</v>
      </c>
      <c r="AB808" s="2" t="s">
        <v>1047</v>
      </c>
      <c r="AC808" s="2" t="s">
        <v>74</v>
      </c>
      <c r="AD808" s="2" t="s">
        <v>74</v>
      </c>
      <c r="AE808" s="2" t="s">
        <v>74</v>
      </c>
      <c r="AF808" s="2" t="s">
        <v>74</v>
      </c>
      <c r="AG808" s="2" t="s">
        <v>74</v>
      </c>
      <c r="AH808" s="2" t="s">
        <v>74</v>
      </c>
      <c r="AI808" s="2" t="s">
        <v>74</v>
      </c>
      <c r="AJ808" s="2" t="s">
        <v>74</v>
      </c>
      <c r="AK808" s="2" t="s">
        <v>74</v>
      </c>
      <c r="AL808" s="2" t="s">
        <v>74</v>
      </c>
      <c r="AM808" s="2" t="s">
        <v>74</v>
      </c>
      <c r="AN808" s="2" t="s">
        <v>74</v>
      </c>
      <c r="AO808" s="2" t="s">
        <v>1048</v>
      </c>
      <c r="AP808" s="2" t="s">
        <v>1049</v>
      </c>
      <c r="AQ808" s="2" t="s">
        <v>74</v>
      </c>
      <c r="AR808" s="2" t="s">
        <v>74</v>
      </c>
      <c r="AS808" s="2" t="s">
        <v>74</v>
      </c>
      <c r="AT808" s="2" t="s">
        <v>134</v>
      </c>
      <c r="AU808" s="2">
        <v>2021</v>
      </c>
      <c r="AV808" s="2">
        <v>30</v>
      </c>
      <c r="AW808" s="2">
        <v>10</v>
      </c>
      <c r="AX808" s="2" t="s">
        <v>74</v>
      </c>
      <c r="AY808" s="2" t="s">
        <v>74</v>
      </c>
      <c r="AZ808" s="2" t="s">
        <v>74</v>
      </c>
      <c r="BA808" s="2" t="s">
        <v>74</v>
      </c>
      <c r="BB808" s="2">
        <v>2262</v>
      </c>
      <c r="BC808" s="2">
        <v>2284</v>
      </c>
      <c r="BD808" s="2" t="s">
        <v>74</v>
      </c>
      <c r="BE808" s="2" t="s">
        <v>1050</v>
      </c>
      <c r="BF808" s="2" t="str">
        <f>HYPERLINK("http://dx.doi.org/10.1111/mec.15901","http://dx.doi.org/10.1111/mec.15901")</f>
        <v>http://dx.doi.org/10.1111/mec.15901</v>
      </c>
      <c r="BG808" s="2" t="s">
        <v>74</v>
      </c>
      <c r="BH808" s="2" t="s">
        <v>1051</v>
      </c>
      <c r="BI808" s="2" t="s">
        <v>74</v>
      </c>
      <c r="BJ808" s="2" t="s">
        <v>74</v>
      </c>
      <c r="BK808" s="2" t="s">
        <v>74</v>
      </c>
      <c r="BL808" s="2" t="s">
        <v>74</v>
      </c>
      <c r="BM808" s="2" t="s">
        <v>74</v>
      </c>
      <c r="BN808" s="2">
        <v>33772941</v>
      </c>
      <c r="BO808" s="2" t="s">
        <v>74</v>
      </c>
      <c r="BP808" s="2" t="s">
        <v>74</v>
      </c>
      <c r="BQ808" s="2" t="s">
        <v>74</v>
      </c>
      <c r="BR808" s="2" t="s">
        <v>74</v>
      </c>
      <c r="BS808" s="2" t="s">
        <v>1052</v>
      </c>
      <c r="BT808" s="2" t="str">
        <f>HYPERLINK("https%3A%2F%2Fwww.webofscience.com%2Fwos%2Fwoscc%2Ffull-record%2FWOS:000639399300001","View Full Record in Web of Science")</f>
        <v>View Full Record in Web of Science</v>
      </c>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row>
    <row r="809" spans="1:314" s="2" customFormat="1" x14ac:dyDescent="0.4">
      <c r="A809" s="2" t="s">
        <v>72</v>
      </c>
      <c r="B809" s="2" t="s">
        <v>3717</v>
      </c>
      <c r="C809" s="2" t="s">
        <v>74</v>
      </c>
      <c r="D809" s="2" t="s">
        <v>74</v>
      </c>
      <c r="E809" s="2" t="s">
        <v>74</v>
      </c>
      <c r="F809" s="2" t="s">
        <v>3718</v>
      </c>
      <c r="G809" s="2" t="s">
        <v>74</v>
      </c>
      <c r="H809" s="2" t="s">
        <v>74</v>
      </c>
      <c r="I809" s="2" t="s">
        <v>3719</v>
      </c>
      <c r="J809" s="2" t="s">
        <v>333</v>
      </c>
      <c r="K809" s="2" t="s">
        <v>74</v>
      </c>
      <c r="L809" s="2" t="s">
        <v>74</v>
      </c>
      <c r="M809" s="2" t="s">
        <v>74</v>
      </c>
      <c r="N809" s="2" t="s">
        <v>74</v>
      </c>
      <c r="O809" s="2" t="s">
        <v>74</v>
      </c>
      <c r="P809" s="2" t="s">
        <v>74</v>
      </c>
      <c r="Q809" s="2" t="s">
        <v>74</v>
      </c>
      <c r="R809" s="2" t="s">
        <v>74</v>
      </c>
      <c r="S809" s="2" t="s">
        <v>74</v>
      </c>
      <c r="T809" s="2" t="s">
        <v>74</v>
      </c>
      <c r="U809" s="2" t="s">
        <v>74</v>
      </c>
      <c r="V809" s="5" t="s">
        <v>3720</v>
      </c>
      <c r="W809" s="2" t="s">
        <v>74</v>
      </c>
      <c r="X809" s="2" t="s">
        <v>74</v>
      </c>
      <c r="Y809" s="2" t="s">
        <v>74</v>
      </c>
      <c r="Z809" s="2" t="s">
        <v>74</v>
      </c>
      <c r="AA809" s="2" t="s">
        <v>3721</v>
      </c>
      <c r="AB809" s="2" t="s">
        <v>3722</v>
      </c>
      <c r="AC809" s="2" t="s">
        <v>74</v>
      </c>
      <c r="AD809" s="2" t="s">
        <v>74</v>
      </c>
      <c r="AE809" s="2" t="s">
        <v>74</v>
      </c>
      <c r="AF809" s="2" t="s">
        <v>74</v>
      </c>
      <c r="AG809" s="2" t="s">
        <v>74</v>
      </c>
      <c r="AH809" s="2" t="s">
        <v>74</v>
      </c>
      <c r="AI809" s="2" t="s">
        <v>74</v>
      </c>
      <c r="AJ809" s="2" t="s">
        <v>74</v>
      </c>
      <c r="AK809" s="2" t="s">
        <v>74</v>
      </c>
      <c r="AL809" s="2" t="s">
        <v>74</v>
      </c>
      <c r="AM809" s="2" t="s">
        <v>74</v>
      </c>
      <c r="AN809" s="2" t="s">
        <v>74</v>
      </c>
      <c r="AO809" s="2" t="s">
        <v>337</v>
      </c>
      <c r="AP809" s="2" t="s">
        <v>338</v>
      </c>
      <c r="AQ809" s="2" t="s">
        <v>74</v>
      </c>
      <c r="AR809" s="2" t="s">
        <v>74</v>
      </c>
      <c r="AS809" s="2" t="s">
        <v>74</v>
      </c>
      <c r="AT809" s="2" t="s">
        <v>339</v>
      </c>
      <c r="AU809" s="2">
        <v>2015</v>
      </c>
      <c r="AV809" s="2">
        <v>26</v>
      </c>
      <c r="AW809" s="2">
        <v>4</v>
      </c>
      <c r="AX809" s="2" t="s">
        <v>74</v>
      </c>
      <c r="AY809" s="2" t="s">
        <v>74</v>
      </c>
      <c r="AZ809" s="2" t="s">
        <v>74</v>
      </c>
      <c r="BA809" s="2" t="s">
        <v>74</v>
      </c>
      <c r="BB809" s="2">
        <v>1212</v>
      </c>
      <c r="BC809" s="2">
        <v>1218</v>
      </c>
      <c r="BD809" s="2" t="s">
        <v>74</v>
      </c>
      <c r="BE809" s="2" t="s">
        <v>3723</v>
      </c>
      <c r="BF809" s="2" t="str">
        <f>HYPERLINK("http://dx.doi.org/10.1093/beheco/arv068","http://dx.doi.org/10.1093/beheco/arv068")</f>
        <v>http://dx.doi.org/10.1093/beheco/arv068</v>
      </c>
      <c r="BG809" s="2" t="s">
        <v>74</v>
      </c>
      <c r="BH809" s="2" t="s">
        <v>74</v>
      </c>
      <c r="BI809" s="2" t="s">
        <v>74</v>
      </c>
      <c r="BJ809" s="2" t="s">
        <v>74</v>
      </c>
      <c r="BK809" s="2" t="s">
        <v>74</v>
      </c>
      <c r="BL809" s="2" t="s">
        <v>74</v>
      </c>
      <c r="BM809" s="2" t="s">
        <v>74</v>
      </c>
      <c r="BN809" s="2" t="s">
        <v>74</v>
      </c>
      <c r="BO809" s="2" t="s">
        <v>74</v>
      </c>
      <c r="BP809" s="2" t="s">
        <v>74</v>
      </c>
      <c r="BQ809" s="2" t="s">
        <v>74</v>
      </c>
      <c r="BR809" s="2" t="s">
        <v>74</v>
      </c>
      <c r="BS809" s="2" t="s">
        <v>3724</v>
      </c>
      <c r="BT809" s="2" t="str">
        <f>HYPERLINK("https%3A%2F%2Fwww.webofscience.com%2Fwos%2Fwoscc%2Ffull-record%2FWOS:000358171600034","View Full Record in Web of Science")</f>
        <v>View Full Record in Web of Science</v>
      </c>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row>
    <row r="810" spans="1:314" s="2" customFormat="1" x14ac:dyDescent="0.4">
      <c r="A810" s="2" t="s">
        <v>72</v>
      </c>
      <c r="B810" s="2" t="s">
        <v>2381</v>
      </c>
      <c r="C810" s="2" t="s">
        <v>74</v>
      </c>
      <c r="D810" s="2" t="s">
        <v>74</v>
      </c>
      <c r="E810" s="2" t="s">
        <v>74</v>
      </c>
      <c r="F810" s="2" t="s">
        <v>2381</v>
      </c>
      <c r="G810" s="2" t="s">
        <v>74</v>
      </c>
      <c r="H810" s="2" t="s">
        <v>74</v>
      </c>
      <c r="I810" s="2" t="s">
        <v>2382</v>
      </c>
      <c r="J810" s="2" t="s">
        <v>77</v>
      </c>
      <c r="K810" s="2" t="s">
        <v>74</v>
      </c>
      <c r="L810" s="2" t="s">
        <v>74</v>
      </c>
      <c r="M810" s="2" t="s">
        <v>74</v>
      </c>
      <c r="N810" s="2" t="s">
        <v>74</v>
      </c>
      <c r="O810" s="2" t="s">
        <v>74</v>
      </c>
      <c r="P810" s="2" t="s">
        <v>74</v>
      </c>
      <c r="Q810" s="2" t="s">
        <v>74</v>
      </c>
      <c r="R810" s="2" t="s">
        <v>74</v>
      </c>
      <c r="S810" s="2" t="s">
        <v>74</v>
      </c>
      <c r="T810" s="2" t="s">
        <v>74</v>
      </c>
      <c r="U810" s="2" t="s">
        <v>74</v>
      </c>
      <c r="V810" s="5" t="s">
        <v>2383</v>
      </c>
      <c r="W810" s="2" t="s">
        <v>74</v>
      </c>
      <c r="X810" s="2" t="s">
        <v>74</v>
      </c>
      <c r="Y810" s="2" t="s">
        <v>74</v>
      </c>
      <c r="Z810" s="2" t="s">
        <v>74</v>
      </c>
      <c r="AA810" s="2" t="s">
        <v>74</v>
      </c>
      <c r="AB810" s="2" t="s">
        <v>74</v>
      </c>
      <c r="AC810" s="2" t="s">
        <v>74</v>
      </c>
      <c r="AD810" s="2" t="s">
        <v>74</v>
      </c>
      <c r="AE810" s="2" t="s">
        <v>74</v>
      </c>
      <c r="AF810" s="2" t="s">
        <v>74</v>
      </c>
      <c r="AG810" s="2" t="s">
        <v>74</v>
      </c>
      <c r="AH810" s="2" t="s">
        <v>74</v>
      </c>
      <c r="AI810" s="2" t="s">
        <v>74</v>
      </c>
      <c r="AJ810" s="2" t="s">
        <v>74</v>
      </c>
      <c r="AK810" s="2" t="s">
        <v>74</v>
      </c>
      <c r="AL810" s="2" t="s">
        <v>74</v>
      </c>
      <c r="AM810" s="2" t="s">
        <v>74</v>
      </c>
      <c r="AN810" s="2" t="s">
        <v>74</v>
      </c>
      <c r="AO810" s="2" t="s">
        <v>81</v>
      </c>
      <c r="AP810" s="2" t="s">
        <v>82</v>
      </c>
      <c r="AQ810" s="2" t="s">
        <v>74</v>
      </c>
      <c r="AR810" s="2" t="s">
        <v>74</v>
      </c>
      <c r="AS810" s="2" t="s">
        <v>74</v>
      </c>
      <c r="AT810" s="2" t="s">
        <v>74</v>
      </c>
      <c r="AU810" s="2">
        <v>1977</v>
      </c>
      <c r="AV810" s="2">
        <v>62</v>
      </c>
      <c r="AW810" s="2" t="s">
        <v>74</v>
      </c>
      <c r="AX810" s="2" t="s">
        <v>1276</v>
      </c>
      <c r="AY810" s="2" t="s">
        <v>74</v>
      </c>
      <c r="AZ810" s="2" t="s">
        <v>74</v>
      </c>
      <c r="BA810" s="2" t="s">
        <v>74</v>
      </c>
      <c r="BB810" s="2">
        <v>314</v>
      </c>
      <c r="BC810" s="2">
        <v>321</v>
      </c>
      <c r="BD810" s="2" t="s">
        <v>74</v>
      </c>
      <c r="BE810" s="2" t="s">
        <v>2384</v>
      </c>
      <c r="BF810" s="2" t="str">
        <f>HYPERLINK("http://dx.doi.org/10.1163/156853977X00162","http://dx.doi.org/10.1163/156853977X00162")</f>
        <v>http://dx.doi.org/10.1163/156853977X00162</v>
      </c>
      <c r="BG810" s="2" t="s">
        <v>74</v>
      </c>
      <c r="BH810" s="2" t="s">
        <v>74</v>
      </c>
      <c r="BI810" s="2" t="s">
        <v>74</v>
      </c>
      <c r="BJ810" s="2" t="s">
        <v>74</v>
      </c>
      <c r="BK810" s="2" t="s">
        <v>74</v>
      </c>
      <c r="BL810" s="2" t="s">
        <v>74</v>
      </c>
      <c r="BM810" s="2" t="s">
        <v>74</v>
      </c>
      <c r="BN810" s="2" t="s">
        <v>74</v>
      </c>
      <c r="BO810" s="2" t="s">
        <v>74</v>
      </c>
      <c r="BP810" s="2" t="s">
        <v>74</v>
      </c>
      <c r="BQ810" s="2" t="s">
        <v>74</v>
      </c>
      <c r="BR810" s="2" t="s">
        <v>74</v>
      </c>
      <c r="BS810" s="2" t="s">
        <v>2385</v>
      </c>
      <c r="BT810" s="2" t="str">
        <f>HYPERLINK("https%3A%2F%2Fwww.webofscience.com%2Fwos%2Fwoscc%2Ffull-record%2FWOS:A1977EA46300006","View Full Record in Web of Science")</f>
        <v>View Full Record in Web of Science</v>
      </c>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row>
    <row r="811" spans="1:314" s="2" customFormat="1" x14ac:dyDescent="0.4">
      <c r="A811" s="2" t="s">
        <v>72</v>
      </c>
      <c r="B811" s="2" t="s">
        <v>7635</v>
      </c>
      <c r="C811" s="2" t="s">
        <v>74</v>
      </c>
      <c r="D811" s="2" t="s">
        <v>74</v>
      </c>
      <c r="E811" s="2" t="s">
        <v>74</v>
      </c>
      <c r="F811" s="2" t="s">
        <v>7636</v>
      </c>
      <c r="G811" s="2" t="s">
        <v>74</v>
      </c>
      <c r="H811" s="2" t="s">
        <v>74</v>
      </c>
      <c r="I811" s="2" t="s">
        <v>7637</v>
      </c>
      <c r="J811" s="2" t="s">
        <v>3100</v>
      </c>
      <c r="K811" s="2" t="s">
        <v>74</v>
      </c>
      <c r="L811" s="2" t="s">
        <v>74</v>
      </c>
      <c r="M811" s="2" t="s">
        <v>74</v>
      </c>
      <c r="N811" s="2" t="s">
        <v>74</v>
      </c>
      <c r="O811" s="2" t="s">
        <v>74</v>
      </c>
      <c r="P811" s="2" t="s">
        <v>74</v>
      </c>
      <c r="Q811" s="2" t="s">
        <v>74</v>
      </c>
      <c r="R811" s="2" t="s">
        <v>74</v>
      </c>
      <c r="S811" s="2" t="s">
        <v>74</v>
      </c>
      <c r="T811" s="2" t="s">
        <v>74</v>
      </c>
      <c r="U811" s="2" t="s">
        <v>74</v>
      </c>
      <c r="V811" s="5" t="s">
        <v>7638</v>
      </c>
      <c r="W811" s="2" t="s">
        <v>74</v>
      </c>
      <c r="X811" s="2" t="s">
        <v>74</v>
      </c>
      <c r="Y811" s="2" t="s">
        <v>74</v>
      </c>
      <c r="Z811" s="2" t="s">
        <v>74</v>
      </c>
      <c r="AA811" s="2" t="s">
        <v>74</v>
      </c>
      <c r="AB811" s="2" t="s">
        <v>7639</v>
      </c>
      <c r="AC811" s="2" t="s">
        <v>74</v>
      </c>
      <c r="AD811" s="2" t="s">
        <v>74</v>
      </c>
      <c r="AE811" s="2" t="s">
        <v>74</v>
      </c>
      <c r="AF811" s="2" t="s">
        <v>74</v>
      </c>
      <c r="AG811" s="2" t="s">
        <v>74</v>
      </c>
      <c r="AH811" s="2" t="s">
        <v>74</v>
      </c>
      <c r="AI811" s="2" t="s">
        <v>74</v>
      </c>
      <c r="AJ811" s="2" t="s">
        <v>74</v>
      </c>
      <c r="AK811" s="2" t="s">
        <v>74</v>
      </c>
      <c r="AL811" s="2" t="s">
        <v>74</v>
      </c>
      <c r="AM811" s="2" t="s">
        <v>74</v>
      </c>
      <c r="AN811" s="2" t="s">
        <v>74</v>
      </c>
      <c r="AO811" s="2" t="s">
        <v>74</v>
      </c>
      <c r="AP811" s="2" t="s">
        <v>3104</v>
      </c>
      <c r="AQ811" s="2" t="s">
        <v>74</v>
      </c>
      <c r="AR811" s="2" t="s">
        <v>74</v>
      </c>
      <c r="AS811" s="2" t="s">
        <v>74</v>
      </c>
      <c r="AT811" s="2" t="s">
        <v>7640</v>
      </c>
      <c r="AU811" s="2">
        <v>2023</v>
      </c>
      <c r="AV811" s="2">
        <v>9</v>
      </c>
      <c r="AW811" s="2" t="s">
        <v>74</v>
      </c>
      <c r="AX811" s="2" t="s">
        <v>74</v>
      </c>
      <c r="AY811" s="2" t="s">
        <v>74</v>
      </c>
      <c r="AZ811" s="2" t="s">
        <v>74</v>
      </c>
      <c r="BA811" s="2" t="s">
        <v>74</v>
      </c>
      <c r="BB811" s="2" t="s">
        <v>74</v>
      </c>
      <c r="BC811" s="2" t="s">
        <v>74</v>
      </c>
      <c r="BD811" s="2">
        <v>1070206</v>
      </c>
      <c r="BE811" s="2" t="s">
        <v>7641</v>
      </c>
      <c r="BF811" s="2" t="str">
        <f>HYPERLINK("http://dx.doi.org/10.3389/fvets.2022.1070206","http://dx.doi.org/10.3389/fvets.2022.1070206")</f>
        <v>http://dx.doi.org/10.3389/fvets.2022.1070206</v>
      </c>
      <c r="BG811" s="2" t="s">
        <v>74</v>
      </c>
      <c r="BH811" s="2" t="s">
        <v>74</v>
      </c>
      <c r="BI811" s="2" t="s">
        <v>74</v>
      </c>
      <c r="BJ811" s="2" t="s">
        <v>74</v>
      </c>
      <c r="BK811" s="2" t="s">
        <v>74</v>
      </c>
      <c r="BL811" s="2" t="s">
        <v>74</v>
      </c>
      <c r="BM811" s="2" t="s">
        <v>74</v>
      </c>
      <c r="BN811" s="2">
        <v>36713853</v>
      </c>
      <c r="BO811" s="2" t="s">
        <v>74</v>
      </c>
      <c r="BP811" s="2" t="s">
        <v>74</v>
      </c>
      <c r="BQ811" s="2" t="s">
        <v>74</v>
      </c>
      <c r="BR811" s="2" t="s">
        <v>74</v>
      </c>
      <c r="BS811" s="2" t="s">
        <v>7642</v>
      </c>
      <c r="BT811" s="2" t="str">
        <f>HYPERLINK("https%3A%2F%2Fwww.webofscience.com%2Fwos%2Fwoscc%2Ffull-record%2FWOS:000920676700001","View Full Record in Web of Science")</f>
        <v>View Full Record in Web of Science</v>
      </c>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row>
    <row r="812" spans="1:314" s="2" customFormat="1" x14ac:dyDescent="0.4">
      <c r="A812" s="2" t="s">
        <v>72</v>
      </c>
      <c r="B812" s="2" t="s">
        <v>3578</v>
      </c>
      <c r="C812" s="2" t="s">
        <v>74</v>
      </c>
      <c r="D812" s="2" t="s">
        <v>74</v>
      </c>
      <c r="E812" s="2" t="s">
        <v>74</v>
      </c>
      <c r="F812" s="2" t="s">
        <v>3579</v>
      </c>
      <c r="G812" s="2" t="s">
        <v>74</v>
      </c>
      <c r="H812" s="2" t="s">
        <v>74</v>
      </c>
      <c r="I812" s="2" t="s">
        <v>3580</v>
      </c>
      <c r="J812" s="2" t="s">
        <v>201</v>
      </c>
      <c r="K812" s="2" t="s">
        <v>74</v>
      </c>
      <c r="L812" s="2" t="s">
        <v>74</v>
      </c>
      <c r="M812" s="2" t="s">
        <v>74</v>
      </c>
      <c r="N812" s="2" t="s">
        <v>74</v>
      </c>
      <c r="O812" s="2" t="s">
        <v>74</v>
      </c>
      <c r="P812" s="2" t="s">
        <v>74</v>
      </c>
      <c r="Q812" s="2" t="s">
        <v>74</v>
      </c>
      <c r="R812" s="2" t="s">
        <v>74</v>
      </c>
      <c r="S812" s="2" t="s">
        <v>74</v>
      </c>
      <c r="T812" s="2" t="s">
        <v>74</v>
      </c>
      <c r="U812" s="2" t="s">
        <v>74</v>
      </c>
      <c r="V812" s="5" t="s">
        <v>3581</v>
      </c>
      <c r="W812" s="2" t="s">
        <v>74</v>
      </c>
      <c r="X812" s="2" t="s">
        <v>74</v>
      </c>
      <c r="Y812" s="2" t="s">
        <v>74</v>
      </c>
      <c r="Z812" s="2" t="s">
        <v>74</v>
      </c>
      <c r="AA812" s="2" t="s">
        <v>74</v>
      </c>
      <c r="AB812" s="2" t="s">
        <v>3582</v>
      </c>
      <c r="AC812" s="2" t="s">
        <v>74</v>
      </c>
      <c r="AD812" s="2" t="s">
        <v>74</v>
      </c>
      <c r="AE812" s="2" t="s">
        <v>74</v>
      </c>
      <c r="AF812" s="2" t="s">
        <v>74</v>
      </c>
      <c r="AG812" s="2" t="s">
        <v>74</v>
      </c>
      <c r="AH812" s="2" t="s">
        <v>74</v>
      </c>
      <c r="AI812" s="2" t="s">
        <v>74</v>
      </c>
      <c r="AJ812" s="2" t="s">
        <v>74</v>
      </c>
      <c r="AK812" s="2" t="s">
        <v>74</v>
      </c>
      <c r="AL812" s="2" t="s">
        <v>74</v>
      </c>
      <c r="AM812" s="2" t="s">
        <v>74</v>
      </c>
      <c r="AN812" s="2" t="s">
        <v>74</v>
      </c>
      <c r="AO812" s="2" t="s">
        <v>203</v>
      </c>
      <c r="AP812" s="2" t="s">
        <v>1192</v>
      </c>
      <c r="AQ812" s="2" t="s">
        <v>74</v>
      </c>
      <c r="AR812" s="2" t="s">
        <v>74</v>
      </c>
      <c r="AS812" s="2" t="s">
        <v>74</v>
      </c>
      <c r="AT812" s="2" t="s">
        <v>204</v>
      </c>
      <c r="AU812" s="2">
        <v>2020</v>
      </c>
      <c r="AV812" s="2">
        <v>97</v>
      </c>
      <c r="AW812" s="2">
        <v>1</v>
      </c>
      <c r="AX812" s="2" t="s">
        <v>74</v>
      </c>
      <c r="AY812" s="2" t="s">
        <v>74</v>
      </c>
      <c r="AZ812" s="2" t="s">
        <v>74</v>
      </c>
      <c r="BA812" s="2" t="s">
        <v>74</v>
      </c>
      <c r="BB812" s="2">
        <v>75</v>
      </c>
      <c r="BC812" s="2">
        <v>82</v>
      </c>
      <c r="BD812" s="2" t="s">
        <v>74</v>
      </c>
      <c r="BE812" s="2" t="s">
        <v>3583</v>
      </c>
      <c r="BF812" s="2" t="str">
        <f>HYPERLINK("http://dx.doi.org/10.1111/jfb.14327","http://dx.doi.org/10.1111/jfb.14327")</f>
        <v>http://dx.doi.org/10.1111/jfb.14327</v>
      </c>
      <c r="BG812" s="2" t="s">
        <v>74</v>
      </c>
      <c r="BH812" s="2" t="s">
        <v>3584</v>
      </c>
      <c r="BI812" s="2" t="s">
        <v>74</v>
      </c>
      <c r="BJ812" s="2" t="s">
        <v>74</v>
      </c>
      <c r="BK812" s="2" t="s">
        <v>74</v>
      </c>
      <c r="BL812" s="2" t="s">
        <v>74</v>
      </c>
      <c r="BM812" s="2" t="s">
        <v>74</v>
      </c>
      <c r="BN812" s="2">
        <v>32291745</v>
      </c>
      <c r="BO812" s="2" t="s">
        <v>74</v>
      </c>
      <c r="BP812" s="2" t="s">
        <v>74</v>
      </c>
      <c r="BQ812" s="2" t="s">
        <v>74</v>
      </c>
      <c r="BR812" s="2" t="s">
        <v>74</v>
      </c>
      <c r="BS812" s="2" t="s">
        <v>3585</v>
      </c>
      <c r="BT812" s="2" t="str">
        <f>HYPERLINK("https%3A%2F%2Fwww.webofscience.com%2Fwos%2Fwoscc%2Ffull-record%2FWOS:000550050100001","View Full Record in Web of Science")</f>
        <v>View Full Record in Web of Science</v>
      </c>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row>
    <row r="813" spans="1:314" s="2" customFormat="1" x14ac:dyDescent="0.4">
      <c r="A813" s="2" t="s">
        <v>72</v>
      </c>
      <c r="B813" s="2" t="s">
        <v>6559</v>
      </c>
      <c r="C813" s="2" t="s">
        <v>74</v>
      </c>
      <c r="D813" s="2" t="s">
        <v>74</v>
      </c>
      <c r="E813" s="2" t="s">
        <v>74</v>
      </c>
      <c r="F813" s="2" t="s">
        <v>6559</v>
      </c>
      <c r="G813" s="2" t="s">
        <v>74</v>
      </c>
      <c r="H813" s="2" t="s">
        <v>74</v>
      </c>
      <c r="I813" s="2" t="s">
        <v>6560</v>
      </c>
      <c r="J813" s="2" t="s">
        <v>1673</v>
      </c>
      <c r="K813" s="2" t="s">
        <v>74</v>
      </c>
      <c r="L813" s="2" t="s">
        <v>74</v>
      </c>
      <c r="M813" s="2" t="s">
        <v>74</v>
      </c>
      <c r="N813" s="2" t="s">
        <v>74</v>
      </c>
      <c r="O813" s="2" t="s">
        <v>74</v>
      </c>
      <c r="P813" s="2" t="s">
        <v>74</v>
      </c>
      <c r="Q813" s="2" t="s">
        <v>74</v>
      </c>
      <c r="R813" s="2" t="s">
        <v>74</v>
      </c>
      <c r="S813" s="2" t="s">
        <v>74</v>
      </c>
      <c r="T813" s="2" t="s">
        <v>74</v>
      </c>
      <c r="U813" s="2" t="s">
        <v>74</v>
      </c>
      <c r="V813" s="5" t="s">
        <v>6561</v>
      </c>
      <c r="W813" s="2" t="s">
        <v>74</v>
      </c>
      <c r="X813" s="2" t="s">
        <v>74</v>
      </c>
      <c r="Y813" s="2" t="s">
        <v>74</v>
      </c>
      <c r="Z813" s="2" t="s">
        <v>74</v>
      </c>
      <c r="AA813" s="2" t="s">
        <v>74</v>
      </c>
      <c r="AB813" s="2" t="s">
        <v>74</v>
      </c>
      <c r="AC813" s="2" t="s">
        <v>74</v>
      </c>
      <c r="AD813" s="2" t="s">
        <v>74</v>
      </c>
      <c r="AE813" s="2" t="s">
        <v>74</v>
      </c>
      <c r="AF813" s="2" t="s">
        <v>74</v>
      </c>
      <c r="AG813" s="2" t="s">
        <v>74</v>
      </c>
      <c r="AH813" s="2" t="s">
        <v>74</v>
      </c>
      <c r="AI813" s="2" t="s">
        <v>74</v>
      </c>
      <c r="AJ813" s="2" t="s">
        <v>74</v>
      </c>
      <c r="AK813" s="2" t="s">
        <v>74</v>
      </c>
      <c r="AL813" s="2" t="s">
        <v>74</v>
      </c>
      <c r="AM813" s="2" t="s">
        <v>74</v>
      </c>
      <c r="AN813" s="2" t="s">
        <v>74</v>
      </c>
      <c r="AO813" s="2" t="s">
        <v>1239</v>
      </c>
      <c r="AP813" s="2" t="s">
        <v>1675</v>
      </c>
      <c r="AQ813" s="2" t="s">
        <v>74</v>
      </c>
      <c r="AR813" s="2" t="s">
        <v>74</v>
      </c>
      <c r="AS813" s="2" t="s">
        <v>74</v>
      </c>
      <c r="AT813" s="2" t="s">
        <v>633</v>
      </c>
      <c r="AU813" s="2">
        <v>1986</v>
      </c>
      <c r="AV813" s="2">
        <v>64</v>
      </c>
      <c r="AW813" s="2">
        <v>4</v>
      </c>
      <c r="AX813" s="2" t="s">
        <v>74</v>
      </c>
      <c r="AY813" s="2" t="s">
        <v>74</v>
      </c>
      <c r="AZ813" s="2" t="s">
        <v>74</v>
      </c>
      <c r="BA813" s="2" t="s">
        <v>74</v>
      </c>
      <c r="BB813" s="2">
        <v>867</v>
      </c>
      <c r="BC813" s="2">
        <v>874</v>
      </c>
      <c r="BD813" s="2" t="s">
        <v>74</v>
      </c>
      <c r="BE813" s="2" t="s">
        <v>6562</v>
      </c>
      <c r="BF813" s="2" t="str">
        <f>HYPERLINK("http://dx.doi.org/10.1139/z86-130","http://dx.doi.org/10.1139/z86-130")</f>
        <v>http://dx.doi.org/10.1139/z86-130</v>
      </c>
      <c r="BG813" s="2" t="s">
        <v>74</v>
      </c>
      <c r="BH813" s="2" t="s">
        <v>74</v>
      </c>
      <c r="BI813" s="2" t="s">
        <v>74</v>
      </c>
      <c r="BJ813" s="2" t="s">
        <v>74</v>
      </c>
      <c r="BK813" s="2" t="s">
        <v>74</v>
      </c>
      <c r="BL813" s="2" t="s">
        <v>74</v>
      </c>
      <c r="BM813" s="2" t="s">
        <v>74</v>
      </c>
      <c r="BN813" s="2" t="s">
        <v>74</v>
      </c>
      <c r="BO813" s="2" t="s">
        <v>74</v>
      </c>
      <c r="BP813" s="2" t="s">
        <v>74</v>
      </c>
      <c r="BQ813" s="2" t="s">
        <v>74</v>
      </c>
      <c r="BR813" s="2" t="s">
        <v>74</v>
      </c>
      <c r="BS813" s="2" t="s">
        <v>6563</v>
      </c>
      <c r="BT813" s="2" t="str">
        <f>HYPERLINK("https%3A%2F%2Fwww.webofscience.com%2Fwos%2Fwoscc%2Ffull-record%2FWOS:A1986C507200011","View Full Record in Web of Science")</f>
        <v>View Full Record in Web of Science</v>
      </c>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row>
    <row r="814" spans="1:314" s="2" customFormat="1" x14ac:dyDescent="0.4">
      <c r="A814" s="2" t="s">
        <v>72</v>
      </c>
      <c r="B814" s="2" t="s">
        <v>1740</v>
      </c>
      <c r="C814" s="2" t="s">
        <v>74</v>
      </c>
      <c r="D814" s="2" t="s">
        <v>74</v>
      </c>
      <c r="E814" s="2" t="s">
        <v>74</v>
      </c>
      <c r="F814" s="2" t="s">
        <v>1741</v>
      </c>
      <c r="G814" s="2" t="s">
        <v>74</v>
      </c>
      <c r="H814" s="2" t="s">
        <v>74</v>
      </c>
      <c r="I814" s="2" t="s">
        <v>1742</v>
      </c>
      <c r="J814" s="2" t="s">
        <v>1743</v>
      </c>
      <c r="K814" s="2" t="s">
        <v>74</v>
      </c>
      <c r="L814" s="2" t="s">
        <v>74</v>
      </c>
      <c r="M814" s="2" t="s">
        <v>74</v>
      </c>
      <c r="N814" s="2" t="s">
        <v>74</v>
      </c>
      <c r="O814" s="2" t="s">
        <v>74</v>
      </c>
      <c r="P814" s="2" t="s">
        <v>74</v>
      </c>
      <c r="Q814" s="2" t="s">
        <v>74</v>
      </c>
      <c r="R814" s="2" t="s">
        <v>74</v>
      </c>
      <c r="S814" s="2" t="s">
        <v>74</v>
      </c>
      <c r="T814" s="2" t="s">
        <v>74</v>
      </c>
      <c r="U814" s="2" t="s">
        <v>74</v>
      </c>
      <c r="V814" s="5" t="s">
        <v>1744</v>
      </c>
      <c r="W814" s="2" t="s">
        <v>74</v>
      </c>
      <c r="X814" s="2" t="s">
        <v>74</v>
      </c>
      <c r="Y814" s="2" t="s">
        <v>74</v>
      </c>
      <c r="Z814" s="2" t="s">
        <v>74</v>
      </c>
      <c r="AA814" s="2" t="s">
        <v>1745</v>
      </c>
      <c r="AB814" s="2" t="s">
        <v>74</v>
      </c>
      <c r="AC814" s="2" t="s">
        <v>74</v>
      </c>
      <c r="AD814" s="2" t="s">
        <v>74</v>
      </c>
      <c r="AE814" s="2" t="s">
        <v>74</v>
      </c>
      <c r="AF814" s="2" t="s">
        <v>74</v>
      </c>
      <c r="AG814" s="2" t="s">
        <v>74</v>
      </c>
      <c r="AH814" s="2" t="s">
        <v>74</v>
      </c>
      <c r="AI814" s="2" t="s">
        <v>74</v>
      </c>
      <c r="AJ814" s="2" t="s">
        <v>74</v>
      </c>
      <c r="AK814" s="2" t="s">
        <v>74</v>
      </c>
      <c r="AL814" s="2" t="s">
        <v>74</v>
      </c>
      <c r="AM814" s="2" t="s">
        <v>74</v>
      </c>
      <c r="AN814" s="2" t="s">
        <v>74</v>
      </c>
      <c r="AO814" s="2" t="s">
        <v>1746</v>
      </c>
      <c r="AP814" s="2" t="s">
        <v>74</v>
      </c>
      <c r="AQ814" s="2" t="s">
        <v>74</v>
      </c>
      <c r="AR814" s="2" t="s">
        <v>74</v>
      </c>
      <c r="AS814" s="2" t="s">
        <v>74</v>
      </c>
      <c r="AT814" s="2" t="s">
        <v>255</v>
      </c>
      <c r="AU814" s="2">
        <v>2008</v>
      </c>
      <c r="AV814" s="2">
        <v>25</v>
      </c>
      <c r="AW814" s="2">
        <v>1</v>
      </c>
      <c r="AX814" s="2" t="s">
        <v>74</v>
      </c>
      <c r="AY814" s="2" t="s">
        <v>74</v>
      </c>
      <c r="AZ814" s="2" t="s">
        <v>74</v>
      </c>
      <c r="BA814" s="2" t="s">
        <v>74</v>
      </c>
      <c r="BB814" s="2">
        <v>1</v>
      </c>
      <c r="BC814" s="2">
        <v>5</v>
      </c>
      <c r="BD814" s="2" t="s">
        <v>74</v>
      </c>
      <c r="BE814" s="2" t="s">
        <v>1747</v>
      </c>
      <c r="BF814" s="2" t="str">
        <f>HYPERLINK("http://dx.doi.org/10.2108/zsj.25.1","http://dx.doi.org/10.2108/zsj.25.1")</f>
        <v>http://dx.doi.org/10.2108/zsj.25.1</v>
      </c>
      <c r="BG814" s="2" t="s">
        <v>74</v>
      </c>
      <c r="BH814" s="2" t="s">
        <v>74</v>
      </c>
      <c r="BI814" s="2" t="s">
        <v>74</v>
      </c>
      <c r="BJ814" s="2" t="s">
        <v>74</v>
      </c>
      <c r="BK814" s="2" t="s">
        <v>74</v>
      </c>
      <c r="BL814" s="2" t="s">
        <v>74</v>
      </c>
      <c r="BM814" s="2" t="s">
        <v>74</v>
      </c>
      <c r="BN814" s="2">
        <v>18275238</v>
      </c>
      <c r="BO814" s="2" t="s">
        <v>74</v>
      </c>
      <c r="BP814" s="2" t="s">
        <v>74</v>
      </c>
      <c r="BQ814" s="2" t="s">
        <v>74</v>
      </c>
      <c r="BR814" s="2" t="s">
        <v>74</v>
      </c>
      <c r="BS814" s="2" t="s">
        <v>1748</v>
      </c>
      <c r="BT814" s="2" t="str">
        <f>HYPERLINK("https%3A%2F%2Fwww.webofscience.com%2Fwos%2Fwoscc%2Ffull-record%2FWOS:000256943500001","View Full Record in Web of Science")</f>
        <v>View Full Record in Web of Science</v>
      </c>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row>
    <row r="815" spans="1:314" s="2" customFormat="1" x14ac:dyDescent="0.4">
      <c r="A815" s="2" t="s">
        <v>72</v>
      </c>
      <c r="B815" s="2" t="s">
        <v>6175</v>
      </c>
      <c r="C815" s="2" t="s">
        <v>74</v>
      </c>
      <c r="D815" s="2" t="s">
        <v>74</v>
      </c>
      <c r="E815" s="2" t="s">
        <v>74</v>
      </c>
      <c r="F815" s="2" t="s">
        <v>6176</v>
      </c>
      <c r="G815" s="2" t="s">
        <v>74</v>
      </c>
      <c r="H815" s="2" t="s">
        <v>74</v>
      </c>
      <c r="I815" s="2" t="s">
        <v>6177</v>
      </c>
      <c r="J815" s="2" t="s">
        <v>5577</v>
      </c>
      <c r="K815" s="2" t="s">
        <v>74</v>
      </c>
      <c r="L815" s="2" t="s">
        <v>74</v>
      </c>
      <c r="M815" s="2" t="s">
        <v>74</v>
      </c>
      <c r="N815" s="2" t="s">
        <v>74</v>
      </c>
      <c r="O815" s="2" t="s">
        <v>74</v>
      </c>
      <c r="P815" s="2" t="s">
        <v>74</v>
      </c>
      <c r="Q815" s="2" t="s">
        <v>74</v>
      </c>
      <c r="R815" s="2" t="s">
        <v>74</v>
      </c>
      <c r="S815" s="2" t="s">
        <v>74</v>
      </c>
      <c r="T815" s="2" t="s">
        <v>74</v>
      </c>
      <c r="U815" s="2" t="s">
        <v>74</v>
      </c>
      <c r="V815" s="5" t="s">
        <v>6178</v>
      </c>
      <c r="W815" s="2" t="s">
        <v>74</v>
      </c>
      <c r="X815" s="2" t="s">
        <v>74</v>
      </c>
      <c r="Y815" s="2" t="s">
        <v>74</v>
      </c>
      <c r="Z815" s="2" t="s">
        <v>74</v>
      </c>
      <c r="AA815" s="2" t="s">
        <v>6179</v>
      </c>
      <c r="AB815" s="2" t="s">
        <v>6180</v>
      </c>
      <c r="AC815" s="2" t="s">
        <v>74</v>
      </c>
      <c r="AD815" s="2" t="s">
        <v>74</v>
      </c>
      <c r="AE815" s="2" t="s">
        <v>74</v>
      </c>
      <c r="AF815" s="2" t="s">
        <v>74</v>
      </c>
      <c r="AG815" s="2" t="s">
        <v>74</v>
      </c>
      <c r="AH815" s="2" t="s">
        <v>74</v>
      </c>
      <c r="AI815" s="2" t="s">
        <v>74</v>
      </c>
      <c r="AJ815" s="2" t="s">
        <v>74</v>
      </c>
      <c r="AK815" s="2" t="s">
        <v>74</v>
      </c>
      <c r="AL815" s="2" t="s">
        <v>74</v>
      </c>
      <c r="AM815" s="2" t="s">
        <v>74</v>
      </c>
      <c r="AN815" s="2" t="s">
        <v>74</v>
      </c>
      <c r="AO815" s="2" t="s">
        <v>5579</v>
      </c>
      <c r="AP815" s="2" t="s">
        <v>74</v>
      </c>
      <c r="AQ815" s="2" t="s">
        <v>74</v>
      </c>
      <c r="AR815" s="2" t="s">
        <v>74</v>
      </c>
      <c r="AS815" s="2" t="s">
        <v>74</v>
      </c>
      <c r="AT815" s="2" t="s">
        <v>255</v>
      </c>
      <c r="AU815" s="2">
        <v>2018</v>
      </c>
      <c r="AV815" s="2">
        <v>97</v>
      </c>
      <c r="AW815" s="2">
        <v>1</v>
      </c>
      <c r="AX815" s="2" t="s">
        <v>74</v>
      </c>
      <c r="AY815" s="2" t="s">
        <v>74</v>
      </c>
      <c r="AZ815" s="2" t="s">
        <v>74</v>
      </c>
      <c r="BA815" s="2" t="s">
        <v>74</v>
      </c>
      <c r="BB815" s="2">
        <v>56</v>
      </c>
      <c r="BC815" s="2">
        <v>66</v>
      </c>
      <c r="BD815" s="2" t="s">
        <v>74</v>
      </c>
      <c r="BE815" s="2" t="s">
        <v>6181</v>
      </c>
      <c r="BF815" s="2" t="str">
        <f>HYPERLINK("http://dx.doi.org/10.7868/S0044513418010051","http://dx.doi.org/10.7868/S0044513418010051")</f>
        <v>http://dx.doi.org/10.7868/S0044513418010051</v>
      </c>
      <c r="BG815" s="2" t="s">
        <v>74</v>
      </c>
      <c r="BH815" s="2" t="s">
        <v>74</v>
      </c>
      <c r="BI815" s="2" t="s">
        <v>74</v>
      </c>
      <c r="BJ815" s="2" t="s">
        <v>74</v>
      </c>
      <c r="BK815" s="2" t="s">
        <v>74</v>
      </c>
      <c r="BL815" s="2" t="s">
        <v>74</v>
      </c>
      <c r="BM815" s="2" t="s">
        <v>74</v>
      </c>
      <c r="BN815" s="2" t="s">
        <v>74</v>
      </c>
      <c r="BO815" s="2" t="s">
        <v>74</v>
      </c>
      <c r="BP815" s="2" t="s">
        <v>74</v>
      </c>
      <c r="BQ815" s="2" t="s">
        <v>74</v>
      </c>
      <c r="BR815" s="2" t="s">
        <v>74</v>
      </c>
      <c r="BS815" s="2" t="s">
        <v>6182</v>
      </c>
      <c r="BT815" s="2" t="str">
        <f>HYPERLINK("https%3A%2F%2Fwww.webofscience.com%2Fwos%2Fwoscc%2Ffull-record%2FWOS:000429884500005","View Full Record in Web of Science")</f>
        <v>View Full Record in Web of Science</v>
      </c>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row>
    <row r="816" spans="1:314" s="2" customFormat="1" x14ac:dyDescent="0.4">
      <c r="A816" s="2" t="s">
        <v>72</v>
      </c>
      <c r="B816" s="2" t="s">
        <v>3039</v>
      </c>
      <c r="C816" s="2" t="s">
        <v>74</v>
      </c>
      <c r="D816" s="2" t="s">
        <v>74</v>
      </c>
      <c r="E816" s="2" t="s">
        <v>74</v>
      </c>
      <c r="F816" s="2" t="s">
        <v>3040</v>
      </c>
      <c r="G816" s="2" t="s">
        <v>74</v>
      </c>
      <c r="H816" s="2" t="s">
        <v>74</v>
      </c>
      <c r="I816" s="2" t="s">
        <v>3041</v>
      </c>
      <c r="J816" s="2" t="s">
        <v>3042</v>
      </c>
      <c r="K816" s="2" t="s">
        <v>74</v>
      </c>
      <c r="L816" s="2" t="s">
        <v>74</v>
      </c>
      <c r="M816" s="2" t="s">
        <v>74</v>
      </c>
      <c r="N816" s="2" t="s">
        <v>74</v>
      </c>
      <c r="O816" s="2" t="s">
        <v>74</v>
      </c>
      <c r="P816" s="2" t="s">
        <v>74</v>
      </c>
      <c r="Q816" s="2" t="s">
        <v>74</v>
      </c>
      <c r="R816" s="2" t="s">
        <v>74</v>
      </c>
      <c r="S816" s="2" t="s">
        <v>74</v>
      </c>
      <c r="T816" s="2" t="s">
        <v>74</v>
      </c>
      <c r="U816" s="2" t="s">
        <v>74</v>
      </c>
      <c r="V816" s="5" t="s">
        <v>3043</v>
      </c>
      <c r="W816" s="2" t="s">
        <v>74</v>
      </c>
      <c r="X816" s="2" t="s">
        <v>74</v>
      </c>
      <c r="Y816" s="2" t="s">
        <v>74</v>
      </c>
      <c r="Z816" s="2" t="s">
        <v>74</v>
      </c>
      <c r="AA816" s="2" t="s">
        <v>74</v>
      </c>
      <c r="AB816" s="2" t="s">
        <v>3044</v>
      </c>
      <c r="AC816" s="2" t="s">
        <v>74</v>
      </c>
      <c r="AD816" s="2" t="s">
        <v>74</v>
      </c>
      <c r="AE816" s="2" t="s">
        <v>74</v>
      </c>
      <c r="AF816" s="2" t="s">
        <v>74</v>
      </c>
      <c r="AG816" s="2" t="s">
        <v>74</v>
      </c>
      <c r="AH816" s="2" t="s">
        <v>74</v>
      </c>
      <c r="AI816" s="2" t="s">
        <v>74</v>
      </c>
      <c r="AJ816" s="2" t="s">
        <v>74</v>
      </c>
      <c r="AK816" s="2" t="s">
        <v>74</v>
      </c>
      <c r="AL816" s="2" t="s">
        <v>74</v>
      </c>
      <c r="AM816" s="2" t="s">
        <v>74</v>
      </c>
      <c r="AN816" s="2" t="s">
        <v>74</v>
      </c>
      <c r="AO816" s="2" t="s">
        <v>1458</v>
      </c>
      <c r="AP816" s="2" t="s">
        <v>3045</v>
      </c>
      <c r="AQ816" s="2" t="s">
        <v>74</v>
      </c>
      <c r="AR816" s="2" t="s">
        <v>74</v>
      </c>
      <c r="AS816" s="2" t="s">
        <v>74</v>
      </c>
      <c r="AT816" s="2" t="s">
        <v>3046</v>
      </c>
      <c r="AU816" s="2">
        <v>2023</v>
      </c>
      <c r="AV816" s="2">
        <v>140</v>
      </c>
      <c r="AW816" s="2">
        <v>2</v>
      </c>
      <c r="AX816" s="2" t="s">
        <v>74</v>
      </c>
      <c r="AY816" s="2" t="s">
        <v>74</v>
      </c>
      <c r="AZ816" s="2" t="s">
        <v>74</v>
      </c>
      <c r="BA816" s="2" t="s">
        <v>74</v>
      </c>
      <c r="BB816" s="2" t="s">
        <v>74</v>
      </c>
      <c r="BC816" s="2" t="s">
        <v>74</v>
      </c>
      <c r="BD816" s="2" t="s">
        <v>74</v>
      </c>
      <c r="BE816" s="2" t="s">
        <v>3047</v>
      </c>
      <c r="BF816" s="2" t="str">
        <f>HYPERLINK("http://dx.doi.org/10.1093/ornithology/ukad002","http://dx.doi.org/10.1093/ornithology/ukad002")</f>
        <v>http://dx.doi.org/10.1093/ornithology/ukad002</v>
      </c>
      <c r="BG816" s="2" t="s">
        <v>74</v>
      </c>
      <c r="BH816" s="2" t="s">
        <v>3048</v>
      </c>
      <c r="BI816" s="2" t="s">
        <v>74</v>
      </c>
      <c r="BJ816" s="2" t="s">
        <v>74</v>
      </c>
      <c r="BK816" s="2" t="s">
        <v>74</v>
      </c>
      <c r="BL816" s="2" t="s">
        <v>74</v>
      </c>
      <c r="BM816" s="2" t="s">
        <v>74</v>
      </c>
      <c r="BN816" s="2" t="s">
        <v>74</v>
      </c>
      <c r="BO816" s="2" t="s">
        <v>74</v>
      </c>
      <c r="BP816" s="2" t="s">
        <v>74</v>
      </c>
      <c r="BQ816" s="2" t="s">
        <v>74</v>
      </c>
      <c r="BR816" s="2" t="s">
        <v>74</v>
      </c>
      <c r="BS816" s="2" t="s">
        <v>3049</v>
      </c>
      <c r="BT816" s="2" t="str">
        <f>HYPERLINK("https%3A%2F%2Fwww.webofscience.com%2Fwos%2Fwoscc%2Ffull-record%2FWOS:000959502700001","View Full Record in Web of Science")</f>
        <v>View Full Record in Web of Science</v>
      </c>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row>
    <row r="817" spans="1:314" s="2" customFormat="1" x14ac:dyDescent="0.4">
      <c r="A817" s="2" t="s">
        <v>72</v>
      </c>
      <c r="B817" s="2" t="s">
        <v>73</v>
      </c>
      <c r="C817" s="2" t="s">
        <v>74</v>
      </c>
      <c r="D817" s="2" t="s">
        <v>74</v>
      </c>
      <c r="E817" s="2" t="s">
        <v>74</v>
      </c>
      <c r="F817" s="2" t="s">
        <v>75</v>
      </c>
      <c r="G817" s="2" t="s">
        <v>74</v>
      </c>
      <c r="H817" s="2" t="s">
        <v>74</v>
      </c>
      <c r="I817" s="2" t="s">
        <v>76</v>
      </c>
      <c r="J817" s="2" t="s">
        <v>77</v>
      </c>
      <c r="K817" s="2" t="s">
        <v>74</v>
      </c>
      <c r="L817" s="2" t="s">
        <v>74</v>
      </c>
      <c r="M817" s="2" t="s">
        <v>74</v>
      </c>
      <c r="N817" s="2" t="s">
        <v>74</v>
      </c>
      <c r="O817" s="2" t="s">
        <v>74</v>
      </c>
      <c r="P817" s="2" t="s">
        <v>74</v>
      </c>
      <c r="Q817" s="2" t="s">
        <v>74</v>
      </c>
      <c r="R817" s="2" t="s">
        <v>74</v>
      </c>
      <c r="S817" s="2" t="s">
        <v>74</v>
      </c>
      <c r="T817" s="2" t="s">
        <v>74</v>
      </c>
      <c r="U817" s="2" t="s">
        <v>74</v>
      </c>
      <c r="V817" s="5" t="s">
        <v>78</v>
      </c>
      <c r="W817" s="2" t="s">
        <v>74</v>
      </c>
      <c r="X817" s="2" t="s">
        <v>74</v>
      </c>
      <c r="Y817" s="2" t="s">
        <v>74</v>
      </c>
      <c r="Z817" s="2" t="s">
        <v>74</v>
      </c>
      <c r="AA817" s="2" t="s">
        <v>79</v>
      </c>
      <c r="AB817" s="2" t="s">
        <v>80</v>
      </c>
      <c r="AC817" s="2" t="s">
        <v>74</v>
      </c>
      <c r="AD817" s="2" t="s">
        <v>74</v>
      </c>
      <c r="AE817" s="2" t="s">
        <v>74</v>
      </c>
      <c r="AF817" s="2" t="s">
        <v>74</v>
      </c>
      <c r="AG817" s="2" t="s">
        <v>74</v>
      </c>
      <c r="AH817" s="2" t="s">
        <v>74</v>
      </c>
      <c r="AI817" s="2" t="s">
        <v>74</v>
      </c>
      <c r="AJ817" s="2" t="s">
        <v>74</v>
      </c>
      <c r="AK817" s="2" t="s">
        <v>74</v>
      </c>
      <c r="AL817" s="2" t="s">
        <v>74</v>
      </c>
      <c r="AM817" s="2" t="s">
        <v>74</v>
      </c>
      <c r="AN817" s="2" t="s">
        <v>74</v>
      </c>
      <c r="AO817" s="2" t="s">
        <v>81</v>
      </c>
      <c r="AP817" s="2" t="s">
        <v>82</v>
      </c>
      <c r="AQ817" s="2" t="s">
        <v>74</v>
      </c>
      <c r="AR817" s="2" t="s">
        <v>74</v>
      </c>
      <c r="AS817" s="2" t="s">
        <v>74</v>
      </c>
      <c r="AT817" s="2" t="s">
        <v>74</v>
      </c>
      <c r="AU817" s="2">
        <v>2009</v>
      </c>
      <c r="AV817" s="2">
        <v>146</v>
      </c>
      <c r="AW817" s="2" t="s">
        <v>74</v>
      </c>
      <c r="AX817" s="2">
        <v>6</v>
      </c>
      <c r="AY817" s="2" t="s">
        <v>74</v>
      </c>
      <c r="AZ817" s="2" t="s">
        <v>74</v>
      </c>
      <c r="BA817" s="2" t="s">
        <v>74</v>
      </c>
      <c r="BB817" s="2">
        <v>741</v>
      </c>
      <c r="BC817" s="2">
        <v>756</v>
      </c>
      <c r="BD817" s="2" t="s">
        <v>74</v>
      </c>
      <c r="BE817" s="2" t="s">
        <v>83</v>
      </c>
      <c r="BF817" s="2" t="str">
        <f>HYPERLINK("http://dx.doi.org/10.1163/156853909X446181","http://dx.doi.org/10.1163/156853909X446181")</f>
        <v>http://dx.doi.org/10.1163/156853909X446181</v>
      </c>
      <c r="BG817" s="2" t="s">
        <v>74</v>
      </c>
      <c r="BH817" s="2" t="s">
        <v>74</v>
      </c>
      <c r="BI817" s="2" t="s">
        <v>74</v>
      </c>
      <c r="BJ817" s="2" t="s">
        <v>74</v>
      </c>
      <c r="BK817" s="2" t="s">
        <v>74</v>
      </c>
      <c r="BL817" s="2" t="s">
        <v>74</v>
      </c>
      <c r="BM817" s="2" t="s">
        <v>74</v>
      </c>
      <c r="BN817" s="2" t="s">
        <v>74</v>
      </c>
      <c r="BO817" s="2" t="s">
        <v>74</v>
      </c>
      <c r="BP817" s="2" t="s">
        <v>74</v>
      </c>
      <c r="BQ817" s="2" t="s">
        <v>74</v>
      </c>
      <c r="BR817" s="2" t="s">
        <v>74</v>
      </c>
      <c r="BS817" s="2" t="s">
        <v>84</v>
      </c>
      <c r="BT817" s="2" t="str">
        <f>HYPERLINK("https%3A%2F%2Fwww.webofscience.com%2Fwos%2Fwoscc%2Ffull-record%2FWOS:000267018400002","View Full Record in Web of Science")</f>
        <v>View Full Record in Web of Science</v>
      </c>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row>
    <row r="818" spans="1:314" s="2" customFormat="1" x14ac:dyDescent="0.4">
      <c r="A818" s="2" t="s">
        <v>72</v>
      </c>
      <c r="B818" s="2" t="s">
        <v>6919</v>
      </c>
      <c r="C818" s="2" t="s">
        <v>74</v>
      </c>
      <c r="D818" s="2" t="s">
        <v>74</v>
      </c>
      <c r="E818" s="2" t="s">
        <v>74</v>
      </c>
      <c r="F818" s="2" t="s">
        <v>6919</v>
      </c>
      <c r="G818" s="2" t="s">
        <v>74</v>
      </c>
      <c r="H818" s="2" t="s">
        <v>74</v>
      </c>
      <c r="I818" s="2" t="s">
        <v>7268</v>
      </c>
      <c r="J818" s="2" t="s">
        <v>140</v>
      </c>
      <c r="K818" s="2" t="s">
        <v>74</v>
      </c>
      <c r="L818" s="2" t="s">
        <v>74</v>
      </c>
      <c r="M818" s="2" t="s">
        <v>74</v>
      </c>
      <c r="N818" s="2" t="s">
        <v>74</v>
      </c>
      <c r="O818" s="2" t="s">
        <v>74</v>
      </c>
      <c r="P818" s="2" t="s">
        <v>74</v>
      </c>
      <c r="Q818" s="2" t="s">
        <v>74</v>
      </c>
      <c r="R818" s="2" t="s">
        <v>74</v>
      </c>
      <c r="S818" s="2" t="s">
        <v>74</v>
      </c>
      <c r="T818" s="2" t="s">
        <v>74</v>
      </c>
      <c r="U818" s="2" t="s">
        <v>74</v>
      </c>
      <c r="V818" s="5" t="s">
        <v>7269</v>
      </c>
      <c r="W818" s="2" t="s">
        <v>74</v>
      </c>
      <c r="X818" s="2" t="s">
        <v>74</v>
      </c>
      <c r="Y818" s="2" t="s">
        <v>74</v>
      </c>
      <c r="Z818" s="2" t="s">
        <v>74</v>
      </c>
      <c r="AA818" s="2" t="s">
        <v>1295</v>
      </c>
      <c r="AB818" s="2" t="s">
        <v>6922</v>
      </c>
      <c r="AC818" s="2" t="s">
        <v>74</v>
      </c>
      <c r="AD818" s="2" t="s">
        <v>74</v>
      </c>
      <c r="AE818" s="2" t="s">
        <v>74</v>
      </c>
      <c r="AF818" s="2" t="s">
        <v>74</v>
      </c>
      <c r="AG818" s="2" t="s">
        <v>74</v>
      </c>
      <c r="AH818" s="2" t="s">
        <v>74</v>
      </c>
      <c r="AI818" s="2" t="s">
        <v>74</v>
      </c>
      <c r="AJ818" s="2" t="s">
        <v>74</v>
      </c>
      <c r="AK818" s="2" t="s">
        <v>74</v>
      </c>
      <c r="AL818" s="2" t="s">
        <v>74</v>
      </c>
      <c r="AM818" s="2" t="s">
        <v>74</v>
      </c>
      <c r="AN818" s="2" t="s">
        <v>74</v>
      </c>
      <c r="AO818" s="2" t="s">
        <v>143</v>
      </c>
      <c r="AP818" s="2" t="s">
        <v>74</v>
      </c>
      <c r="AQ818" s="2" t="s">
        <v>74</v>
      </c>
      <c r="AR818" s="2" t="s">
        <v>74</v>
      </c>
      <c r="AS818" s="2" t="s">
        <v>74</v>
      </c>
      <c r="AT818" s="2" t="s">
        <v>102</v>
      </c>
      <c r="AU818" s="2">
        <v>2000</v>
      </c>
      <c r="AV818" s="2">
        <v>59</v>
      </c>
      <c r="AW818" s="2" t="s">
        <v>74</v>
      </c>
      <c r="AX818" s="2">
        <v>6</v>
      </c>
      <c r="AY818" s="2" t="s">
        <v>74</v>
      </c>
      <c r="AZ818" s="2" t="s">
        <v>74</v>
      </c>
      <c r="BA818" s="2" t="s">
        <v>74</v>
      </c>
      <c r="BB818" s="2">
        <v>1095</v>
      </c>
      <c r="BC818" s="2">
        <v>1101</v>
      </c>
      <c r="BD818" s="2" t="s">
        <v>74</v>
      </c>
      <c r="BE818" s="2" t="s">
        <v>7270</v>
      </c>
      <c r="BF818" s="2" t="str">
        <f>HYPERLINK("http://dx.doi.org/10.1006/anbe.2000.1401","http://dx.doi.org/10.1006/anbe.2000.1401")</f>
        <v>http://dx.doi.org/10.1006/anbe.2000.1401</v>
      </c>
      <c r="BG818" s="2" t="s">
        <v>74</v>
      </c>
      <c r="BH818" s="2" t="s">
        <v>74</v>
      </c>
      <c r="BI818" s="2" t="s">
        <v>74</v>
      </c>
      <c r="BJ818" s="2" t="s">
        <v>74</v>
      </c>
      <c r="BK818" s="2" t="s">
        <v>74</v>
      </c>
      <c r="BL818" s="2" t="s">
        <v>74</v>
      </c>
      <c r="BM818" s="2" t="s">
        <v>74</v>
      </c>
      <c r="BN818" s="2">
        <v>10877887</v>
      </c>
      <c r="BO818" s="2" t="s">
        <v>74</v>
      </c>
      <c r="BP818" s="2" t="s">
        <v>74</v>
      </c>
      <c r="BQ818" s="2" t="s">
        <v>74</v>
      </c>
      <c r="BR818" s="2" t="s">
        <v>74</v>
      </c>
      <c r="BS818" s="2" t="s">
        <v>7271</v>
      </c>
      <c r="BT818" s="2" t="str">
        <f>HYPERLINK("https%3A%2F%2Fwww.webofscience.com%2Fwos%2Fwoscc%2Ffull-record%2FWOS:000088220000003","View Full Record in Web of Science")</f>
        <v>View Full Record in Web of Science</v>
      </c>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row>
    <row r="819" spans="1:314" s="2" customFormat="1" x14ac:dyDescent="0.4">
      <c r="A819" s="2" t="s">
        <v>72</v>
      </c>
      <c r="B819" s="2" t="s">
        <v>8584</v>
      </c>
      <c r="C819" s="2" t="s">
        <v>74</v>
      </c>
      <c r="D819" s="2" t="s">
        <v>74</v>
      </c>
      <c r="E819" s="2" t="s">
        <v>74</v>
      </c>
      <c r="F819" s="2" t="s">
        <v>8584</v>
      </c>
      <c r="G819" s="2" t="s">
        <v>74</v>
      </c>
      <c r="H819" s="2" t="s">
        <v>74</v>
      </c>
      <c r="I819" s="2" t="s">
        <v>8585</v>
      </c>
      <c r="J819" s="2" t="s">
        <v>1112</v>
      </c>
      <c r="K819" s="2" t="s">
        <v>74</v>
      </c>
      <c r="L819" s="2" t="s">
        <v>74</v>
      </c>
      <c r="M819" s="2" t="s">
        <v>74</v>
      </c>
      <c r="N819" s="2" t="s">
        <v>74</v>
      </c>
      <c r="O819" s="2" t="s">
        <v>74</v>
      </c>
      <c r="P819" s="2" t="s">
        <v>74</v>
      </c>
      <c r="Q819" s="2" t="s">
        <v>74</v>
      </c>
      <c r="R819" s="2" t="s">
        <v>74</v>
      </c>
      <c r="S819" s="2" t="s">
        <v>74</v>
      </c>
      <c r="T819" s="2" t="s">
        <v>74</v>
      </c>
      <c r="U819" s="2" t="s">
        <v>74</v>
      </c>
      <c r="V819" s="5" t="s">
        <v>8586</v>
      </c>
      <c r="W819" s="2" t="s">
        <v>74</v>
      </c>
      <c r="X819" s="2" t="s">
        <v>74</v>
      </c>
      <c r="Y819" s="2" t="s">
        <v>74</v>
      </c>
      <c r="Z819" s="2" t="s">
        <v>74</v>
      </c>
      <c r="AA819" s="2" t="s">
        <v>74</v>
      </c>
      <c r="AB819" s="2" t="s">
        <v>8587</v>
      </c>
      <c r="AC819" s="2" t="s">
        <v>74</v>
      </c>
      <c r="AD819" s="2" t="s">
        <v>74</v>
      </c>
      <c r="AE819" s="2" t="s">
        <v>74</v>
      </c>
      <c r="AF819" s="2" t="s">
        <v>74</v>
      </c>
      <c r="AG819" s="2" t="s">
        <v>74</v>
      </c>
      <c r="AH819" s="2" t="s">
        <v>74</v>
      </c>
      <c r="AI819" s="2" t="s">
        <v>74</v>
      </c>
      <c r="AJ819" s="2" t="s">
        <v>74</v>
      </c>
      <c r="AK819" s="2" t="s">
        <v>74</v>
      </c>
      <c r="AL819" s="2" t="s">
        <v>74</v>
      </c>
      <c r="AM819" s="2" t="s">
        <v>74</v>
      </c>
      <c r="AN819" s="2" t="s">
        <v>74</v>
      </c>
      <c r="AO819" s="2" t="s">
        <v>1114</v>
      </c>
      <c r="AP819" s="2" t="s">
        <v>74</v>
      </c>
      <c r="AQ819" s="2" t="s">
        <v>74</v>
      </c>
      <c r="AR819" s="2" t="s">
        <v>74</v>
      </c>
      <c r="AS819" s="2" t="s">
        <v>74</v>
      </c>
      <c r="AT819" s="2" t="s">
        <v>8588</v>
      </c>
      <c r="AU819" s="2">
        <v>2000</v>
      </c>
      <c r="AV819" s="2">
        <v>67</v>
      </c>
      <c r="AW819" s="2">
        <v>4</v>
      </c>
      <c r="AX819" s="2" t="s">
        <v>74</v>
      </c>
      <c r="AY819" s="2" t="s">
        <v>74</v>
      </c>
      <c r="AZ819" s="2" t="s">
        <v>74</v>
      </c>
      <c r="BA819" s="2" t="s">
        <v>74</v>
      </c>
      <c r="BB819" s="2">
        <v>307</v>
      </c>
      <c r="BC819" s="2">
        <v>320</v>
      </c>
      <c r="BD819" s="2" t="s">
        <v>74</v>
      </c>
      <c r="BE819" s="2" t="s">
        <v>8589</v>
      </c>
      <c r="BF819" s="2" t="str">
        <f>HYPERLINK("http://dx.doi.org/10.1016/S0168-1591(99)00123-9","http://dx.doi.org/10.1016/S0168-1591(99)00123-9")</f>
        <v>http://dx.doi.org/10.1016/S0168-1591(99)00123-9</v>
      </c>
      <c r="BG819" s="2" t="s">
        <v>74</v>
      </c>
      <c r="BH819" s="2" t="s">
        <v>74</v>
      </c>
      <c r="BI819" s="2" t="s">
        <v>74</v>
      </c>
      <c r="BJ819" s="2" t="s">
        <v>74</v>
      </c>
      <c r="BK819" s="2" t="s">
        <v>74</v>
      </c>
      <c r="BL819" s="2" t="s">
        <v>74</v>
      </c>
      <c r="BM819" s="2" t="s">
        <v>74</v>
      </c>
      <c r="BN819" s="2">
        <v>10760610</v>
      </c>
      <c r="BO819" s="2" t="s">
        <v>74</v>
      </c>
      <c r="BP819" s="2" t="s">
        <v>74</v>
      </c>
      <c r="BQ819" s="2" t="s">
        <v>74</v>
      </c>
      <c r="BR819" s="2" t="s">
        <v>74</v>
      </c>
      <c r="BS819" s="2" t="s">
        <v>8590</v>
      </c>
      <c r="BT819" s="2" t="str">
        <f>HYPERLINK("https%3A%2F%2Fwww.webofscience.com%2Fwos%2Fwoscc%2Ffull-record%2FWOS:000086528100004","View Full Record in Web of Science")</f>
        <v>View Full Record in Web of Science</v>
      </c>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row>
    <row r="820" spans="1:314" s="2" customFormat="1" x14ac:dyDescent="0.4">
      <c r="A820" s="2" t="s">
        <v>72</v>
      </c>
      <c r="B820" s="2" t="s">
        <v>7784</v>
      </c>
      <c r="C820" s="2" t="s">
        <v>74</v>
      </c>
      <c r="D820" s="2" t="s">
        <v>74</v>
      </c>
      <c r="E820" s="2" t="s">
        <v>74</v>
      </c>
      <c r="F820" s="2" t="s">
        <v>7785</v>
      </c>
      <c r="G820" s="2" t="s">
        <v>74</v>
      </c>
      <c r="H820" s="2" t="s">
        <v>74</v>
      </c>
      <c r="I820" s="2" t="s">
        <v>7786</v>
      </c>
      <c r="J820" s="2" t="s">
        <v>5937</v>
      </c>
      <c r="K820" s="2" t="s">
        <v>74</v>
      </c>
      <c r="L820" s="2" t="s">
        <v>74</v>
      </c>
      <c r="M820" s="2" t="s">
        <v>74</v>
      </c>
      <c r="N820" s="2" t="s">
        <v>74</v>
      </c>
      <c r="O820" s="2" t="s">
        <v>74</v>
      </c>
      <c r="P820" s="2" t="s">
        <v>74</v>
      </c>
      <c r="Q820" s="2" t="s">
        <v>74</v>
      </c>
      <c r="R820" s="2" t="s">
        <v>74</v>
      </c>
      <c r="S820" s="2" t="s">
        <v>74</v>
      </c>
      <c r="T820" s="2" t="s">
        <v>74</v>
      </c>
      <c r="U820" s="2" t="s">
        <v>74</v>
      </c>
      <c r="V820" s="5" t="s">
        <v>7787</v>
      </c>
      <c r="W820" s="2" t="s">
        <v>74</v>
      </c>
      <c r="X820" s="2" t="s">
        <v>74</v>
      </c>
      <c r="Y820" s="2" t="s">
        <v>74</v>
      </c>
      <c r="Z820" s="2" t="s">
        <v>74</v>
      </c>
      <c r="AA820" s="2" t="s">
        <v>7788</v>
      </c>
      <c r="AB820" s="2" t="s">
        <v>7789</v>
      </c>
      <c r="AC820" s="2" t="s">
        <v>74</v>
      </c>
      <c r="AD820" s="2" t="s">
        <v>74</v>
      </c>
      <c r="AE820" s="2" t="s">
        <v>74</v>
      </c>
      <c r="AF820" s="2" t="s">
        <v>74</v>
      </c>
      <c r="AG820" s="2" t="s">
        <v>74</v>
      </c>
      <c r="AH820" s="2" t="s">
        <v>74</v>
      </c>
      <c r="AI820" s="2" t="s">
        <v>74</v>
      </c>
      <c r="AJ820" s="2" t="s">
        <v>74</v>
      </c>
      <c r="AK820" s="2" t="s">
        <v>74</v>
      </c>
      <c r="AL820" s="2" t="s">
        <v>74</v>
      </c>
      <c r="AM820" s="2" t="s">
        <v>74</v>
      </c>
      <c r="AN820" s="2" t="s">
        <v>74</v>
      </c>
      <c r="AO820" s="2" t="s">
        <v>5941</v>
      </c>
      <c r="AP820" s="2" t="s">
        <v>74</v>
      </c>
      <c r="AQ820" s="2" t="s">
        <v>74</v>
      </c>
      <c r="AR820" s="2" t="s">
        <v>74</v>
      </c>
      <c r="AS820" s="2" t="s">
        <v>74</v>
      </c>
      <c r="AT820" s="2" t="s">
        <v>134</v>
      </c>
      <c r="AU820" s="2">
        <v>2020</v>
      </c>
      <c r="AV820" s="2">
        <v>10</v>
      </c>
      <c r="AW820" s="2">
        <v>5</v>
      </c>
      <c r="AX820" s="2" t="s">
        <v>74</v>
      </c>
      <c r="AY820" s="2" t="s">
        <v>74</v>
      </c>
      <c r="AZ820" s="2" t="s">
        <v>74</v>
      </c>
      <c r="BA820" s="2" t="s">
        <v>74</v>
      </c>
      <c r="BB820" s="2" t="s">
        <v>74</v>
      </c>
      <c r="BC820" s="2" t="s">
        <v>74</v>
      </c>
      <c r="BD820" s="2">
        <v>755</v>
      </c>
      <c r="BE820" s="2" t="s">
        <v>7790</v>
      </c>
      <c r="BF820" s="2" t="str">
        <f>HYPERLINK("http://dx.doi.org/10.3390/ani10050755","http://dx.doi.org/10.3390/ani10050755")</f>
        <v>http://dx.doi.org/10.3390/ani10050755</v>
      </c>
      <c r="BG820" s="2" t="s">
        <v>74</v>
      </c>
      <c r="BH820" s="2" t="s">
        <v>74</v>
      </c>
      <c r="BI820" s="2" t="s">
        <v>74</v>
      </c>
      <c r="BJ820" s="2" t="s">
        <v>74</v>
      </c>
      <c r="BK820" s="2" t="s">
        <v>74</v>
      </c>
      <c r="BL820" s="2" t="s">
        <v>74</v>
      </c>
      <c r="BM820" s="2" t="s">
        <v>74</v>
      </c>
      <c r="BN820" s="2">
        <v>32357412</v>
      </c>
      <c r="BO820" s="2" t="s">
        <v>74</v>
      </c>
      <c r="BP820" s="2" t="s">
        <v>74</v>
      </c>
      <c r="BQ820" s="2" t="s">
        <v>74</v>
      </c>
      <c r="BR820" s="2" t="s">
        <v>74</v>
      </c>
      <c r="BS820" s="2" t="s">
        <v>7791</v>
      </c>
      <c r="BT820" s="2" t="str">
        <f>HYPERLINK("https%3A%2F%2Fwww.webofscience.com%2Fwos%2Fwoscc%2Ffull-record%2FWOS:000540228300006","View Full Record in Web of Science")</f>
        <v>View Full Record in Web of Science</v>
      </c>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row>
    <row r="821" spans="1:314" s="2" customFormat="1" x14ac:dyDescent="0.4">
      <c r="A821" s="2" t="s">
        <v>72</v>
      </c>
      <c r="B821" s="2" t="s">
        <v>5177</v>
      </c>
      <c r="C821" s="2" t="s">
        <v>74</v>
      </c>
      <c r="D821" s="2" t="s">
        <v>74</v>
      </c>
      <c r="E821" s="2" t="s">
        <v>74</v>
      </c>
      <c r="F821" s="2" t="s">
        <v>5178</v>
      </c>
      <c r="G821" s="2" t="s">
        <v>74</v>
      </c>
      <c r="H821" s="2" t="s">
        <v>74</v>
      </c>
      <c r="I821" s="2" t="s">
        <v>5179</v>
      </c>
      <c r="J821" s="2" t="s">
        <v>5180</v>
      </c>
      <c r="K821" s="2" t="s">
        <v>74</v>
      </c>
      <c r="L821" s="2" t="s">
        <v>74</v>
      </c>
      <c r="M821" s="2" t="s">
        <v>74</v>
      </c>
      <c r="N821" s="2" t="s">
        <v>74</v>
      </c>
      <c r="O821" s="2" t="s">
        <v>74</v>
      </c>
      <c r="P821" s="2" t="s">
        <v>74</v>
      </c>
      <c r="Q821" s="2" t="s">
        <v>74</v>
      </c>
      <c r="R821" s="2" t="s">
        <v>74</v>
      </c>
      <c r="S821" s="2" t="s">
        <v>74</v>
      </c>
      <c r="T821" s="2" t="s">
        <v>74</v>
      </c>
      <c r="U821" s="2" t="s">
        <v>74</v>
      </c>
      <c r="V821" s="5" t="s">
        <v>5181</v>
      </c>
      <c r="W821" s="2" t="s">
        <v>74</v>
      </c>
      <c r="X821" s="2" t="s">
        <v>74</v>
      </c>
      <c r="Y821" s="2" t="s">
        <v>74</v>
      </c>
      <c r="Z821" s="2" t="s">
        <v>74</v>
      </c>
      <c r="AA821" s="2" t="s">
        <v>5182</v>
      </c>
      <c r="AB821" s="2" t="s">
        <v>5183</v>
      </c>
      <c r="AC821" s="2" t="s">
        <v>74</v>
      </c>
      <c r="AD821" s="2" t="s">
        <v>74</v>
      </c>
      <c r="AE821" s="2" t="s">
        <v>74</v>
      </c>
      <c r="AF821" s="2" t="s">
        <v>74</v>
      </c>
      <c r="AG821" s="2" t="s">
        <v>74</v>
      </c>
      <c r="AH821" s="2" t="s">
        <v>74</v>
      </c>
      <c r="AI821" s="2" t="s">
        <v>74</v>
      </c>
      <c r="AJ821" s="2" t="s">
        <v>74</v>
      </c>
      <c r="AK821" s="2" t="s">
        <v>74</v>
      </c>
      <c r="AL821" s="2" t="s">
        <v>74</v>
      </c>
      <c r="AM821" s="2" t="s">
        <v>74</v>
      </c>
      <c r="AN821" s="2" t="s">
        <v>74</v>
      </c>
      <c r="AO821" s="2" t="s">
        <v>5184</v>
      </c>
      <c r="AP821" s="2" t="s">
        <v>5185</v>
      </c>
      <c r="AQ821" s="2" t="s">
        <v>74</v>
      </c>
      <c r="AR821" s="2" t="s">
        <v>74</v>
      </c>
      <c r="AS821" s="2" t="s">
        <v>74</v>
      </c>
      <c r="AT821" s="2" t="s">
        <v>145</v>
      </c>
      <c r="AU821" s="2">
        <v>2021</v>
      </c>
      <c r="AV821" s="2">
        <v>40</v>
      </c>
      <c r="AW821" s="2">
        <v>2</v>
      </c>
      <c r="AX821" s="2" t="s">
        <v>74</v>
      </c>
      <c r="AY821" s="2" t="s">
        <v>74</v>
      </c>
      <c r="AZ821" s="2" t="s">
        <v>74</v>
      </c>
      <c r="BA821" s="2" t="s">
        <v>74</v>
      </c>
      <c r="BB821" s="2">
        <v>182</v>
      </c>
      <c r="BC821" s="2">
        <v>189</v>
      </c>
      <c r="BD821" s="2" t="s">
        <v>74</v>
      </c>
      <c r="BE821" s="2" t="s">
        <v>5186</v>
      </c>
      <c r="BF821" s="2" t="str">
        <f>HYPERLINK("http://dx.doi.org/10.5358/hsj.40.182","http://dx.doi.org/10.5358/hsj.40.182")</f>
        <v>http://dx.doi.org/10.5358/hsj.40.182</v>
      </c>
      <c r="BG821" s="2" t="s">
        <v>74</v>
      </c>
      <c r="BH821" s="2" t="s">
        <v>74</v>
      </c>
      <c r="BI821" s="2" t="s">
        <v>74</v>
      </c>
      <c r="BJ821" s="2" t="s">
        <v>74</v>
      </c>
      <c r="BK821" s="2" t="s">
        <v>74</v>
      </c>
      <c r="BL821" s="2" t="s">
        <v>74</v>
      </c>
      <c r="BM821" s="2" t="s">
        <v>74</v>
      </c>
      <c r="BN821" s="2" t="s">
        <v>74</v>
      </c>
      <c r="BO821" s="2" t="s">
        <v>74</v>
      </c>
      <c r="BP821" s="2" t="s">
        <v>74</v>
      </c>
      <c r="BQ821" s="2" t="s">
        <v>74</v>
      </c>
      <c r="BR821" s="2" t="s">
        <v>74</v>
      </c>
      <c r="BS821" s="2" t="s">
        <v>5187</v>
      </c>
      <c r="BT821" s="2" t="str">
        <f>HYPERLINK("https%3A%2F%2Fwww.webofscience.com%2Fwos%2Fwoscc%2Ffull-record%2FWOS:000697316900008","View Full Record in Web of Science")</f>
        <v>View Full Record in Web of Science</v>
      </c>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row>
    <row r="822" spans="1:314" s="2" customFormat="1" x14ac:dyDescent="0.4">
      <c r="A822" s="2" t="s">
        <v>72</v>
      </c>
      <c r="B822" s="2" t="s">
        <v>2245</v>
      </c>
      <c r="C822" s="2" t="s">
        <v>74</v>
      </c>
      <c r="D822" s="2" t="s">
        <v>74</v>
      </c>
      <c r="E822" s="2" t="s">
        <v>74</v>
      </c>
      <c r="F822" s="2" t="s">
        <v>2246</v>
      </c>
      <c r="G822" s="2" t="s">
        <v>74</v>
      </c>
      <c r="H822" s="2" t="s">
        <v>74</v>
      </c>
      <c r="I822" s="2" t="s">
        <v>2247</v>
      </c>
      <c r="J822" s="2" t="s">
        <v>2248</v>
      </c>
      <c r="K822" s="2" t="s">
        <v>74</v>
      </c>
      <c r="L822" s="2" t="s">
        <v>74</v>
      </c>
      <c r="M822" s="2" t="s">
        <v>74</v>
      </c>
      <c r="N822" s="2" t="s">
        <v>74</v>
      </c>
      <c r="O822" s="2" t="s">
        <v>74</v>
      </c>
      <c r="P822" s="2" t="s">
        <v>74</v>
      </c>
      <c r="Q822" s="2" t="s">
        <v>74</v>
      </c>
      <c r="R822" s="2" t="s">
        <v>74</v>
      </c>
      <c r="S822" s="2" t="s">
        <v>74</v>
      </c>
      <c r="T822" s="2" t="s">
        <v>74</v>
      </c>
      <c r="U822" s="2" t="s">
        <v>74</v>
      </c>
      <c r="V822" s="5" t="s">
        <v>2249</v>
      </c>
      <c r="W822" s="2" t="s">
        <v>74</v>
      </c>
      <c r="X822" s="2" t="s">
        <v>74</v>
      </c>
      <c r="Y822" s="2" t="s">
        <v>74</v>
      </c>
      <c r="Z822" s="2" t="s">
        <v>74</v>
      </c>
      <c r="AA822" s="2" t="s">
        <v>74</v>
      </c>
      <c r="AB822" s="2" t="s">
        <v>2250</v>
      </c>
      <c r="AC822" s="2" t="s">
        <v>74</v>
      </c>
      <c r="AD822" s="2" t="s">
        <v>74</v>
      </c>
      <c r="AE822" s="2" t="s">
        <v>74</v>
      </c>
      <c r="AF822" s="2" t="s">
        <v>74</v>
      </c>
      <c r="AG822" s="2" t="s">
        <v>74</v>
      </c>
      <c r="AH822" s="2" t="s">
        <v>74</v>
      </c>
      <c r="AI822" s="2" t="s">
        <v>74</v>
      </c>
      <c r="AJ822" s="2" t="s">
        <v>74</v>
      </c>
      <c r="AK822" s="2" t="s">
        <v>74</v>
      </c>
      <c r="AL822" s="2" t="s">
        <v>74</v>
      </c>
      <c r="AM822" s="2" t="s">
        <v>74</v>
      </c>
      <c r="AN822" s="2" t="s">
        <v>74</v>
      </c>
      <c r="AO822" s="2" t="s">
        <v>2251</v>
      </c>
      <c r="AP822" s="2" t="s">
        <v>2252</v>
      </c>
      <c r="AQ822" s="2" t="s">
        <v>74</v>
      </c>
      <c r="AR822" s="2" t="s">
        <v>74</v>
      </c>
      <c r="AS822" s="2" t="s">
        <v>74</v>
      </c>
      <c r="AT822" s="2" t="s">
        <v>74</v>
      </c>
      <c r="AU822" s="2">
        <v>2011</v>
      </c>
      <c r="AV822" s="2">
        <v>14</v>
      </c>
      <c r="AW822" s="2">
        <v>4</v>
      </c>
      <c r="AX822" s="2" t="s">
        <v>74</v>
      </c>
      <c r="AY822" s="2" t="s">
        <v>74</v>
      </c>
      <c r="AZ822" s="2" t="s">
        <v>74</v>
      </c>
      <c r="BA822" s="2" t="s">
        <v>74</v>
      </c>
      <c r="BB822" s="2">
        <v>340</v>
      </c>
      <c r="BC822" s="2">
        <v>360</v>
      </c>
      <c r="BD822" s="2" t="s">
        <v>74</v>
      </c>
      <c r="BE822" s="2" t="s">
        <v>2253</v>
      </c>
      <c r="BF822" s="2" t="str">
        <f>HYPERLINK("http://dx.doi.org/10.1080/10888705.2011.600664","http://dx.doi.org/10.1080/10888705.2011.600664")</f>
        <v>http://dx.doi.org/10.1080/10888705.2011.600664</v>
      </c>
      <c r="BG822" s="2" t="s">
        <v>74</v>
      </c>
      <c r="BH822" s="2" t="s">
        <v>74</v>
      </c>
      <c r="BI822" s="2" t="s">
        <v>74</v>
      </c>
      <c r="BJ822" s="2" t="s">
        <v>74</v>
      </c>
      <c r="BK822" s="2" t="s">
        <v>74</v>
      </c>
      <c r="BL822" s="2" t="s">
        <v>74</v>
      </c>
      <c r="BM822" s="2" t="s">
        <v>74</v>
      </c>
      <c r="BN822" s="2">
        <v>21932947</v>
      </c>
      <c r="BO822" s="2" t="s">
        <v>74</v>
      </c>
      <c r="BP822" s="2" t="s">
        <v>74</v>
      </c>
      <c r="BQ822" s="2" t="s">
        <v>74</v>
      </c>
      <c r="BR822" s="2" t="s">
        <v>74</v>
      </c>
      <c r="BS822" s="2" t="s">
        <v>2254</v>
      </c>
      <c r="BT822" s="2" t="str">
        <f>HYPERLINK("https%3A%2F%2Fwww.webofscience.com%2Fwos%2Fwoscc%2Ffull-record%2FWOS:000296232000005","View Full Record in Web of Science")</f>
        <v>View Full Record in Web of Science</v>
      </c>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row>
    <row r="823" spans="1:314" s="1" customFormat="1" x14ac:dyDescent="0.4">
      <c r="A823" s="2" t="s">
        <v>72</v>
      </c>
      <c r="B823" s="2" t="s">
        <v>5752</v>
      </c>
      <c r="C823" s="2" t="s">
        <v>74</v>
      </c>
      <c r="D823" s="2" t="s">
        <v>74</v>
      </c>
      <c r="E823" s="2" t="s">
        <v>74</v>
      </c>
      <c r="F823" s="2" t="s">
        <v>5753</v>
      </c>
      <c r="G823" s="2" t="s">
        <v>74</v>
      </c>
      <c r="H823" s="2" t="s">
        <v>74</v>
      </c>
      <c r="I823" s="2" t="s">
        <v>5754</v>
      </c>
      <c r="J823" s="2" t="s">
        <v>192</v>
      </c>
      <c r="K823" s="2" t="s">
        <v>74</v>
      </c>
      <c r="L823" s="2" t="s">
        <v>74</v>
      </c>
      <c r="M823" s="2" t="s">
        <v>74</v>
      </c>
      <c r="N823" s="2" t="s">
        <v>74</v>
      </c>
      <c r="O823" s="2" t="s">
        <v>74</v>
      </c>
      <c r="P823" s="2" t="s">
        <v>74</v>
      </c>
      <c r="Q823" s="2" t="s">
        <v>74</v>
      </c>
      <c r="R823" s="2" t="s">
        <v>74</v>
      </c>
      <c r="S823" s="2" t="s">
        <v>74</v>
      </c>
      <c r="T823" s="2" t="s">
        <v>74</v>
      </c>
      <c r="U823" s="2" t="s">
        <v>74</v>
      </c>
      <c r="V823" s="5" t="s">
        <v>5755</v>
      </c>
      <c r="W823" s="2" t="s">
        <v>74</v>
      </c>
      <c r="X823" s="2" t="s">
        <v>74</v>
      </c>
      <c r="Y823" s="2" t="s">
        <v>74</v>
      </c>
      <c r="Z823" s="2" t="s">
        <v>74</v>
      </c>
      <c r="AA823" s="2" t="s">
        <v>5756</v>
      </c>
      <c r="AB823" s="2" t="s">
        <v>5757</v>
      </c>
      <c r="AC823" s="2" t="s">
        <v>74</v>
      </c>
      <c r="AD823" s="2" t="s">
        <v>74</v>
      </c>
      <c r="AE823" s="2" t="s">
        <v>74</v>
      </c>
      <c r="AF823" s="2" t="s">
        <v>74</v>
      </c>
      <c r="AG823" s="2" t="s">
        <v>74</v>
      </c>
      <c r="AH823" s="2" t="s">
        <v>74</v>
      </c>
      <c r="AI823" s="2" t="s">
        <v>74</v>
      </c>
      <c r="AJ823" s="2" t="s">
        <v>74</v>
      </c>
      <c r="AK823" s="2" t="s">
        <v>74</v>
      </c>
      <c r="AL823" s="2" t="s">
        <v>74</v>
      </c>
      <c r="AM823" s="2" t="s">
        <v>74</v>
      </c>
      <c r="AN823" s="2" t="s">
        <v>74</v>
      </c>
      <c r="AO823" s="2" t="s">
        <v>195</v>
      </c>
      <c r="AP823" s="2" t="s">
        <v>196</v>
      </c>
      <c r="AQ823" s="2" t="s">
        <v>74</v>
      </c>
      <c r="AR823" s="2" t="s">
        <v>74</v>
      </c>
      <c r="AS823" s="2" t="s">
        <v>74</v>
      </c>
      <c r="AT823" s="2" t="s">
        <v>633</v>
      </c>
      <c r="AU823" s="2">
        <v>2015</v>
      </c>
      <c r="AV823" s="2">
        <v>748</v>
      </c>
      <c r="AW823" s="2">
        <v>1</v>
      </c>
      <c r="AX823" s="2" t="s">
        <v>74</v>
      </c>
      <c r="AY823" s="2" t="s">
        <v>74</v>
      </c>
      <c r="AZ823" s="2" t="s">
        <v>74</v>
      </c>
      <c r="BA823" s="2" t="s">
        <v>74</v>
      </c>
      <c r="BB823" s="2">
        <v>233</v>
      </c>
      <c r="BC823" s="2">
        <v>257</v>
      </c>
      <c r="BD823" s="2" t="s">
        <v>74</v>
      </c>
      <c r="BE823" s="2" t="s">
        <v>5758</v>
      </c>
      <c r="BF823" s="2" t="str">
        <f>HYPERLINK("http://dx.doi.org/10.1007/s10750-014-2081-4","http://dx.doi.org/10.1007/s10750-014-2081-4")</f>
        <v>http://dx.doi.org/10.1007/s10750-014-2081-4</v>
      </c>
      <c r="BG823" s="2" t="s">
        <v>74</v>
      </c>
      <c r="BH823" s="2" t="s">
        <v>74</v>
      </c>
      <c r="BI823" s="2" t="s">
        <v>74</v>
      </c>
      <c r="BJ823" s="2" t="s">
        <v>74</v>
      </c>
      <c r="BK823" s="2" t="s">
        <v>74</v>
      </c>
      <c r="BL823" s="2" t="s">
        <v>74</v>
      </c>
      <c r="BM823" s="2" t="s">
        <v>74</v>
      </c>
      <c r="BN823" s="2" t="s">
        <v>74</v>
      </c>
      <c r="BO823" s="2" t="s">
        <v>74</v>
      </c>
      <c r="BP823" s="2" t="s">
        <v>74</v>
      </c>
      <c r="BQ823" s="2" t="s">
        <v>74</v>
      </c>
      <c r="BR823" s="2" t="s">
        <v>74</v>
      </c>
      <c r="BS823" s="2" t="s">
        <v>5759</v>
      </c>
      <c r="BT823" s="2" t="str">
        <f>HYPERLINK("https%3A%2F%2Fwww.webofscience.com%2Fwos%2Fwoscc%2Ffull-record%2FWOS:000349968000016","View Full Record in Web of Science")</f>
        <v>View Full Record in Web of Science</v>
      </c>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row>
    <row r="824" spans="1:314" s="2" customFormat="1" x14ac:dyDescent="0.4">
      <c r="A824" s="2" t="s">
        <v>72</v>
      </c>
      <c r="B824" s="2" t="s">
        <v>4686</v>
      </c>
      <c r="C824" s="2" t="s">
        <v>74</v>
      </c>
      <c r="D824" s="2" t="s">
        <v>74</v>
      </c>
      <c r="E824" s="2" t="s">
        <v>74</v>
      </c>
      <c r="F824" s="2" t="s">
        <v>4687</v>
      </c>
      <c r="G824" s="2" t="s">
        <v>74</v>
      </c>
      <c r="H824" s="2" t="s">
        <v>74</v>
      </c>
      <c r="I824" s="2" t="s">
        <v>4688</v>
      </c>
      <c r="J824" s="2" t="s">
        <v>576</v>
      </c>
      <c r="K824" s="2" t="s">
        <v>74</v>
      </c>
      <c r="L824" s="2" t="s">
        <v>74</v>
      </c>
      <c r="M824" s="2" t="s">
        <v>74</v>
      </c>
      <c r="N824" s="2" t="s">
        <v>74</v>
      </c>
      <c r="O824" s="2" t="s">
        <v>74</v>
      </c>
      <c r="P824" s="2" t="s">
        <v>74</v>
      </c>
      <c r="Q824" s="2" t="s">
        <v>74</v>
      </c>
      <c r="R824" s="2" t="s">
        <v>74</v>
      </c>
      <c r="S824" s="2" t="s">
        <v>74</v>
      </c>
      <c r="T824" s="2" t="s">
        <v>74</v>
      </c>
      <c r="U824" s="2" t="s">
        <v>74</v>
      </c>
      <c r="V824" s="5" t="s">
        <v>4689</v>
      </c>
      <c r="W824" s="2" t="s">
        <v>74</v>
      </c>
      <c r="X824" s="2" t="s">
        <v>74</v>
      </c>
      <c r="Y824" s="2" t="s">
        <v>74</v>
      </c>
      <c r="Z824" s="2" t="s">
        <v>74</v>
      </c>
      <c r="AA824" s="2" t="s">
        <v>74</v>
      </c>
      <c r="AB824" s="2" t="s">
        <v>4690</v>
      </c>
      <c r="AC824" s="2" t="s">
        <v>74</v>
      </c>
      <c r="AD824" s="2" t="s">
        <v>74</v>
      </c>
      <c r="AE824" s="2" t="s">
        <v>74</v>
      </c>
      <c r="AF824" s="2" t="s">
        <v>74</v>
      </c>
      <c r="AG824" s="2" t="s">
        <v>74</v>
      </c>
      <c r="AH824" s="2" t="s">
        <v>74</v>
      </c>
      <c r="AI824" s="2" t="s">
        <v>74</v>
      </c>
      <c r="AJ824" s="2" t="s">
        <v>74</v>
      </c>
      <c r="AK824" s="2" t="s">
        <v>74</v>
      </c>
      <c r="AL824" s="2" t="s">
        <v>74</v>
      </c>
      <c r="AM824" s="2" t="s">
        <v>74</v>
      </c>
      <c r="AN824" s="2" t="s">
        <v>74</v>
      </c>
      <c r="AO824" s="2" t="s">
        <v>579</v>
      </c>
      <c r="AP824" s="2" t="s">
        <v>580</v>
      </c>
      <c r="AQ824" s="2" t="s">
        <v>74</v>
      </c>
      <c r="AR824" s="2" t="s">
        <v>74</v>
      </c>
      <c r="AS824" s="2" t="s">
        <v>74</v>
      </c>
      <c r="AT824" s="2" t="s">
        <v>204</v>
      </c>
      <c r="AU824" s="2">
        <v>2010</v>
      </c>
      <c r="AV824" s="2">
        <v>24</v>
      </c>
      <c r="AW824" s="2">
        <v>4</v>
      </c>
      <c r="AX824" s="2" t="s">
        <v>74</v>
      </c>
      <c r="AY824" s="2" t="s">
        <v>74</v>
      </c>
      <c r="AZ824" s="2" t="s">
        <v>74</v>
      </c>
      <c r="BA824" s="2" t="s">
        <v>74</v>
      </c>
      <c r="BB824" s="2">
        <v>731</v>
      </c>
      <c r="BC824" s="2">
        <v>748</v>
      </c>
      <c r="BD824" s="2" t="s">
        <v>74</v>
      </c>
      <c r="BE824" s="2" t="s">
        <v>4691</v>
      </c>
      <c r="BF824" s="2" t="str">
        <f>HYPERLINK("http://dx.doi.org/10.1007/s10682-009-9330-4","http://dx.doi.org/10.1007/s10682-009-9330-4")</f>
        <v>http://dx.doi.org/10.1007/s10682-009-9330-4</v>
      </c>
      <c r="BG824" s="2" t="s">
        <v>74</v>
      </c>
      <c r="BH824" s="2" t="s">
        <v>74</v>
      </c>
      <c r="BI824" s="2" t="s">
        <v>74</v>
      </c>
      <c r="BJ824" s="2" t="s">
        <v>74</v>
      </c>
      <c r="BK824" s="2" t="s">
        <v>74</v>
      </c>
      <c r="BL824" s="2" t="s">
        <v>74</v>
      </c>
      <c r="BM824" s="2" t="s">
        <v>74</v>
      </c>
      <c r="BN824" s="2" t="s">
        <v>74</v>
      </c>
      <c r="BO824" s="2" t="s">
        <v>74</v>
      </c>
      <c r="BP824" s="2" t="s">
        <v>74</v>
      </c>
      <c r="BQ824" s="2" t="s">
        <v>74</v>
      </c>
      <c r="BR824" s="2" t="s">
        <v>74</v>
      </c>
      <c r="BS824" s="2" t="s">
        <v>4692</v>
      </c>
      <c r="BT824" s="2" t="str">
        <f>HYPERLINK("https%3A%2F%2Fwww.webofscience.com%2Fwos%2Fwoscc%2Ffull-record%2FWOS:000278833400007","View Full Record in Web of Science")</f>
        <v>View Full Record in Web of Science</v>
      </c>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row>
    <row r="825" spans="1:314" s="2" customFormat="1" x14ac:dyDescent="0.4">
      <c r="A825" s="2" t="s">
        <v>72</v>
      </c>
      <c r="B825" s="2" t="s">
        <v>5490</v>
      </c>
      <c r="C825" s="2" t="s">
        <v>74</v>
      </c>
      <c r="D825" s="2" t="s">
        <v>74</v>
      </c>
      <c r="E825" s="2" t="s">
        <v>74</v>
      </c>
      <c r="F825" s="2" t="s">
        <v>5491</v>
      </c>
      <c r="G825" s="2" t="s">
        <v>74</v>
      </c>
      <c r="H825" s="2" t="s">
        <v>74</v>
      </c>
      <c r="I825" s="2" t="s">
        <v>5492</v>
      </c>
      <c r="J825" s="2" t="s">
        <v>408</v>
      </c>
      <c r="K825" s="2" t="s">
        <v>74</v>
      </c>
      <c r="L825" s="2" t="s">
        <v>74</v>
      </c>
      <c r="M825" s="2" t="s">
        <v>74</v>
      </c>
      <c r="N825" s="2" t="s">
        <v>74</v>
      </c>
      <c r="O825" s="2" t="s">
        <v>74</v>
      </c>
      <c r="P825" s="2" t="s">
        <v>74</v>
      </c>
      <c r="Q825" s="2" t="s">
        <v>74</v>
      </c>
      <c r="R825" s="2" t="s">
        <v>74</v>
      </c>
      <c r="S825" s="2" t="s">
        <v>74</v>
      </c>
      <c r="T825" s="2" t="s">
        <v>74</v>
      </c>
      <c r="U825" s="2" t="s">
        <v>74</v>
      </c>
      <c r="V825" s="5" t="s">
        <v>5493</v>
      </c>
      <c r="W825" s="2" t="s">
        <v>74</v>
      </c>
      <c r="X825" s="2" t="s">
        <v>74</v>
      </c>
      <c r="Y825" s="2" t="s">
        <v>74</v>
      </c>
      <c r="Z825" s="2" t="s">
        <v>74</v>
      </c>
      <c r="AA825" s="2" t="s">
        <v>74</v>
      </c>
      <c r="AB825" s="2" t="s">
        <v>5494</v>
      </c>
      <c r="AC825" s="2" t="s">
        <v>74</v>
      </c>
      <c r="AD825" s="2" t="s">
        <v>74</v>
      </c>
      <c r="AE825" s="2" t="s">
        <v>74</v>
      </c>
      <c r="AF825" s="2" t="s">
        <v>74</v>
      </c>
      <c r="AG825" s="2" t="s">
        <v>74</v>
      </c>
      <c r="AH825" s="2" t="s">
        <v>74</v>
      </c>
      <c r="AI825" s="2" t="s">
        <v>74</v>
      </c>
      <c r="AJ825" s="2" t="s">
        <v>74</v>
      </c>
      <c r="AK825" s="2" t="s">
        <v>74</v>
      </c>
      <c r="AL825" s="2" t="s">
        <v>74</v>
      </c>
      <c r="AM825" s="2" t="s">
        <v>74</v>
      </c>
      <c r="AN825" s="2" t="s">
        <v>74</v>
      </c>
      <c r="AO825" s="2" t="s">
        <v>412</v>
      </c>
      <c r="AP825" s="2" t="s">
        <v>413</v>
      </c>
      <c r="AQ825" s="2" t="s">
        <v>74</v>
      </c>
      <c r="AR825" s="2" t="s">
        <v>74</v>
      </c>
      <c r="AS825" s="2" t="s">
        <v>74</v>
      </c>
      <c r="AT825" s="2" t="s">
        <v>5495</v>
      </c>
      <c r="AU825" s="2">
        <v>2022</v>
      </c>
      <c r="AV825" s="2">
        <v>135</v>
      </c>
      <c r="AW825" s="2">
        <v>3</v>
      </c>
      <c r="AX825" s="2" t="s">
        <v>74</v>
      </c>
      <c r="AY825" s="2" t="s">
        <v>74</v>
      </c>
      <c r="AZ825" s="2" t="s">
        <v>74</v>
      </c>
      <c r="BA825" s="2" t="s">
        <v>74</v>
      </c>
      <c r="BB825" s="2">
        <v>447</v>
      </c>
      <c r="BC825" s="2">
        <v>461</v>
      </c>
      <c r="BD825" s="2" t="s">
        <v>74</v>
      </c>
      <c r="BE825" s="2" t="s">
        <v>5496</v>
      </c>
      <c r="BF825" s="2" t="str">
        <f>HYPERLINK("http://dx.doi.org/10.1093/biolinnean/blab166","http://dx.doi.org/10.1093/biolinnean/blab166")</f>
        <v>http://dx.doi.org/10.1093/biolinnean/blab166</v>
      </c>
      <c r="BG825" s="2" t="s">
        <v>74</v>
      </c>
      <c r="BH825" s="2" t="s">
        <v>5497</v>
      </c>
      <c r="BI825" s="2" t="s">
        <v>74</v>
      </c>
      <c r="BJ825" s="2" t="s">
        <v>74</v>
      </c>
      <c r="BK825" s="2" t="s">
        <v>74</v>
      </c>
      <c r="BL825" s="2" t="s">
        <v>74</v>
      </c>
      <c r="BM825" s="2" t="s">
        <v>74</v>
      </c>
      <c r="BN825" s="2" t="s">
        <v>74</v>
      </c>
      <c r="BO825" s="2" t="s">
        <v>74</v>
      </c>
      <c r="BP825" s="2" t="s">
        <v>74</v>
      </c>
      <c r="BQ825" s="2" t="s">
        <v>74</v>
      </c>
      <c r="BR825" s="2" t="s">
        <v>74</v>
      </c>
      <c r="BS825" s="2" t="s">
        <v>5498</v>
      </c>
      <c r="BT825" s="2" t="str">
        <f>HYPERLINK("https%3A%2F%2Fwww.webofscience.com%2Fwos%2Fwoscc%2Ffull-record%2FWOS:000754842400003","View Full Record in Web of Science")</f>
        <v>View Full Record in Web of Science</v>
      </c>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row>
    <row r="826" spans="1:314" s="2" customFormat="1" x14ac:dyDescent="0.4">
      <c r="A826" s="2" t="s">
        <v>72</v>
      </c>
      <c r="B826" s="2" t="s">
        <v>8082</v>
      </c>
      <c r="C826" s="2" t="s">
        <v>74</v>
      </c>
      <c r="D826" s="2" t="s">
        <v>74</v>
      </c>
      <c r="E826" s="2" t="s">
        <v>74</v>
      </c>
      <c r="F826" s="2" t="s">
        <v>8083</v>
      </c>
      <c r="G826" s="2" t="s">
        <v>74</v>
      </c>
      <c r="H826" s="2" t="s">
        <v>74</v>
      </c>
      <c r="I826" s="2" t="s">
        <v>8084</v>
      </c>
      <c r="J826" s="2" t="s">
        <v>691</v>
      </c>
      <c r="K826" s="2" t="s">
        <v>74</v>
      </c>
      <c r="L826" s="2" t="s">
        <v>74</v>
      </c>
      <c r="M826" s="2" t="s">
        <v>74</v>
      </c>
      <c r="N826" s="2" t="s">
        <v>74</v>
      </c>
      <c r="O826" s="2" t="s">
        <v>74</v>
      </c>
      <c r="P826" s="2" t="s">
        <v>74</v>
      </c>
      <c r="Q826" s="2" t="s">
        <v>74</v>
      </c>
      <c r="R826" s="2" t="s">
        <v>74</v>
      </c>
      <c r="S826" s="2" t="s">
        <v>74</v>
      </c>
      <c r="T826" s="2" t="s">
        <v>74</v>
      </c>
      <c r="U826" s="2" t="s">
        <v>74</v>
      </c>
      <c r="V826" s="5" t="s">
        <v>8085</v>
      </c>
      <c r="W826" s="2" t="s">
        <v>74</v>
      </c>
      <c r="X826" s="2" t="s">
        <v>74</v>
      </c>
      <c r="Y826" s="2" t="s">
        <v>74</v>
      </c>
      <c r="Z826" s="2" t="s">
        <v>74</v>
      </c>
      <c r="AA826" s="2" t="s">
        <v>3355</v>
      </c>
      <c r="AB826" s="2" t="s">
        <v>3356</v>
      </c>
      <c r="AC826" s="2" t="s">
        <v>74</v>
      </c>
      <c r="AD826" s="2" t="s">
        <v>74</v>
      </c>
      <c r="AE826" s="2" t="s">
        <v>74</v>
      </c>
      <c r="AF826" s="2" t="s">
        <v>74</v>
      </c>
      <c r="AG826" s="2" t="s">
        <v>74</v>
      </c>
      <c r="AH826" s="2" t="s">
        <v>74</v>
      </c>
      <c r="AI826" s="2" t="s">
        <v>74</v>
      </c>
      <c r="AJ826" s="2" t="s">
        <v>74</v>
      </c>
      <c r="AK826" s="2" t="s">
        <v>74</v>
      </c>
      <c r="AL826" s="2" t="s">
        <v>74</v>
      </c>
      <c r="AM826" s="2" t="s">
        <v>74</v>
      </c>
      <c r="AN826" s="2" t="s">
        <v>74</v>
      </c>
      <c r="AO826" s="2" t="s">
        <v>695</v>
      </c>
      <c r="AP826" s="2" t="s">
        <v>74</v>
      </c>
      <c r="AQ826" s="2" t="s">
        <v>74</v>
      </c>
      <c r="AR826" s="2" t="s">
        <v>74</v>
      </c>
      <c r="AS826" s="2" t="s">
        <v>74</v>
      </c>
      <c r="AT826" s="2" t="s">
        <v>113</v>
      </c>
      <c r="AU826" s="2">
        <v>2007</v>
      </c>
      <c r="AV826" s="2">
        <v>91</v>
      </c>
      <c r="AW826" s="2">
        <v>5</v>
      </c>
      <c r="AX826" s="2" t="s">
        <v>74</v>
      </c>
      <c r="AY826" s="2" t="s">
        <v>74</v>
      </c>
      <c r="AZ826" s="2" t="s">
        <v>74</v>
      </c>
      <c r="BA826" s="2" t="s">
        <v>74</v>
      </c>
      <c r="BB826" s="2">
        <v>531</v>
      </c>
      <c r="BC826" s="2">
        <v>534</v>
      </c>
      <c r="BD826" s="2" t="s">
        <v>74</v>
      </c>
      <c r="BE826" s="2" t="s">
        <v>8086</v>
      </c>
      <c r="BF826" s="2" t="str">
        <f>HYPERLINK("http://dx.doi.org/10.1016/j.physbeh.2007.04.025","http://dx.doi.org/10.1016/j.physbeh.2007.04.025")</f>
        <v>http://dx.doi.org/10.1016/j.physbeh.2007.04.025</v>
      </c>
      <c r="BG826" s="2" t="s">
        <v>74</v>
      </c>
      <c r="BH826" s="2" t="s">
        <v>74</v>
      </c>
      <c r="BI826" s="2" t="s">
        <v>74</v>
      </c>
      <c r="BJ826" s="2" t="s">
        <v>74</v>
      </c>
      <c r="BK826" s="2" t="s">
        <v>74</v>
      </c>
      <c r="BL826" s="2" t="s">
        <v>74</v>
      </c>
      <c r="BM826" s="2" t="s">
        <v>74</v>
      </c>
      <c r="BN826" s="2">
        <v>17521685</v>
      </c>
      <c r="BO826" s="2" t="s">
        <v>74</v>
      </c>
      <c r="BP826" s="2" t="s">
        <v>74</v>
      </c>
      <c r="BQ826" s="2" t="s">
        <v>74</v>
      </c>
      <c r="BR826" s="2" t="s">
        <v>74</v>
      </c>
      <c r="BS826" s="2" t="s">
        <v>8087</v>
      </c>
      <c r="BT826" s="2" t="str">
        <f>HYPERLINK("https%3A%2F%2Fwww.webofscience.com%2Fwos%2Fwoscc%2Ffull-record%2FWOS:000249944700009","View Full Record in Web of Science")</f>
        <v>View Full Record in Web of Science</v>
      </c>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row>
    <row r="827" spans="1:314" s="2" customFormat="1" x14ac:dyDescent="0.4">
      <c r="A827" s="2" t="s">
        <v>72</v>
      </c>
      <c r="B827" s="2" t="s">
        <v>1516</v>
      </c>
      <c r="C827" s="2" t="s">
        <v>74</v>
      </c>
      <c r="D827" s="2" t="s">
        <v>74</v>
      </c>
      <c r="E827" s="2" t="s">
        <v>74</v>
      </c>
      <c r="F827" s="2" t="s">
        <v>1517</v>
      </c>
      <c r="G827" s="2" t="s">
        <v>74</v>
      </c>
      <c r="H827" s="2" t="s">
        <v>74</v>
      </c>
      <c r="I827" s="2" t="s">
        <v>1518</v>
      </c>
      <c r="J827" s="2" t="s">
        <v>763</v>
      </c>
      <c r="K827" s="2" t="s">
        <v>74</v>
      </c>
      <c r="L827" s="2" t="s">
        <v>74</v>
      </c>
      <c r="M827" s="2" t="s">
        <v>74</v>
      </c>
      <c r="N827" s="2" t="s">
        <v>74</v>
      </c>
      <c r="O827" s="2" t="s">
        <v>74</v>
      </c>
      <c r="P827" s="2" t="s">
        <v>74</v>
      </c>
      <c r="Q827" s="2" t="s">
        <v>74</v>
      </c>
      <c r="R827" s="2" t="s">
        <v>74</v>
      </c>
      <c r="S827" s="2" t="s">
        <v>74</v>
      </c>
      <c r="T827" s="2" t="s">
        <v>74</v>
      </c>
      <c r="U827" s="2" t="s">
        <v>74</v>
      </c>
      <c r="V827" s="5" t="s">
        <v>1519</v>
      </c>
      <c r="W827" s="2" t="s">
        <v>74</v>
      </c>
      <c r="X827" s="2" t="s">
        <v>74</v>
      </c>
      <c r="Y827" s="2" t="s">
        <v>74</v>
      </c>
      <c r="Z827" s="2" t="s">
        <v>74</v>
      </c>
      <c r="AA827" s="2" t="s">
        <v>1520</v>
      </c>
      <c r="AB827" s="2" t="s">
        <v>1521</v>
      </c>
      <c r="AC827" s="2" t="s">
        <v>74</v>
      </c>
      <c r="AD827" s="2" t="s">
        <v>74</v>
      </c>
      <c r="AE827" s="2" t="s">
        <v>74</v>
      </c>
      <c r="AF827" s="2" t="s">
        <v>74</v>
      </c>
      <c r="AG827" s="2" t="s">
        <v>74</v>
      </c>
      <c r="AH827" s="2" t="s">
        <v>74</v>
      </c>
      <c r="AI827" s="2" t="s">
        <v>74</v>
      </c>
      <c r="AJ827" s="2" t="s">
        <v>74</v>
      </c>
      <c r="AK827" s="2" t="s">
        <v>74</v>
      </c>
      <c r="AL827" s="2" t="s">
        <v>74</v>
      </c>
      <c r="AM827" s="2" t="s">
        <v>74</v>
      </c>
      <c r="AN827" s="2" t="s">
        <v>74</v>
      </c>
      <c r="AO827" s="2" t="s">
        <v>767</v>
      </c>
      <c r="AP827" s="2" t="s">
        <v>74</v>
      </c>
      <c r="AQ827" s="2" t="s">
        <v>74</v>
      </c>
      <c r="AR827" s="2" t="s">
        <v>74</v>
      </c>
      <c r="AS827" s="2" t="s">
        <v>74</v>
      </c>
      <c r="AT827" s="2" t="s">
        <v>964</v>
      </c>
      <c r="AU827" s="2">
        <v>2012</v>
      </c>
      <c r="AV827" s="2">
        <v>215</v>
      </c>
      <c r="AW827" s="2">
        <v>4</v>
      </c>
      <c r="AX827" s="2" t="s">
        <v>74</v>
      </c>
      <c r="AY827" s="2" t="s">
        <v>74</v>
      </c>
      <c r="AZ827" s="2" t="s">
        <v>74</v>
      </c>
      <c r="BA827" s="2" t="s">
        <v>74</v>
      </c>
      <c r="BB827" s="2">
        <v>575</v>
      </c>
      <c r="BC827" s="2">
        <v>577</v>
      </c>
      <c r="BD827" s="2" t="s">
        <v>74</v>
      </c>
      <c r="BE827" s="2" t="s">
        <v>1522</v>
      </c>
      <c r="BF827" s="2" t="str">
        <f>HYPERLINK("http://dx.doi.org/10.1242/jeb.059352","http://dx.doi.org/10.1242/jeb.059352")</f>
        <v>http://dx.doi.org/10.1242/jeb.059352</v>
      </c>
      <c r="BG827" s="2" t="s">
        <v>74</v>
      </c>
      <c r="BH827" s="2" t="s">
        <v>74</v>
      </c>
      <c r="BI827" s="2" t="s">
        <v>74</v>
      </c>
      <c r="BJ827" s="2" t="s">
        <v>74</v>
      </c>
      <c r="BK827" s="2" t="s">
        <v>74</v>
      </c>
      <c r="BL827" s="2" t="s">
        <v>74</v>
      </c>
      <c r="BM827" s="2" t="s">
        <v>74</v>
      </c>
      <c r="BN827" s="2">
        <v>22279063</v>
      </c>
      <c r="BO827" s="2" t="s">
        <v>74</v>
      </c>
      <c r="BP827" s="2" t="s">
        <v>74</v>
      </c>
      <c r="BQ827" s="2" t="s">
        <v>74</v>
      </c>
      <c r="BR827" s="2" t="s">
        <v>74</v>
      </c>
      <c r="BS827" s="2" t="s">
        <v>1523</v>
      </c>
      <c r="BT827" s="2" t="str">
        <f>HYPERLINK("https%3A%2F%2Fwww.webofscience.com%2Fwos%2Fwoscc%2Ffull-record%2FWOS:000300185900006","View Full Record in Web of Science")</f>
        <v>View Full Record in Web of Science</v>
      </c>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row>
    <row r="828" spans="1:314" s="2" customFormat="1" x14ac:dyDescent="0.4">
      <c r="A828" s="2" t="s">
        <v>72</v>
      </c>
      <c r="B828" s="2" t="s">
        <v>4121</v>
      </c>
      <c r="C828" s="2" t="s">
        <v>74</v>
      </c>
      <c r="D828" s="2" t="s">
        <v>74</v>
      </c>
      <c r="E828" s="2" t="s">
        <v>74</v>
      </c>
      <c r="F828" s="2" t="s">
        <v>4122</v>
      </c>
      <c r="G828" s="2" t="s">
        <v>74</v>
      </c>
      <c r="H828" s="2" t="s">
        <v>74</v>
      </c>
      <c r="I828" s="2" t="s">
        <v>4123</v>
      </c>
      <c r="J828" s="2" t="s">
        <v>140</v>
      </c>
      <c r="K828" s="2" t="s">
        <v>74</v>
      </c>
      <c r="L828" s="2" t="s">
        <v>74</v>
      </c>
      <c r="M828" s="2" t="s">
        <v>74</v>
      </c>
      <c r="N828" s="2" t="s">
        <v>74</v>
      </c>
      <c r="O828" s="2" t="s">
        <v>74</v>
      </c>
      <c r="P828" s="2" t="s">
        <v>74</v>
      </c>
      <c r="Q828" s="2" t="s">
        <v>74</v>
      </c>
      <c r="R828" s="2" t="s">
        <v>74</v>
      </c>
      <c r="S828" s="2" t="s">
        <v>74</v>
      </c>
      <c r="T828" s="2" t="s">
        <v>74</v>
      </c>
      <c r="U828" s="2" t="s">
        <v>74</v>
      </c>
      <c r="V828" s="5" t="s">
        <v>4124</v>
      </c>
      <c r="W828" s="2" t="s">
        <v>74</v>
      </c>
      <c r="X828" s="2" t="s">
        <v>74</v>
      </c>
      <c r="Y828" s="2" t="s">
        <v>74</v>
      </c>
      <c r="Z828" s="2" t="s">
        <v>74</v>
      </c>
      <c r="AA828" s="2" t="s">
        <v>4125</v>
      </c>
      <c r="AB828" s="2" t="s">
        <v>4126</v>
      </c>
      <c r="AC828" s="2" t="s">
        <v>74</v>
      </c>
      <c r="AD828" s="2" t="s">
        <v>74</v>
      </c>
      <c r="AE828" s="2" t="s">
        <v>74</v>
      </c>
      <c r="AF828" s="2" t="s">
        <v>74</v>
      </c>
      <c r="AG828" s="2" t="s">
        <v>74</v>
      </c>
      <c r="AH828" s="2" t="s">
        <v>74</v>
      </c>
      <c r="AI828" s="2" t="s">
        <v>74</v>
      </c>
      <c r="AJ828" s="2" t="s">
        <v>74</v>
      </c>
      <c r="AK828" s="2" t="s">
        <v>74</v>
      </c>
      <c r="AL828" s="2" t="s">
        <v>74</v>
      </c>
      <c r="AM828" s="2" t="s">
        <v>74</v>
      </c>
      <c r="AN828" s="2" t="s">
        <v>74</v>
      </c>
      <c r="AO828" s="2" t="s">
        <v>143</v>
      </c>
      <c r="AP828" s="2" t="s">
        <v>144</v>
      </c>
      <c r="AQ828" s="2" t="s">
        <v>74</v>
      </c>
      <c r="AR828" s="2" t="s">
        <v>74</v>
      </c>
      <c r="AS828" s="2" t="s">
        <v>74</v>
      </c>
      <c r="AT828" s="2" t="s">
        <v>964</v>
      </c>
      <c r="AU828" s="2">
        <v>2009</v>
      </c>
      <c r="AV828" s="2">
        <v>77</v>
      </c>
      <c r="AW828" s="2">
        <v>2</v>
      </c>
      <c r="AX828" s="2" t="s">
        <v>74</v>
      </c>
      <c r="AY828" s="2" t="s">
        <v>74</v>
      </c>
      <c r="AZ828" s="2" t="s">
        <v>74</v>
      </c>
      <c r="BA828" s="2" t="s">
        <v>74</v>
      </c>
      <c r="BB828" s="2">
        <v>419</v>
      </c>
      <c r="BC828" s="2">
        <v>424</v>
      </c>
      <c r="BD828" s="2" t="s">
        <v>74</v>
      </c>
      <c r="BE828" s="2" t="s">
        <v>4127</v>
      </c>
      <c r="BF828" s="2" t="str">
        <f>HYPERLINK("http://dx.doi.org/10.1016/j.anbehav.2008.10.017","http://dx.doi.org/10.1016/j.anbehav.2008.10.017")</f>
        <v>http://dx.doi.org/10.1016/j.anbehav.2008.10.017</v>
      </c>
      <c r="BG828" s="2" t="s">
        <v>74</v>
      </c>
      <c r="BH828" s="2" t="s">
        <v>74</v>
      </c>
      <c r="BI828" s="2" t="s">
        <v>74</v>
      </c>
      <c r="BJ828" s="2" t="s">
        <v>74</v>
      </c>
      <c r="BK828" s="2" t="s">
        <v>74</v>
      </c>
      <c r="BL828" s="2" t="s">
        <v>74</v>
      </c>
      <c r="BM828" s="2" t="s">
        <v>74</v>
      </c>
      <c r="BN828" s="2" t="s">
        <v>74</v>
      </c>
      <c r="BO828" s="2" t="s">
        <v>74</v>
      </c>
      <c r="BP828" s="2" t="s">
        <v>74</v>
      </c>
      <c r="BQ828" s="2" t="s">
        <v>74</v>
      </c>
      <c r="BR828" s="2" t="s">
        <v>74</v>
      </c>
      <c r="BS828" s="2" t="s">
        <v>4128</v>
      </c>
      <c r="BT828" s="2" t="str">
        <f>HYPERLINK("https%3A%2F%2Fwww.webofscience.com%2Fwos%2Fwoscc%2Ffull-record%2FWOS:000262709400018","View Full Record in Web of Science")</f>
        <v>View Full Record in Web of Science</v>
      </c>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row>
    <row r="829" spans="1:314" s="2" customFormat="1" x14ac:dyDescent="0.4">
      <c r="A829" s="2" t="s">
        <v>72</v>
      </c>
      <c r="B829" s="2" t="s">
        <v>7412</v>
      </c>
      <c r="C829" s="2" t="s">
        <v>74</v>
      </c>
      <c r="D829" s="2" t="s">
        <v>74</v>
      </c>
      <c r="E829" s="2" t="s">
        <v>74</v>
      </c>
      <c r="F829" s="2" t="s">
        <v>7413</v>
      </c>
      <c r="G829" s="2" t="s">
        <v>74</v>
      </c>
      <c r="H829" s="2" t="s">
        <v>74</v>
      </c>
      <c r="I829" s="2" t="s">
        <v>7414</v>
      </c>
      <c r="J829" s="2" t="s">
        <v>5454</v>
      </c>
      <c r="K829" s="2" t="s">
        <v>74</v>
      </c>
      <c r="L829" s="2" t="s">
        <v>74</v>
      </c>
      <c r="M829" s="2" t="s">
        <v>74</v>
      </c>
      <c r="N829" s="2" t="s">
        <v>74</v>
      </c>
      <c r="O829" s="2" t="s">
        <v>74</v>
      </c>
      <c r="P829" s="2" t="s">
        <v>74</v>
      </c>
      <c r="Q829" s="2" t="s">
        <v>74</v>
      </c>
      <c r="R829" s="2" t="s">
        <v>74</v>
      </c>
      <c r="S829" s="2" t="s">
        <v>74</v>
      </c>
      <c r="T829" s="2" t="s">
        <v>74</v>
      </c>
      <c r="U829" s="2" t="s">
        <v>74</v>
      </c>
      <c r="V829" s="5" t="s">
        <v>7415</v>
      </c>
      <c r="W829" s="2" t="s">
        <v>74</v>
      </c>
      <c r="X829" s="2" t="s">
        <v>74</v>
      </c>
      <c r="Y829" s="2" t="s">
        <v>74</v>
      </c>
      <c r="Z829" s="2" t="s">
        <v>74</v>
      </c>
      <c r="AA829" s="2" t="s">
        <v>74</v>
      </c>
      <c r="AB829" s="2" t="s">
        <v>74</v>
      </c>
      <c r="AC829" s="2" t="s">
        <v>74</v>
      </c>
      <c r="AD829" s="2" t="s">
        <v>74</v>
      </c>
      <c r="AE829" s="2" t="s">
        <v>74</v>
      </c>
      <c r="AF829" s="2" t="s">
        <v>74</v>
      </c>
      <c r="AG829" s="2" t="s">
        <v>74</v>
      </c>
      <c r="AH829" s="2" t="s">
        <v>74</v>
      </c>
      <c r="AI829" s="2" t="s">
        <v>74</v>
      </c>
      <c r="AJ829" s="2" t="s">
        <v>74</v>
      </c>
      <c r="AK829" s="2" t="s">
        <v>74</v>
      </c>
      <c r="AL829" s="2" t="s">
        <v>74</v>
      </c>
      <c r="AM829" s="2" t="s">
        <v>74</v>
      </c>
      <c r="AN829" s="2" t="s">
        <v>74</v>
      </c>
      <c r="AO829" s="2" t="s">
        <v>5458</v>
      </c>
      <c r="AP829" s="2" t="s">
        <v>7416</v>
      </c>
      <c r="AQ829" s="2" t="s">
        <v>74</v>
      </c>
      <c r="AR829" s="2" t="s">
        <v>74</v>
      </c>
      <c r="AS829" s="2" t="s">
        <v>74</v>
      </c>
      <c r="AT829" s="2" t="s">
        <v>102</v>
      </c>
      <c r="AU829" s="2">
        <v>2021</v>
      </c>
      <c r="AV829" s="2">
        <v>96</v>
      </c>
      <c r="AW829" s="2" t="s">
        <v>74</v>
      </c>
      <c r="AX829" s="2" t="s">
        <v>74</v>
      </c>
      <c r="AY829" s="2" t="s">
        <v>74</v>
      </c>
      <c r="AZ829" s="2" t="s">
        <v>74</v>
      </c>
      <c r="BA829" s="2" t="s">
        <v>74</v>
      </c>
      <c r="BB829" s="2" t="s">
        <v>74</v>
      </c>
      <c r="BC829" s="2" t="s">
        <v>74</v>
      </c>
      <c r="BD829" s="2">
        <v>104265</v>
      </c>
      <c r="BE829" s="2" t="s">
        <v>7417</v>
      </c>
      <c r="BF829" s="2" t="str">
        <f>HYPERLINK("http://dx.doi.org/10.1016/j.bse.2021.104265","http://dx.doi.org/10.1016/j.bse.2021.104265")</f>
        <v>http://dx.doi.org/10.1016/j.bse.2021.104265</v>
      </c>
      <c r="BG829" s="2" t="s">
        <v>74</v>
      </c>
      <c r="BH829" s="2" t="s">
        <v>236</v>
      </c>
      <c r="BI829" s="2" t="s">
        <v>74</v>
      </c>
      <c r="BJ829" s="2" t="s">
        <v>74</v>
      </c>
      <c r="BK829" s="2" t="s">
        <v>74</v>
      </c>
      <c r="BL829" s="2" t="s">
        <v>74</v>
      </c>
      <c r="BM829" s="2" t="s">
        <v>74</v>
      </c>
      <c r="BN829" s="2" t="s">
        <v>74</v>
      </c>
      <c r="BO829" s="2" t="s">
        <v>74</v>
      </c>
      <c r="BP829" s="2" t="s">
        <v>74</v>
      </c>
      <c r="BQ829" s="2" t="s">
        <v>74</v>
      </c>
      <c r="BR829" s="2" t="s">
        <v>74</v>
      </c>
      <c r="BS829" s="2" t="s">
        <v>7418</v>
      </c>
      <c r="BT829" s="2" t="str">
        <f>HYPERLINK("https%3A%2F%2Fwww.webofscience.com%2Fwos%2Fwoscc%2Ffull-record%2FWOS:000653443100011","View Full Record in Web of Science")</f>
        <v>View Full Record in Web of Science</v>
      </c>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row>
    <row r="830" spans="1:314" s="2" customFormat="1" x14ac:dyDescent="0.4">
      <c r="A830" s="2" t="s">
        <v>72</v>
      </c>
      <c r="B830" s="2" t="s">
        <v>4014</v>
      </c>
      <c r="C830" s="2" t="s">
        <v>74</v>
      </c>
      <c r="D830" s="2" t="s">
        <v>74</v>
      </c>
      <c r="E830" s="2" t="s">
        <v>74</v>
      </c>
      <c r="F830" s="2" t="s">
        <v>4015</v>
      </c>
      <c r="G830" s="2" t="s">
        <v>74</v>
      </c>
      <c r="H830" s="2" t="s">
        <v>74</v>
      </c>
      <c r="I830" s="2" t="s">
        <v>4016</v>
      </c>
      <c r="J830" s="2" t="s">
        <v>610</v>
      </c>
      <c r="K830" s="2" t="s">
        <v>74</v>
      </c>
      <c r="L830" s="2" t="s">
        <v>74</v>
      </c>
      <c r="M830" s="2" t="s">
        <v>74</v>
      </c>
      <c r="N830" s="2" t="s">
        <v>74</v>
      </c>
      <c r="O830" s="2" t="s">
        <v>74</v>
      </c>
      <c r="P830" s="2" t="s">
        <v>74</v>
      </c>
      <c r="Q830" s="2" t="s">
        <v>74</v>
      </c>
      <c r="R830" s="2" t="s">
        <v>74</v>
      </c>
      <c r="S830" s="2" t="s">
        <v>74</v>
      </c>
      <c r="T830" s="2" t="s">
        <v>74</v>
      </c>
      <c r="U830" s="2" t="s">
        <v>74</v>
      </c>
      <c r="V830" s="5" t="s">
        <v>4017</v>
      </c>
      <c r="W830" s="2" t="s">
        <v>74</v>
      </c>
      <c r="X830" s="2" t="s">
        <v>74</v>
      </c>
      <c r="Y830" s="2" t="s">
        <v>74</v>
      </c>
      <c r="Z830" s="2" t="s">
        <v>74</v>
      </c>
      <c r="AA830" s="2" t="s">
        <v>74</v>
      </c>
      <c r="AB830" s="2" t="s">
        <v>4018</v>
      </c>
      <c r="AC830" s="2" t="s">
        <v>74</v>
      </c>
      <c r="AD830" s="2" t="s">
        <v>74</v>
      </c>
      <c r="AE830" s="2" t="s">
        <v>74</v>
      </c>
      <c r="AF830" s="2" t="s">
        <v>74</v>
      </c>
      <c r="AG830" s="2" t="s">
        <v>74</v>
      </c>
      <c r="AH830" s="2" t="s">
        <v>74</v>
      </c>
      <c r="AI830" s="2" t="s">
        <v>74</v>
      </c>
      <c r="AJ830" s="2" t="s">
        <v>74</v>
      </c>
      <c r="AK830" s="2" t="s">
        <v>74</v>
      </c>
      <c r="AL830" s="2" t="s">
        <v>74</v>
      </c>
      <c r="AM830" s="2" t="s">
        <v>74</v>
      </c>
      <c r="AN830" s="2" t="s">
        <v>74</v>
      </c>
      <c r="AO830" s="2" t="s">
        <v>614</v>
      </c>
      <c r="AP830" s="2" t="s">
        <v>615</v>
      </c>
      <c r="AQ830" s="2" t="s">
        <v>74</v>
      </c>
      <c r="AR830" s="2" t="s">
        <v>74</v>
      </c>
      <c r="AS830" s="2" t="s">
        <v>74</v>
      </c>
      <c r="AT830" s="2" t="s">
        <v>352</v>
      </c>
      <c r="AU830" s="2">
        <v>2018</v>
      </c>
      <c r="AV830" s="2">
        <v>124</v>
      </c>
      <c r="AW830" s="2">
        <v>9</v>
      </c>
      <c r="AX830" s="2" t="s">
        <v>74</v>
      </c>
      <c r="AY830" s="2" t="s">
        <v>74</v>
      </c>
      <c r="AZ830" s="2" t="s">
        <v>74</v>
      </c>
      <c r="BA830" s="2" t="s">
        <v>74</v>
      </c>
      <c r="BB830" s="2">
        <v>684</v>
      </c>
      <c r="BC830" s="2">
        <v>690</v>
      </c>
      <c r="BD830" s="2" t="s">
        <v>74</v>
      </c>
      <c r="BE830" s="2" t="s">
        <v>4019</v>
      </c>
      <c r="BF830" s="2" t="str">
        <f>HYPERLINK("http://dx.doi.org/10.1111/eth.12801","http://dx.doi.org/10.1111/eth.12801")</f>
        <v>http://dx.doi.org/10.1111/eth.12801</v>
      </c>
      <c r="BG830" s="2" t="s">
        <v>74</v>
      </c>
      <c r="BH830" s="2" t="s">
        <v>74</v>
      </c>
      <c r="BI830" s="2" t="s">
        <v>74</v>
      </c>
      <c r="BJ830" s="2" t="s">
        <v>74</v>
      </c>
      <c r="BK830" s="2" t="s">
        <v>74</v>
      </c>
      <c r="BL830" s="2" t="s">
        <v>74</v>
      </c>
      <c r="BM830" s="2" t="s">
        <v>74</v>
      </c>
      <c r="BN830" s="2" t="s">
        <v>74</v>
      </c>
      <c r="BO830" s="2" t="s">
        <v>74</v>
      </c>
      <c r="BP830" s="2" t="s">
        <v>74</v>
      </c>
      <c r="BQ830" s="2" t="s">
        <v>74</v>
      </c>
      <c r="BR830" s="2" t="s">
        <v>74</v>
      </c>
      <c r="BS830" s="2" t="s">
        <v>4020</v>
      </c>
      <c r="BT830" s="2" t="str">
        <f>HYPERLINK("https%3A%2F%2Fwww.webofscience.com%2Fwos%2Fwoscc%2Ffull-record%2FWOS:000440649700008","View Full Record in Web of Science")</f>
        <v>View Full Record in Web of Science</v>
      </c>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row>
    <row r="831" spans="1:314" s="1" customFormat="1" x14ac:dyDescent="0.4">
      <c r="A831" s="2" t="s">
        <v>72</v>
      </c>
      <c r="B831" s="2" t="s">
        <v>4445</v>
      </c>
      <c r="C831" s="2" t="s">
        <v>74</v>
      </c>
      <c r="D831" s="2" t="s">
        <v>74</v>
      </c>
      <c r="E831" s="2" t="s">
        <v>74</v>
      </c>
      <c r="F831" s="2" t="s">
        <v>4446</v>
      </c>
      <c r="G831" s="2" t="s">
        <v>74</v>
      </c>
      <c r="H831" s="2" t="s">
        <v>74</v>
      </c>
      <c r="I831" s="2" t="s">
        <v>4447</v>
      </c>
      <c r="J831" s="2" t="s">
        <v>129</v>
      </c>
      <c r="K831" s="2" t="s">
        <v>74</v>
      </c>
      <c r="L831" s="2" t="s">
        <v>74</v>
      </c>
      <c r="M831" s="2" t="s">
        <v>74</v>
      </c>
      <c r="N831" s="2" t="s">
        <v>74</v>
      </c>
      <c r="O831" s="2" t="s">
        <v>74</v>
      </c>
      <c r="P831" s="2" t="s">
        <v>74</v>
      </c>
      <c r="Q831" s="2" t="s">
        <v>74</v>
      </c>
      <c r="R831" s="2" t="s">
        <v>74</v>
      </c>
      <c r="S831" s="2" t="s">
        <v>74</v>
      </c>
      <c r="T831" s="2" t="s">
        <v>74</v>
      </c>
      <c r="U831" s="2" t="s">
        <v>74</v>
      </c>
      <c r="V831" s="5" t="s">
        <v>4448</v>
      </c>
      <c r="W831" s="2" t="s">
        <v>74</v>
      </c>
      <c r="X831" s="2" t="s">
        <v>74</v>
      </c>
      <c r="Y831" s="2" t="s">
        <v>74</v>
      </c>
      <c r="Z831" s="2" t="s">
        <v>74</v>
      </c>
      <c r="AA831" s="2" t="s">
        <v>4449</v>
      </c>
      <c r="AB831" s="2" t="s">
        <v>4450</v>
      </c>
      <c r="AC831" s="2" t="s">
        <v>74</v>
      </c>
      <c r="AD831" s="2" t="s">
        <v>74</v>
      </c>
      <c r="AE831" s="2" t="s">
        <v>74</v>
      </c>
      <c r="AF831" s="2" t="s">
        <v>74</v>
      </c>
      <c r="AG831" s="2" t="s">
        <v>74</v>
      </c>
      <c r="AH831" s="2" t="s">
        <v>74</v>
      </c>
      <c r="AI831" s="2" t="s">
        <v>74</v>
      </c>
      <c r="AJ831" s="2" t="s">
        <v>74</v>
      </c>
      <c r="AK831" s="2" t="s">
        <v>74</v>
      </c>
      <c r="AL831" s="2" t="s">
        <v>74</v>
      </c>
      <c r="AM831" s="2" t="s">
        <v>74</v>
      </c>
      <c r="AN831" s="2" t="s">
        <v>74</v>
      </c>
      <c r="AO831" s="2" t="s">
        <v>132</v>
      </c>
      <c r="AP831" s="2" t="s">
        <v>133</v>
      </c>
      <c r="AQ831" s="2" t="s">
        <v>74</v>
      </c>
      <c r="AR831" s="2" t="s">
        <v>74</v>
      </c>
      <c r="AS831" s="2" t="s">
        <v>74</v>
      </c>
      <c r="AT831" s="2" t="s">
        <v>352</v>
      </c>
      <c r="AU831" s="2">
        <v>2013</v>
      </c>
      <c r="AV831" s="2">
        <v>67</v>
      </c>
      <c r="AW831" s="2">
        <v>9</v>
      </c>
      <c r="AX831" s="2" t="s">
        <v>74</v>
      </c>
      <c r="AY831" s="2" t="s">
        <v>74</v>
      </c>
      <c r="AZ831" s="2" t="s">
        <v>848</v>
      </c>
      <c r="BA831" s="2" t="s">
        <v>74</v>
      </c>
      <c r="BB831" s="2">
        <v>1513</v>
      </c>
      <c r="BC831" s="2">
        <v>1522</v>
      </c>
      <c r="BD831" s="2" t="s">
        <v>74</v>
      </c>
      <c r="BE831" s="2" t="s">
        <v>4451</v>
      </c>
      <c r="BF831" s="2" t="str">
        <f>HYPERLINK("http://dx.doi.org/10.1007/s00265-013-1535-4","http://dx.doi.org/10.1007/s00265-013-1535-4")</f>
        <v>http://dx.doi.org/10.1007/s00265-013-1535-4</v>
      </c>
      <c r="BG831" s="2" t="s">
        <v>74</v>
      </c>
      <c r="BH831" s="2" t="s">
        <v>74</v>
      </c>
      <c r="BI831" s="2" t="s">
        <v>74</v>
      </c>
      <c r="BJ831" s="2" t="s">
        <v>74</v>
      </c>
      <c r="BK831" s="2" t="s">
        <v>74</v>
      </c>
      <c r="BL831" s="2" t="s">
        <v>74</v>
      </c>
      <c r="BM831" s="2" t="s">
        <v>74</v>
      </c>
      <c r="BN831" s="2" t="s">
        <v>74</v>
      </c>
      <c r="BO831" s="2" t="s">
        <v>74</v>
      </c>
      <c r="BP831" s="2" t="s">
        <v>74</v>
      </c>
      <c r="BQ831" s="2" t="s">
        <v>74</v>
      </c>
      <c r="BR831" s="2" t="s">
        <v>74</v>
      </c>
      <c r="BS831" s="2" t="s">
        <v>4452</v>
      </c>
      <c r="BT831" s="2" t="str">
        <f>HYPERLINK("https%3A%2F%2Fwww.webofscience.com%2Fwos%2Fwoscc%2Ffull-record%2FWOS:000323103400013","View Full Record in Web of Science")</f>
        <v>View Full Record in Web of Science</v>
      </c>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row>
    <row r="832" spans="1:314" s="2" customFormat="1" x14ac:dyDescent="0.4">
      <c r="A832" s="2" t="s">
        <v>72</v>
      </c>
      <c r="B832" s="2" t="s">
        <v>8459</v>
      </c>
      <c r="C832" s="2" t="s">
        <v>74</v>
      </c>
      <c r="D832" s="2" t="s">
        <v>74</v>
      </c>
      <c r="E832" s="2" t="s">
        <v>74</v>
      </c>
      <c r="F832" s="2" t="s">
        <v>8459</v>
      </c>
      <c r="G832" s="2" t="s">
        <v>74</v>
      </c>
      <c r="H832" s="2" t="s">
        <v>74</v>
      </c>
      <c r="I832" s="2" t="s">
        <v>8460</v>
      </c>
      <c r="J832" s="2" t="s">
        <v>8461</v>
      </c>
      <c r="K832" s="2" t="s">
        <v>74</v>
      </c>
      <c r="L832" s="2" t="s">
        <v>74</v>
      </c>
      <c r="M832" s="2" t="s">
        <v>74</v>
      </c>
      <c r="N832" s="2" t="s">
        <v>74</v>
      </c>
      <c r="O832" s="2" t="s">
        <v>74</v>
      </c>
      <c r="P832" s="2" t="s">
        <v>74</v>
      </c>
      <c r="Q832" s="2" t="s">
        <v>74</v>
      </c>
      <c r="R832" s="2" t="s">
        <v>74</v>
      </c>
      <c r="S832" s="2" t="s">
        <v>74</v>
      </c>
      <c r="T832" s="2" t="s">
        <v>74</v>
      </c>
      <c r="U832" s="2" t="s">
        <v>74</v>
      </c>
      <c r="V832" s="5" t="s">
        <v>8462</v>
      </c>
      <c r="W832" s="2" t="s">
        <v>74</v>
      </c>
      <c r="X832" s="2" t="s">
        <v>74</v>
      </c>
      <c r="Y832" s="2" t="s">
        <v>74</v>
      </c>
      <c r="Z832" s="2" t="s">
        <v>74</v>
      </c>
      <c r="AA832" s="2" t="s">
        <v>74</v>
      </c>
      <c r="AB832" s="2" t="s">
        <v>74</v>
      </c>
      <c r="AC832" s="2" t="s">
        <v>74</v>
      </c>
      <c r="AD832" s="2" t="s">
        <v>74</v>
      </c>
      <c r="AE832" s="2" t="s">
        <v>74</v>
      </c>
      <c r="AF832" s="2" t="s">
        <v>74</v>
      </c>
      <c r="AG832" s="2" t="s">
        <v>74</v>
      </c>
      <c r="AH832" s="2" t="s">
        <v>74</v>
      </c>
      <c r="AI832" s="2" t="s">
        <v>74</v>
      </c>
      <c r="AJ832" s="2" t="s">
        <v>74</v>
      </c>
      <c r="AK832" s="2" t="s">
        <v>74</v>
      </c>
      <c r="AL832" s="2" t="s">
        <v>74</v>
      </c>
      <c r="AM832" s="2" t="s">
        <v>74</v>
      </c>
      <c r="AN832" s="2" t="s">
        <v>74</v>
      </c>
      <c r="AO832" s="2" t="s">
        <v>8463</v>
      </c>
      <c r="AP832" s="2" t="s">
        <v>74</v>
      </c>
      <c r="AQ832" s="2" t="s">
        <v>74</v>
      </c>
      <c r="AR832" s="2" t="s">
        <v>74</v>
      </c>
      <c r="AS832" s="2" t="s">
        <v>74</v>
      </c>
      <c r="AT832" s="2" t="s">
        <v>74</v>
      </c>
      <c r="AU832" s="2">
        <v>1988</v>
      </c>
      <c r="AV832" s="2">
        <v>15</v>
      </c>
      <c r="AW832" s="2">
        <v>5</v>
      </c>
      <c r="AX832" s="2" t="s">
        <v>74</v>
      </c>
      <c r="AY832" s="2" t="s">
        <v>74</v>
      </c>
      <c r="AZ832" s="2" t="s">
        <v>74</v>
      </c>
      <c r="BA832" s="2" t="s">
        <v>74</v>
      </c>
      <c r="BB832" s="2">
        <v>541</v>
      </c>
      <c r="BC832" s="2">
        <v>560</v>
      </c>
      <c r="BD832" s="2" t="s">
        <v>74</v>
      </c>
      <c r="BE832" s="2" t="s">
        <v>74</v>
      </c>
      <c r="BF832" s="2" t="s">
        <v>74</v>
      </c>
      <c r="BG832" s="2" t="s">
        <v>74</v>
      </c>
      <c r="BH832" s="2" t="s">
        <v>74</v>
      </c>
      <c r="BI832" s="2" t="s">
        <v>74</v>
      </c>
      <c r="BJ832" s="2" t="s">
        <v>74</v>
      </c>
      <c r="BK832" s="2" t="s">
        <v>74</v>
      </c>
      <c r="BL832" s="2" t="s">
        <v>74</v>
      </c>
      <c r="BM832" s="2" t="s">
        <v>74</v>
      </c>
      <c r="BN832" s="2" t="s">
        <v>74</v>
      </c>
      <c r="BO832" s="2" t="s">
        <v>74</v>
      </c>
      <c r="BP832" s="2" t="s">
        <v>74</v>
      </c>
      <c r="BQ832" s="2" t="s">
        <v>74</v>
      </c>
      <c r="BR832" s="2" t="s">
        <v>74</v>
      </c>
      <c r="BS832" s="2" t="s">
        <v>8464</v>
      </c>
      <c r="BT832" s="2" t="str">
        <f>HYPERLINK("https%3A%2F%2Fwww.webofscience.com%2Fwos%2Fwoscc%2Ffull-record%2FWOS:A1988U589900008","View Full Record in Web of Science")</f>
        <v>View Full Record in Web of Science</v>
      </c>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row>
    <row r="833" spans="1:314" s="2" customFormat="1" x14ac:dyDescent="0.4">
      <c r="A833" s="2" t="s">
        <v>72</v>
      </c>
      <c r="B833" s="2" t="s">
        <v>3050</v>
      </c>
      <c r="C833" s="2" t="s">
        <v>74</v>
      </c>
      <c r="D833" s="2" t="s">
        <v>74</v>
      </c>
      <c r="E833" s="2" t="s">
        <v>74</v>
      </c>
      <c r="F833" s="2" t="s">
        <v>3051</v>
      </c>
      <c r="G833" s="2" t="s">
        <v>74</v>
      </c>
      <c r="H833" s="2" t="s">
        <v>74</v>
      </c>
      <c r="I833" s="2" t="s">
        <v>3052</v>
      </c>
      <c r="J833" s="2" t="s">
        <v>775</v>
      </c>
      <c r="K833" s="2" t="s">
        <v>74</v>
      </c>
      <c r="L833" s="2" t="s">
        <v>74</v>
      </c>
      <c r="M833" s="2" t="s">
        <v>74</v>
      </c>
      <c r="N833" s="2" t="s">
        <v>74</v>
      </c>
      <c r="O833" s="2" t="s">
        <v>74</v>
      </c>
      <c r="P833" s="2" t="s">
        <v>74</v>
      </c>
      <c r="Q833" s="2" t="s">
        <v>74</v>
      </c>
      <c r="R833" s="2" t="s">
        <v>74</v>
      </c>
      <c r="S833" s="2" t="s">
        <v>74</v>
      </c>
      <c r="T833" s="2" t="s">
        <v>74</v>
      </c>
      <c r="U833" s="2" t="s">
        <v>74</v>
      </c>
      <c r="V833" s="5" t="s">
        <v>3053</v>
      </c>
      <c r="W833" s="2" t="s">
        <v>74</v>
      </c>
      <c r="X833" s="2" t="s">
        <v>74</v>
      </c>
      <c r="Y833" s="2" t="s">
        <v>74</v>
      </c>
      <c r="Z833" s="2" t="s">
        <v>74</v>
      </c>
      <c r="AA833" s="2" t="s">
        <v>74</v>
      </c>
      <c r="AB833" s="2" t="s">
        <v>3054</v>
      </c>
      <c r="AC833" s="2" t="s">
        <v>74</v>
      </c>
      <c r="AD833" s="2" t="s">
        <v>74</v>
      </c>
      <c r="AE833" s="2" t="s">
        <v>74</v>
      </c>
      <c r="AF833" s="2" t="s">
        <v>74</v>
      </c>
      <c r="AG833" s="2" t="s">
        <v>74</v>
      </c>
      <c r="AH833" s="2" t="s">
        <v>74</v>
      </c>
      <c r="AI833" s="2" t="s">
        <v>74</v>
      </c>
      <c r="AJ833" s="2" t="s">
        <v>74</v>
      </c>
      <c r="AK833" s="2" t="s">
        <v>74</v>
      </c>
      <c r="AL833" s="2" t="s">
        <v>74</v>
      </c>
      <c r="AM833" s="2" t="s">
        <v>74</v>
      </c>
      <c r="AN833" s="2" t="s">
        <v>74</v>
      </c>
      <c r="AO833" s="2" t="s">
        <v>778</v>
      </c>
      <c r="AP833" s="2" t="s">
        <v>779</v>
      </c>
      <c r="AQ833" s="2" t="s">
        <v>74</v>
      </c>
      <c r="AR833" s="2" t="s">
        <v>74</v>
      </c>
      <c r="AS833" s="2" t="s">
        <v>74</v>
      </c>
      <c r="AT833" s="2" t="s">
        <v>2296</v>
      </c>
      <c r="AU833" s="2">
        <v>2024</v>
      </c>
      <c r="AV833" s="2">
        <v>70</v>
      </c>
      <c r="AW833" s="2">
        <v>1</v>
      </c>
      <c r="AX833" s="2" t="s">
        <v>74</v>
      </c>
      <c r="AY833" s="2" t="s">
        <v>74</v>
      </c>
      <c r="AZ833" s="2" t="s">
        <v>74</v>
      </c>
      <c r="BA833" s="2" t="s">
        <v>74</v>
      </c>
      <c r="BB833" s="2">
        <v>79</v>
      </c>
      <c r="BC833" s="2">
        <v>86</v>
      </c>
      <c r="BD833" s="2" t="s">
        <v>74</v>
      </c>
      <c r="BE833" s="2" t="s">
        <v>3055</v>
      </c>
      <c r="BF833" s="2" t="str">
        <f>HYPERLINK("http://dx.doi.org/10.1093/cz/zoac099","http://dx.doi.org/10.1093/cz/zoac099")</f>
        <v>http://dx.doi.org/10.1093/cz/zoac099</v>
      </c>
      <c r="BG833" s="2" t="s">
        <v>74</v>
      </c>
      <c r="BH833" s="2" t="s">
        <v>3048</v>
      </c>
      <c r="BI833" s="2" t="s">
        <v>74</v>
      </c>
      <c r="BJ833" s="2" t="s">
        <v>74</v>
      </c>
      <c r="BK833" s="2" t="s">
        <v>74</v>
      </c>
      <c r="BL833" s="2" t="s">
        <v>74</v>
      </c>
      <c r="BM833" s="2" t="s">
        <v>74</v>
      </c>
      <c r="BN833" s="2">
        <v>38476140</v>
      </c>
      <c r="BO833" s="2" t="s">
        <v>74</v>
      </c>
      <c r="BP833" s="2" t="s">
        <v>74</v>
      </c>
      <c r="BQ833" s="2" t="s">
        <v>74</v>
      </c>
      <c r="BR833" s="2" t="s">
        <v>74</v>
      </c>
      <c r="BS833" s="2" t="s">
        <v>3056</v>
      </c>
      <c r="BT833" s="2" t="str">
        <f>HYPERLINK("https%3A%2F%2Fwww.webofscience.com%2Fwos%2Fwoscc%2Ffull-record%2FWOS:000941847900001","View Full Record in Web of Science")</f>
        <v>View Full Record in Web of Science</v>
      </c>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row>
    <row r="834" spans="1:314" s="2" customFormat="1" x14ac:dyDescent="0.4">
      <c r="A834" s="2" t="s">
        <v>72</v>
      </c>
      <c r="B834" s="2" t="s">
        <v>1653</v>
      </c>
      <c r="C834" s="2" t="s">
        <v>74</v>
      </c>
      <c r="D834" s="2" t="s">
        <v>74</v>
      </c>
      <c r="E834" s="2" t="s">
        <v>74</v>
      </c>
      <c r="F834" s="2" t="s">
        <v>1654</v>
      </c>
      <c r="G834" s="2" t="s">
        <v>74</v>
      </c>
      <c r="H834" s="2" t="s">
        <v>74</v>
      </c>
      <c r="I834" s="2" t="s">
        <v>1655</v>
      </c>
      <c r="J834" s="2" t="s">
        <v>1656</v>
      </c>
      <c r="K834" s="2" t="s">
        <v>74</v>
      </c>
      <c r="L834" s="2" t="s">
        <v>74</v>
      </c>
      <c r="M834" s="2" t="s">
        <v>74</v>
      </c>
      <c r="N834" s="2" t="s">
        <v>74</v>
      </c>
      <c r="O834" s="2" t="s">
        <v>74</v>
      </c>
      <c r="P834" s="2" t="s">
        <v>74</v>
      </c>
      <c r="Q834" s="2" t="s">
        <v>74</v>
      </c>
      <c r="R834" s="2" t="s">
        <v>74</v>
      </c>
      <c r="S834" s="2" t="s">
        <v>74</v>
      </c>
      <c r="T834" s="2" t="s">
        <v>74</v>
      </c>
      <c r="U834" s="2" t="s">
        <v>74</v>
      </c>
      <c r="V834" s="5" t="s">
        <v>1657</v>
      </c>
      <c r="W834" s="2" t="s">
        <v>74</v>
      </c>
      <c r="X834" s="2" t="s">
        <v>74</v>
      </c>
      <c r="Y834" s="2" t="s">
        <v>74</v>
      </c>
      <c r="Z834" s="2" t="s">
        <v>74</v>
      </c>
      <c r="AA834" s="2" t="s">
        <v>74</v>
      </c>
      <c r="AB834" s="2" t="s">
        <v>74</v>
      </c>
      <c r="AC834" s="2" t="s">
        <v>74</v>
      </c>
      <c r="AD834" s="2" t="s">
        <v>74</v>
      </c>
      <c r="AE834" s="2" t="s">
        <v>74</v>
      </c>
      <c r="AF834" s="2" t="s">
        <v>74</v>
      </c>
      <c r="AG834" s="2" t="s">
        <v>74</v>
      </c>
      <c r="AH834" s="2" t="s">
        <v>74</v>
      </c>
      <c r="AI834" s="2" t="s">
        <v>74</v>
      </c>
      <c r="AJ834" s="2" t="s">
        <v>74</v>
      </c>
      <c r="AK834" s="2" t="s">
        <v>74</v>
      </c>
      <c r="AL834" s="2" t="s">
        <v>74</v>
      </c>
      <c r="AM834" s="2" t="s">
        <v>74</v>
      </c>
      <c r="AN834" s="2" t="s">
        <v>74</v>
      </c>
      <c r="AO834" s="2" t="s">
        <v>1658</v>
      </c>
      <c r="AP834" s="2" t="s">
        <v>1659</v>
      </c>
      <c r="AQ834" s="2" t="s">
        <v>74</v>
      </c>
      <c r="AR834" s="2" t="s">
        <v>74</v>
      </c>
      <c r="AS834" s="2" t="s">
        <v>74</v>
      </c>
      <c r="AT834" s="2" t="s">
        <v>1660</v>
      </c>
      <c r="AU834" s="2">
        <v>2013</v>
      </c>
      <c r="AV834" s="2">
        <v>3608</v>
      </c>
      <c r="AW834" s="2">
        <v>5</v>
      </c>
      <c r="AX834" s="2" t="s">
        <v>74</v>
      </c>
      <c r="AY834" s="2" t="s">
        <v>74</v>
      </c>
      <c r="AZ834" s="2" t="s">
        <v>74</v>
      </c>
      <c r="BA834" s="2" t="s">
        <v>74</v>
      </c>
      <c r="BB834" s="2">
        <v>328</v>
      </c>
      <c r="BC834" s="2">
        <v>344</v>
      </c>
      <c r="BD834" s="2" t="s">
        <v>74</v>
      </c>
      <c r="BE834" s="2" t="s">
        <v>1661</v>
      </c>
      <c r="BF834" s="2" t="str">
        <f>HYPERLINK("http://dx.doi.org/10.11646/zootaxa.3608.5.2","http://dx.doi.org/10.11646/zootaxa.3608.5.2")</f>
        <v>http://dx.doi.org/10.11646/zootaxa.3608.5.2</v>
      </c>
      <c r="BG834" s="2" t="s">
        <v>74</v>
      </c>
      <c r="BH834" s="2" t="s">
        <v>74</v>
      </c>
      <c r="BI834" s="2" t="s">
        <v>74</v>
      </c>
      <c r="BJ834" s="2" t="s">
        <v>74</v>
      </c>
      <c r="BK834" s="2" t="s">
        <v>74</v>
      </c>
      <c r="BL834" s="2" t="s">
        <v>74</v>
      </c>
      <c r="BM834" s="2" t="s">
        <v>74</v>
      </c>
      <c r="BN834" s="2">
        <v>24614474</v>
      </c>
      <c r="BO834" s="2" t="s">
        <v>74</v>
      </c>
      <c r="BP834" s="2" t="s">
        <v>74</v>
      </c>
      <c r="BQ834" s="2" t="s">
        <v>74</v>
      </c>
      <c r="BR834" s="2" t="s">
        <v>74</v>
      </c>
      <c r="BS834" s="2" t="s">
        <v>1662</v>
      </c>
      <c r="BT834" s="2" t="str">
        <f>HYPERLINK("https%3A%2F%2Fwww.webofscience.com%2Fwos%2Fwoscc%2Ffull-record%2FWOS:000313804500002","View Full Record in Web of Science")</f>
        <v>View Full Record in Web of Science</v>
      </c>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row>
    <row r="835" spans="1:314" s="2" customFormat="1" x14ac:dyDescent="0.4">
      <c r="A835" s="2" t="s">
        <v>72</v>
      </c>
      <c r="B835" s="2" t="s">
        <v>782</v>
      </c>
      <c r="C835" s="2" t="s">
        <v>74</v>
      </c>
      <c r="D835" s="2" t="s">
        <v>74</v>
      </c>
      <c r="E835" s="2" t="s">
        <v>74</v>
      </c>
      <c r="F835" s="2" t="s">
        <v>783</v>
      </c>
      <c r="G835" s="2" t="s">
        <v>74</v>
      </c>
      <c r="H835" s="2" t="s">
        <v>74</v>
      </c>
      <c r="I835" s="2" t="s">
        <v>784</v>
      </c>
      <c r="J835" s="2" t="s">
        <v>785</v>
      </c>
      <c r="K835" s="2" t="s">
        <v>74</v>
      </c>
      <c r="L835" s="2" t="s">
        <v>74</v>
      </c>
      <c r="M835" s="2" t="s">
        <v>74</v>
      </c>
      <c r="N835" s="2" t="s">
        <v>74</v>
      </c>
      <c r="O835" s="2" t="s">
        <v>74</v>
      </c>
      <c r="P835" s="2" t="s">
        <v>74</v>
      </c>
      <c r="Q835" s="2" t="s">
        <v>74</v>
      </c>
      <c r="R835" s="2" t="s">
        <v>74</v>
      </c>
      <c r="S835" s="2" t="s">
        <v>74</v>
      </c>
      <c r="T835" s="2" t="s">
        <v>74</v>
      </c>
      <c r="U835" s="2" t="s">
        <v>74</v>
      </c>
      <c r="V835" s="5" t="s">
        <v>786</v>
      </c>
      <c r="W835" s="2" t="s">
        <v>74</v>
      </c>
      <c r="X835" s="2" t="s">
        <v>74</v>
      </c>
      <c r="Y835" s="2" t="s">
        <v>74</v>
      </c>
      <c r="Z835" s="2" t="s">
        <v>74</v>
      </c>
      <c r="AA835" s="2" t="s">
        <v>74</v>
      </c>
      <c r="AB835" s="2" t="s">
        <v>74</v>
      </c>
      <c r="AC835" s="2" t="s">
        <v>74</v>
      </c>
      <c r="AD835" s="2" t="s">
        <v>74</v>
      </c>
      <c r="AE835" s="2" t="s">
        <v>74</v>
      </c>
      <c r="AF835" s="2" t="s">
        <v>74</v>
      </c>
      <c r="AG835" s="2" t="s">
        <v>74</v>
      </c>
      <c r="AH835" s="2" t="s">
        <v>74</v>
      </c>
      <c r="AI835" s="2" t="s">
        <v>74</v>
      </c>
      <c r="AJ835" s="2" t="s">
        <v>74</v>
      </c>
      <c r="AK835" s="2" t="s">
        <v>74</v>
      </c>
      <c r="AL835" s="2" t="s">
        <v>74</v>
      </c>
      <c r="AM835" s="2" t="s">
        <v>74</v>
      </c>
      <c r="AN835" s="2" t="s">
        <v>74</v>
      </c>
      <c r="AO835" s="2" t="s">
        <v>74</v>
      </c>
      <c r="AP835" s="2" t="s">
        <v>787</v>
      </c>
      <c r="AQ835" s="2" t="s">
        <v>74</v>
      </c>
      <c r="AR835" s="2" t="s">
        <v>74</v>
      </c>
      <c r="AS835" s="2" t="s">
        <v>74</v>
      </c>
      <c r="AT835" s="2" t="s">
        <v>788</v>
      </c>
      <c r="AU835" s="2">
        <v>2010</v>
      </c>
      <c r="AV835" s="2">
        <v>10</v>
      </c>
      <c r="AW835" s="2" t="s">
        <v>74</v>
      </c>
      <c r="AX835" s="2" t="s">
        <v>74</v>
      </c>
      <c r="AY835" s="2" t="s">
        <v>74</v>
      </c>
      <c r="AZ835" s="2" t="s">
        <v>74</v>
      </c>
      <c r="BA835" s="2" t="s">
        <v>74</v>
      </c>
      <c r="BB835" s="2" t="s">
        <v>74</v>
      </c>
      <c r="BC835" s="2" t="s">
        <v>74</v>
      </c>
      <c r="BD835" s="2">
        <v>109</v>
      </c>
      <c r="BE835" s="2" t="s">
        <v>789</v>
      </c>
      <c r="BF835" s="2" t="str">
        <f>HYPERLINK("http://dx.doi.org/10.1673/031.010.10901","http://dx.doi.org/10.1673/031.010.10901")</f>
        <v>http://dx.doi.org/10.1673/031.010.10901</v>
      </c>
      <c r="BG835" s="2" t="s">
        <v>74</v>
      </c>
      <c r="BH835" s="2" t="s">
        <v>74</v>
      </c>
      <c r="BI835" s="2" t="s">
        <v>74</v>
      </c>
      <c r="BJ835" s="2" t="s">
        <v>74</v>
      </c>
      <c r="BK835" s="2" t="s">
        <v>74</v>
      </c>
      <c r="BL835" s="2" t="s">
        <v>74</v>
      </c>
      <c r="BM835" s="2" t="s">
        <v>74</v>
      </c>
      <c r="BN835" s="2">
        <v>20874396</v>
      </c>
      <c r="BO835" s="2" t="s">
        <v>74</v>
      </c>
      <c r="BP835" s="2" t="s">
        <v>74</v>
      </c>
      <c r="BQ835" s="2" t="s">
        <v>74</v>
      </c>
      <c r="BR835" s="2" t="s">
        <v>74</v>
      </c>
      <c r="BS835" s="2" t="s">
        <v>790</v>
      </c>
      <c r="BT835" s="2" t="str">
        <f>HYPERLINK("https%3A%2F%2Fwww.webofscience.com%2Fwos%2Fwoscc%2Ffull-record%2FWOS:000280095500007","View Full Record in Web of Science")</f>
        <v>View Full Record in Web of Science</v>
      </c>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row>
    <row r="836" spans="1:314" s="2" customFormat="1" x14ac:dyDescent="0.4">
      <c r="A836" s="2" t="s">
        <v>72</v>
      </c>
      <c r="B836" s="2" t="s">
        <v>6032</v>
      </c>
      <c r="C836" s="2" t="s">
        <v>74</v>
      </c>
      <c r="D836" s="2" t="s">
        <v>74</v>
      </c>
      <c r="E836" s="2" t="s">
        <v>74</v>
      </c>
      <c r="F836" s="2" t="s">
        <v>6032</v>
      </c>
      <c r="G836" s="2" t="s">
        <v>74</v>
      </c>
      <c r="H836" s="2" t="s">
        <v>74</v>
      </c>
      <c r="I836" s="2" t="s">
        <v>6033</v>
      </c>
      <c r="J836" s="2" t="s">
        <v>3238</v>
      </c>
      <c r="K836" s="2" t="s">
        <v>74</v>
      </c>
      <c r="L836" s="2" t="s">
        <v>74</v>
      </c>
      <c r="M836" s="2" t="s">
        <v>74</v>
      </c>
      <c r="N836" s="2" t="s">
        <v>74</v>
      </c>
      <c r="O836" s="2" t="s">
        <v>74</v>
      </c>
      <c r="P836" s="2" t="s">
        <v>74</v>
      </c>
      <c r="Q836" s="2" t="s">
        <v>74</v>
      </c>
      <c r="R836" s="2" t="s">
        <v>74</v>
      </c>
      <c r="S836" s="2" t="s">
        <v>74</v>
      </c>
      <c r="T836" s="2" t="s">
        <v>74</v>
      </c>
      <c r="U836" s="2" t="s">
        <v>74</v>
      </c>
      <c r="V836" s="5" t="s">
        <v>6034</v>
      </c>
      <c r="W836" s="2" t="s">
        <v>74</v>
      </c>
      <c r="X836" s="2" t="s">
        <v>74</v>
      </c>
      <c r="Y836" s="2" t="s">
        <v>74</v>
      </c>
      <c r="Z836" s="2" t="s">
        <v>74</v>
      </c>
      <c r="AA836" s="2" t="s">
        <v>6035</v>
      </c>
      <c r="AB836" s="2" t="s">
        <v>6036</v>
      </c>
      <c r="AC836" s="2" t="s">
        <v>74</v>
      </c>
      <c r="AD836" s="2" t="s">
        <v>74</v>
      </c>
      <c r="AE836" s="2" t="s">
        <v>74</v>
      </c>
      <c r="AF836" s="2" t="s">
        <v>74</v>
      </c>
      <c r="AG836" s="2" t="s">
        <v>74</v>
      </c>
      <c r="AH836" s="2" t="s">
        <v>74</v>
      </c>
      <c r="AI836" s="2" t="s">
        <v>74</v>
      </c>
      <c r="AJ836" s="2" t="s">
        <v>74</v>
      </c>
      <c r="AK836" s="2" t="s">
        <v>74</v>
      </c>
      <c r="AL836" s="2" t="s">
        <v>74</v>
      </c>
      <c r="AM836" s="2" t="s">
        <v>74</v>
      </c>
      <c r="AN836" s="2" t="s">
        <v>74</v>
      </c>
      <c r="AO836" s="2" t="s">
        <v>3240</v>
      </c>
      <c r="AP836" s="2" t="s">
        <v>3241</v>
      </c>
      <c r="AQ836" s="2" t="s">
        <v>74</v>
      </c>
      <c r="AR836" s="2" t="s">
        <v>74</v>
      </c>
      <c r="AS836" s="2" t="s">
        <v>74</v>
      </c>
      <c r="AT836" s="2" t="s">
        <v>123</v>
      </c>
      <c r="AU836" s="2">
        <v>1990</v>
      </c>
      <c r="AV836" s="2">
        <v>83</v>
      </c>
      <c r="AW836" s="2">
        <v>2</v>
      </c>
      <c r="AX836" s="2" t="s">
        <v>74</v>
      </c>
      <c r="AY836" s="2" t="s">
        <v>74</v>
      </c>
      <c r="AZ836" s="2" t="s">
        <v>74</v>
      </c>
      <c r="BA836" s="2" t="s">
        <v>74</v>
      </c>
      <c r="BB836" s="2">
        <v>171</v>
      </c>
      <c r="BC836" s="2">
        <v>188</v>
      </c>
      <c r="BD836" s="2" t="s">
        <v>74</v>
      </c>
      <c r="BE836" s="2" t="s">
        <v>6037</v>
      </c>
      <c r="BF836" s="2" t="str">
        <f>HYPERLINK("http://dx.doi.org/10.1093/aesa/83.2.171","http://dx.doi.org/10.1093/aesa/83.2.171")</f>
        <v>http://dx.doi.org/10.1093/aesa/83.2.171</v>
      </c>
      <c r="BG836" s="2" t="s">
        <v>74</v>
      </c>
      <c r="BH836" s="2" t="s">
        <v>74</v>
      </c>
      <c r="BI836" s="2" t="s">
        <v>74</v>
      </c>
      <c r="BJ836" s="2" t="s">
        <v>74</v>
      </c>
      <c r="BK836" s="2" t="s">
        <v>74</v>
      </c>
      <c r="BL836" s="2" t="s">
        <v>74</v>
      </c>
      <c r="BM836" s="2" t="s">
        <v>74</v>
      </c>
      <c r="BN836" s="2" t="s">
        <v>74</v>
      </c>
      <c r="BO836" s="2" t="s">
        <v>74</v>
      </c>
      <c r="BP836" s="2" t="s">
        <v>74</v>
      </c>
      <c r="BQ836" s="2" t="s">
        <v>74</v>
      </c>
      <c r="BR836" s="2" t="s">
        <v>74</v>
      </c>
      <c r="BS836" s="2" t="s">
        <v>6038</v>
      </c>
      <c r="BT836" s="2" t="str">
        <f>HYPERLINK("https%3A%2F%2Fwww.webofscience.com%2Fwos%2Fwoscc%2Ffull-record%2FWOS:A1990CQ89800007","View Full Record in Web of Science")</f>
        <v>View Full Record in Web of Science</v>
      </c>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row>
    <row r="837" spans="1:314" s="2" customFormat="1" x14ac:dyDescent="0.4">
      <c r="A837" s="2" t="s">
        <v>72</v>
      </c>
      <c r="B837" s="2" t="s">
        <v>4854</v>
      </c>
      <c r="C837" s="2" t="s">
        <v>74</v>
      </c>
      <c r="D837" s="2" t="s">
        <v>74</v>
      </c>
      <c r="E837" s="2" t="s">
        <v>74</v>
      </c>
      <c r="F837" s="2" t="s">
        <v>4855</v>
      </c>
      <c r="G837" s="2" t="s">
        <v>74</v>
      </c>
      <c r="H837" s="2" t="s">
        <v>74</v>
      </c>
      <c r="I837" s="2" t="s">
        <v>4856</v>
      </c>
      <c r="J837" s="2" t="s">
        <v>299</v>
      </c>
      <c r="K837" s="2" t="s">
        <v>74</v>
      </c>
      <c r="L837" s="2" t="s">
        <v>74</v>
      </c>
      <c r="M837" s="2" t="s">
        <v>74</v>
      </c>
      <c r="N837" s="2" t="s">
        <v>74</v>
      </c>
      <c r="O837" s="2" t="s">
        <v>74</v>
      </c>
      <c r="P837" s="2" t="s">
        <v>74</v>
      </c>
      <c r="Q837" s="2" t="s">
        <v>74</v>
      </c>
      <c r="R837" s="2" t="s">
        <v>74</v>
      </c>
      <c r="S837" s="2" t="s">
        <v>74</v>
      </c>
      <c r="T837" s="2" t="s">
        <v>74</v>
      </c>
      <c r="U837" s="2" t="s">
        <v>74</v>
      </c>
      <c r="V837" s="5" t="s">
        <v>4857</v>
      </c>
      <c r="W837" s="2" t="s">
        <v>74</v>
      </c>
      <c r="X837" s="2" t="s">
        <v>74</v>
      </c>
      <c r="Y837" s="2" t="s">
        <v>74</v>
      </c>
      <c r="Z837" s="2" t="s">
        <v>74</v>
      </c>
      <c r="AA837" s="2" t="s">
        <v>4858</v>
      </c>
      <c r="AB837" s="2" t="s">
        <v>4859</v>
      </c>
      <c r="AC837" s="2" t="s">
        <v>74</v>
      </c>
      <c r="AD837" s="2" t="s">
        <v>74</v>
      </c>
      <c r="AE837" s="2" t="s">
        <v>74</v>
      </c>
      <c r="AF837" s="2" t="s">
        <v>74</v>
      </c>
      <c r="AG837" s="2" t="s">
        <v>74</v>
      </c>
      <c r="AH837" s="2" t="s">
        <v>74</v>
      </c>
      <c r="AI837" s="2" t="s">
        <v>74</v>
      </c>
      <c r="AJ837" s="2" t="s">
        <v>74</v>
      </c>
      <c r="AK837" s="2" t="s">
        <v>74</v>
      </c>
      <c r="AL837" s="2" t="s">
        <v>74</v>
      </c>
      <c r="AM837" s="2" t="s">
        <v>74</v>
      </c>
      <c r="AN837" s="2" t="s">
        <v>74</v>
      </c>
      <c r="AO837" s="2" t="s">
        <v>303</v>
      </c>
      <c r="AP837" s="2" t="s">
        <v>304</v>
      </c>
      <c r="AQ837" s="2" t="s">
        <v>74</v>
      </c>
      <c r="AR837" s="2" t="s">
        <v>74</v>
      </c>
      <c r="AS837" s="2" t="s">
        <v>74</v>
      </c>
      <c r="AT837" s="2" t="s">
        <v>305</v>
      </c>
      <c r="AU837" s="2">
        <v>2016</v>
      </c>
      <c r="AV837" s="2">
        <v>47</v>
      </c>
      <c r="AW837" s="2">
        <v>12</v>
      </c>
      <c r="AX837" s="2" t="s">
        <v>74</v>
      </c>
      <c r="AY837" s="2" t="s">
        <v>74</v>
      </c>
      <c r="AZ837" s="2" t="s">
        <v>74</v>
      </c>
      <c r="BA837" s="2" t="s">
        <v>74</v>
      </c>
      <c r="BB837" s="2">
        <v>4015</v>
      </c>
      <c r="BC837" s="2">
        <v>4023</v>
      </c>
      <c r="BD837" s="2" t="s">
        <v>74</v>
      </c>
      <c r="BE837" s="2" t="s">
        <v>4860</v>
      </c>
      <c r="BF837" s="2" t="str">
        <f>HYPERLINK("http://dx.doi.org/10.1111/are.12854","http://dx.doi.org/10.1111/are.12854")</f>
        <v>http://dx.doi.org/10.1111/are.12854</v>
      </c>
      <c r="BG837" s="2" t="s">
        <v>74</v>
      </c>
      <c r="BH837" s="2" t="s">
        <v>74</v>
      </c>
      <c r="BI837" s="2" t="s">
        <v>74</v>
      </c>
      <c r="BJ837" s="2" t="s">
        <v>74</v>
      </c>
      <c r="BK837" s="2" t="s">
        <v>74</v>
      </c>
      <c r="BL837" s="2" t="s">
        <v>74</v>
      </c>
      <c r="BM837" s="2" t="s">
        <v>74</v>
      </c>
      <c r="BN837" s="2" t="s">
        <v>74</v>
      </c>
      <c r="BO837" s="2" t="s">
        <v>74</v>
      </c>
      <c r="BP837" s="2" t="s">
        <v>74</v>
      </c>
      <c r="BQ837" s="2" t="s">
        <v>74</v>
      </c>
      <c r="BR837" s="2" t="s">
        <v>74</v>
      </c>
      <c r="BS837" s="2" t="s">
        <v>4861</v>
      </c>
      <c r="BT837" s="2" t="str">
        <f>HYPERLINK("https%3A%2F%2Fwww.webofscience.com%2Fwos%2Fwoscc%2Ffull-record%2FWOS:000387663000031","View Full Record in Web of Science")</f>
        <v>View Full Record in Web of Science</v>
      </c>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row>
    <row r="838" spans="1:314" s="2" customFormat="1" x14ac:dyDescent="0.4">
      <c r="A838" s="2" t="s">
        <v>72</v>
      </c>
      <c r="B838" s="2" t="s">
        <v>3900</v>
      </c>
      <c r="C838" s="2" t="s">
        <v>74</v>
      </c>
      <c r="D838" s="2" t="s">
        <v>74</v>
      </c>
      <c r="E838" s="2" t="s">
        <v>74</v>
      </c>
      <c r="F838" s="2" t="s">
        <v>3900</v>
      </c>
      <c r="G838" s="2" t="s">
        <v>74</v>
      </c>
      <c r="H838" s="2" t="s">
        <v>74</v>
      </c>
      <c r="I838" s="2" t="s">
        <v>3901</v>
      </c>
      <c r="J838" s="2" t="s">
        <v>108</v>
      </c>
      <c r="K838" s="2" t="s">
        <v>74</v>
      </c>
      <c r="L838" s="2" t="s">
        <v>74</v>
      </c>
      <c r="M838" s="2" t="s">
        <v>74</v>
      </c>
      <c r="N838" s="2" t="s">
        <v>74</v>
      </c>
      <c r="O838" s="2" t="s">
        <v>74</v>
      </c>
      <c r="P838" s="2" t="s">
        <v>74</v>
      </c>
      <c r="Q838" s="2" t="s">
        <v>74</v>
      </c>
      <c r="R838" s="2" t="s">
        <v>74</v>
      </c>
      <c r="S838" s="2" t="s">
        <v>74</v>
      </c>
      <c r="T838" s="2" t="s">
        <v>74</v>
      </c>
      <c r="U838" s="2" t="s">
        <v>74</v>
      </c>
      <c r="V838" s="5" t="s">
        <v>3902</v>
      </c>
      <c r="W838" s="2" t="s">
        <v>74</v>
      </c>
      <c r="X838" s="2" t="s">
        <v>74</v>
      </c>
      <c r="Y838" s="2" t="s">
        <v>74</v>
      </c>
      <c r="Z838" s="2" t="s">
        <v>74</v>
      </c>
      <c r="AA838" s="2" t="s">
        <v>74</v>
      </c>
      <c r="AB838" s="2" t="s">
        <v>74</v>
      </c>
      <c r="AC838" s="2" t="s">
        <v>74</v>
      </c>
      <c r="AD838" s="2" t="s">
        <v>74</v>
      </c>
      <c r="AE838" s="2" t="s">
        <v>74</v>
      </c>
      <c r="AF838" s="2" t="s">
        <v>74</v>
      </c>
      <c r="AG838" s="2" t="s">
        <v>74</v>
      </c>
      <c r="AH838" s="2" t="s">
        <v>74</v>
      </c>
      <c r="AI838" s="2" t="s">
        <v>74</v>
      </c>
      <c r="AJ838" s="2" t="s">
        <v>74</v>
      </c>
      <c r="AK838" s="2" t="s">
        <v>74</v>
      </c>
      <c r="AL838" s="2" t="s">
        <v>74</v>
      </c>
      <c r="AM838" s="2" t="s">
        <v>74</v>
      </c>
      <c r="AN838" s="2" t="s">
        <v>74</v>
      </c>
      <c r="AO838" s="2" t="s">
        <v>111</v>
      </c>
      <c r="AP838" s="2" t="s">
        <v>74</v>
      </c>
      <c r="AQ838" s="2" t="s">
        <v>74</v>
      </c>
      <c r="AR838" s="2" t="s">
        <v>74</v>
      </c>
      <c r="AS838" s="2" t="s">
        <v>74</v>
      </c>
      <c r="AT838" s="2" t="s">
        <v>939</v>
      </c>
      <c r="AU838" s="2">
        <v>2005</v>
      </c>
      <c r="AV838" s="2">
        <v>272</v>
      </c>
      <c r="AW838" s="2">
        <v>1580</v>
      </c>
      <c r="AX838" s="2" t="s">
        <v>74</v>
      </c>
      <c r="AY838" s="2" t="s">
        <v>74</v>
      </c>
      <c r="AZ838" s="2" t="s">
        <v>74</v>
      </c>
      <c r="BA838" s="2" t="s">
        <v>74</v>
      </c>
      <c r="BB838" s="2">
        <v>2519</v>
      </c>
      <c r="BC838" s="2">
        <v>2523</v>
      </c>
      <c r="BD838" s="2" t="s">
        <v>74</v>
      </c>
      <c r="BE838" s="2" t="s">
        <v>3903</v>
      </c>
      <c r="BF838" s="2" t="str">
        <f>HYPERLINK("http://dx.doi.org/10.1098/rspb.2005.3186","http://dx.doi.org/10.1098/rspb.2005.3186")</f>
        <v>http://dx.doi.org/10.1098/rspb.2005.3186</v>
      </c>
      <c r="BG838" s="2" t="s">
        <v>74</v>
      </c>
      <c r="BH838" s="2" t="s">
        <v>74</v>
      </c>
      <c r="BI838" s="2" t="s">
        <v>74</v>
      </c>
      <c r="BJ838" s="2" t="s">
        <v>74</v>
      </c>
      <c r="BK838" s="2" t="s">
        <v>74</v>
      </c>
      <c r="BL838" s="2" t="s">
        <v>74</v>
      </c>
      <c r="BM838" s="2" t="s">
        <v>74</v>
      </c>
      <c r="BN838" s="2">
        <v>16271978</v>
      </c>
      <c r="BO838" s="2" t="s">
        <v>74</v>
      </c>
      <c r="BP838" s="2" t="s">
        <v>74</v>
      </c>
      <c r="BQ838" s="2" t="s">
        <v>74</v>
      </c>
      <c r="BR838" s="2" t="s">
        <v>74</v>
      </c>
      <c r="BS838" s="2" t="s">
        <v>3904</v>
      </c>
      <c r="BT838" s="2" t="str">
        <f>HYPERLINK("https%3A%2F%2Fwww.webofscience.com%2Fwos%2Fwoscc%2Ffull-record%2FWOS:000233751700011","View Full Record in Web of Science")</f>
        <v>View Full Record in Web of Science</v>
      </c>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row>
    <row r="839" spans="1:314" s="2" customFormat="1" x14ac:dyDescent="0.4">
      <c r="A839" s="2" t="s">
        <v>72</v>
      </c>
      <c r="B839" s="2" t="s">
        <v>2935</v>
      </c>
      <c r="C839" s="2" t="s">
        <v>74</v>
      </c>
      <c r="D839" s="2" t="s">
        <v>74</v>
      </c>
      <c r="E839" s="2" t="s">
        <v>74</v>
      </c>
      <c r="F839" s="2" t="s">
        <v>2935</v>
      </c>
      <c r="G839" s="2" t="s">
        <v>74</v>
      </c>
      <c r="H839" s="2" t="s">
        <v>74</v>
      </c>
      <c r="I839" s="2" t="s">
        <v>2936</v>
      </c>
      <c r="J839" s="2" t="s">
        <v>2191</v>
      </c>
      <c r="K839" s="2" t="s">
        <v>74</v>
      </c>
      <c r="L839" s="2" t="s">
        <v>74</v>
      </c>
      <c r="M839" s="2" t="s">
        <v>74</v>
      </c>
      <c r="N839" s="2" t="s">
        <v>74</v>
      </c>
      <c r="O839" s="2" t="s">
        <v>74</v>
      </c>
      <c r="P839" s="2" t="s">
        <v>74</v>
      </c>
      <c r="Q839" s="2" t="s">
        <v>74</v>
      </c>
      <c r="R839" s="2" t="s">
        <v>74</v>
      </c>
      <c r="S839" s="2" t="s">
        <v>74</v>
      </c>
      <c r="T839" s="2" t="s">
        <v>74</v>
      </c>
      <c r="U839" s="2" t="s">
        <v>74</v>
      </c>
      <c r="V839" s="5" t="s">
        <v>2937</v>
      </c>
      <c r="W839" s="2" t="s">
        <v>74</v>
      </c>
      <c r="X839" s="2" t="s">
        <v>74</v>
      </c>
      <c r="Y839" s="2" t="s">
        <v>74</v>
      </c>
      <c r="Z839" s="2" t="s">
        <v>74</v>
      </c>
      <c r="AA839" s="2" t="s">
        <v>74</v>
      </c>
      <c r="AB839" s="2" t="s">
        <v>74</v>
      </c>
      <c r="AC839" s="2" t="s">
        <v>74</v>
      </c>
      <c r="AD839" s="2" t="s">
        <v>74</v>
      </c>
      <c r="AE839" s="2" t="s">
        <v>74</v>
      </c>
      <c r="AF839" s="2" t="s">
        <v>74</v>
      </c>
      <c r="AG839" s="2" t="s">
        <v>74</v>
      </c>
      <c r="AH839" s="2" t="s">
        <v>74</v>
      </c>
      <c r="AI839" s="2" t="s">
        <v>74</v>
      </c>
      <c r="AJ839" s="2" t="s">
        <v>74</v>
      </c>
      <c r="AK839" s="2" t="s">
        <v>74</v>
      </c>
      <c r="AL839" s="2" t="s">
        <v>74</v>
      </c>
      <c r="AM839" s="2" t="s">
        <v>74</v>
      </c>
      <c r="AN839" s="2" t="s">
        <v>74</v>
      </c>
      <c r="AO839" s="2" t="s">
        <v>2193</v>
      </c>
      <c r="AP839" s="2" t="s">
        <v>2194</v>
      </c>
      <c r="AQ839" s="2" t="s">
        <v>74</v>
      </c>
      <c r="AR839" s="2" t="s">
        <v>74</v>
      </c>
      <c r="AS839" s="2" t="s">
        <v>74</v>
      </c>
      <c r="AT839" s="2" t="s">
        <v>255</v>
      </c>
      <c r="AU839" s="2">
        <v>2005</v>
      </c>
      <c r="AV839" s="2">
        <v>32</v>
      </c>
      <c r="AW839" s="2">
        <v>2</v>
      </c>
      <c r="AX839" s="2" t="s">
        <v>74</v>
      </c>
      <c r="AY839" s="2" t="s">
        <v>74</v>
      </c>
      <c r="AZ839" s="2" t="s">
        <v>74</v>
      </c>
      <c r="BA839" s="2" t="s">
        <v>74</v>
      </c>
      <c r="BB839" s="2">
        <v>277</v>
      </c>
      <c r="BC839" s="2">
        <v>284</v>
      </c>
      <c r="BD839" s="2" t="s">
        <v>74</v>
      </c>
      <c r="BE839" s="2" t="s">
        <v>2938</v>
      </c>
      <c r="BF839" s="2" t="str">
        <f>HYPERLINK("http://dx.doi.org/10.1016/j.aquaeng.2004.04.004","http://dx.doi.org/10.1016/j.aquaeng.2004.04.004")</f>
        <v>http://dx.doi.org/10.1016/j.aquaeng.2004.04.004</v>
      </c>
      <c r="BG839" s="2" t="s">
        <v>74</v>
      </c>
      <c r="BH839" s="2" t="s">
        <v>74</v>
      </c>
      <c r="BI839" s="2" t="s">
        <v>74</v>
      </c>
      <c r="BJ839" s="2" t="s">
        <v>74</v>
      </c>
      <c r="BK839" s="2" t="s">
        <v>74</v>
      </c>
      <c r="BL839" s="2" t="s">
        <v>74</v>
      </c>
      <c r="BM839" s="2" t="s">
        <v>74</v>
      </c>
      <c r="BN839" s="2" t="s">
        <v>74</v>
      </c>
      <c r="BO839" s="2" t="s">
        <v>74</v>
      </c>
      <c r="BP839" s="2" t="s">
        <v>74</v>
      </c>
      <c r="BQ839" s="2" t="s">
        <v>74</v>
      </c>
      <c r="BR839" s="2" t="s">
        <v>74</v>
      </c>
      <c r="BS839" s="2" t="s">
        <v>2939</v>
      </c>
      <c r="BT839" s="2" t="str">
        <f>HYPERLINK("https%3A%2F%2Fwww.webofscience.com%2Fwos%2Fwoscc%2Ffull-record%2FWOS:000226462600001","View Full Record in Web of Science")</f>
        <v>View Full Record in Web of Science</v>
      </c>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row>
    <row r="840" spans="1:314" s="2" customFormat="1" x14ac:dyDescent="0.4">
      <c r="A840" s="2" t="s">
        <v>72</v>
      </c>
      <c r="B840" s="2" t="s">
        <v>7701</v>
      </c>
      <c r="C840" s="2" t="s">
        <v>74</v>
      </c>
      <c r="D840" s="2" t="s">
        <v>74</v>
      </c>
      <c r="E840" s="2" t="s">
        <v>74</v>
      </c>
      <c r="F840" s="2" t="s">
        <v>7701</v>
      </c>
      <c r="G840" s="2" t="s">
        <v>74</v>
      </c>
      <c r="H840" s="2" t="s">
        <v>74</v>
      </c>
      <c r="I840" s="2" t="s">
        <v>7702</v>
      </c>
      <c r="J840" s="2" t="s">
        <v>108</v>
      </c>
      <c r="K840" s="2" t="s">
        <v>74</v>
      </c>
      <c r="L840" s="2" t="s">
        <v>74</v>
      </c>
      <c r="M840" s="2" t="s">
        <v>74</v>
      </c>
      <c r="N840" s="2" t="s">
        <v>74</v>
      </c>
      <c r="O840" s="2" t="s">
        <v>74</v>
      </c>
      <c r="P840" s="2" t="s">
        <v>74</v>
      </c>
      <c r="Q840" s="2" t="s">
        <v>74</v>
      </c>
      <c r="R840" s="2" t="s">
        <v>74</v>
      </c>
      <c r="S840" s="2" t="s">
        <v>74</v>
      </c>
      <c r="T840" s="2" t="s">
        <v>74</v>
      </c>
      <c r="U840" s="2" t="s">
        <v>74</v>
      </c>
      <c r="V840" s="5" t="s">
        <v>7703</v>
      </c>
      <c r="W840" s="2" t="s">
        <v>74</v>
      </c>
      <c r="X840" s="2" t="s">
        <v>74</v>
      </c>
      <c r="Y840" s="2" t="s">
        <v>74</v>
      </c>
      <c r="Z840" s="2" t="s">
        <v>74</v>
      </c>
      <c r="AA840" s="2" t="s">
        <v>74</v>
      </c>
      <c r="AB840" s="2" t="s">
        <v>74</v>
      </c>
      <c r="AC840" s="2" t="s">
        <v>74</v>
      </c>
      <c r="AD840" s="2" t="s">
        <v>74</v>
      </c>
      <c r="AE840" s="2" t="s">
        <v>74</v>
      </c>
      <c r="AF840" s="2" t="s">
        <v>74</v>
      </c>
      <c r="AG840" s="2" t="s">
        <v>74</v>
      </c>
      <c r="AH840" s="2" t="s">
        <v>74</v>
      </c>
      <c r="AI840" s="2" t="s">
        <v>74</v>
      </c>
      <c r="AJ840" s="2" t="s">
        <v>74</v>
      </c>
      <c r="AK840" s="2" t="s">
        <v>74</v>
      </c>
      <c r="AL840" s="2" t="s">
        <v>74</v>
      </c>
      <c r="AM840" s="2" t="s">
        <v>74</v>
      </c>
      <c r="AN840" s="2" t="s">
        <v>74</v>
      </c>
      <c r="AO840" s="2" t="s">
        <v>111</v>
      </c>
      <c r="AP840" s="2" t="s">
        <v>74</v>
      </c>
      <c r="AQ840" s="2" t="s">
        <v>74</v>
      </c>
      <c r="AR840" s="2" t="s">
        <v>74</v>
      </c>
      <c r="AS840" s="2" t="s">
        <v>74</v>
      </c>
      <c r="AT840" s="2" t="s">
        <v>2345</v>
      </c>
      <c r="AU840" s="2">
        <v>1998</v>
      </c>
      <c r="AV840" s="2">
        <v>265</v>
      </c>
      <c r="AW840" s="2">
        <v>1399</v>
      </c>
      <c r="AX840" s="2" t="s">
        <v>74</v>
      </c>
      <c r="AY840" s="2" t="s">
        <v>74</v>
      </c>
      <c r="AZ840" s="2" t="s">
        <v>74</v>
      </c>
      <c r="BA840" s="2" t="s">
        <v>74</v>
      </c>
      <c r="BB840" s="2">
        <v>861</v>
      </c>
      <c r="BC840" s="2">
        <v>867</v>
      </c>
      <c r="BD840" s="2" t="s">
        <v>74</v>
      </c>
      <c r="BE840" s="2" t="s">
        <v>7704</v>
      </c>
      <c r="BF840" s="2" t="str">
        <f>HYPERLINK("http://dx.doi.org/10.1098/rspb.1998.0371","http://dx.doi.org/10.1098/rspb.1998.0371")</f>
        <v>http://dx.doi.org/10.1098/rspb.1998.0371</v>
      </c>
      <c r="BG840" s="2" t="s">
        <v>74</v>
      </c>
      <c r="BH840" s="2" t="s">
        <v>74</v>
      </c>
      <c r="BI840" s="2" t="s">
        <v>74</v>
      </c>
      <c r="BJ840" s="2" t="s">
        <v>74</v>
      </c>
      <c r="BK840" s="2" t="s">
        <v>74</v>
      </c>
      <c r="BL840" s="2" t="s">
        <v>74</v>
      </c>
      <c r="BM840" s="2" t="s">
        <v>74</v>
      </c>
      <c r="BN840" s="2" t="s">
        <v>74</v>
      </c>
      <c r="BO840" s="2" t="s">
        <v>74</v>
      </c>
      <c r="BP840" s="2" t="s">
        <v>74</v>
      </c>
      <c r="BQ840" s="2" t="s">
        <v>74</v>
      </c>
      <c r="BR840" s="2" t="s">
        <v>74</v>
      </c>
      <c r="BS840" s="2" t="s">
        <v>7705</v>
      </c>
      <c r="BT840" s="2" t="str">
        <f>HYPERLINK("https%3A%2F%2Fwww.webofscience.com%2Fwos%2Fwoscc%2Ffull-record%2FWOS:000073948500004","View Full Record in Web of Science")</f>
        <v>View Full Record in Web of Science</v>
      </c>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row>
    <row r="841" spans="1:314" s="2" customFormat="1" x14ac:dyDescent="0.4">
      <c r="A841" s="2" t="s">
        <v>72</v>
      </c>
      <c r="B841" s="2" t="s">
        <v>960</v>
      </c>
      <c r="C841" s="2" t="s">
        <v>74</v>
      </c>
      <c r="D841" s="2" t="s">
        <v>74</v>
      </c>
      <c r="E841" s="2" t="s">
        <v>74</v>
      </c>
      <c r="F841" s="2" t="s">
        <v>961</v>
      </c>
      <c r="G841" s="2" t="s">
        <v>74</v>
      </c>
      <c r="H841" s="2" t="s">
        <v>74</v>
      </c>
      <c r="I841" s="2" t="s">
        <v>962</v>
      </c>
      <c r="J841" s="2" t="s">
        <v>171</v>
      </c>
      <c r="K841" s="2" t="s">
        <v>74</v>
      </c>
      <c r="L841" s="2" t="s">
        <v>74</v>
      </c>
      <c r="M841" s="2" t="s">
        <v>74</v>
      </c>
      <c r="N841" s="2" t="s">
        <v>74</v>
      </c>
      <c r="O841" s="2" t="s">
        <v>74</v>
      </c>
      <c r="P841" s="2" t="s">
        <v>74</v>
      </c>
      <c r="Q841" s="2" t="s">
        <v>74</v>
      </c>
      <c r="R841" s="2" t="s">
        <v>74</v>
      </c>
      <c r="S841" s="2" t="s">
        <v>74</v>
      </c>
      <c r="T841" s="2" t="s">
        <v>74</v>
      </c>
      <c r="U841" s="2" t="s">
        <v>74</v>
      </c>
      <c r="V841" s="5" t="s">
        <v>963</v>
      </c>
      <c r="W841" s="2" t="s">
        <v>74</v>
      </c>
      <c r="X841" s="2" t="s">
        <v>74</v>
      </c>
      <c r="Y841" s="2" t="s">
        <v>74</v>
      </c>
      <c r="Z841" s="2" t="s">
        <v>74</v>
      </c>
      <c r="AA841" s="2" t="s">
        <v>74</v>
      </c>
      <c r="AB841" s="2" t="s">
        <v>74</v>
      </c>
      <c r="AC841" s="2" t="s">
        <v>74</v>
      </c>
      <c r="AD841" s="2" t="s">
        <v>74</v>
      </c>
      <c r="AE841" s="2" t="s">
        <v>74</v>
      </c>
      <c r="AF841" s="2" t="s">
        <v>74</v>
      </c>
      <c r="AG841" s="2" t="s">
        <v>74</v>
      </c>
      <c r="AH841" s="2" t="s">
        <v>74</v>
      </c>
      <c r="AI841" s="2" t="s">
        <v>74</v>
      </c>
      <c r="AJ841" s="2" t="s">
        <v>74</v>
      </c>
      <c r="AK841" s="2" t="s">
        <v>74</v>
      </c>
      <c r="AL841" s="2" t="s">
        <v>74</v>
      </c>
      <c r="AM841" s="2" t="s">
        <v>74</v>
      </c>
      <c r="AN841" s="2" t="s">
        <v>74</v>
      </c>
      <c r="AO841" s="2" t="s">
        <v>173</v>
      </c>
      <c r="AP841" s="2" t="s">
        <v>174</v>
      </c>
      <c r="AQ841" s="2" t="s">
        <v>74</v>
      </c>
      <c r="AR841" s="2" t="s">
        <v>74</v>
      </c>
      <c r="AS841" s="2" t="s">
        <v>74</v>
      </c>
      <c r="AT841" s="2" t="s">
        <v>964</v>
      </c>
      <c r="AU841" s="2">
        <v>2010</v>
      </c>
      <c r="AV841" s="2">
        <v>64</v>
      </c>
      <c r="AW841" s="2">
        <v>2</v>
      </c>
      <c r="AX841" s="2" t="s">
        <v>74</v>
      </c>
      <c r="AY841" s="2" t="s">
        <v>74</v>
      </c>
      <c r="AZ841" s="2" t="s">
        <v>74</v>
      </c>
      <c r="BA841" s="2" t="s">
        <v>74</v>
      </c>
      <c r="BB841" s="2">
        <v>324</v>
      </c>
      <c r="BC841" s="2">
        <v>335</v>
      </c>
      <c r="BD841" s="2" t="s">
        <v>74</v>
      </c>
      <c r="BE841" s="2" t="s">
        <v>965</v>
      </c>
      <c r="BF841" s="2" t="str">
        <f>HYPERLINK("http://dx.doi.org/10.1111/j.1558-5646.2009.00827.x","http://dx.doi.org/10.1111/j.1558-5646.2009.00827.x")</f>
        <v>http://dx.doi.org/10.1111/j.1558-5646.2009.00827.x</v>
      </c>
      <c r="BG841" s="2" t="s">
        <v>74</v>
      </c>
      <c r="BH841" s="2" t="s">
        <v>74</v>
      </c>
      <c r="BI841" s="2" t="s">
        <v>74</v>
      </c>
      <c r="BJ841" s="2" t="s">
        <v>74</v>
      </c>
      <c r="BK841" s="2" t="s">
        <v>74</v>
      </c>
      <c r="BL841" s="2" t="s">
        <v>74</v>
      </c>
      <c r="BM841" s="2" t="s">
        <v>74</v>
      </c>
      <c r="BN841" s="2">
        <v>19703221</v>
      </c>
      <c r="BO841" s="2" t="s">
        <v>74</v>
      </c>
      <c r="BP841" s="2" t="s">
        <v>74</v>
      </c>
      <c r="BQ841" s="2" t="s">
        <v>74</v>
      </c>
      <c r="BR841" s="2" t="s">
        <v>74</v>
      </c>
      <c r="BS841" s="2" t="s">
        <v>966</v>
      </c>
      <c r="BT841" s="2" t="str">
        <f>HYPERLINK("https%3A%2F%2Fwww.webofscience.com%2Fwos%2Fwoscc%2Ffull-record%2FWOS:000273821700003","View Full Record in Web of Science")</f>
        <v>View Full Record in Web of Science</v>
      </c>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row>
    <row r="842" spans="1:314" s="2" customFormat="1" x14ac:dyDescent="0.4">
      <c r="A842" s="2" t="s">
        <v>72</v>
      </c>
      <c r="B842" s="2" t="s">
        <v>8297</v>
      </c>
      <c r="C842" s="2" t="s">
        <v>74</v>
      </c>
      <c r="D842" s="2" t="s">
        <v>74</v>
      </c>
      <c r="E842" s="2" t="s">
        <v>74</v>
      </c>
      <c r="F842" s="2" t="s">
        <v>8298</v>
      </c>
      <c r="G842" s="2" t="s">
        <v>74</v>
      </c>
      <c r="H842" s="2" t="s">
        <v>74</v>
      </c>
      <c r="I842" s="2" t="s">
        <v>8299</v>
      </c>
      <c r="J842" s="2" t="s">
        <v>7393</v>
      </c>
      <c r="K842" s="2" t="s">
        <v>74</v>
      </c>
      <c r="L842" s="2" t="s">
        <v>74</v>
      </c>
      <c r="M842" s="2" t="s">
        <v>74</v>
      </c>
      <c r="N842" s="2" t="s">
        <v>74</v>
      </c>
      <c r="O842" s="2" t="s">
        <v>74</v>
      </c>
      <c r="P842" s="2" t="s">
        <v>74</v>
      </c>
      <c r="Q842" s="2" t="s">
        <v>74</v>
      </c>
      <c r="R842" s="2" t="s">
        <v>74</v>
      </c>
      <c r="S842" s="2" t="s">
        <v>74</v>
      </c>
      <c r="T842" s="2" t="s">
        <v>74</v>
      </c>
      <c r="U842" s="2" t="s">
        <v>74</v>
      </c>
      <c r="V842" s="5" t="s">
        <v>8300</v>
      </c>
      <c r="W842" s="2" t="s">
        <v>74</v>
      </c>
      <c r="X842" s="2" t="s">
        <v>74</v>
      </c>
      <c r="Y842" s="2" t="s">
        <v>74</v>
      </c>
      <c r="Z842" s="2" t="s">
        <v>74</v>
      </c>
      <c r="AA842" s="2" t="s">
        <v>8301</v>
      </c>
      <c r="AB842" s="2" t="s">
        <v>8302</v>
      </c>
      <c r="AC842" s="2" t="s">
        <v>74</v>
      </c>
      <c r="AD842" s="2" t="s">
        <v>74</v>
      </c>
      <c r="AE842" s="2" t="s">
        <v>74</v>
      </c>
      <c r="AF842" s="2" t="s">
        <v>74</v>
      </c>
      <c r="AG842" s="2" t="s">
        <v>74</v>
      </c>
      <c r="AH842" s="2" t="s">
        <v>74</v>
      </c>
      <c r="AI842" s="2" t="s">
        <v>74</v>
      </c>
      <c r="AJ842" s="2" t="s">
        <v>74</v>
      </c>
      <c r="AK842" s="2" t="s">
        <v>74</v>
      </c>
      <c r="AL842" s="2" t="s">
        <v>74</v>
      </c>
      <c r="AM842" s="2" t="s">
        <v>74</v>
      </c>
      <c r="AN842" s="2" t="s">
        <v>74</v>
      </c>
      <c r="AO842" s="2" t="s">
        <v>7397</v>
      </c>
      <c r="AP842" s="2" t="s">
        <v>7398</v>
      </c>
      <c r="AQ842" s="2" t="s">
        <v>74</v>
      </c>
      <c r="AR842" s="2" t="s">
        <v>74</v>
      </c>
      <c r="AS842" s="2" t="s">
        <v>74</v>
      </c>
      <c r="AT842" s="2" t="s">
        <v>964</v>
      </c>
      <c r="AU842" s="2">
        <v>2021</v>
      </c>
      <c r="AV842" s="2">
        <v>109</v>
      </c>
      <c r="AW842" s="2">
        <v>2</v>
      </c>
      <c r="AX842" s="2" t="s">
        <v>74</v>
      </c>
      <c r="AY842" s="2" t="s">
        <v>74</v>
      </c>
      <c r="AZ842" s="2" t="s">
        <v>74</v>
      </c>
      <c r="BA842" s="2" t="s">
        <v>74</v>
      </c>
      <c r="BB842" s="2">
        <v>939</v>
      </c>
      <c r="BC842" s="2">
        <v>951</v>
      </c>
      <c r="BD842" s="2" t="s">
        <v>74</v>
      </c>
      <c r="BE842" s="2" t="s">
        <v>8303</v>
      </c>
      <c r="BF842" s="2" t="str">
        <f>HYPERLINK("http://dx.doi.org/10.1111/1365-2745.13520","http://dx.doi.org/10.1111/1365-2745.13520")</f>
        <v>http://dx.doi.org/10.1111/1365-2745.13520</v>
      </c>
      <c r="BG842" s="2" t="s">
        <v>74</v>
      </c>
      <c r="BH842" s="2" t="s">
        <v>8304</v>
      </c>
      <c r="BI842" s="2" t="s">
        <v>74</v>
      </c>
      <c r="BJ842" s="2" t="s">
        <v>74</v>
      </c>
      <c r="BK842" s="2" t="s">
        <v>74</v>
      </c>
      <c r="BL842" s="2" t="s">
        <v>74</v>
      </c>
      <c r="BM842" s="2" t="s">
        <v>74</v>
      </c>
      <c r="BN842" s="2" t="s">
        <v>74</v>
      </c>
      <c r="BO842" s="2" t="s">
        <v>74</v>
      </c>
      <c r="BP842" s="2" t="s">
        <v>74</v>
      </c>
      <c r="BQ842" s="2" t="s">
        <v>74</v>
      </c>
      <c r="BR842" s="2" t="s">
        <v>74</v>
      </c>
      <c r="BS842" s="2" t="s">
        <v>8305</v>
      </c>
      <c r="BT842" s="2" t="str">
        <f>HYPERLINK("https%3A%2F%2Fwww.webofscience.com%2Fwos%2Fwoscc%2Ffull-record%2FWOS:000583496000001","View Full Record in Web of Science")</f>
        <v>View Full Record in Web of Science</v>
      </c>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row>
    <row r="843" spans="1:314" s="2" customFormat="1" x14ac:dyDescent="0.4">
      <c r="A843" s="2" t="s">
        <v>72</v>
      </c>
      <c r="B843" s="2" t="s">
        <v>8512</v>
      </c>
      <c r="C843" s="2" t="s">
        <v>74</v>
      </c>
      <c r="D843" s="2" t="s">
        <v>74</v>
      </c>
      <c r="E843" s="2" t="s">
        <v>74</v>
      </c>
      <c r="F843" s="2" t="s">
        <v>8512</v>
      </c>
      <c r="G843" s="2" t="s">
        <v>74</v>
      </c>
      <c r="H843" s="2" t="s">
        <v>74</v>
      </c>
      <c r="I843" s="2" t="s">
        <v>8513</v>
      </c>
      <c r="J843" s="2" t="s">
        <v>140</v>
      </c>
      <c r="K843" s="2" t="s">
        <v>74</v>
      </c>
      <c r="L843" s="2" t="s">
        <v>74</v>
      </c>
      <c r="M843" s="2" t="s">
        <v>74</v>
      </c>
      <c r="N843" s="2" t="s">
        <v>74</v>
      </c>
      <c r="O843" s="2" t="s">
        <v>74</v>
      </c>
      <c r="P843" s="2" t="s">
        <v>74</v>
      </c>
      <c r="Q843" s="2" t="s">
        <v>74</v>
      </c>
      <c r="R843" s="2" t="s">
        <v>74</v>
      </c>
      <c r="S843" s="2" t="s">
        <v>74</v>
      </c>
      <c r="T843" s="2" t="s">
        <v>74</v>
      </c>
      <c r="U843" s="2" t="s">
        <v>74</v>
      </c>
      <c r="V843" s="5" t="s">
        <v>8514</v>
      </c>
      <c r="W843" s="2" t="s">
        <v>74</v>
      </c>
      <c r="X843" s="2" t="s">
        <v>74</v>
      </c>
      <c r="Y843" s="2" t="s">
        <v>74</v>
      </c>
      <c r="Z843" s="2" t="s">
        <v>74</v>
      </c>
      <c r="AA843" s="2" t="s">
        <v>74</v>
      </c>
      <c r="AB843" s="2" t="s">
        <v>8515</v>
      </c>
      <c r="AC843" s="2" t="s">
        <v>74</v>
      </c>
      <c r="AD843" s="2" t="s">
        <v>74</v>
      </c>
      <c r="AE843" s="2" t="s">
        <v>74</v>
      </c>
      <c r="AF843" s="2" t="s">
        <v>74</v>
      </c>
      <c r="AG843" s="2" t="s">
        <v>74</v>
      </c>
      <c r="AH843" s="2" t="s">
        <v>74</v>
      </c>
      <c r="AI843" s="2" t="s">
        <v>74</v>
      </c>
      <c r="AJ843" s="2" t="s">
        <v>74</v>
      </c>
      <c r="AK843" s="2" t="s">
        <v>74</v>
      </c>
      <c r="AL843" s="2" t="s">
        <v>74</v>
      </c>
      <c r="AM843" s="2" t="s">
        <v>74</v>
      </c>
      <c r="AN843" s="2" t="s">
        <v>74</v>
      </c>
      <c r="AO843" s="2" t="s">
        <v>143</v>
      </c>
      <c r="AP843" s="2" t="s">
        <v>144</v>
      </c>
      <c r="AQ843" s="2" t="s">
        <v>74</v>
      </c>
      <c r="AR843" s="2" t="s">
        <v>74</v>
      </c>
      <c r="AS843" s="2" t="s">
        <v>74</v>
      </c>
      <c r="AT843" s="2" t="s">
        <v>175</v>
      </c>
      <c r="AU843" s="2">
        <v>1997</v>
      </c>
      <c r="AV843" s="2">
        <v>54</v>
      </c>
      <c r="AW843" s="2" t="s">
        <v>74</v>
      </c>
      <c r="AX843" s="2">
        <v>4</v>
      </c>
      <c r="AY843" s="2" t="s">
        <v>74</v>
      </c>
      <c r="AZ843" s="2" t="s">
        <v>74</v>
      </c>
      <c r="BA843" s="2" t="s">
        <v>74</v>
      </c>
      <c r="BB843" s="2">
        <v>893</v>
      </c>
      <c r="BC843" s="2">
        <v>899</v>
      </c>
      <c r="BD843" s="2" t="s">
        <v>74</v>
      </c>
      <c r="BE843" s="2" t="s">
        <v>8516</v>
      </c>
      <c r="BF843" s="2" t="str">
        <f>HYPERLINK("http://dx.doi.org/10.1006/anbe.1997.0514","http://dx.doi.org/10.1006/anbe.1997.0514")</f>
        <v>http://dx.doi.org/10.1006/anbe.1997.0514</v>
      </c>
      <c r="BG843" s="2" t="s">
        <v>74</v>
      </c>
      <c r="BH843" s="2" t="s">
        <v>74</v>
      </c>
      <c r="BI843" s="2" t="s">
        <v>74</v>
      </c>
      <c r="BJ843" s="2" t="s">
        <v>74</v>
      </c>
      <c r="BK843" s="2" t="s">
        <v>74</v>
      </c>
      <c r="BL843" s="2" t="s">
        <v>74</v>
      </c>
      <c r="BM843" s="2" t="s">
        <v>74</v>
      </c>
      <c r="BN843" s="2">
        <v>9344442</v>
      </c>
      <c r="BO843" s="2" t="s">
        <v>74</v>
      </c>
      <c r="BP843" s="2" t="s">
        <v>74</v>
      </c>
      <c r="BQ843" s="2" t="s">
        <v>74</v>
      </c>
      <c r="BR843" s="2" t="s">
        <v>74</v>
      </c>
      <c r="BS843" s="2" t="s">
        <v>8517</v>
      </c>
      <c r="BT843" s="2" t="str">
        <f>HYPERLINK("https%3A%2F%2Fwww.webofscience.com%2Fwos%2Fwoscc%2Ffull-record%2FWOS:A1997YE30600013","View Full Record in Web of Science")</f>
        <v>View Full Record in Web of Science</v>
      </c>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row>
    <row r="844" spans="1:314" s="2" customFormat="1" x14ac:dyDescent="0.4">
      <c r="A844" s="2" t="s">
        <v>72</v>
      </c>
      <c r="B844" s="2" t="s">
        <v>4053</v>
      </c>
      <c r="C844" s="2" t="s">
        <v>74</v>
      </c>
      <c r="D844" s="2" t="s">
        <v>74</v>
      </c>
      <c r="E844" s="2" t="s">
        <v>74</v>
      </c>
      <c r="F844" s="2" t="s">
        <v>4054</v>
      </c>
      <c r="G844" s="2" t="s">
        <v>74</v>
      </c>
      <c r="H844" s="2" t="s">
        <v>74</v>
      </c>
      <c r="I844" s="2" t="s">
        <v>4055</v>
      </c>
      <c r="J844" s="2" t="s">
        <v>3190</v>
      </c>
      <c r="K844" s="2" t="s">
        <v>74</v>
      </c>
      <c r="L844" s="2" t="s">
        <v>74</v>
      </c>
      <c r="M844" s="2" t="s">
        <v>74</v>
      </c>
      <c r="N844" s="2" t="s">
        <v>74</v>
      </c>
      <c r="O844" s="2" t="s">
        <v>74</v>
      </c>
      <c r="P844" s="2" t="s">
        <v>74</v>
      </c>
      <c r="Q844" s="2" t="s">
        <v>74</v>
      </c>
      <c r="R844" s="2" t="s">
        <v>74</v>
      </c>
      <c r="S844" s="2" t="s">
        <v>74</v>
      </c>
      <c r="T844" s="2" t="s">
        <v>74</v>
      </c>
      <c r="U844" s="2" t="s">
        <v>74</v>
      </c>
      <c r="V844" s="5" t="s">
        <v>4056</v>
      </c>
      <c r="W844" s="2" t="s">
        <v>74</v>
      </c>
      <c r="X844" s="2" t="s">
        <v>74</v>
      </c>
      <c r="Y844" s="2" t="s">
        <v>74</v>
      </c>
      <c r="Z844" s="2" t="s">
        <v>74</v>
      </c>
      <c r="AA844" s="2" t="s">
        <v>4057</v>
      </c>
      <c r="AB844" s="2" t="s">
        <v>4058</v>
      </c>
      <c r="AC844" s="2" t="s">
        <v>74</v>
      </c>
      <c r="AD844" s="2" t="s">
        <v>74</v>
      </c>
      <c r="AE844" s="2" t="s">
        <v>74</v>
      </c>
      <c r="AF844" s="2" t="s">
        <v>74</v>
      </c>
      <c r="AG844" s="2" t="s">
        <v>74</v>
      </c>
      <c r="AH844" s="2" t="s">
        <v>74</v>
      </c>
      <c r="AI844" s="2" t="s">
        <v>74</v>
      </c>
      <c r="AJ844" s="2" t="s">
        <v>74</v>
      </c>
      <c r="AK844" s="2" t="s">
        <v>74</v>
      </c>
      <c r="AL844" s="2" t="s">
        <v>74</v>
      </c>
      <c r="AM844" s="2" t="s">
        <v>74</v>
      </c>
      <c r="AN844" s="2" t="s">
        <v>74</v>
      </c>
      <c r="AO844" s="2" t="s">
        <v>3193</v>
      </c>
      <c r="AP844" s="2" t="s">
        <v>3194</v>
      </c>
      <c r="AQ844" s="2" t="s">
        <v>74</v>
      </c>
      <c r="AR844" s="2" t="s">
        <v>74</v>
      </c>
      <c r="AS844" s="2" t="s">
        <v>74</v>
      </c>
      <c r="AT844" s="2" t="s">
        <v>213</v>
      </c>
      <c r="AU844" s="2">
        <v>2016</v>
      </c>
      <c r="AV844" s="2">
        <v>45</v>
      </c>
      <c r="AW844" s="2">
        <v>6</v>
      </c>
      <c r="AX844" s="2" t="s">
        <v>74</v>
      </c>
      <c r="AY844" s="2" t="s">
        <v>74</v>
      </c>
      <c r="AZ844" s="2" t="s">
        <v>74</v>
      </c>
      <c r="BA844" s="2" t="s">
        <v>74</v>
      </c>
      <c r="BB844" s="2">
        <v>509</v>
      </c>
      <c r="BC844" s="2">
        <v>518</v>
      </c>
      <c r="BD844" s="2" t="s">
        <v>74</v>
      </c>
      <c r="BE844" s="2" t="s">
        <v>4059</v>
      </c>
      <c r="BF844" s="2" t="str">
        <f>HYPERLINK("http://dx.doi.org/10.1016/j.asd.2016.10.008","http://dx.doi.org/10.1016/j.asd.2016.10.008")</f>
        <v>http://dx.doi.org/10.1016/j.asd.2016.10.008</v>
      </c>
      <c r="BG844" s="2" t="s">
        <v>74</v>
      </c>
      <c r="BH844" s="2" t="s">
        <v>74</v>
      </c>
      <c r="BI844" s="2" t="s">
        <v>74</v>
      </c>
      <c r="BJ844" s="2" t="s">
        <v>74</v>
      </c>
      <c r="BK844" s="2" t="s">
        <v>74</v>
      </c>
      <c r="BL844" s="2" t="s">
        <v>74</v>
      </c>
      <c r="BM844" s="2" t="s">
        <v>74</v>
      </c>
      <c r="BN844" s="2">
        <v>27725254</v>
      </c>
      <c r="BO844" s="2" t="s">
        <v>74</v>
      </c>
      <c r="BP844" s="2" t="s">
        <v>74</v>
      </c>
      <c r="BQ844" s="2" t="s">
        <v>74</v>
      </c>
      <c r="BR844" s="2" t="s">
        <v>74</v>
      </c>
      <c r="BS844" s="2" t="s">
        <v>4060</v>
      </c>
      <c r="BT844" s="2" t="str">
        <f>HYPERLINK("https%3A%2F%2Fwww.webofscience.com%2Fwos%2Fwoscc%2Ffull-record%2FWOS:000389092000001","View Full Record in Web of Science")</f>
        <v>View Full Record in Web of Science</v>
      </c>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row>
    <row r="845" spans="1:314" s="2" customFormat="1" x14ac:dyDescent="0.4">
      <c r="A845" s="2" t="s">
        <v>72</v>
      </c>
      <c r="B845" s="2" t="s">
        <v>2001</v>
      </c>
      <c r="C845" s="2" t="s">
        <v>74</v>
      </c>
      <c r="D845" s="2" t="s">
        <v>74</v>
      </c>
      <c r="E845" s="2" t="s">
        <v>74</v>
      </c>
      <c r="F845" s="2" t="s">
        <v>2002</v>
      </c>
      <c r="G845" s="2" t="s">
        <v>74</v>
      </c>
      <c r="H845" s="2" t="s">
        <v>74</v>
      </c>
      <c r="I845" s="2" t="s">
        <v>2003</v>
      </c>
      <c r="J845" s="2" t="s">
        <v>610</v>
      </c>
      <c r="K845" s="2" t="s">
        <v>74</v>
      </c>
      <c r="L845" s="2" t="s">
        <v>74</v>
      </c>
      <c r="M845" s="2" t="s">
        <v>74</v>
      </c>
      <c r="N845" s="2" t="s">
        <v>74</v>
      </c>
      <c r="O845" s="2" t="s">
        <v>74</v>
      </c>
      <c r="P845" s="2" t="s">
        <v>74</v>
      </c>
      <c r="Q845" s="2" t="s">
        <v>74</v>
      </c>
      <c r="R845" s="2" t="s">
        <v>74</v>
      </c>
      <c r="S845" s="2" t="s">
        <v>74</v>
      </c>
      <c r="T845" s="2" t="s">
        <v>74</v>
      </c>
      <c r="U845" s="2" t="s">
        <v>74</v>
      </c>
      <c r="V845" s="5" t="s">
        <v>2004</v>
      </c>
      <c r="W845" s="2" t="s">
        <v>74</v>
      </c>
      <c r="X845" s="2" t="s">
        <v>74</v>
      </c>
      <c r="Y845" s="2" t="s">
        <v>74</v>
      </c>
      <c r="Z845" s="2" t="s">
        <v>74</v>
      </c>
      <c r="AA845" s="2" t="s">
        <v>74</v>
      </c>
      <c r="AB845" s="2" t="s">
        <v>90</v>
      </c>
      <c r="AC845" s="2" t="s">
        <v>74</v>
      </c>
      <c r="AD845" s="2" t="s">
        <v>74</v>
      </c>
      <c r="AE845" s="2" t="s">
        <v>74</v>
      </c>
      <c r="AF845" s="2" t="s">
        <v>74</v>
      </c>
      <c r="AG845" s="2" t="s">
        <v>74</v>
      </c>
      <c r="AH845" s="2" t="s">
        <v>74</v>
      </c>
      <c r="AI845" s="2" t="s">
        <v>74</v>
      </c>
      <c r="AJ845" s="2" t="s">
        <v>74</v>
      </c>
      <c r="AK845" s="2" t="s">
        <v>74</v>
      </c>
      <c r="AL845" s="2" t="s">
        <v>74</v>
      </c>
      <c r="AM845" s="2" t="s">
        <v>74</v>
      </c>
      <c r="AN845" s="2" t="s">
        <v>74</v>
      </c>
      <c r="AO845" s="2" t="s">
        <v>614</v>
      </c>
      <c r="AP845" s="2" t="s">
        <v>615</v>
      </c>
      <c r="AQ845" s="2" t="s">
        <v>74</v>
      </c>
      <c r="AR845" s="2" t="s">
        <v>74</v>
      </c>
      <c r="AS845" s="2" t="s">
        <v>74</v>
      </c>
      <c r="AT845" s="2" t="s">
        <v>102</v>
      </c>
      <c r="AU845" s="2">
        <v>2022</v>
      </c>
      <c r="AV845" s="2">
        <v>128</v>
      </c>
      <c r="AW845" s="2">
        <v>6</v>
      </c>
      <c r="AX845" s="2" t="s">
        <v>74</v>
      </c>
      <c r="AY845" s="2" t="s">
        <v>74</v>
      </c>
      <c r="AZ845" s="2" t="s">
        <v>74</v>
      </c>
      <c r="BA845" s="2" t="s">
        <v>74</v>
      </c>
      <c r="BB845" s="2">
        <v>482</v>
      </c>
      <c r="BC845" s="2">
        <v>488</v>
      </c>
      <c r="BD845" s="2" t="s">
        <v>74</v>
      </c>
      <c r="BE845" s="2" t="s">
        <v>2005</v>
      </c>
      <c r="BF845" s="2" t="str">
        <f>HYPERLINK("http://dx.doi.org/10.1111/eth.13282","http://dx.doi.org/10.1111/eth.13282")</f>
        <v>http://dx.doi.org/10.1111/eth.13282</v>
      </c>
      <c r="BG845" s="2" t="s">
        <v>74</v>
      </c>
      <c r="BH845" s="2" t="s">
        <v>2006</v>
      </c>
      <c r="BI845" s="2" t="s">
        <v>74</v>
      </c>
      <c r="BJ845" s="2" t="s">
        <v>74</v>
      </c>
      <c r="BK845" s="2" t="s">
        <v>74</v>
      </c>
      <c r="BL845" s="2" t="s">
        <v>74</v>
      </c>
      <c r="BM845" s="2" t="s">
        <v>74</v>
      </c>
      <c r="BN845" s="2" t="s">
        <v>74</v>
      </c>
      <c r="BO845" s="2" t="s">
        <v>74</v>
      </c>
      <c r="BP845" s="2" t="s">
        <v>74</v>
      </c>
      <c r="BQ845" s="2" t="s">
        <v>74</v>
      </c>
      <c r="BR845" s="2" t="s">
        <v>74</v>
      </c>
      <c r="BS845" s="2" t="s">
        <v>2007</v>
      </c>
      <c r="BT845" s="2" t="str">
        <f>HYPERLINK("https%3A%2F%2Fwww.webofscience.com%2Fwos%2Fwoscc%2Ffull-record%2FWOS:000781080500001","View Full Record in Web of Science")</f>
        <v>View Full Record in Web of Science</v>
      </c>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row>
    <row r="846" spans="1:314" s="2" customFormat="1" x14ac:dyDescent="0.4">
      <c r="A846" s="2" t="s">
        <v>72</v>
      </c>
      <c r="B846" s="2" t="s">
        <v>1093</v>
      </c>
      <c r="C846" s="2" t="s">
        <v>74</v>
      </c>
      <c r="D846" s="2" t="s">
        <v>74</v>
      </c>
      <c r="E846" s="2" t="s">
        <v>74</v>
      </c>
      <c r="F846" s="2" t="s">
        <v>1094</v>
      </c>
      <c r="G846" s="2" t="s">
        <v>74</v>
      </c>
      <c r="H846" s="2" t="s">
        <v>74</v>
      </c>
      <c r="I846" s="2" t="s">
        <v>1095</v>
      </c>
      <c r="J846" s="2" t="s">
        <v>1096</v>
      </c>
      <c r="K846" s="2" t="s">
        <v>74</v>
      </c>
      <c r="L846" s="2" t="s">
        <v>74</v>
      </c>
      <c r="M846" s="2" t="s">
        <v>74</v>
      </c>
      <c r="N846" s="2" t="s">
        <v>74</v>
      </c>
      <c r="O846" s="2" t="s">
        <v>74</v>
      </c>
      <c r="P846" s="2" t="s">
        <v>74</v>
      </c>
      <c r="Q846" s="2" t="s">
        <v>74</v>
      </c>
      <c r="R846" s="2" t="s">
        <v>74</v>
      </c>
      <c r="S846" s="2" t="s">
        <v>74</v>
      </c>
      <c r="T846" s="2" t="s">
        <v>74</v>
      </c>
      <c r="U846" s="2" t="s">
        <v>74</v>
      </c>
      <c r="V846" s="5" t="s">
        <v>1097</v>
      </c>
      <c r="W846" s="2" t="s">
        <v>74</v>
      </c>
      <c r="X846" s="2" t="s">
        <v>74</v>
      </c>
      <c r="Y846" s="2" t="s">
        <v>74</v>
      </c>
      <c r="Z846" s="2" t="s">
        <v>74</v>
      </c>
      <c r="AA846" s="2" t="s">
        <v>74</v>
      </c>
      <c r="AB846" s="2" t="s">
        <v>90</v>
      </c>
      <c r="AC846" s="2" t="s">
        <v>74</v>
      </c>
      <c r="AD846" s="2" t="s">
        <v>74</v>
      </c>
      <c r="AE846" s="2" t="s">
        <v>74</v>
      </c>
      <c r="AF846" s="2" t="s">
        <v>74</v>
      </c>
      <c r="AG846" s="2" t="s">
        <v>74</v>
      </c>
      <c r="AH846" s="2" t="s">
        <v>74</v>
      </c>
      <c r="AI846" s="2" t="s">
        <v>74</v>
      </c>
      <c r="AJ846" s="2" t="s">
        <v>74</v>
      </c>
      <c r="AK846" s="2" t="s">
        <v>74</v>
      </c>
      <c r="AL846" s="2" t="s">
        <v>74</v>
      </c>
      <c r="AM846" s="2" t="s">
        <v>74</v>
      </c>
      <c r="AN846" s="2" t="s">
        <v>74</v>
      </c>
      <c r="AO846" s="2" t="s">
        <v>1098</v>
      </c>
      <c r="AP846" s="2" t="s">
        <v>1099</v>
      </c>
      <c r="AQ846" s="2" t="s">
        <v>74</v>
      </c>
      <c r="AR846" s="2" t="s">
        <v>74</v>
      </c>
      <c r="AS846" s="2" t="s">
        <v>74</v>
      </c>
      <c r="AT846" s="2" t="s">
        <v>255</v>
      </c>
      <c r="AU846" s="2">
        <v>2012</v>
      </c>
      <c r="AV846" s="2">
        <v>21</v>
      </c>
      <c r="AW846" s="2">
        <v>1</v>
      </c>
      <c r="AX846" s="2" t="s">
        <v>74</v>
      </c>
      <c r="AY846" s="2" t="s">
        <v>74</v>
      </c>
      <c r="AZ846" s="2" t="s">
        <v>74</v>
      </c>
      <c r="BA846" s="2" t="s">
        <v>74</v>
      </c>
      <c r="BB846" s="2">
        <v>34</v>
      </c>
      <c r="BC846" s="2">
        <v>41</v>
      </c>
      <c r="BD846" s="2" t="s">
        <v>74</v>
      </c>
      <c r="BE846" s="2" t="s">
        <v>1100</v>
      </c>
      <c r="BF846" s="2" t="str">
        <f>HYPERLINK("http://dx.doi.org/10.1111/j.1600-0633.2011.00520.x","http://dx.doi.org/10.1111/j.1600-0633.2011.00520.x")</f>
        <v>http://dx.doi.org/10.1111/j.1600-0633.2011.00520.x</v>
      </c>
      <c r="BG846" s="2" t="s">
        <v>74</v>
      </c>
      <c r="BH846" s="2" t="s">
        <v>74</v>
      </c>
      <c r="BI846" s="2" t="s">
        <v>74</v>
      </c>
      <c r="BJ846" s="2" t="s">
        <v>74</v>
      </c>
      <c r="BK846" s="2" t="s">
        <v>74</v>
      </c>
      <c r="BL846" s="2" t="s">
        <v>74</v>
      </c>
      <c r="BM846" s="2" t="s">
        <v>74</v>
      </c>
      <c r="BN846" s="2" t="s">
        <v>74</v>
      </c>
      <c r="BO846" s="2" t="s">
        <v>74</v>
      </c>
      <c r="BP846" s="2" t="s">
        <v>74</v>
      </c>
      <c r="BQ846" s="2" t="s">
        <v>74</v>
      </c>
      <c r="BR846" s="2" t="s">
        <v>74</v>
      </c>
      <c r="BS846" s="2" t="s">
        <v>1101</v>
      </c>
      <c r="BT846" s="2" t="str">
        <f>HYPERLINK("https%3A%2F%2Fwww.webofscience.com%2Fwos%2Fwoscc%2Ffull-record%2FWOS:000297634700004","View Full Record in Web of Science")</f>
        <v>View Full Record in Web of Science</v>
      </c>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row>
    <row r="847" spans="1:314" s="2" customFormat="1" x14ac:dyDescent="0.4">
      <c r="A847" s="2" t="s">
        <v>72</v>
      </c>
      <c r="B847" s="2" t="s">
        <v>85</v>
      </c>
      <c r="C847" s="2" t="s">
        <v>74</v>
      </c>
      <c r="D847" s="2" t="s">
        <v>74</v>
      </c>
      <c r="E847" s="2" t="s">
        <v>74</v>
      </c>
      <c r="F847" s="2" t="s">
        <v>86</v>
      </c>
      <c r="G847" s="2" t="s">
        <v>74</v>
      </c>
      <c r="H847" s="2" t="s">
        <v>74</v>
      </c>
      <c r="I847" s="2" t="s">
        <v>87</v>
      </c>
      <c r="J847" s="2" t="s">
        <v>88</v>
      </c>
      <c r="K847" s="2" t="s">
        <v>74</v>
      </c>
      <c r="L847" s="2" t="s">
        <v>74</v>
      </c>
      <c r="M847" s="2" t="s">
        <v>74</v>
      </c>
      <c r="N847" s="2" t="s">
        <v>74</v>
      </c>
      <c r="O847" s="2" t="s">
        <v>74</v>
      </c>
      <c r="P847" s="2" t="s">
        <v>74</v>
      </c>
      <c r="Q847" s="2" t="s">
        <v>74</v>
      </c>
      <c r="R847" s="2" t="s">
        <v>74</v>
      </c>
      <c r="S847" s="2" t="s">
        <v>74</v>
      </c>
      <c r="T847" s="2" t="s">
        <v>74</v>
      </c>
      <c r="U847" s="2" t="s">
        <v>74</v>
      </c>
      <c r="V847" s="5" t="s">
        <v>89</v>
      </c>
      <c r="W847" s="2" t="s">
        <v>74</v>
      </c>
      <c r="X847" s="2" t="s">
        <v>74</v>
      </c>
      <c r="Y847" s="2" t="s">
        <v>74</v>
      </c>
      <c r="Z847" s="2" t="s">
        <v>74</v>
      </c>
      <c r="AA847" s="2" t="s">
        <v>74</v>
      </c>
      <c r="AB847" s="2" t="s">
        <v>90</v>
      </c>
      <c r="AC847" s="2" t="s">
        <v>74</v>
      </c>
      <c r="AD847" s="2" t="s">
        <v>74</v>
      </c>
      <c r="AE847" s="2" t="s">
        <v>74</v>
      </c>
      <c r="AF847" s="2" t="s">
        <v>74</v>
      </c>
      <c r="AG847" s="2" t="s">
        <v>74</v>
      </c>
      <c r="AH847" s="2" t="s">
        <v>74</v>
      </c>
      <c r="AI847" s="2" t="s">
        <v>74</v>
      </c>
      <c r="AJ847" s="2" t="s">
        <v>74</v>
      </c>
      <c r="AK847" s="2" t="s">
        <v>74</v>
      </c>
      <c r="AL847" s="2" t="s">
        <v>74</v>
      </c>
      <c r="AM847" s="2" t="s">
        <v>74</v>
      </c>
      <c r="AN847" s="2" t="s">
        <v>74</v>
      </c>
      <c r="AO847" s="2" t="s">
        <v>91</v>
      </c>
      <c r="AP847" s="2" t="s">
        <v>92</v>
      </c>
      <c r="AQ847" s="2" t="s">
        <v>74</v>
      </c>
      <c r="AR847" s="2" t="s">
        <v>74</v>
      </c>
      <c r="AS847" s="2" t="s">
        <v>74</v>
      </c>
      <c r="AT847" s="2" t="s">
        <v>93</v>
      </c>
      <c r="AU847" s="2">
        <v>2008</v>
      </c>
      <c r="AV847" s="2">
        <v>4</v>
      </c>
      <c r="AW847" s="2">
        <v>2</v>
      </c>
      <c r="AX847" s="2" t="s">
        <v>74</v>
      </c>
      <c r="AY847" s="2" t="s">
        <v>74</v>
      </c>
      <c r="AZ847" s="2" t="s">
        <v>74</v>
      </c>
      <c r="BA847" s="2" t="s">
        <v>74</v>
      </c>
      <c r="BB847" s="2">
        <v>156</v>
      </c>
      <c r="BC847" s="2">
        <v>159</v>
      </c>
      <c r="BD847" s="2" t="s">
        <v>74</v>
      </c>
      <c r="BE847" s="2" t="s">
        <v>94</v>
      </c>
      <c r="BF847" s="2" t="str">
        <f>HYPERLINK("http://dx.doi.org/10.1098/rsbl.2007.0581","http://dx.doi.org/10.1098/rsbl.2007.0581")</f>
        <v>http://dx.doi.org/10.1098/rsbl.2007.0581</v>
      </c>
      <c r="BG847" s="2" t="s">
        <v>74</v>
      </c>
      <c r="BH847" s="2" t="s">
        <v>74</v>
      </c>
      <c r="BI847" s="2" t="s">
        <v>74</v>
      </c>
      <c r="BJ847" s="2" t="s">
        <v>74</v>
      </c>
      <c r="BK847" s="2" t="s">
        <v>74</v>
      </c>
      <c r="BL847" s="2" t="s">
        <v>74</v>
      </c>
      <c r="BM847" s="2" t="s">
        <v>74</v>
      </c>
      <c r="BN847" s="2">
        <v>18230585</v>
      </c>
      <c r="BO847" s="2" t="s">
        <v>74</v>
      </c>
      <c r="BP847" s="2" t="s">
        <v>74</v>
      </c>
      <c r="BQ847" s="2" t="s">
        <v>74</v>
      </c>
      <c r="BR847" s="2" t="s">
        <v>74</v>
      </c>
      <c r="BS847" s="2" t="s">
        <v>95</v>
      </c>
      <c r="BT847" s="2" t="str">
        <f>HYPERLINK("https%3A%2F%2Fwww.webofscience.com%2Fwos%2Fwoscc%2Ffull-record%2FWOS:000254353200005","View Full Record in Web of Science")</f>
        <v>View Full Record in Web of Science</v>
      </c>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row>
    <row r="848" spans="1:314" s="2" customFormat="1" x14ac:dyDescent="0.4">
      <c r="A848" s="2" t="s">
        <v>72</v>
      </c>
      <c r="B848" s="2" t="s">
        <v>428</v>
      </c>
      <c r="C848" s="2" t="s">
        <v>74</v>
      </c>
      <c r="D848" s="2" t="s">
        <v>74</v>
      </c>
      <c r="E848" s="2" t="s">
        <v>74</v>
      </c>
      <c r="F848" s="2" t="s">
        <v>429</v>
      </c>
      <c r="G848" s="2" t="s">
        <v>74</v>
      </c>
      <c r="H848" s="2" t="s">
        <v>74</v>
      </c>
      <c r="I848" s="2" t="s">
        <v>430</v>
      </c>
      <c r="J848" s="2" t="s">
        <v>431</v>
      </c>
      <c r="K848" s="2" t="s">
        <v>74</v>
      </c>
      <c r="L848" s="2" t="s">
        <v>74</v>
      </c>
      <c r="M848" s="2" t="s">
        <v>74</v>
      </c>
      <c r="N848" s="2" t="s">
        <v>74</v>
      </c>
      <c r="O848" s="2" t="s">
        <v>74</v>
      </c>
      <c r="P848" s="2" t="s">
        <v>74</v>
      </c>
      <c r="Q848" s="2" t="s">
        <v>74</v>
      </c>
      <c r="R848" s="2" t="s">
        <v>74</v>
      </c>
      <c r="S848" s="2" t="s">
        <v>74</v>
      </c>
      <c r="T848" s="2" t="s">
        <v>74</v>
      </c>
      <c r="U848" s="2" t="s">
        <v>74</v>
      </c>
      <c r="V848" s="5" t="s">
        <v>432</v>
      </c>
      <c r="W848" s="2" t="s">
        <v>74</v>
      </c>
      <c r="X848" s="2" t="s">
        <v>74</v>
      </c>
      <c r="Y848" s="2" t="s">
        <v>74</v>
      </c>
      <c r="Z848" s="2" t="s">
        <v>74</v>
      </c>
      <c r="AA848" s="2" t="s">
        <v>433</v>
      </c>
      <c r="AB848" s="2" t="s">
        <v>434</v>
      </c>
      <c r="AC848" s="2" t="s">
        <v>74</v>
      </c>
      <c r="AD848" s="2" t="s">
        <v>74</v>
      </c>
      <c r="AE848" s="2" t="s">
        <v>74</v>
      </c>
      <c r="AF848" s="2" t="s">
        <v>74</v>
      </c>
      <c r="AG848" s="2" t="s">
        <v>74</v>
      </c>
      <c r="AH848" s="2" t="s">
        <v>74</v>
      </c>
      <c r="AI848" s="2" t="s">
        <v>74</v>
      </c>
      <c r="AJ848" s="2" t="s">
        <v>74</v>
      </c>
      <c r="AK848" s="2" t="s">
        <v>74</v>
      </c>
      <c r="AL848" s="2" t="s">
        <v>74</v>
      </c>
      <c r="AM848" s="2" t="s">
        <v>74</v>
      </c>
      <c r="AN848" s="2" t="s">
        <v>74</v>
      </c>
      <c r="AO848" s="2" t="s">
        <v>74</v>
      </c>
      <c r="AP848" s="2" t="s">
        <v>435</v>
      </c>
      <c r="AQ848" s="2" t="s">
        <v>74</v>
      </c>
      <c r="AR848" s="2" t="s">
        <v>74</v>
      </c>
      <c r="AS848" s="2" t="s">
        <v>74</v>
      </c>
      <c r="AT848" s="2" t="s">
        <v>204</v>
      </c>
      <c r="AU848" s="2">
        <v>2011</v>
      </c>
      <c r="AV848" s="2">
        <v>128</v>
      </c>
      <c r="AW848" s="2">
        <v>3</v>
      </c>
      <c r="AX848" s="2" t="s">
        <v>74</v>
      </c>
      <c r="AY848" s="2" t="s">
        <v>74</v>
      </c>
      <c r="AZ848" s="2" t="s">
        <v>74</v>
      </c>
      <c r="BA848" s="2" t="s">
        <v>74</v>
      </c>
      <c r="BB848" s="2">
        <v>497</v>
      </c>
      <c r="BC848" s="2">
        <v>505</v>
      </c>
      <c r="BD848" s="2" t="s">
        <v>74</v>
      </c>
      <c r="BE848" s="2" t="s">
        <v>436</v>
      </c>
      <c r="BF848" s="2" t="str">
        <f>HYPERLINK("http://dx.doi.org/10.1525/auk.2011.11085","http://dx.doi.org/10.1525/auk.2011.11085")</f>
        <v>http://dx.doi.org/10.1525/auk.2011.11085</v>
      </c>
      <c r="BG848" s="2" t="s">
        <v>74</v>
      </c>
      <c r="BH848" s="2" t="s">
        <v>74</v>
      </c>
      <c r="BI848" s="2" t="s">
        <v>74</v>
      </c>
      <c r="BJ848" s="2" t="s">
        <v>74</v>
      </c>
      <c r="BK848" s="2" t="s">
        <v>74</v>
      </c>
      <c r="BL848" s="2" t="s">
        <v>74</v>
      </c>
      <c r="BM848" s="2" t="s">
        <v>74</v>
      </c>
      <c r="BN848" s="2" t="s">
        <v>74</v>
      </c>
      <c r="BO848" s="2" t="s">
        <v>74</v>
      </c>
      <c r="BP848" s="2" t="s">
        <v>74</v>
      </c>
      <c r="BQ848" s="2" t="s">
        <v>74</v>
      </c>
      <c r="BR848" s="2" t="s">
        <v>74</v>
      </c>
      <c r="BS848" s="2" t="s">
        <v>437</v>
      </c>
      <c r="BT848" s="2" t="str">
        <f>HYPERLINK("https%3A%2F%2Fwww.webofscience.com%2Fwos%2Fwoscc%2Ffull-record%2FWOS:000293307300007","View Full Record in Web of Science")</f>
        <v>View Full Record in Web of Science</v>
      </c>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row>
    <row r="849" spans="1:314" s="2" customFormat="1" x14ac:dyDescent="0.4">
      <c r="A849" s="2" t="s">
        <v>72</v>
      </c>
      <c r="B849" s="2" t="s">
        <v>7093</v>
      </c>
      <c r="C849" s="2" t="s">
        <v>74</v>
      </c>
      <c r="D849" s="2" t="s">
        <v>74</v>
      </c>
      <c r="E849" s="2" t="s">
        <v>74</v>
      </c>
      <c r="F849" s="2" t="s">
        <v>7093</v>
      </c>
      <c r="G849" s="2" t="s">
        <v>74</v>
      </c>
      <c r="H849" s="2" t="s">
        <v>74</v>
      </c>
      <c r="I849" s="2" t="s">
        <v>7094</v>
      </c>
      <c r="J849" s="2" t="s">
        <v>1526</v>
      </c>
      <c r="K849" s="2" t="s">
        <v>74</v>
      </c>
      <c r="L849" s="2" t="s">
        <v>74</v>
      </c>
      <c r="M849" s="2" t="s">
        <v>74</v>
      </c>
      <c r="N849" s="2" t="s">
        <v>74</v>
      </c>
      <c r="O849" s="2" t="s">
        <v>74</v>
      </c>
      <c r="P849" s="2" t="s">
        <v>74</v>
      </c>
      <c r="Q849" s="2" t="s">
        <v>74</v>
      </c>
      <c r="R849" s="2" t="s">
        <v>74</v>
      </c>
      <c r="S849" s="2" t="s">
        <v>74</v>
      </c>
      <c r="T849" s="2" t="s">
        <v>74</v>
      </c>
      <c r="U849" s="2" t="s">
        <v>74</v>
      </c>
      <c r="V849" s="5" t="s">
        <v>7095</v>
      </c>
      <c r="W849" s="2" t="s">
        <v>74</v>
      </c>
      <c r="X849" s="2" t="s">
        <v>74</v>
      </c>
      <c r="Y849" s="2" t="s">
        <v>74</v>
      </c>
      <c r="Z849" s="2" t="s">
        <v>74</v>
      </c>
      <c r="AA849" s="2" t="s">
        <v>74</v>
      </c>
      <c r="AB849" s="2" t="s">
        <v>74</v>
      </c>
      <c r="AC849" s="2" t="s">
        <v>74</v>
      </c>
      <c r="AD849" s="2" t="s">
        <v>74</v>
      </c>
      <c r="AE849" s="2" t="s">
        <v>74</v>
      </c>
      <c r="AF849" s="2" t="s">
        <v>74</v>
      </c>
      <c r="AG849" s="2" t="s">
        <v>74</v>
      </c>
      <c r="AH849" s="2" t="s">
        <v>74</v>
      </c>
      <c r="AI849" s="2" t="s">
        <v>74</v>
      </c>
      <c r="AJ849" s="2" t="s">
        <v>74</v>
      </c>
      <c r="AK849" s="2" t="s">
        <v>74</v>
      </c>
      <c r="AL849" s="2" t="s">
        <v>74</v>
      </c>
      <c r="AM849" s="2" t="s">
        <v>74</v>
      </c>
      <c r="AN849" s="2" t="s">
        <v>74</v>
      </c>
      <c r="AO849" s="2" t="s">
        <v>74</v>
      </c>
      <c r="AP849" s="2" t="s">
        <v>2131</v>
      </c>
      <c r="AQ849" s="2" t="s">
        <v>74</v>
      </c>
      <c r="AR849" s="2" t="s">
        <v>74</v>
      </c>
      <c r="AS849" s="2" t="s">
        <v>74</v>
      </c>
      <c r="AT849" s="2" t="s">
        <v>74</v>
      </c>
      <c r="AU849" s="2">
        <v>1979</v>
      </c>
      <c r="AV849" s="2">
        <v>81</v>
      </c>
      <c r="AW849" s="2">
        <v>3</v>
      </c>
      <c r="AX849" s="2" t="s">
        <v>74</v>
      </c>
      <c r="AY849" s="2" t="s">
        <v>74</v>
      </c>
      <c r="AZ849" s="2" t="s">
        <v>74</v>
      </c>
      <c r="BA849" s="2" t="s">
        <v>74</v>
      </c>
      <c r="BB849" s="2">
        <v>278</v>
      </c>
      <c r="BC849" s="2">
        <v>285</v>
      </c>
      <c r="BD849" s="2" t="s">
        <v>74</v>
      </c>
      <c r="BE849" s="2" t="s">
        <v>7096</v>
      </c>
      <c r="BF849" s="2" t="str">
        <f>HYPERLINK("http://dx.doi.org/10.2307/1367633","http://dx.doi.org/10.2307/1367633")</f>
        <v>http://dx.doi.org/10.2307/1367633</v>
      </c>
      <c r="BG849" s="2" t="s">
        <v>74</v>
      </c>
      <c r="BH849" s="2" t="s">
        <v>74</v>
      </c>
      <c r="BI849" s="2" t="s">
        <v>74</v>
      </c>
      <c r="BJ849" s="2" t="s">
        <v>74</v>
      </c>
      <c r="BK849" s="2" t="s">
        <v>74</v>
      </c>
      <c r="BL849" s="2" t="s">
        <v>74</v>
      </c>
      <c r="BM849" s="2" t="s">
        <v>74</v>
      </c>
      <c r="BN849" s="2" t="s">
        <v>74</v>
      </c>
      <c r="BO849" s="2" t="s">
        <v>74</v>
      </c>
      <c r="BP849" s="2" t="s">
        <v>74</v>
      </c>
      <c r="BQ849" s="2" t="s">
        <v>74</v>
      </c>
      <c r="BR849" s="2" t="s">
        <v>74</v>
      </c>
      <c r="BS849" s="2" t="s">
        <v>7097</v>
      </c>
      <c r="BT849" s="2" t="str">
        <f>HYPERLINK("https%3A%2F%2Fwww.webofscience.com%2Fwos%2Fwoscc%2Ffull-record%2FWOS:A1979HS58400009","View Full Record in Web of Science")</f>
        <v>View Full Record in Web of Science</v>
      </c>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row>
    <row r="850" spans="1:314" s="2" customFormat="1" x14ac:dyDescent="0.4">
      <c r="A850" s="2" t="s">
        <v>72</v>
      </c>
      <c r="B850" s="2" t="s">
        <v>7353</v>
      </c>
      <c r="C850" s="2" t="s">
        <v>74</v>
      </c>
      <c r="D850" s="2" t="s">
        <v>74</v>
      </c>
      <c r="E850" s="2" t="s">
        <v>74</v>
      </c>
      <c r="F850" s="2" t="s">
        <v>7354</v>
      </c>
      <c r="G850" s="2" t="s">
        <v>74</v>
      </c>
      <c r="H850" s="2" t="s">
        <v>74</v>
      </c>
      <c r="I850" s="2" t="s">
        <v>7355</v>
      </c>
      <c r="J850" s="2" t="s">
        <v>140</v>
      </c>
      <c r="K850" s="2" t="s">
        <v>74</v>
      </c>
      <c r="L850" s="2" t="s">
        <v>74</v>
      </c>
      <c r="M850" s="2" t="s">
        <v>74</v>
      </c>
      <c r="N850" s="2" t="s">
        <v>74</v>
      </c>
      <c r="O850" s="2" t="s">
        <v>74</v>
      </c>
      <c r="P850" s="2" t="s">
        <v>74</v>
      </c>
      <c r="Q850" s="2" t="s">
        <v>74</v>
      </c>
      <c r="R850" s="2" t="s">
        <v>74</v>
      </c>
      <c r="S850" s="2" t="s">
        <v>74</v>
      </c>
      <c r="T850" s="2" t="s">
        <v>74</v>
      </c>
      <c r="U850" s="2" t="s">
        <v>74</v>
      </c>
      <c r="V850" s="5" t="s">
        <v>7356</v>
      </c>
      <c r="W850" s="2" t="s">
        <v>74</v>
      </c>
      <c r="X850" s="2" t="s">
        <v>74</v>
      </c>
      <c r="Y850" s="2" t="s">
        <v>74</v>
      </c>
      <c r="Z850" s="2" t="s">
        <v>74</v>
      </c>
      <c r="AA850" s="2" t="s">
        <v>74</v>
      </c>
      <c r="AB850" s="2" t="s">
        <v>74</v>
      </c>
      <c r="AC850" s="2" t="s">
        <v>74</v>
      </c>
      <c r="AD850" s="2" t="s">
        <v>74</v>
      </c>
      <c r="AE850" s="2" t="s">
        <v>74</v>
      </c>
      <c r="AF850" s="2" t="s">
        <v>74</v>
      </c>
      <c r="AG850" s="2" t="s">
        <v>74</v>
      </c>
      <c r="AH850" s="2" t="s">
        <v>74</v>
      </c>
      <c r="AI850" s="2" t="s">
        <v>74</v>
      </c>
      <c r="AJ850" s="2" t="s">
        <v>74</v>
      </c>
      <c r="AK850" s="2" t="s">
        <v>74</v>
      </c>
      <c r="AL850" s="2" t="s">
        <v>74</v>
      </c>
      <c r="AM850" s="2" t="s">
        <v>74</v>
      </c>
      <c r="AN850" s="2" t="s">
        <v>74</v>
      </c>
      <c r="AO850" s="2" t="s">
        <v>143</v>
      </c>
      <c r="AP850" s="2" t="s">
        <v>144</v>
      </c>
      <c r="AQ850" s="2" t="s">
        <v>74</v>
      </c>
      <c r="AR850" s="2" t="s">
        <v>74</v>
      </c>
      <c r="AS850" s="2" t="s">
        <v>74</v>
      </c>
      <c r="AT850" s="2" t="s">
        <v>255</v>
      </c>
      <c r="AU850" s="2">
        <v>2007</v>
      </c>
      <c r="AV850" s="2">
        <v>73</v>
      </c>
      <c r="AW850" s="2" t="s">
        <v>74</v>
      </c>
      <c r="AX850" s="2">
        <v>1</v>
      </c>
      <c r="AY850" s="2" t="s">
        <v>74</v>
      </c>
      <c r="AZ850" s="2" t="s">
        <v>74</v>
      </c>
      <c r="BA850" s="2" t="s">
        <v>74</v>
      </c>
      <c r="BB850" s="2">
        <v>55</v>
      </c>
      <c r="BC850" s="2">
        <v>63</v>
      </c>
      <c r="BD850" s="2" t="s">
        <v>74</v>
      </c>
      <c r="BE850" s="2" t="s">
        <v>7357</v>
      </c>
      <c r="BF850" s="2" t="str">
        <f>HYPERLINK("http://dx.doi.org/10.1016/j.anbehav.2006.06.005","http://dx.doi.org/10.1016/j.anbehav.2006.06.005")</f>
        <v>http://dx.doi.org/10.1016/j.anbehav.2006.06.005</v>
      </c>
      <c r="BG850" s="2" t="s">
        <v>74</v>
      </c>
      <c r="BH850" s="2" t="s">
        <v>74</v>
      </c>
      <c r="BI850" s="2" t="s">
        <v>74</v>
      </c>
      <c r="BJ850" s="2" t="s">
        <v>74</v>
      </c>
      <c r="BK850" s="2" t="s">
        <v>74</v>
      </c>
      <c r="BL850" s="2" t="s">
        <v>74</v>
      </c>
      <c r="BM850" s="2" t="s">
        <v>74</v>
      </c>
      <c r="BN850" s="2" t="s">
        <v>74</v>
      </c>
      <c r="BO850" s="2" t="s">
        <v>74</v>
      </c>
      <c r="BP850" s="2" t="s">
        <v>74</v>
      </c>
      <c r="BQ850" s="2" t="s">
        <v>74</v>
      </c>
      <c r="BR850" s="2" t="s">
        <v>74</v>
      </c>
      <c r="BS850" s="2" t="s">
        <v>7358</v>
      </c>
      <c r="BT850" s="2" t="str">
        <f>HYPERLINK("https%3A%2F%2Fwww.webofscience.com%2Fwos%2Fwoscc%2Ffull-record%2FWOS:000243735000006","View Full Record in Web of Science")</f>
        <v>View Full Record in Web of Science</v>
      </c>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row>
    <row r="851" spans="1:314" s="1" customFormat="1" x14ac:dyDescent="0.4">
      <c r="A851" s="2" t="s">
        <v>72</v>
      </c>
      <c r="B851" s="2" t="s">
        <v>7367</v>
      </c>
      <c r="C851" s="2" t="s">
        <v>74</v>
      </c>
      <c r="D851" s="2" t="s">
        <v>74</v>
      </c>
      <c r="E851" s="2" t="s">
        <v>74</v>
      </c>
      <c r="F851" s="2" t="s">
        <v>7368</v>
      </c>
      <c r="G851" s="2" t="s">
        <v>74</v>
      </c>
      <c r="H851" s="2" t="s">
        <v>74</v>
      </c>
      <c r="I851" s="2" t="s">
        <v>7369</v>
      </c>
      <c r="J851" s="2" t="s">
        <v>344</v>
      </c>
      <c r="K851" s="2" t="s">
        <v>74</v>
      </c>
      <c r="L851" s="2" t="s">
        <v>74</v>
      </c>
      <c r="M851" s="2" t="s">
        <v>74</v>
      </c>
      <c r="N851" s="2" t="s">
        <v>74</v>
      </c>
      <c r="O851" s="2" t="s">
        <v>74</v>
      </c>
      <c r="P851" s="2" t="s">
        <v>74</v>
      </c>
      <c r="Q851" s="2" t="s">
        <v>74</v>
      </c>
      <c r="R851" s="2" t="s">
        <v>74</v>
      </c>
      <c r="S851" s="2" t="s">
        <v>74</v>
      </c>
      <c r="T851" s="2" t="s">
        <v>74</v>
      </c>
      <c r="U851" s="2" t="s">
        <v>74</v>
      </c>
      <c r="V851" s="5" t="s">
        <v>7370</v>
      </c>
      <c r="W851" s="2" t="s">
        <v>74</v>
      </c>
      <c r="X851" s="2" t="s">
        <v>74</v>
      </c>
      <c r="Y851" s="2" t="s">
        <v>74</v>
      </c>
      <c r="Z851" s="2" t="s">
        <v>74</v>
      </c>
      <c r="AA851" s="2" t="s">
        <v>74</v>
      </c>
      <c r="AB851" s="2" t="s">
        <v>74</v>
      </c>
      <c r="AC851" s="2" t="s">
        <v>74</v>
      </c>
      <c r="AD851" s="2" t="s">
        <v>74</v>
      </c>
      <c r="AE851" s="2" t="s">
        <v>74</v>
      </c>
      <c r="AF851" s="2" t="s">
        <v>74</v>
      </c>
      <c r="AG851" s="2" t="s">
        <v>74</v>
      </c>
      <c r="AH851" s="2" t="s">
        <v>74</v>
      </c>
      <c r="AI851" s="2" t="s">
        <v>74</v>
      </c>
      <c r="AJ851" s="2" t="s">
        <v>74</v>
      </c>
      <c r="AK851" s="2" t="s">
        <v>74</v>
      </c>
      <c r="AL851" s="2" t="s">
        <v>74</v>
      </c>
      <c r="AM851" s="2" t="s">
        <v>74</v>
      </c>
      <c r="AN851" s="2" t="s">
        <v>74</v>
      </c>
      <c r="AO851" s="2" t="s">
        <v>346</v>
      </c>
      <c r="AP851" s="2" t="s">
        <v>6569</v>
      </c>
      <c r="AQ851" s="2" t="s">
        <v>74</v>
      </c>
      <c r="AR851" s="2" t="s">
        <v>74</v>
      </c>
      <c r="AS851" s="2" t="s">
        <v>74</v>
      </c>
      <c r="AT851" s="2" t="s">
        <v>145</v>
      </c>
      <c r="AU851" s="2">
        <v>2022</v>
      </c>
      <c r="AV851" s="2">
        <v>105</v>
      </c>
      <c r="AW851" s="2">
        <v>8</v>
      </c>
      <c r="AX851" s="2" t="s">
        <v>74</v>
      </c>
      <c r="AY851" s="2" t="s">
        <v>74</v>
      </c>
      <c r="AZ851" s="2" t="s">
        <v>74</v>
      </c>
      <c r="BA851" s="2" t="s">
        <v>74</v>
      </c>
      <c r="BB851" s="2">
        <v>1129</v>
      </c>
      <c r="BC851" s="2">
        <v>1137</v>
      </c>
      <c r="BD851" s="2" t="s">
        <v>74</v>
      </c>
      <c r="BE851" s="2" t="s">
        <v>7371</v>
      </c>
      <c r="BF851" s="2" t="str">
        <f>HYPERLINK("http://dx.doi.org/10.1007/s10641-022-01313-w","http://dx.doi.org/10.1007/s10641-022-01313-w")</f>
        <v>http://dx.doi.org/10.1007/s10641-022-01313-w</v>
      </c>
      <c r="BG851" s="2" t="s">
        <v>74</v>
      </c>
      <c r="BH851" s="2" t="s">
        <v>307</v>
      </c>
      <c r="BI851" s="2" t="s">
        <v>74</v>
      </c>
      <c r="BJ851" s="2" t="s">
        <v>74</v>
      </c>
      <c r="BK851" s="2" t="s">
        <v>74</v>
      </c>
      <c r="BL851" s="2" t="s">
        <v>74</v>
      </c>
      <c r="BM851" s="2" t="s">
        <v>74</v>
      </c>
      <c r="BN851" s="2" t="s">
        <v>74</v>
      </c>
      <c r="BO851" s="2" t="s">
        <v>74</v>
      </c>
      <c r="BP851" s="2" t="s">
        <v>74</v>
      </c>
      <c r="BQ851" s="2" t="s">
        <v>74</v>
      </c>
      <c r="BR851" s="2" t="s">
        <v>74</v>
      </c>
      <c r="BS851" s="2" t="s">
        <v>7372</v>
      </c>
      <c r="BT851" s="2" t="str">
        <f>HYPERLINK("https%3A%2F%2Fwww.webofscience.com%2Fwos%2Fwoscc%2Ffull-record%2FWOS:000836521600001","View Full Record in Web of Science")</f>
        <v>View Full Record in Web of Science</v>
      </c>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row>
    <row r="852" spans="1:314" s="1" customFormat="1" x14ac:dyDescent="0.4">
      <c r="A852" s="2" t="s">
        <v>72</v>
      </c>
      <c r="B852" s="2" t="s">
        <v>8674</v>
      </c>
      <c r="C852" s="2" t="s">
        <v>74</v>
      </c>
      <c r="D852" s="2" t="s">
        <v>74</v>
      </c>
      <c r="E852" s="2" t="s">
        <v>74</v>
      </c>
      <c r="F852" s="2" t="s">
        <v>8675</v>
      </c>
      <c r="G852" s="2" t="s">
        <v>74</v>
      </c>
      <c r="H852" s="2" t="s">
        <v>74</v>
      </c>
      <c r="I852" s="2" t="s">
        <v>8676</v>
      </c>
      <c r="J852" s="2" t="s">
        <v>5881</v>
      </c>
      <c r="K852" s="2" t="s">
        <v>74</v>
      </c>
      <c r="L852" s="2" t="s">
        <v>74</v>
      </c>
      <c r="M852" s="2" t="s">
        <v>74</v>
      </c>
      <c r="N852" s="2" t="s">
        <v>74</v>
      </c>
      <c r="O852" s="2" t="s">
        <v>74</v>
      </c>
      <c r="P852" s="2" t="s">
        <v>74</v>
      </c>
      <c r="Q852" s="2" t="s">
        <v>74</v>
      </c>
      <c r="R852" s="2" t="s">
        <v>74</v>
      </c>
      <c r="S852" s="2" t="s">
        <v>74</v>
      </c>
      <c r="T852" s="2" t="s">
        <v>74</v>
      </c>
      <c r="U852" s="2" t="s">
        <v>74</v>
      </c>
      <c r="V852" s="5" t="s">
        <v>8677</v>
      </c>
      <c r="W852" s="2" t="s">
        <v>74</v>
      </c>
      <c r="X852" s="2" t="s">
        <v>74</v>
      </c>
      <c r="Y852" s="2" t="s">
        <v>74</v>
      </c>
      <c r="Z852" s="2" t="s">
        <v>74</v>
      </c>
      <c r="AA852" s="2" t="s">
        <v>8678</v>
      </c>
      <c r="AB852" s="2" t="s">
        <v>8679</v>
      </c>
      <c r="AC852" s="2" t="s">
        <v>74</v>
      </c>
      <c r="AD852" s="2" t="s">
        <v>74</v>
      </c>
      <c r="AE852" s="2" t="s">
        <v>74</v>
      </c>
      <c r="AF852" s="2" t="s">
        <v>74</v>
      </c>
      <c r="AG852" s="2" t="s">
        <v>74</v>
      </c>
      <c r="AH852" s="2" t="s">
        <v>74</v>
      </c>
      <c r="AI852" s="2" t="s">
        <v>74</v>
      </c>
      <c r="AJ852" s="2" t="s">
        <v>74</v>
      </c>
      <c r="AK852" s="2" t="s">
        <v>74</v>
      </c>
      <c r="AL852" s="2" t="s">
        <v>74</v>
      </c>
      <c r="AM852" s="2" t="s">
        <v>74</v>
      </c>
      <c r="AN852" s="2" t="s">
        <v>74</v>
      </c>
      <c r="AO852" s="2" t="s">
        <v>5885</v>
      </c>
      <c r="AP852" s="2" t="s">
        <v>5886</v>
      </c>
      <c r="AQ852" s="2" t="s">
        <v>74</v>
      </c>
      <c r="AR852" s="2" t="s">
        <v>74</v>
      </c>
      <c r="AS852" s="2" t="s">
        <v>74</v>
      </c>
      <c r="AT852" s="2" t="s">
        <v>4817</v>
      </c>
      <c r="AU852" s="2">
        <v>2015</v>
      </c>
      <c r="AV852" s="2">
        <v>82</v>
      </c>
      <c r="AW852" s="2">
        <v>2</v>
      </c>
      <c r="AX852" s="2" t="s">
        <v>74</v>
      </c>
      <c r="AY852" s="2" t="s">
        <v>74</v>
      </c>
      <c r="AZ852" s="2" t="s">
        <v>74</v>
      </c>
      <c r="BA852" s="2" t="s">
        <v>74</v>
      </c>
      <c r="BB852" s="2">
        <v>202</v>
      </c>
      <c r="BC852" s="2">
        <v>211</v>
      </c>
      <c r="BD852" s="2" t="s">
        <v>74</v>
      </c>
      <c r="BE852" s="2" t="s">
        <v>8680</v>
      </c>
      <c r="BF852" s="2" t="str">
        <f>HYPERLINK("http://dx.doi.org/10.1080/11250003.2015.1018852","http://dx.doi.org/10.1080/11250003.2015.1018852")</f>
        <v>http://dx.doi.org/10.1080/11250003.2015.1018852</v>
      </c>
      <c r="BG852" s="2" t="s">
        <v>74</v>
      </c>
      <c r="BH852" s="2" t="s">
        <v>74</v>
      </c>
      <c r="BI852" s="2" t="s">
        <v>74</v>
      </c>
      <c r="BJ852" s="2" t="s">
        <v>74</v>
      </c>
      <c r="BK852" s="2" t="s">
        <v>74</v>
      </c>
      <c r="BL852" s="2" t="s">
        <v>74</v>
      </c>
      <c r="BM852" s="2" t="s">
        <v>74</v>
      </c>
      <c r="BN852" s="2" t="s">
        <v>74</v>
      </c>
      <c r="BO852" s="2" t="s">
        <v>74</v>
      </c>
      <c r="BP852" s="2" t="s">
        <v>74</v>
      </c>
      <c r="BQ852" s="2" t="s">
        <v>74</v>
      </c>
      <c r="BR852" s="2" t="s">
        <v>74</v>
      </c>
      <c r="BS852" s="2" t="s">
        <v>8681</v>
      </c>
      <c r="BT852" s="2" t="str">
        <f>HYPERLINK("https%3A%2F%2Fwww.webofscience.com%2Fwos%2Fwoscc%2Ffull-record%2FWOS:000353501900009","View Full Record in Web of Science")</f>
        <v>View Full Record in Web of Science</v>
      </c>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row>
    <row r="853" spans="1:314" s="2" customFormat="1" x14ac:dyDescent="0.4">
      <c r="A853" s="2" t="s">
        <v>72</v>
      </c>
      <c r="B853" s="2" t="s">
        <v>7419</v>
      </c>
      <c r="C853" s="2" t="s">
        <v>74</v>
      </c>
      <c r="D853" s="2" t="s">
        <v>74</v>
      </c>
      <c r="E853" s="2" t="s">
        <v>74</v>
      </c>
      <c r="F853" s="2" t="s">
        <v>7420</v>
      </c>
      <c r="G853" s="2" t="s">
        <v>74</v>
      </c>
      <c r="H853" s="2" t="s">
        <v>74</v>
      </c>
      <c r="I853" s="2" t="s">
        <v>7421</v>
      </c>
      <c r="J853" s="2" t="s">
        <v>7422</v>
      </c>
      <c r="K853" s="2" t="s">
        <v>74</v>
      </c>
      <c r="L853" s="2" t="s">
        <v>74</v>
      </c>
      <c r="M853" s="2" t="s">
        <v>74</v>
      </c>
      <c r="N853" s="2" t="s">
        <v>74</v>
      </c>
      <c r="O853" s="2" t="s">
        <v>74</v>
      </c>
      <c r="P853" s="2" t="s">
        <v>74</v>
      </c>
      <c r="Q853" s="2" t="s">
        <v>74</v>
      </c>
      <c r="R853" s="2" t="s">
        <v>74</v>
      </c>
      <c r="S853" s="2" t="s">
        <v>74</v>
      </c>
      <c r="T853" s="2" t="s">
        <v>74</v>
      </c>
      <c r="U853" s="2" t="s">
        <v>74</v>
      </c>
      <c r="V853" s="5" t="s">
        <v>7423</v>
      </c>
      <c r="W853" s="2" t="s">
        <v>74</v>
      </c>
      <c r="X853" s="2" t="s">
        <v>74</v>
      </c>
      <c r="Y853" s="2" t="s">
        <v>74</v>
      </c>
      <c r="Z853" s="2" t="s">
        <v>74</v>
      </c>
      <c r="AA853" s="2" t="s">
        <v>7424</v>
      </c>
      <c r="AB853" s="2" t="s">
        <v>7425</v>
      </c>
      <c r="AC853" s="2" t="s">
        <v>74</v>
      </c>
      <c r="AD853" s="2" t="s">
        <v>74</v>
      </c>
      <c r="AE853" s="2" t="s">
        <v>74</v>
      </c>
      <c r="AF853" s="2" t="s">
        <v>74</v>
      </c>
      <c r="AG853" s="2" t="s">
        <v>74</v>
      </c>
      <c r="AH853" s="2" t="s">
        <v>74</v>
      </c>
      <c r="AI853" s="2" t="s">
        <v>74</v>
      </c>
      <c r="AJ853" s="2" t="s">
        <v>74</v>
      </c>
      <c r="AK853" s="2" t="s">
        <v>74</v>
      </c>
      <c r="AL853" s="2" t="s">
        <v>74</v>
      </c>
      <c r="AM853" s="2" t="s">
        <v>74</v>
      </c>
      <c r="AN853" s="2" t="s">
        <v>74</v>
      </c>
      <c r="AO853" s="2" t="s">
        <v>7426</v>
      </c>
      <c r="AP853" s="2" t="s">
        <v>7427</v>
      </c>
      <c r="AQ853" s="2" t="s">
        <v>74</v>
      </c>
      <c r="AR853" s="2" t="s">
        <v>74</v>
      </c>
      <c r="AS853" s="2" t="s">
        <v>74</v>
      </c>
      <c r="AT853" s="2" t="s">
        <v>255</v>
      </c>
      <c r="AU853" s="2">
        <v>2020</v>
      </c>
      <c r="AV853" s="2">
        <v>31</v>
      </c>
      <c r="AW853" s="2" t="s">
        <v>7428</v>
      </c>
      <c r="AX853" s="2" t="s">
        <v>74</v>
      </c>
      <c r="AY853" s="2" t="s">
        <v>74</v>
      </c>
      <c r="AZ853" s="2" t="s">
        <v>74</v>
      </c>
      <c r="BA853" s="2" t="s">
        <v>74</v>
      </c>
      <c r="BB853" s="2" t="s">
        <v>74</v>
      </c>
      <c r="BC853" s="2" t="s">
        <v>74</v>
      </c>
      <c r="BD853" s="2" t="s">
        <v>7429</v>
      </c>
      <c r="BE853" s="2" t="s">
        <v>7430</v>
      </c>
      <c r="BF853" s="2" t="str">
        <f>HYPERLINK("http://dx.doi.org/10.2192/URSUS-D-19-00027.1","http://dx.doi.org/10.2192/URSUS-D-19-00027.1")</f>
        <v>http://dx.doi.org/10.2192/URSUS-D-19-00027.1</v>
      </c>
      <c r="BG853" s="2" t="s">
        <v>74</v>
      </c>
      <c r="BH853" s="2" t="s">
        <v>74</v>
      </c>
      <c r="BI853" s="2" t="s">
        <v>74</v>
      </c>
      <c r="BJ853" s="2" t="s">
        <v>74</v>
      </c>
      <c r="BK853" s="2" t="s">
        <v>74</v>
      </c>
      <c r="BL853" s="2" t="s">
        <v>74</v>
      </c>
      <c r="BM853" s="2" t="s">
        <v>74</v>
      </c>
      <c r="BN853" s="2" t="s">
        <v>74</v>
      </c>
      <c r="BO853" s="2" t="s">
        <v>74</v>
      </c>
      <c r="BP853" s="2" t="s">
        <v>74</v>
      </c>
      <c r="BQ853" s="2" t="s">
        <v>74</v>
      </c>
      <c r="BR853" s="2" t="s">
        <v>74</v>
      </c>
      <c r="BS853" s="2" t="s">
        <v>7431</v>
      </c>
      <c r="BT853" s="2" t="str">
        <f>HYPERLINK("https%3A%2F%2Fwww.webofscience.com%2Fwos%2Fwoscc%2Ffull-record%2FWOS:000610555300001","View Full Record in Web of Science")</f>
        <v>View Full Record in Web of Science</v>
      </c>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row>
    <row r="854" spans="1:314" s="2" customFormat="1" x14ac:dyDescent="0.4">
      <c r="A854" s="2" t="s">
        <v>72</v>
      </c>
      <c r="B854" s="2" t="s">
        <v>8285</v>
      </c>
      <c r="C854" s="2" t="s">
        <v>74</v>
      </c>
      <c r="D854" s="2" t="s">
        <v>74</v>
      </c>
      <c r="E854" s="2" t="s">
        <v>74</v>
      </c>
      <c r="F854" s="2" t="s">
        <v>8286</v>
      </c>
      <c r="G854" s="2" t="s">
        <v>74</v>
      </c>
      <c r="H854" s="2" t="s">
        <v>74</v>
      </c>
      <c r="I854" s="2" t="s">
        <v>8287</v>
      </c>
      <c r="J854" s="2" t="s">
        <v>129</v>
      </c>
      <c r="K854" s="2" t="s">
        <v>74</v>
      </c>
      <c r="L854" s="2" t="s">
        <v>74</v>
      </c>
      <c r="M854" s="2" t="s">
        <v>74</v>
      </c>
      <c r="N854" s="2" t="s">
        <v>74</v>
      </c>
      <c r="O854" s="2" t="s">
        <v>74</v>
      </c>
      <c r="P854" s="2" t="s">
        <v>74</v>
      </c>
      <c r="Q854" s="2" t="s">
        <v>74</v>
      </c>
      <c r="R854" s="2" t="s">
        <v>74</v>
      </c>
      <c r="S854" s="2" t="s">
        <v>74</v>
      </c>
      <c r="T854" s="2" t="s">
        <v>74</v>
      </c>
      <c r="U854" s="2" t="s">
        <v>74</v>
      </c>
      <c r="V854" s="5" t="s">
        <v>8288</v>
      </c>
      <c r="W854" s="2" t="s">
        <v>74</v>
      </c>
      <c r="X854" s="2" t="s">
        <v>74</v>
      </c>
      <c r="Y854" s="2" t="s">
        <v>74</v>
      </c>
      <c r="Z854" s="2" t="s">
        <v>74</v>
      </c>
      <c r="AA854" s="2" t="s">
        <v>74</v>
      </c>
      <c r="AB854" s="2" t="s">
        <v>8289</v>
      </c>
      <c r="AC854" s="2" t="s">
        <v>74</v>
      </c>
      <c r="AD854" s="2" t="s">
        <v>74</v>
      </c>
      <c r="AE854" s="2" t="s">
        <v>74</v>
      </c>
      <c r="AF854" s="2" t="s">
        <v>74</v>
      </c>
      <c r="AG854" s="2" t="s">
        <v>74</v>
      </c>
      <c r="AH854" s="2" t="s">
        <v>74</v>
      </c>
      <c r="AI854" s="2" t="s">
        <v>74</v>
      </c>
      <c r="AJ854" s="2" t="s">
        <v>74</v>
      </c>
      <c r="AK854" s="2" t="s">
        <v>74</v>
      </c>
      <c r="AL854" s="2" t="s">
        <v>74</v>
      </c>
      <c r="AM854" s="2" t="s">
        <v>74</v>
      </c>
      <c r="AN854" s="2" t="s">
        <v>74</v>
      </c>
      <c r="AO854" s="2" t="s">
        <v>132</v>
      </c>
      <c r="AP854" s="2" t="s">
        <v>133</v>
      </c>
      <c r="AQ854" s="2" t="s">
        <v>74</v>
      </c>
      <c r="AR854" s="2" t="s">
        <v>74</v>
      </c>
      <c r="AS854" s="2" t="s">
        <v>74</v>
      </c>
      <c r="AT854" s="2" t="s">
        <v>134</v>
      </c>
      <c r="AU854" s="2">
        <v>2019</v>
      </c>
      <c r="AV854" s="2">
        <v>73</v>
      </c>
      <c r="AW854" s="2">
        <v>5</v>
      </c>
      <c r="AX854" s="2" t="s">
        <v>74</v>
      </c>
      <c r="AY854" s="2" t="s">
        <v>74</v>
      </c>
      <c r="AZ854" s="2" t="s">
        <v>74</v>
      </c>
      <c r="BA854" s="2" t="s">
        <v>74</v>
      </c>
      <c r="BB854" s="2" t="s">
        <v>74</v>
      </c>
      <c r="BC854" s="2" t="s">
        <v>74</v>
      </c>
      <c r="BD854" s="2">
        <v>61</v>
      </c>
      <c r="BE854" s="2" t="s">
        <v>8290</v>
      </c>
      <c r="BF854" s="2" t="str">
        <f>HYPERLINK("http://dx.doi.org/10.1007/s00265-019-2670-3","http://dx.doi.org/10.1007/s00265-019-2670-3")</f>
        <v>http://dx.doi.org/10.1007/s00265-019-2670-3</v>
      </c>
      <c r="BG854" s="2" t="s">
        <v>74</v>
      </c>
      <c r="BH854" s="2" t="s">
        <v>74</v>
      </c>
      <c r="BI854" s="2" t="s">
        <v>74</v>
      </c>
      <c r="BJ854" s="2" t="s">
        <v>74</v>
      </c>
      <c r="BK854" s="2" t="s">
        <v>74</v>
      </c>
      <c r="BL854" s="2" t="s">
        <v>74</v>
      </c>
      <c r="BM854" s="2" t="s">
        <v>74</v>
      </c>
      <c r="BN854" s="2" t="s">
        <v>74</v>
      </c>
      <c r="BO854" s="2" t="s">
        <v>74</v>
      </c>
      <c r="BP854" s="2" t="s">
        <v>74</v>
      </c>
      <c r="BQ854" s="2" t="s">
        <v>74</v>
      </c>
      <c r="BR854" s="2" t="s">
        <v>74</v>
      </c>
      <c r="BS854" s="2" t="s">
        <v>8291</v>
      </c>
      <c r="BT854" s="2" t="str">
        <f>HYPERLINK("https%3A%2F%2Fwww.webofscience.com%2Fwos%2Fwoscc%2Ffull-record%2FWOS:000465553400001","View Full Record in Web of Science")</f>
        <v>View Full Record in Web of Science</v>
      </c>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row>
    <row r="855" spans="1:314" s="2" customFormat="1" x14ac:dyDescent="0.4">
      <c r="A855" s="2" t="s">
        <v>72</v>
      </c>
      <c r="B855" s="2" t="s">
        <v>536</v>
      </c>
      <c r="C855" s="2" t="s">
        <v>74</v>
      </c>
      <c r="D855" s="2" t="s">
        <v>74</v>
      </c>
      <c r="E855" s="2" t="s">
        <v>74</v>
      </c>
      <c r="F855" s="2" t="s">
        <v>537</v>
      </c>
      <c r="G855" s="2" t="s">
        <v>74</v>
      </c>
      <c r="H855" s="2" t="s">
        <v>74</v>
      </c>
      <c r="I855" s="2" t="s">
        <v>538</v>
      </c>
      <c r="J855" s="2" t="s">
        <v>539</v>
      </c>
      <c r="K855" s="2" t="s">
        <v>74</v>
      </c>
      <c r="L855" s="2" t="s">
        <v>74</v>
      </c>
      <c r="M855" s="2" t="s">
        <v>74</v>
      </c>
      <c r="N855" s="2" t="s">
        <v>74</v>
      </c>
      <c r="O855" s="2" t="s">
        <v>74</v>
      </c>
      <c r="P855" s="2" t="s">
        <v>74</v>
      </c>
      <c r="Q855" s="2" t="s">
        <v>74</v>
      </c>
      <c r="R855" s="2" t="s">
        <v>74</v>
      </c>
      <c r="S855" s="2" t="s">
        <v>74</v>
      </c>
      <c r="T855" s="2" t="s">
        <v>74</v>
      </c>
      <c r="U855" s="2" t="s">
        <v>74</v>
      </c>
      <c r="V855" s="5" t="s">
        <v>540</v>
      </c>
      <c r="W855" s="2" t="s">
        <v>74</v>
      </c>
      <c r="X855" s="2" t="s">
        <v>74</v>
      </c>
      <c r="Y855" s="2" t="s">
        <v>74</v>
      </c>
      <c r="Z855" s="2" t="s">
        <v>74</v>
      </c>
      <c r="AA855" s="2" t="s">
        <v>74</v>
      </c>
      <c r="AB855" s="2" t="s">
        <v>74</v>
      </c>
      <c r="AC855" s="2" t="s">
        <v>74</v>
      </c>
      <c r="AD855" s="2" t="s">
        <v>74</v>
      </c>
      <c r="AE855" s="2" t="s">
        <v>74</v>
      </c>
      <c r="AF855" s="2" t="s">
        <v>74</v>
      </c>
      <c r="AG855" s="2" t="s">
        <v>74</v>
      </c>
      <c r="AH855" s="2" t="s">
        <v>74</v>
      </c>
      <c r="AI855" s="2" t="s">
        <v>74</v>
      </c>
      <c r="AJ855" s="2" t="s">
        <v>74</v>
      </c>
      <c r="AK855" s="2" t="s">
        <v>74</v>
      </c>
      <c r="AL855" s="2" t="s">
        <v>74</v>
      </c>
      <c r="AM855" s="2" t="s">
        <v>74</v>
      </c>
      <c r="AN855" s="2" t="s">
        <v>74</v>
      </c>
      <c r="AO855" s="2" t="s">
        <v>541</v>
      </c>
      <c r="AP855" s="2" t="s">
        <v>74</v>
      </c>
      <c r="AQ855" s="2" t="s">
        <v>74</v>
      </c>
      <c r="AR855" s="2" t="s">
        <v>74</v>
      </c>
      <c r="AS855" s="2" t="s">
        <v>74</v>
      </c>
      <c r="AT855" s="2" t="s">
        <v>74</v>
      </c>
      <c r="AU855" s="2">
        <v>2009</v>
      </c>
      <c r="AV855" s="2">
        <v>8</v>
      </c>
      <c r="AW855" s="2">
        <v>2</v>
      </c>
      <c r="AX855" s="2" t="s">
        <v>74</v>
      </c>
      <c r="AY855" s="2" t="s">
        <v>74</v>
      </c>
      <c r="AZ855" s="2" t="s">
        <v>74</v>
      </c>
      <c r="BA855" s="2" t="s">
        <v>74</v>
      </c>
      <c r="BB855" s="2">
        <v>336</v>
      </c>
      <c r="BC855" s="2">
        <v>342</v>
      </c>
      <c r="BD855" s="2" t="s">
        <v>74</v>
      </c>
      <c r="BE855" s="2" t="s">
        <v>74</v>
      </c>
      <c r="BF855" s="2" t="s">
        <v>74</v>
      </c>
      <c r="BG855" s="2" t="s">
        <v>74</v>
      </c>
      <c r="BH855" s="2" t="s">
        <v>74</v>
      </c>
      <c r="BI855" s="2" t="s">
        <v>74</v>
      </c>
      <c r="BJ855" s="2" t="s">
        <v>74</v>
      </c>
      <c r="BK855" s="2" t="s">
        <v>74</v>
      </c>
      <c r="BL855" s="2" t="s">
        <v>74</v>
      </c>
      <c r="BM855" s="2" t="s">
        <v>74</v>
      </c>
      <c r="BN855" s="2" t="s">
        <v>74</v>
      </c>
      <c r="BO855" s="2" t="s">
        <v>74</v>
      </c>
      <c r="BP855" s="2" t="s">
        <v>74</v>
      </c>
      <c r="BQ855" s="2" t="s">
        <v>74</v>
      </c>
      <c r="BR855" s="2" t="s">
        <v>74</v>
      </c>
      <c r="BS855" s="2" t="s">
        <v>542</v>
      </c>
      <c r="BT855" s="2" t="str">
        <f>HYPERLINK("https%3A%2F%2Fwww.webofscience.com%2Fwos%2Fwoscc%2Ffull-record%2FWOS:000264104700027","View Full Record in Web of Science")</f>
        <v>View Full Record in Web of Science</v>
      </c>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row>
    <row r="856" spans="1:314" s="2" customFormat="1" x14ac:dyDescent="0.4">
      <c r="A856" s="2" t="s">
        <v>72</v>
      </c>
      <c r="B856" s="2" t="s">
        <v>7162</v>
      </c>
      <c r="C856" s="2" t="s">
        <v>74</v>
      </c>
      <c r="D856" s="2" t="s">
        <v>74</v>
      </c>
      <c r="E856" s="2" t="s">
        <v>74</v>
      </c>
      <c r="F856" s="2" t="s">
        <v>7163</v>
      </c>
      <c r="G856" s="2" t="s">
        <v>74</v>
      </c>
      <c r="H856" s="2" t="s">
        <v>74</v>
      </c>
      <c r="I856" s="2" t="s">
        <v>7164</v>
      </c>
      <c r="J856" s="2" t="s">
        <v>281</v>
      </c>
      <c r="K856" s="2" t="s">
        <v>74</v>
      </c>
      <c r="L856" s="2" t="s">
        <v>74</v>
      </c>
      <c r="M856" s="2" t="s">
        <v>74</v>
      </c>
      <c r="N856" s="2" t="s">
        <v>74</v>
      </c>
      <c r="O856" s="2" t="s">
        <v>74</v>
      </c>
      <c r="P856" s="2" t="s">
        <v>74</v>
      </c>
      <c r="Q856" s="2" t="s">
        <v>74</v>
      </c>
      <c r="R856" s="2" t="s">
        <v>74</v>
      </c>
      <c r="S856" s="2" t="s">
        <v>74</v>
      </c>
      <c r="T856" s="2" t="s">
        <v>74</v>
      </c>
      <c r="U856" s="2" t="s">
        <v>74</v>
      </c>
      <c r="V856" s="5" t="s">
        <v>7165</v>
      </c>
      <c r="W856" s="2" t="s">
        <v>74</v>
      </c>
      <c r="X856" s="2" t="s">
        <v>74</v>
      </c>
      <c r="Y856" s="2" t="s">
        <v>74</v>
      </c>
      <c r="Z856" s="2" t="s">
        <v>74</v>
      </c>
      <c r="AA856" s="2" t="s">
        <v>74</v>
      </c>
      <c r="AB856" s="2" t="s">
        <v>7166</v>
      </c>
      <c r="AC856" s="2" t="s">
        <v>74</v>
      </c>
      <c r="AD856" s="2" t="s">
        <v>74</v>
      </c>
      <c r="AE856" s="2" t="s">
        <v>74</v>
      </c>
      <c r="AF856" s="2" t="s">
        <v>74</v>
      </c>
      <c r="AG856" s="2" t="s">
        <v>74</v>
      </c>
      <c r="AH856" s="2" t="s">
        <v>74</v>
      </c>
      <c r="AI856" s="2" t="s">
        <v>74</v>
      </c>
      <c r="AJ856" s="2" t="s">
        <v>74</v>
      </c>
      <c r="AK856" s="2" t="s">
        <v>74</v>
      </c>
      <c r="AL856" s="2" t="s">
        <v>74</v>
      </c>
      <c r="AM856" s="2" t="s">
        <v>74</v>
      </c>
      <c r="AN856" s="2" t="s">
        <v>74</v>
      </c>
      <c r="AO856" s="2" t="s">
        <v>285</v>
      </c>
      <c r="AP856" s="2" t="s">
        <v>286</v>
      </c>
      <c r="AQ856" s="2" t="s">
        <v>74</v>
      </c>
      <c r="AR856" s="2" t="s">
        <v>74</v>
      </c>
      <c r="AS856" s="2" t="s">
        <v>74</v>
      </c>
      <c r="AT856" s="2" t="s">
        <v>123</v>
      </c>
      <c r="AU856" s="2">
        <v>2013</v>
      </c>
      <c r="AV856" s="2">
        <v>16</v>
      </c>
      <c r="AW856" s="2">
        <v>2</v>
      </c>
      <c r="AX856" s="2" t="s">
        <v>74</v>
      </c>
      <c r="AY856" s="2" t="s">
        <v>74</v>
      </c>
      <c r="AZ856" s="2" t="s">
        <v>74</v>
      </c>
      <c r="BA856" s="2" t="s">
        <v>74</v>
      </c>
      <c r="BB856" s="2">
        <v>197</v>
      </c>
      <c r="BC856" s="2">
        <v>210</v>
      </c>
      <c r="BD856" s="2" t="s">
        <v>74</v>
      </c>
      <c r="BE856" s="2" t="s">
        <v>7167</v>
      </c>
      <c r="BF856" s="2" t="str">
        <f>HYPERLINK("http://dx.doi.org/10.1007/s10071-012-0564-0","http://dx.doi.org/10.1007/s10071-012-0564-0")</f>
        <v>http://dx.doi.org/10.1007/s10071-012-0564-0</v>
      </c>
      <c r="BG856" s="2" t="s">
        <v>74</v>
      </c>
      <c r="BH856" s="2" t="s">
        <v>74</v>
      </c>
      <c r="BI856" s="2" t="s">
        <v>74</v>
      </c>
      <c r="BJ856" s="2" t="s">
        <v>74</v>
      </c>
      <c r="BK856" s="2" t="s">
        <v>74</v>
      </c>
      <c r="BL856" s="2" t="s">
        <v>74</v>
      </c>
      <c r="BM856" s="2" t="s">
        <v>74</v>
      </c>
      <c r="BN856" s="2">
        <v>23065183</v>
      </c>
      <c r="BO856" s="2" t="s">
        <v>74</v>
      </c>
      <c r="BP856" s="2" t="s">
        <v>74</v>
      </c>
      <c r="BQ856" s="2" t="s">
        <v>74</v>
      </c>
      <c r="BR856" s="2" t="s">
        <v>74</v>
      </c>
      <c r="BS856" s="2" t="s">
        <v>7168</v>
      </c>
      <c r="BT856" s="2" t="str">
        <f>HYPERLINK("https%3A%2F%2Fwww.webofscience.com%2Fwos%2Fwoscc%2Ffull-record%2FWOS:000315035100005","View Full Record in Web of Science")</f>
        <v>View Full Record in Web of Science</v>
      </c>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row>
    <row r="857" spans="1:314" s="2" customFormat="1" x14ac:dyDescent="0.4">
      <c r="A857" s="2" t="s">
        <v>6684</v>
      </c>
      <c r="B857" s="2" t="s">
        <v>8237</v>
      </c>
      <c r="C857" s="2" t="s">
        <v>74</v>
      </c>
      <c r="D857" s="2" t="s">
        <v>8238</v>
      </c>
      <c r="E857" s="2" t="s">
        <v>74</v>
      </c>
      <c r="F857" s="2" t="s">
        <v>8237</v>
      </c>
      <c r="G857" s="2" t="s">
        <v>74</v>
      </c>
      <c r="H857" s="2" t="s">
        <v>74</v>
      </c>
      <c r="I857" s="2" t="s">
        <v>8239</v>
      </c>
      <c r="J857" s="2" t="s">
        <v>8240</v>
      </c>
      <c r="K857" s="2" t="s">
        <v>8241</v>
      </c>
      <c r="L857" s="2" t="s">
        <v>74</v>
      </c>
      <c r="M857" s="2" t="s">
        <v>74</v>
      </c>
      <c r="N857" s="2" t="s">
        <v>74</v>
      </c>
      <c r="O857" s="2" t="s">
        <v>74</v>
      </c>
      <c r="P857" s="2" t="s">
        <v>74</v>
      </c>
      <c r="Q857" s="2" t="s">
        <v>74</v>
      </c>
      <c r="R857" s="2" t="s">
        <v>74</v>
      </c>
      <c r="S857" s="2" t="s">
        <v>74</v>
      </c>
      <c r="T857" s="2" t="s">
        <v>74</v>
      </c>
      <c r="U857" s="2" t="s">
        <v>74</v>
      </c>
      <c r="V857" s="5" t="s">
        <v>8242</v>
      </c>
      <c r="W857" s="2" t="s">
        <v>74</v>
      </c>
      <c r="X857" s="2" t="s">
        <v>74</v>
      </c>
      <c r="Y857" s="2" t="s">
        <v>74</v>
      </c>
      <c r="Z857" s="2" t="s">
        <v>74</v>
      </c>
      <c r="AA857" s="2" t="s">
        <v>8243</v>
      </c>
      <c r="AB857" s="2" t="s">
        <v>74</v>
      </c>
      <c r="AC857" s="2" t="s">
        <v>74</v>
      </c>
      <c r="AD857" s="2" t="s">
        <v>74</v>
      </c>
      <c r="AE857" s="2" t="s">
        <v>74</v>
      </c>
      <c r="AF857" s="2" t="s">
        <v>74</v>
      </c>
      <c r="AG857" s="2" t="s">
        <v>74</v>
      </c>
      <c r="AH857" s="2" t="s">
        <v>74</v>
      </c>
      <c r="AI857" s="2" t="s">
        <v>74</v>
      </c>
      <c r="AJ857" s="2" t="s">
        <v>74</v>
      </c>
      <c r="AK857" s="2" t="s">
        <v>74</v>
      </c>
      <c r="AL857" s="2" t="s">
        <v>74</v>
      </c>
      <c r="AM857" s="2" t="s">
        <v>74</v>
      </c>
      <c r="AN857" s="2" t="s">
        <v>74</v>
      </c>
      <c r="AO857" s="2" t="s">
        <v>8244</v>
      </c>
      <c r="AP857" s="2" t="s">
        <v>74</v>
      </c>
      <c r="AQ857" s="2" t="s">
        <v>8245</v>
      </c>
      <c r="AR857" s="2" t="s">
        <v>74</v>
      </c>
      <c r="AS857" s="2" t="s">
        <v>74</v>
      </c>
      <c r="AT857" s="2" t="s">
        <v>74</v>
      </c>
      <c r="AU857" s="2">
        <v>1999</v>
      </c>
      <c r="AV857" s="2">
        <v>37</v>
      </c>
      <c r="AW857" s="2" t="s">
        <v>74</v>
      </c>
      <c r="AX857" s="2" t="s">
        <v>74</v>
      </c>
      <c r="AY857" s="2" t="s">
        <v>74</v>
      </c>
      <c r="AZ857" s="2" t="s">
        <v>74</v>
      </c>
      <c r="BA857" s="2" t="s">
        <v>74</v>
      </c>
      <c r="BB857" s="2">
        <v>129</v>
      </c>
      <c r="BC857" s="2">
        <v>152</v>
      </c>
      <c r="BD857" s="2" t="s">
        <v>74</v>
      </c>
      <c r="BE857" s="2" t="s">
        <v>74</v>
      </c>
      <c r="BF857" s="2" t="s">
        <v>74</v>
      </c>
      <c r="BG857" s="2" t="s">
        <v>74</v>
      </c>
      <c r="BH857" s="2" t="s">
        <v>74</v>
      </c>
      <c r="BI857" s="2" t="s">
        <v>74</v>
      </c>
      <c r="BJ857" s="2" t="s">
        <v>74</v>
      </c>
      <c r="BK857" s="2" t="s">
        <v>74</v>
      </c>
      <c r="BL857" s="2" t="s">
        <v>74</v>
      </c>
      <c r="BM857" s="2" t="s">
        <v>74</v>
      </c>
      <c r="BN857" s="2" t="s">
        <v>74</v>
      </c>
      <c r="BO857" s="2" t="s">
        <v>74</v>
      </c>
      <c r="BP857" s="2" t="s">
        <v>74</v>
      </c>
      <c r="BQ857" s="2" t="s">
        <v>74</v>
      </c>
      <c r="BR857" s="2" t="s">
        <v>74</v>
      </c>
      <c r="BS857" s="2" t="s">
        <v>8246</v>
      </c>
      <c r="BT857" s="2" t="str">
        <f>HYPERLINK("https%3A%2F%2Fwww.webofscience.com%2Fwos%2Fwoscc%2Ffull-record%2FWOS:000089737800004","View Full Record in Web of Science")</f>
        <v>View Full Record in Web of Science</v>
      </c>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row>
    <row r="858" spans="1:314" s="2" customFormat="1" x14ac:dyDescent="0.4">
      <c r="A858" s="2" t="s">
        <v>72</v>
      </c>
      <c r="B858" s="2" t="s">
        <v>8332</v>
      </c>
      <c r="C858" s="2" t="s">
        <v>74</v>
      </c>
      <c r="D858" s="2" t="s">
        <v>74</v>
      </c>
      <c r="E858" s="2" t="s">
        <v>74</v>
      </c>
      <c r="F858" s="2" t="s">
        <v>8333</v>
      </c>
      <c r="G858" s="2" t="s">
        <v>74</v>
      </c>
      <c r="H858" s="2" t="s">
        <v>74</v>
      </c>
      <c r="I858" s="2" t="s">
        <v>8334</v>
      </c>
      <c r="J858" s="2" t="s">
        <v>129</v>
      </c>
      <c r="K858" s="2" t="s">
        <v>74</v>
      </c>
      <c r="L858" s="2" t="s">
        <v>74</v>
      </c>
      <c r="M858" s="2" t="s">
        <v>74</v>
      </c>
      <c r="N858" s="2" t="s">
        <v>74</v>
      </c>
      <c r="O858" s="2" t="s">
        <v>74</v>
      </c>
      <c r="P858" s="2" t="s">
        <v>74</v>
      </c>
      <c r="Q858" s="2" t="s">
        <v>74</v>
      </c>
      <c r="R858" s="2" t="s">
        <v>74</v>
      </c>
      <c r="S858" s="2" t="s">
        <v>74</v>
      </c>
      <c r="T858" s="2" t="s">
        <v>74</v>
      </c>
      <c r="U858" s="2" t="s">
        <v>74</v>
      </c>
      <c r="V858" s="5" t="s">
        <v>8335</v>
      </c>
      <c r="W858" s="2" t="s">
        <v>74</v>
      </c>
      <c r="X858" s="2" t="s">
        <v>74</v>
      </c>
      <c r="Y858" s="2" t="s">
        <v>74</v>
      </c>
      <c r="Z858" s="2" t="s">
        <v>74</v>
      </c>
      <c r="AA858" s="2" t="s">
        <v>8336</v>
      </c>
      <c r="AB858" s="2" t="s">
        <v>8337</v>
      </c>
      <c r="AC858" s="2" t="s">
        <v>74</v>
      </c>
      <c r="AD858" s="2" t="s">
        <v>74</v>
      </c>
      <c r="AE858" s="2" t="s">
        <v>74</v>
      </c>
      <c r="AF858" s="2" t="s">
        <v>74</v>
      </c>
      <c r="AG858" s="2" t="s">
        <v>74</v>
      </c>
      <c r="AH858" s="2" t="s">
        <v>74</v>
      </c>
      <c r="AI858" s="2" t="s">
        <v>74</v>
      </c>
      <c r="AJ858" s="2" t="s">
        <v>74</v>
      </c>
      <c r="AK858" s="2" t="s">
        <v>74</v>
      </c>
      <c r="AL858" s="2" t="s">
        <v>74</v>
      </c>
      <c r="AM858" s="2" t="s">
        <v>74</v>
      </c>
      <c r="AN858" s="2" t="s">
        <v>74</v>
      </c>
      <c r="AO858" s="2" t="s">
        <v>132</v>
      </c>
      <c r="AP858" s="2" t="s">
        <v>133</v>
      </c>
      <c r="AQ858" s="2" t="s">
        <v>74</v>
      </c>
      <c r="AR858" s="2" t="s">
        <v>74</v>
      </c>
      <c r="AS858" s="2" t="s">
        <v>74</v>
      </c>
      <c r="AT858" s="2" t="s">
        <v>4913</v>
      </c>
      <c r="AU858" s="2">
        <v>2021</v>
      </c>
      <c r="AV858" s="2">
        <v>75</v>
      </c>
      <c r="AW858" s="2">
        <v>3</v>
      </c>
      <c r="AX858" s="2" t="s">
        <v>74</v>
      </c>
      <c r="AY858" s="2" t="s">
        <v>74</v>
      </c>
      <c r="AZ858" s="2" t="s">
        <v>74</v>
      </c>
      <c r="BA858" s="2" t="s">
        <v>74</v>
      </c>
      <c r="BB858" s="2" t="s">
        <v>74</v>
      </c>
      <c r="BC858" s="2" t="s">
        <v>74</v>
      </c>
      <c r="BD858" s="2">
        <v>51</v>
      </c>
      <c r="BE858" s="2" t="s">
        <v>8338</v>
      </c>
      <c r="BF858" s="2" t="str">
        <f>HYPERLINK("http://dx.doi.org/10.1007/s00265-021-02973-x","http://dx.doi.org/10.1007/s00265-021-02973-x")</f>
        <v>http://dx.doi.org/10.1007/s00265-021-02973-x</v>
      </c>
      <c r="BG858" s="2" t="s">
        <v>74</v>
      </c>
      <c r="BH858" s="2" t="s">
        <v>74</v>
      </c>
      <c r="BI858" s="2" t="s">
        <v>74</v>
      </c>
      <c r="BJ858" s="2" t="s">
        <v>74</v>
      </c>
      <c r="BK858" s="2" t="s">
        <v>74</v>
      </c>
      <c r="BL858" s="2" t="s">
        <v>74</v>
      </c>
      <c r="BM858" s="2" t="s">
        <v>74</v>
      </c>
      <c r="BN858" s="2" t="s">
        <v>74</v>
      </c>
      <c r="BO858" s="2" t="s">
        <v>74</v>
      </c>
      <c r="BP858" s="2" t="s">
        <v>74</v>
      </c>
      <c r="BQ858" s="2" t="s">
        <v>74</v>
      </c>
      <c r="BR858" s="2" t="s">
        <v>74</v>
      </c>
      <c r="BS858" s="2" t="s">
        <v>8339</v>
      </c>
      <c r="BT858" s="2" t="str">
        <f>HYPERLINK("https%3A%2F%2Fwww.webofscience.com%2Fwos%2Fwoscc%2Ffull-record%2FWOS:000620172500001","View Full Record in Web of Science")</f>
        <v>View Full Record in Web of Science</v>
      </c>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row>
    <row r="859" spans="1:314" s="2" customFormat="1" x14ac:dyDescent="0.4">
      <c r="A859" s="2" t="s">
        <v>72</v>
      </c>
      <c r="B859" s="2" t="s">
        <v>6699</v>
      </c>
      <c r="C859" s="2" t="s">
        <v>74</v>
      </c>
      <c r="D859" s="2" t="s">
        <v>74</v>
      </c>
      <c r="E859" s="2" t="s">
        <v>74</v>
      </c>
      <c r="F859" s="2" t="s">
        <v>6700</v>
      </c>
      <c r="G859" s="2" t="s">
        <v>74</v>
      </c>
      <c r="H859" s="2" t="s">
        <v>74</v>
      </c>
      <c r="I859" s="2" t="s">
        <v>6701</v>
      </c>
      <c r="J859" s="2" t="s">
        <v>824</v>
      </c>
      <c r="K859" s="2" t="s">
        <v>74</v>
      </c>
      <c r="L859" s="2" t="s">
        <v>74</v>
      </c>
      <c r="M859" s="2" t="s">
        <v>74</v>
      </c>
      <c r="N859" s="2" t="s">
        <v>74</v>
      </c>
      <c r="O859" s="2" t="s">
        <v>74</v>
      </c>
      <c r="P859" s="2" t="s">
        <v>74</v>
      </c>
      <c r="Q859" s="2" t="s">
        <v>74</v>
      </c>
      <c r="R859" s="2" t="s">
        <v>74</v>
      </c>
      <c r="S859" s="2" t="s">
        <v>74</v>
      </c>
      <c r="T859" s="2" t="s">
        <v>74</v>
      </c>
      <c r="U859" s="2" t="s">
        <v>74</v>
      </c>
      <c r="V859" s="5" t="s">
        <v>6702</v>
      </c>
      <c r="W859" s="2" t="s">
        <v>74</v>
      </c>
      <c r="X859" s="2" t="s">
        <v>74</v>
      </c>
      <c r="Y859" s="2" t="s">
        <v>74</v>
      </c>
      <c r="Z859" s="2" t="s">
        <v>74</v>
      </c>
      <c r="AA859" s="2" t="s">
        <v>6703</v>
      </c>
      <c r="AB859" s="2" t="s">
        <v>6704</v>
      </c>
      <c r="AC859" s="2" t="s">
        <v>74</v>
      </c>
      <c r="AD859" s="2" t="s">
        <v>74</v>
      </c>
      <c r="AE859" s="2" t="s">
        <v>74</v>
      </c>
      <c r="AF859" s="2" t="s">
        <v>74</v>
      </c>
      <c r="AG859" s="2" t="s">
        <v>74</v>
      </c>
      <c r="AH859" s="2" t="s">
        <v>74</v>
      </c>
      <c r="AI859" s="2" t="s">
        <v>74</v>
      </c>
      <c r="AJ859" s="2" t="s">
        <v>74</v>
      </c>
      <c r="AK859" s="2" t="s">
        <v>74</v>
      </c>
      <c r="AL859" s="2" t="s">
        <v>74</v>
      </c>
      <c r="AM859" s="2" t="s">
        <v>74</v>
      </c>
      <c r="AN859" s="2" t="s">
        <v>74</v>
      </c>
      <c r="AO859" s="2" t="s">
        <v>828</v>
      </c>
      <c r="AP859" s="2" t="s">
        <v>829</v>
      </c>
      <c r="AQ859" s="2" t="s">
        <v>74</v>
      </c>
      <c r="AR859" s="2" t="s">
        <v>74</v>
      </c>
      <c r="AS859" s="2" t="s">
        <v>74</v>
      </c>
      <c r="AT859" s="2" t="s">
        <v>134</v>
      </c>
      <c r="AU859" s="2">
        <v>2016</v>
      </c>
      <c r="AV859" s="2">
        <v>85</v>
      </c>
      <c r="AW859" s="2">
        <v>3</v>
      </c>
      <c r="AX859" s="2" t="s">
        <v>74</v>
      </c>
      <c r="AY859" s="2" t="s">
        <v>74</v>
      </c>
      <c r="AZ859" s="2" t="s">
        <v>74</v>
      </c>
      <c r="BA859" s="2" t="s">
        <v>74</v>
      </c>
      <c r="BB859" s="2">
        <v>798</v>
      </c>
      <c r="BC859" s="2">
        <v>805</v>
      </c>
      <c r="BD859" s="2" t="s">
        <v>74</v>
      </c>
      <c r="BE859" s="2" t="s">
        <v>6705</v>
      </c>
      <c r="BF859" s="2" t="str">
        <f>HYPERLINK("http://dx.doi.org/10.1111/1365-2656.12501","http://dx.doi.org/10.1111/1365-2656.12501")</f>
        <v>http://dx.doi.org/10.1111/1365-2656.12501</v>
      </c>
      <c r="BG859" s="2" t="s">
        <v>74</v>
      </c>
      <c r="BH859" s="2" t="s">
        <v>74</v>
      </c>
      <c r="BI859" s="2" t="s">
        <v>74</v>
      </c>
      <c r="BJ859" s="2" t="s">
        <v>74</v>
      </c>
      <c r="BK859" s="2" t="s">
        <v>74</v>
      </c>
      <c r="BL859" s="2" t="s">
        <v>74</v>
      </c>
      <c r="BM859" s="2" t="s">
        <v>74</v>
      </c>
      <c r="BN859" s="2">
        <v>26876417</v>
      </c>
      <c r="BO859" s="2" t="s">
        <v>74</v>
      </c>
      <c r="BP859" s="2" t="s">
        <v>74</v>
      </c>
      <c r="BQ859" s="2" t="s">
        <v>74</v>
      </c>
      <c r="BR859" s="2" t="s">
        <v>74</v>
      </c>
      <c r="BS859" s="2" t="s">
        <v>6706</v>
      </c>
      <c r="BT859" s="2" t="str">
        <f>HYPERLINK("https%3A%2F%2Fwww.webofscience.com%2Fwos%2Fwoscc%2Ffull-record%2FWOS:000375121400020","View Full Record in Web of Science")</f>
        <v>View Full Record in Web of Science</v>
      </c>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row>
    <row r="860" spans="1:314" s="2" customFormat="1" x14ac:dyDescent="0.4">
      <c r="A860" s="2" t="s">
        <v>72</v>
      </c>
      <c r="B860" s="2" t="s">
        <v>2455</v>
      </c>
      <c r="C860" s="2" t="s">
        <v>74</v>
      </c>
      <c r="D860" s="2" t="s">
        <v>74</v>
      </c>
      <c r="E860" s="2" t="s">
        <v>74</v>
      </c>
      <c r="F860" s="2" t="s">
        <v>2456</v>
      </c>
      <c r="G860" s="2" t="s">
        <v>74</v>
      </c>
      <c r="H860" s="2" t="s">
        <v>74</v>
      </c>
      <c r="I860" s="2" t="s">
        <v>2457</v>
      </c>
      <c r="J860" s="2" t="s">
        <v>2207</v>
      </c>
      <c r="K860" s="2" t="s">
        <v>74</v>
      </c>
      <c r="L860" s="2" t="s">
        <v>74</v>
      </c>
      <c r="M860" s="2" t="s">
        <v>74</v>
      </c>
      <c r="N860" s="2" t="s">
        <v>74</v>
      </c>
      <c r="O860" s="2" t="s">
        <v>74</v>
      </c>
      <c r="P860" s="2" t="s">
        <v>74</v>
      </c>
      <c r="Q860" s="2" t="s">
        <v>74</v>
      </c>
      <c r="R860" s="2" t="s">
        <v>74</v>
      </c>
      <c r="S860" s="2" t="s">
        <v>74</v>
      </c>
      <c r="T860" s="2" t="s">
        <v>74</v>
      </c>
      <c r="U860" s="2" t="s">
        <v>74</v>
      </c>
      <c r="V860" s="5" t="s">
        <v>2458</v>
      </c>
      <c r="W860" s="2" t="s">
        <v>74</v>
      </c>
      <c r="X860" s="2" t="s">
        <v>74</v>
      </c>
      <c r="Y860" s="2" t="s">
        <v>74</v>
      </c>
      <c r="Z860" s="2" t="s">
        <v>74</v>
      </c>
      <c r="AA860" s="2" t="s">
        <v>2459</v>
      </c>
      <c r="AB860" s="2" t="s">
        <v>2460</v>
      </c>
      <c r="AC860" s="2" t="s">
        <v>74</v>
      </c>
      <c r="AD860" s="2" t="s">
        <v>74</v>
      </c>
      <c r="AE860" s="2" t="s">
        <v>74</v>
      </c>
      <c r="AF860" s="2" t="s">
        <v>74</v>
      </c>
      <c r="AG860" s="2" t="s">
        <v>74</v>
      </c>
      <c r="AH860" s="2" t="s">
        <v>74</v>
      </c>
      <c r="AI860" s="2" t="s">
        <v>74</v>
      </c>
      <c r="AJ860" s="2" t="s">
        <v>74</v>
      </c>
      <c r="AK860" s="2" t="s">
        <v>74</v>
      </c>
      <c r="AL860" s="2" t="s">
        <v>74</v>
      </c>
      <c r="AM860" s="2" t="s">
        <v>74</v>
      </c>
      <c r="AN860" s="2" t="s">
        <v>74</v>
      </c>
      <c r="AO860" s="2" t="s">
        <v>2211</v>
      </c>
      <c r="AP860" s="2" t="s">
        <v>2461</v>
      </c>
      <c r="AQ860" s="2" t="s">
        <v>74</v>
      </c>
      <c r="AR860" s="2" t="s">
        <v>74</v>
      </c>
      <c r="AS860" s="2" t="s">
        <v>74</v>
      </c>
      <c r="AT860" s="2" t="s">
        <v>255</v>
      </c>
      <c r="AU860" s="2">
        <v>2014</v>
      </c>
      <c r="AV860" s="2">
        <v>45</v>
      </c>
      <c r="AW860" s="2">
        <v>1</v>
      </c>
      <c r="AX860" s="2" t="s">
        <v>74</v>
      </c>
      <c r="AY860" s="2" t="s">
        <v>74</v>
      </c>
      <c r="AZ860" s="2" t="s">
        <v>74</v>
      </c>
      <c r="BA860" s="2" t="s">
        <v>74</v>
      </c>
      <c r="BB860" s="2">
        <v>22</v>
      </c>
      <c r="BC860" s="2">
        <v>28</v>
      </c>
      <c r="BD860" s="2" t="s">
        <v>74</v>
      </c>
      <c r="BE860" s="2" t="s">
        <v>2462</v>
      </c>
      <c r="BF860" s="2" t="str">
        <f>HYPERLINK("http://dx.doi.org/10.1111/j.1600-048X.2013.00286.x","http://dx.doi.org/10.1111/j.1600-048X.2013.00286.x")</f>
        <v>http://dx.doi.org/10.1111/j.1600-048X.2013.00286.x</v>
      </c>
      <c r="BG860" s="2" t="s">
        <v>74</v>
      </c>
      <c r="BH860" s="2" t="s">
        <v>74</v>
      </c>
      <c r="BI860" s="2" t="s">
        <v>74</v>
      </c>
      <c r="BJ860" s="2" t="s">
        <v>74</v>
      </c>
      <c r="BK860" s="2" t="s">
        <v>74</v>
      </c>
      <c r="BL860" s="2" t="s">
        <v>74</v>
      </c>
      <c r="BM860" s="2" t="s">
        <v>74</v>
      </c>
      <c r="BN860" s="2" t="s">
        <v>74</v>
      </c>
      <c r="BO860" s="2" t="s">
        <v>74</v>
      </c>
      <c r="BP860" s="2" t="s">
        <v>74</v>
      </c>
      <c r="BQ860" s="2" t="s">
        <v>74</v>
      </c>
      <c r="BR860" s="2" t="s">
        <v>74</v>
      </c>
      <c r="BS860" s="2" t="s">
        <v>2463</v>
      </c>
      <c r="BT860" s="2" t="str">
        <f>HYPERLINK("https%3A%2F%2Fwww.webofscience.com%2Fwos%2Fwoscc%2Ffull-record%2FWOS:000329866900004","View Full Record in Web of Science")</f>
        <v>View Full Record in Web of Science</v>
      </c>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row>
    <row r="861" spans="1:314" s="2" customFormat="1" x14ac:dyDescent="0.4">
      <c r="A861" s="2" t="s">
        <v>72</v>
      </c>
      <c r="B861" s="2" t="s">
        <v>6304</v>
      </c>
      <c r="C861" s="2" t="s">
        <v>74</v>
      </c>
      <c r="D861" s="2" t="s">
        <v>74</v>
      </c>
      <c r="E861" s="2" t="s">
        <v>74</v>
      </c>
      <c r="F861" s="2" t="s">
        <v>6305</v>
      </c>
      <c r="G861" s="2" t="s">
        <v>74</v>
      </c>
      <c r="H861" s="2" t="s">
        <v>74</v>
      </c>
      <c r="I861" s="2" t="s">
        <v>6306</v>
      </c>
      <c r="J861" s="2" t="s">
        <v>654</v>
      </c>
      <c r="K861" s="2" t="s">
        <v>74</v>
      </c>
      <c r="L861" s="2" t="s">
        <v>74</v>
      </c>
      <c r="M861" s="2" t="s">
        <v>74</v>
      </c>
      <c r="N861" s="2" t="s">
        <v>74</v>
      </c>
      <c r="O861" s="2" t="s">
        <v>74</v>
      </c>
      <c r="P861" s="2" t="s">
        <v>74</v>
      </c>
      <c r="Q861" s="2" t="s">
        <v>74</v>
      </c>
      <c r="R861" s="2" t="s">
        <v>74</v>
      </c>
      <c r="S861" s="2" t="s">
        <v>74</v>
      </c>
      <c r="T861" s="2" t="s">
        <v>74</v>
      </c>
      <c r="U861" s="2" t="s">
        <v>74</v>
      </c>
      <c r="V861" s="5" t="s">
        <v>6307</v>
      </c>
      <c r="W861" s="2" t="s">
        <v>74</v>
      </c>
      <c r="X861" s="2" t="s">
        <v>74</v>
      </c>
      <c r="Y861" s="2" t="s">
        <v>74</v>
      </c>
      <c r="Z861" s="2" t="s">
        <v>74</v>
      </c>
      <c r="AA861" s="2" t="s">
        <v>6308</v>
      </c>
      <c r="AB861" s="2" t="s">
        <v>6309</v>
      </c>
      <c r="AC861" s="2" t="s">
        <v>74</v>
      </c>
      <c r="AD861" s="2" t="s">
        <v>74</v>
      </c>
      <c r="AE861" s="2" t="s">
        <v>74</v>
      </c>
      <c r="AF861" s="2" t="s">
        <v>74</v>
      </c>
      <c r="AG861" s="2" t="s">
        <v>74</v>
      </c>
      <c r="AH861" s="2" t="s">
        <v>74</v>
      </c>
      <c r="AI861" s="2" t="s">
        <v>74</v>
      </c>
      <c r="AJ861" s="2" t="s">
        <v>74</v>
      </c>
      <c r="AK861" s="2" t="s">
        <v>74</v>
      </c>
      <c r="AL861" s="2" t="s">
        <v>74</v>
      </c>
      <c r="AM861" s="2" t="s">
        <v>74</v>
      </c>
      <c r="AN861" s="2" t="s">
        <v>74</v>
      </c>
      <c r="AO861" s="2" t="s">
        <v>658</v>
      </c>
      <c r="AP861" s="2" t="s">
        <v>74</v>
      </c>
      <c r="AQ861" s="2" t="s">
        <v>74</v>
      </c>
      <c r="AR861" s="2" t="s">
        <v>74</v>
      </c>
      <c r="AS861" s="2" t="s">
        <v>74</v>
      </c>
      <c r="AT861" s="2" t="s">
        <v>134</v>
      </c>
      <c r="AU861" s="2">
        <v>2021</v>
      </c>
      <c r="AV861" s="2">
        <v>11</v>
      </c>
      <c r="AW861" s="2">
        <v>9</v>
      </c>
      <c r="AX861" s="2" t="s">
        <v>74</v>
      </c>
      <c r="AY861" s="2" t="s">
        <v>74</v>
      </c>
      <c r="AZ861" s="2" t="s">
        <v>74</v>
      </c>
      <c r="BA861" s="2" t="s">
        <v>74</v>
      </c>
      <c r="BB861" s="2">
        <v>4399</v>
      </c>
      <c r="BC861" s="2">
        <v>4412</v>
      </c>
      <c r="BD861" s="2" t="s">
        <v>74</v>
      </c>
      <c r="BE861" s="2" t="s">
        <v>6310</v>
      </c>
      <c r="BF861" s="2" t="str">
        <f>HYPERLINK("http://dx.doi.org/10.1002/ece3.7335","http://dx.doi.org/10.1002/ece3.7335")</f>
        <v>http://dx.doi.org/10.1002/ece3.7335</v>
      </c>
      <c r="BG861" s="2" t="s">
        <v>74</v>
      </c>
      <c r="BH861" s="2" t="s">
        <v>236</v>
      </c>
      <c r="BI861" s="2" t="s">
        <v>74</v>
      </c>
      <c r="BJ861" s="2" t="s">
        <v>74</v>
      </c>
      <c r="BK861" s="2" t="s">
        <v>74</v>
      </c>
      <c r="BL861" s="2" t="s">
        <v>74</v>
      </c>
      <c r="BM861" s="2" t="s">
        <v>74</v>
      </c>
      <c r="BN861" s="2">
        <v>33976818</v>
      </c>
      <c r="BO861" s="2" t="s">
        <v>74</v>
      </c>
      <c r="BP861" s="2" t="s">
        <v>74</v>
      </c>
      <c r="BQ861" s="2" t="s">
        <v>74</v>
      </c>
      <c r="BR861" s="2" t="s">
        <v>74</v>
      </c>
      <c r="BS861" s="2" t="s">
        <v>6311</v>
      </c>
      <c r="BT861" s="2" t="str">
        <f>HYPERLINK("https%3A%2F%2Fwww.webofscience.com%2Fwos%2Fwoscc%2Ffull-record%2FWOS:000629779400001","View Full Record in Web of Science")</f>
        <v>View Full Record in Web of Science</v>
      </c>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row>
    <row r="862" spans="1:314" s="2" customFormat="1" x14ac:dyDescent="0.4">
      <c r="A862" s="2" t="s">
        <v>72</v>
      </c>
      <c r="B862" s="2" t="s">
        <v>5581</v>
      </c>
      <c r="C862" s="2" t="s">
        <v>74</v>
      </c>
      <c r="D862" s="2" t="s">
        <v>74</v>
      </c>
      <c r="E862" s="2" t="s">
        <v>74</v>
      </c>
      <c r="F862" s="2" t="s">
        <v>5582</v>
      </c>
      <c r="G862" s="2" t="s">
        <v>74</v>
      </c>
      <c r="H862" s="2" t="s">
        <v>74</v>
      </c>
      <c r="I862" s="2" t="s">
        <v>5583</v>
      </c>
      <c r="J862" s="2" t="s">
        <v>2677</v>
      </c>
      <c r="K862" s="2" t="s">
        <v>74</v>
      </c>
      <c r="L862" s="2" t="s">
        <v>74</v>
      </c>
      <c r="M862" s="2" t="s">
        <v>74</v>
      </c>
      <c r="N862" s="2" t="s">
        <v>74</v>
      </c>
      <c r="O862" s="2" t="s">
        <v>74</v>
      </c>
      <c r="P862" s="2" t="s">
        <v>74</v>
      </c>
      <c r="Q862" s="2" t="s">
        <v>74</v>
      </c>
      <c r="R862" s="2" t="s">
        <v>74</v>
      </c>
      <c r="S862" s="2" t="s">
        <v>74</v>
      </c>
      <c r="T862" s="2" t="s">
        <v>74</v>
      </c>
      <c r="U862" s="2" t="s">
        <v>74</v>
      </c>
      <c r="V862" s="5" t="s">
        <v>5584</v>
      </c>
      <c r="W862" s="2" t="s">
        <v>74</v>
      </c>
      <c r="X862" s="2" t="s">
        <v>74</v>
      </c>
      <c r="Y862" s="2" t="s">
        <v>74</v>
      </c>
      <c r="Z862" s="2" t="s">
        <v>74</v>
      </c>
      <c r="AA862" s="2" t="s">
        <v>74</v>
      </c>
      <c r="AB862" s="2" t="s">
        <v>74</v>
      </c>
      <c r="AC862" s="2" t="s">
        <v>74</v>
      </c>
      <c r="AD862" s="2" t="s">
        <v>74</v>
      </c>
      <c r="AE862" s="2" t="s">
        <v>74</v>
      </c>
      <c r="AF862" s="2" t="s">
        <v>74</v>
      </c>
      <c r="AG862" s="2" t="s">
        <v>74</v>
      </c>
      <c r="AH862" s="2" t="s">
        <v>74</v>
      </c>
      <c r="AI862" s="2" t="s">
        <v>74</v>
      </c>
      <c r="AJ862" s="2" t="s">
        <v>74</v>
      </c>
      <c r="AK862" s="2" t="s">
        <v>74</v>
      </c>
      <c r="AL862" s="2" t="s">
        <v>74</v>
      </c>
      <c r="AM862" s="2" t="s">
        <v>74</v>
      </c>
      <c r="AN862" s="2" t="s">
        <v>74</v>
      </c>
      <c r="AO862" s="2" t="s">
        <v>2681</v>
      </c>
      <c r="AP862" s="2" t="s">
        <v>2682</v>
      </c>
      <c r="AQ862" s="2" t="s">
        <v>74</v>
      </c>
      <c r="AR862" s="2" t="s">
        <v>74</v>
      </c>
      <c r="AS862" s="2" t="s">
        <v>74</v>
      </c>
      <c r="AT862" s="2" t="s">
        <v>74</v>
      </c>
      <c r="AU862" s="2">
        <v>2011</v>
      </c>
      <c r="AV862" s="2">
        <v>4</v>
      </c>
      <c r="AW862" s="2">
        <v>4</v>
      </c>
      <c r="AX862" s="2" t="s">
        <v>74</v>
      </c>
      <c r="AY862" s="2" t="s">
        <v>74</v>
      </c>
      <c r="AZ862" s="2" t="s">
        <v>74</v>
      </c>
      <c r="BA862" s="2" t="s">
        <v>74</v>
      </c>
      <c r="BB862" s="2">
        <v>231</v>
      </c>
      <c r="BC862" s="2">
        <v>236</v>
      </c>
      <c r="BD862" s="2" t="s">
        <v>74</v>
      </c>
      <c r="BE862" s="2" t="s">
        <v>5585</v>
      </c>
      <c r="BF862" s="2" t="str">
        <f>HYPERLINK("http://dx.doi.org/10.3184/175815511X13228268534598","http://dx.doi.org/10.3184/175815511X13228268534598")</f>
        <v>http://dx.doi.org/10.3184/175815511X13228268534598</v>
      </c>
      <c r="BG862" s="2" t="s">
        <v>74</v>
      </c>
      <c r="BH862" s="2" t="s">
        <v>74</v>
      </c>
      <c r="BI862" s="2" t="s">
        <v>74</v>
      </c>
      <c r="BJ862" s="2" t="s">
        <v>74</v>
      </c>
      <c r="BK862" s="2" t="s">
        <v>74</v>
      </c>
      <c r="BL862" s="2" t="s">
        <v>74</v>
      </c>
      <c r="BM862" s="2" t="s">
        <v>74</v>
      </c>
      <c r="BN862" s="2" t="s">
        <v>74</v>
      </c>
      <c r="BO862" s="2" t="s">
        <v>74</v>
      </c>
      <c r="BP862" s="2" t="s">
        <v>74</v>
      </c>
      <c r="BQ862" s="2" t="s">
        <v>74</v>
      </c>
      <c r="BR862" s="2" t="s">
        <v>74</v>
      </c>
      <c r="BS862" s="2" t="s">
        <v>5586</v>
      </c>
      <c r="BT862" s="2" t="str">
        <f>HYPERLINK("https%3A%2F%2Fwww.webofscience.com%2Fwos%2Fwoscc%2Ffull-record%2FWOS:000299488300008","View Full Record in Web of Science")</f>
        <v>View Full Record in Web of Science</v>
      </c>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row>
    <row r="863" spans="1:314" s="2" customFormat="1" x14ac:dyDescent="0.4">
      <c r="A863" s="2" t="s">
        <v>72</v>
      </c>
      <c r="B863" s="2" t="s">
        <v>904</v>
      </c>
      <c r="C863" s="2" t="s">
        <v>74</v>
      </c>
      <c r="D863" s="2" t="s">
        <v>74</v>
      </c>
      <c r="E863" s="2" t="s">
        <v>74</v>
      </c>
      <c r="F863" s="2" t="s">
        <v>905</v>
      </c>
      <c r="G863" s="2" t="s">
        <v>74</v>
      </c>
      <c r="H863" s="2" t="s">
        <v>74</v>
      </c>
      <c r="I863" s="2" t="s">
        <v>906</v>
      </c>
      <c r="J863" s="2" t="s">
        <v>119</v>
      </c>
      <c r="K863" s="2" t="s">
        <v>74</v>
      </c>
      <c r="L863" s="2" t="s">
        <v>74</v>
      </c>
      <c r="M863" s="2" t="s">
        <v>74</v>
      </c>
      <c r="N863" s="2" t="s">
        <v>74</v>
      </c>
      <c r="O863" s="2" t="s">
        <v>74</v>
      </c>
      <c r="P863" s="2" t="s">
        <v>74</v>
      </c>
      <c r="Q863" s="2" t="s">
        <v>74</v>
      </c>
      <c r="R863" s="2" t="s">
        <v>74</v>
      </c>
      <c r="S863" s="2" t="s">
        <v>74</v>
      </c>
      <c r="T863" s="2" t="s">
        <v>74</v>
      </c>
      <c r="U863" s="2" t="s">
        <v>74</v>
      </c>
      <c r="V863" s="5" t="s">
        <v>907</v>
      </c>
      <c r="W863" s="2" t="s">
        <v>74</v>
      </c>
      <c r="X863" s="2" t="s">
        <v>74</v>
      </c>
      <c r="Y863" s="2" t="s">
        <v>74</v>
      </c>
      <c r="Z863" s="2" t="s">
        <v>74</v>
      </c>
      <c r="AA863" s="2" t="s">
        <v>908</v>
      </c>
      <c r="AB863" s="2" t="s">
        <v>909</v>
      </c>
      <c r="AC863" s="2" t="s">
        <v>74</v>
      </c>
      <c r="AD863" s="2" t="s">
        <v>74</v>
      </c>
      <c r="AE863" s="2" t="s">
        <v>74</v>
      </c>
      <c r="AF863" s="2" t="s">
        <v>74</v>
      </c>
      <c r="AG863" s="2" t="s">
        <v>74</v>
      </c>
      <c r="AH863" s="2" t="s">
        <v>74</v>
      </c>
      <c r="AI863" s="2" t="s">
        <v>74</v>
      </c>
      <c r="AJ863" s="2" t="s">
        <v>74</v>
      </c>
      <c r="AK863" s="2" t="s">
        <v>74</v>
      </c>
      <c r="AL863" s="2" t="s">
        <v>74</v>
      </c>
      <c r="AM863" s="2" t="s">
        <v>74</v>
      </c>
      <c r="AN863" s="2" t="s">
        <v>74</v>
      </c>
      <c r="AO863" s="2" t="s">
        <v>121</v>
      </c>
      <c r="AP863" s="2" t="s">
        <v>122</v>
      </c>
      <c r="AQ863" s="2" t="s">
        <v>74</v>
      </c>
      <c r="AR863" s="2" t="s">
        <v>74</v>
      </c>
      <c r="AS863" s="2" t="s">
        <v>74</v>
      </c>
      <c r="AT863" s="2" t="s">
        <v>102</v>
      </c>
      <c r="AU863" s="2">
        <v>2014</v>
      </c>
      <c r="AV863" s="2">
        <v>105</v>
      </c>
      <c r="AW863" s="2" t="s">
        <v>74</v>
      </c>
      <c r="AX863" s="2" t="s">
        <v>74</v>
      </c>
      <c r="AY863" s="2" t="s">
        <v>74</v>
      </c>
      <c r="AZ863" s="2" t="s">
        <v>74</v>
      </c>
      <c r="BA863" s="2" t="s">
        <v>74</v>
      </c>
      <c r="BB863" s="2">
        <v>15</v>
      </c>
      <c r="BC863" s="2">
        <v>18</v>
      </c>
      <c r="BD863" s="2" t="s">
        <v>74</v>
      </c>
      <c r="BE863" s="2" t="s">
        <v>910</v>
      </c>
      <c r="BF863" s="2" t="str">
        <f>HYPERLINK("http://dx.doi.org/10.1016/j.beproc.2014.02.003","http://dx.doi.org/10.1016/j.beproc.2014.02.003")</f>
        <v>http://dx.doi.org/10.1016/j.beproc.2014.02.003</v>
      </c>
      <c r="BG863" s="2" t="s">
        <v>74</v>
      </c>
      <c r="BH863" s="2" t="s">
        <v>74</v>
      </c>
      <c r="BI863" s="2" t="s">
        <v>74</v>
      </c>
      <c r="BJ863" s="2" t="s">
        <v>74</v>
      </c>
      <c r="BK863" s="2" t="s">
        <v>74</v>
      </c>
      <c r="BL863" s="2" t="s">
        <v>74</v>
      </c>
      <c r="BM863" s="2" t="s">
        <v>74</v>
      </c>
      <c r="BN863" s="2">
        <v>24525358</v>
      </c>
      <c r="BO863" s="2" t="s">
        <v>74</v>
      </c>
      <c r="BP863" s="2" t="s">
        <v>74</v>
      </c>
      <c r="BQ863" s="2" t="s">
        <v>74</v>
      </c>
      <c r="BR863" s="2" t="s">
        <v>74</v>
      </c>
      <c r="BS863" s="2" t="s">
        <v>911</v>
      </c>
      <c r="BT863" s="2" t="str">
        <f>HYPERLINK("https%3A%2F%2Fwww.webofscience.com%2Fwos%2Fwoscc%2Ffull-record%2FWOS:000336827500003","View Full Record in Web of Science")</f>
        <v>View Full Record in Web of Science</v>
      </c>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row>
    <row r="864" spans="1:314" s="2" customFormat="1" x14ac:dyDescent="0.4">
      <c r="A864" s="2" t="s">
        <v>72</v>
      </c>
      <c r="B864" s="2" t="s">
        <v>7054</v>
      </c>
      <c r="C864" s="2" t="s">
        <v>74</v>
      </c>
      <c r="D864" s="2" t="s">
        <v>74</v>
      </c>
      <c r="E864" s="2" t="s">
        <v>74</v>
      </c>
      <c r="F864" s="2" t="s">
        <v>7055</v>
      </c>
      <c r="G864" s="2" t="s">
        <v>74</v>
      </c>
      <c r="H864" s="2" t="s">
        <v>74</v>
      </c>
      <c r="I864" s="2" t="s">
        <v>7056</v>
      </c>
      <c r="J864" s="2" t="s">
        <v>1656</v>
      </c>
      <c r="K864" s="2" t="s">
        <v>74</v>
      </c>
      <c r="L864" s="2" t="s">
        <v>74</v>
      </c>
      <c r="M864" s="2" t="s">
        <v>74</v>
      </c>
      <c r="N864" s="2" t="s">
        <v>74</v>
      </c>
      <c r="O864" s="2" t="s">
        <v>74</v>
      </c>
      <c r="P864" s="2" t="s">
        <v>74</v>
      </c>
      <c r="Q864" s="2" t="s">
        <v>74</v>
      </c>
      <c r="R864" s="2" t="s">
        <v>74</v>
      </c>
      <c r="S864" s="2" t="s">
        <v>74</v>
      </c>
      <c r="T864" s="2" t="s">
        <v>74</v>
      </c>
      <c r="U864" s="2" t="s">
        <v>74</v>
      </c>
      <c r="V864" s="5" t="s">
        <v>7057</v>
      </c>
      <c r="W864" s="2" t="s">
        <v>74</v>
      </c>
      <c r="X864" s="2" t="s">
        <v>74</v>
      </c>
      <c r="Y864" s="2" t="s">
        <v>74</v>
      </c>
      <c r="Z864" s="2" t="s">
        <v>74</v>
      </c>
      <c r="AA864" s="2" t="s">
        <v>74</v>
      </c>
      <c r="AB864" s="2" t="s">
        <v>74</v>
      </c>
      <c r="AC864" s="2" t="s">
        <v>74</v>
      </c>
      <c r="AD864" s="2" t="s">
        <v>74</v>
      </c>
      <c r="AE864" s="2" t="s">
        <v>74</v>
      </c>
      <c r="AF864" s="2" t="s">
        <v>74</v>
      </c>
      <c r="AG864" s="2" t="s">
        <v>74</v>
      </c>
      <c r="AH864" s="2" t="s">
        <v>74</v>
      </c>
      <c r="AI864" s="2" t="s">
        <v>74</v>
      </c>
      <c r="AJ864" s="2" t="s">
        <v>74</v>
      </c>
      <c r="AK864" s="2" t="s">
        <v>74</v>
      </c>
      <c r="AL864" s="2" t="s">
        <v>74</v>
      </c>
      <c r="AM864" s="2" t="s">
        <v>74</v>
      </c>
      <c r="AN864" s="2" t="s">
        <v>74</v>
      </c>
      <c r="AO864" s="2" t="s">
        <v>1658</v>
      </c>
      <c r="AP864" s="2" t="s">
        <v>1659</v>
      </c>
      <c r="AQ864" s="2" t="s">
        <v>74</v>
      </c>
      <c r="AR864" s="2" t="s">
        <v>74</v>
      </c>
      <c r="AS864" s="2" t="s">
        <v>74</v>
      </c>
      <c r="AT864" s="2" t="s">
        <v>7058</v>
      </c>
      <c r="AU864" s="2">
        <v>2019</v>
      </c>
      <c r="AV864" s="2">
        <v>4695</v>
      </c>
      <c r="AW864" s="2">
        <v>6</v>
      </c>
      <c r="AX864" s="2" t="s">
        <v>74</v>
      </c>
      <c r="AY864" s="2" t="s">
        <v>74</v>
      </c>
      <c r="AZ864" s="2" t="s">
        <v>74</v>
      </c>
      <c r="BA864" s="2" t="s">
        <v>74</v>
      </c>
      <c r="BB864" s="2">
        <v>501</v>
      </c>
      <c r="BC864" s="2">
        <v>515</v>
      </c>
      <c r="BD864" s="2" t="s">
        <v>74</v>
      </c>
      <c r="BE864" s="2" t="s">
        <v>7059</v>
      </c>
      <c r="BF864" s="2" t="str">
        <f>HYPERLINK("http://dx.doi.org/10.11646/zootaxa.4695.6.1","http://dx.doi.org/10.11646/zootaxa.4695.6.1")</f>
        <v>http://dx.doi.org/10.11646/zootaxa.4695.6.1</v>
      </c>
      <c r="BG864" s="2" t="s">
        <v>74</v>
      </c>
      <c r="BH864" s="2" t="s">
        <v>74</v>
      </c>
      <c r="BI864" s="2" t="s">
        <v>74</v>
      </c>
      <c r="BJ864" s="2" t="s">
        <v>74</v>
      </c>
      <c r="BK864" s="2" t="s">
        <v>74</v>
      </c>
      <c r="BL864" s="2" t="s">
        <v>74</v>
      </c>
      <c r="BM864" s="2" t="s">
        <v>74</v>
      </c>
      <c r="BN864" s="2">
        <v>31719322</v>
      </c>
      <c r="BO864" s="2" t="s">
        <v>74</v>
      </c>
      <c r="BP864" s="2" t="s">
        <v>74</v>
      </c>
      <c r="BQ864" s="2" t="s">
        <v>74</v>
      </c>
      <c r="BR864" s="2" t="s">
        <v>74</v>
      </c>
      <c r="BS864" s="2" t="s">
        <v>7060</v>
      </c>
      <c r="BT864" s="2" t="str">
        <f>HYPERLINK("https%3A%2F%2Fwww.webofscience.com%2Fwos%2Fwoscc%2Ffull-record%2FWOS:000497817600001","View Full Record in Web of Science")</f>
        <v>View Full Record in Web of Science</v>
      </c>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row>
    <row r="865" spans="1:314" s="2" customFormat="1" x14ac:dyDescent="0.4">
      <c r="A865" s="2" t="s">
        <v>72</v>
      </c>
      <c r="B865" s="2" t="s">
        <v>1205</v>
      </c>
      <c r="C865" s="2" t="s">
        <v>74</v>
      </c>
      <c r="D865" s="2" t="s">
        <v>74</v>
      </c>
      <c r="E865" s="2" t="s">
        <v>74</v>
      </c>
      <c r="F865" s="2" t="s">
        <v>1205</v>
      </c>
      <c r="G865" s="2" t="s">
        <v>74</v>
      </c>
      <c r="H865" s="2" t="s">
        <v>74</v>
      </c>
      <c r="I865" s="2" t="s">
        <v>1206</v>
      </c>
      <c r="J865" s="2" t="s">
        <v>88</v>
      </c>
      <c r="K865" s="2" t="s">
        <v>74</v>
      </c>
      <c r="L865" s="2" t="s">
        <v>74</v>
      </c>
      <c r="M865" s="2" t="s">
        <v>74</v>
      </c>
      <c r="N865" s="2" t="s">
        <v>74</v>
      </c>
      <c r="O865" s="2" t="s">
        <v>74</v>
      </c>
      <c r="P865" s="2" t="s">
        <v>74</v>
      </c>
      <c r="Q865" s="2" t="s">
        <v>74</v>
      </c>
      <c r="R865" s="2" t="s">
        <v>74</v>
      </c>
      <c r="S865" s="2" t="s">
        <v>74</v>
      </c>
      <c r="T865" s="2" t="s">
        <v>74</v>
      </c>
      <c r="U865" s="2" t="s">
        <v>74</v>
      </c>
      <c r="V865" s="5" t="s">
        <v>1207</v>
      </c>
      <c r="W865" s="2" t="s">
        <v>74</v>
      </c>
      <c r="X865" s="2" t="s">
        <v>74</v>
      </c>
      <c r="Y865" s="2" t="s">
        <v>74</v>
      </c>
      <c r="Z865" s="2" t="s">
        <v>74</v>
      </c>
      <c r="AA865" s="2" t="s">
        <v>1208</v>
      </c>
      <c r="AB865" s="2" t="s">
        <v>1209</v>
      </c>
      <c r="AC865" s="2" t="s">
        <v>74</v>
      </c>
      <c r="AD865" s="2" t="s">
        <v>74</v>
      </c>
      <c r="AE865" s="2" t="s">
        <v>74</v>
      </c>
      <c r="AF865" s="2" t="s">
        <v>74</v>
      </c>
      <c r="AG865" s="2" t="s">
        <v>74</v>
      </c>
      <c r="AH865" s="2" t="s">
        <v>74</v>
      </c>
      <c r="AI865" s="2" t="s">
        <v>74</v>
      </c>
      <c r="AJ865" s="2" t="s">
        <v>74</v>
      </c>
      <c r="AK865" s="2" t="s">
        <v>74</v>
      </c>
      <c r="AL865" s="2" t="s">
        <v>74</v>
      </c>
      <c r="AM865" s="2" t="s">
        <v>74</v>
      </c>
      <c r="AN865" s="2" t="s">
        <v>74</v>
      </c>
      <c r="AO865" s="2" t="s">
        <v>91</v>
      </c>
      <c r="AP865" s="2" t="s">
        <v>74</v>
      </c>
      <c r="AQ865" s="2" t="s">
        <v>74</v>
      </c>
      <c r="AR865" s="2" t="s">
        <v>74</v>
      </c>
      <c r="AS865" s="2" t="s">
        <v>74</v>
      </c>
      <c r="AT865" s="2" t="s">
        <v>1210</v>
      </c>
      <c r="AU865" s="2">
        <v>2005</v>
      </c>
      <c r="AV865" s="2">
        <v>1</v>
      </c>
      <c r="AW865" s="2">
        <v>4</v>
      </c>
      <c r="AX865" s="2" t="s">
        <v>74</v>
      </c>
      <c r="AY865" s="2" t="s">
        <v>74</v>
      </c>
      <c r="AZ865" s="2" t="s">
        <v>74</v>
      </c>
      <c r="BA865" s="2" t="s">
        <v>74</v>
      </c>
      <c r="BB865" s="2">
        <v>411</v>
      </c>
      <c r="BC865" s="2">
        <v>414</v>
      </c>
      <c r="BD865" s="2" t="s">
        <v>74</v>
      </c>
      <c r="BE865" s="2" t="s">
        <v>1211</v>
      </c>
      <c r="BF865" s="2" t="str">
        <f>HYPERLINK("http://dx.doi.org/10.1098/rsbl.2005.0355","http://dx.doi.org/10.1098/rsbl.2005.0355")</f>
        <v>http://dx.doi.org/10.1098/rsbl.2005.0355</v>
      </c>
      <c r="BG865" s="2" t="s">
        <v>74</v>
      </c>
      <c r="BH865" s="2" t="s">
        <v>74</v>
      </c>
      <c r="BI865" s="2" t="s">
        <v>74</v>
      </c>
      <c r="BJ865" s="2" t="s">
        <v>74</v>
      </c>
      <c r="BK865" s="2" t="s">
        <v>74</v>
      </c>
      <c r="BL865" s="2" t="s">
        <v>74</v>
      </c>
      <c r="BM865" s="2" t="s">
        <v>74</v>
      </c>
      <c r="BN865" s="2">
        <v>17148220</v>
      </c>
      <c r="BO865" s="2" t="s">
        <v>74</v>
      </c>
      <c r="BP865" s="2" t="s">
        <v>74</v>
      </c>
      <c r="BQ865" s="2" t="s">
        <v>74</v>
      </c>
      <c r="BR865" s="2" t="s">
        <v>74</v>
      </c>
      <c r="BS865" s="2" t="s">
        <v>1212</v>
      </c>
      <c r="BT865" s="2" t="str">
        <f>HYPERLINK("https%3A%2F%2Fwww.webofscience.com%2Fwos%2Fwoscc%2Ffull-record%2FWOS:000233911600009","View Full Record in Web of Science")</f>
        <v>View Full Record in Web of Science</v>
      </c>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row>
    <row r="866" spans="1:314" s="2" customFormat="1" x14ac:dyDescent="0.4">
      <c r="A866" s="2" t="s">
        <v>72</v>
      </c>
      <c r="B866" s="2" t="s">
        <v>2429</v>
      </c>
      <c r="C866" s="2" t="s">
        <v>74</v>
      </c>
      <c r="D866" s="2" t="s">
        <v>74</v>
      </c>
      <c r="E866" s="2" t="s">
        <v>74</v>
      </c>
      <c r="F866" s="2" t="s">
        <v>2429</v>
      </c>
      <c r="G866" s="2" t="s">
        <v>74</v>
      </c>
      <c r="H866" s="2" t="s">
        <v>74</v>
      </c>
      <c r="I866" s="2" t="s">
        <v>2430</v>
      </c>
      <c r="J866" s="2" t="s">
        <v>1112</v>
      </c>
      <c r="K866" s="2" t="s">
        <v>74</v>
      </c>
      <c r="L866" s="2" t="s">
        <v>74</v>
      </c>
      <c r="M866" s="2" t="s">
        <v>74</v>
      </c>
      <c r="N866" s="2" t="s">
        <v>74</v>
      </c>
      <c r="O866" s="2" t="s">
        <v>74</v>
      </c>
      <c r="P866" s="2" t="s">
        <v>74</v>
      </c>
      <c r="Q866" s="2" t="s">
        <v>74</v>
      </c>
      <c r="R866" s="2" t="s">
        <v>74</v>
      </c>
      <c r="S866" s="2" t="s">
        <v>74</v>
      </c>
      <c r="T866" s="2" t="s">
        <v>74</v>
      </c>
      <c r="U866" s="2" t="s">
        <v>74</v>
      </c>
      <c r="V866" s="5" t="s">
        <v>2431</v>
      </c>
      <c r="W866" s="2" t="s">
        <v>74</v>
      </c>
      <c r="X866" s="2" t="s">
        <v>74</v>
      </c>
      <c r="Y866" s="2" t="s">
        <v>74</v>
      </c>
      <c r="Z866" s="2" t="s">
        <v>74</v>
      </c>
      <c r="AA866" s="2" t="s">
        <v>805</v>
      </c>
      <c r="AB866" s="2" t="s">
        <v>2432</v>
      </c>
      <c r="AC866" s="2" t="s">
        <v>74</v>
      </c>
      <c r="AD866" s="2" t="s">
        <v>74</v>
      </c>
      <c r="AE866" s="2" t="s">
        <v>74</v>
      </c>
      <c r="AF866" s="2" t="s">
        <v>74</v>
      </c>
      <c r="AG866" s="2" t="s">
        <v>74</v>
      </c>
      <c r="AH866" s="2" t="s">
        <v>74</v>
      </c>
      <c r="AI866" s="2" t="s">
        <v>74</v>
      </c>
      <c r="AJ866" s="2" t="s">
        <v>74</v>
      </c>
      <c r="AK866" s="2" t="s">
        <v>74</v>
      </c>
      <c r="AL866" s="2" t="s">
        <v>74</v>
      </c>
      <c r="AM866" s="2" t="s">
        <v>74</v>
      </c>
      <c r="AN866" s="2" t="s">
        <v>74</v>
      </c>
      <c r="AO866" s="2" t="s">
        <v>1114</v>
      </c>
      <c r="AP866" s="2" t="s">
        <v>74</v>
      </c>
      <c r="AQ866" s="2" t="s">
        <v>74</v>
      </c>
      <c r="AR866" s="2" t="s">
        <v>74</v>
      </c>
      <c r="AS866" s="2" t="s">
        <v>74</v>
      </c>
      <c r="AT866" s="2" t="s">
        <v>633</v>
      </c>
      <c r="AU866" s="2">
        <v>1997</v>
      </c>
      <c r="AV866" s="2">
        <v>52</v>
      </c>
      <c r="AW866" s="2" t="s">
        <v>1276</v>
      </c>
      <c r="AX866" s="2" t="s">
        <v>74</v>
      </c>
      <c r="AY866" s="2" t="s">
        <v>74</v>
      </c>
      <c r="AZ866" s="2" t="s">
        <v>74</v>
      </c>
      <c r="BA866" s="2" t="s">
        <v>74</v>
      </c>
      <c r="BB866" s="2">
        <v>215</v>
      </c>
      <c r="BC866" s="2">
        <v>227</v>
      </c>
      <c r="BD866" s="2" t="s">
        <v>74</v>
      </c>
      <c r="BE866" s="2" t="s">
        <v>2433</v>
      </c>
      <c r="BF866" s="2" t="str">
        <f>HYPERLINK("http://dx.doi.org/10.1016/S0168-1591(96)01124-0","http://dx.doi.org/10.1016/S0168-1591(96)01124-0")</f>
        <v>http://dx.doi.org/10.1016/S0168-1591(96)01124-0</v>
      </c>
      <c r="BG866" s="2" t="s">
        <v>74</v>
      </c>
      <c r="BH866" s="2" t="s">
        <v>74</v>
      </c>
      <c r="BI866" s="2" t="s">
        <v>74</v>
      </c>
      <c r="BJ866" s="2" t="s">
        <v>74</v>
      </c>
      <c r="BK866" s="2" t="s">
        <v>74</v>
      </c>
      <c r="BL866" s="2" t="s">
        <v>74</v>
      </c>
      <c r="BM866" s="2" t="s">
        <v>74</v>
      </c>
      <c r="BN866" s="2" t="s">
        <v>74</v>
      </c>
      <c r="BO866" s="2" t="s">
        <v>74</v>
      </c>
      <c r="BP866" s="2" t="s">
        <v>74</v>
      </c>
      <c r="BQ866" s="2" t="s">
        <v>74</v>
      </c>
      <c r="BR866" s="2" t="s">
        <v>74</v>
      </c>
      <c r="BS866" s="2" t="s">
        <v>2434</v>
      </c>
      <c r="BT866" s="2" t="str">
        <f>HYPERLINK("https%3A%2F%2Fwww.webofscience.com%2Fwos%2Fwoscc%2Ffull-record%2FWOS:A1997XA61600004","View Full Record in Web of Science")</f>
        <v>View Full Record in Web of Science</v>
      </c>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row>
    <row r="867" spans="1:314" s="2" customFormat="1" x14ac:dyDescent="0.4">
      <c r="A867" s="2" t="s">
        <v>72</v>
      </c>
      <c r="B867" s="2" t="s">
        <v>3733</v>
      </c>
      <c r="C867" s="2" t="s">
        <v>74</v>
      </c>
      <c r="D867" s="2" t="s">
        <v>74</v>
      </c>
      <c r="E867" s="2" t="s">
        <v>74</v>
      </c>
      <c r="F867" s="2" t="s">
        <v>3734</v>
      </c>
      <c r="G867" s="2" t="s">
        <v>74</v>
      </c>
      <c r="H867" s="2" t="s">
        <v>74</v>
      </c>
      <c r="I867" s="2" t="s">
        <v>3735</v>
      </c>
      <c r="J867" s="2" t="s">
        <v>140</v>
      </c>
      <c r="K867" s="2" t="s">
        <v>74</v>
      </c>
      <c r="L867" s="2" t="s">
        <v>74</v>
      </c>
      <c r="M867" s="2" t="s">
        <v>74</v>
      </c>
      <c r="N867" s="2" t="s">
        <v>74</v>
      </c>
      <c r="O867" s="2" t="s">
        <v>74</v>
      </c>
      <c r="P867" s="2" t="s">
        <v>74</v>
      </c>
      <c r="Q867" s="2" t="s">
        <v>74</v>
      </c>
      <c r="R867" s="2" t="s">
        <v>74</v>
      </c>
      <c r="S867" s="2" t="s">
        <v>74</v>
      </c>
      <c r="T867" s="2" t="s">
        <v>74</v>
      </c>
      <c r="U867" s="2" t="s">
        <v>74</v>
      </c>
      <c r="V867" s="5" t="s">
        <v>3736</v>
      </c>
      <c r="W867" s="2" t="s">
        <v>74</v>
      </c>
      <c r="X867" s="2" t="s">
        <v>74</v>
      </c>
      <c r="Y867" s="2" t="s">
        <v>74</v>
      </c>
      <c r="Z867" s="2" t="s">
        <v>74</v>
      </c>
      <c r="AA867" s="2" t="s">
        <v>3737</v>
      </c>
      <c r="AB867" s="2" t="s">
        <v>1976</v>
      </c>
      <c r="AC867" s="2" t="s">
        <v>74</v>
      </c>
      <c r="AD867" s="2" t="s">
        <v>74</v>
      </c>
      <c r="AE867" s="2" t="s">
        <v>74</v>
      </c>
      <c r="AF867" s="2" t="s">
        <v>74</v>
      </c>
      <c r="AG867" s="2" t="s">
        <v>74</v>
      </c>
      <c r="AH867" s="2" t="s">
        <v>74</v>
      </c>
      <c r="AI867" s="2" t="s">
        <v>74</v>
      </c>
      <c r="AJ867" s="2" t="s">
        <v>74</v>
      </c>
      <c r="AK867" s="2" t="s">
        <v>74</v>
      </c>
      <c r="AL867" s="2" t="s">
        <v>74</v>
      </c>
      <c r="AM867" s="2" t="s">
        <v>74</v>
      </c>
      <c r="AN867" s="2" t="s">
        <v>74</v>
      </c>
      <c r="AO867" s="2" t="s">
        <v>143</v>
      </c>
      <c r="AP867" s="2" t="s">
        <v>144</v>
      </c>
      <c r="AQ867" s="2" t="s">
        <v>74</v>
      </c>
      <c r="AR867" s="2" t="s">
        <v>74</v>
      </c>
      <c r="AS867" s="2" t="s">
        <v>74</v>
      </c>
      <c r="AT867" s="2" t="s">
        <v>352</v>
      </c>
      <c r="AU867" s="2">
        <v>2007</v>
      </c>
      <c r="AV867" s="2">
        <v>74</v>
      </c>
      <c r="AW867" s="2" t="s">
        <v>74</v>
      </c>
      <c r="AX867" s="2">
        <v>3</v>
      </c>
      <c r="AY867" s="2" t="s">
        <v>74</v>
      </c>
      <c r="AZ867" s="2" t="s">
        <v>74</v>
      </c>
      <c r="BA867" s="2" t="s">
        <v>74</v>
      </c>
      <c r="BB867" s="2">
        <v>419</v>
      </c>
      <c r="BC867" s="2">
        <v>427</v>
      </c>
      <c r="BD867" s="2" t="s">
        <v>74</v>
      </c>
      <c r="BE867" s="2" t="s">
        <v>3738</v>
      </c>
      <c r="BF867" s="2" t="str">
        <f>HYPERLINK("http://dx.doi.org/10.1016/j.anbehav.2006.10.023","http://dx.doi.org/10.1016/j.anbehav.2006.10.023")</f>
        <v>http://dx.doi.org/10.1016/j.anbehav.2006.10.023</v>
      </c>
      <c r="BG867" s="2" t="s">
        <v>74</v>
      </c>
      <c r="BH867" s="2" t="s">
        <v>74</v>
      </c>
      <c r="BI867" s="2" t="s">
        <v>74</v>
      </c>
      <c r="BJ867" s="2" t="s">
        <v>74</v>
      </c>
      <c r="BK867" s="2" t="s">
        <v>74</v>
      </c>
      <c r="BL867" s="2" t="s">
        <v>74</v>
      </c>
      <c r="BM867" s="2" t="s">
        <v>74</v>
      </c>
      <c r="BN867" s="2" t="s">
        <v>74</v>
      </c>
      <c r="BO867" s="2" t="s">
        <v>74</v>
      </c>
      <c r="BP867" s="2" t="s">
        <v>74</v>
      </c>
      <c r="BQ867" s="2" t="s">
        <v>74</v>
      </c>
      <c r="BR867" s="2" t="s">
        <v>74</v>
      </c>
      <c r="BS867" s="2" t="s">
        <v>3739</v>
      </c>
      <c r="BT867" s="2" t="str">
        <f>HYPERLINK("https%3A%2F%2Fwww.webofscience.com%2Fwos%2Fwoscc%2Ffull-record%2FWOS:000250180700008","View Full Record in Web of Science")</f>
        <v>View Full Record in Web of Science</v>
      </c>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row>
    <row r="868" spans="1:314" s="2" customFormat="1" x14ac:dyDescent="0.4">
      <c r="A868" s="2" t="s">
        <v>72</v>
      </c>
      <c r="B868" s="2" t="s">
        <v>4150</v>
      </c>
      <c r="C868" s="2" t="s">
        <v>74</v>
      </c>
      <c r="D868" s="2" t="s">
        <v>74</v>
      </c>
      <c r="E868" s="2" t="s">
        <v>74</v>
      </c>
      <c r="F868" s="2" t="s">
        <v>4151</v>
      </c>
      <c r="G868" s="2" t="s">
        <v>74</v>
      </c>
      <c r="H868" s="2" t="s">
        <v>74</v>
      </c>
      <c r="I868" s="2" t="s">
        <v>4152</v>
      </c>
      <c r="J868" s="2" t="s">
        <v>77</v>
      </c>
      <c r="K868" s="2" t="s">
        <v>74</v>
      </c>
      <c r="L868" s="2" t="s">
        <v>74</v>
      </c>
      <c r="M868" s="2" t="s">
        <v>74</v>
      </c>
      <c r="N868" s="2" t="s">
        <v>74</v>
      </c>
      <c r="O868" s="2" t="s">
        <v>74</v>
      </c>
      <c r="P868" s="2" t="s">
        <v>74</v>
      </c>
      <c r="Q868" s="2" t="s">
        <v>74</v>
      </c>
      <c r="R868" s="2" t="s">
        <v>74</v>
      </c>
      <c r="S868" s="2" t="s">
        <v>74</v>
      </c>
      <c r="T868" s="2" t="s">
        <v>74</v>
      </c>
      <c r="U868" s="2" t="s">
        <v>74</v>
      </c>
      <c r="V868" s="5" t="s">
        <v>4153</v>
      </c>
      <c r="W868" s="2" t="s">
        <v>74</v>
      </c>
      <c r="X868" s="2" t="s">
        <v>74</v>
      </c>
      <c r="Y868" s="2" t="s">
        <v>74</v>
      </c>
      <c r="Z868" s="2" t="s">
        <v>74</v>
      </c>
      <c r="AA868" s="2" t="s">
        <v>4154</v>
      </c>
      <c r="AB868" s="2" t="s">
        <v>4155</v>
      </c>
      <c r="AC868" s="2" t="s">
        <v>74</v>
      </c>
      <c r="AD868" s="2" t="s">
        <v>74</v>
      </c>
      <c r="AE868" s="2" t="s">
        <v>74</v>
      </c>
      <c r="AF868" s="2" t="s">
        <v>74</v>
      </c>
      <c r="AG868" s="2" t="s">
        <v>74</v>
      </c>
      <c r="AH868" s="2" t="s">
        <v>74</v>
      </c>
      <c r="AI868" s="2" t="s">
        <v>74</v>
      </c>
      <c r="AJ868" s="2" t="s">
        <v>74</v>
      </c>
      <c r="AK868" s="2" t="s">
        <v>74</v>
      </c>
      <c r="AL868" s="2" t="s">
        <v>74</v>
      </c>
      <c r="AM868" s="2" t="s">
        <v>74</v>
      </c>
      <c r="AN868" s="2" t="s">
        <v>74</v>
      </c>
      <c r="AO868" s="2" t="s">
        <v>81</v>
      </c>
      <c r="AP868" s="2" t="s">
        <v>82</v>
      </c>
      <c r="AQ868" s="2" t="s">
        <v>74</v>
      </c>
      <c r="AR868" s="2" t="s">
        <v>74</v>
      </c>
      <c r="AS868" s="2" t="s">
        <v>74</v>
      </c>
      <c r="AT868" s="2" t="s">
        <v>74</v>
      </c>
      <c r="AU868" s="2">
        <v>2010</v>
      </c>
      <c r="AV868" s="2">
        <v>147</v>
      </c>
      <c r="AW868" s="2">
        <v>4</v>
      </c>
      <c r="AX868" s="2" t="s">
        <v>74</v>
      </c>
      <c r="AY868" s="2" t="s">
        <v>74</v>
      </c>
      <c r="AZ868" s="2" t="s">
        <v>74</v>
      </c>
      <c r="BA868" s="2" t="s">
        <v>74</v>
      </c>
      <c r="BB868" s="2">
        <v>465</v>
      </c>
      <c r="BC868" s="2">
        <v>478</v>
      </c>
      <c r="BD868" s="2" t="s">
        <v>74</v>
      </c>
      <c r="BE868" s="2" t="s">
        <v>4156</v>
      </c>
      <c r="BF868" s="2" t="str">
        <f>HYPERLINK("http://dx.doi.org/10.1163/000579509X12584427339575","http://dx.doi.org/10.1163/000579509X12584427339575")</f>
        <v>http://dx.doi.org/10.1163/000579509X12584427339575</v>
      </c>
      <c r="BG868" s="2" t="s">
        <v>74</v>
      </c>
      <c r="BH868" s="2" t="s">
        <v>74</v>
      </c>
      <c r="BI868" s="2" t="s">
        <v>74</v>
      </c>
      <c r="BJ868" s="2" t="s">
        <v>74</v>
      </c>
      <c r="BK868" s="2" t="s">
        <v>74</v>
      </c>
      <c r="BL868" s="2" t="s">
        <v>74</v>
      </c>
      <c r="BM868" s="2" t="s">
        <v>74</v>
      </c>
      <c r="BN868" s="2" t="s">
        <v>74</v>
      </c>
      <c r="BO868" s="2" t="s">
        <v>74</v>
      </c>
      <c r="BP868" s="2" t="s">
        <v>74</v>
      </c>
      <c r="BQ868" s="2" t="s">
        <v>74</v>
      </c>
      <c r="BR868" s="2" t="s">
        <v>74</v>
      </c>
      <c r="BS868" s="2" t="s">
        <v>4157</v>
      </c>
      <c r="BT868" s="2" t="str">
        <f>HYPERLINK("https%3A%2F%2Fwww.webofscience.com%2Fwos%2Fwoscc%2Ffull-record%2FWOS:000277127600003","View Full Record in Web of Science")</f>
        <v>View Full Record in Web of Science</v>
      </c>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row>
    <row r="869" spans="1:314" s="2" customFormat="1" x14ac:dyDescent="0.4">
      <c r="A869" s="2" t="s">
        <v>72</v>
      </c>
      <c r="B869" s="2" t="s">
        <v>5934</v>
      </c>
      <c r="C869" s="2" t="s">
        <v>74</v>
      </c>
      <c r="D869" s="2" t="s">
        <v>74</v>
      </c>
      <c r="E869" s="2" t="s">
        <v>74</v>
      </c>
      <c r="F869" s="2" t="s">
        <v>5935</v>
      </c>
      <c r="G869" s="2" t="s">
        <v>74</v>
      </c>
      <c r="H869" s="2" t="s">
        <v>74</v>
      </c>
      <c r="I869" s="2" t="s">
        <v>5936</v>
      </c>
      <c r="J869" s="2" t="s">
        <v>5937</v>
      </c>
      <c r="K869" s="2" t="s">
        <v>74</v>
      </c>
      <c r="L869" s="2" t="s">
        <v>74</v>
      </c>
      <c r="M869" s="2" t="s">
        <v>74</v>
      </c>
      <c r="N869" s="2" t="s">
        <v>74</v>
      </c>
      <c r="O869" s="2" t="s">
        <v>74</v>
      </c>
      <c r="P869" s="2" t="s">
        <v>74</v>
      </c>
      <c r="Q869" s="2" t="s">
        <v>74</v>
      </c>
      <c r="R869" s="2" t="s">
        <v>74</v>
      </c>
      <c r="S869" s="2" t="s">
        <v>74</v>
      </c>
      <c r="T869" s="2" t="s">
        <v>74</v>
      </c>
      <c r="U869" s="2" t="s">
        <v>74</v>
      </c>
      <c r="V869" s="5" t="s">
        <v>5938</v>
      </c>
      <c r="W869" s="2" t="s">
        <v>74</v>
      </c>
      <c r="X869" s="2" t="s">
        <v>74</v>
      </c>
      <c r="Y869" s="2" t="s">
        <v>74</v>
      </c>
      <c r="Z869" s="2" t="s">
        <v>74</v>
      </c>
      <c r="AA869" s="2" t="s">
        <v>5939</v>
      </c>
      <c r="AB869" s="2" t="s">
        <v>5940</v>
      </c>
      <c r="AC869" s="2" t="s">
        <v>74</v>
      </c>
      <c r="AD869" s="2" t="s">
        <v>74</v>
      </c>
      <c r="AE869" s="2" t="s">
        <v>74</v>
      </c>
      <c r="AF869" s="2" t="s">
        <v>74</v>
      </c>
      <c r="AG869" s="2" t="s">
        <v>74</v>
      </c>
      <c r="AH869" s="2" t="s">
        <v>74</v>
      </c>
      <c r="AI869" s="2" t="s">
        <v>74</v>
      </c>
      <c r="AJ869" s="2" t="s">
        <v>74</v>
      </c>
      <c r="AK869" s="2" t="s">
        <v>74</v>
      </c>
      <c r="AL869" s="2" t="s">
        <v>74</v>
      </c>
      <c r="AM869" s="2" t="s">
        <v>74</v>
      </c>
      <c r="AN869" s="2" t="s">
        <v>74</v>
      </c>
      <c r="AO869" s="2" t="s">
        <v>5941</v>
      </c>
      <c r="AP869" s="2" t="s">
        <v>74</v>
      </c>
      <c r="AQ869" s="2" t="s">
        <v>74</v>
      </c>
      <c r="AR869" s="2" t="s">
        <v>74</v>
      </c>
      <c r="AS869" s="2" t="s">
        <v>74</v>
      </c>
      <c r="AT869" s="2" t="s">
        <v>213</v>
      </c>
      <c r="AU869" s="2">
        <v>2021</v>
      </c>
      <c r="AV869" s="2">
        <v>11</v>
      </c>
      <c r="AW869" s="2">
        <v>11</v>
      </c>
      <c r="AX869" s="2" t="s">
        <v>74</v>
      </c>
      <c r="AY869" s="2" t="s">
        <v>74</v>
      </c>
      <c r="AZ869" s="2" t="s">
        <v>74</v>
      </c>
      <c r="BA869" s="2" t="s">
        <v>74</v>
      </c>
      <c r="BB869" s="2" t="s">
        <v>74</v>
      </c>
      <c r="BC869" s="2" t="s">
        <v>74</v>
      </c>
      <c r="BD869" s="2">
        <v>3022</v>
      </c>
      <c r="BE869" s="2" t="s">
        <v>5942</v>
      </c>
      <c r="BF869" s="2" t="str">
        <f>HYPERLINK("http://dx.doi.org/10.3390/ani11113022","http://dx.doi.org/10.3390/ani11113022")</f>
        <v>http://dx.doi.org/10.3390/ani11113022</v>
      </c>
      <c r="BG869" s="2" t="s">
        <v>74</v>
      </c>
      <c r="BH869" s="2" t="s">
        <v>74</v>
      </c>
      <c r="BI869" s="2" t="s">
        <v>74</v>
      </c>
      <c r="BJ869" s="2" t="s">
        <v>74</v>
      </c>
      <c r="BK869" s="2" t="s">
        <v>74</v>
      </c>
      <c r="BL869" s="2" t="s">
        <v>74</v>
      </c>
      <c r="BM869" s="2" t="s">
        <v>74</v>
      </c>
      <c r="BN869" s="2">
        <v>34827756</v>
      </c>
      <c r="BO869" s="2" t="s">
        <v>74</v>
      </c>
      <c r="BP869" s="2" t="s">
        <v>74</v>
      </c>
      <c r="BQ869" s="2" t="s">
        <v>74</v>
      </c>
      <c r="BR869" s="2" t="s">
        <v>74</v>
      </c>
      <c r="BS869" s="2" t="s">
        <v>5943</v>
      </c>
      <c r="BT869" s="2" t="str">
        <f>HYPERLINK("https%3A%2F%2Fwww.webofscience.com%2Fwos%2Fwoscc%2Ffull-record%2FWOS:000758187200001","View Full Record in Web of Science")</f>
        <v>View Full Record in Web of Science</v>
      </c>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row>
    <row r="870" spans="1:314" s="2" customFormat="1" x14ac:dyDescent="0.4">
      <c r="A870" s="2" t="s">
        <v>72</v>
      </c>
      <c r="B870" s="2" t="s">
        <v>4232</v>
      </c>
      <c r="C870" s="2" t="s">
        <v>74</v>
      </c>
      <c r="D870" s="2" t="s">
        <v>74</v>
      </c>
      <c r="E870" s="2" t="s">
        <v>74</v>
      </c>
      <c r="F870" s="2" t="s">
        <v>4233</v>
      </c>
      <c r="G870" s="2" t="s">
        <v>74</v>
      </c>
      <c r="H870" s="2" t="s">
        <v>74</v>
      </c>
      <c r="I870" s="2" t="s">
        <v>4234</v>
      </c>
      <c r="J870" s="2" t="s">
        <v>4235</v>
      </c>
      <c r="K870" s="2" t="s">
        <v>74</v>
      </c>
      <c r="L870" s="2" t="s">
        <v>74</v>
      </c>
      <c r="M870" s="2" t="s">
        <v>74</v>
      </c>
      <c r="N870" s="2" t="s">
        <v>74</v>
      </c>
      <c r="O870" s="2" t="s">
        <v>74</v>
      </c>
      <c r="P870" s="2" t="s">
        <v>74</v>
      </c>
      <c r="Q870" s="2" t="s">
        <v>74</v>
      </c>
      <c r="R870" s="2" t="s">
        <v>74</v>
      </c>
      <c r="S870" s="2" t="s">
        <v>74</v>
      </c>
      <c r="T870" s="2" t="s">
        <v>74</v>
      </c>
      <c r="U870" s="2" t="s">
        <v>74</v>
      </c>
      <c r="V870" s="5" t="s">
        <v>4236</v>
      </c>
      <c r="W870" s="2" t="s">
        <v>74</v>
      </c>
      <c r="X870" s="2" t="s">
        <v>74</v>
      </c>
      <c r="Y870" s="2" t="s">
        <v>74</v>
      </c>
      <c r="Z870" s="2" t="s">
        <v>74</v>
      </c>
      <c r="AA870" s="2" t="s">
        <v>4237</v>
      </c>
      <c r="AB870" s="2" t="s">
        <v>4238</v>
      </c>
      <c r="AC870" s="2" t="s">
        <v>74</v>
      </c>
      <c r="AD870" s="2" t="s">
        <v>74</v>
      </c>
      <c r="AE870" s="2" t="s">
        <v>74</v>
      </c>
      <c r="AF870" s="2" t="s">
        <v>74</v>
      </c>
      <c r="AG870" s="2" t="s">
        <v>74</v>
      </c>
      <c r="AH870" s="2" t="s">
        <v>74</v>
      </c>
      <c r="AI870" s="2" t="s">
        <v>74</v>
      </c>
      <c r="AJ870" s="2" t="s">
        <v>74</v>
      </c>
      <c r="AK870" s="2" t="s">
        <v>74</v>
      </c>
      <c r="AL870" s="2" t="s">
        <v>74</v>
      </c>
      <c r="AM870" s="2" t="s">
        <v>74</v>
      </c>
      <c r="AN870" s="2" t="s">
        <v>74</v>
      </c>
      <c r="AO870" s="2" t="s">
        <v>4239</v>
      </c>
      <c r="AP870" s="2" t="s">
        <v>4240</v>
      </c>
      <c r="AQ870" s="2" t="s">
        <v>74</v>
      </c>
      <c r="AR870" s="2" t="s">
        <v>74</v>
      </c>
      <c r="AS870" s="2" t="s">
        <v>74</v>
      </c>
      <c r="AT870" s="2" t="s">
        <v>175</v>
      </c>
      <c r="AU870" s="2">
        <v>2014</v>
      </c>
      <c r="AV870" s="2">
        <v>79</v>
      </c>
      <c r="AW870" s="2" t="s">
        <v>74</v>
      </c>
      <c r="AX870" s="2" t="s">
        <v>74</v>
      </c>
      <c r="AY870" s="2" t="s">
        <v>74</v>
      </c>
      <c r="AZ870" s="2" t="s">
        <v>74</v>
      </c>
      <c r="BA870" s="2" t="s">
        <v>74</v>
      </c>
      <c r="BB870" s="2">
        <v>404</v>
      </c>
      <c r="BC870" s="2">
        <v>414</v>
      </c>
      <c r="BD870" s="2" t="s">
        <v>74</v>
      </c>
      <c r="BE870" s="2" t="s">
        <v>4241</v>
      </c>
      <c r="BF870" s="2" t="str">
        <f>HYPERLINK("http://dx.doi.org/10.1016/j.ympev.2014.07.007","http://dx.doi.org/10.1016/j.ympev.2014.07.007")</f>
        <v>http://dx.doi.org/10.1016/j.ympev.2014.07.007</v>
      </c>
      <c r="BG870" s="2" t="s">
        <v>74</v>
      </c>
      <c r="BH870" s="2" t="s">
        <v>74</v>
      </c>
      <c r="BI870" s="2" t="s">
        <v>74</v>
      </c>
      <c r="BJ870" s="2" t="s">
        <v>74</v>
      </c>
      <c r="BK870" s="2" t="s">
        <v>74</v>
      </c>
      <c r="BL870" s="2" t="s">
        <v>74</v>
      </c>
      <c r="BM870" s="2" t="s">
        <v>74</v>
      </c>
      <c r="BN870" s="2">
        <v>25050928</v>
      </c>
      <c r="BO870" s="2" t="s">
        <v>74</v>
      </c>
      <c r="BP870" s="2" t="s">
        <v>74</v>
      </c>
      <c r="BQ870" s="2" t="s">
        <v>74</v>
      </c>
      <c r="BR870" s="2" t="s">
        <v>74</v>
      </c>
      <c r="BS870" s="2" t="s">
        <v>4242</v>
      </c>
      <c r="BT870" s="2" t="str">
        <f>HYPERLINK("https%3A%2F%2Fwww.webofscience.com%2Fwos%2Fwoscc%2Ffull-record%2FWOS:000342884800034","View Full Record in Web of Science")</f>
        <v>View Full Record in Web of Science</v>
      </c>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row>
    <row r="871" spans="1:314" s="2" customFormat="1" x14ac:dyDescent="0.4">
      <c r="A871" s="2" t="s">
        <v>72</v>
      </c>
      <c r="B871" s="2" t="s">
        <v>6974</v>
      </c>
      <c r="C871" s="2" t="s">
        <v>74</v>
      </c>
      <c r="D871" s="2" t="s">
        <v>74</v>
      </c>
      <c r="E871" s="2" t="s">
        <v>74</v>
      </c>
      <c r="F871" s="2" t="s">
        <v>6975</v>
      </c>
      <c r="G871" s="2" t="s">
        <v>74</v>
      </c>
      <c r="H871" s="2" t="s">
        <v>74</v>
      </c>
      <c r="I871" s="2" t="s">
        <v>6976</v>
      </c>
      <c r="J871" s="2" t="s">
        <v>1949</v>
      </c>
      <c r="K871" s="2" t="s">
        <v>74</v>
      </c>
      <c r="L871" s="2" t="s">
        <v>74</v>
      </c>
      <c r="M871" s="2" t="s">
        <v>74</v>
      </c>
      <c r="N871" s="2" t="s">
        <v>74</v>
      </c>
      <c r="O871" s="2" t="s">
        <v>74</v>
      </c>
      <c r="P871" s="2" t="s">
        <v>74</v>
      </c>
      <c r="Q871" s="2" t="s">
        <v>74</v>
      </c>
      <c r="R871" s="2" t="s">
        <v>74</v>
      </c>
      <c r="S871" s="2" t="s">
        <v>74</v>
      </c>
      <c r="T871" s="2" t="s">
        <v>74</v>
      </c>
      <c r="U871" s="2" t="s">
        <v>74</v>
      </c>
      <c r="V871" s="5" t="s">
        <v>6977</v>
      </c>
      <c r="W871" s="2" t="s">
        <v>74</v>
      </c>
      <c r="X871" s="2" t="s">
        <v>74</v>
      </c>
      <c r="Y871" s="2" t="s">
        <v>74</v>
      </c>
      <c r="Z871" s="2" t="s">
        <v>74</v>
      </c>
      <c r="AA871" s="2" t="s">
        <v>6978</v>
      </c>
      <c r="AB871" s="2" t="s">
        <v>6979</v>
      </c>
      <c r="AC871" s="2" t="s">
        <v>74</v>
      </c>
      <c r="AD871" s="2" t="s">
        <v>74</v>
      </c>
      <c r="AE871" s="2" t="s">
        <v>74</v>
      </c>
      <c r="AF871" s="2" t="s">
        <v>74</v>
      </c>
      <c r="AG871" s="2" t="s">
        <v>74</v>
      </c>
      <c r="AH871" s="2" t="s">
        <v>74</v>
      </c>
      <c r="AI871" s="2" t="s">
        <v>74</v>
      </c>
      <c r="AJ871" s="2" t="s">
        <v>74</v>
      </c>
      <c r="AK871" s="2" t="s">
        <v>74</v>
      </c>
      <c r="AL871" s="2" t="s">
        <v>74</v>
      </c>
      <c r="AM871" s="2" t="s">
        <v>74</v>
      </c>
      <c r="AN871" s="2" t="s">
        <v>74</v>
      </c>
      <c r="AO871" s="2" t="s">
        <v>74</v>
      </c>
      <c r="AP871" s="2" t="s">
        <v>1953</v>
      </c>
      <c r="AQ871" s="2" t="s">
        <v>74</v>
      </c>
      <c r="AR871" s="2" t="s">
        <v>74</v>
      </c>
      <c r="AS871" s="2" t="s">
        <v>74</v>
      </c>
      <c r="AT871" s="2" t="s">
        <v>123</v>
      </c>
      <c r="AU871" s="2">
        <v>2022</v>
      </c>
      <c r="AV871" s="2">
        <v>13</v>
      </c>
      <c r="AW871" s="2">
        <v>3</v>
      </c>
      <c r="AX871" s="2" t="s">
        <v>74</v>
      </c>
      <c r="AY871" s="2" t="s">
        <v>74</v>
      </c>
      <c r="AZ871" s="2" t="s">
        <v>74</v>
      </c>
      <c r="BA871" s="2" t="s">
        <v>74</v>
      </c>
      <c r="BB871" s="2" t="s">
        <v>74</v>
      </c>
      <c r="BC871" s="2" t="s">
        <v>74</v>
      </c>
      <c r="BD871" s="2">
        <v>262</v>
      </c>
      <c r="BE871" s="2" t="s">
        <v>6980</v>
      </c>
      <c r="BF871" s="2" t="str">
        <f>HYPERLINK("http://dx.doi.org/10.3390/insects13030262","http://dx.doi.org/10.3390/insects13030262")</f>
        <v>http://dx.doi.org/10.3390/insects13030262</v>
      </c>
      <c r="BG871" s="2" t="s">
        <v>74</v>
      </c>
      <c r="BH871" s="2" t="s">
        <v>74</v>
      </c>
      <c r="BI871" s="2" t="s">
        <v>74</v>
      </c>
      <c r="BJ871" s="2" t="s">
        <v>74</v>
      </c>
      <c r="BK871" s="2" t="s">
        <v>74</v>
      </c>
      <c r="BL871" s="2" t="s">
        <v>74</v>
      </c>
      <c r="BM871" s="2" t="s">
        <v>74</v>
      </c>
      <c r="BN871" s="2">
        <v>35323560</v>
      </c>
      <c r="BO871" s="2" t="s">
        <v>74</v>
      </c>
      <c r="BP871" s="2" t="s">
        <v>74</v>
      </c>
      <c r="BQ871" s="2" t="s">
        <v>74</v>
      </c>
      <c r="BR871" s="2" t="s">
        <v>74</v>
      </c>
      <c r="BS871" s="2" t="s">
        <v>6981</v>
      </c>
      <c r="BT871" s="2" t="str">
        <f>HYPERLINK("https%3A%2F%2Fwww.webofscience.com%2Fwos%2Fwoscc%2Ffull-record%2FWOS:000775202600001","View Full Record in Web of Science")</f>
        <v>View Full Record in Web of Science</v>
      </c>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row>
    <row r="872" spans="1:314" s="2" customFormat="1" x14ac:dyDescent="0.4">
      <c r="A872" s="2" t="s">
        <v>72</v>
      </c>
      <c r="B872" s="2" t="s">
        <v>7537</v>
      </c>
      <c r="C872" s="2" t="s">
        <v>74</v>
      </c>
      <c r="D872" s="2" t="s">
        <v>74</v>
      </c>
      <c r="E872" s="2" t="s">
        <v>74</v>
      </c>
      <c r="F872" s="2" t="s">
        <v>7537</v>
      </c>
      <c r="G872" s="2" t="s">
        <v>74</v>
      </c>
      <c r="H872" s="2" t="s">
        <v>74</v>
      </c>
      <c r="I872" s="2" t="s">
        <v>7538</v>
      </c>
      <c r="J872" s="2" t="s">
        <v>7539</v>
      </c>
      <c r="K872" s="2" t="s">
        <v>74</v>
      </c>
      <c r="L872" s="2" t="s">
        <v>74</v>
      </c>
      <c r="M872" s="2" t="s">
        <v>74</v>
      </c>
      <c r="N872" s="2" t="s">
        <v>74</v>
      </c>
      <c r="O872" s="2" t="s">
        <v>74</v>
      </c>
      <c r="P872" s="2" t="s">
        <v>74</v>
      </c>
      <c r="Q872" s="2" t="s">
        <v>74</v>
      </c>
      <c r="R872" s="2" t="s">
        <v>74</v>
      </c>
      <c r="S872" s="2" t="s">
        <v>74</v>
      </c>
      <c r="T872" s="2" t="s">
        <v>74</v>
      </c>
      <c r="U872" s="2" t="s">
        <v>74</v>
      </c>
      <c r="V872" s="5" t="s">
        <v>7540</v>
      </c>
      <c r="W872" s="2" t="s">
        <v>74</v>
      </c>
      <c r="X872" s="2" t="s">
        <v>74</v>
      </c>
      <c r="Y872" s="2" t="s">
        <v>74</v>
      </c>
      <c r="Z872" s="2" t="s">
        <v>74</v>
      </c>
      <c r="AA872" s="2" t="s">
        <v>7541</v>
      </c>
      <c r="AB872" s="2" t="s">
        <v>7542</v>
      </c>
      <c r="AC872" s="2" t="s">
        <v>74</v>
      </c>
      <c r="AD872" s="2" t="s">
        <v>74</v>
      </c>
      <c r="AE872" s="2" t="s">
        <v>74</v>
      </c>
      <c r="AF872" s="2" t="s">
        <v>74</v>
      </c>
      <c r="AG872" s="2" t="s">
        <v>74</v>
      </c>
      <c r="AH872" s="2" t="s">
        <v>74</v>
      </c>
      <c r="AI872" s="2" t="s">
        <v>74</v>
      </c>
      <c r="AJ872" s="2" t="s">
        <v>74</v>
      </c>
      <c r="AK872" s="2" t="s">
        <v>74</v>
      </c>
      <c r="AL872" s="2" t="s">
        <v>74</v>
      </c>
      <c r="AM872" s="2" t="s">
        <v>74</v>
      </c>
      <c r="AN872" s="2" t="s">
        <v>74</v>
      </c>
      <c r="AO872" s="2" t="s">
        <v>7543</v>
      </c>
      <c r="AP872" s="2" t="s">
        <v>7544</v>
      </c>
      <c r="AQ872" s="2" t="s">
        <v>74</v>
      </c>
      <c r="AR872" s="2" t="s">
        <v>74</v>
      </c>
      <c r="AS872" s="2" t="s">
        <v>74</v>
      </c>
      <c r="AT872" s="2" t="s">
        <v>123</v>
      </c>
      <c r="AU872" s="2">
        <v>1993</v>
      </c>
      <c r="AV872" s="2">
        <v>40</v>
      </c>
      <c r="AW872" s="2" t="s">
        <v>74</v>
      </c>
      <c r="AX872" s="2">
        <v>1</v>
      </c>
      <c r="AY872" s="2" t="s">
        <v>74</v>
      </c>
      <c r="AZ872" s="2" t="s">
        <v>74</v>
      </c>
      <c r="BA872" s="2" t="s">
        <v>74</v>
      </c>
      <c r="BB872" s="2">
        <v>31</v>
      </c>
      <c r="BC872" s="2">
        <v>37</v>
      </c>
      <c r="BD872" s="2" t="s">
        <v>74</v>
      </c>
      <c r="BE872" s="2" t="s">
        <v>7545</v>
      </c>
      <c r="BF872" s="2" t="str">
        <f>HYPERLINK("http://dx.doi.org/10.1080/00063659309477126","http://dx.doi.org/10.1080/00063659309477126")</f>
        <v>http://dx.doi.org/10.1080/00063659309477126</v>
      </c>
      <c r="BG872" s="2" t="s">
        <v>74</v>
      </c>
      <c r="BH872" s="2" t="s">
        <v>74</v>
      </c>
      <c r="BI872" s="2" t="s">
        <v>74</v>
      </c>
      <c r="BJ872" s="2" t="s">
        <v>74</v>
      </c>
      <c r="BK872" s="2" t="s">
        <v>74</v>
      </c>
      <c r="BL872" s="2" t="s">
        <v>74</v>
      </c>
      <c r="BM872" s="2" t="s">
        <v>74</v>
      </c>
      <c r="BN872" s="2" t="s">
        <v>74</v>
      </c>
      <c r="BO872" s="2" t="s">
        <v>74</v>
      </c>
      <c r="BP872" s="2" t="s">
        <v>74</v>
      </c>
      <c r="BQ872" s="2" t="s">
        <v>74</v>
      </c>
      <c r="BR872" s="2" t="s">
        <v>74</v>
      </c>
      <c r="BS872" s="2" t="s">
        <v>7546</v>
      </c>
      <c r="BT872" s="2" t="str">
        <f>HYPERLINK("https%3A%2F%2Fwww.webofscience.com%2Fwos%2Fwoscc%2Ffull-record%2FWOS:A1993KU44300004","View Full Record in Web of Science")</f>
        <v>View Full Record in Web of Science</v>
      </c>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row>
    <row r="873" spans="1:314" s="2" customFormat="1" x14ac:dyDescent="0.4">
      <c r="A873" s="2" t="s">
        <v>72</v>
      </c>
      <c r="B873" s="2" t="s">
        <v>318</v>
      </c>
      <c r="C873" s="2" t="s">
        <v>74</v>
      </c>
      <c r="D873" s="2" t="s">
        <v>74</v>
      </c>
      <c r="E873" s="2" t="s">
        <v>74</v>
      </c>
      <c r="F873" s="2" t="s">
        <v>319</v>
      </c>
      <c r="G873" s="2" t="s">
        <v>74</v>
      </c>
      <c r="H873" s="2" t="s">
        <v>74</v>
      </c>
      <c r="I873" s="2" t="s">
        <v>320</v>
      </c>
      <c r="J873" s="2" t="s">
        <v>129</v>
      </c>
      <c r="K873" s="2" t="s">
        <v>74</v>
      </c>
      <c r="L873" s="2" t="s">
        <v>74</v>
      </c>
      <c r="M873" s="2" t="s">
        <v>74</v>
      </c>
      <c r="N873" s="2" t="s">
        <v>74</v>
      </c>
      <c r="O873" s="2" t="s">
        <v>74</v>
      </c>
      <c r="P873" s="2" t="s">
        <v>74</v>
      </c>
      <c r="Q873" s="2" t="s">
        <v>74</v>
      </c>
      <c r="R873" s="2" t="s">
        <v>74</v>
      </c>
      <c r="S873" s="2" t="s">
        <v>74</v>
      </c>
      <c r="T873" s="2" t="s">
        <v>74</v>
      </c>
      <c r="U873" s="2" t="s">
        <v>74</v>
      </c>
      <c r="V873" s="5" t="s">
        <v>321</v>
      </c>
      <c r="W873" s="2" t="s">
        <v>74</v>
      </c>
      <c r="X873" s="2" t="s">
        <v>74</v>
      </c>
      <c r="Y873" s="2" t="s">
        <v>74</v>
      </c>
      <c r="Z873" s="2" t="s">
        <v>74</v>
      </c>
      <c r="AA873" s="2" t="s">
        <v>74</v>
      </c>
      <c r="AB873" s="2" t="s">
        <v>322</v>
      </c>
      <c r="AC873" s="2" t="s">
        <v>74</v>
      </c>
      <c r="AD873" s="2" t="s">
        <v>74</v>
      </c>
      <c r="AE873" s="2" t="s">
        <v>74</v>
      </c>
      <c r="AF873" s="2" t="s">
        <v>74</v>
      </c>
      <c r="AG873" s="2" t="s">
        <v>74</v>
      </c>
      <c r="AH873" s="2" t="s">
        <v>74</v>
      </c>
      <c r="AI873" s="2" t="s">
        <v>74</v>
      </c>
      <c r="AJ873" s="2" t="s">
        <v>74</v>
      </c>
      <c r="AK873" s="2" t="s">
        <v>74</v>
      </c>
      <c r="AL873" s="2" t="s">
        <v>74</v>
      </c>
      <c r="AM873" s="2" t="s">
        <v>74</v>
      </c>
      <c r="AN873" s="2" t="s">
        <v>74</v>
      </c>
      <c r="AO873" s="2" t="s">
        <v>132</v>
      </c>
      <c r="AP873" s="2" t="s">
        <v>133</v>
      </c>
      <c r="AQ873" s="2" t="s">
        <v>74</v>
      </c>
      <c r="AR873" s="2" t="s">
        <v>74</v>
      </c>
      <c r="AS873" s="2" t="s">
        <v>74</v>
      </c>
      <c r="AT873" s="2" t="s">
        <v>255</v>
      </c>
      <c r="AU873" s="2">
        <v>2023</v>
      </c>
      <c r="AV873" s="2">
        <v>77</v>
      </c>
      <c r="AW873" s="2">
        <v>1</v>
      </c>
      <c r="AX873" s="2" t="s">
        <v>74</v>
      </c>
      <c r="AY873" s="2" t="s">
        <v>74</v>
      </c>
      <c r="AZ873" s="2" t="s">
        <v>74</v>
      </c>
      <c r="BA873" s="2" t="s">
        <v>74</v>
      </c>
      <c r="BB873" s="2" t="s">
        <v>74</v>
      </c>
      <c r="BC873" s="2" t="s">
        <v>74</v>
      </c>
      <c r="BD873" s="2">
        <v>2</v>
      </c>
      <c r="BE873" s="2" t="s">
        <v>323</v>
      </c>
      <c r="BF873" s="2" t="str">
        <f>HYPERLINK("http://dx.doi.org/10.1007/s00265-022-03272-9","http://dx.doi.org/10.1007/s00265-022-03272-9")</f>
        <v>http://dx.doi.org/10.1007/s00265-022-03272-9</v>
      </c>
      <c r="BG873" s="2" t="s">
        <v>74</v>
      </c>
      <c r="BH873" s="2" t="s">
        <v>74</v>
      </c>
      <c r="BI873" s="2" t="s">
        <v>74</v>
      </c>
      <c r="BJ873" s="2" t="s">
        <v>74</v>
      </c>
      <c r="BK873" s="2" t="s">
        <v>74</v>
      </c>
      <c r="BL873" s="2" t="s">
        <v>74</v>
      </c>
      <c r="BM873" s="2" t="s">
        <v>74</v>
      </c>
      <c r="BN873" s="2" t="s">
        <v>74</v>
      </c>
      <c r="BO873" s="2" t="s">
        <v>74</v>
      </c>
      <c r="BP873" s="2" t="s">
        <v>74</v>
      </c>
      <c r="BQ873" s="2" t="s">
        <v>74</v>
      </c>
      <c r="BR873" s="2" t="s">
        <v>74</v>
      </c>
      <c r="BS873" s="2" t="s">
        <v>324</v>
      </c>
      <c r="BT873" s="2" t="str">
        <f>HYPERLINK("https%3A%2F%2Fwww.webofscience.com%2Fwos%2Fwoscc%2Ffull-record%2FWOS:000914603000002","View Full Record in Web of Science")</f>
        <v>View Full Record in Web of Science</v>
      </c>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row>
    <row r="874" spans="1:314" s="1" customFormat="1" x14ac:dyDescent="0.4">
      <c r="A874" s="2" t="s">
        <v>72</v>
      </c>
      <c r="B874" s="2" t="s">
        <v>4964</v>
      </c>
      <c r="C874" s="2" t="s">
        <v>74</v>
      </c>
      <c r="D874" s="2" t="s">
        <v>74</v>
      </c>
      <c r="E874" s="2" t="s">
        <v>74</v>
      </c>
      <c r="F874" s="2" t="s">
        <v>4964</v>
      </c>
      <c r="G874" s="2" t="s">
        <v>74</v>
      </c>
      <c r="H874" s="2" t="s">
        <v>74</v>
      </c>
      <c r="I874" s="2" t="s">
        <v>4965</v>
      </c>
      <c r="J874" s="2" t="s">
        <v>1673</v>
      </c>
      <c r="K874" s="2" t="s">
        <v>74</v>
      </c>
      <c r="L874" s="2" t="s">
        <v>74</v>
      </c>
      <c r="M874" s="2" t="s">
        <v>74</v>
      </c>
      <c r="N874" s="2" t="s">
        <v>74</v>
      </c>
      <c r="O874" s="2" t="s">
        <v>74</v>
      </c>
      <c r="P874" s="2" t="s">
        <v>74</v>
      </c>
      <c r="Q874" s="2" t="s">
        <v>74</v>
      </c>
      <c r="R874" s="2" t="s">
        <v>74</v>
      </c>
      <c r="S874" s="2" t="s">
        <v>74</v>
      </c>
      <c r="T874" s="2" t="s">
        <v>74</v>
      </c>
      <c r="U874" s="2" t="s">
        <v>74</v>
      </c>
      <c r="V874" s="5" t="s">
        <v>4966</v>
      </c>
      <c r="W874" s="2" t="s">
        <v>74</v>
      </c>
      <c r="X874" s="2" t="s">
        <v>74</v>
      </c>
      <c r="Y874" s="2" t="s">
        <v>74</v>
      </c>
      <c r="Z874" s="2" t="s">
        <v>74</v>
      </c>
      <c r="AA874" s="2" t="s">
        <v>4967</v>
      </c>
      <c r="AB874" s="2" t="s">
        <v>74</v>
      </c>
      <c r="AC874" s="2" t="s">
        <v>74</v>
      </c>
      <c r="AD874" s="2" t="s">
        <v>74</v>
      </c>
      <c r="AE874" s="2" t="s">
        <v>74</v>
      </c>
      <c r="AF874" s="2" t="s">
        <v>74</v>
      </c>
      <c r="AG874" s="2" t="s">
        <v>74</v>
      </c>
      <c r="AH874" s="2" t="s">
        <v>74</v>
      </c>
      <c r="AI874" s="2" t="s">
        <v>74</v>
      </c>
      <c r="AJ874" s="2" t="s">
        <v>74</v>
      </c>
      <c r="AK874" s="2" t="s">
        <v>74</v>
      </c>
      <c r="AL874" s="2" t="s">
        <v>74</v>
      </c>
      <c r="AM874" s="2" t="s">
        <v>74</v>
      </c>
      <c r="AN874" s="2" t="s">
        <v>74</v>
      </c>
      <c r="AO874" s="2" t="s">
        <v>1239</v>
      </c>
      <c r="AP874" s="2" t="s">
        <v>1675</v>
      </c>
      <c r="AQ874" s="2" t="s">
        <v>74</v>
      </c>
      <c r="AR874" s="2" t="s">
        <v>74</v>
      </c>
      <c r="AS874" s="2" t="s">
        <v>74</v>
      </c>
      <c r="AT874" s="2" t="s">
        <v>352</v>
      </c>
      <c r="AU874" s="2">
        <v>2003</v>
      </c>
      <c r="AV874" s="2">
        <v>81</v>
      </c>
      <c r="AW874" s="2">
        <v>9</v>
      </c>
      <c r="AX874" s="2" t="s">
        <v>74</v>
      </c>
      <c r="AY874" s="2" t="s">
        <v>74</v>
      </c>
      <c r="AZ874" s="2" t="s">
        <v>74</v>
      </c>
      <c r="BA874" s="2" t="s">
        <v>74</v>
      </c>
      <c r="BB874" s="2">
        <v>1561</v>
      </c>
      <c r="BC874" s="2">
        <v>1565</v>
      </c>
      <c r="BD874" s="2" t="s">
        <v>74</v>
      </c>
      <c r="BE874" s="2" t="s">
        <v>4968</v>
      </c>
      <c r="BF874" s="2" t="str">
        <f>HYPERLINK("http://dx.doi.org/10.1139/Z03-147","http://dx.doi.org/10.1139/Z03-147")</f>
        <v>http://dx.doi.org/10.1139/Z03-147</v>
      </c>
      <c r="BG874" s="2" t="s">
        <v>74</v>
      </c>
      <c r="BH874" s="2" t="s">
        <v>74</v>
      </c>
      <c r="BI874" s="2" t="s">
        <v>74</v>
      </c>
      <c r="BJ874" s="2" t="s">
        <v>74</v>
      </c>
      <c r="BK874" s="2" t="s">
        <v>74</v>
      </c>
      <c r="BL874" s="2" t="s">
        <v>74</v>
      </c>
      <c r="BM874" s="2" t="s">
        <v>74</v>
      </c>
      <c r="BN874" s="2" t="s">
        <v>74</v>
      </c>
      <c r="BO874" s="2" t="s">
        <v>74</v>
      </c>
      <c r="BP874" s="2" t="s">
        <v>74</v>
      </c>
      <c r="BQ874" s="2" t="s">
        <v>74</v>
      </c>
      <c r="BR874" s="2" t="s">
        <v>74</v>
      </c>
      <c r="BS874" s="2" t="s">
        <v>4969</v>
      </c>
      <c r="BT874" s="2" t="str">
        <f>HYPERLINK("https%3A%2F%2Fwww.webofscience.com%2Fwos%2Fwoscc%2Ffull-record%2FWOS:000186325200009","View Full Record in Web of Science")</f>
        <v>View Full Record in Web of Science</v>
      </c>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row>
    <row r="875" spans="1:314" s="2" customFormat="1" x14ac:dyDescent="0.4">
      <c r="A875" s="2" t="s">
        <v>72</v>
      </c>
      <c r="B875" s="2" t="s">
        <v>1478</v>
      </c>
      <c r="C875" s="2" t="s">
        <v>74</v>
      </c>
      <c r="D875" s="2" t="s">
        <v>74</v>
      </c>
      <c r="E875" s="2" t="s">
        <v>74</v>
      </c>
      <c r="F875" s="2" t="s">
        <v>1478</v>
      </c>
      <c r="G875" s="2" t="s">
        <v>74</v>
      </c>
      <c r="H875" s="2" t="s">
        <v>74</v>
      </c>
      <c r="I875" s="2" t="s">
        <v>1479</v>
      </c>
      <c r="J875" s="2" t="s">
        <v>1480</v>
      </c>
      <c r="K875" s="2" t="s">
        <v>74</v>
      </c>
      <c r="L875" s="2" t="s">
        <v>74</v>
      </c>
      <c r="M875" s="2" t="s">
        <v>74</v>
      </c>
      <c r="N875" s="2" t="s">
        <v>74</v>
      </c>
      <c r="O875" s="2" t="s">
        <v>74</v>
      </c>
      <c r="P875" s="2" t="s">
        <v>74</v>
      </c>
      <c r="Q875" s="2" t="s">
        <v>74</v>
      </c>
      <c r="R875" s="2" t="s">
        <v>74</v>
      </c>
      <c r="S875" s="2" t="s">
        <v>74</v>
      </c>
      <c r="T875" s="2" t="s">
        <v>74</v>
      </c>
      <c r="U875" s="2" t="s">
        <v>74</v>
      </c>
      <c r="V875" s="5" t="s">
        <v>1481</v>
      </c>
      <c r="W875" s="2" t="s">
        <v>74</v>
      </c>
      <c r="X875" s="2" t="s">
        <v>74</v>
      </c>
      <c r="Y875" s="2" t="s">
        <v>74</v>
      </c>
      <c r="Z875" s="2" t="s">
        <v>74</v>
      </c>
      <c r="AA875" s="2" t="s">
        <v>74</v>
      </c>
      <c r="AB875" s="2" t="s">
        <v>74</v>
      </c>
      <c r="AC875" s="2" t="s">
        <v>74</v>
      </c>
      <c r="AD875" s="2" t="s">
        <v>74</v>
      </c>
      <c r="AE875" s="2" t="s">
        <v>74</v>
      </c>
      <c r="AF875" s="2" t="s">
        <v>74</v>
      </c>
      <c r="AG875" s="2" t="s">
        <v>74</v>
      </c>
      <c r="AH875" s="2" t="s">
        <v>74</v>
      </c>
      <c r="AI875" s="2" t="s">
        <v>74</v>
      </c>
      <c r="AJ875" s="2" t="s">
        <v>74</v>
      </c>
      <c r="AK875" s="2" t="s">
        <v>74</v>
      </c>
      <c r="AL875" s="2" t="s">
        <v>74</v>
      </c>
      <c r="AM875" s="2" t="s">
        <v>74</v>
      </c>
      <c r="AN875" s="2" t="s">
        <v>74</v>
      </c>
      <c r="AO875" s="2" t="s">
        <v>1482</v>
      </c>
      <c r="AP875" s="2" t="s">
        <v>74</v>
      </c>
      <c r="AQ875" s="2" t="s">
        <v>74</v>
      </c>
      <c r="AR875" s="2" t="s">
        <v>74</v>
      </c>
      <c r="AS875" s="2" t="s">
        <v>74</v>
      </c>
      <c r="AT875" s="2" t="s">
        <v>123</v>
      </c>
      <c r="AU875" s="2">
        <v>1997</v>
      </c>
      <c r="AV875" s="2">
        <v>76</v>
      </c>
      <c r="AW875" s="2">
        <v>3</v>
      </c>
      <c r="AX875" s="2" t="s">
        <v>74</v>
      </c>
      <c r="AY875" s="2" t="s">
        <v>74</v>
      </c>
      <c r="AZ875" s="2" t="s">
        <v>74</v>
      </c>
      <c r="BA875" s="2" t="s">
        <v>74</v>
      </c>
      <c r="BB875" s="2">
        <v>452</v>
      </c>
      <c r="BC875" s="2">
        <v>457</v>
      </c>
      <c r="BD875" s="2" t="s">
        <v>74</v>
      </c>
      <c r="BE875" s="2" t="s">
        <v>1483</v>
      </c>
      <c r="BF875" s="2" t="str">
        <f>HYPERLINK("http://dx.doi.org/10.1093/ps/76.3.452","http://dx.doi.org/10.1093/ps/76.3.452")</f>
        <v>http://dx.doi.org/10.1093/ps/76.3.452</v>
      </c>
      <c r="BG875" s="2" t="s">
        <v>74</v>
      </c>
      <c r="BH875" s="2" t="s">
        <v>74</v>
      </c>
      <c r="BI875" s="2" t="s">
        <v>74</v>
      </c>
      <c r="BJ875" s="2" t="s">
        <v>74</v>
      </c>
      <c r="BK875" s="2" t="s">
        <v>74</v>
      </c>
      <c r="BL875" s="2" t="s">
        <v>74</v>
      </c>
      <c r="BM875" s="2" t="s">
        <v>74</v>
      </c>
      <c r="BN875" s="2">
        <v>9068043</v>
      </c>
      <c r="BO875" s="2" t="s">
        <v>74</v>
      </c>
      <c r="BP875" s="2" t="s">
        <v>74</v>
      </c>
      <c r="BQ875" s="2" t="s">
        <v>74</v>
      </c>
      <c r="BR875" s="2" t="s">
        <v>74</v>
      </c>
      <c r="BS875" s="2" t="s">
        <v>1484</v>
      </c>
      <c r="BT875" s="2" t="str">
        <f>HYPERLINK("https%3A%2F%2Fwww.webofscience.com%2Fwos%2Fwoscc%2Ffull-record%2FWOS:A1997WM41000005","View Full Record in Web of Science")</f>
        <v>View Full Record in Web of Science</v>
      </c>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row>
    <row r="876" spans="1:314" s="1" customFormat="1" x14ac:dyDescent="0.4">
      <c r="A876" s="2" t="s">
        <v>72</v>
      </c>
      <c r="B876" s="2" t="s">
        <v>4488</v>
      </c>
      <c r="C876" s="2" t="s">
        <v>74</v>
      </c>
      <c r="D876" s="2" t="s">
        <v>74</v>
      </c>
      <c r="E876" s="2" t="s">
        <v>74</v>
      </c>
      <c r="F876" s="2" t="s">
        <v>4488</v>
      </c>
      <c r="G876" s="2" t="s">
        <v>74</v>
      </c>
      <c r="H876" s="2" t="s">
        <v>74</v>
      </c>
      <c r="I876" s="2" t="s">
        <v>4489</v>
      </c>
      <c r="J876" s="2" t="s">
        <v>1480</v>
      </c>
      <c r="K876" s="2" t="s">
        <v>74</v>
      </c>
      <c r="L876" s="2" t="s">
        <v>74</v>
      </c>
      <c r="M876" s="2" t="s">
        <v>74</v>
      </c>
      <c r="N876" s="2" t="s">
        <v>74</v>
      </c>
      <c r="O876" s="2" t="s">
        <v>74</v>
      </c>
      <c r="P876" s="2" t="s">
        <v>74</v>
      </c>
      <c r="Q876" s="2" t="s">
        <v>74</v>
      </c>
      <c r="R876" s="2" t="s">
        <v>74</v>
      </c>
      <c r="S876" s="2" t="s">
        <v>74</v>
      </c>
      <c r="T876" s="2" t="s">
        <v>74</v>
      </c>
      <c r="U876" s="2" t="s">
        <v>74</v>
      </c>
      <c r="V876" s="5" t="s">
        <v>4490</v>
      </c>
      <c r="W876" s="2" t="s">
        <v>74</v>
      </c>
      <c r="X876" s="2" t="s">
        <v>74</v>
      </c>
      <c r="Y876" s="2" t="s">
        <v>74</v>
      </c>
      <c r="Z876" s="2" t="s">
        <v>74</v>
      </c>
      <c r="AA876" s="2" t="s">
        <v>74</v>
      </c>
      <c r="AB876" s="2" t="s">
        <v>74</v>
      </c>
      <c r="AC876" s="2" t="s">
        <v>74</v>
      </c>
      <c r="AD876" s="2" t="s">
        <v>74</v>
      </c>
      <c r="AE876" s="2" t="s">
        <v>74</v>
      </c>
      <c r="AF876" s="2" t="s">
        <v>74</v>
      </c>
      <c r="AG876" s="2" t="s">
        <v>74</v>
      </c>
      <c r="AH876" s="2" t="s">
        <v>74</v>
      </c>
      <c r="AI876" s="2" t="s">
        <v>74</v>
      </c>
      <c r="AJ876" s="2" t="s">
        <v>74</v>
      </c>
      <c r="AK876" s="2" t="s">
        <v>74</v>
      </c>
      <c r="AL876" s="2" t="s">
        <v>74</v>
      </c>
      <c r="AM876" s="2" t="s">
        <v>74</v>
      </c>
      <c r="AN876" s="2" t="s">
        <v>74</v>
      </c>
      <c r="AO876" s="2" t="s">
        <v>1482</v>
      </c>
      <c r="AP876" s="2" t="s">
        <v>74</v>
      </c>
      <c r="AQ876" s="2" t="s">
        <v>74</v>
      </c>
      <c r="AR876" s="2" t="s">
        <v>74</v>
      </c>
      <c r="AS876" s="2" t="s">
        <v>74</v>
      </c>
      <c r="AT876" s="2" t="s">
        <v>305</v>
      </c>
      <c r="AU876" s="2">
        <v>1997</v>
      </c>
      <c r="AV876" s="2">
        <v>76</v>
      </c>
      <c r="AW876" s="2">
        <v>12</v>
      </c>
      <c r="AX876" s="2" t="s">
        <v>74</v>
      </c>
      <c r="AY876" s="2" t="s">
        <v>74</v>
      </c>
      <c r="AZ876" s="2" t="s">
        <v>74</v>
      </c>
      <c r="BA876" s="2" t="s">
        <v>74</v>
      </c>
      <c r="BB876" s="2">
        <v>1674</v>
      </c>
      <c r="BC876" s="2">
        <v>1681</v>
      </c>
      <c r="BD876" s="2" t="s">
        <v>74</v>
      </c>
      <c r="BE876" s="2" t="s">
        <v>4491</v>
      </c>
      <c r="BF876" s="2" t="str">
        <f>HYPERLINK("http://dx.doi.org/10.1093/ps/76.12.1674","http://dx.doi.org/10.1093/ps/76.12.1674")</f>
        <v>http://dx.doi.org/10.1093/ps/76.12.1674</v>
      </c>
      <c r="BG876" s="2" t="s">
        <v>74</v>
      </c>
      <c r="BH876" s="2" t="s">
        <v>74</v>
      </c>
      <c r="BI876" s="2" t="s">
        <v>74</v>
      </c>
      <c r="BJ876" s="2" t="s">
        <v>74</v>
      </c>
      <c r="BK876" s="2" t="s">
        <v>74</v>
      </c>
      <c r="BL876" s="2" t="s">
        <v>74</v>
      </c>
      <c r="BM876" s="2" t="s">
        <v>74</v>
      </c>
      <c r="BN876" s="2">
        <v>9438281</v>
      </c>
      <c r="BO876" s="2" t="s">
        <v>74</v>
      </c>
      <c r="BP876" s="2" t="s">
        <v>74</v>
      </c>
      <c r="BQ876" s="2" t="s">
        <v>74</v>
      </c>
      <c r="BR876" s="2" t="s">
        <v>74</v>
      </c>
      <c r="BS876" s="2" t="s">
        <v>4492</v>
      </c>
      <c r="BT876" s="2" t="str">
        <f>HYPERLINK("https%3A%2F%2Fwww.webofscience.com%2Fwos%2Fwoscc%2Ffull-record%2FWOS:000071132300009","View Full Record in Web of Science")</f>
        <v>View Full Record in Web of Science</v>
      </c>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row>
    <row r="877" spans="1:314" s="2" customFormat="1" x14ac:dyDescent="0.4">
      <c r="A877" s="2" t="s">
        <v>72</v>
      </c>
      <c r="B877" s="2" t="s">
        <v>8209</v>
      </c>
      <c r="C877" s="2" t="s">
        <v>74</v>
      </c>
      <c r="D877" s="2" t="s">
        <v>74</v>
      </c>
      <c r="E877" s="2" t="s">
        <v>74</v>
      </c>
      <c r="F877" s="2" t="s">
        <v>8209</v>
      </c>
      <c r="G877" s="2" t="s">
        <v>74</v>
      </c>
      <c r="H877" s="2" t="s">
        <v>74</v>
      </c>
      <c r="I877" s="2" t="s">
        <v>8210</v>
      </c>
      <c r="J877" s="2" t="s">
        <v>842</v>
      </c>
      <c r="K877" s="2" t="s">
        <v>74</v>
      </c>
      <c r="L877" s="2" t="s">
        <v>74</v>
      </c>
      <c r="M877" s="2" t="s">
        <v>74</v>
      </c>
      <c r="N877" s="2" t="s">
        <v>74</v>
      </c>
      <c r="O877" s="2" t="s">
        <v>74</v>
      </c>
      <c r="P877" s="2" t="s">
        <v>74</v>
      </c>
      <c r="Q877" s="2" t="s">
        <v>74</v>
      </c>
      <c r="R877" s="2" t="s">
        <v>74</v>
      </c>
      <c r="S877" s="2" t="s">
        <v>74</v>
      </c>
      <c r="T877" s="2" t="s">
        <v>74</v>
      </c>
      <c r="U877" s="2" t="s">
        <v>74</v>
      </c>
      <c r="V877" s="5" t="s">
        <v>8211</v>
      </c>
      <c r="W877" s="2" t="s">
        <v>74</v>
      </c>
      <c r="X877" s="2" t="s">
        <v>74</v>
      </c>
      <c r="Y877" s="2" t="s">
        <v>74</v>
      </c>
      <c r="Z877" s="2" t="s">
        <v>74</v>
      </c>
      <c r="AA877" s="2" t="s">
        <v>8212</v>
      </c>
      <c r="AB877" s="2" t="s">
        <v>8213</v>
      </c>
      <c r="AC877" s="2" t="s">
        <v>74</v>
      </c>
      <c r="AD877" s="2" t="s">
        <v>74</v>
      </c>
      <c r="AE877" s="2" t="s">
        <v>74</v>
      </c>
      <c r="AF877" s="2" t="s">
        <v>74</v>
      </c>
      <c r="AG877" s="2" t="s">
        <v>74</v>
      </c>
      <c r="AH877" s="2" t="s">
        <v>74</v>
      </c>
      <c r="AI877" s="2" t="s">
        <v>74</v>
      </c>
      <c r="AJ877" s="2" t="s">
        <v>74</v>
      </c>
      <c r="AK877" s="2" t="s">
        <v>74</v>
      </c>
      <c r="AL877" s="2" t="s">
        <v>74</v>
      </c>
      <c r="AM877" s="2" t="s">
        <v>74</v>
      </c>
      <c r="AN877" s="2" t="s">
        <v>74</v>
      </c>
      <c r="AO877" s="2" t="s">
        <v>846</v>
      </c>
      <c r="AP877" s="2" t="s">
        <v>74</v>
      </c>
      <c r="AQ877" s="2" t="s">
        <v>74</v>
      </c>
      <c r="AR877" s="2" t="s">
        <v>74</v>
      </c>
      <c r="AS877" s="2" t="s">
        <v>74</v>
      </c>
      <c r="AT877" s="2" t="s">
        <v>633</v>
      </c>
      <c r="AU877" s="2">
        <v>2005</v>
      </c>
      <c r="AV877" s="2">
        <v>65</v>
      </c>
      <c r="AW877" s="2">
        <v>4</v>
      </c>
      <c r="AX877" s="2" t="s">
        <v>74</v>
      </c>
      <c r="AY877" s="2" t="s">
        <v>74</v>
      </c>
      <c r="AZ877" s="2" t="s">
        <v>74</v>
      </c>
      <c r="BA877" s="2" t="s">
        <v>74</v>
      </c>
      <c r="BB877" s="2">
        <v>313</v>
      </c>
      <c r="BC877" s="2">
        <v>326</v>
      </c>
      <c r="BD877" s="2" t="s">
        <v>74</v>
      </c>
      <c r="BE877" s="2" t="s">
        <v>8214</v>
      </c>
      <c r="BF877" s="2" t="str">
        <f>HYPERLINK("http://dx.doi.org/10.1002/ajp.20118","http://dx.doi.org/10.1002/ajp.20118")</f>
        <v>http://dx.doi.org/10.1002/ajp.20118</v>
      </c>
      <c r="BG877" s="2" t="s">
        <v>74</v>
      </c>
      <c r="BH877" s="2" t="s">
        <v>74</v>
      </c>
      <c r="BI877" s="2" t="s">
        <v>74</v>
      </c>
      <c r="BJ877" s="2" t="s">
        <v>74</v>
      </c>
      <c r="BK877" s="2" t="s">
        <v>74</v>
      </c>
      <c r="BL877" s="2" t="s">
        <v>74</v>
      </c>
      <c r="BM877" s="2" t="s">
        <v>74</v>
      </c>
      <c r="BN877" s="2">
        <v>15834888</v>
      </c>
      <c r="BO877" s="2" t="s">
        <v>74</v>
      </c>
      <c r="BP877" s="2" t="s">
        <v>74</v>
      </c>
      <c r="BQ877" s="2" t="s">
        <v>74</v>
      </c>
      <c r="BR877" s="2" t="s">
        <v>74</v>
      </c>
      <c r="BS877" s="2" t="s">
        <v>8215</v>
      </c>
      <c r="BT877" s="2" t="str">
        <f>HYPERLINK("https%3A%2F%2Fwww.webofscience.com%2Fwos%2Fwoscc%2Ffull-record%2FWOS:000228842400002","View Full Record in Web of Science")</f>
        <v>View Full Record in Web of Science</v>
      </c>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row>
    <row r="878" spans="1:314" s="2" customFormat="1" x14ac:dyDescent="0.4">
      <c r="A878" s="2" t="s">
        <v>72</v>
      </c>
      <c r="B878" s="2" t="s">
        <v>5567</v>
      </c>
      <c r="C878" s="2" t="s">
        <v>74</v>
      </c>
      <c r="D878" s="2" t="s">
        <v>74</v>
      </c>
      <c r="E878" s="2" t="s">
        <v>74</v>
      </c>
      <c r="F878" s="2" t="s">
        <v>5568</v>
      </c>
      <c r="G878" s="2" t="s">
        <v>74</v>
      </c>
      <c r="H878" s="2" t="s">
        <v>74</v>
      </c>
      <c r="I878" s="2" t="s">
        <v>5569</v>
      </c>
      <c r="J878" s="2" t="s">
        <v>201</v>
      </c>
      <c r="K878" s="2" t="s">
        <v>74</v>
      </c>
      <c r="L878" s="2" t="s">
        <v>74</v>
      </c>
      <c r="M878" s="2" t="s">
        <v>74</v>
      </c>
      <c r="N878" s="2" t="s">
        <v>74</v>
      </c>
      <c r="O878" s="2" t="s">
        <v>74</v>
      </c>
      <c r="P878" s="2" t="s">
        <v>74</v>
      </c>
      <c r="Q878" s="2" t="s">
        <v>74</v>
      </c>
      <c r="R878" s="2" t="s">
        <v>74</v>
      </c>
      <c r="S878" s="2" t="s">
        <v>74</v>
      </c>
      <c r="T878" s="2" t="s">
        <v>74</v>
      </c>
      <c r="U878" s="2" t="s">
        <v>74</v>
      </c>
      <c r="V878" s="5" t="s">
        <v>5570</v>
      </c>
      <c r="W878" s="2" t="s">
        <v>74</v>
      </c>
      <c r="X878" s="2" t="s">
        <v>74</v>
      </c>
      <c r="Y878" s="2" t="s">
        <v>74</v>
      </c>
      <c r="Z878" s="2" t="s">
        <v>74</v>
      </c>
      <c r="AA878" s="2" t="s">
        <v>5571</v>
      </c>
      <c r="AB878" s="2" t="s">
        <v>5572</v>
      </c>
      <c r="AC878" s="2" t="s">
        <v>74</v>
      </c>
      <c r="AD878" s="2" t="s">
        <v>74</v>
      </c>
      <c r="AE878" s="2" t="s">
        <v>74</v>
      </c>
      <c r="AF878" s="2" t="s">
        <v>74</v>
      </c>
      <c r="AG878" s="2" t="s">
        <v>74</v>
      </c>
      <c r="AH878" s="2" t="s">
        <v>74</v>
      </c>
      <c r="AI878" s="2" t="s">
        <v>74</v>
      </c>
      <c r="AJ878" s="2" t="s">
        <v>74</v>
      </c>
      <c r="AK878" s="2" t="s">
        <v>74</v>
      </c>
      <c r="AL878" s="2" t="s">
        <v>74</v>
      </c>
      <c r="AM878" s="2" t="s">
        <v>74</v>
      </c>
      <c r="AN878" s="2" t="s">
        <v>74</v>
      </c>
      <c r="AO878" s="2" t="s">
        <v>203</v>
      </c>
      <c r="AP878" s="2" t="s">
        <v>1192</v>
      </c>
      <c r="AQ878" s="2" t="s">
        <v>74</v>
      </c>
      <c r="AR878" s="2" t="s">
        <v>74</v>
      </c>
      <c r="AS878" s="2" t="s">
        <v>74</v>
      </c>
      <c r="AT878" s="2" t="s">
        <v>352</v>
      </c>
      <c r="AU878" s="2">
        <v>2014</v>
      </c>
      <c r="AV878" s="2">
        <v>85</v>
      </c>
      <c r="AW878" s="2">
        <v>3</v>
      </c>
      <c r="AX878" s="2" t="s">
        <v>74</v>
      </c>
      <c r="AY878" s="2" t="s">
        <v>74</v>
      </c>
      <c r="AZ878" s="2" t="s">
        <v>74</v>
      </c>
      <c r="BA878" s="2" t="s">
        <v>74</v>
      </c>
      <c r="BB878" s="2">
        <v>882</v>
      </c>
      <c r="BC878" s="2">
        <v>900</v>
      </c>
      <c r="BD878" s="2" t="s">
        <v>74</v>
      </c>
      <c r="BE878" s="2" t="s">
        <v>5573</v>
      </c>
      <c r="BF878" s="2" t="str">
        <f>HYPERLINK("http://dx.doi.org/10.1111/jfb.12478","http://dx.doi.org/10.1111/jfb.12478")</f>
        <v>http://dx.doi.org/10.1111/jfb.12478</v>
      </c>
      <c r="BG878" s="2" t="s">
        <v>74</v>
      </c>
      <c r="BH878" s="2" t="s">
        <v>74</v>
      </c>
      <c r="BI878" s="2" t="s">
        <v>74</v>
      </c>
      <c r="BJ878" s="2" t="s">
        <v>74</v>
      </c>
      <c r="BK878" s="2" t="s">
        <v>74</v>
      </c>
      <c r="BL878" s="2" t="s">
        <v>74</v>
      </c>
      <c r="BM878" s="2" t="s">
        <v>74</v>
      </c>
      <c r="BN878" s="2">
        <v>25082262</v>
      </c>
      <c r="BO878" s="2" t="s">
        <v>74</v>
      </c>
      <c r="BP878" s="2" t="s">
        <v>74</v>
      </c>
      <c r="BQ878" s="2" t="s">
        <v>74</v>
      </c>
      <c r="BR878" s="2" t="s">
        <v>74</v>
      </c>
      <c r="BS878" s="2" t="s">
        <v>5574</v>
      </c>
      <c r="BT878" s="2" t="str">
        <f>HYPERLINK("https%3A%2F%2Fwww.webofscience.com%2Fwos%2Fwoscc%2Ffull-record%2FWOS:000340845500018","View Full Record in Web of Science")</f>
        <v>View Full Record in Web of Science</v>
      </c>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row>
    <row r="879" spans="1:314" s="2" customFormat="1" x14ac:dyDescent="0.4">
      <c r="A879" s="2" t="s">
        <v>72</v>
      </c>
      <c r="B879" s="2" t="s">
        <v>309</v>
      </c>
      <c r="C879" s="2" t="s">
        <v>74</v>
      </c>
      <c r="D879" s="2" t="s">
        <v>74</v>
      </c>
      <c r="E879" s="2" t="s">
        <v>74</v>
      </c>
      <c r="F879" s="2" t="s">
        <v>310</v>
      </c>
      <c r="G879" s="2" t="s">
        <v>74</v>
      </c>
      <c r="H879" s="2" t="s">
        <v>74</v>
      </c>
      <c r="I879" s="2" t="s">
        <v>311</v>
      </c>
      <c r="J879" s="2" t="s">
        <v>312</v>
      </c>
      <c r="K879" s="2" t="s">
        <v>74</v>
      </c>
      <c r="L879" s="2" t="s">
        <v>74</v>
      </c>
      <c r="M879" s="2" t="s">
        <v>74</v>
      </c>
      <c r="N879" s="2" t="s">
        <v>74</v>
      </c>
      <c r="O879" s="2" t="s">
        <v>74</v>
      </c>
      <c r="P879" s="2" t="s">
        <v>74</v>
      </c>
      <c r="Q879" s="2" t="s">
        <v>74</v>
      </c>
      <c r="R879" s="2" t="s">
        <v>74</v>
      </c>
      <c r="S879" s="2" t="s">
        <v>74</v>
      </c>
      <c r="T879" s="2" t="s">
        <v>74</v>
      </c>
      <c r="U879" s="2" t="s">
        <v>74</v>
      </c>
      <c r="V879" s="5" t="s">
        <v>313</v>
      </c>
      <c r="W879" s="2" t="s">
        <v>74</v>
      </c>
      <c r="X879" s="2" t="s">
        <v>74</v>
      </c>
      <c r="Y879" s="2" t="s">
        <v>74</v>
      </c>
      <c r="Z879" s="2" t="s">
        <v>74</v>
      </c>
      <c r="AA879" s="2" t="s">
        <v>74</v>
      </c>
      <c r="AB879" s="2" t="s">
        <v>74</v>
      </c>
      <c r="AC879" s="2" t="s">
        <v>74</v>
      </c>
      <c r="AD879" s="2" t="s">
        <v>74</v>
      </c>
      <c r="AE879" s="2" t="s">
        <v>74</v>
      </c>
      <c r="AF879" s="2" t="s">
        <v>74</v>
      </c>
      <c r="AG879" s="2" t="s">
        <v>74</v>
      </c>
      <c r="AH879" s="2" t="s">
        <v>74</v>
      </c>
      <c r="AI879" s="2" t="s">
        <v>74</v>
      </c>
      <c r="AJ879" s="2" t="s">
        <v>74</v>
      </c>
      <c r="AK879" s="2" t="s">
        <v>74</v>
      </c>
      <c r="AL879" s="2" t="s">
        <v>74</v>
      </c>
      <c r="AM879" s="2" t="s">
        <v>74</v>
      </c>
      <c r="AN879" s="2" t="s">
        <v>74</v>
      </c>
      <c r="AO879" s="2" t="s">
        <v>314</v>
      </c>
      <c r="AP879" s="2" t="s">
        <v>315</v>
      </c>
      <c r="AQ879" s="2" t="s">
        <v>74</v>
      </c>
      <c r="AR879" s="2" t="s">
        <v>74</v>
      </c>
      <c r="AS879" s="2" t="s">
        <v>74</v>
      </c>
      <c r="AT879" s="2" t="s">
        <v>145</v>
      </c>
      <c r="AU879" s="2">
        <v>2017</v>
      </c>
      <c r="AV879" s="2">
        <v>190</v>
      </c>
      <c r="AW879" s="2">
        <v>2</v>
      </c>
      <c r="AX879" s="2" t="s">
        <v>74</v>
      </c>
      <c r="AY879" s="2" t="s">
        <v>74</v>
      </c>
      <c r="AZ879" s="2" t="s">
        <v>74</v>
      </c>
      <c r="BA879" s="2" t="s">
        <v>74</v>
      </c>
      <c r="BB879" s="2">
        <v>157</v>
      </c>
      <c r="BC879" s="2">
        <v>170</v>
      </c>
      <c r="BD879" s="2" t="s">
        <v>74</v>
      </c>
      <c r="BE879" s="2" t="s">
        <v>316</v>
      </c>
      <c r="BF879" s="2" t="str">
        <f>HYPERLINK("http://dx.doi.org/10.1086/692535","http://dx.doi.org/10.1086/692535")</f>
        <v>http://dx.doi.org/10.1086/692535</v>
      </c>
      <c r="BG879" s="2" t="s">
        <v>74</v>
      </c>
      <c r="BH879" s="2" t="s">
        <v>74</v>
      </c>
      <c r="BI879" s="2" t="s">
        <v>74</v>
      </c>
      <c r="BJ879" s="2" t="s">
        <v>74</v>
      </c>
      <c r="BK879" s="2" t="s">
        <v>74</v>
      </c>
      <c r="BL879" s="2" t="s">
        <v>74</v>
      </c>
      <c r="BM879" s="2" t="s">
        <v>74</v>
      </c>
      <c r="BN879" s="2">
        <v>28731791</v>
      </c>
      <c r="BO879" s="2" t="s">
        <v>74</v>
      </c>
      <c r="BP879" s="2" t="s">
        <v>74</v>
      </c>
      <c r="BQ879" s="2" t="s">
        <v>74</v>
      </c>
      <c r="BR879" s="2" t="s">
        <v>74</v>
      </c>
      <c r="BS879" s="2" t="s">
        <v>317</v>
      </c>
      <c r="BT879" s="2" t="str">
        <f>HYPERLINK("https%3A%2F%2Fwww.webofscience.com%2Fwos%2Fwoscc%2Ffull-record%2FWOS:000406102400003","View Full Record in Web of Science")</f>
        <v>View Full Record in Web of Science</v>
      </c>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row>
    <row r="880" spans="1:314" s="2" customFormat="1" ht="14.25" customHeight="1" x14ac:dyDescent="0.4">
      <c r="A880" s="2" t="s">
        <v>72</v>
      </c>
      <c r="B880" s="2" t="s">
        <v>5113</v>
      </c>
      <c r="C880" s="2" t="s">
        <v>74</v>
      </c>
      <c r="D880" s="2" t="s">
        <v>74</v>
      </c>
      <c r="E880" s="2" t="s">
        <v>74</v>
      </c>
      <c r="F880" s="2" t="s">
        <v>5114</v>
      </c>
      <c r="G880" s="2" t="s">
        <v>74</v>
      </c>
      <c r="H880" s="2" t="s">
        <v>74</v>
      </c>
      <c r="I880" s="2" t="s">
        <v>5115</v>
      </c>
      <c r="J880" s="2" t="s">
        <v>367</v>
      </c>
      <c r="K880" s="2" t="s">
        <v>74</v>
      </c>
      <c r="L880" s="2" t="s">
        <v>74</v>
      </c>
      <c r="M880" s="2" t="s">
        <v>74</v>
      </c>
      <c r="N880" s="2" t="s">
        <v>74</v>
      </c>
      <c r="O880" s="2" t="s">
        <v>74</v>
      </c>
      <c r="P880" s="2" t="s">
        <v>74</v>
      </c>
      <c r="Q880" s="2" t="s">
        <v>74</v>
      </c>
      <c r="R880" s="2" t="s">
        <v>74</v>
      </c>
      <c r="S880" s="2" t="s">
        <v>74</v>
      </c>
      <c r="T880" s="2" t="s">
        <v>74</v>
      </c>
      <c r="U880" s="2" t="s">
        <v>74</v>
      </c>
      <c r="V880" s="5" t="s">
        <v>5116</v>
      </c>
      <c r="W880" s="2" t="s">
        <v>74</v>
      </c>
      <c r="X880" s="2" t="s">
        <v>74</v>
      </c>
      <c r="Y880" s="2" t="s">
        <v>74</v>
      </c>
      <c r="Z880" s="2" t="s">
        <v>74</v>
      </c>
      <c r="AA880" s="2" t="s">
        <v>5117</v>
      </c>
      <c r="AB880" s="2" t="s">
        <v>5118</v>
      </c>
      <c r="AC880" s="2" t="s">
        <v>74</v>
      </c>
      <c r="AD880" s="2" t="s">
        <v>74</v>
      </c>
      <c r="AE880" s="2" t="s">
        <v>74</v>
      </c>
      <c r="AF880" s="2" t="s">
        <v>74</v>
      </c>
      <c r="AG880" s="2" t="s">
        <v>74</v>
      </c>
      <c r="AH880" s="2" t="s">
        <v>74</v>
      </c>
      <c r="AI880" s="2" t="s">
        <v>74</v>
      </c>
      <c r="AJ880" s="2" t="s">
        <v>74</v>
      </c>
      <c r="AK880" s="2" t="s">
        <v>74</v>
      </c>
      <c r="AL880" s="2" t="s">
        <v>74</v>
      </c>
      <c r="AM880" s="2" t="s">
        <v>74</v>
      </c>
      <c r="AN880" s="2" t="s">
        <v>74</v>
      </c>
      <c r="AO880" s="2" t="s">
        <v>371</v>
      </c>
      <c r="AP880" s="2" t="s">
        <v>372</v>
      </c>
      <c r="AQ880" s="2" t="s">
        <v>74</v>
      </c>
      <c r="AR880" s="2" t="s">
        <v>74</v>
      </c>
      <c r="AS880" s="2" t="s">
        <v>74</v>
      </c>
      <c r="AT880" s="2" t="s">
        <v>213</v>
      </c>
      <c r="AU880" s="2">
        <v>2023</v>
      </c>
      <c r="AV880" s="2">
        <v>137</v>
      </c>
      <c r="AW880" s="2">
        <v>4</v>
      </c>
      <c r="AX880" s="2" t="s">
        <v>74</v>
      </c>
      <c r="AY880" s="2" t="s">
        <v>74</v>
      </c>
      <c r="AZ880" s="2" t="s">
        <v>74</v>
      </c>
      <c r="BA880" s="2" t="s">
        <v>74</v>
      </c>
      <c r="BB880" s="2">
        <v>212</v>
      </c>
      <c r="BC880" s="2">
        <v>222</v>
      </c>
      <c r="BD880" s="2" t="s">
        <v>74</v>
      </c>
      <c r="BE880" s="2" t="s">
        <v>5119</v>
      </c>
      <c r="BF880" s="2" t="str">
        <f>HYPERLINK("http://dx.doi.org/10.1037/com0000347","http://dx.doi.org/10.1037/com0000347")</f>
        <v>http://dx.doi.org/10.1037/com0000347</v>
      </c>
      <c r="BG880" s="2" t="s">
        <v>74</v>
      </c>
      <c r="BH880" s="2" t="s">
        <v>5120</v>
      </c>
      <c r="BI880" s="2" t="s">
        <v>74</v>
      </c>
      <c r="BJ880" s="2" t="s">
        <v>74</v>
      </c>
      <c r="BK880" s="2" t="s">
        <v>74</v>
      </c>
      <c r="BL880" s="2" t="s">
        <v>74</v>
      </c>
      <c r="BM880" s="2" t="s">
        <v>74</v>
      </c>
      <c r="BN880" s="2">
        <v>37307354</v>
      </c>
      <c r="BO880" s="2" t="s">
        <v>74</v>
      </c>
      <c r="BP880" s="2" t="s">
        <v>74</v>
      </c>
      <c r="BQ880" s="2" t="s">
        <v>74</v>
      </c>
      <c r="BR880" s="2" t="s">
        <v>74</v>
      </c>
      <c r="BS880" s="2" t="s">
        <v>5121</v>
      </c>
      <c r="BT880" s="2" t="str">
        <f>HYPERLINK("https%3A%2F%2Fwww.webofscience.com%2Fwos%2Fwoscc%2Ffull-record%2FWOS:001005612800001","View Full Record in Web of Science")</f>
        <v>View Full Record in Web of Science</v>
      </c>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row>
    <row r="881" spans="1:314" s="2" customFormat="1" x14ac:dyDescent="0.4">
      <c r="A881" s="2" t="s">
        <v>72</v>
      </c>
      <c r="B881" s="2" t="s">
        <v>6857</v>
      </c>
      <c r="C881" s="2" t="s">
        <v>74</v>
      </c>
      <c r="D881" s="2" t="s">
        <v>74</v>
      </c>
      <c r="E881" s="2" t="s">
        <v>74</v>
      </c>
      <c r="F881" s="2" t="s">
        <v>6857</v>
      </c>
      <c r="G881" s="2" t="s">
        <v>74</v>
      </c>
      <c r="H881" s="2" t="s">
        <v>74</v>
      </c>
      <c r="I881" s="2" t="s">
        <v>6858</v>
      </c>
      <c r="J881" s="2" t="s">
        <v>171</v>
      </c>
      <c r="K881" s="2" t="s">
        <v>74</v>
      </c>
      <c r="L881" s="2" t="s">
        <v>74</v>
      </c>
      <c r="M881" s="2" t="s">
        <v>74</v>
      </c>
      <c r="N881" s="2" t="s">
        <v>74</v>
      </c>
      <c r="O881" s="2" t="s">
        <v>74</v>
      </c>
      <c r="P881" s="2" t="s">
        <v>74</v>
      </c>
      <c r="Q881" s="2" t="s">
        <v>74</v>
      </c>
      <c r="R881" s="2" t="s">
        <v>74</v>
      </c>
      <c r="S881" s="2" t="s">
        <v>74</v>
      </c>
      <c r="T881" s="2" t="s">
        <v>74</v>
      </c>
      <c r="U881" s="2" t="s">
        <v>74</v>
      </c>
      <c r="V881" s="5" t="s">
        <v>6859</v>
      </c>
      <c r="W881" s="2" t="s">
        <v>74</v>
      </c>
      <c r="X881" s="2" t="s">
        <v>74</v>
      </c>
      <c r="Y881" s="2" t="s">
        <v>74</v>
      </c>
      <c r="Z881" s="2" t="s">
        <v>74</v>
      </c>
      <c r="AA881" s="2" t="s">
        <v>6860</v>
      </c>
      <c r="AB881" s="2" t="s">
        <v>6861</v>
      </c>
      <c r="AC881" s="2" t="s">
        <v>74</v>
      </c>
      <c r="AD881" s="2" t="s">
        <v>74</v>
      </c>
      <c r="AE881" s="2" t="s">
        <v>74</v>
      </c>
      <c r="AF881" s="2" t="s">
        <v>74</v>
      </c>
      <c r="AG881" s="2" t="s">
        <v>74</v>
      </c>
      <c r="AH881" s="2" t="s">
        <v>74</v>
      </c>
      <c r="AI881" s="2" t="s">
        <v>74</v>
      </c>
      <c r="AJ881" s="2" t="s">
        <v>74</v>
      </c>
      <c r="AK881" s="2" t="s">
        <v>74</v>
      </c>
      <c r="AL881" s="2" t="s">
        <v>74</v>
      </c>
      <c r="AM881" s="2" t="s">
        <v>74</v>
      </c>
      <c r="AN881" s="2" t="s">
        <v>74</v>
      </c>
      <c r="AO881" s="2" t="s">
        <v>173</v>
      </c>
      <c r="AP881" s="2" t="s">
        <v>174</v>
      </c>
      <c r="AQ881" s="2" t="s">
        <v>74</v>
      </c>
      <c r="AR881" s="2" t="s">
        <v>74</v>
      </c>
      <c r="AS881" s="2" t="s">
        <v>74</v>
      </c>
      <c r="AT881" s="2" t="s">
        <v>74</v>
      </c>
      <c r="AU881" s="2">
        <v>1981</v>
      </c>
      <c r="AV881" s="2">
        <v>35</v>
      </c>
      <c r="AW881" s="2">
        <v>4</v>
      </c>
      <c r="AX881" s="2" t="s">
        <v>74</v>
      </c>
      <c r="AY881" s="2" t="s">
        <v>74</v>
      </c>
      <c r="AZ881" s="2" t="s">
        <v>74</v>
      </c>
      <c r="BA881" s="2" t="s">
        <v>74</v>
      </c>
      <c r="BB881" s="2">
        <v>742</v>
      </c>
      <c r="BC881" s="2">
        <v>751</v>
      </c>
      <c r="BD881" s="2" t="s">
        <v>74</v>
      </c>
      <c r="BE881" s="2" t="s">
        <v>6862</v>
      </c>
      <c r="BF881" s="2" t="str">
        <f>HYPERLINK("http://dx.doi.org/10.2307/2408244","http://dx.doi.org/10.2307/2408244")</f>
        <v>http://dx.doi.org/10.2307/2408244</v>
      </c>
      <c r="BG881" s="2" t="s">
        <v>74</v>
      </c>
      <c r="BH881" s="2" t="s">
        <v>74</v>
      </c>
      <c r="BI881" s="2" t="s">
        <v>74</v>
      </c>
      <c r="BJ881" s="2" t="s">
        <v>74</v>
      </c>
      <c r="BK881" s="2" t="s">
        <v>74</v>
      </c>
      <c r="BL881" s="2" t="s">
        <v>74</v>
      </c>
      <c r="BM881" s="2" t="s">
        <v>74</v>
      </c>
      <c r="BN881" s="2">
        <v>28563145</v>
      </c>
      <c r="BO881" s="2" t="s">
        <v>74</v>
      </c>
      <c r="BP881" s="2" t="s">
        <v>74</v>
      </c>
      <c r="BQ881" s="2" t="s">
        <v>74</v>
      </c>
      <c r="BR881" s="2" t="s">
        <v>74</v>
      </c>
      <c r="BS881" s="2" t="s">
        <v>6863</v>
      </c>
      <c r="BT881" s="2" t="str">
        <f>HYPERLINK("https%3A%2F%2Fwww.webofscience.com%2Fwos%2Fwoscc%2Ffull-record%2FWOS:A1981LZ39300011","View Full Record in Web of Science")</f>
        <v>View Full Record in Web of Science</v>
      </c>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row>
    <row r="882" spans="1:314" s="1" customFormat="1" x14ac:dyDescent="0.4">
      <c r="A882" s="2" t="s">
        <v>72</v>
      </c>
      <c r="B882" s="2" t="s">
        <v>1366</v>
      </c>
      <c r="C882" s="2" t="s">
        <v>74</v>
      </c>
      <c r="D882" s="2" t="s">
        <v>74</v>
      </c>
      <c r="E882" s="2" t="s">
        <v>74</v>
      </c>
      <c r="F882" s="2" t="s">
        <v>1367</v>
      </c>
      <c r="G882" s="2" t="s">
        <v>74</v>
      </c>
      <c r="H882" s="2" t="s">
        <v>74</v>
      </c>
      <c r="I882" s="2" t="s">
        <v>1368</v>
      </c>
      <c r="J882" s="2" t="s">
        <v>576</v>
      </c>
      <c r="K882" s="2" t="s">
        <v>74</v>
      </c>
      <c r="L882" s="2" t="s">
        <v>74</v>
      </c>
      <c r="M882" s="2" t="s">
        <v>74</v>
      </c>
      <c r="N882" s="2" t="s">
        <v>74</v>
      </c>
      <c r="O882" s="2" t="s">
        <v>74</v>
      </c>
      <c r="P882" s="2" t="s">
        <v>74</v>
      </c>
      <c r="Q882" s="2" t="s">
        <v>74</v>
      </c>
      <c r="R882" s="2" t="s">
        <v>74</v>
      </c>
      <c r="S882" s="2" t="s">
        <v>74</v>
      </c>
      <c r="T882" s="2" t="s">
        <v>74</v>
      </c>
      <c r="U882" s="2" t="s">
        <v>74</v>
      </c>
      <c r="V882" s="5" t="s">
        <v>1369</v>
      </c>
      <c r="W882" s="2" t="s">
        <v>74</v>
      </c>
      <c r="X882" s="2" t="s">
        <v>74</v>
      </c>
      <c r="Y882" s="2" t="s">
        <v>74</v>
      </c>
      <c r="Z882" s="2" t="s">
        <v>74</v>
      </c>
      <c r="AA882" s="2" t="s">
        <v>74</v>
      </c>
      <c r="AB882" s="2" t="s">
        <v>74</v>
      </c>
      <c r="AC882" s="2" t="s">
        <v>74</v>
      </c>
      <c r="AD882" s="2" t="s">
        <v>74</v>
      </c>
      <c r="AE882" s="2" t="s">
        <v>74</v>
      </c>
      <c r="AF882" s="2" t="s">
        <v>74</v>
      </c>
      <c r="AG882" s="2" t="s">
        <v>74</v>
      </c>
      <c r="AH882" s="2" t="s">
        <v>74</v>
      </c>
      <c r="AI882" s="2" t="s">
        <v>74</v>
      </c>
      <c r="AJ882" s="2" t="s">
        <v>74</v>
      </c>
      <c r="AK882" s="2" t="s">
        <v>74</v>
      </c>
      <c r="AL882" s="2" t="s">
        <v>74</v>
      </c>
      <c r="AM882" s="2" t="s">
        <v>74</v>
      </c>
      <c r="AN882" s="2" t="s">
        <v>74</v>
      </c>
      <c r="AO882" s="2" t="s">
        <v>579</v>
      </c>
      <c r="AP882" s="2" t="s">
        <v>580</v>
      </c>
      <c r="AQ882" s="2" t="s">
        <v>74</v>
      </c>
      <c r="AR882" s="2" t="s">
        <v>74</v>
      </c>
      <c r="AS882" s="2" t="s">
        <v>74</v>
      </c>
      <c r="AT882" s="2" t="s">
        <v>352</v>
      </c>
      <c r="AU882" s="2">
        <v>2011</v>
      </c>
      <c r="AV882" s="2">
        <v>25</v>
      </c>
      <c r="AW882" s="2">
        <v>5</v>
      </c>
      <c r="AX882" s="2" t="s">
        <v>74</v>
      </c>
      <c r="AY882" s="2" t="s">
        <v>74</v>
      </c>
      <c r="AZ882" s="2" t="s">
        <v>74</v>
      </c>
      <c r="BA882" s="2" t="s">
        <v>74</v>
      </c>
      <c r="BB882" s="2">
        <v>993</v>
      </c>
      <c r="BC882" s="2">
        <v>1015</v>
      </c>
      <c r="BD882" s="2" t="s">
        <v>74</v>
      </c>
      <c r="BE882" s="2" t="s">
        <v>1370</v>
      </c>
      <c r="BF882" s="2" t="str">
        <f>HYPERLINK("http://dx.doi.org/10.1007/s10682-010-9455-5","http://dx.doi.org/10.1007/s10682-010-9455-5")</f>
        <v>http://dx.doi.org/10.1007/s10682-010-9455-5</v>
      </c>
      <c r="BG882" s="2" t="s">
        <v>74</v>
      </c>
      <c r="BH882" s="2" t="s">
        <v>74</v>
      </c>
      <c r="BI882" s="2" t="s">
        <v>74</v>
      </c>
      <c r="BJ882" s="2" t="s">
        <v>74</v>
      </c>
      <c r="BK882" s="2" t="s">
        <v>74</v>
      </c>
      <c r="BL882" s="2" t="s">
        <v>74</v>
      </c>
      <c r="BM882" s="2" t="s">
        <v>74</v>
      </c>
      <c r="BN882" s="2" t="s">
        <v>74</v>
      </c>
      <c r="BO882" s="2" t="s">
        <v>74</v>
      </c>
      <c r="BP882" s="2" t="s">
        <v>74</v>
      </c>
      <c r="BQ882" s="2" t="s">
        <v>74</v>
      </c>
      <c r="BR882" s="2" t="s">
        <v>74</v>
      </c>
      <c r="BS882" s="2" t="s">
        <v>1371</v>
      </c>
      <c r="BT882" s="2" t="str">
        <f>HYPERLINK("https%3A%2F%2Fwww.webofscience.com%2Fwos%2Fwoscc%2Ffull-record%2FWOS:000294499800003","View Full Record in Web of Science")</f>
        <v>View Full Record in Web of Science</v>
      </c>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row>
    <row r="883" spans="1:314" s="2" customFormat="1" x14ac:dyDescent="0.4">
      <c r="A883" s="2" t="s">
        <v>72</v>
      </c>
      <c r="B883" s="2" t="s">
        <v>4275</v>
      </c>
      <c r="C883" s="2" t="s">
        <v>74</v>
      </c>
      <c r="D883" s="2" t="s">
        <v>74</v>
      </c>
      <c r="E883" s="2" t="s">
        <v>74</v>
      </c>
      <c r="F883" s="2" t="s">
        <v>4276</v>
      </c>
      <c r="G883" s="2" t="s">
        <v>74</v>
      </c>
      <c r="H883" s="2" t="s">
        <v>74</v>
      </c>
      <c r="I883" s="2" t="s">
        <v>4277</v>
      </c>
      <c r="J883" s="2" t="s">
        <v>4278</v>
      </c>
      <c r="K883" s="2" t="s">
        <v>74</v>
      </c>
      <c r="L883" s="2" t="s">
        <v>74</v>
      </c>
      <c r="M883" s="2" t="s">
        <v>74</v>
      </c>
      <c r="N883" s="2" t="s">
        <v>74</v>
      </c>
      <c r="O883" s="2" t="s">
        <v>74</v>
      </c>
      <c r="P883" s="2" t="s">
        <v>74</v>
      </c>
      <c r="Q883" s="2" t="s">
        <v>74</v>
      </c>
      <c r="R883" s="2" t="s">
        <v>74</v>
      </c>
      <c r="S883" s="2" t="s">
        <v>74</v>
      </c>
      <c r="T883" s="2" t="s">
        <v>74</v>
      </c>
      <c r="U883" s="2" t="s">
        <v>74</v>
      </c>
      <c r="V883" s="5" t="s">
        <v>4279</v>
      </c>
      <c r="W883" s="2" t="s">
        <v>74</v>
      </c>
      <c r="X883" s="2" t="s">
        <v>74</v>
      </c>
      <c r="Y883" s="2" t="s">
        <v>74</v>
      </c>
      <c r="Z883" s="2" t="s">
        <v>74</v>
      </c>
      <c r="AA883" s="2" t="s">
        <v>4280</v>
      </c>
      <c r="AB883" s="2" t="s">
        <v>4281</v>
      </c>
      <c r="AC883" s="2" t="s">
        <v>74</v>
      </c>
      <c r="AD883" s="2" t="s">
        <v>74</v>
      </c>
      <c r="AE883" s="2" t="s">
        <v>74</v>
      </c>
      <c r="AF883" s="2" t="s">
        <v>74</v>
      </c>
      <c r="AG883" s="2" t="s">
        <v>74</v>
      </c>
      <c r="AH883" s="2" t="s">
        <v>74</v>
      </c>
      <c r="AI883" s="2" t="s">
        <v>74</v>
      </c>
      <c r="AJ883" s="2" t="s">
        <v>74</v>
      </c>
      <c r="AK883" s="2" t="s">
        <v>74</v>
      </c>
      <c r="AL883" s="2" t="s">
        <v>74</v>
      </c>
      <c r="AM883" s="2" t="s">
        <v>74</v>
      </c>
      <c r="AN883" s="2" t="s">
        <v>74</v>
      </c>
      <c r="AO883" s="2" t="s">
        <v>4282</v>
      </c>
      <c r="AP883" s="2" t="s">
        <v>4283</v>
      </c>
      <c r="AQ883" s="2" t="s">
        <v>74</v>
      </c>
      <c r="AR883" s="2" t="s">
        <v>74</v>
      </c>
      <c r="AS883" s="2" t="s">
        <v>74</v>
      </c>
      <c r="AT883" s="2" t="s">
        <v>213</v>
      </c>
      <c r="AU883" s="2">
        <v>2016</v>
      </c>
      <c r="AV883" s="2">
        <v>42</v>
      </c>
      <c r="AW883" s="2">
        <v>11</v>
      </c>
      <c r="AX883" s="2" t="s">
        <v>74</v>
      </c>
      <c r="AY883" s="2" t="s">
        <v>74</v>
      </c>
      <c r="AZ883" s="2" t="s">
        <v>74</v>
      </c>
      <c r="BA883" s="2" t="s">
        <v>74</v>
      </c>
      <c r="BB883" s="2">
        <v>1164</v>
      </c>
      <c r="BC883" s="2">
        <v>1174</v>
      </c>
      <c r="BD883" s="2" t="s">
        <v>74</v>
      </c>
      <c r="BE883" s="2" t="s">
        <v>4284</v>
      </c>
      <c r="BF883" s="2" t="str">
        <f>HYPERLINK("http://dx.doi.org/10.1007/s10886-016-0778-8","http://dx.doi.org/10.1007/s10886-016-0778-8")</f>
        <v>http://dx.doi.org/10.1007/s10886-016-0778-8</v>
      </c>
      <c r="BG883" s="2" t="s">
        <v>74</v>
      </c>
      <c r="BH883" s="2" t="s">
        <v>74</v>
      </c>
      <c r="BI883" s="2" t="s">
        <v>74</v>
      </c>
      <c r="BJ883" s="2" t="s">
        <v>74</v>
      </c>
      <c r="BK883" s="2" t="s">
        <v>74</v>
      </c>
      <c r="BL883" s="2" t="s">
        <v>74</v>
      </c>
      <c r="BM883" s="2" t="s">
        <v>74</v>
      </c>
      <c r="BN883" s="2">
        <v>27722876</v>
      </c>
      <c r="BO883" s="2" t="s">
        <v>74</v>
      </c>
      <c r="BP883" s="2" t="s">
        <v>74</v>
      </c>
      <c r="BQ883" s="2" t="s">
        <v>74</v>
      </c>
      <c r="BR883" s="2" t="s">
        <v>74</v>
      </c>
      <c r="BS883" s="2" t="s">
        <v>4285</v>
      </c>
      <c r="BT883" s="2" t="str">
        <f>HYPERLINK("https%3A%2F%2Fwww.webofscience.com%2Fwos%2Fwoscc%2Ffull-record%2FWOS:000388808300007","View Full Record in Web of Science")</f>
        <v>View Full Record in Web of Science</v>
      </c>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row>
    <row r="884" spans="1:314" s="1" customFormat="1" x14ac:dyDescent="0.4">
      <c r="A884" s="2" t="s">
        <v>72</v>
      </c>
      <c r="B884" s="2" t="s">
        <v>382</v>
      </c>
      <c r="C884" s="2" t="s">
        <v>74</v>
      </c>
      <c r="D884" s="2" t="s">
        <v>74</v>
      </c>
      <c r="E884" s="2" t="s">
        <v>74</v>
      </c>
      <c r="F884" s="2" t="s">
        <v>383</v>
      </c>
      <c r="G884" s="2" t="s">
        <v>74</v>
      </c>
      <c r="H884" s="2" t="s">
        <v>74</v>
      </c>
      <c r="I884" s="2" t="s">
        <v>384</v>
      </c>
      <c r="J884" s="2" t="s">
        <v>140</v>
      </c>
      <c r="K884" s="2" t="s">
        <v>74</v>
      </c>
      <c r="L884" s="2" t="s">
        <v>74</v>
      </c>
      <c r="M884" s="2" t="s">
        <v>74</v>
      </c>
      <c r="N884" s="2" t="s">
        <v>74</v>
      </c>
      <c r="O884" s="2" t="s">
        <v>74</v>
      </c>
      <c r="P884" s="2" t="s">
        <v>74</v>
      </c>
      <c r="Q884" s="2" t="s">
        <v>74</v>
      </c>
      <c r="R884" s="2" t="s">
        <v>74</v>
      </c>
      <c r="S884" s="2" t="s">
        <v>74</v>
      </c>
      <c r="T884" s="2" t="s">
        <v>74</v>
      </c>
      <c r="U884" s="2" t="s">
        <v>74</v>
      </c>
      <c r="V884" s="5" t="s">
        <v>385</v>
      </c>
      <c r="W884" s="2" t="s">
        <v>74</v>
      </c>
      <c r="X884" s="2" t="s">
        <v>74</v>
      </c>
      <c r="Y884" s="2" t="s">
        <v>74</v>
      </c>
      <c r="Z884" s="2" t="s">
        <v>74</v>
      </c>
      <c r="AA884" s="2" t="s">
        <v>386</v>
      </c>
      <c r="AB884" s="2" t="s">
        <v>74</v>
      </c>
      <c r="AC884" s="2" t="s">
        <v>74</v>
      </c>
      <c r="AD884" s="2" t="s">
        <v>74</v>
      </c>
      <c r="AE884" s="2" t="s">
        <v>74</v>
      </c>
      <c r="AF884" s="2" t="s">
        <v>74</v>
      </c>
      <c r="AG884" s="2" t="s">
        <v>74</v>
      </c>
      <c r="AH884" s="2" t="s">
        <v>74</v>
      </c>
      <c r="AI884" s="2" t="s">
        <v>74</v>
      </c>
      <c r="AJ884" s="2" t="s">
        <v>74</v>
      </c>
      <c r="AK884" s="2" t="s">
        <v>74</v>
      </c>
      <c r="AL884" s="2" t="s">
        <v>74</v>
      </c>
      <c r="AM884" s="2" t="s">
        <v>74</v>
      </c>
      <c r="AN884" s="2" t="s">
        <v>74</v>
      </c>
      <c r="AO884" s="2" t="s">
        <v>143</v>
      </c>
      <c r="AP884" s="2" t="s">
        <v>74</v>
      </c>
      <c r="AQ884" s="2" t="s">
        <v>74</v>
      </c>
      <c r="AR884" s="2" t="s">
        <v>74</v>
      </c>
      <c r="AS884" s="2" t="s">
        <v>74</v>
      </c>
      <c r="AT884" s="2" t="s">
        <v>145</v>
      </c>
      <c r="AU884" s="2">
        <v>2009</v>
      </c>
      <c r="AV884" s="2">
        <v>78</v>
      </c>
      <c r="AW884" s="2">
        <v>2</v>
      </c>
      <c r="AX884" s="2" t="s">
        <v>74</v>
      </c>
      <c r="AY884" s="2" t="s">
        <v>74</v>
      </c>
      <c r="AZ884" s="2" t="s">
        <v>74</v>
      </c>
      <c r="BA884" s="2" t="s">
        <v>74</v>
      </c>
      <c r="BB884" s="2">
        <v>393</v>
      </c>
      <c r="BC884" s="2">
        <v>398</v>
      </c>
      <c r="BD884" s="2" t="s">
        <v>74</v>
      </c>
      <c r="BE884" s="2" t="s">
        <v>387</v>
      </c>
      <c r="BF884" s="2" t="str">
        <f>HYPERLINK("http://dx.doi.org/10.1016/j.anbehav.2009.05.013","http://dx.doi.org/10.1016/j.anbehav.2009.05.013")</f>
        <v>http://dx.doi.org/10.1016/j.anbehav.2009.05.013</v>
      </c>
      <c r="BG884" s="2" t="s">
        <v>74</v>
      </c>
      <c r="BH884" s="2" t="s">
        <v>74</v>
      </c>
      <c r="BI884" s="2" t="s">
        <v>74</v>
      </c>
      <c r="BJ884" s="2" t="s">
        <v>74</v>
      </c>
      <c r="BK884" s="2" t="s">
        <v>74</v>
      </c>
      <c r="BL884" s="2" t="s">
        <v>74</v>
      </c>
      <c r="BM884" s="2" t="s">
        <v>74</v>
      </c>
      <c r="BN884" s="2" t="s">
        <v>74</v>
      </c>
      <c r="BO884" s="2" t="s">
        <v>74</v>
      </c>
      <c r="BP884" s="2" t="s">
        <v>74</v>
      </c>
      <c r="BQ884" s="2" t="s">
        <v>74</v>
      </c>
      <c r="BR884" s="2" t="s">
        <v>74</v>
      </c>
      <c r="BS884" s="2" t="s">
        <v>388</v>
      </c>
      <c r="BT884" s="2" t="str">
        <f>HYPERLINK("https%3A%2F%2Fwww.webofscience.com%2Fwos%2Fwoscc%2Ffull-record%2FWOS:000268902900021","View Full Record in Web of Science")</f>
        <v>View Full Record in Web of Science</v>
      </c>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row>
    <row r="885" spans="1:314" s="2" customFormat="1" x14ac:dyDescent="0.4">
      <c r="A885" s="2" t="s">
        <v>72</v>
      </c>
      <c r="B885" s="2" t="s">
        <v>382</v>
      </c>
      <c r="C885" s="2" t="s">
        <v>74</v>
      </c>
      <c r="D885" s="2" t="s">
        <v>74</v>
      </c>
      <c r="E885" s="2" t="s">
        <v>74</v>
      </c>
      <c r="F885" s="2" t="s">
        <v>383</v>
      </c>
      <c r="G885" s="2" t="s">
        <v>74</v>
      </c>
      <c r="H885" s="2" t="s">
        <v>74</v>
      </c>
      <c r="I885" s="2" t="s">
        <v>2748</v>
      </c>
      <c r="J885" s="2" t="s">
        <v>171</v>
      </c>
      <c r="K885" s="2" t="s">
        <v>74</v>
      </c>
      <c r="L885" s="2" t="s">
        <v>74</v>
      </c>
      <c r="M885" s="2" t="s">
        <v>74</v>
      </c>
      <c r="N885" s="2" t="s">
        <v>74</v>
      </c>
      <c r="O885" s="2" t="s">
        <v>74</v>
      </c>
      <c r="P885" s="2" t="s">
        <v>74</v>
      </c>
      <c r="Q885" s="2" t="s">
        <v>74</v>
      </c>
      <c r="R885" s="2" t="s">
        <v>74</v>
      </c>
      <c r="S885" s="2" t="s">
        <v>74</v>
      </c>
      <c r="T885" s="2" t="s">
        <v>74</v>
      </c>
      <c r="U885" s="2" t="s">
        <v>74</v>
      </c>
      <c r="V885" s="5" t="s">
        <v>2749</v>
      </c>
      <c r="W885" s="2" t="s">
        <v>74</v>
      </c>
      <c r="X885" s="2" t="s">
        <v>74</v>
      </c>
      <c r="Y885" s="2" t="s">
        <v>74</v>
      </c>
      <c r="Z885" s="2" t="s">
        <v>74</v>
      </c>
      <c r="AA885" s="2" t="s">
        <v>386</v>
      </c>
      <c r="AB885" s="2" t="s">
        <v>74</v>
      </c>
      <c r="AC885" s="2" t="s">
        <v>74</v>
      </c>
      <c r="AD885" s="2" t="s">
        <v>74</v>
      </c>
      <c r="AE885" s="2" t="s">
        <v>74</v>
      </c>
      <c r="AF885" s="2" t="s">
        <v>74</v>
      </c>
      <c r="AG885" s="2" t="s">
        <v>74</v>
      </c>
      <c r="AH885" s="2" t="s">
        <v>74</v>
      </c>
      <c r="AI885" s="2" t="s">
        <v>74</v>
      </c>
      <c r="AJ885" s="2" t="s">
        <v>74</v>
      </c>
      <c r="AK885" s="2" t="s">
        <v>74</v>
      </c>
      <c r="AL885" s="2" t="s">
        <v>74</v>
      </c>
      <c r="AM885" s="2" t="s">
        <v>74</v>
      </c>
      <c r="AN885" s="2" t="s">
        <v>74</v>
      </c>
      <c r="AO885" s="2" t="s">
        <v>173</v>
      </c>
      <c r="AP885" s="2" t="s">
        <v>174</v>
      </c>
      <c r="AQ885" s="2" t="s">
        <v>74</v>
      </c>
      <c r="AR885" s="2" t="s">
        <v>74</v>
      </c>
      <c r="AS885" s="2" t="s">
        <v>74</v>
      </c>
      <c r="AT885" s="2" t="s">
        <v>134</v>
      </c>
      <c r="AU885" s="2">
        <v>2010</v>
      </c>
      <c r="AV885" s="2">
        <v>64</v>
      </c>
      <c r="AW885" s="2">
        <v>5</v>
      </c>
      <c r="AX885" s="2" t="s">
        <v>74</v>
      </c>
      <c r="AY885" s="2" t="s">
        <v>74</v>
      </c>
      <c r="AZ885" s="2" t="s">
        <v>74</v>
      </c>
      <c r="BA885" s="2" t="s">
        <v>74</v>
      </c>
      <c r="BB885" s="2">
        <v>1301</v>
      </c>
      <c r="BC885" s="2">
        <v>1310</v>
      </c>
      <c r="BD885" s="2" t="s">
        <v>74</v>
      </c>
      <c r="BE885" s="2" t="s">
        <v>2750</v>
      </c>
      <c r="BF885" s="2" t="str">
        <f>HYPERLINK("http://dx.doi.org/10.1111/j.1558-5646.2009.00897.x","http://dx.doi.org/10.1111/j.1558-5646.2009.00897.x")</f>
        <v>http://dx.doi.org/10.1111/j.1558-5646.2009.00897.x</v>
      </c>
      <c r="BG885" s="2" t="s">
        <v>74</v>
      </c>
      <c r="BH885" s="2" t="s">
        <v>74</v>
      </c>
      <c r="BI885" s="2" t="s">
        <v>74</v>
      </c>
      <c r="BJ885" s="2" t="s">
        <v>74</v>
      </c>
      <c r="BK885" s="2" t="s">
        <v>74</v>
      </c>
      <c r="BL885" s="2" t="s">
        <v>74</v>
      </c>
      <c r="BM885" s="2" t="s">
        <v>74</v>
      </c>
      <c r="BN885" s="2">
        <v>19922444</v>
      </c>
      <c r="BO885" s="2" t="s">
        <v>74</v>
      </c>
      <c r="BP885" s="2" t="s">
        <v>74</v>
      </c>
      <c r="BQ885" s="2" t="s">
        <v>74</v>
      </c>
      <c r="BR885" s="2" t="s">
        <v>74</v>
      </c>
      <c r="BS885" s="2" t="s">
        <v>2751</v>
      </c>
      <c r="BT885" s="2" t="str">
        <f>HYPERLINK("https%3A%2F%2Fwww.webofscience.com%2Fwos%2Fwoscc%2Ffull-record%2FWOS:000277096400011","View Full Record in Web of Science")</f>
        <v>View Full Record in Web of Science</v>
      </c>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row>
    <row r="886" spans="1:314" s="2" customFormat="1" x14ac:dyDescent="0.4">
      <c r="A886" s="2" t="s">
        <v>72</v>
      </c>
      <c r="B886" s="2" t="s">
        <v>6925</v>
      </c>
      <c r="C886" s="2" t="s">
        <v>74</v>
      </c>
      <c r="D886" s="2" t="s">
        <v>74</v>
      </c>
      <c r="E886" s="2" t="s">
        <v>74</v>
      </c>
      <c r="F886" s="2" t="s">
        <v>6926</v>
      </c>
      <c r="G886" s="2" t="s">
        <v>74</v>
      </c>
      <c r="H886" s="2" t="s">
        <v>74</v>
      </c>
      <c r="I886" s="2" t="s">
        <v>6927</v>
      </c>
      <c r="J886" s="2" t="s">
        <v>140</v>
      </c>
      <c r="K886" s="2" t="s">
        <v>74</v>
      </c>
      <c r="L886" s="2" t="s">
        <v>74</v>
      </c>
      <c r="M886" s="2" t="s">
        <v>74</v>
      </c>
      <c r="N886" s="2" t="s">
        <v>74</v>
      </c>
      <c r="O886" s="2" t="s">
        <v>74</v>
      </c>
      <c r="P886" s="2" t="s">
        <v>74</v>
      </c>
      <c r="Q886" s="2" t="s">
        <v>74</v>
      </c>
      <c r="R886" s="2" t="s">
        <v>74</v>
      </c>
      <c r="S886" s="2" t="s">
        <v>74</v>
      </c>
      <c r="T886" s="2" t="s">
        <v>74</v>
      </c>
      <c r="U886" s="2" t="s">
        <v>74</v>
      </c>
      <c r="V886" s="5" t="s">
        <v>6928</v>
      </c>
      <c r="W886" s="2" t="s">
        <v>74</v>
      </c>
      <c r="X886" s="2" t="s">
        <v>74</v>
      </c>
      <c r="Y886" s="2" t="s">
        <v>74</v>
      </c>
      <c r="Z886" s="2" t="s">
        <v>74</v>
      </c>
      <c r="AA886" s="2" t="s">
        <v>74</v>
      </c>
      <c r="AB886" s="2" t="s">
        <v>6929</v>
      </c>
      <c r="AC886" s="2" t="s">
        <v>74</v>
      </c>
      <c r="AD886" s="2" t="s">
        <v>74</v>
      </c>
      <c r="AE886" s="2" t="s">
        <v>74</v>
      </c>
      <c r="AF886" s="2" t="s">
        <v>74</v>
      </c>
      <c r="AG886" s="2" t="s">
        <v>74</v>
      </c>
      <c r="AH886" s="2" t="s">
        <v>74</v>
      </c>
      <c r="AI886" s="2" t="s">
        <v>74</v>
      </c>
      <c r="AJ886" s="2" t="s">
        <v>74</v>
      </c>
      <c r="AK886" s="2" t="s">
        <v>74</v>
      </c>
      <c r="AL886" s="2" t="s">
        <v>74</v>
      </c>
      <c r="AM886" s="2" t="s">
        <v>74</v>
      </c>
      <c r="AN886" s="2" t="s">
        <v>74</v>
      </c>
      <c r="AO886" s="2" t="s">
        <v>143</v>
      </c>
      <c r="AP886" s="2" t="s">
        <v>144</v>
      </c>
      <c r="AQ886" s="2" t="s">
        <v>74</v>
      </c>
      <c r="AR886" s="2" t="s">
        <v>74</v>
      </c>
      <c r="AS886" s="2" t="s">
        <v>74</v>
      </c>
      <c r="AT886" s="2" t="s">
        <v>633</v>
      </c>
      <c r="AU886" s="2">
        <v>2020</v>
      </c>
      <c r="AV886" s="2">
        <v>162</v>
      </c>
      <c r="AW886" s="2" t="s">
        <v>74</v>
      </c>
      <c r="AX886" s="2" t="s">
        <v>74</v>
      </c>
      <c r="AY886" s="2" t="s">
        <v>74</v>
      </c>
      <c r="AZ886" s="2" t="s">
        <v>74</v>
      </c>
      <c r="BA886" s="2" t="s">
        <v>74</v>
      </c>
      <c r="BB886" s="2">
        <v>123</v>
      </c>
      <c r="BC886" s="2">
        <v>133</v>
      </c>
      <c r="BD886" s="2" t="s">
        <v>74</v>
      </c>
      <c r="BE886" s="2" t="s">
        <v>6930</v>
      </c>
      <c r="BF886" s="2" t="str">
        <f>HYPERLINK("http://dx.doi.org/10.1016/j.anbehav.2020.02.008","http://dx.doi.org/10.1016/j.anbehav.2020.02.008")</f>
        <v>http://dx.doi.org/10.1016/j.anbehav.2020.02.008</v>
      </c>
      <c r="BG886" s="2" t="s">
        <v>74</v>
      </c>
      <c r="BH886" s="2" t="s">
        <v>74</v>
      </c>
      <c r="BI886" s="2" t="s">
        <v>74</v>
      </c>
      <c r="BJ886" s="2" t="s">
        <v>74</v>
      </c>
      <c r="BK886" s="2" t="s">
        <v>74</v>
      </c>
      <c r="BL886" s="2" t="s">
        <v>74</v>
      </c>
      <c r="BM886" s="2" t="s">
        <v>74</v>
      </c>
      <c r="BN886" s="2" t="s">
        <v>74</v>
      </c>
      <c r="BO886" s="2" t="s">
        <v>74</v>
      </c>
      <c r="BP886" s="2" t="s">
        <v>74</v>
      </c>
      <c r="BQ886" s="2" t="s">
        <v>74</v>
      </c>
      <c r="BR886" s="2" t="s">
        <v>74</v>
      </c>
      <c r="BS886" s="2" t="s">
        <v>6931</v>
      </c>
      <c r="BT886" s="2" t="str">
        <f>HYPERLINK("https%3A%2F%2Fwww.webofscience.com%2Fwos%2Fwoscc%2Ffull-record%2FWOS:000522974300013","View Full Record in Web of Science")</f>
        <v>View Full Record in Web of Science</v>
      </c>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row>
    <row r="887" spans="1:314" s="2" customFormat="1" x14ac:dyDescent="0.4">
      <c r="A887" s="2" t="s">
        <v>72</v>
      </c>
      <c r="B887" s="2" t="s">
        <v>3938</v>
      </c>
      <c r="C887" s="2" t="s">
        <v>74</v>
      </c>
      <c r="D887" s="2" t="s">
        <v>74</v>
      </c>
      <c r="E887" s="2" t="s">
        <v>74</v>
      </c>
      <c r="F887" s="2" t="s">
        <v>3939</v>
      </c>
      <c r="G887" s="2" t="s">
        <v>74</v>
      </c>
      <c r="H887" s="2" t="s">
        <v>74</v>
      </c>
      <c r="I887" s="2" t="s">
        <v>3940</v>
      </c>
      <c r="J887" s="2" t="s">
        <v>1526</v>
      </c>
      <c r="K887" s="2" t="s">
        <v>74</v>
      </c>
      <c r="L887" s="2" t="s">
        <v>74</v>
      </c>
      <c r="M887" s="2" t="s">
        <v>74</v>
      </c>
      <c r="N887" s="2" t="s">
        <v>74</v>
      </c>
      <c r="O887" s="2" t="s">
        <v>74</v>
      </c>
      <c r="P887" s="2" t="s">
        <v>74</v>
      </c>
      <c r="Q887" s="2" t="s">
        <v>74</v>
      </c>
      <c r="R887" s="2" t="s">
        <v>74</v>
      </c>
      <c r="S887" s="2" t="s">
        <v>74</v>
      </c>
      <c r="T887" s="2" t="s">
        <v>74</v>
      </c>
      <c r="U887" s="2" t="s">
        <v>74</v>
      </c>
      <c r="V887" s="5" t="s">
        <v>3941</v>
      </c>
      <c r="W887" s="2" t="s">
        <v>74</v>
      </c>
      <c r="X887" s="2" t="s">
        <v>74</v>
      </c>
      <c r="Y887" s="2" t="s">
        <v>74</v>
      </c>
      <c r="Z887" s="2" t="s">
        <v>74</v>
      </c>
      <c r="AA887" s="2" t="s">
        <v>3942</v>
      </c>
      <c r="AB887" s="2" t="s">
        <v>3943</v>
      </c>
      <c r="AC887" s="2" t="s">
        <v>74</v>
      </c>
      <c r="AD887" s="2" t="s">
        <v>74</v>
      </c>
      <c r="AE887" s="2" t="s">
        <v>74</v>
      </c>
      <c r="AF887" s="2" t="s">
        <v>74</v>
      </c>
      <c r="AG887" s="2" t="s">
        <v>74</v>
      </c>
      <c r="AH887" s="2" t="s">
        <v>74</v>
      </c>
      <c r="AI887" s="2" t="s">
        <v>74</v>
      </c>
      <c r="AJ887" s="2" t="s">
        <v>74</v>
      </c>
      <c r="AK887" s="2" t="s">
        <v>74</v>
      </c>
      <c r="AL887" s="2" t="s">
        <v>74</v>
      </c>
      <c r="AM887" s="2" t="s">
        <v>74</v>
      </c>
      <c r="AN887" s="2" t="s">
        <v>74</v>
      </c>
      <c r="AO887" s="2" t="s">
        <v>1528</v>
      </c>
      <c r="AP887" s="2" t="s">
        <v>2131</v>
      </c>
      <c r="AQ887" s="2" t="s">
        <v>74</v>
      </c>
      <c r="AR887" s="2" t="s">
        <v>74</v>
      </c>
      <c r="AS887" s="2" t="s">
        <v>74</v>
      </c>
      <c r="AT887" s="2" t="s">
        <v>213</v>
      </c>
      <c r="AU887" s="2">
        <v>2013</v>
      </c>
      <c r="AV887" s="2">
        <v>115</v>
      </c>
      <c r="AW887" s="2">
        <v>4</v>
      </c>
      <c r="AX887" s="2" t="s">
        <v>74</v>
      </c>
      <c r="AY887" s="2" t="s">
        <v>74</v>
      </c>
      <c r="AZ887" s="2" t="s">
        <v>74</v>
      </c>
      <c r="BA887" s="2" t="s">
        <v>74</v>
      </c>
      <c r="BB887" s="2">
        <v>902</v>
      </c>
      <c r="BC887" s="2">
        <v>909</v>
      </c>
      <c r="BD887" s="2" t="s">
        <v>74</v>
      </c>
      <c r="BE887" s="2" t="s">
        <v>3944</v>
      </c>
      <c r="BF887" s="2" t="str">
        <f>HYPERLINK("http://dx.doi.org/10.1525/cond.2013.120009","http://dx.doi.org/10.1525/cond.2013.120009")</f>
        <v>http://dx.doi.org/10.1525/cond.2013.120009</v>
      </c>
      <c r="BG887" s="2" t="s">
        <v>74</v>
      </c>
      <c r="BH887" s="2" t="s">
        <v>74</v>
      </c>
      <c r="BI887" s="2" t="s">
        <v>74</v>
      </c>
      <c r="BJ887" s="2" t="s">
        <v>74</v>
      </c>
      <c r="BK887" s="2" t="s">
        <v>74</v>
      </c>
      <c r="BL887" s="2" t="s">
        <v>74</v>
      </c>
      <c r="BM887" s="2" t="s">
        <v>74</v>
      </c>
      <c r="BN887" s="2" t="s">
        <v>74</v>
      </c>
      <c r="BO887" s="2" t="s">
        <v>74</v>
      </c>
      <c r="BP887" s="2" t="s">
        <v>74</v>
      </c>
      <c r="BQ887" s="2" t="s">
        <v>74</v>
      </c>
      <c r="BR887" s="2" t="s">
        <v>74</v>
      </c>
      <c r="BS887" s="2" t="s">
        <v>3945</v>
      </c>
      <c r="BT887" s="2" t="str">
        <f>HYPERLINK("https%3A%2F%2Fwww.webofscience.com%2Fwos%2Fwoscc%2Ffull-record%2FWOS:000328295800022","View Full Record in Web of Science")</f>
        <v>View Full Record in Web of Science</v>
      </c>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row>
    <row r="888" spans="1:314" s="2" customFormat="1" x14ac:dyDescent="0.4">
      <c r="A888" s="2" t="s">
        <v>72</v>
      </c>
      <c r="B888" s="2" t="s">
        <v>271</v>
      </c>
      <c r="C888" s="2" t="s">
        <v>74</v>
      </c>
      <c r="D888" s="2" t="s">
        <v>74</v>
      </c>
      <c r="E888" s="2" t="s">
        <v>74</v>
      </c>
      <c r="F888" s="2" t="s">
        <v>2636</v>
      </c>
      <c r="G888" s="2" t="s">
        <v>74</v>
      </c>
      <c r="H888" s="2" t="s">
        <v>74</v>
      </c>
      <c r="I888" s="2" t="s">
        <v>2637</v>
      </c>
      <c r="J888" s="2" t="s">
        <v>610</v>
      </c>
      <c r="K888" s="2" t="s">
        <v>74</v>
      </c>
      <c r="L888" s="2" t="s">
        <v>74</v>
      </c>
      <c r="M888" s="2" t="s">
        <v>74</v>
      </c>
      <c r="N888" s="2" t="s">
        <v>74</v>
      </c>
      <c r="O888" s="2" t="s">
        <v>74</v>
      </c>
      <c r="P888" s="2" t="s">
        <v>74</v>
      </c>
      <c r="Q888" s="2" t="s">
        <v>74</v>
      </c>
      <c r="R888" s="2" t="s">
        <v>74</v>
      </c>
      <c r="S888" s="2" t="s">
        <v>74</v>
      </c>
      <c r="T888" s="2" t="s">
        <v>74</v>
      </c>
      <c r="U888" s="2" t="s">
        <v>74</v>
      </c>
      <c r="V888" s="5" t="s">
        <v>2638</v>
      </c>
      <c r="W888" s="2" t="s">
        <v>74</v>
      </c>
      <c r="X888" s="2" t="s">
        <v>74</v>
      </c>
      <c r="Y888" s="2" t="s">
        <v>74</v>
      </c>
      <c r="Z888" s="2" t="s">
        <v>74</v>
      </c>
      <c r="AA888" s="2" t="s">
        <v>74</v>
      </c>
      <c r="AB888" s="2" t="s">
        <v>274</v>
      </c>
      <c r="AC888" s="2" t="s">
        <v>74</v>
      </c>
      <c r="AD888" s="2" t="s">
        <v>74</v>
      </c>
      <c r="AE888" s="2" t="s">
        <v>74</v>
      </c>
      <c r="AF888" s="2" t="s">
        <v>74</v>
      </c>
      <c r="AG888" s="2" t="s">
        <v>74</v>
      </c>
      <c r="AH888" s="2" t="s">
        <v>74</v>
      </c>
      <c r="AI888" s="2" t="s">
        <v>74</v>
      </c>
      <c r="AJ888" s="2" t="s">
        <v>74</v>
      </c>
      <c r="AK888" s="2" t="s">
        <v>74</v>
      </c>
      <c r="AL888" s="2" t="s">
        <v>74</v>
      </c>
      <c r="AM888" s="2" t="s">
        <v>74</v>
      </c>
      <c r="AN888" s="2" t="s">
        <v>74</v>
      </c>
      <c r="AO888" s="2" t="s">
        <v>614</v>
      </c>
      <c r="AP888" s="2" t="s">
        <v>615</v>
      </c>
      <c r="AQ888" s="2" t="s">
        <v>74</v>
      </c>
      <c r="AR888" s="2" t="s">
        <v>74</v>
      </c>
      <c r="AS888" s="2" t="s">
        <v>74</v>
      </c>
      <c r="AT888" s="2" t="s">
        <v>102</v>
      </c>
      <c r="AU888" s="2">
        <v>2010</v>
      </c>
      <c r="AV888" s="2">
        <v>116</v>
      </c>
      <c r="AW888" s="2">
        <v>6</v>
      </c>
      <c r="AX888" s="2" t="s">
        <v>74</v>
      </c>
      <c r="AY888" s="2" t="s">
        <v>74</v>
      </c>
      <c r="AZ888" s="2" t="s">
        <v>74</v>
      </c>
      <c r="BA888" s="2" t="s">
        <v>74</v>
      </c>
      <c r="BB888" s="2">
        <v>509</v>
      </c>
      <c r="BC888" s="2">
        <v>516</v>
      </c>
      <c r="BD888" s="2" t="s">
        <v>74</v>
      </c>
      <c r="BE888" s="2" t="s">
        <v>2639</v>
      </c>
      <c r="BF888" s="2" t="str">
        <f>HYPERLINK("http://dx.doi.org/10.1111/j.1439-0310.2010.01765.x","http://dx.doi.org/10.1111/j.1439-0310.2010.01765.x")</f>
        <v>http://dx.doi.org/10.1111/j.1439-0310.2010.01765.x</v>
      </c>
      <c r="BG888" s="2" t="s">
        <v>74</v>
      </c>
      <c r="BH888" s="2" t="s">
        <v>74</v>
      </c>
      <c r="BI888" s="2" t="s">
        <v>74</v>
      </c>
      <c r="BJ888" s="2" t="s">
        <v>74</v>
      </c>
      <c r="BK888" s="2" t="s">
        <v>74</v>
      </c>
      <c r="BL888" s="2" t="s">
        <v>74</v>
      </c>
      <c r="BM888" s="2" t="s">
        <v>74</v>
      </c>
      <c r="BN888" s="2" t="s">
        <v>74</v>
      </c>
      <c r="BO888" s="2" t="s">
        <v>74</v>
      </c>
      <c r="BP888" s="2" t="s">
        <v>74</v>
      </c>
      <c r="BQ888" s="2" t="s">
        <v>74</v>
      </c>
      <c r="BR888" s="2" t="s">
        <v>74</v>
      </c>
      <c r="BS888" s="2" t="s">
        <v>2640</v>
      </c>
      <c r="BT888" s="2" t="str">
        <f>HYPERLINK("https%3A%2F%2Fwww.webofscience.com%2Fwos%2Fwoscc%2Ffull-record%2FWOS:000277405700004","View Full Record in Web of Science")</f>
        <v>View Full Record in Web of Science</v>
      </c>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row>
    <row r="889" spans="1:314" s="2" customFormat="1" x14ac:dyDescent="0.4">
      <c r="A889" s="2" t="s">
        <v>72</v>
      </c>
      <c r="B889" s="2" t="s">
        <v>271</v>
      </c>
      <c r="C889" s="2" t="s">
        <v>74</v>
      </c>
      <c r="D889" s="2" t="s">
        <v>74</v>
      </c>
      <c r="E889" s="2" t="s">
        <v>74</v>
      </c>
      <c r="F889" s="2" t="s">
        <v>271</v>
      </c>
      <c r="G889" s="2" t="s">
        <v>74</v>
      </c>
      <c r="H889" s="2" t="s">
        <v>74</v>
      </c>
      <c r="I889" s="2" t="s">
        <v>272</v>
      </c>
      <c r="J889" s="2" t="s">
        <v>108</v>
      </c>
      <c r="K889" s="2" t="s">
        <v>74</v>
      </c>
      <c r="L889" s="2" t="s">
        <v>74</v>
      </c>
      <c r="M889" s="2" t="s">
        <v>74</v>
      </c>
      <c r="N889" s="2" t="s">
        <v>74</v>
      </c>
      <c r="O889" s="2" t="s">
        <v>74</v>
      </c>
      <c r="P889" s="2" t="s">
        <v>74</v>
      </c>
      <c r="Q889" s="2" t="s">
        <v>74</v>
      </c>
      <c r="R889" s="2" t="s">
        <v>74</v>
      </c>
      <c r="S889" s="2" t="s">
        <v>74</v>
      </c>
      <c r="T889" s="2" t="s">
        <v>74</v>
      </c>
      <c r="U889" s="2" t="s">
        <v>74</v>
      </c>
      <c r="V889" s="5" t="s">
        <v>273</v>
      </c>
      <c r="W889" s="2" t="s">
        <v>74</v>
      </c>
      <c r="X889" s="2" t="s">
        <v>74</v>
      </c>
      <c r="Y889" s="2" t="s">
        <v>74</v>
      </c>
      <c r="Z889" s="2" t="s">
        <v>74</v>
      </c>
      <c r="AA889" s="2" t="s">
        <v>74</v>
      </c>
      <c r="AB889" s="2" t="s">
        <v>274</v>
      </c>
      <c r="AC889" s="2" t="s">
        <v>74</v>
      </c>
      <c r="AD889" s="2" t="s">
        <v>74</v>
      </c>
      <c r="AE889" s="2" t="s">
        <v>74</v>
      </c>
      <c r="AF889" s="2" t="s">
        <v>74</v>
      </c>
      <c r="AG889" s="2" t="s">
        <v>74</v>
      </c>
      <c r="AH889" s="2" t="s">
        <v>74</v>
      </c>
      <c r="AI889" s="2" t="s">
        <v>74</v>
      </c>
      <c r="AJ889" s="2" t="s">
        <v>74</v>
      </c>
      <c r="AK889" s="2" t="s">
        <v>74</v>
      </c>
      <c r="AL889" s="2" t="s">
        <v>74</v>
      </c>
      <c r="AM889" s="2" t="s">
        <v>74</v>
      </c>
      <c r="AN889" s="2" t="s">
        <v>74</v>
      </c>
      <c r="AO889" s="2" t="s">
        <v>111</v>
      </c>
      <c r="AP889" s="2" t="s">
        <v>112</v>
      </c>
      <c r="AQ889" s="2" t="s">
        <v>74</v>
      </c>
      <c r="AR889" s="2" t="s">
        <v>74</v>
      </c>
      <c r="AS889" s="2" t="s">
        <v>74</v>
      </c>
      <c r="AT889" s="2" t="s">
        <v>275</v>
      </c>
      <c r="AU889" s="2">
        <v>2000</v>
      </c>
      <c r="AV889" s="2">
        <v>267</v>
      </c>
      <c r="AW889" s="2">
        <v>1445</v>
      </c>
      <c r="AX889" s="2" t="s">
        <v>74</v>
      </c>
      <c r="AY889" s="2" t="s">
        <v>74</v>
      </c>
      <c r="AZ889" s="2" t="s">
        <v>74</v>
      </c>
      <c r="BA889" s="2" t="s">
        <v>74</v>
      </c>
      <c r="BB889" s="2">
        <v>755</v>
      </c>
      <c r="BC889" s="2">
        <v>758</v>
      </c>
      <c r="BD889" s="2" t="s">
        <v>74</v>
      </c>
      <c r="BE889" s="2" t="s">
        <v>276</v>
      </c>
      <c r="BF889" s="2" t="str">
        <f>HYPERLINK("http://dx.doi.org/10.1098/rspb.2000.1067","http://dx.doi.org/10.1098/rspb.2000.1067")</f>
        <v>http://dx.doi.org/10.1098/rspb.2000.1067</v>
      </c>
      <c r="BG889" s="2" t="s">
        <v>74</v>
      </c>
      <c r="BH889" s="2" t="s">
        <v>74</v>
      </c>
      <c r="BI889" s="2" t="s">
        <v>74</v>
      </c>
      <c r="BJ889" s="2" t="s">
        <v>74</v>
      </c>
      <c r="BK889" s="2" t="s">
        <v>74</v>
      </c>
      <c r="BL889" s="2" t="s">
        <v>74</v>
      </c>
      <c r="BM889" s="2" t="s">
        <v>74</v>
      </c>
      <c r="BN889" s="2">
        <v>10819143</v>
      </c>
      <c r="BO889" s="2" t="s">
        <v>74</v>
      </c>
      <c r="BP889" s="2" t="s">
        <v>74</v>
      </c>
      <c r="BQ889" s="2" t="s">
        <v>74</v>
      </c>
      <c r="BR889" s="2" t="s">
        <v>74</v>
      </c>
      <c r="BS889" s="2" t="s">
        <v>277</v>
      </c>
      <c r="BT889" s="2" t="str">
        <f>HYPERLINK("https%3A%2F%2Fwww.webofscience.com%2Fwos%2Fwoscc%2Ffull-record%2FWOS:000086850600003","View Full Record in Web of Science")</f>
        <v>View Full Record in Web of Science</v>
      </c>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row>
    <row r="890" spans="1:314" s="2" customFormat="1" x14ac:dyDescent="0.4">
      <c r="A890" s="2" t="s">
        <v>72</v>
      </c>
      <c r="B890" s="2" t="s">
        <v>271</v>
      </c>
      <c r="C890" s="2" t="s">
        <v>74</v>
      </c>
      <c r="D890" s="2" t="s">
        <v>74</v>
      </c>
      <c r="E890" s="2" t="s">
        <v>74</v>
      </c>
      <c r="F890" s="2" t="s">
        <v>271</v>
      </c>
      <c r="G890" s="2" t="s">
        <v>74</v>
      </c>
      <c r="H890" s="2" t="s">
        <v>74</v>
      </c>
      <c r="I890" s="2" t="s">
        <v>1811</v>
      </c>
      <c r="J890" s="2" t="s">
        <v>1812</v>
      </c>
      <c r="K890" s="2" t="s">
        <v>74</v>
      </c>
      <c r="L890" s="2" t="s">
        <v>74</v>
      </c>
      <c r="M890" s="2" t="s">
        <v>74</v>
      </c>
      <c r="N890" s="2" t="s">
        <v>74</v>
      </c>
      <c r="O890" s="2" t="s">
        <v>74</v>
      </c>
      <c r="P890" s="2" t="s">
        <v>74</v>
      </c>
      <c r="Q890" s="2" t="s">
        <v>74</v>
      </c>
      <c r="R890" s="2" t="s">
        <v>74</v>
      </c>
      <c r="S890" s="2" t="s">
        <v>74</v>
      </c>
      <c r="T890" s="2" t="s">
        <v>74</v>
      </c>
      <c r="U890" s="2" t="s">
        <v>74</v>
      </c>
      <c r="V890" s="5" t="s">
        <v>1813</v>
      </c>
      <c r="W890" s="2" t="s">
        <v>74</v>
      </c>
      <c r="X890" s="2" t="s">
        <v>74</v>
      </c>
      <c r="Y890" s="2" t="s">
        <v>74</v>
      </c>
      <c r="Z890" s="2" t="s">
        <v>74</v>
      </c>
      <c r="AA890" s="2" t="s">
        <v>74</v>
      </c>
      <c r="AB890" s="2" t="s">
        <v>274</v>
      </c>
      <c r="AC890" s="2" t="s">
        <v>74</v>
      </c>
      <c r="AD890" s="2" t="s">
        <v>74</v>
      </c>
      <c r="AE890" s="2" t="s">
        <v>74</v>
      </c>
      <c r="AF890" s="2" t="s">
        <v>74</v>
      </c>
      <c r="AG890" s="2" t="s">
        <v>74</v>
      </c>
      <c r="AH890" s="2" t="s">
        <v>74</v>
      </c>
      <c r="AI890" s="2" t="s">
        <v>74</v>
      </c>
      <c r="AJ890" s="2" t="s">
        <v>74</v>
      </c>
      <c r="AK890" s="2" t="s">
        <v>74</v>
      </c>
      <c r="AL890" s="2" t="s">
        <v>74</v>
      </c>
      <c r="AM890" s="2" t="s">
        <v>74</v>
      </c>
      <c r="AN890" s="2" t="s">
        <v>74</v>
      </c>
      <c r="AO890" s="2" t="s">
        <v>1814</v>
      </c>
      <c r="AP890" s="2" t="s">
        <v>1815</v>
      </c>
      <c r="AQ890" s="2" t="s">
        <v>74</v>
      </c>
      <c r="AR890" s="2" t="s">
        <v>74</v>
      </c>
      <c r="AS890" s="2" t="s">
        <v>74</v>
      </c>
      <c r="AT890" s="2" t="s">
        <v>352</v>
      </c>
      <c r="AU890" s="2">
        <v>2005</v>
      </c>
      <c r="AV890" s="2">
        <v>39</v>
      </c>
      <c r="AW890" s="2">
        <v>3</v>
      </c>
      <c r="AX890" s="2" t="s">
        <v>74</v>
      </c>
      <c r="AY890" s="2" t="s">
        <v>74</v>
      </c>
      <c r="AZ890" s="2" t="s">
        <v>74</v>
      </c>
      <c r="BA890" s="2" t="s">
        <v>74</v>
      </c>
      <c r="BB890" s="2">
        <v>496</v>
      </c>
      <c r="BC890" s="2">
        <v>499</v>
      </c>
      <c r="BD890" s="2" t="s">
        <v>74</v>
      </c>
      <c r="BE890" s="2" t="s">
        <v>1816</v>
      </c>
      <c r="BF890" s="2" t="str">
        <f>HYPERLINK("http://dx.doi.org/10.1670/207-04N.1","http://dx.doi.org/10.1670/207-04N.1")</f>
        <v>http://dx.doi.org/10.1670/207-04N.1</v>
      </c>
      <c r="BG890" s="2" t="s">
        <v>74</v>
      </c>
      <c r="BH890" s="2" t="s">
        <v>74</v>
      </c>
      <c r="BI890" s="2" t="s">
        <v>74</v>
      </c>
      <c r="BJ890" s="2" t="s">
        <v>74</v>
      </c>
      <c r="BK890" s="2" t="s">
        <v>74</v>
      </c>
      <c r="BL890" s="2" t="s">
        <v>74</v>
      </c>
      <c r="BM890" s="2" t="s">
        <v>74</v>
      </c>
      <c r="BN890" s="2" t="s">
        <v>74</v>
      </c>
      <c r="BO890" s="2" t="s">
        <v>74</v>
      </c>
      <c r="BP890" s="2" t="s">
        <v>74</v>
      </c>
      <c r="BQ890" s="2" t="s">
        <v>74</v>
      </c>
      <c r="BR890" s="2" t="s">
        <v>74</v>
      </c>
      <c r="BS890" s="2" t="s">
        <v>1817</v>
      </c>
      <c r="BT890" s="2" t="str">
        <f>HYPERLINK("https%3A%2F%2Fwww.webofscience.com%2Fwos%2Fwoscc%2Ffull-record%2FWOS:000232114800022","View Full Record in Web of Science")</f>
        <v>View Full Record in Web of Science</v>
      </c>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row>
    <row r="891" spans="1:314" s="2" customFormat="1" x14ac:dyDescent="0.4">
      <c r="A891" s="2" t="s">
        <v>72</v>
      </c>
      <c r="B891" s="2" t="s">
        <v>6380</v>
      </c>
      <c r="C891" s="2" t="s">
        <v>74</v>
      </c>
      <c r="D891" s="2" t="s">
        <v>74</v>
      </c>
      <c r="E891" s="2" t="s">
        <v>74</v>
      </c>
      <c r="F891" s="2" t="s">
        <v>6381</v>
      </c>
      <c r="G891" s="2" t="s">
        <v>74</v>
      </c>
      <c r="H891" s="2" t="s">
        <v>74</v>
      </c>
      <c r="I891" s="2" t="s">
        <v>6382</v>
      </c>
      <c r="J891" s="2" t="s">
        <v>6240</v>
      </c>
      <c r="K891" s="2" t="s">
        <v>74</v>
      </c>
      <c r="L891" s="2" t="s">
        <v>74</v>
      </c>
      <c r="M891" s="2" t="s">
        <v>74</v>
      </c>
      <c r="N891" s="2" t="s">
        <v>74</v>
      </c>
      <c r="O891" s="2" t="s">
        <v>74</v>
      </c>
      <c r="P891" s="2" t="s">
        <v>74</v>
      </c>
      <c r="Q891" s="2" t="s">
        <v>74</v>
      </c>
      <c r="R891" s="2" t="s">
        <v>74</v>
      </c>
      <c r="S891" s="2" t="s">
        <v>74</v>
      </c>
      <c r="T891" s="2" t="s">
        <v>74</v>
      </c>
      <c r="U891" s="2" t="s">
        <v>74</v>
      </c>
      <c r="V891" s="5" t="s">
        <v>6383</v>
      </c>
      <c r="W891" s="2" t="s">
        <v>74</v>
      </c>
      <c r="X891" s="2" t="s">
        <v>74</v>
      </c>
      <c r="Y891" s="2" t="s">
        <v>74</v>
      </c>
      <c r="Z891" s="2" t="s">
        <v>74</v>
      </c>
      <c r="AA891" s="2" t="s">
        <v>6384</v>
      </c>
      <c r="AB891" s="2" t="s">
        <v>6385</v>
      </c>
      <c r="AC891" s="2" t="s">
        <v>74</v>
      </c>
      <c r="AD891" s="2" t="s">
        <v>74</v>
      </c>
      <c r="AE891" s="2" t="s">
        <v>74</v>
      </c>
      <c r="AF891" s="2" t="s">
        <v>74</v>
      </c>
      <c r="AG891" s="2" t="s">
        <v>74</v>
      </c>
      <c r="AH891" s="2" t="s">
        <v>74</v>
      </c>
      <c r="AI891" s="2" t="s">
        <v>74</v>
      </c>
      <c r="AJ891" s="2" t="s">
        <v>74</v>
      </c>
      <c r="AK891" s="2" t="s">
        <v>74</v>
      </c>
      <c r="AL891" s="2" t="s">
        <v>74</v>
      </c>
      <c r="AM891" s="2" t="s">
        <v>74</v>
      </c>
      <c r="AN891" s="2" t="s">
        <v>74</v>
      </c>
      <c r="AO891" s="2" t="s">
        <v>6242</v>
      </c>
      <c r="AP891" s="2" t="s">
        <v>6243</v>
      </c>
      <c r="AQ891" s="2" t="s">
        <v>74</v>
      </c>
      <c r="AR891" s="2" t="s">
        <v>74</v>
      </c>
      <c r="AS891" s="2" t="s">
        <v>74</v>
      </c>
      <c r="AT891" s="2" t="s">
        <v>175</v>
      </c>
      <c r="AU891" s="2">
        <v>2018</v>
      </c>
      <c r="AV891" s="2">
        <v>94</v>
      </c>
      <c r="AW891" s="2">
        <v>4</v>
      </c>
      <c r="AX891" s="2" t="s">
        <v>74</v>
      </c>
      <c r="AY891" s="2" t="s">
        <v>74</v>
      </c>
      <c r="AZ891" s="2" t="s">
        <v>74</v>
      </c>
      <c r="BA891" s="2" t="s">
        <v>74</v>
      </c>
      <c r="BB891" s="2">
        <v>1313</v>
      </c>
      <c r="BC891" s="2">
        <v>1332</v>
      </c>
      <c r="BD891" s="2" t="s">
        <v>74</v>
      </c>
      <c r="BE891" s="2" t="s">
        <v>6386</v>
      </c>
      <c r="BF891" s="2" t="str">
        <f>HYPERLINK("http://dx.doi.org/10.5343/bms.2017.1054","http://dx.doi.org/10.5343/bms.2017.1054")</f>
        <v>http://dx.doi.org/10.5343/bms.2017.1054</v>
      </c>
      <c r="BG891" s="2" t="s">
        <v>74</v>
      </c>
      <c r="BH891" s="2" t="s">
        <v>74</v>
      </c>
      <c r="BI891" s="2" t="s">
        <v>74</v>
      </c>
      <c r="BJ891" s="2" t="s">
        <v>74</v>
      </c>
      <c r="BK891" s="2" t="s">
        <v>74</v>
      </c>
      <c r="BL891" s="2" t="s">
        <v>74</v>
      </c>
      <c r="BM891" s="2" t="s">
        <v>74</v>
      </c>
      <c r="BN891" s="2" t="s">
        <v>74</v>
      </c>
      <c r="BO891" s="2" t="s">
        <v>74</v>
      </c>
      <c r="BP891" s="2" t="s">
        <v>74</v>
      </c>
      <c r="BQ891" s="2" t="s">
        <v>74</v>
      </c>
      <c r="BR891" s="2" t="s">
        <v>74</v>
      </c>
      <c r="BS891" s="2" t="s">
        <v>6387</v>
      </c>
      <c r="BT891" s="2" t="str">
        <f>HYPERLINK("https%3A%2F%2Fwww.webofscience.com%2Fwos%2Fwoscc%2Ffull-record%2FWOS:000456290000004","View Full Record in Web of Science")</f>
        <v>View Full Record in Web of Science</v>
      </c>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row>
    <row r="892" spans="1:314" s="2" customFormat="1" x14ac:dyDescent="0.4">
      <c r="A892" s="2" t="s">
        <v>72</v>
      </c>
      <c r="B892" s="2" t="s">
        <v>7989</v>
      </c>
      <c r="C892" s="2" t="s">
        <v>74</v>
      </c>
      <c r="D892" s="2" t="s">
        <v>74</v>
      </c>
      <c r="E892" s="2" t="s">
        <v>74</v>
      </c>
      <c r="F892" s="2" t="s">
        <v>7989</v>
      </c>
      <c r="G892" s="2" t="s">
        <v>74</v>
      </c>
      <c r="H892" s="2" t="s">
        <v>74</v>
      </c>
      <c r="I892" s="2" t="s">
        <v>7990</v>
      </c>
      <c r="J892" s="2" t="s">
        <v>6226</v>
      </c>
      <c r="K892" s="2" t="s">
        <v>74</v>
      </c>
      <c r="L892" s="2" t="s">
        <v>74</v>
      </c>
      <c r="M892" s="2" t="s">
        <v>74</v>
      </c>
      <c r="N892" s="2" t="s">
        <v>74</v>
      </c>
      <c r="O892" s="2" t="s">
        <v>74</v>
      </c>
      <c r="P892" s="2" t="s">
        <v>74</v>
      </c>
      <c r="Q892" s="2" t="s">
        <v>74</v>
      </c>
      <c r="R892" s="2" t="s">
        <v>74</v>
      </c>
      <c r="S892" s="2" t="s">
        <v>74</v>
      </c>
      <c r="T892" s="2" t="s">
        <v>74</v>
      </c>
      <c r="U892" s="2" t="s">
        <v>74</v>
      </c>
      <c r="V892" s="5" t="s">
        <v>7991</v>
      </c>
      <c r="W892" s="2" t="s">
        <v>74</v>
      </c>
      <c r="X892" s="2" t="s">
        <v>74</v>
      </c>
      <c r="Y892" s="2" t="s">
        <v>74</v>
      </c>
      <c r="Z892" s="2" t="s">
        <v>74</v>
      </c>
      <c r="AA892" s="2" t="s">
        <v>74</v>
      </c>
      <c r="AB892" s="2" t="s">
        <v>74</v>
      </c>
      <c r="AC892" s="2" t="s">
        <v>74</v>
      </c>
      <c r="AD892" s="2" t="s">
        <v>74</v>
      </c>
      <c r="AE892" s="2" t="s">
        <v>74</v>
      </c>
      <c r="AF892" s="2" t="s">
        <v>74</v>
      </c>
      <c r="AG892" s="2" t="s">
        <v>74</v>
      </c>
      <c r="AH892" s="2" t="s">
        <v>74</v>
      </c>
      <c r="AI892" s="2" t="s">
        <v>74</v>
      </c>
      <c r="AJ892" s="2" t="s">
        <v>74</v>
      </c>
      <c r="AK892" s="2" t="s">
        <v>74</v>
      </c>
      <c r="AL892" s="2" t="s">
        <v>74</v>
      </c>
      <c r="AM892" s="2" t="s">
        <v>74</v>
      </c>
      <c r="AN892" s="2" t="s">
        <v>74</v>
      </c>
      <c r="AO892" s="2" t="s">
        <v>6228</v>
      </c>
      <c r="AP892" s="2" t="s">
        <v>6229</v>
      </c>
      <c r="AQ892" s="2" t="s">
        <v>74</v>
      </c>
      <c r="AR892" s="2" t="s">
        <v>74</v>
      </c>
      <c r="AS892" s="2" t="s">
        <v>74</v>
      </c>
      <c r="AT892" s="2" t="s">
        <v>255</v>
      </c>
      <c r="AU892" s="2">
        <v>2004</v>
      </c>
      <c r="AV892" s="2">
        <v>43</v>
      </c>
      <c r="AW892" s="2">
        <v>1</v>
      </c>
      <c r="AX892" s="2" t="s">
        <v>74</v>
      </c>
      <c r="AY892" s="2" t="s">
        <v>74</v>
      </c>
      <c r="AZ892" s="2" t="s">
        <v>74</v>
      </c>
      <c r="BA892" s="2" t="s">
        <v>74</v>
      </c>
      <c r="BB892" s="2">
        <v>93</v>
      </c>
      <c r="BC892" s="2">
        <v>111</v>
      </c>
      <c r="BD892" s="2" t="s">
        <v>74</v>
      </c>
      <c r="BE892" s="2" t="s">
        <v>74</v>
      </c>
      <c r="BF892" s="2" t="s">
        <v>74</v>
      </c>
      <c r="BG892" s="2" t="s">
        <v>74</v>
      </c>
      <c r="BH892" s="2" t="s">
        <v>74</v>
      </c>
      <c r="BI892" s="2" t="s">
        <v>74</v>
      </c>
      <c r="BJ892" s="2" t="s">
        <v>74</v>
      </c>
      <c r="BK892" s="2" t="s">
        <v>74</v>
      </c>
      <c r="BL892" s="2" t="s">
        <v>74</v>
      </c>
      <c r="BM892" s="2" t="s">
        <v>74</v>
      </c>
      <c r="BN892" s="2" t="s">
        <v>74</v>
      </c>
      <c r="BO892" s="2" t="s">
        <v>74</v>
      </c>
      <c r="BP892" s="2" t="s">
        <v>74</v>
      </c>
      <c r="BQ892" s="2" t="s">
        <v>74</v>
      </c>
      <c r="BR892" s="2" t="s">
        <v>74</v>
      </c>
      <c r="BS892" s="2" t="s">
        <v>7992</v>
      </c>
      <c r="BT892" s="2" t="str">
        <f>HYPERLINK("https%3A%2F%2Fwww.webofscience.com%2Fwos%2Fwoscc%2Ffull-record%2FWOS:000189267400008","View Full Record in Web of Science")</f>
        <v>View Full Record in Web of Science</v>
      </c>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row>
    <row r="893" spans="1:314" s="2" customFormat="1" x14ac:dyDescent="0.4">
      <c r="A893" s="2" t="s">
        <v>72</v>
      </c>
      <c r="B893" s="2" t="s">
        <v>7792</v>
      </c>
      <c r="C893" s="2" t="s">
        <v>74</v>
      </c>
      <c r="D893" s="2" t="s">
        <v>74</v>
      </c>
      <c r="E893" s="2" t="s">
        <v>74</v>
      </c>
      <c r="F893" s="2" t="s">
        <v>7792</v>
      </c>
      <c r="G893" s="2" t="s">
        <v>74</v>
      </c>
      <c r="H893" s="2" t="s">
        <v>74</v>
      </c>
      <c r="I893" s="2" t="s">
        <v>7793</v>
      </c>
      <c r="J893" s="2" t="s">
        <v>7794</v>
      </c>
      <c r="K893" s="2" t="s">
        <v>74</v>
      </c>
      <c r="L893" s="2" t="s">
        <v>74</v>
      </c>
      <c r="M893" s="2" t="s">
        <v>74</v>
      </c>
      <c r="N893" s="2" t="s">
        <v>74</v>
      </c>
      <c r="O893" s="2" t="s">
        <v>7795</v>
      </c>
      <c r="P893" s="2" t="s">
        <v>7796</v>
      </c>
      <c r="Q893" s="2" t="s">
        <v>7797</v>
      </c>
      <c r="R893" s="2" t="s">
        <v>74</v>
      </c>
      <c r="S893" s="2" t="s">
        <v>7798</v>
      </c>
      <c r="T893" s="2" t="s">
        <v>74</v>
      </c>
      <c r="U893" s="2" t="s">
        <v>74</v>
      </c>
      <c r="V893" s="5" t="s">
        <v>7799</v>
      </c>
      <c r="W893" s="2" t="s">
        <v>74</v>
      </c>
      <c r="X893" s="2" t="s">
        <v>74</v>
      </c>
      <c r="Y893" s="2" t="s">
        <v>74</v>
      </c>
      <c r="Z893" s="2" t="s">
        <v>74</v>
      </c>
      <c r="AA893" s="2" t="s">
        <v>74</v>
      </c>
      <c r="AB893" s="2" t="s">
        <v>74</v>
      </c>
      <c r="AC893" s="2" t="s">
        <v>74</v>
      </c>
      <c r="AD893" s="2" t="s">
        <v>74</v>
      </c>
      <c r="AE893" s="2" t="s">
        <v>74</v>
      </c>
      <c r="AF893" s="2" t="s">
        <v>74</v>
      </c>
      <c r="AG893" s="2" t="s">
        <v>74</v>
      </c>
      <c r="AH893" s="2" t="s">
        <v>74</v>
      </c>
      <c r="AI893" s="2" t="s">
        <v>74</v>
      </c>
      <c r="AJ893" s="2" t="s">
        <v>74</v>
      </c>
      <c r="AK893" s="2" t="s">
        <v>74</v>
      </c>
      <c r="AL893" s="2" t="s">
        <v>74</v>
      </c>
      <c r="AM893" s="2" t="s">
        <v>74</v>
      </c>
      <c r="AN893" s="2" t="s">
        <v>74</v>
      </c>
      <c r="AO893" s="2" t="s">
        <v>7800</v>
      </c>
      <c r="AP893" s="2" t="s">
        <v>7801</v>
      </c>
      <c r="AQ893" s="2" t="s">
        <v>74</v>
      </c>
      <c r="AR893" s="2" t="s">
        <v>74</v>
      </c>
      <c r="AS893" s="2" t="s">
        <v>74</v>
      </c>
      <c r="AT893" s="2" t="s">
        <v>123</v>
      </c>
      <c r="AU893" s="2">
        <v>2004</v>
      </c>
      <c r="AV893" s="2">
        <v>45</v>
      </c>
      <c r="AW893" s="2">
        <v>1</v>
      </c>
      <c r="AX893" s="2" t="s">
        <v>74</v>
      </c>
      <c r="AY893" s="2" t="s">
        <v>74</v>
      </c>
      <c r="AZ893" s="2" t="s">
        <v>74</v>
      </c>
      <c r="BA893" s="2" t="s">
        <v>74</v>
      </c>
      <c r="BB893" s="2">
        <v>1</v>
      </c>
      <c r="BC893" s="2">
        <v>14</v>
      </c>
      <c r="BD893" s="2" t="s">
        <v>74</v>
      </c>
      <c r="BE893" s="2" t="s">
        <v>7802</v>
      </c>
      <c r="BF893" s="2" t="str">
        <f>HYPERLINK("http://dx.doi.org/10.1080/07924259.2004.9652569","http://dx.doi.org/10.1080/07924259.2004.9652569")</f>
        <v>http://dx.doi.org/10.1080/07924259.2004.9652569</v>
      </c>
      <c r="BG893" s="2" t="s">
        <v>74</v>
      </c>
      <c r="BH893" s="2" t="s">
        <v>74</v>
      </c>
      <c r="BI893" s="2" t="s">
        <v>74</v>
      </c>
      <c r="BJ893" s="2" t="s">
        <v>74</v>
      </c>
      <c r="BK893" s="2" t="s">
        <v>74</v>
      </c>
      <c r="BL893" s="2" t="s">
        <v>74</v>
      </c>
      <c r="BM893" s="2" t="s">
        <v>74</v>
      </c>
      <c r="BN893" s="2" t="s">
        <v>74</v>
      </c>
      <c r="BO893" s="2" t="s">
        <v>74</v>
      </c>
      <c r="BP893" s="2" t="s">
        <v>74</v>
      </c>
      <c r="BQ893" s="2" t="s">
        <v>74</v>
      </c>
      <c r="BR893" s="2" t="s">
        <v>74</v>
      </c>
      <c r="BS893" s="2" t="s">
        <v>7803</v>
      </c>
      <c r="BT893" s="2" t="str">
        <f>HYPERLINK("https%3A%2F%2Fwww.webofscience.com%2Fwos%2Fwoscc%2Ffull-record%2FWOS:000221012500001","View Full Record in Web of Science")</f>
        <v>View Full Record in Web of Science</v>
      </c>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row>
    <row r="894" spans="1:314" s="2" customFormat="1" x14ac:dyDescent="0.4">
      <c r="A894" s="2" t="s">
        <v>72</v>
      </c>
      <c r="B894" s="2" t="s">
        <v>6254</v>
      </c>
      <c r="C894" s="2" t="s">
        <v>74</v>
      </c>
      <c r="D894" s="2" t="s">
        <v>74</v>
      </c>
      <c r="E894" s="2" t="s">
        <v>74</v>
      </c>
      <c r="F894" s="2" t="s">
        <v>6254</v>
      </c>
      <c r="G894" s="2" t="s">
        <v>74</v>
      </c>
      <c r="H894" s="2" t="s">
        <v>74</v>
      </c>
      <c r="I894" s="2" t="s">
        <v>6255</v>
      </c>
      <c r="J894" s="2" t="s">
        <v>431</v>
      </c>
      <c r="K894" s="2" t="s">
        <v>74</v>
      </c>
      <c r="L894" s="2" t="s">
        <v>74</v>
      </c>
      <c r="M894" s="2" t="s">
        <v>74</v>
      </c>
      <c r="N894" s="2" t="s">
        <v>74</v>
      </c>
      <c r="O894" s="2" t="s">
        <v>74</v>
      </c>
      <c r="P894" s="2" t="s">
        <v>74</v>
      </c>
      <c r="Q894" s="2" t="s">
        <v>74</v>
      </c>
      <c r="R894" s="2" t="s">
        <v>74</v>
      </c>
      <c r="S894" s="2" t="s">
        <v>74</v>
      </c>
      <c r="T894" s="2" t="s">
        <v>74</v>
      </c>
      <c r="U894" s="2" t="s">
        <v>74</v>
      </c>
      <c r="V894" s="5" t="s">
        <v>6256</v>
      </c>
      <c r="W894" s="2" t="s">
        <v>74</v>
      </c>
      <c r="X894" s="2" t="s">
        <v>74</v>
      </c>
      <c r="Y894" s="2" t="s">
        <v>74</v>
      </c>
      <c r="Z894" s="2" t="s">
        <v>74</v>
      </c>
      <c r="AA894" s="2" t="s">
        <v>74</v>
      </c>
      <c r="AB894" s="2" t="s">
        <v>74</v>
      </c>
      <c r="AC894" s="2" t="s">
        <v>74</v>
      </c>
      <c r="AD894" s="2" t="s">
        <v>74</v>
      </c>
      <c r="AE894" s="2" t="s">
        <v>74</v>
      </c>
      <c r="AF894" s="2" t="s">
        <v>74</v>
      </c>
      <c r="AG894" s="2" t="s">
        <v>74</v>
      </c>
      <c r="AH894" s="2" t="s">
        <v>74</v>
      </c>
      <c r="AI894" s="2" t="s">
        <v>74</v>
      </c>
      <c r="AJ894" s="2" t="s">
        <v>74</v>
      </c>
      <c r="AK894" s="2" t="s">
        <v>74</v>
      </c>
      <c r="AL894" s="2" t="s">
        <v>74</v>
      </c>
      <c r="AM894" s="2" t="s">
        <v>74</v>
      </c>
      <c r="AN894" s="2" t="s">
        <v>74</v>
      </c>
      <c r="AO894" s="2" t="s">
        <v>74</v>
      </c>
      <c r="AP894" s="2" t="s">
        <v>435</v>
      </c>
      <c r="AQ894" s="2" t="s">
        <v>74</v>
      </c>
      <c r="AR894" s="2" t="s">
        <v>74</v>
      </c>
      <c r="AS894" s="2" t="s">
        <v>74</v>
      </c>
      <c r="AT894" s="2" t="s">
        <v>74</v>
      </c>
      <c r="AU894" s="2">
        <v>1967</v>
      </c>
      <c r="AV894" s="2">
        <v>84</v>
      </c>
      <c r="AW894" s="2">
        <v>4</v>
      </c>
      <c r="AX894" s="2" t="s">
        <v>74</v>
      </c>
      <c r="AY894" s="2" t="s">
        <v>74</v>
      </c>
      <c r="AZ894" s="2" t="s">
        <v>74</v>
      </c>
      <c r="BA894" s="2" t="s">
        <v>74</v>
      </c>
      <c r="BB894" s="2">
        <v>503</v>
      </c>
      <c r="BC894" s="2" t="s">
        <v>726</v>
      </c>
      <c r="BD894" s="2" t="s">
        <v>74</v>
      </c>
      <c r="BE894" s="2" t="s">
        <v>6257</v>
      </c>
      <c r="BF894" s="2" t="str">
        <f>HYPERLINK("http://dx.doi.org/10.2307/4083332","http://dx.doi.org/10.2307/4083332")</f>
        <v>http://dx.doi.org/10.2307/4083332</v>
      </c>
      <c r="BG894" s="2" t="s">
        <v>74</v>
      </c>
      <c r="BH894" s="2" t="s">
        <v>74</v>
      </c>
      <c r="BI894" s="2" t="s">
        <v>74</v>
      </c>
      <c r="BJ894" s="2" t="s">
        <v>74</v>
      </c>
      <c r="BK894" s="2" t="s">
        <v>74</v>
      </c>
      <c r="BL894" s="2" t="s">
        <v>74</v>
      </c>
      <c r="BM894" s="2" t="s">
        <v>74</v>
      </c>
      <c r="BN894" s="2" t="s">
        <v>74</v>
      </c>
      <c r="BO894" s="2" t="s">
        <v>74</v>
      </c>
      <c r="BP894" s="2" t="s">
        <v>74</v>
      </c>
      <c r="BQ894" s="2" t="s">
        <v>74</v>
      </c>
      <c r="BR894" s="2" t="s">
        <v>74</v>
      </c>
      <c r="BS894" s="2" t="s">
        <v>6258</v>
      </c>
      <c r="BT894" s="2" t="str">
        <f>HYPERLINK("https%3A%2F%2Fwww.webofscience.com%2Fwos%2Fwoscc%2Ffull-record%2FWOS:A1967A201400003","View Full Record in Web of Science")</f>
        <v>View Full Record in Web of Science</v>
      </c>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row>
    <row r="895" spans="1:314" s="1" customFormat="1" x14ac:dyDescent="0.4">
      <c r="A895" s="2" t="s">
        <v>72</v>
      </c>
      <c r="B895" s="2" t="s">
        <v>7243</v>
      </c>
      <c r="C895" s="2" t="s">
        <v>74</v>
      </c>
      <c r="D895" s="2" t="s">
        <v>74</v>
      </c>
      <c r="E895" s="2" t="s">
        <v>74</v>
      </c>
      <c r="F895" s="2" t="s">
        <v>7244</v>
      </c>
      <c r="G895" s="2" t="s">
        <v>74</v>
      </c>
      <c r="H895" s="2" t="s">
        <v>74</v>
      </c>
      <c r="I895" s="2" t="s">
        <v>7245</v>
      </c>
      <c r="J895" s="2" t="s">
        <v>420</v>
      </c>
      <c r="K895" s="2" t="s">
        <v>74</v>
      </c>
      <c r="L895" s="2" t="s">
        <v>74</v>
      </c>
      <c r="M895" s="2" t="s">
        <v>74</v>
      </c>
      <c r="N895" s="2" t="s">
        <v>74</v>
      </c>
      <c r="O895" s="2" t="s">
        <v>74</v>
      </c>
      <c r="P895" s="2" t="s">
        <v>74</v>
      </c>
      <c r="Q895" s="2" t="s">
        <v>74</v>
      </c>
      <c r="R895" s="2" t="s">
        <v>74</v>
      </c>
      <c r="S895" s="2" t="s">
        <v>74</v>
      </c>
      <c r="T895" s="2" t="s">
        <v>74</v>
      </c>
      <c r="U895" s="2" t="s">
        <v>74</v>
      </c>
      <c r="V895" s="5" t="s">
        <v>7246</v>
      </c>
      <c r="W895" s="2" t="s">
        <v>74</v>
      </c>
      <c r="X895" s="2" t="s">
        <v>74</v>
      </c>
      <c r="Y895" s="2" t="s">
        <v>74</v>
      </c>
      <c r="Z895" s="2" t="s">
        <v>74</v>
      </c>
      <c r="AA895" s="2" t="s">
        <v>3597</v>
      </c>
      <c r="AB895" s="2" t="s">
        <v>74</v>
      </c>
      <c r="AC895" s="2" t="s">
        <v>74</v>
      </c>
      <c r="AD895" s="2" t="s">
        <v>74</v>
      </c>
      <c r="AE895" s="2" t="s">
        <v>74</v>
      </c>
      <c r="AF895" s="2" t="s">
        <v>74</v>
      </c>
      <c r="AG895" s="2" t="s">
        <v>74</v>
      </c>
      <c r="AH895" s="2" t="s">
        <v>74</v>
      </c>
      <c r="AI895" s="2" t="s">
        <v>74</v>
      </c>
      <c r="AJ895" s="2" t="s">
        <v>74</v>
      </c>
      <c r="AK895" s="2" t="s">
        <v>74</v>
      </c>
      <c r="AL895" s="2" t="s">
        <v>74</v>
      </c>
      <c r="AM895" s="2" t="s">
        <v>74</v>
      </c>
      <c r="AN895" s="2" t="s">
        <v>74</v>
      </c>
      <c r="AO895" s="2" t="s">
        <v>424</v>
      </c>
      <c r="AP895" s="2" t="s">
        <v>74</v>
      </c>
      <c r="AQ895" s="2" t="s">
        <v>74</v>
      </c>
      <c r="AR895" s="2" t="s">
        <v>74</v>
      </c>
      <c r="AS895" s="2" t="s">
        <v>74</v>
      </c>
      <c r="AT895" s="2" t="s">
        <v>4913</v>
      </c>
      <c r="AU895" s="2">
        <v>2018</v>
      </c>
      <c r="AV895" s="2">
        <v>18</v>
      </c>
      <c r="AW895" s="2" t="s">
        <v>74</v>
      </c>
      <c r="AX895" s="2" t="s">
        <v>74</v>
      </c>
      <c r="AY895" s="2" t="s">
        <v>74</v>
      </c>
      <c r="AZ895" s="2" t="s">
        <v>74</v>
      </c>
      <c r="BA895" s="2" t="s">
        <v>74</v>
      </c>
      <c r="BB895" s="2" t="s">
        <v>74</v>
      </c>
      <c r="BC895" s="2" t="s">
        <v>74</v>
      </c>
      <c r="BD895" s="2">
        <v>19</v>
      </c>
      <c r="BE895" s="2" t="s">
        <v>7247</v>
      </c>
      <c r="BF895" s="2" t="str">
        <f>HYPERLINK("http://dx.doi.org/10.1186/s12862-018-1126-0","http://dx.doi.org/10.1186/s12862-018-1126-0")</f>
        <v>http://dx.doi.org/10.1186/s12862-018-1126-0</v>
      </c>
      <c r="BG895" s="2" t="s">
        <v>74</v>
      </c>
      <c r="BH895" s="2" t="s">
        <v>74</v>
      </c>
      <c r="BI895" s="2" t="s">
        <v>74</v>
      </c>
      <c r="BJ895" s="2" t="s">
        <v>74</v>
      </c>
      <c r="BK895" s="2" t="s">
        <v>74</v>
      </c>
      <c r="BL895" s="2" t="s">
        <v>74</v>
      </c>
      <c r="BM895" s="2" t="s">
        <v>74</v>
      </c>
      <c r="BN895" s="2">
        <v>29433448</v>
      </c>
      <c r="BO895" s="2" t="s">
        <v>74</v>
      </c>
      <c r="BP895" s="2" t="s">
        <v>74</v>
      </c>
      <c r="BQ895" s="2" t="s">
        <v>74</v>
      </c>
      <c r="BR895" s="2" t="s">
        <v>74</v>
      </c>
      <c r="BS895" s="2" t="s">
        <v>7248</v>
      </c>
      <c r="BT895" s="2" t="str">
        <f>HYPERLINK("https%3A%2F%2Fwww.webofscience.com%2Fwos%2Fwoscc%2Ffull-record%2FWOS:000425179400001","View Full Record in Web of Science")</f>
        <v>View Full Record in Web of Science</v>
      </c>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row>
    <row r="896" spans="1:314" s="7" customFormat="1" x14ac:dyDescent="0.4">
      <c r="A896" s="2" t="s">
        <v>72</v>
      </c>
      <c r="B896" s="2" t="s">
        <v>5692</v>
      </c>
      <c r="C896" s="2" t="s">
        <v>74</v>
      </c>
      <c r="D896" s="2" t="s">
        <v>74</v>
      </c>
      <c r="E896" s="2" t="s">
        <v>74</v>
      </c>
      <c r="F896" s="2" t="s">
        <v>5693</v>
      </c>
      <c r="G896" s="2" t="s">
        <v>74</v>
      </c>
      <c r="H896" s="2" t="s">
        <v>74</v>
      </c>
      <c r="I896" s="2" t="s">
        <v>5694</v>
      </c>
      <c r="J896" s="2" t="s">
        <v>691</v>
      </c>
      <c r="K896" s="2" t="s">
        <v>74</v>
      </c>
      <c r="L896" s="2" t="s">
        <v>74</v>
      </c>
      <c r="M896" s="2" t="s">
        <v>74</v>
      </c>
      <c r="N896" s="2" t="s">
        <v>74</v>
      </c>
      <c r="O896" s="2" t="s">
        <v>74</v>
      </c>
      <c r="P896" s="2" t="s">
        <v>74</v>
      </c>
      <c r="Q896" s="2" t="s">
        <v>74</v>
      </c>
      <c r="R896" s="2" t="s">
        <v>74</v>
      </c>
      <c r="S896" s="2" t="s">
        <v>74</v>
      </c>
      <c r="T896" s="2" t="s">
        <v>74</v>
      </c>
      <c r="U896" s="2" t="s">
        <v>74</v>
      </c>
      <c r="V896" s="5" t="s">
        <v>5695</v>
      </c>
      <c r="W896" s="2" t="s">
        <v>74</v>
      </c>
      <c r="X896" s="2" t="s">
        <v>74</v>
      </c>
      <c r="Y896" s="2" t="s">
        <v>74</v>
      </c>
      <c r="Z896" s="2" t="s">
        <v>74</v>
      </c>
      <c r="AA896" s="2" t="s">
        <v>5696</v>
      </c>
      <c r="AB896" s="2" t="s">
        <v>5697</v>
      </c>
      <c r="AC896" s="2" t="s">
        <v>74</v>
      </c>
      <c r="AD896" s="2" t="s">
        <v>74</v>
      </c>
      <c r="AE896" s="2" t="s">
        <v>74</v>
      </c>
      <c r="AF896" s="2" t="s">
        <v>74</v>
      </c>
      <c r="AG896" s="2" t="s">
        <v>74</v>
      </c>
      <c r="AH896" s="2" t="s">
        <v>74</v>
      </c>
      <c r="AI896" s="2" t="s">
        <v>74</v>
      </c>
      <c r="AJ896" s="2" t="s">
        <v>74</v>
      </c>
      <c r="AK896" s="2" t="s">
        <v>74</v>
      </c>
      <c r="AL896" s="2" t="s">
        <v>74</v>
      </c>
      <c r="AM896" s="2" t="s">
        <v>74</v>
      </c>
      <c r="AN896" s="2" t="s">
        <v>74</v>
      </c>
      <c r="AO896" s="2" t="s">
        <v>695</v>
      </c>
      <c r="AP896" s="2" t="s">
        <v>74</v>
      </c>
      <c r="AQ896" s="2" t="s">
        <v>74</v>
      </c>
      <c r="AR896" s="2" t="s">
        <v>74</v>
      </c>
      <c r="AS896" s="2" t="s">
        <v>74</v>
      </c>
      <c r="AT896" s="2" t="s">
        <v>1090</v>
      </c>
      <c r="AU896" s="2">
        <v>2018</v>
      </c>
      <c r="AV896" s="2">
        <v>183</v>
      </c>
      <c r="AW896" s="2" t="s">
        <v>74</v>
      </c>
      <c r="AX896" s="2" t="s">
        <v>74</v>
      </c>
      <c r="AY896" s="2" t="s">
        <v>74</v>
      </c>
      <c r="AZ896" s="2" t="s">
        <v>74</v>
      </c>
      <c r="BA896" s="2" t="s">
        <v>74</v>
      </c>
      <c r="BB896" s="2">
        <v>33</v>
      </c>
      <c r="BC896" s="2">
        <v>38</v>
      </c>
      <c r="BD896" s="2" t="s">
        <v>74</v>
      </c>
      <c r="BE896" s="2" t="s">
        <v>5698</v>
      </c>
      <c r="BF896" s="2" t="str">
        <f>HYPERLINK("http://dx.doi.org/10.1016/j.physbeh.2017.10.016","http://dx.doi.org/10.1016/j.physbeh.2017.10.016")</f>
        <v>http://dx.doi.org/10.1016/j.physbeh.2017.10.016</v>
      </c>
      <c r="BG896" s="2" t="s">
        <v>74</v>
      </c>
      <c r="BH896" s="2" t="s">
        <v>74</v>
      </c>
      <c r="BI896" s="2" t="s">
        <v>74</v>
      </c>
      <c r="BJ896" s="2" t="s">
        <v>74</v>
      </c>
      <c r="BK896" s="2" t="s">
        <v>74</v>
      </c>
      <c r="BL896" s="2" t="s">
        <v>74</v>
      </c>
      <c r="BM896" s="2" t="s">
        <v>74</v>
      </c>
      <c r="BN896" s="2">
        <v>29056352</v>
      </c>
      <c r="BO896" s="2" t="s">
        <v>74</v>
      </c>
      <c r="BP896" s="2" t="s">
        <v>74</v>
      </c>
      <c r="BQ896" s="2" t="s">
        <v>74</v>
      </c>
      <c r="BR896" s="2" t="s">
        <v>74</v>
      </c>
      <c r="BS896" s="2" t="s">
        <v>5699</v>
      </c>
      <c r="BT896" s="2" t="str">
        <f>HYPERLINK("https%3A%2F%2Fwww.webofscience.com%2Fwos%2Fwoscc%2Ffull-record%2FWOS:000417009800005","View Full Record in Web of Science")</f>
        <v>View Full Record in Web of Science</v>
      </c>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row>
    <row r="897" spans="1:314" s="2" customFormat="1" x14ac:dyDescent="0.4">
      <c r="A897" s="2" t="s">
        <v>72</v>
      </c>
      <c r="B897" s="2" t="s">
        <v>7679</v>
      </c>
      <c r="C897" s="2" t="s">
        <v>74</v>
      </c>
      <c r="D897" s="2" t="s">
        <v>74</v>
      </c>
      <c r="E897" s="2" t="s">
        <v>74</v>
      </c>
      <c r="F897" s="2" t="s">
        <v>7680</v>
      </c>
      <c r="G897" s="2" t="s">
        <v>74</v>
      </c>
      <c r="H897" s="2" t="s">
        <v>74</v>
      </c>
      <c r="I897" s="2" t="s">
        <v>7681</v>
      </c>
      <c r="J897" s="2" t="s">
        <v>610</v>
      </c>
      <c r="K897" s="2" t="s">
        <v>74</v>
      </c>
      <c r="L897" s="2" t="s">
        <v>74</v>
      </c>
      <c r="M897" s="2" t="s">
        <v>74</v>
      </c>
      <c r="N897" s="2" t="s">
        <v>74</v>
      </c>
      <c r="O897" s="2" t="s">
        <v>74</v>
      </c>
      <c r="P897" s="2" t="s">
        <v>74</v>
      </c>
      <c r="Q897" s="2" t="s">
        <v>74</v>
      </c>
      <c r="R897" s="2" t="s">
        <v>74</v>
      </c>
      <c r="S897" s="2" t="s">
        <v>74</v>
      </c>
      <c r="T897" s="2" t="s">
        <v>74</v>
      </c>
      <c r="U897" s="2" t="s">
        <v>74</v>
      </c>
      <c r="V897" s="5" t="s">
        <v>7682</v>
      </c>
      <c r="W897" s="2" t="s">
        <v>74</v>
      </c>
      <c r="X897" s="2" t="s">
        <v>74</v>
      </c>
      <c r="Y897" s="2" t="s">
        <v>74</v>
      </c>
      <c r="Z897" s="2" t="s">
        <v>74</v>
      </c>
      <c r="AA897" s="2" t="s">
        <v>74</v>
      </c>
      <c r="AB897" s="2" t="s">
        <v>7683</v>
      </c>
      <c r="AC897" s="2" t="s">
        <v>74</v>
      </c>
      <c r="AD897" s="2" t="s">
        <v>74</v>
      </c>
      <c r="AE897" s="2" t="s">
        <v>74</v>
      </c>
      <c r="AF897" s="2" t="s">
        <v>74</v>
      </c>
      <c r="AG897" s="2" t="s">
        <v>74</v>
      </c>
      <c r="AH897" s="2" t="s">
        <v>74</v>
      </c>
      <c r="AI897" s="2" t="s">
        <v>74</v>
      </c>
      <c r="AJ897" s="2" t="s">
        <v>74</v>
      </c>
      <c r="AK897" s="2" t="s">
        <v>74</v>
      </c>
      <c r="AL897" s="2" t="s">
        <v>74</v>
      </c>
      <c r="AM897" s="2" t="s">
        <v>74</v>
      </c>
      <c r="AN897" s="2" t="s">
        <v>74</v>
      </c>
      <c r="AO897" s="2" t="s">
        <v>614</v>
      </c>
      <c r="AP897" s="2" t="s">
        <v>615</v>
      </c>
      <c r="AQ897" s="2" t="s">
        <v>74</v>
      </c>
      <c r="AR897" s="2" t="s">
        <v>74</v>
      </c>
      <c r="AS897" s="2" t="s">
        <v>74</v>
      </c>
      <c r="AT897" s="2" t="s">
        <v>204</v>
      </c>
      <c r="AU897" s="2">
        <v>2010</v>
      </c>
      <c r="AV897" s="2">
        <v>116</v>
      </c>
      <c r="AW897" s="2">
        <v>7</v>
      </c>
      <c r="AX897" s="2" t="s">
        <v>74</v>
      </c>
      <c r="AY897" s="2" t="s">
        <v>74</v>
      </c>
      <c r="AZ897" s="2" t="s">
        <v>74</v>
      </c>
      <c r="BA897" s="2" t="s">
        <v>74</v>
      </c>
      <c r="BB897" s="2">
        <v>608</v>
      </c>
      <c r="BC897" s="2">
        <v>618</v>
      </c>
      <c r="BD897" s="2" t="s">
        <v>74</v>
      </c>
      <c r="BE897" s="2" t="s">
        <v>7684</v>
      </c>
      <c r="BF897" s="2" t="str">
        <f>HYPERLINK("http://dx.doi.org/10.1111/j.1439-0310.2010.01777.x","http://dx.doi.org/10.1111/j.1439-0310.2010.01777.x")</f>
        <v>http://dx.doi.org/10.1111/j.1439-0310.2010.01777.x</v>
      </c>
      <c r="BG897" s="2" t="s">
        <v>74</v>
      </c>
      <c r="BH897" s="2" t="s">
        <v>74</v>
      </c>
      <c r="BI897" s="2" t="s">
        <v>74</v>
      </c>
      <c r="BJ897" s="2" t="s">
        <v>74</v>
      </c>
      <c r="BK897" s="2" t="s">
        <v>74</v>
      </c>
      <c r="BL897" s="2" t="s">
        <v>74</v>
      </c>
      <c r="BM897" s="2" t="s">
        <v>74</v>
      </c>
      <c r="BN897" s="2" t="s">
        <v>74</v>
      </c>
      <c r="BO897" s="2" t="s">
        <v>74</v>
      </c>
      <c r="BP897" s="2" t="s">
        <v>74</v>
      </c>
      <c r="BQ897" s="2" t="s">
        <v>74</v>
      </c>
      <c r="BR897" s="2" t="s">
        <v>74</v>
      </c>
      <c r="BS897" s="2" t="s">
        <v>7685</v>
      </c>
      <c r="BT897" s="2" t="str">
        <f>HYPERLINK("https%3A%2F%2Fwww.webofscience.com%2Fwos%2Fwoscc%2Ffull-record%2FWOS:000278520600004","View Full Record in Web of Science")</f>
        <v>View Full Record in Web of Science</v>
      </c>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row>
    <row r="898" spans="1:314" s="2" customFormat="1" x14ac:dyDescent="0.4">
      <c r="A898" s="2" t="s">
        <v>72</v>
      </c>
      <c r="B898" s="2" t="s">
        <v>5948</v>
      </c>
      <c r="C898" s="2" t="s">
        <v>74</v>
      </c>
      <c r="D898" s="2" t="s">
        <v>74</v>
      </c>
      <c r="E898" s="2" t="s">
        <v>74</v>
      </c>
      <c r="F898" s="2" t="s">
        <v>5949</v>
      </c>
      <c r="G898" s="2" t="s">
        <v>74</v>
      </c>
      <c r="H898" s="2" t="s">
        <v>74</v>
      </c>
      <c r="I898" s="2" t="s">
        <v>5950</v>
      </c>
      <c r="J898" s="2" t="s">
        <v>5951</v>
      </c>
      <c r="K898" s="2" t="s">
        <v>74</v>
      </c>
      <c r="L898" s="2" t="s">
        <v>74</v>
      </c>
      <c r="M898" s="2" t="s">
        <v>74</v>
      </c>
      <c r="N898" s="2" t="s">
        <v>74</v>
      </c>
      <c r="O898" s="2" t="s">
        <v>74</v>
      </c>
      <c r="P898" s="2" t="s">
        <v>74</v>
      </c>
      <c r="Q898" s="2" t="s">
        <v>74</v>
      </c>
      <c r="R898" s="2" t="s">
        <v>74</v>
      </c>
      <c r="S898" s="2" t="s">
        <v>74</v>
      </c>
      <c r="T898" s="2" t="s">
        <v>74</v>
      </c>
      <c r="U898" s="2" t="s">
        <v>74</v>
      </c>
      <c r="V898" s="5" t="s">
        <v>5952</v>
      </c>
      <c r="W898" s="2" t="s">
        <v>74</v>
      </c>
      <c r="X898" s="2" t="s">
        <v>74</v>
      </c>
      <c r="Y898" s="2" t="s">
        <v>74</v>
      </c>
      <c r="Z898" s="2" t="s">
        <v>74</v>
      </c>
      <c r="AA898" s="2" t="s">
        <v>5953</v>
      </c>
      <c r="AB898" s="2" t="s">
        <v>5954</v>
      </c>
      <c r="AC898" s="2" t="s">
        <v>74</v>
      </c>
      <c r="AD898" s="2" t="s">
        <v>74</v>
      </c>
      <c r="AE898" s="2" t="s">
        <v>74</v>
      </c>
      <c r="AF898" s="2" t="s">
        <v>74</v>
      </c>
      <c r="AG898" s="2" t="s">
        <v>74</v>
      </c>
      <c r="AH898" s="2" t="s">
        <v>74</v>
      </c>
      <c r="AI898" s="2" t="s">
        <v>74</v>
      </c>
      <c r="AJ898" s="2" t="s">
        <v>74</v>
      </c>
      <c r="AK898" s="2" t="s">
        <v>74</v>
      </c>
      <c r="AL898" s="2" t="s">
        <v>74</v>
      </c>
      <c r="AM898" s="2" t="s">
        <v>74</v>
      </c>
      <c r="AN898" s="2" t="s">
        <v>74</v>
      </c>
      <c r="AO898" s="2" t="s">
        <v>5955</v>
      </c>
      <c r="AP898" s="2" t="s">
        <v>74</v>
      </c>
      <c r="AQ898" s="2" t="s">
        <v>74</v>
      </c>
      <c r="AR898" s="2" t="s">
        <v>74</v>
      </c>
      <c r="AS898" s="2" t="s">
        <v>74</v>
      </c>
      <c r="AT898" s="2" t="s">
        <v>175</v>
      </c>
      <c r="AU898" s="2">
        <v>2009</v>
      </c>
      <c r="AV898" s="2">
        <v>30</v>
      </c>
      <c r="AW898" s="2" t="s">
        <v>74</v>
      </c>
      <c r="AX898" s="2" t="s">
        <v>74</v>
      </c>
      <c r="AY898" s="2" t="s">
        <v>74</v>
      </c>
      <c r="AZ898" s="2" t="s">
        <v>74</v>
      </c>
      <c r="BA898" s="2" t="s">
        <v>74</v>
      </c>
      <c r="BB898" s="2">
        <v>175</v>
      </c>
      <c r="BC898" s="2">
        <v>180</v>
      </c>
      <c r="BD898" s="2" t="s">
        <v>74</v>
      </c>
      <c r="BE898" s="2" t="s">
        <v>5956</v>
      </c>
      <c r="BF898" s="2" t="str">
        <f>HYPERLINK("http://dx.doi.org/10.1111/j.1439-0485.2009.00309.x","http://dx.doi.org/10.1111/j.1439-0485.2009.00309.x")</f>
        <v>http://dx.doi.org/10.1111/j.1439-0485.2009.00309.x</v>
      </c>
      <c r="BG898" s="2" t="s">
        <v>74</v>
      </c>
      <c r="BH898" s="2" t="s">
        <v>74</v>
      </c>
      <c r="BI898" s="2" t="s">
        <v>74</v>
      </c>
      <c r="BJ898" s="2" t="s">
        <v>74</v>
      </c>
      <c r="BK898" s="2" t="s">
        <v>74</v>
      </c>
      <c r="BL898" s="2" t="s">
        <v>74</v>
      </c>
      <c r="BM898" s="2" t="s">
        <v>74</v>
      </c>
      <c r="BN898" s="2" t="s">
        <v>74</v>
      </c>
      <c r="BO898" s="2" t="s">
        <v>74</v>
      </c>
      <c r="BP898" s="2" t="s">
        <v>74</v>
      </c>
      <c r="BQ898" s="2" t="s">
        <v>74</v>
      </c>
      <c r="BR898" s="2" t="s">
        <v>74</v>
      </c>
      <c r="BS898" s="2" t="s">
        <v>5957</v>
      </c>
      <c r="BT898" s="2" t="str">
        <f>HYPERLINK("https%3A%2F%2Fwww.webofscience.com%2Fwos%2Fwoscc%2Ffull-record%2FWOS:000270237100018","View Full Record in Web of Science")</f>
        <v>View Full Record in Web of Science</v>
      </c>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row>
    <row r="899" spans="1:314" s="7" customFormat="1" x14ac:dyDescent="0.4">
      <c r="A899" s="2" t="s">
        <v>72</v>
      </c>
      <c r="B899" s="2" t="s">
        <v>3372</v>
      </c>
      <c r="C899" s="2" t="s">
        <v>74</v>
      </c>
      <c r="D899" s="2" t="s">
        <v>74</v>
      </c>
      <c r="E899" s="2" t="s">
        <v>74</v>
      </c>
      <c r="F899" s="2" t="s">
        <v>3372</v>
      </c>
      <c r="G899" s="2" t="s">
        <v>74</v>
      </c>
      <c r="H899" s="2" t="s">
        <v>74</v>
      </c>
      <c r="I899" s="2" t="s">
        <v>3373</v>
      </c>
      <c r="J899" s="2" t="s">
        <v>3374</v>
      </c>
      <c r="K899" s="2" t="s">
        <v>74</v>
      </c>
      <c r="L899" s="2" t="s">
        <v>74</v>
      </c>
      <c r="M899" s="2" t="s">
        <v>74</v>
      </c>
      <c r="N899" s="2" t="s">
        <v>74</v>
      </c>
      <c r="O899" s="2" t="s">
        <v>74</v>
      </c>
      <c r="P899" s="2" t="s">
        <v>74</v>
      </c>
      <c r="Q899" s="2" t="s">
        <v>74</v>
      </c>
      <c r="R899" s="2" t="s">
        <v>74</v>
      </c>
      <c r="S899" s="2" t="s">
        <v>74</v>
      </c>
      <c r="T899" s="2" t="s">
        <v>74</v>
      </c>
      <c r="U899" s="2" t="s">
        <v>74</v>
      </c>
      <c r="V899" s="5" t="s">
        <v>3375</v>
      </c>
      <c r="W899" s="2" t="s">
        <v>74</v>
      </c>
      <c r="X899" s="2" t="s">
        <v>74</v>
      </c>
      <c r="Y899" s="2" t="s">
        <v>74</v>
      </c>
      <c r="Z899" s="2" t="s">
        <v>74</v>
      </c>
      <c r="AA899" s="2" t="s">
        <v>3376</v>
      </c>
      <c r="AB899" s="2" t="s">
        <v>3377</v>
      </c>
      <c r="AC899" s="2" t="s">
        <v>74</v>
      </c>
      <c r="AD899" s="2" t="s">
        <v>74</v>
      </c>
      <c r="AE899" s="2" t="s">
        <v>74</v>
      </c>
      <c r="AF899" s="2" t="s">
        <v>74</v>
      </c>
      <c r="AG899" s="2" t="s">
        <v>74</v>
      </c>
      <c r="AH899" s="2" t="s">
        <v>74</v>
      </c>
      <c r="AI899" s="2" t="s">
        <v>74</v>
      </c>
      <c r="AJ899" s="2" t="s">
        <v>74</v>
      </c>
      <c r="AK899" s="2" t="s">
        <v>74</v>
      </c>
      <c r="AL899" s="2" t="s">
        <v>74</v>
      </c>
      <c r="AM899" s="2" t="s">
        <v>74</v>
      </c>
      <c r="AN899" s="2" t="s">
        <v>74</v>
      </c>
      <c r="AO899" s="2" t="s">
        <v>3378</v>
      </c>
      <c r="AP899" s="2" t="s">
        <v>3379</v>
      </c>
      <c r="AQ899" s="2" t="s">
        <v>74</v>
      </c>
      <c r="AR899" s="2" t="s">
        <v>74</v>
      </c>
      <c r="AS899" s="2" t="s">
        <v>74</v>
      </c>
      <c r="AT899" s="2" t="s">
        <v>3380</v>
      </c>
      <c r="AU899" s="2">
        <v>2005</v>
      </c>
      <c r="AV899" s="2">
        <v>36</v>
      </c>
      <c r="AW899" s="2">
        <v>4</v>
      </c>
      <c r="AX899" s="2" t="s">
        <v>74</v>
      </c>
      <c r="AY899" s="2" t="s">
        <v>74</v>
      </c>
      <c r="AZ899" s="2" t="s">
        <v>74</v>
      </c>
      <c r="BA899" s="2" t="s">
        <v>74</v>
      </c>
      <c r="BB899" s="2">
        <v>571</v>
      </c>
      <c r="BC899" s="2">
        <v>584</v>
      </c>
      <c r="BD899" s="2" t="s">
        <v>74</v>
      </c>
      <c r="BE899" s="2" t="s">
        <v>3381</v>
      </c>
      <c r="BF899" s="2" t="str">
        <f>HYPERLINK("http://dx.doi.org/10.1051/apido:2005047","http://dx.doi.org/10.1051/apido:2005047")</f>
        <v>http://dx.doi.org/10.1051/apido:2005047</v>
      </c>
      <c r="BG899" s="2" t="s">
        <v>74</v>
      </c>
      <c r="BH899" s="2" t="s">
        <v>74</v>
      </c>
      <c r="BI899" s="2" t="s">
        <v>74</v>
      </c>
      <c r="BJ899" s="2" t="s">
        <v>74</v>
      </c>
      <c r="BK899" s="2" t="s">
        <v>74</v>
      </c>
      <c r="BL899" s="2" t="s">
        <v>74</v>
      </c>
      <c r="BM899" s="2" t="s">
        <v>74</v>
      </c>
      <c r="BN899" s="2" t="s">
        <v>74</v>
      </c>
      <c r="BO899" s="2" t="s">
        <v>74</v>
      </c>
      <c r="BP899" s="2" t="s">
        <v>74</v>
      </c>
      <c r="BQ899" s="2" t="s">
        <v>74</v>
      </c>
      <c r="BR899" s="2" t="s">
        <v>74</v>
      </c>
      <c r="BS899" s="2" t="s">
        <v>3382</v>
      </c>
      <c r="BT899" s="2" t="str">
        <f>HYPERLINK("https%3A%2F%2Fwww.webofscience.com%2Fwos%2Fwoscc%2Ffull-record%2FWOS:000235837400004","View Full Record in Web of Science")</f>
        <v>View Full Record in Web of Science</v>
      </c>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row>
    <row r="900" spans="1:314" s="2" customFormat="1" x14ac:dyDescent="0.4">
      <c r="A900" s="2" t="s">
        <v>72</v>
      </c>
      <c r="B900" s="2" t="s">
        <v>5159</v>
      </c>
      <c r="C900" s="2" t="s">
        <v>74</v>
      </c>
      <c r="D900" s="2" t="s">
        <v>74</v>
      </c>
      <c r="E900" s="2" t="s">
        <v>74</v>
      </c>
      <c r="F900" s="2" t="s">
        <v>5159</v>
      </c>
      <c r="G900" s="2" t="s">
        <v>74</v>
      </c>
      <c r="H900" s="2" t="s">
        <v>74</v>
      </c>
      <c r="I900" s="2" t="s">
        <v>5160</v>
      </c>
      <c r="J900" s="2" t="s">
        <v>1526</v>
      </c>
      <c r="K900" s="2" t="s">
        <v>74</v>
      </c>
      <c r="L900" s="2" t="s">
        <v>74</v>
      </c>
      <c r="M900" s="2" t="s">
        <v>74</v>
      </c>
      <c r="N900" s="2" t="s">
        <v>74</v>
      </c>
      <c r="O900" s="2" t="s">
        <v>74</v>
      </c>
      <c r="P900" s="2" t="s">
        <v>74</v>
      </c>
      <c r="Q900" s="2" t="s">
        <v>74</v>
      </c>
      <c r="R900" s="2" t="s">
        <v>74</v>
      </c>
      <c r="S900" s="2" t="s">
        <v>74</v>
      </c>
      <c r="T900" s="2" t="s">
        <v>74</v>
      </c>
      <c r="U900" s="2" t="s">
        <v>74</v>
      </c>
      <c r="V900" s="5" t="s">
        <v>5161</v>
      </c>
      <c r="W900" s="2" t="s">
        <v>74</v>
      </c>
      <c r="X900" s="2" t="s">
        <v>74</v>
      </c>
      <c r="Y900" s="2" t="s">
        <v>74</v>
      </c>
      <c r="Z900" s="2" t="s">
        <v>74</v>
      </c>
      <c r="AA900" s="2" t="s">
        <v>74</v>
      </c>
      <c r="AB900" s="2" t="s">
        <v>74</v>
      </c>
      <c r="AC900" s="2" t="s">
        <v>74</v>
      </c>
      <c r="AD900" s="2" t="s">
        <v>74</v>
      </c>
      <c r="AE900" s="2" t="s">
        <v>74</v>
      </c>
      <c r="AF900" s="2" t="s">
        <v>74</v>
      </c>
      <c r="AG900" s="2" t="s">
        <v>74</v>
      </c>
      <c r="AH900" s="2" t="s">
        <v>74</v>
      </c>
      <c r="AI900" s="2" t="s">
        <v>74</v>
      </c>
      <c r="AJ900" s="2" t="s">
        <v>74</v>
      </c>
      <c r="AK900" s="2" t="s">
        <v>74</v>
      </c>
      <c r="AL900" s="2" t="s">
        <v>74</v>
      </c>
      <c r="AM900" s="2" t="s">
        <v>74</v>
      </c>
      <c r="AN900" s="2" t="s">
        <v>74</v>
      </c>
      <c r="AO900" s="2" t="s">
        <v>1528</v>
      </c>
      <c r="AP900" s="2" t="s">
        <v>74</v>
      </c>
      <c r="AQ900" s="2" t="s">
        <v>74</v>
      </c>
      <c r="AR900" s="2" t="s">
        <v>74</v>
      </c>
      <c r="AS900" s="2" t="s">
        <v>74</v>
      </c>
      <c r="AT900" s="2" t="s">
        <v>213</v>
      </c>
      <c r="AU900" s="2">
        <v>1991</v>
      </c>
      <c r="AV900" s="2">
        <v>93</v>
      </c>
      <c r="AW900" s="2">
        <v>4</v>
      </c>
      <c r="AX900" s="2" t="s">
        <v>74</v>
      </c>
      <c r="AY900" s="2" t="s">
        <v>74</v>
      </c>
      <c r="AZ900" s="2" t="s">
        <v>74</v>
      </c>
      <c r="BA900" s="2" t="s">
        <v>74</v>
      </c>
      <c r="BB900" s="2">
        <v>825</v>
      </c>
      <c r="BC900" s="2">
        <v>839</v>
      </c>
      <c r="BD900" s="2" t="s">
        <v>74</v>
      </c>
      <c r="BE900" s="2" t="s">
        <v>5162</v>
      </c>
      <c r="BF900" s="2" t="str">
        <f>HYPERLINK("http://dx.doi.org/10.2307/3247717","http://dx.doi.org/10.2307/3247717")</f>
        <v>http://dx.doi.org/10.2307/3247717</v>
      </c>
      <c r="BG900" s="2" t="s">
        <v>74</v>
      </c>
      <c r="BH900" s="2" t="s">
        <v>74</v>
      </c>
      <c r="BI900" s="2" t="s">
        <v>74</v>
      </c>
      <c r="BJ900" s="2" t="s">
        <v>74</v>
      </c>
      <c r="BK900" s="2" t="s">
        <v>74</v>
      </c>
      <c r="BL900" s="2" t="s">
        <v>74</v>
      </c>
      <c r="BM900" s="2" t="s">
        <v>74</v>
      </c>
      <c r="BN900" s="2" t="s">
        <v>74</v>
      </c>
      <c r="BO900" s="2" t="s">
        <v>74</v>
      </c>
      <c r="BP900" s="2" t="s">
        <v>74</v>
      </c>
      <c r="BQ900" s="2" t="s">
        <v>74</v>
      </c>
      <c r="BR900" s="2" t="s">
        <v>74</v>
      </c>
      <c r="BS900" s="2" t="s">
        <v>5163</v>
      </c>
      <c r="BT900" s="2" t="str">
        <f>HYPERLINK("https%3A%2F%2Fwww.webofscience.com%2Fwos%2Fwoscc%2Ffull-record%2FWOS:A1991GW79100005","View Full Record in Web of Science")</f>
        <v>View Full Record in Web of Science</v>
      </c>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row>
    <row r="901" spans="1:314" s="2" customFormat="1" x14ac:dyDescent="0.4">
      <c r="A901" s="2" t="s">
        <v>72</v>
      </c>
      <c r="B901" s="2" t="s">
        <v>1452</v>
      </c>
      <c r="C901" s="2" t="s">
        <v>74</v>
      </c>
      <c r="D901" s="2" t="s">
        <v>74</v>
      </c>
      <c r="E901" s="2" t="s">
        <v>74</v>
      </c>
      <c r="F901" s="2" t="s">
        <v>1453</v>
      </c>
      <c r="G901" s="2" t="s">
        <v>74</v>
      </c>
      <c r="H901" s="2" t="s">
        <v>74</v>
      </c>
      <c r="I901" s="2" t="s">
        <v>1454</v>
      </c>
      <c r="J901" s="2" t="s">
        <v>431</v>
      </c>
      <c r="K901" s="2" t="s">
        <v>74</v>
      </c>
      <c r="L901" s="2" t="s">
        <v>74</v>
      </c>
      <c r="M901" s="2" t="s">
        <v>74</v>
      </c>
      <c r="N901" s="2" t="s">
        <v>74</v>
      </c>
      <c r="O901" s="2" t="s">
        <v>74</v>
      </c>
      <c r="P901" s="2" t="s">
        <v>74</v>
      </c>
      <c r="Q901" s="2" t="s">
        <v>74</v>
      </c>
      <c r="R901" s="2" t="s">
        <v>74</v>
      </c>
      <c r="S901" s="2" t="s">
        <v>74</v>
      </c>
      <c r="T901" s="2" t="s">
        <v>74</v>
      </c>
      <c r="U901" s="2" t="s">
        <v>74</v>
      </c>
      <c r="V901" s="5" t="s">
        <v>1455</v>
      </c>
      <c r="W901" s="2" t="s">
        <v>74</v>
      </c>
      <c r="X901" s="2" t="s">
        <v>74</v>
      </c>
      <c r="Y901" s="2" t="s">
        <v>74</v>
      </c>
      <c r="Z901" s="2" t="s">
        <v>74</v>
      </c>
      <c r="AA901" s="2" t="s">
        <v>1456</v>
      </c>
      <c r="AB901" s="2" t="s">
        <v>1457</v>
      </c>
      <c r="AC901" s="2" t="s">
        <v>74</v>
      </c>
      <c r="AD901" s="2" t="s">
        <v>74</v>
      </c>
      <c r="AE901" s="2" t="s">
        <v>74</v>
      </c>
      <c r="AF901" s="2" t="s">
        <v>74</v>
      </c>
      <c r="AG901" s="2" t="s">
        <v>74</v>
      </c>
      <c r="AH901" s="2" t="s">
        <v>74</v>
      </c>
      <c r="AI901" s="2" t="s">
        <v>74</v>
      </c>
      <c r="AJ901" s="2" t="s">
        <v>74</v>
      </c>
      <c r="AK901" s="2" t="s">
        <v>74</v>
      </c>
      <c r="AL901" s="2" t="s">
        <v>74</v>
      </c>
      <c r="AM901" s="2" t="s">
        <v>74</v>
      </c>
      <c r="AN901" s="2" t="s">
        <v>74</v>
      </c>
      <c r="AO901" s="2" t="s">
        <v>1458</v>
      </c>
      <c r="AP901" s="2" t="s">
        <v>435</v>
      </c>
      <c r="AQ901" s="2" t="s">
        <v>74</v>
      </c>
      <c r="AR901" s="2" t="s">
        <v>74</v>
      </c>
      <c r="AS901" s="2" t="s">
        <v>74</v>
      </c>
      <c r="AT901" s="2" t="s">
        <v>255</v>
      </c>
      <c r="AU901" s="2">
        <v>2015</v>
      </c>
      <c r="AV901" s="2">
        <v>132</v>
      </c>
      <c r="AW901" s="2">
        <v>1</v>
      </c>
      <c r="AX901" s="2" t="s">
        <v>74</v>
      </c>
      <c r="AY901" s="2" t="s">
        <v>74</v>
      </c>
      <c r="AZ901" s="2" t="s">
        <v>74</v>
      </c>
      <c r="BA901" s="2" t="s">
        <v>74</v>
      </c>
      <c r="BB901" s="2">
        <v>92</v>
      </c>
      <c r="BC901" s="2">
        <v>104</v>
      </c>
      <c r="BD901" s="2" t="s">
        <v>74</v>
      </c>
      <c r="BE901" s="2" t="s">
        <v>1459</v>
      </c>
      <c r="BF901" s="2" t="str">
        <f>HYPERLINK("http://dx.doi.org/10.1642/AUK-14-103.1","http://dx.doi.org/10.1642/AUK-14-103.1")</f>
        <v>http://dx.doi.org/10.1642/AUK-14-103.1</v>
      </c>
      <c r="BG901" s="2" t="s">
        <v>74</v>
      </c>
      <c r="BH901" s="2" t="s">
        <v>74</v>
      </c>
      <c r="BI901" s="2" t="s">
        <v>74</v>
      </c>
      <c r="BJ901" s="2" t="s">
        <v>74</v>
      </c>
      <c r="BK901" s="2" t="s">
        <v>74</v>
      </c>
      <c r="BL901" s="2" t="s">
        <v>74</v>
      </c>
      <c r="BM901" s="2" t="s">
        <v>74</v>
      </c>
      <c r="BN901" s="2" t="s">
        <v>74</v>
      </c>
      <c r="BO901" s="2" t="s">
        <v>74</v>
      </c>
      <c r="BP901" s="2" t="s">
        <v>74</v>
      </c>
      <c r="BQ901" s="2" t="s">
        <v>74</v>
      </c>
      <c r="BR901" s="2" t="s">
        <v>74</v>
      </c>
      <c r="BS901" s="2" t="s">
        <v>1460</v>
      </c>
      <c r="BT901" s="2" t="str">
        <f>HYPERLINK("https%3A%2F%2Fwww.webofscience.com%2Fwos%2Fwoscc%2Ffull-record%2FWOS:000347799300010","View Full Record in Web of Science")</f>
        <v>View Full Record in Web of Science</v>
      </c>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row>
    <row r="902" spans="1:314" s="2" customFormat="1" x14ac:dyDescent="0.4">
      <c r="A902" s="2" t="s">
        <v>72</v>
      </c>
      <c r="B902" s="2" t="s">
        <v>2255</v>
      </c>
      <c r="C902" s="2" t="s">
        <v>74</v>
      </c>
      <c r="D902" s="2" t="s">
        <v>74</v>
      </c>
      <c r="E902" s="2" t="s">
        <v>74</v>
      </c>
      <c r="F902" s="2" t="s">
        <v>2255</v>
      </c>
      <c r="G902" s="2" t="s">
        <v>74</v>
      </c>
      <c r="H902" s="2" t="s">
        <v>74</v>
      </c>
      <c r="I902" s="2" t="s">
        <v>2256</v>
      </c>
      <c r="J902" s="2" t="s">
        <v>2257</v>
      </c>
      <c r="K902" s="2" t="s">
        <v>74</v>
      </c>
      <c r="L902" s="2" t="s">
        <v>74</v>
      </c>
      <c r="M902" s="2" t="s">
        <v>74</v>
      </c>
      <c r="N902" s="2" t="s">
        <v>74</v>
      </c>
      <c r="O902" s="2" t="s">
        <v>74</v>
      </c>
      <c r="P902" s="2" t="s">
        <v>74</v>
      </c>
      <c r="Q902" s="2" t="s">
        <v>74</v>
      </c>
      <c r="R902" s="2" t="s">
        <v>74</v>
      </c>
      <c r="S902" s="2" t="s">
        <v>74</v>
      </c>
      <c r="T902" s="2" t="s">
        <v>74</v>
      </c>
      <c r="U902" s="2" t="s">
        <v>74</v>
      </c>
      <c r="V902" s="5" t="s">
        <v>2258</v>
      </c>
      <c r="W902" s="2" t="s">
        <v>74</v>
      </c>
      <c r="X902" s="2" t="s">
        <v>74</v>
      </c>
      <c r="Y902" s="2" t="s">
        <v>74</v>
      </c>
      <c r="Z902" s="2" t="s">
        <v>74</v>
      </c>
      <c r="AA902" s="2" t="s">
        <v>2259</v>
      </c>
      <c r="AB902" s="2" t="s">
        <v>2260</v>
      </c>
      <c r="AC902" s="2" t="s">
        <v>74</v>
      </c>
      <c r="AD902" s="2" t="s">
        <v>74</v>
      </c>
      <c r="AE902" s="2" t="s">
        <v>74</v>
      </c>
      <c r="AF902" s="2" t="s">
        <v>74</v>
      </c>
      <c r="AG902" s="2" t="s">
        <v>74</v>
      </c>
      <c r="AH902" s="2" t="s">
        <v>74</v>
      </c>
      <c r="AI902" s="2" t="s">
        <v>74</v>
      </c>
      <c r="AJ902" s="2" t="s">
        <v>74</v>
      </c>
      <c r="AK902" s="2" t="s">
        <v>74</v>
      </c>
      <c r="AL902" s="2" t="s">
        <v>74</v>
      </c>
      <c r="AM902" s="2" t="s">
        <v>74</v>
      </c>
      <c r="AN902" s="2" t="s">
        <v>74</v>
      </c>
      <c r="AO902" s="2" t="s">
        <v>2261</v>
      </c>
      <c r="AP902" s="2" t="s">
        <v>74</v>
      </c>
      <c r="AQ902" s="2" t="s">
        <v>74</v>
      </c>
      <c r="AR902" s="2" t="s">
        <v>74</v>
      </c>
      <c r="AS902" s="2" t="s">
        <v>74</v>
      </c>
      <c r="AT902" s="2" t="s">
        <v>74</v>
      </c>
      <c r="AU902" s="2">
        <v>2000</v>
      </c>
      <c r="AV902" s="2">
        <v>77</v>
      </c>
      <c r="AW902" s="2">
        <v>1</v>
      </c>
      <c r="AX902" s="2" t="s">
        <v>74</v>
      </c>
      <c r="AY902" s="2" t="s">
        <v>74</v>
      </c>
      <c r="AZ902" s="2" t="s">
        <v>74</v>
      </c>
      <c r="BA902" s="2" t="s">
        <v>74</v>
      </c>
      <c r="BB902" s="2">
        <v>11</v>
      </c>
      <c r="BC902" s="2">
        <v>16</v>
      </c>
      <c r="BD902" s="2" t="s">
        <v>74</v>
      </c>
      <c r="BE902" s="2" t="s">
        <v>74</v>
      </c>
      <c r="BF902" s="2" t="s">
        <v>74</v>
      </c>
      <c r="BG902" s="2" t="s">
        <v>74</v>
      </c>
      <c r="BH902" s="2" t="s">
        <v>74</v>
      </c>
      <c r="BI902" s="2" t="s">
        <v>74</v>
      </c>
      <c r="BJ902" s="2" t="s">
        <v>74</v>
      </c>
      <c r="BK902" s="2" t="s">
        <v>74</v>
      </c>
      <c r="BL902" s="2" t="s">
        <v>74</v>
      </c>
      <c r="BM902" s="2" t="s">
        <v>74</v>
      </c>
      <c r="BN902" s="2" t="s">
        <v>74</v>
      </c>
      <c r="BO902" s="2" t="s">
        <v>74</v>
      </c>
      <c r="BP902" s="2" t="s">
        <v>74</v>
      </c>
      <c r="BQ902" s="2" t="s">
        <v>74</v>
      </c>
      <c r="BR902" s="2" t="s">
        <v>74</v>
      </c>
      <c r="BS902" s="2" t="s">
        <v>2262</v>
      </c>
      <c r="BT902" s="2" t="str">
        <f>HYPERLINK("https%3A%2F%2Fwww.webofscience.com%2Fwos%2Fwoscc%2Ffull-record%2FWOS:000086364000002","View Full Record in Web of Science")</f>
        <v>View Full Record in Web of Science</v>
      </c>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row>
    <row r="903" spans="1:314" s="1" customFormat="1" x14ac:dyDescent="0.4">
      <c r="A903" s="2" t="s">
        <v>72</v>
      </c>
      <c r="B903" s="2" t="s">
        <v>6073</v>
      </c>
      <c r="C903" s="2" t="s">
        <v>74</v>
      </c>
      <c r="D903" s="2" t="s">
        <v>74</v>
      </c>
      <c r="E903" s="2" t="s">
        <v>74</v>
      </c>
      <c r="F903" s="2" t="s">
        <v>6074</v>
      </c>
      <c r="G903" s="2" t="s">
        <v>74</v>
      </c>
      <c r="H903" s="2" t="s">
        <v>74</v>
      </c>
      <c r="I903" s="2" t="s">
        <v>6075</v>
      </c>
      <c r="J903" s="2" t="s">
        <v>610</v>
      </c>
      <c r="K903" s="2" t="s">
        <v>74</v>
      </c>
      <c r="L903" s="2" t="s">
        <v>74</v>
      </c>
      <c r="M903" s="2" t="s">
        <v>74</v>
      </c>
      <c r="N903" s="2" t="s">
        <v>74</v>
      </c>
      <c r="O903" s="2" t="s">
        <v>74</v>
      </c>
      <c r="P903" s="2" t="s">
        <v>74</v>
      </c>
      <c r="Q903" s="2" t="s">
        <v>74</v>
      </c>
      <c r="R903" s="2" t="s">
        <v>74</v>
      </c>
      <c r="S903" s="2" t="s">
        <v>74</v>
      </c>
      <c r="T903" s="2" t="s">
        <v>74</v>
      </c>
      <c r="U903" s="2" t="s">
        <v>74</v>
      </c>
      <c r="V903" s="5" t="s">
        <v>6076</v>
      </c>
      <c r="W903" s="2" t="s">
        <v>74</v>
      </c>
      <c r="X903" s="2" t="s">
        <v>74</v>
      </c>
      <c r="Y903" s="2" t="s">
        <v>74</v>
      </c>
      <c r="Z903" s="2" t="s">
        <v>74</v>
      </c>
      <c r="AA903" s="2" t="s">
        <v>6077</v>
      </c>
      <c r="AB903" s="2" t="s">
        <v>6078</v>
      </c>
      <c r="AC903" s="2" t="s">
        <v>74</v>
      </c>
      <c r="AD903" s="2" t="s">
        <v>74</v>
      </c>
      <c r="AE903" s="2" t="s">
        <v>74</v>
      </c>
      <c r="AF903" s="2" t="s">
        <v>74</v>
      </c>
      <c r="AG903" s="2" t="s">
        <v>74</v>
      </c>
      <c r="AH903" s="2" t="s">
        <v>74</v>
      </c>
      <c r="AI903" s="2" t="s">
        <v>74</v>
      </c>
      <c r="AJ903" s="2" t="s">
        <v>74</v>
      </c>
      <c r="AK903" s="2" t="s">
        <v>74</v>
      </c>
      <c r="AL903" s="2" t="s">
        <v>74</v>
      </c>
      <c r="AM903" s="2" t="s">
        <v>74</v>
      </c>
      <c r="AN903" s="2" t="s">
        <v>74</v>
      </c>
      <c r="AO903" s="2" t="s">
        <v>614</v>
      </c>
      <c r="AP903" s="2" t="s">
        <v>615</v>
      </c>
      <c r="AQ903" s="2" t="s">
        <v>74</v>
      </c>
      <c r="AR903" s="2" t="s">
        <v>74</v>
      </c>
      <c r="AS903" s="2" t="s">
        <v>74</v>
      </c>
      <c r="AT903" s="2" t="s">
        <v>964</v>
      </c>
      <c r="AU903" s="2">
        <v>2019</v>
      </c>
      <c r="AV903" s="2">
        <v>125</v>
      </c>
      <c r="AW903" s="2">
        <v>2</v>
      </c>
      <c r="AX903" s="2" t="s">
        <v>74</v>
      </c>
      <c r="AY903" s="2" t="s">
        <v>74</v>
      </c>
      <c r="AZ903" s="2" t="s">
        <v>74</v>
      </c>
      <c r="BA903" s="2" t="s">
        <v>74</v>
      </c>
      <c r="BB903" s="2">
        <v>106</v>
      </c>
      <c r="BC903" s="2">
        <v>113</v>
      </c>
      <c r="BD903" s="2" t="s">
        <v>74</v>
      </c>
      <c r="BE903" s="2" t="s">
        <v>6079</v>
      </c>
      <c r="BF903" s="2" t="str">
        <f>HYPERLINK("http://dx.doi.org/10.1111/eth.12835","http://dx.doi.org/10.1111/eth.12835")</f>
        <v>http://dx.doi.org/10.1111/eth.12835</v>
      </c>
      <c r="BG903" s="2" t="s">
        <v>74</v>
      </c>
      <c r="BH903" s="2" t="s">
        <v>74</v>
      </c>
      <c r="BI903" s="2" t="s">
        <v>74</v>
      </c>
      <c r="BJ903" s="2" t="s">
        <v>74</v>
      </c>
      <c r="BK903" s="2" t="s">
        <v>74</v>
      </c>
      <c r="BL903" s="2" t="s">
        <v>74</v>
      </c>
      <c r="BM903" s="2" t="s">
        <v>74</v>
      </c>
      <c r="BN903" s="2" t="s">
        <v>74</v>
      </c>
      <c r="BO903" s="2" t="s">
        <v>74</v>
      </c>
      <c r="BP903" s="2" t="s">
        <v>74</v>
      </c>
      <c r="BQ903" s="2" t="s">
        <v>74</v>
      </c>
      <c r="BR903" s="2" t="s">
        <v>74</v>
      </c>
      <c r="BS903" s="2" t="s">
        <v>6080</v>
      </c>
      <c r="BT903" s="2" t="str">
        <f>HYPERLINK("https%3A%2F%2Fwww.webofscience.com%2Fwos%2Fwoscc%2Ffull-record%2FWOS:000455963400005","View Full Record in Web of Science")</f>
        <v>View Full Record in Web of Science</v>
      </c>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row>
    <row r="904" spans="1:314" s="2" customFormat="1" x14ac:dyDescent="0.4">
      <c r="A904" s="2" t="s">
        <v>72</v>
      </c>
      <c r="B904" s="2" t="s">
        <v>8760</v>
      </c>
      <c r="C904" s="2" t="s">
        <v>74</v>
      </c>
      <c r="D904" s="2" t="s">
        <v>74</v>
      </c>
      <c r="E904" s="2" t="s">
        <v>74</v>
      </c>
      <c r="F904" s="2" t="s">
        <v>8761</v>
      </c>
      <c r="G904" s="2" t="s">
        <v>74</v>
      </c>
      <c r="H904" s="2" t="s">
        <v>74</v>
      </c>
      <c r="I904" s="2" t="s">
        <v>8762</v>
      </c>
      <c r="J904" s="2" t="s">
        <v>119</v>
      </c>
      <c r="K904" s="2" t="s">
        <v>74</v>
      </c>
      <c r="L904" s="2" t="s">
        <v>74</v>
      </c>
      <c r="M904" s="2" t="s">
        <v>74</v>
      </c>
      <c r="N904" s="2" t="s">
        <v>74</v>
      </c>
      <c r="O904" s="2" t="s">
        <v>74</v>
      </c>
      <c r="P904" s="2" t="s">
        <v>74</v>
      </c>
      <c r="Q904" s="2" t="s">
        <v>74</v>
      </c>
      <c r="R904" s="2" t="s">
        <v>74</v>
      </c>
      <c r="S904" s="2" t="s">
        <v>74</v>
      </c>
      <c r="T904" s="2" t="s">
        <v>74</v>
      </c>
      <c r="U904" s="2" t="s">
        <v>74</v>
      </c>
      <c r="V904" s="5" t="s">
        <v>8763</v>
      </c>
      <c r="W904" s="2" t="s">
        <v>74</v>
      </c>
      <c r="X904" s="2" t="s">
        <v>74</v>
      </c>
      <c r="Y904" s="2" t="s">
        <v>74</v>
      </c>
      <c r="Z904" s="2" t="s">
        <v>74</v>
      </c>
      <c r="AA904" s="2" t="s">
        <v>8764</v>
      </c>
      <c r="AB904" s="2" t="s">
        <v>8765</v>
      </c>
      <c r="AC904" s="2" t="s">
        <v>74</v>
      </c>
      <c r="AD904" s="2" t="s">
        <v>74</v>
      </c>
      <c r="AE904" s="2" t="s">
        <v>74</v>
      </c>
      <c r="AF904" s="2" t="s">
        <v>74</v>
      </c>
      <c r="AG904" s="2" t="s">
        <v>74</v>
      </c>
      <c r="AH904" s="2" t="s">
        <v>74</v>
      </c>
      <c r="AI904" s="2" t="s">
        <v>74</v>
      </c>
      <c r="AJ904" s="2" t="s">
        <v>74</v>
      </c>
      <c r="AK904" s="2" t="s">
        <v>74</v>
      </c>
      <c r="AL904" s="2" t="s">
        <v>74</v>
      </c>
      <c r="AM904" s="2" t="s">
        <v>74</v>
      </c>
      <c r="AN904" s="2" t="s">
        <v>74</v>
      </c>
      <c r="AO904" s="2" t="s">
        <v>121</v>
      </c>
      <c r="AP904" s="2" t="s">
        <v>122</v>
      </c>
      <c r="AQ904" s="2" t="s">
        <v>74</v>
      </c>
      <c r="AR904" s="2" t="s">
        <v>74</v>
      </c>
      <c r="AS904" s="2" t="s">
        <v>74</v>
      </c>
      <c r="AT904" s="2" t="s">
        <v>352</v>
      </c>
      <c r="AU904" s="2">
        <v>2009</v>
      </c>
      <c r="AV904" s="2">
        <v>82</v>
      </c>
      <c r="AW904" s="2">
        <v>1</v>
      </c>
      <c r="AX904" s="2" t="s">
        <v>74</v>
      </c>
      <c r="AY904" s="2" t="s">
        <v>74</v>
      </c>
      <c r="AZ904" s="2" t="s">
        <v>74</v>
      </c>
      <c r="BA904" s="2" t="s">
        <v>74</v>
      </c>
      <c r="BB904" s="2">
        <v>25</v>
      </c>
      <c r="BC904" s="2">
        <v>29</v>
      </c>
      <c r="BD904" s="2" t="s">
        <v>74</v>
      </c>
      <c r="BE904" s="2" t="s">
        <v>8766</v>
      </c>
      <c r="BF904" s="2" t="str">
        <f>HYPERLINK("http://dx.doi.org/10.1016/j.beproc.2009.03.005","http://dx.doi.org/10.1016/j.beproc.2009.03.005")</f>
        <v>http://dx.doi.org/10.1016/j.beproc.2009.03.005</v>
      </c>
      <c r="BG904" s="2" t="s">
        <v>74</v>
      </c>
      <c r="BH904" s="2" t="s">
        <v>74</v>
      </c>
      <c r="BI904" s="2" t="s">
        <v>74</v>
      </c>
      <c r="BJ904" s="2" t="s">
        <v>74</v>
      </c>
      <c r="BK904" s="2" t="s">
        <v>74</v>
      </c>
      <c r="BL904" s="2" t="s">
        <v>74</v>
      </c>
      <c r="BM904" s="2" t="s">
        <v>74</v>
      </c>
      <c r="BN904" s="2">
        <v>19615612</v>
      </c>
      <c r="BO904" s="2" t="s">
        <v>74</v>
      </c>
      <c r="BP904" s="2" t="s">
        <v>74</v>
      </c>
      <c r="BQ904" s="2" t="s">
        <v>74</v>
      </c>
      <c r="BR904" s="2" t="s">
        <v>74</v>
      </c>
      <c r="BS904" s="2" t="s">
        <v>8767</v>
      </c>
      <c r="BT904" s="2" t="str">
        <f>HYPERLINK("https%3A%2F%2Fwww.webofscience.com%2Fwos%2Fwoscc%2Ffull-record%2FWOS:000268954900005","View Full Record in Web of Science")</f>
        <v>View Full Record in Web of Science</v>
      </c>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row>
    <row r="905" spans="1:314" s="2" customFormat="1" x14ac:dyDescent="0.4">
      <c r="A905" s="2" t="s">
        <v>72</v>
      </c>
      <c r="B905" s="2" t="s">
        <v>8107</v>
      </c>
      <c r="C905" s="2" t="s">
        <v>74</v>
      </c>
      <c r="D905" s="2" t="s">
        <v>74</v>
      </c>
      <c r="E905" s="2" t="s">
        <v>74</v>
      </c>
      <c r="F905" s="2" t="s">
        <v>8108</v>
      </c>
      <c r="G905" s="2" t="s">
        <v>74</v>
      </c>
      <c r="H905" s="2" t="s">
        <v>74</v>
      </c>
      <c r="I905" s="2" t="s">
        <v>8109</v>
      </c>
      <c r="J905" s="2" t="s">
        <v>763</v>
      </c>
      <c r="K905" s="2" t="s">
        <v>74</v>
      </c>
      <c r="L905" s="2" t="s">
        <v>74</v>
      </c>
      <c r="M905" s="2" t="s">
        <v>74</v>
      </c>
      <c r="N905" s="2" t="s">
        <v>74</v>
      </c>
      <c r="O905" s="2" t="s">
        <v>74</v>
      </c>
      <c r="P905" s="2" t="s">
        <v>74</v>
      </c>
      <c r="Q905" s="2" t="s">
        <v>74</v>
      </c>
      <c r="R905" s="2" t="s">
        <v>74</v>
      </c>
      <c r="S905" s="2" t="s">
        <v>74</v>
      </c>
      <c r="T905" s="2" t="s">
        <v>74</v>
      </c>
      <c r="U905" s="2" t="s">
        <v>74</v>
      </c>
      <c r="V905" s="5" t="s">
        <v>8110</v>
      </c>
      <c r="W905" s="2" t="s">
        <v>74</v>
      </c>
      <c r="X905" s="2" t="s">
        <v>74</v>
      </c>
      <c r="Y905" s="2" t="s">
        <v>74</v>
      </c>
      <c r="Z905" s="2" t="s">
        <v>74</v>
      </c>
      <c r="AA905" s="2" t="s">
        <v>8111</v>
      </c>
      <c r="AB905" s="2" t="s">
        <v>3649</v>
      </c>
      <c r="AC905" s="2" t="s">
        <v>74</v>
      </c>
      <c r="AD905" s="2" t="s">
        <v>74</v>
      </c>
      <c r="AE905" s="2" t="s">
        <v>74</v>
      </c>
      <c r="AF905" s="2" t="s">
        <v>74</v>
      </c>
      <c r="AG905" s="2" t="s">
        <v>74</v>
      </c>
      <c r="AH905" s="2" t="s">
        <v>74</v>
      </c>
      <c r="AI905" s="2" t="s">
        <v>74</v>
      </c>
      <c r="AJ905" s="2" t="s">
        <v>74</v>
      </c>
      <c r="AK905" s="2" t="s">
        <v>74</v>
      </c>
      <c r="AL905" s="2" t="s">
        <v>74</v>
      </c>
      <c r="AM905" s="2" t="s">
        <v>74</v>
      </c>
      <c r="AN905" s="2" t="s">
        <v>74</v>
      </c>
      <c r="AO905" s="2" t="s">
        <v>767</v>
      </c>
      <c r="AP905" s="2" t="s">
        <v>768</v>
      </c>
      <c r="AQ905" s="2" t="s">
        <v>74</v>
      </c>
      <c r="AR905" s="2" t="s">
        <v>74</v>
      </c>
      <c r="AS905" s="2" t="s">
        <v>74</v>
      </c>
      <c r="AT905" s="2" t="s">
        <v>352</v>
      </c>
      <c r="AU905" s="2">
        <v>2014</v>
      </c>
      <c r="AV905" s="2">
        <v>217</v>
      </c>
      <c r="AW905" s="2">
        <v>18</v>
      </c>
      <c r="AX905" s="2" t="s">
        <v>74</v>
      </c>
      <c r="AY905" s="2" t="s">
        <v>74</v>
      </c>
      <c r="AZ905" s="2" t="s">
        <v>74</v>
      </c>
      <c r="BA905" s="2" t="s">
        <v>74</v>
      </c>
      <c r="BB905" s="2">
        <v>3254</v>
      </c>
      <c r="BC905" s="2">
        <v>3262</v>
      </c>
      <c r="BD905" s="2" t="s">
        <v>74</v>
      </c>
      <c r="BE905" s="2" t="s">
        <v>8112</v>
      </c>
      <c r="BF905" s="2" t="str">
        <f>HYPERLINK("http://dx.doi.org/10.1242/jeb.106666","http://dx.doi.org/10.1242/jeb.106666")</f>
        <v>http://dx.doi.org/10.1242/jeb.106666</v>
      </c>
      <c r="BG905" s="2" t="s">
        <v>74</v>
      </c>
      <c r="BH905" s="2" t="s">
        <v>74</v>
      </c>
      <c r="BI905" s="2" t="s">
        <v>74</v>
      </c>
      <c r="BJ905" s="2" t="s">
        <v>74</v>
      </c>
      <c r="BK905" s="2" t="s">
        <v>74</v>
      </c>
      <c r="BL905" s="2" t="s">
        <v>74</v>
      </c>
      <c r="BM905" s="2" t="s">
        <v>74</v>
      </c>
      <c r="BN905" s="2">
        <v>25013111</v>
      </c>
      <c r="BO905" s="2" t="s">
        <v>74</v>
      </c>
      <c r="BP905" s="2" t="s">
        <v>74</v>
      </c>
      <c r="BQ905" s="2" t="s">
        <v>74</v>
      </c>
      <c r="BR905" s="2" t="s">
        <v>74</v>
      </c>
      <c r="BS905" s="2" t="s">
        <v>8113</v>
      </c>
      <c r="BT905" s="2" t="str">
        <f>HYPERLINK("https%3A%2F%2Fwww.webofscience.com%2Fwos%2Fwoscc%2Ffull-record%2FWOS:000342506100016","View Full Record in Web of Science")</f>
        <v>View Full Record in Web of Science</v>
      </c>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row>
    <row r="906" spans="1:314" s="2" customFormat="1" x14ac:dyDescent="0.4">
      <c r="A906" s="2" t="s">
        <v>72</v>
      </c>
      <c r="B906" s="2" t="s">
        <v>6804</v>
      </c>
      <c r="C906" s="2" t="s">
        <v>74</v>
      </c>
      <c r="D906" s="2" t="s">
        <v>74</v>
      </c>
      <c r="E906" s="2" t="s">
        <v>74</v>
      </c>
      <c r="F906" s="2" t="s">
        <v>6805</v>
      </c>
      <c r="G906" s="2" t="s">
        <v>74</v>
      </c>
      <c r="H906" s="2" t="s">
        <v>74</v>
      </c>
      <c r="I906" s="2" t="s">
        <v>6806</v>
      </c>
      <c r="J906" s="2" t="s">
        <v>1743</v>
      </c>
      <c r="K906" s="2" t="s">
        <v>74</v>
      </c>
      <c r="L906" s="2" t="s">
        <v>74</v>
      </c>
      <c r="M906" s="2" t="s">
        <v>74</v>
      </c>
      <c r="N906" s="2" t="s">
        <v>74</v>
      </c>
      <c r="O906" s="2" t="s">
        <v>74</v>
      </c>
      <c r="P906" s="2" t="s">
        <v>74</v>
      </c>
      <c r="Q906" s="2" t="s">
        <v>74</v>
      </c>
      <c r="R906" s="2" t="s">
        <v>74</v>
      </c>
      <c r="S906" s="2" t="s">
        <v>74</v>
      </c>
      <c r="T906" s="2" t="s">
        <v>74</v>
      </c>
      <c r="U906" s="2" t="s">
        <v>74</v>
      </c>
      <c r="V906" s="5" t="s">
        <v>6807</v>
      </c>
      <c r="W906" s="2" t="s">
        <v>74</v>
      </c>
      <c r="X906" s="2" t="s">
        <v>74</v>
      </c>
      <c r="Y906" s="2" t="s">
        <v>74</v>
      </c>
      <c r="Z906" s="2" t="s">
        <v>74</v>
      </c>
      <c r="AA906" s="2" t="s">
        <v>6808</v>
      </c>
      <c r="AB906" s="2" t="s">
        <v>74</v>
      </c>
      <c r="AC906" s="2" t="s">
        <v>74</v>
      </c>
      <c r="AD906" s="2" t="s">
        <v>74</v>
      </c>
      <c r="AE906" s="2" t="s">
        <v>74</v>
      </c>
      <c r="AF906" s="2" t="s">
        <v>74</v>
      </c>
      <c r="AG906" s="2" t="s">
        <v>74</v>
      </c>
      <c r="AH906" s="2" t="s">
        <v>74</v>
      </c>
      <c r="AI906" s="2" t="s">
        <v>74</v>
      </c>
      <c r="AJ906" s="2" t="s">
        <v>74</v>
      </c>
      <c r="AK906" s="2" t="s">
        <v>74</v>
      </c>
      <c r="AL906" s="2" t="s">
        <v>74</v>
      </c>
      <c r="AM906" s="2" t="s">
        <v>74</v>
      </c>
      <c r="AN906" s="2" t="s">
        <v>74</v>
      </c>
      <c r="AO906" s="2" t="s">
        <v>1746</v>
      </c>
      <c r="AP906" s="2" t="s">
        <v>74</v>
      </c>
      <c r="AQ906" s="2" t="s">
        <v>74</v>
      </c>
      <c r="AR906" s="2" t="s">
        <v>74</v>
      </c>
      <c r="AS906" s="2" t="s">
        <v>74</v>
      </c>
      <c r="AT906" s="2" t="s">
        <v>352</v>
      </c>
      <c r="AU906" s="2">
        <v>2006</v>
      </c>
      <c r="AV906" s="2">
        <v>23</v>
      </c>
      <c r="AW906" s="2">
        <v>9</v>
      </c>
      <c r="AX906" s="2" t="s">
        <v>74</v>
      </c>
      <c r="AY906" s="2" t="s">
        <v>74</v>
      </c>
      <c r="AZ906" s="2" t="s">
        <v>74</v>
      </c>
      <c r="BA906" s="2" t="s">
        <v>74</v>
      </c>
      <c r="BB906" s="2">
        <v>755</v>
      </c>
      <c r="BC906" s="2">
        <v>761</v>
      </c>
      <c r="BD906" s="2" t="s">
        <v>74</v>
      </c>
      <c r="BE906" s="2" t="s">
        <v>6809</v>
      </c>
      <c r="BF906" s="2" t="str">
        <f>HYPERLINK("http://dx.doi.org/10.2108/zsj.23.755","http://dx.doi.org/10.2108/zsj.23.755")</f>
        <v>http://dx.doi.org/10.2108/zsj.23.755</v>
      </c>
      <c r="BG906" s="2" t="s">
        <v>74</v>
      </c>
      <c r="BH906" s="2" t="s">
        <v>74</v>
      </c>
      <c r="BI906" s="2" t="s">
        <v>74</v>
      </c>
      <c r="BJ906" s="2" t="s">
        <v>74</v>
      </c>
      <c r="BK906" s="2" t="s">
        <v>74</v>
      </c>
      <c r="BL906" s="2" t="s">
        <v>74</v>
      </c>
      <c r="BM906" s="2" t="s">
        <v>74</v>
      </c>
      <c r="BN906" s="2">
        <v>17043397</v>
      </c>
      <c r="BO906" s="2" t="s">
        <v>74</v>
      </c>
      <c r="BP906" s="2" t="s">
        <v>74</v>
      </c>
      <c r="BQ906" s="2" t="s">
        <v>74</v>
      </c>
      <c r="BR906" s="2" t="s">
        <v>74</v>
      </c>
      <c r="BS906" s="2" t="s">
        <v>6810</v>
      </c>
      <c r="BT906" s="2" t="str">
        <f>HYPERLINK("https%3A%2F%2Fwww.webofscience.com%2Fwos%2Fwoscc%2Ffull-record%2FWOS:000243556800002","View Full Record in Web of Science")</f>
        <v>View Full Record in Web of Science</v>
      </c>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row>
    <row r="907" spans="1:314" s="2" customFormat="1" x14ac:dyDescent="0.4">
      <c r="A907" s="2" t="s">
        <v>72</v>
      </c>
      <c r="B907" s="2" t="s">
        <v>8526</v>
      </c>
      <c r="C907" s="2" t="s">
        <v>74</v>
      </c>
      <c r="D907" s="2" t="s">
        <v>74</v>
      </c>
      <c r="E907" s="2" t="s">
        <v>74</v>
      </c>
      <c r="F907" s="2" t="s">
        <v>8527</v>
      </c>
      <c r="G907" s="2" t="s">
        <v>74</v>
      </c>
      <c r="H907" s="2" t="s">
        <v>74</v>
      </c>
      <c r="I907" s="2" t="s">
        <v>8528</v>
      </c>
      <c r="J907" s="2" t="s">
        <v>129</v>
      </c>
      <c r="K907" s="2" t="s">
        <v>74</v>
      </c>
      <c r="L907" s="2" t="s">
        <v>74</v>
      </c>
      <c r="M907" s="2" t="s">
        <v>74</v>
      </c>
      <c r="N907" s="2" t="s">
        <v>74</v>
      </c>
      <c r="O907" s="2" t="s">
        <v>74</v>
      </c>
      <c r="P907" s="2" t="s">
        <v>74</v>
      </c>
      <c r="Q907" s="2" t="s">
        <v>74</v>
      </c>
      <c r="R907" s="2" t="s">
        <v>74</v>
      </c>
      <c r="S907" s="2" t="s">
        <v>74</v>
      </c>
      <c r="T907" s="2" t="s">
        <v>74</v>
      </c>
      <c r="U907" s="2" t="s">
        <v>74</v>
      </c>
      <c r="V907" s="5" t="s">
        <v>8529</v>
      </c>
      <c r="W907" s="2" t="s">
        <v>74</v>
      </c>
      <c r="X907" s="2" t="s">
        <v>74</v>
      </c>
      <c r="Y907" s="2" t="s">
        <v>74</v>
      </c>
      <c r="Z907" s="2" t="s">
        <v>74</v>
      </c>
      <c r="AA907" s="2" t="s">
        <v>8530</v>
      </c>
      <c r="AB907" s="2" t="s">
        <v>8531</v>
      </c>
      <c r="AC907" s="2" t="s">
        <v>74</v>
      </c>
      <c r="AD907" s="2" t="s">
        <v>74</v>
      </c>
      <c r="AE907" s="2" t="s">
        <v>74</v>
      </c>
      <c r="AF907" s="2" t="s">
        <v>74</v>
      </c>
      <c r="AG907" s="2" t="s">
        <v>74</v>
      </c>
      <c r="AH907" s="2" t="s">
        <v>74</v>
      </c>
      <c r="AI907" s="2" t="s">
        <v>74</v>
      </c>
      <c r="AJ907" s="2" t="s">
        <v>74</v>
      </c>
      <c r="AK907" s="2" t="s">
        <v>74</v>
      </c>
      <c r="AL907" s="2" t="s">
        <v>74</v>
      </c>
      <c r="AM907" s="2" t="s">
        <v>74</v>
      </c>
      <c r="AN907" s="2" t="s">
        <v>74</v>
      </c>
      <c r="AO907" s="2" t="s">
        <v>132</v>
      </c>
      <c r="AP907" s="2" t="s">
        <v>133</v>
      </c>
      <c r="AQ907" s="2" t="s">
        <v>74</v>
      </c>
      <c r="AR907" s="2" t="s">
        <v>74</v>
      </c>
      <c r="AS907" s="2" t="s">
        <v>74</v>
      </c>
      <c r="AT907" s="2" t="s">
        <v>213</v>
      </c>
      <c r="AU907" s="2">
        <v>2010</v>
      </c>
      <c r="AV907" s="2">
        <v>64</v>
      </c>
      <c r="AW907" s="2">
        <v>11</v>
      </c>
      <c r="AX907" s="2" t="s">
        <v>74</v>
      </c>
      <c r="AY907" s="2" t="s">
        <v>74</v>
      </c>
      <c r="AZ907" s="2" t="s">
        <v>74</v>
      </c>
      <c r="BA907" s="2" t="s">
        <v>74</v>
      </c>
      <c r="BB907" s="2">
        <v>1839</v>
      </c>
      <c r="BC907" s="2">
        <v>1847</v>
      </c>
      <c r="BD907" s="2" t="s">
        <v>74</v>
      </c>
      <c r="BE907" s="2" t="s">
        <v>8532</v>
      </c>
      <c r="BF907" s="2" t="str">
        <f>HYPERLINK("http://dx.doi.org/10.1007/s00265-010-0995-z","http://dx.doi.org/10.1007/s00265-010-0995-z")</f>
        <v>http://dx.doi.org/10.1007/s00265-010-0995-z</v>
      </c>
      <c r="BG907" s="2" t="s">
        <v>74</v>
      </c>
      <c r="BH907" s="2" t="s">
        <v>74</v>
      </c>
      <c r="BI907" s="2" t="s">
        <v>74</v>
      </c>
      <c r="BJ907" s="2" t="s">
        <v>74</v>
      </c>
      <c r="BK907" s="2" t="s">
        <v>74</v>
      </c>
      <c r="BL907" s="2" t="s">
        <v>74</v>
      </c>
      <c r="BM907" s="2" t="s">
        <v>74</v>
      </c>
      <c r="BN907" s="2" t="s">
        <v>74</v>
      </c>
      <c r="BO907" s="2" t="s">
        <v>74</v>
      </c>
      <c r="BP907" s="2" t="s">
        <v>74</v>
      </c>
      <c r="BQ907" s="2" t="s">
        <v>74</v>
      </c>
      <c r="BR907" s="2" t="s">
        <v>74</v>
      </c>
      <c r="BS907" s="2" t="s">
        <v>8533</v>
      </c>
      <c r="BT907" s="2" t="str">
        <f>HYPERLINK("https%3A%2F%2Fwww.webofscience.com%2Fwos%2Fwoscc%2Ffull-record%2FWOS:000282823800011","View Full Record in Web of Science")</f>
        <v>View Full Record in Web of Science</v>
      </c>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row>
    <row r="908" spans="1:314" s="2" customFormat="1" x14ac:dyDescent="0.4">
      <c r="A908" s="2" t="s">
        <v>72</v>
      </c>
      <c r="B908" s="2" t="s">
        <v>3267</v>
      </c>
      <c r="C908" s="2" t="s">
        <v>74</v>
      </c>
      <c r="D908" s="2" t="s">
        <v>74</v>
      </c>
      <c r="E908" s="2" t="s">
        <v>74</v>
      </c>
      <c r="F908" s="2" t="s">
        <v>3268</v>
      </c>
      <c r="G908" s="2" t="s">
        <v>74</v>
      </c>
      <c r="H908" s="2" t="s">
        <v>74</v>
      </c>
      <c r="I908" s="2" t="s">
        <v>3269</v>
      </c>
      <c r="J908" s="2" t="s">
        <v>201</v>
      </c>
      <c r="K908" s="2" t="s">
        <v>74</v>
      </c>
      <c r="L908" s="2" t="s">
        <v>74</v>
      </c>
      <c r="M908" s="2" t="s">
        <v>74</v>
      </c>
      <c r="N908" s="2" t="s">
        <v>74</v>
      </c>
      <c r="O908" s="2" t="s">
        <v>74</v>
      </c>
      <c r="P908" s="2" t="s">
        <v>74</v>
      </c>
      <c r="Q908" s="2" t="s">
        <v>74</v>
      </c>
      <c r="R908" s="2" t="s">
        <v>74</v>
      </c>
      <c r="S908" s="2" t="s">
        <v>74</v>
      </c>
      <c r="T908" s="2" t="s">
        <v>74</v>
      </c>
      <c r="U908" s="2" t="s">
        <v>74</v>
      </c>
      <c r="V908" s="5" t="s">
        <v>3270</v>
      </c>
      <c r="W908" s="2" t="s">
        <v>74</v>
      </c>
      <c r="X908" s="2" t="s">
        <v>74</v>
      </c>
      <c r="Y908" s="2" t="s">
        <v>74</v>
      </c>
      <c r="Z908" s="2" t="s">
        <v>74</v>
      </c>
      <c r="AA908" s="2" t="s">
        <v>3271</v>
      </c>
      <c r="AB908" s="2" t="s">
        <v>3272</v>
      </c>
      <c r="AC908" s="2" t="s">
        <v>74</v>
      </c>
      <c r="AD908" s="2" t="s">
        <v>74</v>
      </c>
      <c r="AE908" s="2" t="s">
        <v>74</v>
      </c>
      <c r="AF908" s="2" t="s">
        <v>74</v>
      </c>
      <c r="AG908" s="2" t="s">
        <v>74</v>
      </c>
      <c r="AH908" s="2" t="s">
        <v>74</v>
      </c>
      <c r="AI908" s="2" t="s">
        <v>74</v>
      </c>
      <c r="AJ908" s="2" t="s">
        <v>74</v>
      </c>
      <c r="AK908" s="2" t="s">
        <v>74</v>
      </c>
      <c r="AL908" s="2" t="s">
        <v>74</v>
      </c>
      <c r="AM908" s="2" t="s">
        <v>74</v>
      </c>
      <c r="AN908" s="2" t="s">
        <v>74</v>
      </c>
      <c r="AO908" s="2" t="s">
        <v>203</v>
      </c>
      <c r="AP908" s="2" t="s">
        <v>1192</v>
      </c>
      <c r="AQ908" s="2" t="s">
        <v>74</v>
      </c>
      <c r="AR908" s="2" t="s">
        <v>74</v>
      </c>
      <c r="AS908" s="2" t="s">
        <v>74</v>
      </c>
      <c r="AT908" s="2" t="s">
        <v>123</v>
      </c>
      <c r="AU908" s="2">
        <v>2012</v>
      </c>
      <c r="AV908" s="2">
        <v>80</v>
      </c>
      <c r="AW908" s="2">
        <v>3</v>
      </c>
      <c r="AX908" s="2" t="s">
        <v>74</v>
      </c>
      <c r="AY908" s="2" t="s">
        <v>74</v>
      </c>
      <c r="AZ908" s="2" t="s">
        <v>74</v>
      </c>
      <c r="BA908" s="2" t="s">
        <v>74</v>
      </c>
      <c r="BB908" s="2">
        <v>722</v>
      </c>
      <c r="BC908" s="2">
        <v>727</v>
      </c>
      <c r="BD908" s="2" t="s">
        <v>74</v>
      </c>
      <c r="BE908" s="2" t="s">
        <v>3273</v>
      </c>
      <c r="BF908" s="2" t="str">
        <f>HYPERLINK("http://dx.doi.org/10.1111/j.1095-8649.2011.03212.x","http://dx.doi.org/10.1111/j.1095-8649.2011.03212.x")</f>
        <v>http://dx.doi.org/10.1111/j.1095-8649.2011.03212.x</v>
      </c>
      <c r="BG908" s="2" t="s">
        <v>74</v>
      </c>
      <c r="BH908" s="2" t="s">
        <v>74</v>
      </c>
      <c r="BI908" s="2" t="s">
        <v>74</v>
      </c>
      <c r="BJ908" s="2" t="s">
        <v>74</v>
      </c>
      <c r="BK908" s="2" t="s">
        <v>74</v>
      </c>
      <c r="BL908" s="2" t="s">
        <v>74</v>
      </c>
      <c r="BM908" s="2" t="s">
        <v>74</v>
      </c>
      <c r="BN908" s="2">
        <v>22380566</v>
      </c>
      <c r="BO908" s="2" t="s">
        <v>74</v>
      </c>
      <c r="BP908" s="2" t="s">
        <v>74</v>
      </c>
      <c r="BQ908" s="2" t="s">
        <v>74</v>
      </c>
      <c r="BR908" s="2" t="s">
        <v>74</v>
      </c>
      <c r="BS908" s="2" t="s">
        <v>3274</v>
      </c>
      <c r="BT908" s="2" t="str">
        <f>HYPERLINK("https%3A%2F%2Fwww.webofscience.com%2Fwos%2Fwoscc%2Ffull-record%2FWOS:000300933900019","View Full Record in Web of Science")</f>
        <v>View Full Record in Web of Science</v>
      </c>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row>
    <row r="909" spans="1:314" s="2" customFormat="1" x14ac:dyDescent="0.4">
      <c r="A909" s="2" t="s">
        <v>72</v>
      </c>
      <c r="B909" s="2" t="s">
        <v>8318</v>
      </c>
      <c r="C909" s="2" t="s">
        <v>74</v>
      </c>
      <c r="D909" s="2" t="s">
        <v>74</v>
      </c>
      <c r="E909" s="2" t="s">
        <v>74</v>
      </c>
      <c r="F909" s="2" t="s">
        <v>8318</v>
      </c>
      <c r="G909" s="2" t="s">
        <v>74</v>
      </c>
      <c r="H909" s="2" t="s">
        <v>74</v>
      </c>
      <c r="I909" s="2" t="s">
        <v>8319</v>
      </c>
      <c r="J909" s="2" t="s">
        <v>4473</v>
      </c>
      <c r="K909" s="2" t="s">
        <v>74</v>
      </c>
      <c r="L909" s="2" t="s">
        <v>74</v>
      </c>
      <c r="M909" s="2" t="s">
        <v>74</v>
      </c>
      <c r="N909" s="2" t="s">
        <v>74</v>
      </c>
      <c r="O909" s="2" t="s">
        <v>74</v>
      </c>
      <c r="P909" s="2" t="s">
        <v>74</v>
      </c>
      <c r="Q909" s="2" t="s">
        <v>74</v>
      </c>
      <c r="R909" s="2" t="s">
        <v>74</v>
      </c>
      <c r="S909" s="2" t="s">
        <v>74</v>
      </c>
      <c r="T909" s="2" t="s">
        <v>74</v>
      </c>
      <c r="U909" s="2" t="s">
        <v>74</v>
      </c>
      <c r="V909" s="5" t="s">
        <v>8320</v>
      </c>
      <c r="W909" s="2" t="s">
        <v>74</v>
      </c>
      <c r="X909" s="2" t="s">
        <v>74</v>
      </c>
      <c r="Y909" s="2" t="s">
        <v>74</v>
      </c>
      <c r="Z909" s="2" t="s">
        <v>74</v>
      </c>
      <c r="AA909" s="2" t="s">
        <v>74</v>
      </c>
      <c r="AB909" s="2" t="s">
        <v>8321</v>
      </c>
      <c r="AC909" s="2" t="s">
        <v>74</v>
      </c>
      <c r="AD909" s="2" t="s">
        <v>74</v>
      </c>
      <c r="AE909" s="2" t="s">
        <v>74</v>
      </c>
      <c r="AF909" s="2" t="s">
        <v>74</v>
      </c>
      <c r="AG909" s="2" t="s">
        <v>74</v>
      </c>
      <c r="AH909" s="2" t="s">
        <v>74</v>
      </c>
      <c r="AI909" s="2" t="s">
        <v>74</v>
      </c>
      <c r="AJ909" s="2" t="s">
        <v>74</v>
      </c>
      <c r="AK909" s="2" t="s">
        <v>74</v>
      </c>
      <c r="AL909" s="2" t="s">
        <v>74</v>
      </c>
      <c r="AM909" s="2" t="s">
        <v>74</v>
      </c>
      <c r="AN909" s="2" t="s">
        <v>74</v>
      </c>
      <c r="AO909" s="2" t="s">
        <v>818</v>
      </c>
      <c r="AP909" s="2" t="s">
        <v>74</v>
      </c>
      <c r="AQ909" s="2" t="s">
        <v>74</v>
      </c>
      <c r="AR909" s="2" t="s">
        <v>74</v>
      </c>
      <c r="AS909" s="2" t="s">
        <v>74</v>
      </c>
      <c r="AT909" s="2" t="s">
        <v>74</v>
      </c>
      <c r="AU909" s="2">
        <v>2001</v>
      </c>
      <c r="AV909" s="2">
        <v>104</v>
      </c>
      <c r="AW909" s="2">
        <v>2</v>
      </c>
      <c r="AX909" s="2" t="s">
        <v>74</v>
      </c>
      <c r="AY909" s="2" t="s">
        <v>74</v>
      </c>
      <c r="AZ909" s="2" t="s">
        <v>74</v>
      </c>
      <c r="BA909" s="2" t="s">
        <v>74</v>
      </c>
      <c r="BB909" s="2">
        <v>91</v>
      </c>
      <c r="BC909" s="2">
        <v>97</v>
      </c>
      <c r="BD909" s="2" t="s">
        <v>74</v>
      </c>
      <c r="BE909" s="2" t="s">
        <v>8322</v>
      </c>
      <c r="BF909" s="2" t="str">
        <f>HYPERLINK("http://dx.doi.org/10.1078/0944-2006-00014","http://dx.doi.org/10.1078/0944-2006-00014")</f>
        <v>http://dx.doi.org/10.1078/0944-2006-00014</v>
      </c>
      <c r="BG909" s="2" t="s">
        <v>74</v>
      </c>
      <c r="BH909" s="2" t="s">
        <v>74</v>
      </c>
      <c r="BI909" s="2" t="s">
        <v>74</v>
      </c>
      <c r="BJ909" s="2" t="s">
        <v>74</v>
      </c>
      <c r="BK909" s="2" t="s">
        <v>74</v>
      </c>
      <c r="BL909" s="2" t="s">
        <v>74</v>
      </c>
      <c r="BM909" s="2" t="s">
        <v>74</v>
      </c>
      <c r="BN909" s="2">
        <v>16351822</v>
      </c>
      <c r="BO909" s="2" t="s">
        <v>74</v>
      </c>
      <c r="BP909" s="2" t="s">
        <v>74</v>
      </c>
      <c r="BQ909" s="2" t="s">
        <v>74</v>
      </c>
      <c r="BR909" s="2" t="s">
        <v>74</v>
      </c>
      <c r="BS909" s="2" t="s">
        <v>8323</v>
      </c>
      <c r="BT909" s="2" t="str">
        <f>HYPERLINK("https%3A%2F%2Fwww.webofscience.com%2Fwos%2Fwoscc%2Ffull-record%2FWOS:000172786700002","View Full Record in Web of Science")</f>
        <v>View Full Record in Web of Science</v>
      </c>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row>
    <row r="910" spans="1:314" s="2" customFormat="1" x14ac:dyDescent="0.4">
      <c r="A910" s="2" t="s">
        <v>72</v>
      </c>
      <c r="B910" s="2" t="s">
        <v>5134</v>
      </c>
      <c r="C910" s="2" t="s">
        <v>74</v>
      </c>
      <c r="D910" s="2" t="s">
        <v>74</v>
      </c>
      <c r="E910" s="2" t="s">
        <v>74</v>
      </c>
      <c r="F910" s="2" t="s">
        <v>5135</v>
      </c>
      <c r="G910" s="2" t="s">
        <v>74</v>
      </c>
      <c r="H910" s="2" t="s">
        <v>74</v>
      </c>
      <c r="I910" s="2" t="s">
        <v>5136</v>
      </c>
      <c r="J910" s="2" t="s">
        <v>2275</v>
      </c>
      <c r="K910" s="2" t="s">
        <v>74</v>
      </c>
      <c r="L910" s="2" t="s">
        <v>74</v>
      </c>
      <c r="M910" s="2" t="s">
        <v>74</v>
      </c>
      <c r="N910" s="2" t="s">
        <v>74</v>
      </c>
      <c r="O910" s="2" t="s">
        <v>74</v>
      </c>
      <c r="P910" s="2" t="s">
        <v>74</v>
      </c>
      <c r="Q910" s="2" t="s">
        <v>74</v>
      </c>
      <c r="R910" s="2" t="s">
        <v>74</v>
      </c>
      <c r="S910" s="2" t="s">
        <v>74</v>
      </c>
      <c r="T910" s="2" t="s">
        <v>74</v>
      </c>
      <c r="U910" s="2" t="s">
        <v>74</v>
      </c>
      <c r="V910" s="5" t="s">
        <v>5137</v>
      </c>
      <c r="W910" s="2" t="s">
        <v>74</v>
      </c>
      <c r="X910" s="2" t="s">
        <v>74</v>
      </c>
      <c r="Y910" s="2" t="s">
        <v>74</v>
      </c>
      <c r="Z910" s="2" t="s">
        <v>74</v>
      </c>
      <c r="AA910" s="2" t="s">
        <v>74</v>
      </c>
      <c r="AB910" s="2" t="s">
        <v>74</v>
      </c>
      <c r="AC910" s="2" t="s">
        <v>74</v>
      </c>
      <c r="AD910" s="2" t="s">
        <v>74</v>
      </c>
      <c r="AE910" s="2" t="s">
        <v>74</v>
      </c>
      <c r="AF910" s="2" t="s">
        <v>74</v>
      </c>
      <c r="AG910" s="2" t="s">
        <v>74</v>
      </c>
      <c r="AH910" s="2" t="s">
        <v>74</v>
      </c>
      <c r="AI910" s="2" t="s">
        <v>74</v>
      </c>
      <c r="AJ910" s="2" t="s">
        <v>74</v>
      </c>
      <c r="AK910" s="2" t="s">
        <v>74</v>
      </c>
      <c r="AL910" s="2" t="s">
        <v>74</v>
      </c>
      <c r="AM910" s="2" t="s">
        <v>74</v>
      </c>
      <c r="AN910" s="2" t="s">
        <v>74</v>
      </c>
      <c r="AO910" s="2" t="s">
        <v>2279</v>
      </c>
      <c r="AP910" s="2" t="s">
        <v>2280</v>
      </c>
      <c r="AQ910" s="2" t="s">
        <v>74</v>
      </c>
      <c r="AR910" s="2" t="s">
        <v>74</v>
      </c>
      <c r="AS910" s="2" t="s">
        <v>74</v>
      </c>
      <c r="AT910" s="2" t="s">
        <v>5138</v>
      </c>
      <c r="AU910" s="2">
        <v>2015</v>
      </c>
      <c r="AV910" s="2">
        <v>13</v>
      </c>
      <c r="AW910" s="2">
        <v>1</v>
      </c>
      <c r="AX910" s="2" t="s">
        <v>74</v>
      </c>
      <c r="AY910" s="2" t="s">
        <v>74</v>
      </c>
      <c r="AZ910" s="2" t="s">
        <v>74</v>
      </c>
      <c r="BA910" s="2" t="s">
        <v>74</v>
      </c>
      <c r="BB910" s="2">
        <v>93</v>
      </c>
      <c r="BC910" s="2">
        <v>103</v>
      </c>
      <c r="BD910" s="2" t="s">
        <v>74</v>
      </c>
      <c r="BE910" s="2" t="s">
        <v>5139</v>
      </c>
      <c r="BF910" s="2" t="str">
        <f>HYPERLINK("http://dx.doi.org/10.1080/14772000.2014.968233","http://dx.doi.org/10.1080/14772000.2014.968233")</f>
        <v>http://dx.doi.org/10.1080/14772000.2014.968233</v>
      </c>
      <c r="BG910" s="2" t="s">
        <v>74</v>
      </c>
      <c r="BH910" s="2" t="s">
        <v>74</v>
      </c>
      <c r="BI910" s="2" t="s">
        <v>74</v>
      </c>
      <c r="BJ910" s="2" t="s">
        <v>74</v>
      </c>
      <c r="BK910" s="2" t="s">
        <v>74</v>
      </c>
      <c r="BL910" s="2" t="s">
        <v>74</v>
      </c>
      <c r="BM910" s="2" t="s">
        <v>74</v>
      </c>
      <c r="BN910" s="2" t="s">
        <v>74</v>
      </c>
      <c r="BO910" s="2" t="s">
        <v>74</v>
      </c>
      <c r="BP910" s="2" t="s">
        <v>74</v>
      </c>
      <c r="BQ910" s="2" t="s">
        <v>74</v>
      </c>
      <c r="BR910" s="2" t="s">
        <v>74</v>
      </c>
      <c r="BS910" s="2" t="s">
        <v>5140</v>
      </c>
      <c r="BT910" s="2" t="str">
        <f>HYPERLINK("https%3A%2F%2Fwww.webofscience.com%2Fwos%2Fwoscc%2Ffull-record%2FWOS:000345618000007","View Full Record in Web of Science")</f>
        <v>View Full Record in Web of Science</v>
      </c>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row>
    <row r="911" spans="1:314" s="2" customFormat="1" x14ac:dyDescent="0.4">
      <c r="A911" s="2" t="s">
        <v>72</v>
      </c>
      <c r="B911" s="2" t="s">
        <v>2893</v>
      </c>
      <c r="C911" s="2" t="s">
        <v>74</v>
      </c>
      <c r="D911" s="2" t="s">
        <v>74</v>
      </c>
      <c r="E911" s="2" t="s">
        <v>74</v>
      </c>
      <c r="F911" s="2" t="s">
        <v>2894</v>
      </c>
      <c r="G911" s="2" t="s">
        <v>74</v>
      </c>
      <c r="H911" s="2" t="s">
        <v>74</v>
      </c>
      <c r="I911" s="2" t="s">
        <v>2895</v>
      </c>
      <c r="J911" s="2" t="s">
        <v>140</v>
      </c>
      <c r="K911" s="2" t="s">
        <v>74</v>
      </c>
      <c r="L911" s="2" t="s">
        <v>74</v>
      </c>
      <c r="M911" s="2" t="s">
        <v>74</v>
      </c>
      <c r="N911" s="2" t="s">
        <v>74</v>
      </c>
      <c r="O911" s="2" t="s">
        <v>74</v>
      </c>
      <c r="P911" s="2" t="s">
        <v>74</v>
      </c>
      <c r="Q911" s="2" t="s">
        <v>74</v>
      </c>
      <c r="R911" s="2" t="s">
        <v>74</v>
      </c>
      <c r="S911" s="2" t="s">
        <v>74</v>
      </c>
      <c r="T911" s="2" t="s">
        <v>74</v>
      </c>
      <c r="U911" s="2" t="s">
        <v>74</v>
      </c>
      <c r="V911" s="5" t="s">
        <v>2896</v>
      </c>
      <c r="W911" s="2" t="s">
        <v>74</v>
      </c>
      <c r="X911" s="2" t="s">
        <v>74</v>
      </c>
      <c r="Y911" s="2" t="s">
        <v>74</v>
      </c>
      <c r="Z911" s="2" t="s">
        <v>74</v>
      </c>
      <c r="AA911" s="2" t="s">
        <v>379</v>
      </c>
      <c r="AB911" s="2" t="s">
        <v>74</v>
      </c>
      <c r="AC911" s="2" t="s">
        <v>74</v>
      </c>
      <c r="AD911" s="2" t="s">
        <v>74</v>
      </c>
      <c r="AE911" s="2" t="s">
        <v>74</v>
      </c>
      <c r="AF911" s="2" t="s">
        <v>74</v>
      </c>
      <c r="AG911" s="2" t="s">
        <v>74</v>
      </c>
      <c r="AH911" s="2" t="s">
        <v>74</v>
      </c>
      <c r="AI911" s="2" t="s">
        <v>74</v>
      </c>
      <c r="AJ911" s="2" t="s">
        <v>74</v>
      </c>
      <c r="AK911" s="2" t="s">
        <v>74</v>
      </c>
      <c r="AL911" s="2" t="s">
        <v>74</v>
      </c>
      <c r="AM911" s="2" t="s">
        <v>74</v>
      </c>
      <c r="AN911" s="2" t="s">
        <v>74</v>
      </c>
      <c r="AO911" s="2" t="s">
        <v>143</v>
      </c>
      <c r="AP911" s="2" t="s">
        <v>144</v>
      </c>
      <c r="AQ911" s="2" t="s">
        <v>74</v>
      </c>
      <c r="AR911" s="2" t="s">
        <v>74</v>
      </c>
      <c r="AS911" s="2" t="s">
        <v>74</v>
      </c>
      <c r="AT911" s="2" t="s">
        <v>352</v>
      </c>
      <c r="AU911" s="2">
        <v>2017</v>
      </c>
      <c r="AV911" s="2">
        <v>131</v>
      </c>
      <c r="AW911" s="2" t="s">
        <v>74</v>
      </c>
      <c r="AX911" s="2" t="s">
        <v>74</v>
      </c>
      <c r="AY911" s="2" t="s">
        <v>74</v>
      </c>
      <c r="AZ911" s="2" t="s">
        <v>74</v>
      </c>
      <c r="BA911" s="2" t="s">
        <v>74</v>
      </c>
      <c r="BB911" s="2">
        <v>107</v>
      </c>
      <c r="BC911" s="2">
        <v>114</v>
      </c>
      <c r="BD911" s="2" t="s">
        <v>74</v>
      </c>
      <c r="BE911" s="2" t="s">
        <v>2897</v>
      </c>
      <c r="BF911" s="2" t="str">
        <f>HYPERLINK("http://dx.doi.org/10.1016/j.anbehav.2017.07.013","http://dx.doi.org/10.1016/j.anbehav.2017.07.013")</f>
        <v>http://dx.doi.org/10.1016/j.anbehav.2017.07.013</v>
      </c>
      <c r="BG911" s="2" t="s">
        <v>74</v>
      </c>
      <c r="BH911" s="2" t="s">
        <v>74</v>
      </c>
      <c r="BI911" s="2" t="s">
        <v>74</v>
      </c>
      <c r="BJ911" s="2" t="s">
        <v>74</v>
      </c>
      <c r="BK911" s="2" t="s">
        <v>74</v>
      </c>
      <c r="BL911" s="2" t="s">
        <v>74</v>
      </c>
      <c r="BM911" s="2" t="s">
        <v>74</v>
      </c>
      <c r="BN911" s="2" t="s">
        <v>74</v>
      </c>
      <c r="BO911" s="2" t="s">
        <v>74</v>
      </c>
      <c r="BP911" s="2" t="s">
        <v>74</v>
      </c>
      <c r="BQ911" s="2" t="s">
        <v>74</v>
      </c>
      <c r="BR911" s="2" t="s">
        <v>74</v>
      </c>
      <c r="BS911" s="2" t="s">
        <v>2898</v>
      </c>
      <c r="BT911" s="2" t="str">
        <f>HYPERLINK("https%3A%2F%2Fwww.webofscience.com%2Fwos%2Fwoscc%2Ffull-record%2FWOS:000410035100014","View Full Record in Web of Science")</f>
        <v>View Full Record in Web of Science</v>
      </c>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row>
    <row r="912" spans="1:314" s="7" customFormat="1" x14ac:dyDescent="0.4">
      <c r="A912" s="2" t="s">
        <v>72</v>
      </c>
      <c r="B912" s="2" t="s">
        <v>1831</v>
      </c>
      <c r="C912" s="2" t="s">
        <v>74</v>
      </c>
      <c r="D912" s="2" t="s">
        <v>74</v>
      </c>
      <c r="E912" s="2" t="s">
        <v>74</v>
      </c>
      <c r="F912" s="2" t="s">
        <v>1831</v>
      </c>
      <c r="G912" s="2" t="s">
        <v>74</v>
      </c>
      <c r="H912" s="2" t="s">
        <v>74</v>
      </c>
      <c r="I912" s="2" t="s">
        <v>1832</v>
      </c>
      <c r="J912" s="2" t="s">
        <v>77</v>
      </c>
      <c r="K912" s="2" t="s">
        <v>74</v>
      </c>
      <c r="L912" s="2" t="s">
        <v>74</v>
      </c>
      <c r="M912" s="2" t="s">
        <v>74</v>
      </c>
      <c r="N912" s="2" t="s">
        <v>74</v>
      </c>
      <c r="O912" s="2" t="s">
        <v>74</v>
      </c>
      <c r="P912" s="2" t="s">
        <v>74</v>
      </c>
      <c r="Q912" s="2" t="s">
        <v>74</v>
      </c>
      <c r="R912" s="2" t="s">
        <v>74</v>
      </c>
      <c r="S912" s="2" t="s">
        <v>74</v>
      </c>
      <c r="T912" s="2" t="s">
        <v>74</v>
      </c>
      <c r="U912" s="2" t="s">
        <v>74</v>
      </c>
      <c r="V912" s="5" t="s">
        <v>1833</v>
      </c>
      <c r="W912" s="2" t="s">
        <v>74</v>
      </c>
      <c r="X912" s="2" t="s">
        <v>74</v>
      </c>
      <c r="Y912" s="2" t="s">
        <v>74</v>
      </c>
      <c r="Z912" s="2" t="s">
        <v>74</v>
      </c>
      <c r="AA912" s="2" t="s">
        <v>74</v>
      </c>
      <c r="AB912" s="2" t="s">
        <v>74</v>
      </c>
      <c r="AC912" s="2" t="s">
        <v>74</v>
      </c>
      <c r="AD912" s="2" t="s">
        <v>74</v>
      </c>
      <c r="AE912" s="2" t="s">
        <v>74</v>
      </c>
      <c r="AF912" s="2" t="s">
        <v>74</v>
      </c>
      <c r="AG912" s="2" t="s">
        <v>74</v>
      </c>
      <c r="AH912" s="2" t="s">
        <v>74</v>
      </c>
      <c r="AI912" s="2" t="s">
        <v>74</v>
      </c>
      <c r="AJ912" s="2" t="s">
        <v>74</v>
      </c>
      <c r="AK912" s="2" t="s">
        <v>74</v>
      </c>
      <c r="AL912" s="2" t="s">
        <v>74</v>
      </c>
      <c r="AM912" s="2" t="s">
        <v>74</v>
      </c>
      <c r="AN912" s="2" t="s">
        <v>74</v>
      </c>
      <c r="AO912" s="2" t="s">
        <v>81</v>
      </c>
      <c r="AP912" s="2" t="s">
        <v>82</v>
      </c>
      <c r="AQ912" s="2" t="s">
        <v>74</v>
      </c>
      <c r="AR912" s="2" t="s">
        <v>74</v>
      </c>
      <c r="AS912" s="2" t="s">
        <v>74</v>
      </c>
      <c r="AT912" s="2" t="s">
        <v>74</v>
      </c>
      <c r="AU912" s="2">
        <v>1979</v>
      </c>
      <c r="AV912" s="2">
        <v>70</v>
      </c>
      <c r="AW912" s="2" t="s">
        <v>74</v>
      </c>
      <c r="AX912" s="2" t="s">
        <v>1276</v>
      </c>
      <c r="AY912" s="2" t="s">
        <v>74</v>
      </c>
      <c r="AZ912" s="2" t="s">
        <v>74</v>
      </c>
      <c r="BA912" s="2" t="s">
        <v>74</v>
      </c>
      <c r="BB912" s="2">
        <v>323</v>
      </c>
      <c r="BC912" s="2">
        <v>336</v>
      </c>
      <c r="BD912" s="2" t="s">
        <v>74</v>
      </c>
      <c r="BE912" s="2" t="s">
        <v>1834</v>
      </c>
      <c r="BF912" s="2" t="str">
        <f>HYPERLINK("http://dx.doi.org/10.1163/156853979X00115","http://dx.doi.org/10.1163/156853979X00115")</f>
        <v>http://dx.doi.org/10.1163/156853979X00115</v>
      </c>
      <c r="BG912" s="2" t="s">
        <v>74</v>
      </c>
      <c r="BH912" s="2" t="s">
        <v>74</v>
      </c>
      <c r="BI912" s="2" t="s">
        <v>74</v>
      </c>
      <c r="BJ912" s="2" t="s">
        <v>74</v>
      </c>
      <c r="BK912" s="2" t="s">
        <v>74</v>
      </c>
      <c r="BL912" s="2" t="s">
        <v>74</v>
      </c>
      <c r="BM912" s="2" t="s">
        <v>74</v>
      </c>
      <c r="BN912" s="2" t="s">
        <v>74</v>
      </c>
      <c r="BO912" s="2" t="s">
        <v>74</v>
      </c>
      <c r="BP912" s="2" t="s">
        <v>74</v>
      </c>
      <c r="BQ912" s="2" t="s">
        <v>74</v>
      </c>
      <c r="BR912" s="2" t="s">
        <v>74</v>
      </c>
      <c r="BS912" s="2" t="s">
        <v>1835</v>
      </c>
      <c r="BT912" s="2" t="str">
        <f>HYPERLINK("https%3A%2F%2Fwww.webofscience.com%2Fwos%2Fwoscc%2Ffull-record%2FWOS:A1979HU60900006","View Full Record in Web of Science")</f>
        <v>View Full Record in Web of Science</v>
      </c>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row>
    <row r="913" spans="1:314" s="2" customFormat="1" x14ac:dyDescent="0.4">
      <c r="A913" s="2" t="s">
        <v>72</v>
      </c>
      <c r="B913" s="2" t="s">
        <v>1299</v>
      </c>
      <c r="C913" s="2" t="s">
        <v>74</v>
      </c>
      <c r="D913" s="2" t="s">
        <v>74</v>
      </c>
      <c r="E913" s="2" t="s">
        <v>74</v>
      </c>
      <c r="F913" s="2" t="s">
        <v>1300</v>
      </c>
      <c r="G913" s="2" t="s">
        <v>74</v>
      </c>
      <c r="H913" s="2" t="s">
        <v>74</v>
      </c>
      <c r="I913" s="2" t="s">
        <v>1301</v>
      </c>
      <c r="J913" s="2" t="s">
        <v>1302</v>
      </c>
      <c r="K913" s="2" t="s">
        <v>74</v>
      </c>
      <c r="L913" s="2" t="s">
        <v>74</v>
      </c>
      <c r="M913" s="2" t="s">
        <v>74</v>
      </c>
      <c r="N913" s="2" t="s">
        <v>74</v>
      </c>
      <c r="O913" s="2" t="s">
        <v>74</v>
      </c>
      <c r="P913" s="2" t="s">
        <v>74</v>
      </c>
      <c r="Q913" s="2" t="s">
        <v>74</v>
      </c>
      <c r="R913" s="2" t="s">
        <v>74</v>
      </c>
      <c r="S913" s="2" t="s">
        <v>74</v>
      </c>
      <c r="T913" s="2" t="s">
        <v>74</v>
      </c>
      <c r="U913" s="2" t="s">
        <v>74</v>
      </c>
      <c r="V913" s="5" t="s">
        <v>1303</v>
      </c>
      <c r="W913" s="2" t="s">
        <v>74</v>
      </c>
      <c r="X913" s="2" t="s">
        <v>74</v>
      </c>
      <c r="Y913" s="2" t="s">
        <v>74</v>
      </c>
      <c r="Z913" s="2" t="s">
        <v>74</v>
      </c>
      <c r="AA913" s="2" t="s">
        <v>1304</v>
      </c>
      <c r="AB913" s="2" t="s">
        <v>1305</v>
      </c>
      <c r="AC913" s="2" t="s">
        <v>74</v>
      </c>
      <c r="AD913" s="2" t="s">
        <v>74</v>
      </c>
      <c r="AE913" s="2" t="s">
        <v>74</v>
      </c>
      <c r="AF913" s="2" t="s">
        <v>74</v>
      </c>
      <c r="AG913" s="2" t="s">
        <v>74</v>
      </c>
      <c r="AH913" s="2" t="s">
        <v>74</v>
      </c>
      <c r="AI913" s="2" t="s">
        <v>74</v>
      </c>
      <c r="AJ913" s="2" t="s">
        <v>74</v>
      </c>
      <c r="AK913" s="2" t="s">
        <v>74</v>
      </c>
      <c r="AL913" s="2" t="s">
        <v>74</v>
      </c>
      <c r="AM913" s="2" t="s">
        <v>74</v>
      </c>
      <c r="AN913" s="2" t="s">
        <v>74</v>
      </c>
      <c r="AO913" s="2" t="s">
        <v>1306</v>
      </c>
      <c r="AP913" s="2" t="s">
        <v>74</v>
      </c>
      <c r="AQ913" s="2" t="s">
        <v>74</v>
      </c>
      <c r="AR913" s="2" t="s">
        <v>74</v>
      </c>
      <c r="AS913" s="2" t="s">
        <v>74</v>
      </c>
      <c r="AT913" s="2" t="s">
        <v>1307</v>
      </c>
      <c r="AU913" s="2">
        <v>2009</v>
      </c>
      <c r="AV913" s="2">
        <v>7</v>
      </c>
      <c r="AW913" s="2">
        <v>4</v>
      </c>
      <c r="AX913" s="2" t="s">
        <v>74</v>
      </c>
      <c r="AY913" s="2" t="s">
        <v>74</v>
      </c>
      <c r="AZ913" s="2" t="s">
        <v>74</v>
      </c>
      <c r="BA913" s="2" t="s">
        <v>74</v>
      </c>
      <c r="BB913" s="2">
        <v>641</v>
      </c>
      <c r="BC913" s="2">
        <v>646</v>
      </c>
      <c r="BD913" s="2" t="s">
        <v>74</v>
      </c>
      <c r="BE913" s="2" t="s">
        <v>1308</v>
      </c>
      <c r="BF913" s="2" t="str">
        <f>HYPERLINK("http://dx.doi.org/10.1590/S1679-62252009000400013","http://dx.doi.org/10.1590/S1679-62252009000400013")</f>
        <v>http://dx.doi.org/10.1590/S1679-62252009000400013</v>
      </c>
      <c r="BG913" s="2" t="s">
        <v>74</v>
      </c>
      <c r="BH913" s="2" t="s">
        <v>74</v>
      </c>
      <c r="BI913" s="2" t="s">
        <v>74</v>
      </c>
      <c r="BJ913" s="2" t="s">
        <v>74</v>
      </c>
      <c r="BK913" s="2" t="s">
        <v>74</v>
      </c>
      <c r="BL913" s="2" t="s">
        <v>74</v>
      </c>
      <c r="BM913" s="2" t="s">
        <v>74</v>
      </c>
      <c r="BN913" s="2" t="s">
        <v>74</v>
      </c>
      <c r="BO913" s="2" t="s">
        <v>74</v>
      </c>
      <c r="BP913" s="2" t="s">
        <v>74</v>
      </c>
      <c r="BQ913" s="2" t="s">
        <v>74</v>
      </c>
      <c r="BR913" s="2" t="s">
        <v>74</v>
      </c>
      <c r="BS913" s="2" t="s">
        <v>1309</v>
      </c>
      <c r="BT913" s="2" t="str">
        <f>HYPERLINK("https%3A%2F%2Fwww.webofscience.com%2Fwos%2Fwoscc%2Ffull-record%2FWOS:000273613900013","View Full Record in Web of Science")</f>
        <v>View Full Record in Web of Science</v>
      </c>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row>
    <row r="914" spans="1:314" s="2" customFormat="1" x14ac:dyDescent="0.4">
      <c r="A914" s="2" t="s">
        <v>72</v>
      </c>
      <c r="B914" s="2" t="s">
        <v>7910</v>
      </c>
      <c r="C914" s="2" t="s">
        <v>74</v>
      </c>
      <c r="D914" s="2" t="s">
        <v>74</v>
      </c>
      <c r="E914" s="2" t="s">
        <v>74</v>
      </c>
      <c r="F914" s="2" t="s">
        <v>7911</v>
      </c>
      <c r="G914" s="2" t="s">
        <v>74</v>
      </c>
      <c r="H914" s="2" t="s">
        <v>74</v>
      </c>
      <c r="I914" s="2" t="s">
        <v>7912</v>
      </c>
      <c r="J914" s="2" t="s">
        <v>1656</v>
      </c>
      <c r="K914" s="2" t="s">
        <v>74</v>
      </c>
      <c r="L914" s="2" t="s">
        <v>74</v>
      </c>
      <c r="M914" s="2" t="s">
        <v>74</v>
      </c>
      <c r="N914" s="2" t="s">
        <v>74</v>
      </c>
      <c r="O914" s="2" t="s">
        <v>74</v>
      </c>
      <c r="P914" s="2" t="s">
        <v>74</v>
      </c>
      <c r="Q914" s="2" t="s">
        <v>74</v>
      </c>
      <c r="R914" s="2" t="s">
        <v>74</v>
      </c>
      <c r="S914" s="2" t="s">
        <v>74</v>
      </c>
      <c r="T914" s="2" t="s">
        <v>74</v>
      </c>
      <c r="U914" s="2" t="s">
        <v>74</v>
      </c>
      <c r="V914" s="5" t="s">
        <v>7913</v>
      </c>
      <c r="W914" s="2" t="s">
        <v>74</v>
      </c>
      <c r="X914" s="2" t="s">
        <v>74</v>
      </c>
      <c r="Y914" s="2" t="s">
        <v>74</v>
      </c>
      <c r="Z914" s="2" t="s">
        <v>74</v>
      </c>
      <c r="AA914" s="2" t="s">
        <v>7914</v>
      </c>
      <c r="AB914" s="2" t="s">
        <v>7915</v>
      </c>
      <c r="AC914" s="2" t="s">
        <v>74</v>
      </c>
      <c r="AD914" s="2" t="s">
        <v>74</v>
      </c>
      <c r="AE914" s="2" t="s">
        <v>74</v>
      </c>
      <c r="AF914" s="2" t="s">
        <v>74</v>
      </c>
      <c r="AG914" s="2" t="s">
        <v>74</v>
      </c>
      <c r="AH914" s="2" t="s">
        <v>74</v>
      </c>
      <c r="AI914" s="2" t="s">
        <v>74</v>
      </c>
      <c r="AJ914" s="2" t="s">
        <v>74</v>
      </c>
      <c r="AK914" s="2" t="s">
        <v>74</v>
      </c>
      <c r="AL914" s="2" t="s">
        <v>74</v>
      </c>
      <c r="AM914" s="2" t="s">
        <v>74</v>
      </c>
      <c r="AN914" s="2" t="s">
        <v>74</v>
      </c>
      <c r="AO914" s="2" t="s">
        <v>1658</v>
      </c>
      <c r="AP914" s="2" t="s">
        <v>1659</v>
      </c>
      <c r="AQ914" s="2" t="s">
        <v>74</v>
      </c>
      <c r="AR914" s="2" t="s">
        <v>74</v>
      </c>
      <c r="AS914" s="2" t="s">
        <v>74</v>
      </c>
      <c r="AT914" s="2" t="s">
        <v>7916</v>
      </c>
      <c r="AU914" s="2">
        <v>2023</v>
      </c>
      <c r="AV914" s="2">
        <v>5311</v>
      </c>
      <c r="AW914" s="2">
        <v>2</v>
      </c>
      <c r="AX914" s="2" t="s">
        <v>74</v>
      </c>
      <c r="AY914" s="2" t="s">
        <v>74</v>
      </c>
      <c r="AZ914" s="2" t="s">
        <v>74</v>
      </c>
      <c r="BA914" s="2" t="s">
        <v>74</v>
      </c>
      <c r="BB914" s="2">
        <v>232</v>
      </c>
      <c r="BC914" s="2">
        <v>250</v>
      </c>
      <c r="BD914" s="2" t="s">
        <v>74</v>
      </c>
      <c r="BE914" s="2" t="s">
        <v>7917</v>
      </c>
      <c r="BF914" s="2" t="str">
        <f>HYPERLINK("http://dx.doi.org/10.11646/zootaxa.5311.2.4","http://dx.doi.org/10.11646/zootaxa.5311.2.4")</f>
        <v>http://dx.doi.org/10.11646/zootaxa.5311.2.4</v>
      </c>
      <c r="BG914" s="2" t="s">
        <v>74</v>
      </c>
      <c r="BH914" s="2" t="s">
        <v>74</v>
      </c>
      <c r="BI914" s="2" t="s">
        <v>74</v>
      </c>
      <c r="BJ914" s="2" t="s">
        <v>74</v>
      </c>
      <c r="BK914" s="2" t="s">
        <v>74</v>
      </c>
      <c r="BL914" s="2" t="s">
        <v>74</v>
      </c>
      <c r="BM914" s="2" t="s">
        <v>74</v>
      </c>
      <c r="BN914" s="2">
        <v>37518646</v>
      </c>
      <c r="BO914" s="2" t="s">
        <v>74</v>
      </c>
      <c r="BP914" s="2" t="s">
        <v>74</v>
      </c>
      <c r="BQ914" s="2" t="s">
        <v>74</v>
      </c>
      <c r="BR914" s="2" t="s">
        <v>74</v>
      </c>
      <c r="BS914" s="2" t="s">
        <v>7918</v>
      </c>
      <c r="BT914" s="2" t="str">
        <f>HYPERLINK("https%3A%2F%2Fwww.webofscience.com%2Fwos%2Fwoscc%2Ffull-record%2FWOS:001030714500003","View Full Record in Web of Science")</f>
        <v>View Full Record in Web of Science</v>
      </c>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row>
    <row r="915" spans="1:314" s="2" customFormat="1" x14ac:dyDescent="0.4">
      <c r="A915" s="2" t="s">
        <v>72</v>
      </c>
      <c r="B915" s="2" t="s">
        <v>4033</v>
      </c>
      <c r="C915" s="2" t="s">
        <v>74</v>
      </c>
      <c r="D915" s="2" t="s">
        <v>74</v>
      </c>
      <c r="E915" s="2" t="s">
        <v>74</v>
      </c>
      <c r="F915" s="2" t="s">
        <v>4034</v>
      </c>
      <c r="G915" s="2" t="s">
        <v>74</v>
      </c>
      <c r="H915" s="2" t="s">
        <v>74</v>
      </c>
      <c r="I915" s="2" t="s">
        <v>4035</v>
      </c>
      <c r="J915" s="2" t="s">
        <v>1949</v>
      </c>
      <c r="K915" s="2" t="s">
        <v>74</v>
      </c>
      <c r="L915" s="2" t="s">
        <v>74</v>
      </c>
      <c r="M915" s="2" t="s">
        <v>74</v>
      </c>
      <c r="N915" s="2" t="s">
        <v>74</v>
      </c>
      <c r="O915" s="2" t="s">
        <v>74</v>
      </c>
      <c r="P915" s="2" t="s">
        <v>74</v>
      </c>
      <c r="Q915" s="2" t="s">
        <v>74</v>
      </c>
      <c r="R915" s="2" t="s">
        <v>74</v>
      </c>
      <c r="S915" s="2" t="s">
        <v>74</v>
      </c>
      <c r="T915" s="2" t="s">
        <v>74</v>
      </c>
      <c r="U915" s="2" t="s">
        <v>74</v>
      </c>
      <c r="V915" s="5" t="s">
        <v>4036</v>
      </c>
      <c r="W915" s="2" t="s">
        <v>74</v>
      </c>
      <c r="X915" s="2" t="s">
        <v>74</v>
      </c>
      <c r="Y915" s="2" t="s">
        <v>74</v>
      </c>
      <c r="Z915" s="2" t="s">
        <v>74</v>
      </c>
      <c r="AA915" s="2" t="s">
        <v>4037</v>
      </c>
      <c r="AB915" s="2" t="s">
        <v>4038</v>
      </c>
      <c r="AC915" s="2" t="s">
        <v>74</v>
      </c>
      <c r="AD915" s="2" t="s">
        <v>74</v>
      </c>
      <c r="AE915" s="2" t="s">
        <v>74</v>
      </c>
      <c r="AF915" s="2" t="s">
        <v>74</v>
      </c>
      <c r="AG915" s="2" t="s">
        <v>74</v>
      </c>
      <c r="AH915" s="2" t="s">
        <v>74</v>
      </c>
      <c r="AI915" s="2" t="s">
        <v>74</v>
      </c>
      <c r="AJ915" s="2" t="s">
        <v>74</v>
      </c>
      <c r="AK915" s="2" t="s">
        <v>74</v>
      </c>
      <c r="AL915" s="2" t="s">
        <v>74</v>
      </c>
      <c r="AM915" s="2" t="s">
        <v>74</v>
      </c>
      <c r="AN915" s="2" t="s">
        <v>74</v>
      </c>
      <c r="AO915" s="2" t="s">
        <v>74</v>
      </c>
      <c r="AP915" s="2" t="s">
        <v>1953</v>
      </c>
      <c r="AQ915" s="2" t="s">
        <v>74</v>
      </c>
      <c r="AR915" s="2" t="s">
        <v>74</v>
      </c>
      <c r="AS915" s="2" t="s">
        <v>74</v>
      </c>
      <c r="AT915" s="2" t="s">
        <v>213</v>
      </c>
      <c r="AU915" s="2">
        <v>2020</v>
      </c>
      <c r="AV915" s="2">
        <v>11</v>
      </c>
      <c r="AW915" s="2">
        <v>11</v>
      </c>
      <c r="AX915" s="2" t="s">
        <v>74</v>
      </c>
      <c r="AY915" s="2" t="s">
        <v>74</v>
      </c>
      <c r="AZ915" s="2" t="s">
        <v>74</v>
      </c>
      <c r="BA915" s="2" t="s">
        <v>74</v>
      </c>
      <c r="BB915" s="2" t="s">
        <v>74</v>
      </c>
      <c r="BC915" s="2" t="s">
        <v>74</v>
      </c>
      <c r="BD915" s="2">
        <v>727</v>
      </c>
      <c r="BE915" s="2" t="s">
        <v>4039</v>
      </c>
      <c r="BF915" s="2" t="str">
        <f>HYPERLINK("http://dx.doi.org/10.3390/insects11110727","http://dx.doi.org/10.3390/insects11110727")</f>
        <v>http://dx.doi.org/10.3390/insects11110727</v>
      </c>
      <c r="BG915" s="2" t="s">
        <v>74</v>
      </c>
      <c r="BH915" s="2" t="s">
        <v>74</v>
      </c>
      <c r="BI915" s="2" t="s">
        <v>74</v>
      </c>
      <c r="BJ915" s="2" t="s">
        <v>74</v>
      </c>
      <c r="BK915" s="2" t="s">
        <v>74</v>
      </c>
      <c r="BL915" s="2" t="s">
        <v>74</v>
      </c>
      <c r="BM915" s="2" t="s">
        <v>74</v>
      </c>
      <c r="BN915" s="2">
        <v>33114300</v>
      </c>
      <c r="BO915" s="2" t="s">
        <v>74</v>
      </c>
      <c r="BP915" s="2" t="s">
        <v>74</v>
      </c>
      <c r="BQ915" s="2" t="s">
        <v>74</v>
      </c>
      <c r="BR915" s="2" t="s">
        <v>74</v>
      </c>
      <c r="BS915" s="2" t="s">
        <v>4040</v>
      </c>
      <c r="BT915" s="2" t="str">
        <f>HYPERLINK("https%3A%2F%2Fwww.webofscience.com%2Fwos%2Fwoscc%2Ffull-record%2FWOS:000593343100001","View Full Record in Web of Science")</f>
        <v>View Full Record in Web of Science</v>
      </c>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row>
    <row r="916" spans="1:314" s="2" customFormat="1" x14ac:dyDescent="0.4">
      <c r="A916" s="2" t="s">
        <v>72</v>
      </c>
      <c r="B916" s="2" t="s">
        <v>2061</v>
      </c>
      <c r="C916" s="2" t="s">
        <v>74</v>
      </c>
      <c r="D916" s="2" t="s">
        <v>74</v>
      </c>
      <c r="E916" s="2" t="s">
        <v>74</v>
      </c>
      <c r="F916" s="2" t="s">
        <v>2062</v>
      </c>
      <c r="G916" s="2" t="s">
        <v>74</v>
      </c>
      <c r="H916" s="2" t="s">
        <v>74</v>
      </c>
      <c r="I916" s="2" t="s">
        <v>2063</v>
      </c>
      <c r="J916" s="2" t="s">
        <v>129</v>
      </c>
      <c r="K916" s="2" t="s">
        <v>74</v>
      </c>
      <c r="L916" s="2" t="s">
        <v>74</v>
      </c>
      <c r="M916" s="2" t="s">
        <v>74</v>
      </c>
      <c r="N916" s="2" t="s">
        <v>74</v>
      </c>
      <c r="O916" s="2" t="s">
        <v>74</v>
      </c>
      <c r="P916" s="2" t="s">
        <v>74</v>
      </c>
      <c r="Q916" s="2" t="s">
        <v>74</v>
      </c>
      <c r="R916" s="2" t="s">
        <v>74</v>
      </c>
      <c r="S916" s="2" t="s">
        <v>74</v>
      </c>
      <c r="T916" s="2" t="s">
        <v>74</v>
      </c>
      <c r="U916" s="2" t="s">
        <v>74</v>
      </c>
      <c r="V916" s="5" t="s">
        <v>2064</v>
      </c>
      <c r="W916" s="2" t="s">
        <v>74</v>
      </c>
      <c r="X916" s="2" t="s">
        <v>74</v>
      </c>
      <c r="Y916" s="2" t="s">
        <v>74</v>
      </c>
      <c r="Z916" s="2" t="s">
        <v>74</v>
      </c>
      <c r="AA916" s="2" t="s">
        <v>74</v>
      </c>
      <c r="AB916" s="2" t="s">
        <v>74</v>
      </c>
      <c r="AC916" s="2" t="s">
        <v>74</v>
      </c>
      <c r="AD916" s="2" t="s">
        <v>74</v>
      </c>
      <c r="AE916" s="2" t="s">
        <v>74</v>
      </c>
      <c r="AF916" s="2" t="s">
        <v>74</v>
      </c>
      <c r="AG916" s="2" t="s">
        <v>74</v>
      </c>
      <c r="AH916" s="2" t="s">
        <v>74</v>
      </c>
      <c r="AI916" s="2" t="s">
        <v>74</v>
      </c>
      <c r="AJ916" s="2" t="s">
        <v>74</v>
      </c>
      <c r="AK916" s="2" t="s">
        <v>74</v>
      </c>
      <c r="AL916" s="2" t="s">
        <v>74</v>
      </c>
      <c r="AM916" s="2" t="s">
        <v>74</v>
      </c>
      <c r="AN916" s="2" t="s">
        <v>74</v>
      </c>
      <c r="AO916" s="2" t="s">
        <v>132</v>
      </c>
      <c r="AP916" s="2" t="s">
        <v>133</v>
      </c>
      <c r="AQ916" s="2" t="s">
        <v>74</v>
      </c>
      <c r="AR916" s="2" t="s">
        <v>74</v>
      </c>
      <c r="AS916" s="2" t="s">
        <v>74</v>
      </c>
      <c r="AT916" s="2" t="s">
        <v>204</v>
      </c>
      <c r="AU916" s="2">
        <v>2024</v>
      </c>
      <c r="AV916" s="2">
        <v>78</v>
      </c>
      <c r="AW916" s="2">
        <v>7</v>
      </c>
      <c r="AX916" s="2" t="s">
        <v>74</v>
      </c>
      <c r="AY916" s="2" t="s">
        <v>74</v>
      </c>
      <c r="AZ916" s="2" t="s">
        <v>74</v>
      </c>
      <c r="BA916" s="2" t="s">
        <v>74</v>
      </c>
      <c r="BB916" s="2" t="s">
        <v>74</v>
      </c>
      <c r="BC916" s="2" t="s">
        <v>74</v>
      </c>
      <c r="BD916" s="2">
        <v>78</v>
      </c>
      <c r="BE916" s="2" t="s">
        <v>2065</v>
      </c>
      <c r="BF916" s="2" t="str">
        <f>HYPERLINK("http://dx.doi.org/10.1007/s00265-024-03493-0","http://dx.doi.org/10.1007/s00265-024-03493-0")</f>
        <v>http://dx.doi.org/10.1007/s00265-024-03493-0</v>
      </c>
      <c r="BG916" s="2" t="s">
        <v>74</v>
      </c>
      <c r="BH916" s="2" t="s">
        <v>74</v>
      </c>
      <c r="BI916" s="2" t="s">
        <v>74</v>
      </c>
      <c r="BJ916" s="2" t="s">
        <v>74</v>
      </c>
      <c r="BK916" s="2" t="s">
        <v>74</v>
      </c>
      <c r="BL916" s="2" t="s">
        <v>74</v>
      </c>
      <c r="BM916" s="2" t="s">
        <v>74</v>
      </c>
      <c r="BN916" s="2" t="s">
        <v>74</v>
      </c>
      <c r="BO916" s="2" t="s">
        <v>74</v>
      </c>
      <c r="BP916" s="2" t="s">
        <v>74</v>
      </c>
      <c r="BQ916" s="2" t="s">
        <v>74</v>
      </c>
      <c r="BR916" s="2" t="s">
        <v>74</v>
      </c>
      <c r="BS916" s="2" t="s">
        <v>2066</v>
      </c>
      <c r="BT916" s="2" t="str">
        <f>HYPERLINK("https%3A%2F%2Fwww.webofscience.com%2Fwos%2Fwoscc%2Ffull-record%2FWOS:001262286100002","View Full Record in Web of Science")</f>
        <v>View Full Record in Web of Science</v>
      </c>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row>
    <row r="917" spans="1:314" s="2" customFormat="1" x14ac:dyDescent="0.4">
      <c r="A917" s="2" t="s">
        <v>72</v>
      </c>
      <c r="B917" s="2" t="s">
        <v>2214</v>
      </c>
      <c r="C917" s="2" t="s">
        <v>74</v>
      </c>
      <c r="D917" s="2" t="s">
        <v>74</v>
      </c>
      <c r="E917" s="2" t="s">
        <v>74</v>
      </c>
      <c r="F917" s="2" t="s">
        <v>2215</v>
      </c>
      <c r="G917" s="2" t="s">
        <v>74</v>
      </c>
      <c r="H917" s="2" t="s">
        <v>74</v>
      </c>
      <c r="I917" s="2" t="s">
        <v>2216</v>
      </c>
      <c r="J917" s="2" t="s">
        <v>192</v>
      </c>
      <c r="K917" s="2" t="s">
        <v>74</v>
      </c>
      <c r="L917" s="2" t="s">
        <v>74</v>
      </c>
      <c r="M917" s="2" t="s">
        <v>74</v>
      </c>
      <c r="N917" s="2" t="s">
        <v>74</v>
      </c>
      <c r="O917" s="2" t="s">
        <v>74</v>
      </c>
      <c r="P917" s="2" t="s">
        <v>74</v>
      </c>
      <c r="Q917" s="2" t="s">
        <v>74</v>
      </c>
      <c r="R917" s="2" t="s">
        <v>74</v>
      </c>
      <c r="S917" s="2" t="s">
        <v>74</v>
      </c>
      <c r="T917" s="2" t="s">
        <v>74</v>
      </c>
      <c r="U917" s="2" t="s">
        <v>74</v>
      </c>
      <c r="V917" s="5" t="s">
        <v>2217</v>
      </c>
      <c r="W917" s="2" t="s">
        <v>74</v>
      </c>
      <c r="X917" s="2" t="s">
        <v>74</v>
      </c>
      <c r="Y917" s="2" t="s">
        <v>74</v>
      </c>
      <c r="Z917" s="2" t="s">
        <v>74</v>
      </c>
      <c r="AA917" s="2" t="s">
        <v>2218</v>
      </c>
      <c r="AB917" s="2" t="s">
        <v>2219</v>
      </c>
      <c r="AC917" s="2" t="s">
        <v>74</v>
      </c>
      <c r="AD917" s="2" t="s">
        <v>74</v>
      </c>
      <c r="AE917" s="2" t="s">
        <v>74</v>
      </c>
      <c r="AF917" s="2" t="s">
        <v>74</v>
      </c>
      <c r="AG917" s="2" t="s">
        <v>74</v>
      </c>
      <c r="AH917" s="2" t="s">
        <v>74</v>
      </c>
      <c r="AI917" s="2" t="s">
        <v>74</v>
      </c>
      <c r="AJ917" s="2" t="s">
        <v>74</v>
      </c>
      <c r="AK917" s="2" t="s">
        <v>74</v>
      </c>
      <c r="AL917" s="2" t="s">
        <v>74</v>
      </c>
      <c r="AM917" s="2" t="s">
        <v>74</v>
      </c>
      <c r="AN917" s="2" t="s">
        <v>74</v>
      </c>
      <c r="AO917" s="2" t="s">
        <v>195</v>
      </c>
      <c r="AP917" s="2" t="s">
        <v>196</v>
      </c>
      <c r="AQ917" s="2" t="s">
        <v>74</v>
      </c>
      <c r="AR917" s="2" t="s">
        <v>74</v>
      </c>
      <c r="AS917" s="2" t="s">
        <v>74</v>
      </c>
      <c r="AT917" s="2" t="s">
        <v>134</v>
      </c>
      <c r="AU917" s="2">
        <v>2019</v>
      </c>
      <c r="AV917" s="2">
        <v>833</v>
      </c>
      <c r="AW917" s="2">
        <v>1</v>
      </c>
      <c r="AX917" s="2" t="s">
        <v>74</v>
      </c>
      <c r="AY917" s="2" t="s">
        <v>74</v>
      </c>
      <c r="AZ917" s="2" t="s">
        <v>74</v>
      </c>
      <c r="BA917" s="2" t="s">
        <v>74</v>
      </c>
      <c r="BB917" s="2">
        <v>185</v>
      </c>
      <c r="BC917" s="2">
        <v>196</v>
      </c>
      <c r="BD917" s="2" t="s">
        <v>74</v>
      </c>
      <c r="BE917" s="2" t="s">
        <v>2220</v>
      </c>
      <c r="BF917" s="2" t="str">
        <f>HYPERLINK("http://dx.doi.org/10.1007/s10750-019-3899-6","http://dx.doi.org/10.1007/s10750-019-3899-6")</f>
        <v>http://dx.doi.org/10.1007/s10750-019-3899-6</v>
      </c>
      <c r="BG917" s="2" t="s">
        <v>74</v>
      </c>
      <c r="BH917" s="2" t="s">
        <v>74</v>
      </c>
      <c r="BI917" s="2" t="s">
        <v>74</v>
      </c>
      <c r="BJ917" s="2" t="s">
        <v>74</v>
      </c>
      <c r="BK917" s="2" t="s">
        <v>74</v>
      </c>
      <c r="BL917" s="2" t="s">
        <v>74</v>
      </c>
      <c r="BM917" s="2" t="s">
        <v>74</v>
      </c>
      <c r="BN917" s="2" t="s">
        <v>74</v>
      </c>
      <c r="BO917" s="2" t="s">
        <v>74</v>
      </c>
      <c r="BP917" s="2" t="s">
        <v>74</v>
      </c>
      <c r="BQ917" s="2" t="s">
        <v>74</v>
      </c>
      <c r="BR917" s="2" t="s">
        <v>74</v>
      </c>
      <c r="BS917" s="2" t="s">
        <v>2221</v>
      </c>
      <c r="BT917" s="2" t="str">
        <f>HYPERLINK("https%3A%2F%2Fwww.webofscience.com%2Fwos%2Fwoscc%2Ffull-record%2FWOS:000460694400013","View Full Record in Web of Science")</f>
        <v>View Full Record in Web of Science</v>
      </c>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row>
    <row r="918" spans="1:314" s="2" customFormat="1" x14ac:dyDescent="0.4">
      <c r="A918" s="2" t="s">
        <v>72</v>
      </c>
      <c r="B918" s="2" t="s">
        <v>6497</v>
      </c>
      <c r="C918" s="2" t="s">
        <v>74</v>
      </c>
      <c r="D918" s="2" t="s">
        <v>74</v>
      </c>
      <c r="E918" s="2" t="s">
        <v>74</v>
      </c>
      <c r="F918" s="2" t="s">
        <v>6498</v>
      </c>
      <c r="G918" s="2" t="s">
        <v>74</v>
      </c>
      <c r="H918" s="2" t="s">
        <v>74</v>
      </c>
      <c r="I918" s="2" t="s">
        <v>6499</v>
      </c>
      <c r="J918" s="2" t="s">
        <v>5577</v>
      </c>
      <c r="K918" s="2" t="s">
        <v>74</v>
      </c>
      <c r="L918" s="2" t="s">
        <v>74</v>
      </c>
      <c r="M918" s="2" t="s">
        <v>74</v>
      </c>
      <c r="N918" s="2" t="s">
        <v>74</v>
      </c>
      <c r="O918" s="2" t="s">
        <v>74</v>
      </c>
      <c r="P918" s="2" t="s">
        <v>74</v>
      </c>
      <c r="Q918" s="2" t="s">
        <v>74</v>
      </c>
      <c r="R918" s="2" t="s">
        <v>74</v>
      </c>
      <c r="S918" s="2" t="s">
        <v>74</v>
      </c>
      <c r="T918" s="2" t="s">
        <v>74</v>
      </c>
      <c r="U918" s="2" t="s">
        <v>74</v>
      </c>
      <c r="V918" s="5" t="s">
        <v>6500</v>
      </c>
      <c r="W918" s="2" t="s">
        <v>74</v>
      </c>
      <c r="X918" s="2" t="s">
        <v>74</v>
      </c>
      <c r="Y918" s="2" t="s">
        <v>74</v>
      </c>
      <c r="Z918" s="2" t="s">
        <v>74</v>
      </c>
      <c r="AA918" s="2" t="s">
        <v>74</v>
      </c>
      <c r="AB918" s="2" t="s">
        <v>74</v>
      </c>
      <c r="AC918" s="2" t="s">
        <v>74</v>
      </c>
      <c r="AD918" s="2" t="s">
        <v>74</v>
      </c>
      <c r="AE918" s="2" t="s">
        <v>74</v>
      </c>
      <c r="AF918" s="2" t="s">
        <v>74</v>
      </c>
      <c r="AG918" s="2" t="s">
        <v>74</v>
      </c>
      <c r="AH918" s="2" t="s">
        <v>74</v>
      </c>
      <c r="AI918" s="2" t="s">
        <v>74</v>
      </c>
      <c r="AJ918" s="2" t="s">
        <v>74</v>
      </c>
      <c r="AK918" s="2" t="s">
        <v>74</v>
      </c>
      <c r="AL918" s="2" t="s">
        <v>74</v>
      </c>
      <c r="AM918" s="2" t="s">
        <v>74</v>
      </c>
      <c r="AN918" s="2" t="s">
        <v>74</v>
      </c>
      <c r="AO918" s="2" t="s">
        <v>5579</v>
      </c>
      <c r="AP918" s="2" t="s">
        <v>74</v>
      </c>
      <c r="AQ918" s="2" t="s">
        <v>74</v>
      </c>
      <c r="AR918" s="2" t="s">
        <v>74</v>
      </c>
      <c r="AS918" s="2" t="s">
        <v>74</v>
      </c>
      <c r="AT918" s="2" t="s">
        <v>102</v>
      </c>
      <c r="AU918" s="2">
        <v>2023</v>
      </c>
      <c r="AV918" s="2">
        <v>102</v>
      </c>
      <c r="AW918" s="2">
        <v>6</v>
      </c>
      <c r="AX918" s="2" t="s">
        <v>74</v>
      </c>
      <c r="AY918" s="2" t="s">
        <v>74</v>
      </c>
      <c r="AZ918" s="2" t="s">
        <v>74</v>
      </c>
      <c r="BA918" s="2" t="s">
        <v>74</v>
      </c>
      <c r="BB918" s="2">
        <v>657</v>
      </c>
      <c r="BC918" s="2">
        <v>674</v>
      </c>
      <c r="BD918" s="2" t="s">
        <v>74</v>
      </c>
      <c r="BE918" s="2" t="s">
        <v>6501</v>
      </c>
      <c r="BF918" s="2" t="str">
        <f>HYPERLINK("http://dx.doi.org/10.31857/S0044513423060120","http://dx.doi.org/10.31857/S0044513423060120")</f>
        <v>http://dx.doi.org/10.31857/S0044513423060120</v>
      </c>
      <c r="BG918" s="2" t="s">
        <v>74</v>
      </c>
      <c r="BH918" s="2" t="s">
        <v>74</v>
      </c>
      <c r="BI918" s="2" t="s">
        <v>74</v>
      </c>
      <c r="BJ918" s="2" t="s">
        <v>74</v>
      </c>
      <c r="BK918" s="2" t="s">
        <v>74</v>
      </c>
      <c r="BL918" s="2" t="s">
        <v>74</v>
      </c>
      <c r="BM918" s="2" t="s">
        <v>74</v>
      </c>
      <c r="BN918" s="2" t="s">
        <v>74</v>
      </c>
      <c r="BO918" s="2" t="s">
        <v>74</v>
      </c>
      <c r="BP918" s="2" t="s">
        <v>74</v>
      </c>
      <c r="BQ918" s="2" t="s">
        <v>74</v>
      </c>
      <c r="BR918" s="2" t="s">
        <v>74</v>
      </c>
      <c r="BS918" s="2" t="s">
        <v>6502</v>
      </c>
      <c r="BT918" s="2" t="str">
        <f>HYPERLINK("https%3A%2F%2Fwww.webofscience.com%2Fwos%2Fwoscc%2Ffull-record%2FWOS:001044376400004","View Full Record in Web of Science")</f>
        <v>View Full Record in Web of Science</v>
      </c>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row>
    <row r="919" spans="1:314" s="2" customFormat="1" x14ac:dyDescent="0.4">
      <c r="A919" s="2" t="s">
        <v>72</v>
      </c>
      <c r="B919" s="2" t="s">
        <v>5295</v>
      </c>
      <c r="C919" s="2" t="s">
        <v>74</v>
      </c>
      <c r="D919" s="2" t="s">
        <v>74</v>
      </c>
      <c r="E919" s="2" t="s">
        <v>74</v>
      </c>
      <c r="F919" s="2" t="s">
        <v>5295</v>
      </c>
      <c r="G919" s="2" t="s">
        <v>74</v>
      </c>
      <c r="H919" s="2" t="s">
        <v>74</v>
      </c>
      <c r="I919" s="2" t="s">
        <v>5296</v>
      </c>
      <c r="J919" s="2" t="s">
        <v>77</v>
      </c>
      <c r="K919" s="2" t="s">
        <v>74</v>
      </c>
      <c r="L919" s="2" t="s">
        <v>74</v>
      </c>
      <c r="M919" s="2" t="s">
        <v>74</v>
      </c>
      <c r="N919" s="2" t="s">
        <v>74</v>
      </c>
      <c r="O919" s="2" t="s">
        <v>74</v>
      </c>
      <c r="P919" s="2" t="s">
        <v>74</v>
      </c>
      <c r="Q919" s="2" t="s">
        <v>74</v>
      </c>
      <c r="R919" s="2" t="s">
        <v>74</v>
      </c>
      <c r="S919" s="2" t="s">
        <v>74</v>
      </c>
      <c r="T919" s="2" t="s">
        <v>74</v>
      </c>
      <c r="U919" s="2" t="s">
        <v>74</v>
      </c>
      <c r="V919" s="5" t="s">
        <v>5297</v>
      </c>
      <c r="W919" s="2" t="s">
        <v>74</v>
      </c>
      <c r="X919" s="2" t="s">
        <v>74</v>
      </c>
      <c r="Y919" s="2" t="s">
        <v>74</v>
      </c>
      <c r="Z919" s="2" t="s">
        <v>74</v>
      </c>
      <c r="AA919" s="2" t="s">
        <v>5298</v>
      </c>
      <c r="AB919" s="2" t="s">
        <v>5299</v>
      </c>
      <c r="AC919" s="2" t="s">
        <v>74</v>
      </c>
      <c r="AD919" s="2" t="s">
        <v>74</v>
      </c>
      <c r="AE919" s="2" t="s">
        <v>74</v>
      </c>
      <c r="AF919" s="2" t="s">
        <v>74</v>
      </c>
      <c r="AG919" s="2" t="s">
        <v>74</v>
      </c>
      <c r="AH919" s="2" t="s">
        <v>74</v>
      </c>
      <c r="AI919" s="2" t="s">
        <v>74</v>
      </c>
      <c r="AJ919" s="2" t="s">
        <v>74</v>
      </c>
      <c r="AK919" s="2" t="s">
        <v>74</v>
      </c>
      <c r="AL919" s="2" t="s">
        <v>74</v>
      </c>
      <c r="AM919" s="2" t="s">
        <v>74</v>
      </c>
      <c r="AN919" s="2" t="s">
        <v>74</v>
      </c>
      <c r="AO919" s="2" t="s">
        <v>81</v>
      </c>
      <c r="AP919" s="2" t="s">
        <v>74</v>
      </c>
      <c r="AQ919" s="2" t="s">
        <v>74</v>
      </c>
      <c r="AR919" s="2" t="s">
        <v>74</v>
      </c>
      <c r="AS919" s="2" t="s">
        <v>74</v>
      </c>
      <c r="AT919" s="2" t="s">
        <v>145</v>
      </c>
      <c r="AU919" s="2">
        <v>1997</v>
      </c>
      <c r="AV919" s="2">
        <v>134</v>
      </c>
      <c r="AW919" s="2" t="s">
        <v>74</v>
      </c>
      <c r="AX919" s="2" t="s">
        <v>5300</v>
      </c>
      <c r="AY919" s="2" t="s">
        <v>74</v>
      </c>
      <c r="AZ919" s="2" t="s">
        <v>74</v>
      </c>
      <c r="BA919" s="2" t="s">
        <v>74</v>
      </c>
      <c r="BB919" s="2">
        <v>727</v>
      </c>
      <c r="BC919" s="2">
        <v>747</v>
      </c>
      <c r="BD919" s="2" t="s">
        <v>74</v>
      </c>
      <c r="BE919" s="2" t="s">
        <v>5301</v>
      </c>
      <c r="BF919" s="2" t="str">
        <f>HYPERLINK("http://dx.doi.org/10.1163/156853997X00043","http://dx.doi.org/10.1163/156853997X00043")</f>
        <v>http://dx.doi.org/10.1163/156853997X00043</v>
      </c>
      <c r="BG919" s="2" t="s">
        <v>74</v>
      </c>
      <c r="BH919" s="2" t="s">
        <v>74</v>
      </c>
      <c r="BI919" s="2" t="s">
        <v>74</v>
      </c>
      <c r="BJ919" s="2" t="s">
        <v>74</v>
      </c>
      <c r="BK919" s="2" t="s">
        <v>74</v>
      </c>
      <c r="BL919" s="2" t="s">
        <v>74</v>
      </c>
      <c r="BM919" s="2" t="s">
        <v>74</v>
      </c>
      <c r="BN919" s="2" t="s">
        <v>74</v>
      </c>
      <c r="BO919" s="2" t="s">
        <v>74</v>
      </c>
      <c r="BP919" s="2" t="s">
        <v>74</v>
      </c>
      <c r="BQ919" s="2" t="s">
        <v>74</v>
      </c>
      <c r="BR919" s="2" t="s">
        <v>74</v>
      </c>
      <c r="BS919" s="2" t="s">
        <v>5302</v>
      </c>
      <c r="BT919" s="2" t="str">
        <f>HYPERLINK("https%3A%2F%2Fwww.webofscience.com%2Fwos%2Fwoscc%2Ffull-record%2FWOS:A1997XY18500004","View Full Record in Web of Science")</f>
        <v>View Full Record in Web of Science</v>
      </c>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row>
    <row r="920" spans="1:314" s="2" customFormat="1" x14ac:dyDescent="0.4">
      <c r="A920" s="2" t="s">
        <v>72</v>
      </c>
      <c r="B920" s="2" t="s">
        <v>444</v>
      </c>
      <c r="C920" s="2" t="s">
        <v>74</v>
      </c>
      <c r="D920" s="2" t="s">
        <v>74</v>
      </c>
      <c r="E920" s="2" t="s">
        <v>74</v>
      </c>
      <c r="F920" s="2" t="s">
        <v>445</v>
      </c>
      <c r="G920" s="2" t="s">
        <v>74</v>
      </c>
      <c r="H920" s="2" t="s">
        <v>74</v>
      </c>
      <c r="I920" s="2" t="s">
        <v>446</v>
      </c>
      <c r="J920" s="2" t="s">
        <v>108</v>
      </c>
      <c r="K920" s="2" t="s">
        <v>74</v>
      </c>
      <c r="L920" s="2" t="s">
        <v>74</v>
      </c>
      <c r="M920" s="2" t="s">
        <v>74</v>
      </c>
      <c r="N920" s="2" t="s">
        <v>74</v>
      </c>
      <c r="O920" s="2" t="s">
        <v>74</v>
      </c>
      <c r="P920" s="2" t="s">
        <v>74</v>
      </c>
      <c r="Q920" s="2" t="s">
        <v>74</v>
      </c>
      <c r="R920" s="2" t="s">
        <v>74</v>
      </c>
      <c r="S920" s="2" t="s">
        <v>74</v>
      </c>
      <c r="T920" s="2" t="s">
        <v>74</v>
      </c>
      <c r="U920" s="2" t="s">
        <v>74</v>
      </c>
      <c r="V920" s="5" t="s">
        <v>447</v>
      </c>
      <c r="W920" s="2" t="s">
        <v>74</v>
      </c>
      <c r="X920" s="2" t="s">
        <v>74</v>
      </c>
      <c r="Y920" s="2" t="s">
        <v>74</v>
      </c>
      <c r="Z920" s="2" t="s">
        <v>74</v>
      </c>
      <c r="AA920" s="2" t="s">
        <v>448</v>
      </c>
      <c r="AB920" s="2" t="s">
        <v>449</v>
      </c>
      <c r="AC920" s="2" t="s">
        <v>74</v>
      </c>
      <c r="AD920" s="2" t="s">
        <v>74</v>
      </c>
      <c r="AE920" s="2" t="s">
        <v>74</v>
      </c>
      <c r="AF920" s="2" t="s">
        <v>74</v>
      </c>
      <c r="AG920" s="2" t="s">
        <v>74</v>
      </c>
      <c r="AH920" s="2" t="s">
        <v>74</v>
      </c>
      <c r="AI920" s="2" t="s">
        <v>74</v>
      </c>
      <c r="AJ920" s="2" t="s">
        <v>74</v>
      </c>
      <c r="AK920" s="2" t="s">
        <v>74</v>
      </c>
      <c r="AL920" s="2" t="s">
        <v>74</v>
      </c>
      <c r="AM920" s="2" t="s">
        <v>74</v>
      </c>
      <c r="AN920" s="2" t="s">
        <v>74</v>
      </c>
      <c r="AO920" s="2" t="s">
        <v>111</v>
      </c>
      <c r="AP920" s="2" t="s">
        <v>112</v>
      </c>
      <c r="AQ920" s="2" t="s">
        <v>74</v>
      </c>
      <c r="AR920" s="2" t="s">
        <v>74</v>
      </c>
      <c r="AS920" s="2" t="s">
        <v>74</v>
      </c>
      <c r="AT920" s="2" t="s">
        <v>450</v>
      </c>
      <c r="AU920" s="2">
        <v>2021</v>
      </c>
      <c r="AV920" s="2">
        <v>288</v>
      </c>
      <c r="AW920" s="2">
        <v>1947</v>
      </c>
      <c r="AX920" s="2" t="s">
        <v>74</v>
      </c>
      <c r="AY920" s="2" t="s">
        <v>74</v>
      </c>
      <c r="AZ920" s="2" t="s">
        <v>74</v>
      </c>
      <c r="BA920" s="2" t="s">
        <v>74</v>
      </c>
      <c r="BB920" s="2" t="s">
        <v>74</v>
      </c>
      <c r="BC920" s="2" t="s">
        <v>74</v>
      </c>
      <c r="BD920" s="2">
        <v>20210256</v>
      </c>
      <c r="BE920" s="2" t="s">
        <v>451</v>
      </c>
      <c r="BF920" s="2" t="str">
        <f>HYPERLINK("http://dx.doi.org/10.1098/rspb.2021.0256","http://dx.doi.org/10.1098/rspb.2021.0256")</f>
        <v>http://dx.doi.org/10.1098/rspb.2021.0256</v>
      </c>
      <c r="BG920" s="2" t="s">
        <v>74</v>
      </c>
      <c r="BH920" s="2" t="s">
        <v>74</v>
      </c>
      <c r="BI920" s="2" t="s">
        <v>74</v>
      </c>
      <c r="BJ920" s="2" t="s">
        <v>74</v>
      </c>
      <c r="BK920" s="2" t="s">
        <v>74</v>
      </c>
      <c r="BL920" s="2" t="s">
        <v>74</v>
      </c>
      <c r="BM920" s="2" t="s">
        <v>74</v>
      </c>
      <c r="BN920" s="2">
        <v>33784866</v>
      </c>
      <c r="BO920" s="2" t="s">
        <v>74</v>
      </c>
      <c r="BP920" s="2" t="s">
        <v>74</v>
      </c>
      <c r="BQ920" s="2" t="s">
        <v>74</v>
      </c>
      <c r="BR920" s="2" t="s">
        <v>74</v>
      </c>
      <c r="BS920" s="2" t="s">
        <v>452</v>
      </c>
      <c r="BT920" s="2" t="str">
        <f>HYPERLINK("https%3A%2F%2Fwww.webofscience.com%2Fwos%2Fwoscc%2Ffull-record%2FWOS:000636370000005","View Full Record in Web of Science")</f>
        <v>View Full Record in Web of Science</v>
      </c>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row>
    <row r="921" spans="1:314" s="2" customFormat="1" x14ac:dyDescent="0.4">
      <c r="A921" s="2" t="s">
        <v>72</v>
      </c>
      <c r="B921" s="2" t="s">
        <v>7999</v>
      </c>
      <c r="C921" s="2" t="s">
        <v>74</v>
      </c>
      <c r="D921" s="2" t="s">
        <v>74</v>
      </c>
      <c r="E921" s="2" t="s">
        <v>74</v>
      </c>
      <c r="F921" s="2" t="s">
        <v>8000</v>
      </c>
      <c r="G921" s="2" t="s">
        <v>74</v>
      </c>
      <c r="H921" s="2" t="s">
        <v>74</v>
      </c>
      <c r="I921" s="2" t="s">
        <v>8001</v>
      </c>
      <c r="J921" s="2" t="s">
        <v>1949</v>
      </c>
      <c r="K921" s="2" t="s">
        <v>74</v>
      </c>
      <c r="L921" s="2" t="s">
        <v>74</v>
      </c>
      <c r="M921" s="2" t="s">
        <v>74</v>
      </c>
      <c r="N921" s="2" t="s">
        <v>74</v>
      </c>
      <c r="O921" s="2" t="s">
        <v>74</v>
      </c>
      <c r="P921" s="2" t="s">
        <v>74</v>
      </c>
      <c r="Q921" s="2" t="s">
        <v>74</v>
      </c>
      <c r="R921" s="2" t="s">
        <v>74</v>
      </c>
      <c r="S921" s="2" t="s">
        <v>74</v>
      </c>
      <c r="T921" s="2" t="s">
        <v>74</v>
      </c>
      <c r="U921" s="2" t="s">
        <v>74</v>
      </c>
      <c r="V921" s="5" t="s">
        <v>8002</v>
      </c>
      <c r="W921" s="2" t="s">
        <v>74</v>
      </c>
      <c r="X921" s="2" t="s">
        <v>74</v>
      </c>
      <c r="Y921" s="2" t="s">
        <v>74</v>
      </c>
      <c r="Z921" s="2" t="s">
        <v>74</v>
      </c>
      <c r="AA921" s="2" t="s">
        <v>8003</v>
      </c>
      <c r="AB921" s="2" t="s">
        <v>8004</v>
      </c>
      <c r="AC921" s="2" t="s">
        <v>74</v>
      </c>
      <c r="AD921" s="2" t="s">
        <v>74</v>
      </c>
      <c r="AE921" s="2" t="s">
        <v>74</v>
      </c>
      <c r="AF921" s="2" t="s">
        <v>74</v>
      </c>
      <c r="AG921" s="2" t="s">
        <v>74</v>
      </c>
      <c r="AH921" s="2" t="s">
        <v>74</v>
      </c>
      <c r="AI921" s="2" t="s">
        <v>74</v>
      </c>
      <c r="AJ921" s="2" t="s">
        <v>74</v>
      </c>
      <c r="AK921" s="2" t="s">
        <v>74</v>
      </c>
      <c r="AL921" s="2" t="s">
        <v>74</v>
      </c>
      <c r="AM921" s="2" t="s">
        <v>74</v>
      </c>
      <c r="AN921" s="2" t="s">
        <v>74</v>
      </c>
      <c r="AO921" s="2" t="s">
        <v>74</v>
      </c>
      <c r="AP921" s="2" t="s">
        <v>1953</v>
      </c>
      <c r="AQ921" s="2" t="s">
        <v>74</v>
      </c>
      <c r="AR921" s="2" t="s">
        <v>74</v>
      </c>
      <c r="AS921" s="2" t="s">
        <v>74</v>
      </c>
      <c r="AT921" s="2" t="s">
        <v>213</v>
      </c>
      <c r="AU921" s="2">
        <v>2020</v>
      </c>
      <c r="AV921" s="2">
        <v>11</v>
      </c>
      <c r="AW921" s="2">
        <v>11</v>
      </c>
      <c r="AX921" s="2" t="s">
        <v>74</v>
      </c>
      <c r="AY921" s="2" t="s">
        <v>74</v>
      </c>
      <c r="AZ921" s="2" t="s">
        <v>74</v>
      </c>
      <c r="BA921" s="2" t="s">
        <v>74</v>
      </c>
      <c r="BB921" s="2" t="s">
        <v>74</v>
      </c>
      <c r="BC921" s="2" t="s">
        <v>74</v>
      </c>
      <c r="BD921" s="2">
        <v>800</v>
      </c>
      <c r="BE921" s="2" t="s">
        <v>8005</v>
      </c>
      <c r="BF921" s="2" t="str">
        <f>HYPERLINK("http://dx.doi.org/10.3390/insects11110800","http://dx.doi.org/10.3390/insects11110800")</f>
        <v>http://dx.doi.org/10.3390/insects11110800</v>
      </c>
      <c r="BG921" s="2" t="s">
        <v>74</v>
      </c>
      <c r="BH921" s="2" t="s">
        <v>74</v>
      </c>
      <c r="BI921" s="2" t="s">
        <v>74</v>
      </c>
      <c r="BJ921" s="2" t="s">
        <v>74</v>
      </c>
      <c r="BK921" s="2" t="s">
        <v>74</v>
      </c>
      <c r="BL921" s="2" t="s">
        <v>74</v>
      </c>
      <c r="BM921" s="2" t="s">
        <v>74</v>
      </c>
      <c r="BN921" s="2">
        <v>33202846</v>
      </c>
      <c r="BO921" s="2" t="s">
        <v>74</v>
      </c>
      <c r="BP921" s="2" t="s">
        <v>74</v>
      </c>
      <c r="BQ921" s="2" t="s">
        <v>74</v>
      </c>
      <c r="BR921" s="2" t="s">
        <v>74</v>
      </c>
      <c r="BS921" s="2" t="s">
        <v>8006</v>
      </c>
      <c r="BT921" s="2" t="str">
        <f>HYPERLINK("https%3A%2F%2Fwww.webofscience.com%2Fwos%2Fwoscc%2Ffull-record%2FWOS:000593180700001","View Full Record in Web of Science")</f>
        <v>View Full Record in Web of Science</v>
      </c>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row>
    <row r="922" spans="1:314" s="2" customFormat="1" x14ac:dyDescent="0.4">
      <c r="A922" s="2" t="s">
        <v>72</v>
      </c>
      <c r="B922" s="2" t="s">
        <v>942</v>
      </c>
      <c r="C922" s="2" t="s">
        <v>74</v>
      </c>
      <c r="D922" s="2" t="s">
        <v>74</v>
      </c>
      <c r="E922" s="2" t="s">
        <v>74</v>
      </c>
      <c r="F922" s="2" t="s">
        <v>943</v>
      </c>
      <c r="G922" s="2" t="s">
        <v>74</v>
      </c>
      <c r="H922" s="2" t="s">
        <v>74</v>
      </c>
      <c r="I922" s="2" t="s">
        <v>944</v>
      </c>
      <c r="J922" s="2" t="s">
        <v>140</v>
      </c>
      <c r="K922" s="2" t="s">
        <v>74</v>
      </c>
      <c r="L922" s="2" t="s">
        <v>74</v>
      </c>
      <c r="M922" s="2" t="s">
        <v>74</v>
      </c>
      <c r="N922" s="2" t="s">
        <v>74</v>
      </c>
      <c r="O922" s="2" t="s">
        <v>74</v>
      </c>
      <c r="P922" s="2" t="s">
        <v>74</v>
      </c>
      <c r="Q922" s="2" t="s">
        <v>74</v>
      </c>
      <c r="R922" s="2" t="s">
        <v>74</v>
      </c>
      <c r="S922" s="2" t="s">
        <v>74</v>
      </c>
      <c r="T922" s="2" t="s">
        <v>74</v>
      </c>
      <c r="U922" s="2" t="s">
        <v>74</v>
      </c>
      <c r="V922" s="5" t="s">
        <v>945</v>
      </c>
      <c r="W922" s="2" t="s">
        <v>74</v>
      </c>
      <c r="X922" s="2" t="s">
        <v>74</v>
      </c>
      <c r="Y922" s="2" t="s">
        <v>74</v>
      </c>
      <c r="Z922" s="2" t="s">
        <v>74</v>
      </c>
      <c r="AA922" s="2" t="s">
        <v>946</v>
      </c>
      <c r="AB922" s="2" t="s">
        <v>947</v>
      </c>
      <c r="AC922" s="2" t="s">
        <v>74</v>
      </c>
      <c r="AD922" s="2" t="s">
        <v>74</v>
      </c>
      <c r="AE922" s="2" t="s">
        <v>74</v>
      </c>
      <c r="AF922" s="2" t="s">
        <v>74</v>
      </c>
      <c r="AG922" s="2" t="s">
        <v>74</v>
      </c>
      <c r="AH922" s="2" t="s">
        <v>74</v>
      </c>
      <c r="AI922" s="2" t="s">
        <v>74</v>
      </c>
      <c r="AJ922" s="2" t="s">
        <v>74</v>
      </c>
      <c r="AK922" s="2" t="s">
        <v>74</v>
      </c>
      <c r="AL922" s="2" t="s">
        <v>74</v>
      </c>
      <c r="AM922" s="2" t="s">
        <v>74</v>
      </c>
      <c r="AN922" s="2" t="s">
        <v>74</v>
      </c>
      <c r="AO922" s="2" t="s">
        <v>143</v>
      </c>
      <c r="AP922" s="2" t="s">
        <v>144</v>
      </c>
      <c r="AQ922" s="2" t="s">
        <v>74</v>
      </c>
      <c r="AR922" s="2" t="s">
        <v>74</v>
      </c>
      <c r="AS922" s="2" t="s">
        <v>74</v>
      </c>
      <c r="AT922" s="2" t="s">
        <v>305</v>
      </c>
      <c r="AU922" s="2">
        <v>2020</v>
      </c>
      <c r="AV922" s="2">
        <v>170</v>
      </c>
      <c r="AW922" s="2" t="s">
        <v>74</v>
      </c>
      <c r="AX922" s="2" t="s">
        <v>74</v>
      </c>
      <c r="AY922" s="2" t="s">
        <v>74</v>
      </c>
      <c r="AZ922" s="2" t="s">
        <v>74</v>
      </c>
      <c r="BA922" s="2" t="s">
        <v>74</v>
      </c>
      <c r="BB922" s="2">
        <v>219</v>
      </c>
      <c r="BC922" s="2">
        <v>228</v>
      </c>
      <c r="BD922" s="2" t="s">
        <v>74</v>
      </c>
      <c r="BE922" s="2" t="s">
        <v>948</v>
      </c>
      <c r="BF922" s="2" t="str">
        <f>HYPERLINK("http://dx.doi.org/10.1016/j.anbehav.2020.10.008","http://dx.doi.org/10.1016/j.anbehav.2020.10.008")</f>
        <v>http://dx.doi.org/10.1016/j.anbehav.2020.10.008</v>
      </c>
      <c r="BG922" s="2" t="s">
        <v>74</v>
      </c>
      <c r="BH922" s="2" t="s">
        <v>74</v>
      </c>
      <c r="BI922" s="2" t="s">
        <v>74</v>
      </c>
      <c r="BJ922" s="2" t="s">
        <v>74</v>
      </c>
      <c r="BK922" s="2" t="s">
        <v>74</v>
      </c>
      <c r="BL922" s="2" t="s">
        <v>74</v>
      </c>
      <c r="BM922" s="2" t="s">
        <v>74</v>
      </c>
      <c r="BN922" s="2" t="s">
        <v>74</v>
      </c>
      <c r="BO922" s="2" t="s">
        <v>74</v>
      </c>
      <c r="BP922" s="2" t="s">
        <v>74</v>
      </c>
      <c r="BQ922" s="2" t="s">
        <v>74</v>
      </c>
      <c r="BR922" s="2" t="s">
        <v>74</v>
      </c>
      <c r="BS922" s="2" t="s">
        <v>949</v>
      </c>
      <c r="BT922" s="2" t="str">
        <f>HYPERLINK("https%3A%2F%2Fwww.webofscience.com%2Fwos%2Fwoscc%2Ffull-record%2FWOS:000598905300020","View Full Record in Web of Science")</f>
        <v>View Full Record in Web of Science</v>
      </c>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row>
    <row r="923" spans="1:314" s="2" customFormat="1" x14ac:dyDescent="0.4">
      <c r="A923" s="2" t="s">
        <v>72</v>
      </c>
      <c r="B923" s="2" t="s">
        <v>6503</v>
      </c>
      <c r="C923" s="2" t="s">
        <v>74</v>
      </c>
      <c r="D923" s="2" t="s">
        <v>74</v>
      </c>
      <c r="E923" s="2" t="s">
        <v>74</v>
      </c>
      <c r="F923" s="2" t="s">
        <v>6503</v>
      </c>
      <c r="G923" s="2" t="s">
        <v>74</v>
      </c>
      <c r="H923" s="2" t="s">
        <v>74</v>
      </c>
      <c r="I923" s="2" t="s">
        <v>6504</v>
      </c>
      <c r="J923" s="2" t="s">
        <v>1198</v>
      </c>
      <c r="K923" s="2" t="s">
        <v>74</v>
      </c>
      <c r="L923" s="2" t="s">
        <v>74</v>
      </c>
      <c r="M923" s="2" t="s">
        <v>74</v>
      </c>
      <c r="N923" s="2" t="s">
        <v>74</v>
      </c>
      <c r="O923" s="2" t="s">
        <v>74</v>
      </c>
      <c r="P923" s="2" t="s">
        <v>74</v>
      </c>
      <c r="Q923" s="2" t="s">
        <v>74</v>
      </c>
      <c r="R923" s="2" t="s">
        <v>74</v>
      </c>
      <c r="S923" s="2" t="s">
        <v>74</v>
      </c>
      <c r="T923" s="2" t="s">
        <v>74</v>
      </c>
      <c r="U923" s="2" t="s">
        <v>74</v>
      </c>
      <c r="V923" s="5" t="s">
        <v>6505</v>
      </c>
      <c r="W923" s="2" t="s">
        <v>74</v>
      </c>
      <c r="X923" s="2" t="s">
        <v>74</v>
      </c>
      <c r="Y923" s="2" t="s">
        <v>74</v>
      </c>
      <c r="Z923" s="2" t="s">
        <v>74</v>
      </c>
      <c r="AA923" s="2" t="s">
        <v>6506</v>
      </c>
      <c r="AB923" s="2" t="s">
        <v>6507</v>
      </c>
      <c r="AC923" s="2" t="s">
        <v>74</v>
      </c>
      <c r="AD923" s="2" t="s">
        <v>74</v>
      </c>
      <c r="AE923" s="2" t="s">
        <v>74</v>
      </c>
      <c r="AF923" s="2" t="s">
        <v>74</v>
      </c>
      <c r="AG923" s="2" t="s">
        <v>74</v>
      </c>
      <c r="AH923" s="2" t="s">
        <v>74</v>
      </c>
      <c r="AI923" s="2" t="s">
        <v>74</v>
      </c>
      <c r="AJ923" s="2" t="s">
        <v>74</v>
      </c>
      <c r="AK923" s="2" t="s">
        <v>74</v>
      </c>
      <c r="AL923" s="2" t="s">
        <v>74</v>
      </c>
      <c r="AM923" s="2" t="s">
        <v>74</v>
      </c>
      <c r="AN923" s="2" t="s">
        <v>74</v>
      </c>
      <c r="AO923" s="2" t="s">
        <v>1202</v>
      </c>
      <c r="AP923" s="2" t="s">
        <v>1203</v>
      </c>
      <c r="AQ923" s="2" t="s">
        <v>74</v>
      </c>
      <c r="AR923" s="2" t="s">
        <v>74</v>
      </c>
      <c r="AS923" s="2" t="s">
        <v>74</v>
      </c>
      <c r="AT923" s="2" t="s">
        <v>102</v>
      </c>
      <c r="AU923" s="2">
        <v>2005</v>
      </c>
      <c r="AV923" s="2">
        <v>61</v>
      </c>
      <c r="AW923" s="2">
        <v>2</v>
      </c>
      <c r="AX923" s="2" t="s">
        <v>74</v>
      </c>
      <c r="AY923" s="2" t="s">
        <v>74</v>
      </c>
      <c r="AZ923" s="2" t="s">
        <v>74</v>
      </c>
      <c r="BA923" s="2" t="s">
        <v>74</v>
      </c>
      <c r="BB923" s="2">
        <v>178</v>
      </c>
      <c r="BC923" s="2">
        <v>198</v>
      </c>
      <c r="BD923" s="2" t="s">
        <v>74</v>
      </c>
      <c r="BE923" s="2" t="s">
        <v>6508</v>
      </c>
      <c r="BF923" s="2" t="str">
        <f>HYPERLINK("http://dx.doi.org/10.1655/04-38","http://dx.doi.org/10.1655/04-38")</f>
        <v>http://dx.doi.org/10.1655/04-38</v>
      </c>
      <c r="BG923" s="2" t="s">
        <v>74</v>
      </c>
      <c r="BH923" s="2" t="s">
        <v>74</v>
      </c>
      <c r="BI923" s="2" t="s">
        <v>74</v>
      </c>
      <c r="BJ923" s="2" t="s">
        <v>74</v>
      </c>
      <c r="BK923" s="2" t="s">
        <v>74</v>
      </c>
      <c r="BL923" s="2" t="s">
        <v>74</v>
      </c>
      <c r="BM923" s="2" t="s">
        <v>74</v>
      </c>
      <c r="BN923" s="2" t="s">
        <v>74</v>
      </c>
      <c r="BO923" s="2" t="s">
        <v>74</v>
      </c>
      <c r="BP923" s="2" t="s">
        <v>74</v>
      </c>
      <c r="BQ923" s="2" t="s">
        <v>74</v>
      </c>
      <c r="BR923" s="2" t="s">
        <v>74</v>
      </c>
      <c r="BS923" s="2" t="s">
        <v>6509</v>
      </c>
      <c r="BT923" s="2" t="str">
        <f>HYPERLINK("https%3A%2F%2Fwww.webofscience.com%2Fwos%2Fwoscc%2Ffull-record%2FWOS:000229100000010","View Full Record in Web of Science")</f>
        <v>View Full Record in Web of Science</v>
      </c>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row>
    <row r="924" spans="1:314" s="7" customFormat="1" x14ac:dyDescent="0.4">
      <c r="A924" s="2" t="s">
        <v>72</v>
      </c>
      <c r="B924" s="2" t="s">
        <v>2886</v>
      </c>
      <c r="C924" s="2" t="s">
        <v>74</v>
      </c>
      <c r="D924" s="2" t="s">
        <v>74</v>
      </c>
      <c r="E924" s="2" t="s">
        <v>74</v>
      </c>
      <c r="F924" s="2" t="s">
        <v>2887</v>
      </c>
      <c r="G924" s="2" t="s">
        <v>74</v>
      </c>
      <c r="H924" s="2" t="s">
        <v>74</v>
      </c>
      <c r="I924" s="2" t="s">
        <v>2888</v>
      </c>
      <c r="J924" s="2" t="s">
        <v>218</v>
      </c>
      <c r="K924" s="2" t="s">
        <v>74</v>
      </c>
      <c r="L924" s="2" t="s">
        <v>74</v>
      </c>
      <c r="M924" s="2" t="s">
        <v>74</v>
      </c>
      <c r="N924" s="2" t="s">
        <v>74</v>
      </c>
      <c r="O924" s="2" t="s">
        <v>74</v>
      </c>
      <c r="P924" s="2" t="s">
        <v>74</v>
      </c>
      <c r="Q924" s="2" t="s">
        <v>74</v>
      </c>
      <c r="R924" s="2" t="s">
        <v>74</v>
      </c>
      <c r="S924" s="2" t="s">
        <v>74</v>
      </c>
      <c r="T924" s="2" t="s">
        <v>74</v>
      </c>
      <c r="U924" s="2" t="s">
        <v>74</v>
      </c>
      <c r="V924" s="5" t="s">
        <v>2889</v>
      </c>
      <c r="W924" s="2" t="s">
        <v>74</v>
      </c>
      <c r="X924" s="2" t="s">
        <v>74</v>
      </c>
      <c r="Y924" s="2" t="s">
        <v>74</v>
      </c>
      <c r="Z924" s="2" t="s">
        <v>74</v>
      </c>
      <c r="AA924" s="2" t="s">
        <v>74</v>
      </c>
      <c r="AB924" s="2" t="s">
        <v>2890</v>
      </c>
      <c r="AC924" s="2" t="s">
        <v>74</v>
      </c>
      <c r="AD924" s="2" t="s">
        <v>74</v>
      </c>
      <c r="AE924" s="2" t="s">
        <v>74</v>
      </c>
      <c r="AF924" s="2" t="s">
        <v>74</v>
      </c>
      <c r="AG924" s="2" t="s">
        <v>74</v>
      </c>
      <c r="AH924" s="2" t="s">
        <v>74</v>
      </c>
      <c r="AI924" s="2" t="s">
        <v>74</v>
      </c>
      <c r="AJ924" s="2" t="s">
        <v>74</v>
      </c>
      <c r="AK924" s="2" t="s">
        <v>74</v>
      </c>
      <c r="AL924" s="2" t="s">
        <v>74</v>
      </c>
      <c r="AM924" s="2" t="s">
        <v>74</v>
      </c>
      <c r="AN924" s="2" t="s">
        <v>74</v>
      </c>
      <c r="AO924" s="2" t="s">
        <v>221</v>
      </c>
      <c r="AP924" s="2" t="s">
        <v>222</v>
      </c>
      <c r="AQ924" s="2" t="s">
        <v>74</v>
      </c>
      <c r="AR924" s="2" t="s">
        <v>74</v>
      </c>
      <c r="AS924" s="2" t="s">
        <v>74</v>
      </c>
      <c r="AT924" s="2" t="s">
        <v>964</v>
      </c>
      <c r="AU924" s="2">
        <v>2016</v>
      </c>
      <c r="AV924" s="2">
        <v>29</v>
      </c>
      <c r="AW924" s="2">
        <v>2</v>
      </c>
      <c r="AX924" s="2" t="s">
        <v>74</v>
      </c>
      <c r="AY924" s="2" t="s">
        <v>74</v>
      </c>
      <c r="AZ924" s="2" t="s">
        <v>74</v>
      </c>
      <c r="BA924" s="2" t="s">
        <v>74</v>
      </c>
      <c r="BB924" s="2">
        <v>380</v>
      </c>
      <c r="BC924" s="2">
        <v>394</v>
      </c>
      <c r="BD924" s="2" t="s">
        <v>74</v>
      </c>
      <c r="BE924" s="2" t="s">
        <v>2891</v>
      </c>
      <c r="BF924" s="2" t="str">
        <f>HYPERLINK("http://dx.doi.org/10.1111/jeb.12793","http://dx.doi.org/10.1111/jeb.12793")</f>
        <v>http://dx.doi.org/10.1111/jeb.12793</v>
      </c>
      <c r="BG924" s="2" t="s">
        <v>74</v>
      </c>
      <c r="BH924" s="2" t="s">
        <v>74</v>
      </c>
      <c r="BI924" s="2" t="s">
        <v>74</v>
      </c>
      <c r="BJ924" s="2" t="s">
        <v>74</v>
      </c>
      <c r="BK924" s="2" t="s">
        <v>74</v>
      </c>
      <c r="BL924" s="2" t="s">
        <v>74</v>
      </c>
      <c r="BM924" s="2" t="s">
        <v>74</v>
      </c>
      <c r="BN924" s="2">
        <v>26563617</v>
      </c>
      <c r="BO924" s="2" t="s">
        <v>74</v>
      </c>
      <c r="BP924" s="2" t="s">
        <v>74</v>
      </c>
      <c r="BQ924" s="2" t="s">
        <v>74</v>
      </c>
      <c r="BR924" s="2" t="s">
        <v>74</v>
      </c>
      <c r="BS924" s="2" t="s">
        <v>2892</v>
      </c>
      <c r="BT924" s="2" t="str">
        <f>HYPERLINK("https%3A%2F%2Fwww.webofscience.com%2Fwos%2Fwoscc%2Ffull-record%2FWOS:000370070500014","View Full Record in Web of Science")</f>
        <v>View Full Record in Web of Science</v>
      </c>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row>
    <row r="925" spans="1:314" s="2" customFormat="1" x14ac:dyDescent="0.4">
      <c r="A925" s="2" t="s">
        <v>72</v>
      </c>
      <c r="B925" s="2" t="s">
        <v>3764</v>
      </c>
      <c r="C925" s="2" t="s">
        <v>74</v>
      </c>
      <c r="D925" s="2" t="s">
        <v>74</v>
      </c>
      <c r="E925" s="2" t="s">
        <v>74</v>
      </c>
      <c r="F925" s="2" t="s">
        <v>3764</v>
      </c>
      <c r="G925" s="2" t="s">
        <v>74</v>
      </c>
      <c r="H925" s="2" t="s">
        <v>74</v>
      </c>
      <c r="I925" s="2" t="s">
        <v>3765</v>
      </c>
      <c r="J925" s="2" t="s">
        <v>2207</v>
      </c>
      <c r="K925" s="2" t="s">
        <v>74</v>
      </c>
      <c r="L925" s="2" t="s">
        <v>74</v>
      </c>
      <c r="M925" s="2" t="s">
        <v>74</v>
      </c>
      <c r="N925" s="2" t="s">
        <v>74</v>
      </c>
      <c r="O925" s="2" t="s">
        <v>74</v>
      </c>
      <c r="P925" s="2" t="s">
        <v>74</v>
      </c>
      <c r="Q925" s="2" t="s">
        <v>74</v>
      </c>
      <c r="R925" s="2" t="s">
        <v>74</v>
      </c>
      <c r="S925" s="2" t="s">
        <v>74</v>
      </c>
      <c r="T925" s="2" t="s">
        <v>74</v>
      </c>
      <c r="U925" s="2" t="s">
        <v>74</v>
      </c>
      <c r="V925" s="5" t="s">
        <v>3766</v>
      </c>
      <c r="W925" s="2" t="s">
        <v>74</v>
      </c>
      <c r="X925" s="2" t="s">
        <v>74</v>
      </c>
      <c r="Y925" s="2" t="s">
        <v>74</v>
      </c>
      <c r="Z925" s="2" t="s">
        <v>74</v>
      </c>
      <c r="AA925" s="2" t="s">
        <v>3767</v>
      </c>
      <c r="AB925" s="2" t="s">
        <v>3768</v>
      </c>
      <c r="AC925" s="2" t="s">
        <v>74</v>
      </c>
      <c r="AD925" s="2" t="s">
        <v>74</v>
      </c>
      <c r="AE925" s="2" t="s">
        <v>74</v>
      </c>
      <c r="AF925" s="2" t="s">
        <v>74</v>
      </c>
      <c r="AG925" s="2" t="s">
        <v>74</v>
      </c>
      <c r="AH925" s="2" t="s">
        <v>74</v>
      </c>
      <c r="AI925" s="2" t="s">
        <v>74</v>
      </c>
      <c r="AJ925" s="2" t="s">
        <v>74</v>
      </c>
      <c r="AK925" s="2" t="s">
        <v>74</v>
      </c>
      <c r="AL925" s="2" t="s">
        <v>74</v>
      </c>
      <c r="AM925" s="2" t="s">
        <v>74</v>
      </c>
      <c r="AN925" s="2" t="s">
        <v>74</v>
      </c>
      <c r="AO925" s="2" t="s">
        <v>2211</v>
      </c>
      <c r="AP925" s="2" t="s">
        <v>2461</v>
      </c>
      <c r="AQ925" s="2" t="s">
        <v>74</v>
      </c>
      <c r="AR925" s="2" t="s">
        <v>74</v>
      </c>
      <c r="AS925" s="2" t="s">
        <v>74</v>
      </c>
      <c r="AT925" s="2" t="s">
        <v>213</v>
      </c>
      <c r="AU925" s="2">
        <v>2004</v>
      </c>
      <c r="AV925" s="2">
        <v>35</v>
      </c>
      <c r="AW925" s="2">
        <v>6</v>
      </c>
      <c r="AX925" s="2" t="s">
        <v>74</v>
      </c>
      <c r="AY925" s="2" t="s">
        <v>74</v>
      </c>
      <c r="AZ925" s="2" t="s">
        <v>74</v>
      </c>
      <c r="BA925" s="2" t="s">
        <v>74</v>
      </c>
      <c r="BB925" s="2">
        <v>492</v>
      </c>
      <c r="BC925" s="2">
        <v>500</v>
      </c>
      <c r="BD925" s="2" t="s">
        <v>74</v>
      </c>
      <c r="BE925" s="2" t="s">
        <v>3769</v>
      </c>
      <c r="BF925" s="2" t="str">
        <f>HYPERLINK("http://dx.doi.org/10.1111/j.0908-8857.2004.03294.x","http://dx.doi.org/10.1111/j.0908-8857.2004.03294.x")</f>
        <v>http://dx.doi.org/10.1111/j.0908-8857.2004.03294.x</v>
      </c>
      <c r="BG925" s="2" t="s">
        <v>74</v>
      </c>
      <c r="BH925" s="2" t="s">
        <v>74</v>
      </c>
      <c r="BI925" s="2" t="s">
        <v>74</v>
      </c>
      <c r="BJ925" s="2" t="s">
        <v>74</v>
      </c>
      <c r="BK925" s="2" t="s">
        <v>74</v>
      </c>
      <c r="BL925" s="2" t="s">
        <v>74</v>
      </c>
      <c r="BM925" s="2" t="s">
        <v>74</v>
      </c>
      <c r="BN925" s="2" t="s">
        <v>74</v>
      </c>
      <c r="BO925" s="2" t="s">
        <v>74</v>
      </c>
      <c r="BP925" s="2" t="s">
        <v>74</v>
      </c>
      <c r="BQ925" s="2" t="s">
        <v>74</v>
      </c>
      <c r="BR925" s="2" t="s">
        <v>74</v>
      </c>
      <c r="BS925" s="2" t="s">
        <v>3770</v>
      </c>
      <c r="BT925" s="2" t="str">
        <f>HYPERLINK("https%3A%2F%2Fwww.webofscience.com%2Fwos%2Fwoscc%2Ffull-record%2FWOS:000225224600007","View Full Record in Web of Science")</f>
        <v>View Full Record in Web of Science</v>
      </c>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row>
    <row r="926" spans="1:314" s="2" customFormat="1" x14ac:dyDescent="0.4">
      <c r="A926" s="2" t="s">
        <v>72</v>
      </c>
      <c r="B926" s="2" t="s">
        <v>6564</v>
      </c>
      <c r="C926" s="2" t="s">
        <v>74</v>
      </c>
      <c r="D926" s="2" t="s">
        <v>74</v>
      </c>
      <c r="E926" s="2" t="s">
        <v>74</v>
      </c>
      <c r="F926" s="2" t="s">
        <v>6564</v>
      </c>
      <c r="G926" s="2" t="s">
        <v>74</v>
      </c>
      <c r="H926" s="2" t="s">
        <v>74</v>
      </c>
      <c r="I926" s="2" t="s">
        <v>6565</v>
      </c>
      <c r="J926" s="2" t="s">
        <v>344</v>
      </c>
      <c r="K926" s="2" t="s">
        <v>74</v>
      </c>
      <c r="L926" s="2" t="s">
        <v>74</v>
      </c>
      <c r="M926" s="2" t="s">
        <v>74</v>
      </c>
      <c r="N926" s="2" t="s">
        <v>74</v>
      </c>
      <c r="O926" s="2" t="s">
        <v>6566</v>
      </c>
      <c r="P926" s="2">
        <v>1996</v>
      </c>
      <c r="Q926" s="2" t="s">
        <v>6567</v>
      </c>
      <c r="R926" s="2" t="s">
        <v>74</v>
      </c>
      <c r="S926" s="2" t="s">
        <v>74</v>
      </c>
      <c r="T926" s="2" t="s">
        <v>74</v>
      </c>
      <c r="U926" s="2" t="s">
        <v>74</v>
      </c>
      <c r="V926" s="5" t="s">
        <v>6568</v>
      </c>
      <c r="W926" s="2" t="s">
        <v>74</v>
      </c>
      <c r="X926" s="2" t="s">
        <v>74</v>
      </c>
      <c r="Y926" s="2" t="s">
        <v>74</v>
      </c>
      <c r="Z926" s="2" t="s">
        <v>74</v>
      </c>
      <c r="AA926" s="2" t="s">
        <v>74</v>
      </c>
      <c r="AB926" s="2" t="s">
        <v>74</v>
      </c>
      <c r="AC926" s="2" t="s">
        <v>74</v>
      </c>
      <c r="AD926" s="2" t="s">
        <v>74</v>
      </c>
      <c r="AE926" s="2" t="s">
        <v>74</v>
      </c>
      <c r="AF926" s="2" t="s">
        <v>74</v>
      </c>
      <c r="AG926" s="2" t="s">
        <v>74</v>
      </c>
      <c r="AH926" s="2" t="s">
        <v>74</v>
      </c>
      <c r="AI926" s="2" t="s">
        <v>74</v>
      </c>
      <c r="AJ926" s="2" t="s">
        <v>74</v>
      </c>
      <c r="AK926" s="2" t="s">
        <v>74</v>
      </c>
      <c r="AL926" s="2" t="s">
        <v>74</v>
      </c>
      <c r="AM926" s="2" t="s">
        <v>74</v>
      </c>
      <c r="AN926" s="2" t="s">
        <v>74</v>
      </c>
      <c r="AO926" s="2" t="s">
        <v>346</v>
      </c>
      <c r="AP926" s="2" t="s">
        <v>6569</v>
      </c>
      <c r="AQ926" s="2" t="s">
        <v>74</v>
      </c>
      <c r="AR926" s="2" t="s">
        <v>74</v>
      </c>
      <c r="AS926" s="2" t="s">
        <v>74</v>
      </c>
      <c r="AT926" s="2" t="s">
        <v>213</v>
      </c>
      <c r="AU926" s="2">
        <v>1999</v>
      </c>
      <c r="AV926" s="2">
        <v>56</v>
      </c>
      <c r="AW926" s="2">
        <v>3</v>
      </c>
      <c r="AX926" s="2" t="s">
        <v>74</v>
      </c>
      <c r="AY926" s="2" t="s">
        <v>74</v>
      </c>
      <c r="AZ926" s="2" t="s">
        <v>74</v>
      </c>
      <c r="BA926" s="2" t="s">
        <v>74</v>
      </c>
      <c r="BB926" s="2">
        <v>285</v>
      </c>
      <c r="BC926" s="2">
        <v>305</v>
      </c>
      <c r="BD926" s="2" t="s">
        <v>74</v>
      </c>
      <c r="BE926" s="2" t="s">
        <v>6570</v>
      </c>
      <c r="BF926" s="2" t="str">
        <f>HYPERLINK("http://dx.doi.org/10.1023/A:1007517720723","http://dx.doi.org/10.1023/A:1007517720723")</f>
        <v>http://dx.doi.org/10.1023/A:1007517720723</v>
      </c>
      <c r="BG926" s="2" t="s">
        <v>74</v>
      </c>
      <c r="BH926" s="2" t="s">
        <v>74</v>
      </c>
      <c r="BI926" s="2" t="s">
        <v>74</v>
      </c>
      <c r="BJ926" s="2" t="s">
        <v>74</v>
      </c>
      <c r="BK926" s="2" t="s">
        <v>74</v>
      </c>
      <c r="BL926" s="2" t="s">
        <v>74</v>
      </c>
      <c r="BM926" s="2" t="s">
        <v>74</v>
      </c>
      <c r="BN926" s="2" t="s">
        <v>74</v>
      </c>
      <c r="BO926" s="2" t="s">
        <v>74</v>
      </c>
      <c r="BP926" s="2" t="s">
        <v>74</v>
      </c>
      <c r="BQ926" s="2" t="s">
        <v>74</v>
      </c>
      <c r="BR926" s="2" t="s">
        <v>74</v>
      </c>
      <c r="BS926" s="2" t="s">
        <v>6571</v>
      </c>
      <c r="BT926" s="2" t="str">
        <f>HYPERLINK("https%3A%2F%2Fwww.webofscience.com%2Fwos%2Fwoscc%2Ffull-record%2FWOS:000083273300002","View Full Record in Web of Science")</f>
        <v>View Full Record in Web of Science</v>
      </c>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row>
    <row r="927" spans="1:314" s="2" customFormat="1" x14ac:dyDescent="0.4">
      <c r="A927" s="2" t="s">
        <v>72</v>
      </c>
      <c r="B927" s="2" t="s">
        <v>3491</v>
      </c>
      <c r="C927" s="2" t="s">
        <v>74</v>
      </c>
      <c r="D927" s="2" t="s">
        <v>74</v>
      </c>
      <c r="E927" s="2" t="s">
        <v>74</v>
      </c>
      <c r="F927" s="2" t="s">
        <v>3491</v>
      </c>
      <c r="G927" s="2" t="s">
        <v>74</v>
      </c>
      <c r="H927" s="2" t="s">
        <v>74</v>
      </c>
      <c r="I927" s="2" t="s">
        <v>3492</v>
      </c>
      <c r="J927" s="2" t="s">
        <v>140</v>
      </c>
      <c r="K927" s="2" t="s">
        <v>74</v>
      </c>
      <c r="L927" s="2" t="s">
        <v>74</v>
      </c>
      <c r="M927" s="2" t="s">
        <v>74</v>
      </c>
      <c r="N927" s="2" t="s">
        <v>74</v>
      </c>
      <c r="O927" s="2" t="s">
        <v>74</v>
      </c>
      <c r="P927" s="2" t="s">
        <v>74</v>
      </c>
      <c r="Q927" s="2" t="s">
        <v>74</v>
      </c>
      <c r="R927" s="2" t="s">
        <v>74</v>
      </c>
      <c r="S927" s="2" t="s">
        <v>74</v>
      </c>
      <c r="T927" s="2" t="s">
        <v>74</v>
      </c>
      <c r="U927" s="2" t="s">
        <v>74</v>
      </c>
      <c r="V927" s="5" t="s">
        <v>3493</v>
      </c>
      <c r="W927" s="2" t="s">
        <v>74</v>
      </c>
      <c r="X927" s="2" t="s">
        <v>74</v>
      </c>
      <c r="Y927" s="2" t="s">
        <v>74</v>
      </c>
      <c r="Z927" s="2" t="s">
        <v>74</v>
      </c>
      <c r="AA927" s="2" t="s">
        <v>74</v>
      </c>
      <c r="AB927" s="2" t="s">
        <v>74</v>
      </c>
      <c r="AC927" s="2" t="s">
        <v>74</v>
      </c>
      <c r="AD927" s="2" t="s">
        <v>74</v>
      </c>
      <c r="AE927" s="2" t="s">
        <v>74</v>
      </c>
      <c r="AF927" s="2" t="s">
        <v>74</v>
      </c>
      <c r="AG927" s="2" t="s">
        <v>74</v>
      </c>
      <c r="AH927" s="2" t="s">
        <v>74</v>
      </c>
      <c r="AI927" s="2" t="s">
        <v>74</v>
      </c>
      <c r="AJ927" s="2" t="s">
        <v>74</v>
      </c>
      <c r="AK927" s="2" t="s">
        <v>74</v>
      </c>
      <c r="AL927" s="2" t="s">
        <v>74</v>
      </c>
      <c r="AM927" s="2" t="s">
        <v>74</v>
      </c>
      <c r="AN927" s="2" t="s">
        <v>74</v>
      </c>
      <c r="AO927" s="2" t="s">
        <v>143</v>
      </c>
      <c r="AP927" s="2" t="s">
        <v>144</v>
      </c>
      <c r="AQ927" s="2" t="s">
        <v>74</v>
      </c>
      <c r="AR927" s="2" t="s">
        <v>74</v>
      </c>
      <c r="AS927" s="2" t="s">
        <v>74</v>
      </c>
      <c r="AT927" s="2" t="s">
        <v>204</v>
      </c>
      <c r="AU927" s="2">
        <v>1995</v>
      </c>
      <c r="AV927" s="2">
        <v>50</v>
      </c>
      <c r="AW927" s="2" t="s">
        <v>74</v>
      </c>
      <c r="AX927" s="2">
        <v>1</v>
      </c>
      <c r="AY927" s="2" t="s">
        <v>74</v>
      </c>
      <c r="AZ927" s="2" t="s">
        <v>74</v>
      </c>
      <c r="BA927" s="2" t="s">
        <v>74</v>
      </c>
      <c r="BB927" s="2">
        <v>267</v>
      </c>
      <c r="BC927" s="2">
        <v>272</v>
      </c>
      <c r="BD927" s="2" t="s">
        <v>74</v>
      </c>
      <c r="BE927" s="2" t="s">
        <v>3494</v>
      </c>
      <c r="BF927" s="2" t="str">
        <f>HYPERLINK("http://dx.doi.org/10.1006/anbe.1995.0239","http://dx.doi.org/10.1006/anbe.1995.0239")</f>
        <v>http://dx.doi.org/10.1006/anbe.1995.0239</v>
      </c>
      <c r="BG927" s="2" t="s">
        <v>74</v>
      </c>
      <c r="BH927" s="2" t="s">
        <v>74</v>
      </c>
      <c r="BI927" s="2" t="s">
        <v>74</v>
      </c>
      <c r="BJ927" s="2" t="s">
        <v>74</v>
      </c>
      <c r="BK927" s="2" t="s">
        <v>74</v>
      </c>
      <c r="BL927" s="2" t="s">
        <v>74</v>
      </c>
      <c r="BM927" s="2" t="s">
        <v>74</v>
      </c>
      <c r="BN927" s="2" t="s">
        <v>74</v>
      </c>
      <c r="BO927" s="2" t="s">
        <v>74</v>
      </c>
      <c r="BP927" s="2" t="s">
        <v>74</v>
      </c>
      <c r="BQ927" s="2" t="s">
        <v>74</v>
      </c>
      <c r="BR927" s="2" t="s">
        <v>74</v>
      </c>
      <c r="BS927" s="2" t="s">
        <v>3495</v>
      </c>
      <c r="BT927" s="2" t="str">
        <f>HYPERLINK("https%3A%2F%2Fwww.webofscience.com%2Fwos%2Fwoscc%2Ffull-record%2FWOS:A1995RM19000026","View Full Record in Web of Science")</f>
        <v>View Full Record in Web of Science</v>
      </c>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row>
    <row r="928" spans="1:314" s="2" customFormat="1" x14ac:dyDescent="0.4">
      <c r="A928" s="2" t="s">
        <v>72</v>
      </c>
      <c r="B928" s="2" t="s">
        <v>3426</v>
      </c>
      <c r="C928" s="2" t="s">
        <v>74</v>
      </c>
      <c r="D928" s="2" t="s">
        <v>74</v>
      </c>
      <c r="E928" s="2" t="s">
        <v>74</v>
      </c>
      <c r="F928" s="2" t="s">
        <v>3426</v>
      </c>
      <c r="G928" s="2" t="s">
        <v>74</v>
      </c>
      <c r="H928" s="2" t="s">
        <v>74</v>
      </c>
      <c r="I928" s="2" t="s">
        <v>3427</v>
      </c>
      <c r="J928" s="2" t="s">
        <v>140</v>
      </c>
      <c r="K928" s="2" t="s">
        <v>74</v>
      </c>
      <c r="L928" s="2" t="s">
        <v>74</v>
      </c>
      <c r="M928" s="2" t="s">
        <v>74</v>
      </c>
      <c r="N928" s="2" t="s">
        <v>74</v>
      </c>
      <c r="O928" s="2" t="s">
        <v>74</v>
      </c>
      <c r="P928" s="2" t="s">
        <v>74</v>
      </c>
      <c r="Q928" s="2" t="s">
        <v>74</v>
      </c>
      <c r="R928" s="2" t="s">
        <v>74</v>
      </c>
      <c r="S928" s="2" t="s">
        <v>74</v>
      </c>
      <c r="T928" s="2" t="s">
        <v>74</v>
      </c>
      <c r="U928" s="2" t="s">
        <v>74</v>
      </c>
      <c r="V928" s="5" t="s">
        <v>3428</v>
      </c>
      <c r="W928" s="2" t="s">
        <v>74</v>
      </c>
      <c r="X928" s="2" t="s">
        <v>74</v>
      </c>
      <c r="Y928" s="2" t="s">
        <v>74</v>
      </c>
      <c r="Z928" s="2" t="s">
        <v>74</v>
      </c>
      <c r="AA928" s="2" t="s">
        <v>74</v>
      </c>
      <c r="AB928" s="2" t="s">
        <v>74</v>
      </c>
      <c r="AC928" s="2" t="s">
        <v>74</v>
      </c>
      <c r="AD928" s="2" t="s">
        <v>74</v>
      </c>
      <c r="AE928" s="2" t="s">
        <v>74</v>
      </c>
      <c r="AF928" s="2" t="s">
        <v>74</v>
      </c>
      <c r="AG928" s="2" t="s">
        <v>74</v>
      </c>
      <c r="AH928" s="2" t="s">
        <v>74</v>
      </c>
      <c r="AI928" s="2" t="s">
        <v>74</v>
      </c>
      <c r="AJ928" s="2" t="s">
        <v>74</v>
      </c>
      <c r="AK928" s="2" t="s">
        <v>74</v>
      </c>
      <c r="AL928" s="2" t="s">
        <v>74</v>
      </c>
      <c r="AM928" s="2" t="s">
        <v>74</v>
      </c>
      <c r="AN928" s="2" t="s">
        <v>74</v>
      </c>
      <c r="AO928" s="2" t="s">
        <v>143</v>
      </c>
      <c r="AP928" s="2" t="s">
        <v>74</v>
      </c>
      <c r="AQ928" s="2" t="s">
        <v>74</v>
      </c>
      <c r="AR928" s="2" t="s">
        <v>74</v>
      </c>
      <c r="AS928" s="2" t="s">
        <v>74</v>
      </c>
      <c r="AT928" s="2" t="s">
        <v>102</v>
      </c>
      <c r="AU928" s="2">
        <v>1995</v>
      </c>
      <c r="AV928" s="2">
        <v>49</v>
      </c>
      <c r="AW928" s="2">
        <v>6</v>
      </c>
      <c r="AX928" s="2" t="s">
        <v>74</v>
      </c>
      <c r="AY928" s="2" t="s">
        <v>74</v>
      </c>
      <c r="AZ928" s="2" t="s">
        <v>74</v>
      </c>
      <c r="BA928" s="2" t="s">
        <v>74</v>
      </c>
      <c r="BB928" s="2">
        <v>1559</v>
      </c>
      <c r="BC928" s="2">
        <v>1567</v>
      </c>
      <c r="BD928" s="2" t="s">
        <v>74</v>
      </c>
      <c r="BE928" s="2" t="s">
        <v>3429</v>
      </c>
      <c r="BF928" s="2" t="str">
        <f>HYPERLINK("http://dx.doi.org/10.1016/0003-3472(95)90077-2","http://dx.doi.org/10.1016/0003-3472(95)90077-2")</f>
        <v>http://dx.doi.org/10.1016/0003-3472(95)90077-2</v>
      </c>
      <c r="BG928" s="2" t="s">
        <v>74</v>
      </c>
      <c r="BH928" s="2" t="s">
        <v>74</v>
      </c>
      <c r="BI928" s="2" t="s">
        <v>74</v>
      </c>
      <c r="BJ928" s="2" t="s">
        <v>74</v>
      </c>
      <c r="BK928" s="2" t="s">
        <v>74</v>
      </c>
      <c r="BL928" s="2" t="s">
        <v>74</v>
      </c>
      <c r="BM928" s="2" t="s">
        <v>74</v>
      </c>
      <c r="BN928" s="2" t="s">
        <v>74</v>
      </c>
      <c r="BO928" s="2" t="s">
        <v>74</v>
      </c>
      <c r="BP928" s="2" t="s">
        <v>74</v>
      </c>
      <c r="BQ928" s="2" t="s">
        <v>74</v>
      </c>
      <c r="BR928" s="2" t="s">
        <v>74</v>
      </c>
      <c r="BS928" s="2" t="s">
        <v>3430</v>
      </c>
      <c r="BT928" s="2" t="str">
        <f>HYPERLINK("https%3A%2F%2Fwww.webofscience.com%2Fwos%2Fwoscc%2Ffull-record%2FWOS:A1995RE98700015","View Full Record in Web of Science")</f>
        <v>View Full Record in Web of Science</v>
      </c>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row>
    <row r="929" spans="1:314" s="2" customFormat="1" x14ac:dyDescent="0.4">
      <c r="A929" s="2" t="s">
        <v>72</v>
      </c>
      <c r="B929" s="2" t="s">
        <v>7833</v>
      </c>
      <c r="C929" s="2" t="s">
        <v>74</v>
      </c>
      <c r="D929" s="2" t="s">
        <v>74</v>
      </c>
      <c r="E929" s="2" t="s">
        <v>74</v>
      </c>
      <c r="F929" s="2" t="s">
        <v>7834</v>
      </c>
      <c r="G929" s="2" t="s">
        <v>74</v>
      </c>
      <c r="H929" s="2" t="s">
        <v>74</v>
      </c>
      <c r="I929" s="2" t="s">
        <v>7835</v>
      </c>
      <c r="J929" s="2" t="s">
        <v>2207</v>
      </c>
      <c r="K929" s="2" t="s">
        <v>74</v>
      </c>
      <c r="L929" s="2" t="s">
        <v>74</v>
      </c>
      <c r="M929" s="2" t="s">
        <v>74</v>
      </c>
      <c r="N929" s="2" t="s">
        <v>74</v>
      </c>
      <c r="O929" s="2" t="s">
        <v>74</v>
      </c>
      <c r="P929" s="2" t="s">
        <v>74</v>
      </c>
      <c r="Q929" s="2" t="s">
        <v>74</v>
      </c>
      <c r="R929" s="2" t="s">
        <v>74</v>
      </c>
      <c r="S929" s="2" t="s">
        <v>74</v>
      </c>
      <c r="T929" s="2" t="s">
        <v>74</v>
      </c>
      <c r="U929" s="2" t="s">
        <v>74</v>
      </c>
      <c r="V929" s="5" t="s">
        <v>7836</v>
      </c>
      <c r="W929" s="2" t="s">
        <v>74</v>
      </c>
      <c r="X929" s="2" t="s">
        <v>74</v>
      </c>
      <c r="Y929" s="2" t="s">
        <v>74</v>
      </c>
      <c r="Z929" s="2" t="s">
        <v>74</v>
      </c>
      <c r="AA929" s="2" t="s">
        <v>7837</v>
      </c>
      <c r="AB929" s="2" t="s">
        <v>7838</v>
      </c>
      <c r="AC929" s="2" t="s">
        <v>74</v>
      </c>
      <c r="AD929" s="2" t="s">
        <v>74</v>
      </c>
      <c r="AE929" s="2" t="s">
        <v>74</v>
      </c>
      <c r="AF929" s="2" t="s">
        <v>74</v>
      </c>
      <c r="AG929" s="2" t="s">
        <v>74</v>
      </c>
      <c r="AH929" s="2" t="s">
        <v>74</v>
      </c>
      <c r="AI929" s="2" t="s">
        <v>74</v>
      </c>
      <c r="AJ929" s="2" t="s">
        <v>74</v>
      </c>
      <c r="AK929" s="2" t="s">
        <v>74</v>
      </c>
      <c r="AL929" s="2" t="s">
        <v>74</v>
      </c>
      <c r="AM929" s="2" t="s">
        <v>74</v>
      </c>
      <c r="AN929" s="2" t="s">
        <v>74</v>
      </c>
      <c r="AO929" s="2" t="s">
        <v>2211</v>
      </c>
      <c r="AP929" s="2" t="s">
        <v>2461</v>
      </c>
      <c r="AQ929" s="2" t="s">
        <v>74</v>
      </c>
      <c r="AR929" s="2" t="s">
        <v>74</v>
      </c>
      <c r="AS929" s="2" t="s">
        <v>74</v>
      </c>
      <c r="AT929" s="2" t="s">
        <v>213</v>
      </c>
      <c r="AU929" s="2">
        <v>2017</v>
      </c>
      <c r="AV929" s="2">
        <v>48</v>
      </c>
      <c r="AW929" s="2">
        <v>11</v>
      </c>
      <c r="AX929" s="2" t="s">
        <v>74</v>
      </c>
      <c r="AY929" s="2" t="s">
        <v>74</v>
      </c>
      <c r="AZ929" s="2" t="s">
        <v>74</v>
      </c>
      <c r="BA929" s="2" t="s">
        <v>74</v>
      </c>
      <c r="BB929" s="2">
        <v>1425</v>
      </c>
      <c r="BC929" s="2">
        <v>1431</v>
      </c>
      <c r="BD929" s="2" t="s">
        <v>74</v>
      </c>
      <c r="BE929" s="2" t="s">
        <v>7839</v>
      </c>
      <c r="BF929" s="2" t="str">
        <f>HYPERLINK("http://dx.doi.org/10.1111/jav.01402","http://dx.doi.org/10.1111/jav.01402")</f>
        <v>http://dx.doi.org/10.1111/jav.01402</v>
      </c>
      <c r="BG929" s="2" t="s">
        <v>74</v>
      </c>
      <c r="BH929" s="2" t="s">
        <v>74</v>
      </c>
      <c r="BI929" s="2" t="s">
        <v>74</v>
      </c>
      <c r="BJ929" s="2" t="s">
        <v>74</v>
      </c>
      <c r="BK929" s="2" t="s">
        <v>74</v>
      </c>
      <c r="BL929" s="2" t="s">
        <v>74</v>
      </c>
      <c r="BM929" s="2" t="s">
        <v>74</v>
      </c>
      <c r="BN929" s="2" t="s">
        <v>74</v>
      </c>
      <c r="BO929" s="2" t="s">
        <v>74</v>
      </c>
      <c r="BP929" s="2" t="s">
        <v>74</v>
      </c>
      <c r="BQ929" s="2" t="s">
        <v>74</v>
      </c>
      <c r="BR929" s="2" t="s">
        <v>74</v>
      </c>
      <c r="BS929" s="2" t="s">
        <v>7840</v>
      </c>
      <c r="BT929" s="2" t="str">
        <f>HYPERLINK("https%3A%2F%2Fwww.webofscience.com%2Fwos%2Fwoscc%2Ffull-record%2FWOS:000416331100009","View Full Record in Web of Science")</f>
        <v>View Full Record in Web of Science</v>
      </c>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row>
    <row r="930" spans="1:314" s="2" customFormat="1" x14ac:dyDescent="0.4">
      <c r="A930" s="2" t="s">
        <v>72</v>
      </c>
      <c r="B930" s="2" t="s">
        <v>4396</v>
      </c>
      <c r="C930" s="2" t="s">
        <v>74</v>
      </c>
      <c r="D930" s="2" t="s">
        <v>74</v>
      </c>
      <c r="E930" s="2" t="s">
        <v>74</v>
      </c>
      <c r="F930" s="2" t="s">
        <v>4396</v>
      </c>
      <c r="G930" s="2" t="s">
        <v>74</v>
      </c>
      <c r="H930" s="2" t="s">
        <v>74</v>
      </c>
      <c r="I930" s="2" t="s">
        <v>4397</v>
      </c>
      <c r="J930" s="2" t="s">
        <v>77</v>
      </c>
      <c r="K930" s="2" t="s">
        <v>74</v>
      </c>
      <c r="L930" s="2" t="s">
        <v>74</v>
      </c>
      <c r="M930" s="2" t="s">
        <v>74</v>
      </c>
      <c r="N930" s="2" t="s">
        <v>74</v>
      </c>
      <c r="O930" s="2" t="s">
        <v>74</v>
      </c>
      <c r="P930" s="2" t="s">
        <v>74</v>
      </c>
      <c r="Q930" s="2" t="s">
        <v>74</v>
      </c>
      <c r="R930" s="2" t="s">
        <v>74</v>
      </c>
      <c r="S930" s="2" t="s">
        <v>74</v>
      </c>
      <c r="T930" s="2" t="s">
        <v>74</v>
      </c>
      <c r="U930" s="2" t="s">
        <v>74</v>
      </c>
      <c r="V930" s="5" t="s">
        <v>4398</v>
      </c>
      <c r="W930" s="2" t="s">
        <v>74</v>
      </c>
      <c r="X930" s="2" t="s">
        <v>74</v>
      </c>
      <c r="Y930" s="2" t="s">
        <v>74</v>
      </c>
      <c r="Z930" s="2" t="s">
        <v>74</v>
      </c>
      <c r="AA930" s="2" t="s">
        <v>74</v>
      </c>
      <c r="AB930" s="2" t="s">
        <v>74</v>
      </c>
      <c r="AC930" s="2" t="s">
        <v>74</v>
      </c>
      <c r="AD930" s="2" t="s">
        <v>74</v>
      </c>
      <c r="AE930" s="2" t="s">
        <v>74</v>
      </c>
      <c r="AF930" s="2" t="s">
        <v>74</v>
      </c>
      <c r="AG930" s="2" t="s">
        <v>74</v>
      </c>
      <c r="AH930" s="2" t="s">
        <v>74</v>
      </c>
      <c r="AI930" s="2" t="s">
        <v>74</v>
      </c>
      <c r="AJ930" s="2" t="s">
        <v>74</v>
      </c>
      <c r="AK930" s="2" t="s">
        <v>74</v>
      </c>
      <c r="AL930" s="2" t="s">
        <v>74</v>
      </c>
      <c r="AM930" s="2" t="s">
        <v>74</v>
      </c>
      <c r="AN930" s="2" t="s">
        <v>74</v>
      </c>
      <c r="AO930" s="2" t="s">
        <v>81</v>
      </c>
      <c r="AP930" s="2" t="s">
        <v>82</v>
      </c>
      <c r="AQ930" s="2" t="s">
        <v>74</v>
      </c>
      <c r="AR930" s="2" t="s">
        <v>74</v>
      </c>
      <c r="AS930" s="2" t="s">
        <v>74</v>
      </c>
      <c r="AT930" s="2" t="s">
        <v>4399</v>
      </c>
      <c r="AU930" s="2">
        <v>2003</v>
      </c>
      <c r="AV930" s="2">
        <v>140</v>
      </c>
      <c r="AW930" s="2" t="s">
        <v>74</v>
      </c>
      <c r="AX930" s="2" t="s">
        <v>4400</v>
      </c>
      <c r="AY930" s="2" t="s">
        <v>74</v>
      </c>
      <c r="AZ930" s="2" t="s">
        <v>74</v>
      </c>
      <c r="BA930" s="2" t="s">
        <v>74</v>
      </c>
      <c r="BB930" s="2">
        <v>1003</v>
      </c>
      <c r="BC930" s="2">
        <v>1019</v>
      </c>
      <c r="BD930" s="2" t="s">
        <v>74</v>
      </c>
      <c r="BE930" s="2" t="s">
        <v>4401</v>
      </c>
      <c r="BF930" s="2" t="str">
        <f>HYPERLINK("http://dx.doi.org/10.1163/156853903322589614","http://dx.doi.org/10.1163/156853903322589614")</f>
        <v>http://dx.doi.org/10.1163/156853903322589614</v>
      </c>
      <c r="BG930" s="2" t="s">
        <v>74</v>
      </c>
      <c r="BH930" s="2" t="s">
        <v>74</v>
      </c>
      <c r="BI930" s="2" t="s">
        <v>74</v>
      </c>
      <c r="BJ930" s="2" t="s">
        <v>74</v>
      </c>
      <c r="BK930" s="2" t="s">
        <v>74</v>
      </c>
      <c r="BL930" s="2" t="s">
        <v>74</v>
      </c>
      <c r="BM930" s="2" t="s">
        <v>74</v>
      </c>
      <c r="BN930" s="2" t="s">
        <v>74</v>
      </c>
      <c r="BO930" s="2" t="s">
        <v>74</v>
      </c>
      <c r="BP930" s="2" t="s">
        <v>74</v>
      </c>
      <c r="BQ930" s="2" t="s">
        <v>74</v>
      </c>
      <c r="BR930" s="2" t="s">
        <v>74</v>
      </c>
      <c r="BS930" s="2" t="s">
        <v>4402</v>
      </c>
      <c r="BT930" s="2" t="str">
        <f>HYPERLINK("https%3A%2F%2Fwww.webofscience.com%2Fwos%2Fwoscc%2Ffull-record%2FWOS:000187638300003","View Full Record in Web of Science")</f>
        <v>View Full Record in Web of Science</v>
      </c>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row>
    <row r="931" spans="1:314" s="2" customFormat="1" x14ac:dyDescent="0.4">
      <c r="A931" s="2" t="s">
        <v>72</v>
      </c>
      <c r="B931" s="2" t="s">
        <v>1818</v>
      </c>
      <c r="C931" s="2" t="s">
        <v>74</v>
      </c>
      <c r="D931" s="2" t="s">
        <v>74</v>
      </c>
      <c r="E931" s="2" t="s">
        <v>74</v>
      </c>
      <c r="F931" s="2" t="s">
        <v>1819</v>
      </c>
      <c r="G931" s="2" t="s">
        <v>74</v>
      </c>
      <c r="H931" s="2" t="s">
        <v>74</v>
      </c>
      <c r="I931" s="2" t="s">
        <v>1820</v>
      </c>
      <c r="J931" s="2" t="s">
        <v>576</v>
      </c>
      <c r="K931" s="2" t="s">
        <v>74</v>
      </c>
      <c r="L931" s="2" t="s">
        <v>74</v>
      </c>
      <c r="M931" s="2" t="s">
        <v>74</v>
      </c>
      <c r="N931" s="2" t="s">
        <v>74</v>
      </c>
      <c r="O931" s="2" t="s">
        <v>74</v>
      </c>
      <c r="P931" s="2" t="s">
        <v>74</v>
      </c>
      <c r="Q931" s="2" t="s">
        <v>74</v>
      </c>
      <c r="R931" s="2" t="s">
        <v>74</v>
      </c>
      <c r="S931" s="2" t="s">
        <v>74</v>
      </c>
      <c r="T931" s="2" t="s">
        <v>74</v>
      </c>
      <c r="U931" s="2" t="s">
        <v>74</v>
      </c>
      <c r="V931" s="5" t="s">
        <v>1821</v>
      </c>
      <c r="W931" s="2" t="s">
        <v>74</v>
      </c>
      <c r="X931" s="2" t="s">
        <v>74</v>
      </c>
      <c r="Y931" s="2" t="s">
        <v>74</v>
      </c>
      <c r="Z931" s="2" t="s">
        <v>74</v>
      </c>
      <c r="AA931" s="2" t="s">
        <v>74</v>
      </c>
      <c r="AB931" s="2" t="s">
        <v>1822</v>
      </c>
      <c r="AC931" s="2" t="s">
        <v>74</v>
      </c>
      <c r="AD931" s="2" t="s">
        <v>74</v>
      </c>
      <c r="AE931" s="2" t="s">
        <v>74</v>
      </c>
      <c r="AF931" s="2" t="s">
        <v>74</v>
      </c>
      <c r="AG931" s="2" t="s">
        <v>74</v>
      </c>
      <c r="AH931" s="2" t="s">
        <v>74</v>
      </c>
      <c r="AI931" s="2" t="s">
        <v>74</v>
      </c>
      <c r="AJ931" s="2" t="s">
        <v>74</v>
      </c>
      <c r="AK931" s="2" t="s">
        <v>74</v>
      </c>
      <c r="AL931" s="2" t="s">
        <v>74</v>
      </c>
      <c r="AM931" s="2" t="s">
        <v>74</v>
      </c>
      <c r="AN931" s="2" t="s">
        <v>74</v>
      </c>
      <c r="AO931" s="2" t="s">
        <v>579</v>
      </c>
      <c r="AP931" s="2" t="s">
        <v>580</v>
      </c>
      <c r="AQ931" s="2" t="s">
        <v>74</v>
      </c>
      <c r="AR931" s="2" t="s">
        <v>74</v>
      </c>
      <c r="AS931" s="2" t="s">
        <v>74</v>
      </c>
      <c r="AT931" s="2" t="s">
        <v>633</v>
      </c>
      <c r="AU931" s="2">
        <v>2017</v>
      </c>
      <c r="AV931" s="2">
        <v>31</v>
      </c>
      <c r="AW931" s="2">
        <v>2</v>
      </c>
      <c r="AX931" s="2" t="s">
        <v>74</v>
      </c>
      <c r="AY931" s="2" t="s">
        <v>74</v>
      </c>
      <c r="AZ931" s="2" t="s">
        <v>848</v>
      </c>
      <c r="BA931" s="2" t="s">
        <v>74</v>
      </c>
      <c r="BB931" s="2">
        <v>173</v>
      </c>
      <c r="BC931" s="2">
        <v>191</v>
      </c>
      <c r="BD931" s="2" t="s">
        <v>74</v>
      </c>
      <c r="BE931" s="2" t="s">
        <v>1823</v>
      </c>
      <c r="BF931" s="2" t="str">
        <f>HYPERLINK("http://dx.doi.org/10.1007/s10682-016-9848-1","http://dx.doi.org/10.1007/s10682-016-9848-1")</f>
        <v>http://dx.doi.org/10.1007/s10682-016-9848-1</v>
      </c>
      <c r="BG931" s="2" t="s">
        <v>74</v>
      </c>
      <c r="BH931" s="2" t="s">
        <v>74</v>
      </c>
      <c r="BI931" s="2" t="s">
        <v>74</v>
      </c>
      <c r="BJ931" s="2" t="s">
        <v>74</v>
      </c>
      <c r="BK931" s="2" t="s">
        <v>74</v>
      </c>
      <c r="BL931" s="2" t="s">
        <v>74</v>
      </c>
      <c r="BM931" s="2" t="s">
        <v>74</v>
      </c>
      <c r="BN931" s="2" t="s">
        <v>74</v>
      </c>
      <c r="BO931" s="2" t="s">
        <v>74</v>
      </c>
      <c r="BP931" s="2" t="s">
        <v>74</v>
      </c>
      <c r="BQ931" s="2" t="s">
        <v>74</v>
      </c>
      <c r="BR931" s="2" t="s">
        <v>74</v>
      </c>
      <c r="BS931" s="2" t="s">
        <v>1824</v>
      </c>
      <c r="BT931" s="2" t="str">
        <f>HYPERLINK("https%3A%2F%2Fwww.webofscience.com%2Fwos%2Fwoscc%2Ffull-record%2FWOS:000397595600003","View Full Record in Web of Science")</f>
        <v>View Full Record in Web of Science</v>
      </c>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row>
    <row r="932" spans="1:314" s="2" customFormat="1" x14ac:dyDescent="0.4">
      <c r="A932" s="2" t="s">
        <v>72</v>
      </c>
      <c r="B932" s="2" t="s">
        <v>8142</v>
      </c>
      <c r="C932" s="2" t="s">
        <v>74</v>
      </c>
      <c r="D932" s="2" t="s">
        <v>74</v>
      </c>
      <c r="E932" s="2" t="s">
        <v>74</v>
      </c>
      <c r="F932" s="2" t="s">
        <v>8143</v>
      </c>
      <c r="G932" s="2" t="s">
        <v>74</v>
      </c>
      <c r="H932" s="2" t="s">
        <v>74</v>
      </c>
      <c r="I932" s="2" t="s">
        <v>8144</v>
      </c>
      <c r="J932" s="2" t="s">
        <v>2017</v>
      </c>
      <c r="K932" s="2" t="s">
        <v>74</v>
      </c>
      <c r="L932" s="2" t="s">
        <v>74</v>
      </c>
      <c r="M932" s="2" t="s">
        <v>74</v>
      </c>
      <c r="N932" s="2" t="s">
        <v>74</v>
      </c>
      <c r="O932" s="2" t="s">
        <v>74</v>
      </c>
      <c r="P932" s="2" t="s">
        <v>74</v>
      </c>
      <c r="Q932" s="2" t="s">
        <v>74</v>
      </c>
      <c r="R932" s="2" t="s">
        <v>74</v>
      </c>
      <c r="S932" s="2" t="s">
        <v>74</v>
      </c>
      <c r="T932" s="2" t="s">
        <v>74</v>
      </c>
      <c r="U932" s="2" t="s">
        <v>74</v>
      </c>
      <c r="V932" s="5" t="s">
        <v>8145</v>
      </c>
      <c r="W932" s="2" t="s">
        <v>74</v>
      </c>
      <c r="X932" s="2" t="s">
        <v>74</v>
      </c>
      <c r="Y932" s="2" t="s">
        <v>74</v>
      </c>
      <c r="Z932" s="2" t="s">
        <v>74</v>
      </c>
      <c r="AA932" s="2" t="s">
        <v>74</v>
      </c>
      <c r="AB932" s="2" t="s">
        <v>1822</v>
      </c>
      <c r="AC932" s="2" t="s">
        <v>74</v>
      </c>
      <c r="AD932" s="2" t="s">
        <v>74</v>
      </c>
      <c r="AE932" s="2" t="s">
        <v>74</v>
      </c>
      <c r="AF932" s="2" t="s">
        <v>74</v>
      </c>
      <c r="AG932" s="2" t="s">
        <v>74</v>
      </c>
      <c r="AH932" s="2" t="s">
        <v>74</v>
      </c>
      <c r="AI932" s="2" t="s">
        <v>74</v>
      </c>
      <c r="AJ932" s="2" t="s">
        <v>74</v>
      </c>
      <c r="AK932" s="2" t="s">
        <v>74</v>
      </c>
      <c r="AL932" s="2" t="s">
        <v>74</v>
      </c>
      <c r="AM932" s="2" t="s">
        <v>74</v>
      </c>
      <c r="AN932" s="2" t="s">
        <v>74</v>
      </c>
      <c r="AO932" s="2" t="s">
        <v>2021</v>
      </c>
      <c r="AP932" s="2" t="s">
        <v>74</v>
      </c>
      <c r="AQ932" s="2" t="s">
        <v>74</v>
      </c>
      <c r="AR932" s="2" t="s">
        <v>74</v>
      </c>
      <c r="AS932" s="2" t="s">
        <v>74</v>
      </c>
      <c r="AT932" s="2" t="s">
        <v>8146</v>
      </c>
      <c r="AU932" s="2">
        <v>2021</v>
      </c>
      <c r="AV932" s="2">
        <v>9</v>
      </c>
      <c r="AW932" s="2" t="s">
        <v>74</v>
      </c>
      <c r="AX932" s="2" t="s">
        <v>74</v>
      </c>
      <c r="AY932" s="2" t="s">
        <v>74</v>
      </c>
      <c r="AZ932" s="2" t="s">
        <v>74</v>
      </c>
      <c r="BA932" s="2" t="s">
        <v>74</v>
      </c>
      <c r="BB932" s="2" t="s">
        <v>74</v>
      </c>
      <c r="BC932" s="2" t="s">
        <v>74</v>
      </c>
      <c r="BD932" s="2">
        <v>724712</v>
      </c>
      <c r="BE932" s="2" t="s">
        <v>8147</v>
      </c>
      <c r="BF932" s="2" t="str">
        <f>HYPERLINK("http://dx.doi.org/10.3389/fevo.2021.724712","http://dx.doi.org/10.3389/fevo.2021.724712")</f>
        <v>http://dx.doi.org/10.3389/fevo.2021.724712</v>
      </c>
      <c r="BG932" s="2" t="s">
        <v>74</v>
      </c>
      <c r="BH932" s="2" t="s">
        <v>74</v>
      </c>
      <c r="BI932" s="2" t="s">
        <v>74</v>
      </c>
      <c r="BJ932" s="2" t="s">
        <v>74</v>
      </c>
      <c r="BK932" s="2" t="s">
        <v>74</v>
      </c>
      <c r="BL932" s="2" t="s">
        <v>74</v>
      </c>
      <c r="BM932" s="2" t="s">
        <v>74</v>
      </c>
      <c r="BN932" s="2" t="s">
        <v>74</v>
      </c>
      <c r="BO932" s="2" t="s">
        <v>74</v>
      </c>
      <c r="BP932" s="2" t="s">
        <v>74</v>
      </c>
      <c r="BQ932" s="2" t="s">
        <v>74</v>
      </c>
      <c r="BR932" s="2" t="s">
        <v>74</v>
      </c>
      <c r="BS932" s="2" t="s">
        <v>8148</v>
      </c>
      <c r="BT932" s="2" t="str">
        <f>HYPERLINK("https%3A%2F%2Fwww.webofscience.com%2Fwos%2Fwoscc%2Ffull-record%2FWOS:000707224100001","View Full Record in Web of Science")</f>
        <v>View Full Record in Web of Science</v>
      </c>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row>
    <row r="933" spans="1:314" s="2" customFormat="1" x14ac:dyDescent="0.4">
      <c r="A933" s="2" t="s">
        <v>72</v>
      </c>
      <c r="B933" s="2" t="s">
        <v>6897</v>
      </c>
      <c r="C933" s="2" t="s">
        <v>74</v>
      </c>
      <c r="D933" s="2" t="s">
        <v>74</v>
      </c>
      <c r="E933" s="2" t="s">
        <v>74</v>
      </c>
      <c r="F933" s="2" t="s">
        <v>6897</v>
      </c>
      <c r="G933" s="2" t="s">
        <v>74</v>
      </c>
      <c r="H933" s="2" t="s">
        <v>74</v>
      </c>
      <c r="I933" s="2" t="s">
        <v>6898</v>
      </c>
      <c r="J933" s="2" t="s">
        <v>6899</v>
      </c>
      <c r="K933" s="2" t="s">
        <v>74</v>
      </c>
      <c r="L933" s="2" t="s">
        <v>74</v>
      </c>
      <c r="M933" s="2" t="s">
        <v>74</v>
      </c>
      <c r="N933" s="2" t="s">
        <v>74</v>
      </c>
      <c r="O933" s="2" t="s">
        <v>74</v>
      </c>
      <c r="P933" s="2" t="s">
        <v>74</v>
      </c>
      <c r="Q933" s="2" t="s">
        <v>74</v>
      </c>
      <c r="R933" s="2" t="s">
        <v>74</v>
      </c>
      <c r="S933" s="2" t="s">
        <v>74</v>
      </c>
      <c r="T933" s="2" t="s">
        <v>74</v>
      </c>
      <c r="U933" s="2" t="s">
        <v>74</v>
      </c>
      <c r="V933" s="5" t="s">
        <v>6900</v>
      </c>
      <c r="W933" s="2" t="s">
        <v>74</v>
      </c>
      <c r="X933" s="2" t="s">
        <v>74</v>
      </c>
      <c r="Y933" s="2" t="s">
        <v>74</v>
      </c>
      <c r="Z933" s="2" t="s">
        <v>74</v>
      </c>
      <c r="AA933" s="2" t="s">
        <v>6901</v>
      </c>
      <c r="AB933" s="2" t="s">
        <v>6902</v>
      </c>
      <c r="AC933" s="2" t="s">
        <v>74</v>
      </c>
      <c r="AD933" s="2" t="s">
        <v>74</v>
      </c>
      <c r="AE933" s="2" t="s">
        <v>74</v>
      </c>
      <c r="AF933" s="2" t="s">
        <v>74</v>
      </c>
      <c r="AG933" s="2" t="s">
        <v>74</v>
      </c>
      <c r="AH933" s="2" t="s">
        <v>74</v>
      </c>
      <c r="AI933" s="2" t="s">
        <v>74</v>
      </c>
      <c r="AJ933" s="2" t="s">
        <v>74</v>
      </c>
      <c r="AK933" s="2" t="s">
        <v>74</v>
      </c>
      <c r="AL933" s="2" t="s">
        <v>74</v>
      </c>
      <c r="AM933" s="2" t="s">
        <v>74</v>
      </c>
      <c r="AN933" s="2" t="s">
        <v>74</v>
      </c>
      <c r="AO933" s="2" t="s">
        <v>6903</v>
      </c>
      <c r="AP933" s="2" t="s">
        <v>74</v>
      </c>
      <c r="AQ933" s="2" t="s">
        <v>74</v>
      </c>
      <c r="AR933" s="2" t="s">
        <v>74</v>
      </c>
      <c r="AS933" s="2" t="s">
        <v>74</v>
      </c>
      <c r="AT933" s="2" t="s">
        <v>145</v>
      </c>
      <c r="AU933" s="2">
        <v>1997</v>
      </c>
      <c r="AV933" s="2">
        <v>84</v>
      </c>
      <c r="AW933" s="2">
        <v>2</v>
      </c>
      <c r="AX933" s="2" t="s">
        <v>74</v>
      </c>
      <c r="AY933" s="2" t="s">
        <v>74</v>
      </c>
      <c r="AZ933" s="2" t="s">
        <v>74</v>
      </c>
      <c r="BA933" s="2" t="s">
        <v>74</v>
      </c>
      <c r="BB933" s="2">
        <v>183</v>
      </c>
      <c r="BC933" s="2">
        <v>188</v>
      </c>
      <c r="BD933" s="2" t="s">
        <v>74</v>
      </c>
      <c r="BE933" s="2" t="s">
        <v>6904</v>
      </c>
      <c r="BF933" s="2" t="str">
        <f>HYPERLINK("http://dx.doi.org/10.1046/j.1570-7458.1997.00213.x","http://dx.doi.org/10.1046/j.1570-7458.1997.00213.x")</f>
        <v>http://dx.doi.org/10.1046/j.1570-7458.1997.00213.x</v>
      </c>
      <c r="BG933" s="2" t="s">
        <v>74</v>
      </c>
      <c r="BH933" s="2" t="s">
        <v>74</v>
      </c>
      <c r="BI933" s="2" t="s">
        <v>74</v>
      </c>
      <c r="BJ933" s="2" t="s">
        <v>74</v>
      </c>
      <c r="BK933" s="2" t="s">
        <v>74</v>
      </c>
      <c r="BL933" s="2" t="s">
        <v>74</v>
      </c>
      <c r="BM933" s="2" t="s">
        <v>74</v>
      </c>
      <c r="BN933" s="2" t="s">
        <v>74</v>
      </c>
      <c r="BO933" s="2" t="s">
        <v>74</v>
      </c>
      <c r="BP933" s="2" t="s">
        <v>74</v>
      </c>
      <c r="BQ933" s="2" t="s">
        <v>74</v>
      </c>
      <c r="BR933" s="2" t="s">
        <v>74</v>
      </c>
      <c r="BS933" s="2" t="s">
        <v>6905</v>
      </c>
      <c r="BT933" s="2" t="str">
        <f>HYPERLINK("https%3A%2F%2Fwww.webofscience.com%2Fwos%2Fwoscc%2Ffull-record%2FWOS:A1997XW62800009","View Full Record in Web of Science")</f>
        <v>View Full Record in Web of Science</v>
      </c>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row>
    <row r="934" spans="1:314" s="2" customFormat="1" x14ac:dyDescent="0.4">
      <c r="A934" s="2" t="s">
        <v>72</v>
      </c>
      <c r="B934" s="2" t="s">
        <v>3197</v>
      </c>
      <c r="C934" s="2" t="s">
        <v>74</v>
      </c>
      <c r="D934" s="2" t="s">
        <v>74</v>
      </c>
      <c r="E934" s="2" t="s">
        <v>74</v>
      </c>
      <c r="F934" s="2" t="s">
        <v>3198</v>
      </c>
      <c r="G934" s="2" t="s">
        <v>74</v>
      </c>
      <c r="H934" s="2" t="s">
        <v>74</v>
      </c>
      <c r="I934" s="2" t="s">
        <v>3199</v>
      </c>
      <c r="J934" s="2" t="s">
        <v>140</v>
      </c>
      <c r="K934" s="2" t="s">
        <v>74</v>
      </c>
      <c r="L934" s="2" t="s">
        <v>74</v>
      </c>
      <c r="M934" s="2" t="s">
        <v>74</v>
      </c>
      <c r="N934" s="2" t="s">
        <v>74</v>
      </c>
      <c r="O934" s="2" t="s">
        <v>74</v>
      </c>
      <c r="P934" s="2" t="s">
        <v>74</v>
      </c>
      <c r="Q934" s="2" t="s">
        <v>74</v>
      </c>
      <c r="R934" s="2" t="s">
        <v>74</v>
      </c>
      <c r="S934" s="2" t="s">
        <v>74</v>
      </c>
      <c r="T934" s="2" t="s">
        <v>74</v>
      </c>
      <c r="U934" s="2" t="s">
        <v>74</v>
      </c>
      <c r="V934" s="5" t="s">
        <v>3200</v>
      </c>
      <c r="W934" s="2" t="s">
        <v>74</v>
      </c>
      <c r="X934" s="2" t="s">
        <v>74</v>
      </c>
      <c r="Y934" s="2" t="s">
        <v>74</v>
      </c>
      <c r="Z934" s="2" t="s">
        <v>74</v>
      </c>
      <c r="AA934" s="2" t="s">
        <v>2184</v>
      </c>
      <c r="AB934" s="2" t="s">
        <v>2806</v>
      </c>
      <c r="AC934" s="2" t="s">
        <v>74</v>
      </c>
      <c r="AD934" s="2" t="s">
        <v>74</v>
      </c>
      <c r="AE934" s="2" t="s">
        <v>74</v>
      </c>
      <c r="AF934" s="2" t="s">
        <v>74</v>
      </c>
      <c r="AG934" s="2" t="s">
        <v>74</v>
      </c>
      <c r="AH934" s="2" t="s">
        <v>74</v>
      </c>
      <c r="AI934" s="2" t="s">
        <v>74</v>
      </c>
      <c r="AJ934" s="2" t="s">
        <v>74</v>
      </c>
      <c r="AK934" s="2" t="s">
        <v>74</v>
      </c>
      <c r="AL934" s="2" t="s">
        <v>74</v>
      </c>
      <c r="AM934" s="2" t="s">
        <v>74</v>
      </c>
      <c r="AN934" s="2" t="s">
        <v>74</v>
      </c>
      <c r="AO934" s="2" t="s">
        <v>143</v>
      </c>
      <c r="AP934" s="2" t="s">
        <v>144</v>
      </c>
      <c r="AQ934" s="2" t="s">
        <v>74</v>
      </c>
      <c r="AR934" s="2" t="s">
        <v>74</v>
      </c>
      <c r="AS934" s="2" t="s">
        <v>74</v>
      </c>
      <c r="AT934" s="2" t="s">
        <v>633</v>
      </c>
      <c r="AU934" s="2">
        <v>2017</v>
      </c>
      <c r="AV934" s="2">
        <v>126</v>
      </c>
      <c r="AW934" s="2" t="s">
        <v>74</v>
      </c>
      <c r="AX934" s="2" t="s">
        <v>74</v>
      </c>
      <c r="AY934" s="2" t="s">
        <v>74</v>
      </c>
      <c r="AZ934" s="2" t="s">
        <v>74</v>
      </c>
      <c r="BA934" s="2" t="s">
        <v>74</v>
      </c>
      <c r="BB934" s="2">
        <v>301</v>
      </c>
      <c r="BC934" s="2">
        <v>307</v>
      </c>
      <c r="BD934" s="2" t="s">
        <v>74</v>
      </c>
      <c r="BE934" s="2" t="s">
        <v>3201</v>
      </c>
      <c r="BF934" s="2" t="str">
        <f>HYPERLINK("http://dx.doi.org/10.1016/j.anbehav.2017.02.012","http://dx.doi.org/10.1016/j.anbehav.2017.02.012")</f>
        <v>http://dx.doi.org/10.1016/j.anbehav.2017.02.012</v>
      </c>
      <c r="BG934" s="2" t="s">
        <v>74</v>
      </c>
      <c r="BH934" s="2" t="s">
        <v>74</v>
      </c>
      <c r="BI934" s="2" t="s">
        <v>74</v>
      </c>
      <c r="BJ934" s="2" t="s">
        <v>74</v>
      </c>
      <c r="BK934" s="2" t="s">
        <v>74</v>
      </c>
      <c r="BL934" s="2" t="s">
        <v>74</v>
      </c>
      <c r="BM934" s="2" t="s">
        <v>74</v>
      </c>
      <c r="BN934" s="2" t="s">
        <v>74</v>
      </c>
      <c r="BO934" s="2" t="s">
        <v>74</v>
      </c>
      <c r="BP934" s="2" t="s">
        <v>74</v>
      </c>
      <c r="BQ934" s="2" t="s">
        <v>74</v>
      </c>
      <c r="BR934" s="2" t="s">
        <v>74</v>
      </c>
      <c r="BS934" s="2" t="s">
        <v>3202</v>
      </c>
      <c r="BT934" s="2" t="str">
        <f>HYPERLINK("https%3A%2F%2Fwww.webofscience.com%2Fwos%2Fwoscc%2Ffull-record%2FWOS:000400402700031","View Full Record in Web of Science")</f>
        <v>View Full Record in Web of Science</v>
      </c>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row>
    <row r="935" spans="1:314" s="2" customFormat="1" x14ac:dyDescent="0.4">
      <c r="A935" s="2" t="s">
        <v>72</v>
      </c>
      <c r="B935" s="2" t="s">
        <v>636</v>
      </c>
      <c r="C935" s="2" t="s">
        <v>74</v>
      </c>
      <c r="D935" s="2" t="s">
        <v>74</v>
      </c>
      <c r="E935" s="2" t="s">
        <v>74</v>
      </c>
      <c r="F935" s="2" t="s">
        <v>636</v>
      </c>
      <c r="G935" s="2" t="s">
        <v>74</v>
      </c>
      <c r="H935" s="2" t="s">
        <v>74</v>
      </c>
      <c r="I935" s="2" t="s">
        <v>637</v>
      </c>
      <c r="J935" s="2" t="s">
        <v>312</v>
      </c>
      <c r="K935" s="2" t="s">
        <v>74</v>
      </c>
      <c r="L935" s="2" t="s">
        <v>74</v>
      </c>
      <c r="M935" s="2" t="s">
        <v>74</v>
      </c>
      <c r="N935" s="2" t="s">
        <v>74</v>
      </c>
      <c r="O935" s="2" t="s">
        <v>74</v>
      </c>
      <c r="P935" s="2" t="s">
        <v>74</v>
      </c>
      <c r="Q935" s="2" t="s">
        <v>74</v>
      </c>
      <c r="R935" s="2" t="s">
        <v>74</v>
      </c>
      <c r="S935" s="2" t="s">
        <v>74</v>
      </c>
      <c r="T935" s="2" t="s">
        <v>74</v>
      </c>
      <c r="U935" s="2" t="s">
        <v>74</v>
      </c>
      <c r="V935" s="5" t="s">
        <v>638</v>
      </c>
      <c r="W935" s="2" t="s">
        <v>74</v>
      </c>
      <c r="X935" s="2" t="s">
        <v>74</v>
      </c>
      <c r="Y935" s="2" t="s">
        <v>74</v>
      </c>
      <c r="Z935" s="2" t="s">
        <v>74</v>
      </c>
      <c r="AA935" s="2" t="s">
        <v>639</v>
      </c>
      <c r="AB935" s="2" t="s">
        <v>640</v>
      </c>
      <c r="AC935" s="2" t="s">
        <v>74</v>
      </c>
      <c r="AD935" s="2" t="s">
        <v>74</v>
      </c>
      <c r="AE935" s="2" t="s">
        <v>74</v>
      </c>
      <c r="AF935" s="2" t="s">
        <v>74</v>
      </c>
      <c r="AG935" s="2" t="s">
        <v>74</v>
      </c>
      <c r="AH935" s="2" t="s">
        <v>74</v>
      </c>
      <c r="AI935" s="2" t="s">
        <v>74</v>
      </c>
      <c r="AJ935" s="2" t="s">
        <v>74</v>
      </c>
      <c r="AK935" s="2" t="s">
        <v>74</v>
      </c>
      <c r="AL935" s="2" t="s">
        <v>74</v>
      </c>
      <c r="AM935" s="2" t="s">
        <v>74</v>
      </c>
      <c r="AN935" s="2" t="s">
        <v>74</v>
      </c>
      <c r="AO935" s="2" t="s">
        <v>314</v>
      </c>
      <c r="AP935" s="2" t="s">
        <v>74</v>
      </c>
      <c r="AQ935" s="2" t="s">
        <v>74</v>
      </c>
      <c r="AR935" s="2" t="s">
        <v>74</v>
      </c>
      <c r="AS935" s="2" t="s">
        <v>74</v>
      </c>
      <c r="AT935" s="2" t="s">
        <v>633</v>
      </c>
      <c r="AU935" s="2">
        <v>2001</v>
      </c>
      <c r="AV935" s="2">
        <v>157</v>
      </c>
      <c r="AW935" s="2">
        <v>4</v>
      </c>
      <c r="AX935" s="2" t="s">
        <v>74</v>
      </c>
      <c r="AY935" s="2" t="s">
        <v>74</v>
      </c>
      <c r="AZ935" s="2" t="s">
        <v>74</v>
      </c>
      <c r="BA935" s="2" t="s">
        <v>74</v>
      </c>
      <c r="BB935" s="2">
        <v>451</v>
      </c>
      <c r="BC935" s="2">
        <v>458</v>
      </c>
      <c r="BD935" s="2" t="s">
        <v>74</v>
      </c>
      <c r="BE935" s="2" t="s">
        <v>641</v>
      </c>
      <c r="BF935" s="2" t="str">
        <f>HYPERLINK("http://dx.doi.org/10.1086/319319","http://dx.doi.org/10.1086/319319")</f>
        <v>http://dx.doi.org/10.1086/319319</v>
      </c>
      <c r="BG935" s="2" t="s">
        <v>74</v>
      </c>
      <c r="BH935" s="2" t="s">
        <v>74</v>
      </c>
      <c r="BI935" s="2" t="s">
        <v>74</v>
      </c>
      <c r="BJ935" s="2" t="s">
        <v>74</v>
      </c>
      <c r="BK935" s="2" t="s">
        <v>74</v>
      </c>
      <c r="BL935" s="2" t="s">
        <v>74</v>
      </c>
      <c r="BM935" s="2" t="s">
        <v>74</v>
      </c>
      <c r="BN935" s="2">
        <v>18707253</v>
      </c>
      <c r="BO935" s="2" t="s">
        <v>74</v>
      </c>
      <c r="BP935" s="2" t="s">
        <v>74</v>
      </c>
      <c r="BQ935" s="2" t="s">
        <v>74</v>
      </c>
      <c r="BR935" s="2" t="s">
        <v>74</v>
      </c>
      <c r="BS935" s="2" t="s">
        <v>642</v>
      </c>
      <c r="BT935" s="2" t="str">
        <f>HYPERLINK("https%3A%2F%2Fwww.webofscience.com%2Fwos%2Fwoscc%2Ffull-record%2FWOS:000167830600007","View Full Record in Web of Science")</f>
        <v>View Full Record in Web of Science</v>
      </c>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row>
    <row r="936" spans="1:314" s="2" customFormat="1" x14ac:dyDescent="0.4">
      <c r="A936" s="2" t="s">
        <v>72</v>
      </c>
      <c r="B936" s="2" t="s">
        <v>8156</v>
      </c>
      <c r="C936" s="2" t="s">
        <v>74</v>
      </c>
      <c r="D936" s="2" t="s">
        <v>74</v>
      </c>
      <c r="E936" s="2" t="s">
        <v>74</v>
      </c>
      <c r="F936" s="2" t="s">
        <v>8157</v>
      </c>
      <c r="G936" s="2" t="s">
        <v>74</v>
      </c>
      <c r="H936" s="2" t="s">
        <v>74</v>
      </c>
      <c r="I936" s="2" t="s">
        <v>8158</v>
      </c>
      <c r="J936" s="2" t="s">
        <v>775</v>
      </c>
      <c r="K936" s="2" t="s">
        <v>74</v>
      </c>
      <c r="L936" s="2" t="s">
        <v>74</v>
      </c>
      <c r="M936" s="2" t="s">
        <v>74</v>
      </c>
      <c r="N936" s="2" t="s">
        <v>74</v>
      </c>
      <c r="O936" s="2" t="s">
        <v>74</v>
      </c>
      <c r="P936" s="2" t="s">
        <v>74</v>
      </c>
      <c r="Q936" s="2" t="s">
        <v>74</v>
      </c>
      <c r="R936" s="2" t="s">
        <v>74</v>
      </c>
      <c r="S936" s="2" t="s">
        <v>74</v>
      </c>
      <c r="T936" s="2" t="s">
        <v>74</v>
      </c>
      <c r="U936" s="2" t="s">
        <v>74</v>
      </c>
      <c r="V936" s="5" t="s">
        <v>8159</v>
      </c>
      <c r="W936" s="2" t="s">
        <v>74</v>
      </c>
      <c r="X936" s="2" t="s">
        <v>74</v>
      </c>
      <c r="Y936" s="2" t="s">
        <v>74</v>
      </c>
      <c r="Z936" s="2" t="s">
        <v>74</v>
      </c>
      <c r="AA936" s="2" t="s">
        <v>74</v>
      </c>
      <c r="AB936" s="2" t="s">
        <v>74</v>
      </c>
      <c r="AC936" s="2" t="s">
        <v>74</v>
      </c>
      <c r="AD936" s="2" t="s">
        <v>74</v>
      </c>
      <c r="AE936" s="2" t="s">
        <v>74</v>
      </c>
      <c r="AF936" s="2" t="s">
        <v>74</v>
      </c>
      <c r="AG936" s="2" t="s">
        <v>74</v>
      </c>
      <c r="AH936" s="2" t="s">
        <v>74</v>
      </c>
      <c r="AI936" s="2" t="s">
        <v>74</v>
      </c>
      <c r="AJ936" s="2" t="s">
        <v>74</v>
      </c>
      <c r="AK936" s="2" t="s">
        <v>74</v>
      </c>
      <c r="AL936" s="2" t="s">
        <v>74</v>
      </c>
      <c r="AM936" s="2" t="s">
        <v>74</v>
      </c>
      <c r="AN936" s="2" t="s">
        <v>74</v>
      </c>
      <c r="AO936" s="2" t="s">
        <v>778</v>
      </c>
      <c r="AP936" s="2" t="s">
        <v>779</v>
      </c>
      <c r="AQ936" s="2" t="s">
        <v>74</v>
      </c>
      <c r="AR936" s="2" t="s">
        <v>74</v>
      </c>
      <c r="AS936" s="2" t="s">
        <v>74</v>
      </c>
      <c r="AT936" s="2" t="s">
        <v>102</v>
      </c>
      <c r="AU936" s="2">
        <v>2010</v>
      </c>
      <c r="AV936" s="2">
        <v>56</v>
      </c>
      <c r="AW936" s="2">
        <v>3</v>
      </c>
      <c r="AX936" s="2" t="s">
        <v>74</v>
      </c>
      <c r="AY936" s="2" t="s">
        <v>74</v>
      </c>
      <c r="AZ936" s="2" t="s">
        <v>848</v>
      </c>
      <c r="BA936" s="2" t="s">
        <v>74</v>
      </c>
      <c r="BB936" s="2">
        <v>343</v>
      </c>
      <c r="BC936" s="2">
        <v>357</v>
      </c>
      <c r="BD936" s="2" t="s">
        <v>74</v>
      </c>
      <c r="BE936" s="2" t="s">
        <v>8160</v>
      </c>
      <c r="BF936" s="2" t="str">
        <f>HYPERLINK("http://dx.doi.org/10.1093/czoolo/56.3.343","http://dx.doi.org/10.1093/czoolo/56.3.343")</f>
        <v>http://dx.doi.org/10.1093/czoolo/56.3.343</v>
      </c>
      <c r="BG936" s="2" t="s">
        <v>74</v>
      </c>
      <c r="BH936" s="2" t="s">
        <v>74</v>
      </c>
      <c r="BI936" s="2" t="s">
        <v>74</v>
      </c>
      <c r="BJ936" s="2" t="s">
        <v>74</v>
      </c>
      <c r="BK936" s="2" t="s">
        <v>74</v>
      </c>
      <c r="BL936" s="2" t="s">
        <v>74</v>
      </c>
      <c r="BM936" s="2" t="s">
        <v>74</v>
      </c>
      <c r="BN936" s="2" t="s">
        <v>74</v>
      </c>
      <c r="BO936" s="2" t="s">
        <v>74</v>
      </c>
      <c r="BP936" s="2" t="s">
        <v>74</v>
      </c>
      <c r="BQ936" s="2" t="s">
        <v>74</v>
      </c>
      <c r="BR936" s="2" t="s">
        <v>74</v>
      </c>
      <c r="BS936" s="2" t="s">
        <v>8161</v>
      </c>
      <c r="BT936" s="2" t="str">
        <f>HYPERLINK("https%3A%2F%2Fwww.webofscience.com%2Fwos%2Fwoscc%2Ffull-record%2FWOS:000278715600009","View Full Record in Web of Science")</f>
        <v>View Full Record in Web of Science</v>
      </c>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row>
    <row r="937" spans="1:314" s="2" customFormat="1" x14ac:dyDescent="0.4">
      <c r="A937" s="2" t="s">
        <v>72</v>
      </c>
      <c r="B937" s="2" t="s">
        <v>1663</v>
      </c>
      <c r="C937" s="2" t="s">
        <v>74</v>
      </c>
      <c r="D937" s="2" t="s">
        <v>74</v>
      </c>
      <c r="E937" s="2" t="s">
        <v>74</v>
      </c>
      <c r="F937" s="2" t="s">
        <v>1664</v>
      </c>
      <c r="G937" s="2" t="s">
        <v>74</v>
      </c>
      <c r="H937" s="2" t="s">
        <v>74</v>
      </c>
      <c r="I937" s="2" t="s">
        <v>1665</v>
      </c>
      <c r="J937" s="2" t="s">
        <v>229</v>
      </c>
      <c r="K937" s="2" t="s">
        <v>74</v>
      </c>
      <c r="L937" s="2" t="s">
        <v>74</v>
      </c>
      <c r="M937" s="2" t="s">
        <v>74</v>
      </c>
      <c r="N937" s="2" t="s">
        <v>74</v>
      </c>
      <c r="O937" s="2" t="s">
        <v>74</v>
      </c>
      <c r="P937" s="2" t="s">
        <v>74</v>
      </c>
      <c r="Q937" s="2" t="s">
        <v>74</v>
      </c>
      <c r="R937" s="2" t="s">
        <v>74</v>
      </c>
      <c r="S937" s="2" t="s">
        <v>74</v>
      </c>
      <c r="T937" s="2" t="s">
        <v>74</v>
      </c>
      <c r="U937" s="2" t="s">
        <v>74</v>
      </c>
      <c r="V937" s="5" t="s">
        <v>1666</v>
      </c>
      <c r="W937" s="2" t="s">
        <v>74</v>
      </c>
      <c r="X937" s="2" t="s">
        <v>74</v>
      </c>
      <c r="Y937" s="2" t="s">
        <v>74</v>
      </c>
      <c r="Z937" s="2" t="s">
        <v>74</v>
      </c>
      <c r="AA937" s="2" t="s">
        <v>1667</v>
      </c>
      <c r="AB937" s="2" t="s">
        <v>1668</v>
      </c>
      <c r="AC937" s="2" t="s">
        <v>74</v>
      </c>
      <c r="AD937" s="2" t="s">
        <v>74</v>
      </c>
      <c r="AE937" s="2" t="s">
        <v>74</v>
      </c>
      <c r="AF937" s="2" t="s">
        <v>74</v>
      </c>
      <c r="AG937" s="2" t="s">
        <v>74</v>
      </c>
      <c r="AH937" s="2" t="s">
        <v>74</v>
      </c>
      <c r="AI937" s="2" t="s">
        <v>74</v>
      </c>
      <c r="AJ937" s="2" t="s">
        <v>74</v>
      </c>
      <c r="AK937" s="2" t="s">
        <v>74</v>
      </c>
      <c r="AL937" s="2" t="s">
        <v>74</v>
      </c>
      <c r="AM937" s="2" t="s">
        <v>74</v>
      </c>
      <c r="AN937" s="2" t="s">
        <v>74</v>
      </c>
      <c r="AO937" s="2" t="s">
        <v>233</v>
      </c>
      <c r="AP937" s="2" t="s">
        <v>234</v>
      </c>
      <c r="AQ937" s="2" t="s">
        <v>74</v>
      </c>
      <c r="AR937" s="2" t="s">
        <v>74</v>
      </c>
      <c r="AS937" s="2" t="s">
        <v>74</v>
      </c>
      <c r="AT937" s="2" t="s">
        <v>808</v>
      </c>
      <c r="AU937" s="2">
        <v>2009</v>
      </c>
      <c r="AV937" s="2">
        <v>35</v>
      </c>
      <c r="AW937" s="2">
        <v>3</v>
      </c>
      <c r="AX937" s="2" t="s">
        <v>74</v>
      </c>
      <c r="AY937" s="2" t="s">
        <v>74</v>
      </c>
      <c r="AZ937" s="2" t="s">
        <v>74</v>
      </c>
      <c r="BA937" s="2" t="s">
        <v>74</v>
      </c>
      <c r="BB937" s="2">
        <v>274</v>
      </c>
      <c r="BC937" s="2">
        <v>283</v>
      </c>
      <c r="BD937" s="2" t="s">
        <v>74</v>
      </c>
      <c r="BE937" s="2" t="s">
        <v>1669</v>
      </c>
      <c r="BF937" s="2" t="str">
        <f>HYPERLINK("http://dx.doi.org/10.1002/ab.20305","http://dx.doi.org/10.1002/ab.20305")</f>
        <v>http://dx.doi.org/10.1002/ab.20305</v>
      </c>
      <c r="BG937" s="2" t="s">
        <v>74</v>
      </c>
      <c r="BH937" s="2" t="s">
        <v>74</v>
      </c>
      <c r="BI937" s="2" t="s">
        <v>74</v>
      </c>
      <c r="BJ937" s="2" t="s">
        <v>74</v>
      </c>
      <c r="BK937" s="2" t="s">
        <v>74</v>
      </c>
      <c r="BL937" s="2" t="s">
        <v>74</v>
      </c>
      <c r="BM937" s="2" t="s">
        <v>74</v>
      </c>
      <c r="BN937" s="2">
        <v>19291744</v>
      </c>
      <c r="BO937" s="2" t="s">
        <v>74</v>
      </c>
      <c r="BP937" s="2" t="s">
        <v>74</v>
      </c>
      <c r="BQ937" s="2" t="s">
        <v>74</v>
      </c>
      <c r="BR937" s="2" t="s">
        <v>74</v>
      </c>
      <c r="BS937" s="2" t="s">
        <v>1670</v>
      </c>
      <c r="BT937" s="2" t="str">
        <f>HYPERLINK("https%3A%2F%2Fwww.webofscience.com%2Fwos%2Fwoscc%2Ffull-record%2FWOS:000265331000006","View Full Record in Web of Science")</f>
        <v>View Full Record in Web of Science</v>
      </c>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row>
    <row r="938" spans="1:314" s="2" customFormat="1" x14ac:dyDescent="0.4">
      <c r="A938" s="2" t="s">
        <v>72</v>
      </c>
      <c r="B938" s="2" t="s">
        <v>5122</v>
      </c>
      <c r="C938" s="2" t="s">
        <v>74</v>
      </c>
      <c r="D938" s="2" t="s">
        <v>74</v>
      </c>
      <c r="E938" s="2" t="s">
        <v>74</v>
      </c>
      <c r="F938" s="2" t="s">
        <v>5122</v>
      </c>
      <c r="G938" s="2" t="s">
        <v>74</v>
      </c>
      <c r="H938" s="2" t="s">
        <v>74</v>
      </c>
      <c r="I938" s="2" t="s">
        <v>5123</v>
      </c>
      <c r="J938" s="2" t="s">
        <v>2207</v>
      </c>
      <c r="K938" s="2" t="s">
        <v>74</v>
      </c>
      <c r="L938" s="2" t="s">
        <v>74</v>
      </c>
      <c r="M938" s="2" t="s">
        <v>74</v>
      </c>
      <c r="N938" s="2" t="s">
        <v>74</v>
      </c>
      <c r="O938" s="2" t="s">
        <v>74</v>
      </c>
      <c r="P938" s="2" t="s">
        <v>74</v>
      </c>
      <c r="Q938" s="2" t="s">
        <v>74</v>
      </c>
      <c r="R938" s="2" t="s">
        <v>74</v>
      </c>
      <c r="S938" s="2" t="s">
        <v>74</v>
      </c>
      <c r="T938" s="2" t="s">
        <v>74</v>
      </c>
      <c r="U938" s="2" t="s">
        <v>74</v>
      </c>
      <c r="V938" s="5" t="s">
        <v>5124</v>
      </c>
      <c r="W938" s="2" t="s">
        <v>74</v>
      </c>
      <c r="X938" s="2" t="s">
        <v>74</v>
      </c>
      <c r="Y938" s="2" t="s">
        <v>74</v>
      </c>
      <c r="Z938" s="2" t="s">
        <v>74</v>
      </c>
      <c r="AA938" s="2" t="s">
        <v>74</v>
      </c>
      <c r="AB938" s="2" t="s">
        <v>74</v>
      </c>
      <c r="AC938" s="2" t="s">
        <v>74</v>
      </c>
      <c r="AD938" s="2" t="s">
        <v>74</v>
      </c>
      <c r="AE938" s="2" t="s">
        <v>74</v>
      </c>
      <c r="AF938" s="2" t="s">
        <v>74</v>
      </c>
      <c r="AG938" s="2" t="s">
        <v>74</v>
      </c>
      <c r="AH938" s="2" t="s">
        <v>74</v>
      </c>
      <c r="AI938" s="2" t="s">
        <v>74</v>
      </c>
      <c r="AJ938" s="2" t="s">
        <v>74</v>
      </c>
      <c r="AK938" s="2" t="s">
        <v>74</v>
      </c>
      <c r="AL938" s="2" t="s">
        <v>74</v>
      </c>
      <c r="AM938" s="2" t="s">
        <v>74</v>
      </c>
      <c r="AN938" s="2" t="s">
        <v>74</v>
      </c>
      <c r="AO938" s="2" t="s">
        <v>2211</v>
      </c>
      <c r="AP938" s="2" t="s">
        <v>2461</v>
      </c>
      <c r="AQ938" s="2" t="s">
        <v>74</v>
      </c>
      <c r="AR938" s="2" t="s">
        <v>74</v>
      </c>
      <c r="AS938" s="2" t="s">
        <v>74</v>
      </c>
      <c r="AT938" s="2" t="s">
        <v>352</v>
      </c>
      <c r="AU938" s="2">
        <v>1997</v>
      </c>
      <c r="AV938" s="2">
        <v>28</v>
      </c>
      <c r="AW938" s="2">
        <v>3</v>
      </c>
      <c r="AX938" s="2" t="s">
        <v>74</v>
      </c>
      <c r="AY938" s="2" t="s">
        <v>74</v>
      </c>
      <c r="AZ938" s="2" t="s">
        <v>74</v>
      </c>
      <c r="BA938" s="2" t="s">
        <v>74</v>
      </c>
      <c r="BB938" s="2">
        <v>259</v>
      </c>
      <c r="BC938" s="2">
        <v>263</v>
      </c>
      <c r="BD938" s="2" t="s">
        <v>74</v>
      </c>
      <c r="BE938" s="2" t="s">
        <v>5125</v>
      </c>
      <c r="BF938" s="2" t="str">
        <f>HYPERLINK("http://dx.doi.org/10.2307/3676978","http://dx.doi.org/10.2307/3676978")</f>
        <v>http://dx.doi.org/10.2307/3676978</v>
      </c>
      <c r="BG938" s="2" t="s">
        <v>74</v>
      </c>
      <c r="BH938" s="2" t="s">
        <v>74</v>
      </c>
      <c r="BI938" s="2" t="s">
        <v>74</v>
      </c>
      <c r="BJ938" s="2" t="s">
        <v>74</v>
      </c>
      <c r="BK938" s="2" t="s">
        <v>74</v>
      </c>
      <c r="BL938" s="2" t="s">
        <v>74</v>
      </c>
      <c r="BM938" s="2" t="s">
        <v>74</v>
      </c>
      <c r="BN938" s="2" t="s">
        <v>74</v>
      </c>
      <c r="BO938" s="2" t="s">
        <v>74</v>
      </c>
      <c r="BP938" s="2" t="s">
        <v>74</v>
      </c>
      <c r="BQ938" s="2" t="s">
        <v>74</v>
      </c>
      <c r="BR938" s="2" t="s">
        <v>74</v>
      </c>
      <c r="BS938" s="2" t="s">
        <v>5126</v>
      </c>
      <c r="BT938" s="2" t="str">
        <f>HYPERLINK("https%3A%2F%2Fwww.webofscience.com%2Fwos%2Fwoscc%2Ffull-record%2FWOS:A1997XX48100010","View Full Record in Web of Science")</f>
        <v>View Full Record in Web of Science</v>
      </c>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row>
    <row r="939" spans="1:314" s="2" customFormat="1" x14ac:dyDescent="0.4">
      <c r="A939" s="2" t="s">
        <v>72</v>
      </c>
      <c r="B939" s="2" t="s">
        <v>5234</v>
      </c>
      <c r="C939" s="2" t="s">
        <v>74</v>
      </c>
      <c r="D939" s="2" t="s">
        <v>74</v>
      </c>
      <c r="E939" s="2" t="s">
        <v>74</v>
      </c>
      <c r="F939" s="2" t="s">
        <v>5234</v>
      </c>
      <c r="G939" s="2" t="s">
        <v>74</v>
      </c>
      <c r="H939" s="2" t="s">
        <v>74</v>
      </c>
      <c r="I939" s="2" t="s">
        <v>5235</v>
      </c>
      <c r="J939" s="2" t="s">
        <v>140</v>
      </c>
      <c r="K939" s="2" t="s">
        <v>74</v>
      </c>
      <c r="L939" s="2" t="s">
        <v>74</v>
      </c>
      <c r="M939" s="2" t="s">
        <v>74</v>
      </c>
      <c r="N939" s="2" t="s">
        <v>74</v>
      </c>
      <c r="O939" s="2" t="s">
        <v>74</v>
      </c>
      <c r="P939" s="2" t="s">
        <v>74</v>
      </c>
      <c r="Q939" s="2" t="s">
        <v>74</v>
      </c>
      <c r="R939" s="2" t="s">
        <v>74</v>
      </c>
      <c r="S939" s="2" t="s">
        <v>74</v>
      </c>
      <c r="T939" s="2" t="s">
        <v>74</v>
      </c>
      <c r="U939" s="2" t="s">
        <v>74</v>
      </c>
      <c r="V939" s="5" t="s">
        <v>74</v>
      </c>
      <c r="W939" s="2" t="s">
        <v>74</v>
      </c>
      <c r="X939" s="2" t="s">
        <v>74</v>
      </c>
      <c r="Y939" s="2" t="s">
        <v>74</v>
      </c>
      <c r="Z939" s="2" t="s">
        <v>74</v>
      </c>
      <c r="AA939" s="2" t="s">
        <v>74</v>
      </c>
      <c r="AB939" s="2" t="s">
        <v>74</v>
      </c>
      <c r="AC939" s="2" t="s">
        <v>74</v>
      </c>
      <c r="AD939" s="2" t="s">
        <v>74</v>
      </c>
      <c r="AE939" s="2" t="s">
        <v>74</v>
      </c>
      <c r="AF939" s="2" t="s">
        <v>74</v>
      </c>
      <c r="AG939" s="2" t="s">
        <v>74</v>
      </c>
      <c r="AH939" s="2" t="s">
        <v>74</v>
      </c>
      <c r="AI939" s="2" t="s">
        <v>74</v>
      </c>
      <c r="AJ939" s="2" t="s">
        <v>74</v>
      </c>
      <c r="AK939" s="2" t="s">
        <v>74</v>
      </c>
      <c r="AL939" s="2" t="s">
        <v>74</v>
      </c>
      <c r="AM939" s="2" t="s">
        <v>74</v>
      </c>
      <c r="AN939" s="2" t="s">
        <v>74</v>
      </c>
      <c r="AO939" s="2" t="s">
        <v>143</v>
      </c>
      <c r="AP939" s="2" t="s">
        <v>74</v>
      </c>
      <c r="AQ939" s="2" t="s">
        <v>74</v>
      </c>
      <c r="AR939" s="2" t="s">
        <v>74</v>
      </c>
      <c r="AS939" s="2" t="s">
        <v>74</v>
      </c>
      <c r="AT939" s="2" t="s">
        <v>145</v>
      </c>
      <c r="AU939" s="2">
        <v>1992</v>
      </c>
      <c r="AV939" s="2">
        <v>44</v>
      </c>
      <c r="AW939" s="2">
        <v>2</v>
      </c>
      <c r="AX939" s="2" t="s">
        <v>74</v>
      </c>
      <c r="AY939" s="2" t="s">
        <v>74</v>
      </c>
      <c r="AZ939" s="2" t="s">
        <v>74</v>
      </c>
      <c r="BA939" s="2" t="s">
        <v>74</v>
      </c>
      <c r="BB939" s="2">
        <v>293</v>
      </c>
      <c r="BC939" s="2">
        <v>299</v>
      </c>
      <c r="BD939" s="2" t="s">
        <v>74</v>
      </c>
      <c r="BE939" s="2" t="s">
        <v>5236</v>
      </c>
      <c r="BF939" s="2" t="str">
        <f>HYPERLINK("http://dx.doi.org/10.1016/0003-3472(92)90035-8","http://dx.doi.org/10.1016/0003-3472(92)90035-8")</f>
        <v>http://dx.doi.org/10.1016/0003-3472(92)90035-8</v>
      </c>
      <c r="BG939" s="2" t="s">
        <v>74</v>
      </c>
      <c r="BH939" s="2" t="s">
        <v>74</v>
      </c>
      <c r="BI939" s="2" t="s">
        <v>74</v>
      </c>
      <c r="BJ939" s="2" t="s">
        <v>74</v>
      </c>
      <c r="BK939" s="2" t="s">
        <v>74</v>
      </c>
      <c r="BL939" s="2" t="s">
        <v>74</v>
      </c>
      <c r="BM939" s="2" t="s">
        <v>74</v>
      </c>
      <c r="BN939" s="2" t="s">
        <v>74</v>
      </c>
      <c r="BO939" s="2" t="s">
        <v>74</v>
      </c>
      <c r="BP939" s="2" t="s">
        <v>74</v>
      </c>
      <c r="BQ939" s="2" t="s">
        <v>74</v>
      </c>
      <c r="BR939" s="2" t="s">
        <v>74</v>
      </c>
      <c r="BS939" s="2" t="s">
        <v>5237</v>
      </c>
      <c r="BT939" s="2" t="str">
        <f>HYPERLINK("https%3A%2F%2Fwww.webofscience.com%2Fwos%2Fwoscc%2Ffull-record%2FWOS:A1992JK06900011","View Full Record in Web of Science")</f>
        <v>View Full Record in Web of Science</v>
      </c>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row>
    <row r="940" spans="1:314" s="2" customFormat="1" x14ac:dyDescent="0.4">
      <c r="A940" s="2" t="s">
        <v>72</v>
      </c>
      <c r="B940" s="2" t="s">
        <v>8346</v>
      </c>
      <c r="C940" s="2" t="s">
        <v>74</v>
      </c>
      <c r="D940" s="2" t="s">
        <v>74</v>
      </c>
      <c r="E940" s="2" t="s">
        <v>74</v>
      </c>
      <c r="F940" s="2" t="s">
        <v>8347</v>
      </c>
      <c r="G940" s="2" t="s">
        <v>74</v>
      </c>
      <c r="H940" s="2" t="s">
        <v>74</v>
      </c>
      <c r="I940" s="2" t="s">
        <v>8348</v>
      </c>
      <c r="J940" s="2" t="s">
        <v>129</v>
      </c>
      <c r="K940" s="2" t="s">
        <v>74</v>
      </c>
      <c r="L940" s="2" t="s">
        <v>74</v>
      </c>
      <c r="M940" s="2" t="s">
        <v>74</v>
      </c>
      <c r="N940" s="2" t="s">
        <v>74</v>
      </c>
      <c r="O940" s="2" t="s">
        <v>74</v>
      </c>
      <c r="P940" s="2" t="s">
        <v>74</v>
      </c>
      <c r="Q940" s="2" t="s">
        <v>74</v>
      </c>
      <c r="R940" s="2" t="s">
        <v>74</v>
      </c>
      <c r="S940" s="2" t="s">
        <v>74</v>
      </c>
      <c r="T940" s="2" t="s">
        <v>74</v>
      </c>
      <c r="U940" s="2" t="s">
        <v>74</v>
      </c>
      <c r="V940" s="5" t="s">
        <v>8349</v>
      </c>
      <c r="W940" s="2" t="s">
        <v>74</v>
      </c>
      <c r="X940" s="2" t="s">
        <v>74</v>
      </c>
      <c r="Y940" s="2" t="s">
        <v>74</v>
      </c>
      <c r="Z940" s="2" t="s">
        <v>74</v>
      </c>
      <c r="AA940" s="2" t="s">
        <v>74</v>
      </c>
      <c r="AB940" s="2" t="s">
        <v>74</v>
      </c>
      <c r="AC940" s="2" t="s">
        <v>74</v>
      </c>
      <c r="AD940" s="2" t="s">
        <v>74</v>
      </c>
      <c r="AE940" s="2" t="s">
        <v>74</v>
      </c>
      <c r="AF940" s="2" t="s">
        <v>74</v>
      </c>
      <c r="AG940" s="2" t="s">
        <v>74</v>
      </c>
      <c r="AH940" s="2" t="s">
        <v>74</v>
      </c>
      <c r="AI940" s="2" t="s">
        <v>74</v>
      </c>
      <c r="AJ940" s="2" t="s">
        <v>74</v>
      </c>
      <c r="AK940" s="2" t="s">
        <v>74</v>
      </c>
      <c r="AL940" s="2" t="s">
        <v>74</v>
      </c>
      <c r="AM940" s="2" t="s">
        <v>74</v>
      </c>
      <c r="AN940" s="2" t="s">
        <v>74</v>
      </c>
      <c r="AO940" s="2" t="s">
        <v>132</v>
      </c>
      <c r="AP940" s="2" t="s">
        <v>74</v>
      </c>
      <c r="AQ940" s="2" t="s">
        <v>74</v>
      </c>
      <c r="AR940" s="2" t="s">
        <v>74</v>
      </c>
      <c r="AS940" s="2" t="s">
        <v>74</v>
      </c>
      <c r="AT940" s="2" t="s">
        <v>204</v>
      </c>
      <c r="AU940" s="2">
        <v>2007</v>
      </c>
      <c r="AV940" s="2">
        <v>61</v>
      </c>
      <c r="AW940" s="2">
        <v>9</v>
      </c>
      <c r="AX940" s="2" t="s">
        <v>74</v>
      </c>
      <c r="AY940" s="2" t="s">
        <v>74</v>
      </c>
      <c r="AZ940" s="2" t="s">
        <v>74</v>
      </c>
      <c r="BA940" s="2" t="s">
        <v>74</v>
      </c>
      <c r="BB940" s="2">
        <v>1359</v>
      </c>
      <c r="BC940" s="2">
        <v>1368</v>
      </c>
      <c r="BD940" s="2" t="s">
        <v>74</v>
      </c>
      <c r="BE940" s="2" t="s">
        <v>8350</v>
      </c>
      <c r="BF940" s="2" t="str">
        <f>HYPERLINK("http://dx.doi.org/10.1007/s00265-007-0366-6","http://dx.doi.org/10.1007/s00265-007-0366-6")</f>
        <v>http://dx.doi.org/10.1007/s00265-007-0366-6</v>
      </c>
      <c r="BG940" s="2" t="s">
        <v>74</v>
      </c>
      <c r="BH940" s="2" t="s">
        <v>74</v>
      </c>
      <c r="BI940" s="2" t="s">
        <v>74</v>
      </c>
      <c r="BJ940" s="2" t="s">
        <v>74</v>
      </c>
      <c r="BK940" s="2" t="s">
        <v>74</v>
      </c>
      <c r="BL940" s="2" t="s">
        <v>74</v>
      </c>
      <c r="BM940" s="2" t="s">
        <v>74</v>
      </c>
      <c r="BN940" s="2" t="s">
        <v>74</v>
      </c>
      <c r="BO940" s="2" t="s">
        <v>74</v>
      </c>
      <c r="BP940" s="2" t="s">
        <v>74</v>
      </c>
      <c r="BQ940" s="2" t="s">
        <v>74</v>
      </c>
      <c r="BR940" s="2" t="s">
        <v>74</v>
      </c>
      <c r="BS940" s="2" t="s">
        <v>8351</v>
      </c>
      <c r="BT940" s="2" t="str">
        <f>HYPERLINK("https%3A%2F%2Fwww.webofscience.com%2Fwos%2Fwoscc%2Ffull-record%2FWOS:000247256000005","View Full Record in Web of Science")</f>
        <v>View Full Record in Web of Science</v>
      </c>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row>
    <row r="941" spans="1:314" s="7" customFormat="1" x14ac:dyDescent="0.4">
      <c r="A941" s="2" t="s">
        <v>72</v>
      </c>
      <c r="B941" s="2" t="s">
        <v>8373</v>
      </c>
      <c r="C941" s="2" t="s">
        <v>74</v>
      </c>
      <c r="D941" s="2" t="s">
        <v>74</v>
      </c>
      <c r="E941" s="2" t="s">
        <v>74</v>
      </c>
      <c r="F941" s="2" t="s">
        <v>8373</v>
      </c>
      <c r="G941" s="2" t="s">
        <v>74</v>
      </c>
      <c r="H941" s="2" t="s">
        <v>74</v>
      </c>
      <c r="I941" s="2" t="s">
        <v>8374</v>
      </c>
      <c r="J941" s="2" t="s">
        <v>333</v>
      </c>
      <c r="K941" s="2" t="s">
        <v>74</v>
      </c>
      <c r="L941" s="2" t="s">
        <v>74</v>
      </c>
      <c r="M941" s="2" t="s">
        <v>74</v>
      </c>
      <c r="N941" s="2" t="s">
        <v>74</v>
      </c>
      <c r="O941" s="2" t="s">
        <v>74</v>
      </c>
      <c r="P941" s="2" t="s">
        <v>74</v>
      </c>
      <c r="Q941" s="2" t="s">
        <v>74</v>
      </c>
      <c r="R941" s="2" t="s">
        <v>74</v>
      </c>
      <c r="S941" s="2" t="s">
        <v>74</v>
      </c>
      <c r="T941" s="2" t="s">
        <v>74</v>
      </c>
      <c r="U941" s="2" t="s">
        <v>74</v>
      </c>
      <c r="V941" s="5" t="s">
        <v>8375</v>
      </c>
      <c r="W941" s="2" t="s">
        <v>74</v>
      </c>
      <c r="X941" s="2" t="s">
        <v>74</v>
      </c>
      <c r="Y941" s="2" t="s">
        <v>74</v>
      </c>
      <c r="Z941" s="2" t="s">
        <v>74</v>
      </c>
      <c r="AA941" s="2" t="s">
        <v>8376</v>
      </c>
      <c r="AB941" s="2" t="s">
        <v>1934</v>
      </c>
      <c r="AC941" s="2" t="s">
        <v>74</v>
      </c>
      <c r="AD941" s="2" t="s">
        <v>74</v>
      </c>
      <c r="AE941" s="2" t="s">
        <v>74</v>
      </c>
      <c r="AF941" s="2" t="s">
        <v>74</v>
      </c>
      <c r="AG941" s="2" t="s">
        <v>74</v>
      </c>
      <c r="AH941" s="2" t="s">
        <v>74</v>
      </c>
      <c r="AI941" s="2" t="s">
        <v>74</v>
      </c>
      <c r="AJ941" s="2" t="s">
        <v>74</v>
      </c>
      <c r="AK941" s="2" t="s">
        <v>74</v>
      </c>
      <c r="AL941" s="2" t="s">
        <v>74</v>
      </c>
      <c r="AM941" s="2" t="s">
        <v>74</v>
      </c>
      <c r="AN941" s="2" t="s">
        <v>74</v>
      </c>
      <c r="AO941" s="2" t="s">
        <v>337</v>
      </c>
      <c r="AP941" s="2" t="s">
        <v>338</v>
      </c>
      <c r="AQ941" s="2" t="s">
        <v>74</v>
      </c>
      <c r="AR941" s="2" t="s">
        <v>74</v>
      </c>
      <c r="AS941" s="2" t="s">
        <v>74</v>
      </c>
      <c r="AT941" s="2" t="s">
        <v>3338</v>
      </c>
      <c r="AU941" s="2">
        <v>1996</v>
      </c>
      <c r="AV941" s="2">
        <v>7</v>
      </c>
      <c r="AW941" s="2">
        <v>2</v>
      </c>
      <c r="AX941" s="2" t="s">
        <v>74</v>
      </c>
      <c r="AY941" s="2" t="s">
        <v>74</v>
      </c>
      <c r="AZ941" s="2" t="s">
        <v>74</v>
      </c>
      <c r="BA941" s="2" t="s">
        <v>74</v>
      </c>
      <c r="BB941" s="2">
        <v>145</v>
      </c>
      <c r="BC941" s="2">
        <v>150</v>
      </c>
      <c r="BD941" s="2" t="s">
        <v>74</v>
      </c>
      <c r="BE941" s="2" t="s">
        <v>8377</v>
      </c>
      <c r="BF941" s="2" t="str">
        <f>HYPERLINK("http://dx.doi.org/10.1093/beheco/7.2.145","http://dx.doi.org/10.1093/beheco/7.2.145")</f>
        <v>http://dx.doi.org/10.1093/beheco/7.2.145</v>
      </c>
      <c r="BG941" s="2" t="s">
        <v>74</v>
      </c>
      <c r="BH941" s="2" t="s">
        <v>74</v>
      </c>
      <c r="BI941" s="2" t="s">
        <v>74</v>
      </c>
      <c r="BJ941" s="2" t="s">
        <v>74</v>
      </c>
      <c r="BK941" s="2" t="s">
        <v>74</v>
      </c>
      <c r="BL941" s="2" t="s">
        <v>74</v>
      </c>
      <c r="BM941" s="2" t="s">
        <v>74</v>
      </c>
      <c r="BN941" s="2" t="s">
        <v>74</v>
      </c>
      <c r="BO941" s="2" t="s">
        <v>74</v>
      </c>
      <c r="BP941" s="2" t="s">
        <v>74</v>
      </c>
      <c r="BQ941" s="2" t="s">
        <v>74</v>
      </c>
      <c r="BR941" s="2" t="s">
        <v>74</v>
      </c>
      <c r="BS941" s="2" t="s">
        <v>8378</v>
      </c>
      <c r="BT941" s="2" t="str">
        <f>HYPERLINK("https%3A%2F%2Fwww.webofscience.com%2Fwos%2Fwoscc%2Ffull-record%2FWOS:A1996UK92900006","View Full Record in Web of Science")</f>
        <v>View Full Record in Web of Science</v>
      </c>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row>
    <row r="942" spans="1:314" s="1" customFormat="1" x14ac:dyDescent="0.4">
      <c r="A942" s="2" t="s">
        <v>72</v>
      </c>
      <c r="B942" s="2" t="s">
        <v>4262</v>
      </c>
      <c r="C942" s="2" t="s">
        <v>74</v>
      </c>
      <c r="D942" s="2" t="s">
        <v>74</v>
      </c>
      <c r="E942" s="2" t="s">
        <v>74</v>
      </c>
      <c r="F942" s="2" t="s">
        <v>4263</v>
      </c>
      <c r="G942" s="2" t="s">
        <v>74</v>
      </c>
      <c r="H942" s="2" t="s">
        <v>74</v>
      </c>
      <c r="I942" s="2" t="s">
        <v>4264</v>
      </c>
      <c r="J942" s="2" t="s">
        <v>241</v>
      </c>
      <c r="K942" s="2" t="s">
        <v>74</v>
      </c>
      <c r="L942" s="2" t="s">
        <v>74</v>
      </c>
      <c r="M942" s="2" t="s">
        <v>74</v>
      </c>
      <c r="N942" s="2" t="s">
        <v>74</v>
      </c>
      <c r="O942" s="2" t="s">
        <v>74</v>
      </c>
      <c r="P942" s="2" t="s">
        <v>74</v>
      </c>
      <c r="Q942" s="2" t="s">
        <v>74</v>
      </c>
      <c r="R942" s="2" t="s">
        <v>74</v>
      </c>
      <c r="S942" s="2" t="s">
        <v>74</v>
      </c>
      <c r="T942" s="2" t="s">
        <v>74</v>
      </c>
      <c r="U942" s="2" t="s">
        <v>74</v>
      </c>
      <c r="V942" s="5" t="s">
        <v>4265</v>
      </c>
      <c r="W942" s="2" t="s">
        <v>74</v>
      </c>
      <c r="X942" s="2" t="s">
        <v>74</v>
      </c>
      <c r="Y942" s="2" t="s">
        <v>74</v>
      </c>
      <c r="Z942" s="2" t="s">
        <v>74</v>
      </c>
      <c r="AA942" s="2" t="s">
        <v>4266</v>
      </c>
      <c r="AB942" s="2" t="s">
        <v>4267</v>
      </c>
      <c r="AC942" s="2" t="s">
        <v>74</v>
      </c>
      <c r="AD942" s="2" t="s">
        <v>74</v>
      </c>
      <c r="AE942" s="2" t="s">
        <v>74</v>
      </c>
      <c r="AF942" s="2" t="s">
        <v>74</v>
      </c>
      <c r="AG942" s="2" t="s">
        <v>74</v>
      </c>
      <c r="AH942" s="2" t="s">
        <v>74</v>
      </c>
      <c r="AI942" s="2" t="s">
        <v>74</v>
      </c>
      <c r="AJ942" s="2" t="s">
        <v>74</v>
      </c>
      <c r="AK942" s="2" t="s">
        <v>74</v>
      </c>
      <c r="AL942" s="2" t="s">
        <v>74</v>
      </c>
      <c r="AM942" s="2" t="s">
        <v>74</v>
      </c>
      <c r="AN942" s="2" t="s">
        <v>74</v>
      </c>
      <c r="AO942" s="2" t="s">
        <v>245</v>
      </c>
      <c r="AP942" s="2" t="s">
        <v>246</v>
      </c>
      <c r="AQ942" s="2" t="s">
        <v>74</v>
      </c>
      <c r="AR942" s="2" t="s">
        <v>74</v>
      </c>
      <c r="AS942" s="2" t="s">
        <v>74</v>
      </c>
      <c r="AT942" s="2" t="s">
        <v>255</v>
      </c>
      <c r="AU942" s="2">
        <v>2013</v>
      </c>
      <c r="AV942" s="2">
        <v>171</v>
      </c>
      <c r="AW942" s="2">
        <v>1</v>
      </c>
      <c r="AX942" s="2" t="s">
        <v>74</v>
      </c>
      <c r="AY942" s="2" t="s">
        <v>74</v>
      </c>
      <c r="AZ942" s="2" t="s">
        <v>74</v>
      </c>
      <c r="BA942" s="2" t="s">
        <v>74</v>
      </c>
      <c r="BB942" s="2">
        <v>105</v>
      </c>
      <c r="BC942" s="2">
        <v>113</v>
      </c>
      <c r="BD942" s="2" t="s">
        <v>74</v>
      </c>
      <c r="BE942" s="2" t="s">
        <v>4268</v>
      </c>
      <c r="BF942" s="2" t="str">
        <f>HYPERLINK("http://dx.doi.org/10.1007/s00442-012-2388-7","http://dx.doi.org/10.1007/s00442-012-2388-7")</f>
        <v>http://dx.doi.org/10.1007/s00442-012-2388-7</v>
      </c>
      <c r="BG942" s="2" t="s">
        <v>74</v>
      </c>
      <c r="BH942" s="2" t="s">
        <v>74</v>
      </c>
      <c r="BI942" s="2" t="s">
        <v>74</v>
      </c>
      <c r="BJ942" s="2" t="s">
        <v>74</v>
      </c>
      <c r="BK942" s="2" t="s">
        <v>74</v>
      </c>
      <c r="BL942" s="2" t="s">
        <v>74</v>
      </c>
      <c r="BM942" s="2" t="s">
        <v>74</v>
      </c>
      <c r="BN942" s="2">
        <v>22710614</v>
      </c>
      <c r="BO942" s="2" t="s">
        <v>74</v>
      </c>
      <c r="BP942" s="2" t="s">
        <v>74</v>
      </c>
      <c r="BQ942" s="2" t="s">
        <v>74</v>
      </c>
      <c r="BR942" s="2" t="s">
        <v>74</v>
      </c>
      <c r="BS942" s="2" t="s">
        <v>4269</v>
      </c>
      <c r="BT942" s="2" t="str">
        <f>HYPERLINK("https%3A%2F%2Fwww.webofscience.com%2Fwos%2Fwoscc%2Ffull-record%2FWOS:000313079100010","View Full Record in Web of Science")</f>
        <v>View Full Record in Web of Science</v>
      </c>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row>
    <row r="943" spans="1:314" s="2" customFormat="1" x14ac:dyDescent="0.4">
      <c r="A943" s="2" t="s">
        <v>72</v>
      </c>
      <c r="B943" s="2" t="s">
        <v>6284</v>
      </c>
      <c r="C943" s="2" t="s">
        <v>74</v>
      </c>
      <c r="D943" s="2" t="s">
        <v>74</v>
      </c>
      <c r="E943" s="2" t="s">
        <v>74</v>
      </c>
      <c r="F943" s="2" t="s">
        <v>6285</v>
      </c>
      <c r="G943" s="2" t="s">
        <v>74</v>
      </c>
      <c r="H943" s="2" t="s">
        <v>74</v>
      </c>
      <c r="I943" s="2" t="s">
        <v>6286</v>
      </c>
      <c r="J943" s="2" t="s">
        <v>1656</v>
      </c>
      <c r="K943" s="2" t="s">
        <v>74</v>
      </c>
      <c r="L943" s="2" t="s">
        <v>74</v>
      </c>
      <c r="M943" s="2" t="s">
        <v>74</v>
      </c>
      <c r="N943" s="2" t="s">
        <v>74</v>
      </c>
      <c r="O943" s="2" t="s">
        <v>74</v>
      </c>
      <c r="P943" s="2" t="s">
        <v>74</v>
      </c>
      <c r="Q943" s="2" t="s">
        <v>74</v>
      </c>
      <c r="R943" s="2" t="s">
        <v>74</v>
      </c>
      <c r="S943" s="2" t="s">
        <v>74</v>
      </c>
      <c r="T943" s="2" t="s">
        <v>74</v>
      </c>
      <c r="U943" s="2" t="s">
        <v>74</v>
      </c>
      <c r="V943" s="5" t="s">
        <v>6287</v>
      </c>
      <c r="W943" s="2" t="s">
        <v>74</v>
      </c>
      <c r="X943" s="2" t="s">
        <v>74</v>
      </c>
      <c r="Y943" s="2" t="s">
        <v>74</v>
      </c>
      <c r="Z943" s="2" t="s">
        <v>74</v>
      </c>
      <c r="AA943" s="2" t="s">
        <v>74</v>
      </c>
      <c r="AB943" s="2" t="s">
        <v>74</v>
      </c>
      <c r="AC943" s="2" t="s">
        <v>74</v>
      </c>
      <c r="AD943" s="2" t="s">
        <v>74</v>
      </c>
      <c r="AE943" s="2" t="s">
        <v>74</v>
      </c>
      <c r="AF943" s="2" t="s">
        <v>74</v>
      </c>
      <c r="AG943" s="2" t="s">
        <v>74</v>
      </c>
      <c r="AH943" s="2" t="s">
        <v>74</v>
      </c>
      <c r="AI943" s="2" t="s">
        <v>74</v>
      </c>
      <c r="AJ943" s="2" t="s">
        <v>74</v>
      </c>
      <c r="AK943" s="2" t="s">
        <v>74</v>
      </c>
      <c r="AL943" s="2" t="s">
        <v>74</v>
      </c>
      <c r="AM943" s="2" t="s">
        <v>74</v>
      </c>
      <c r="AN943" s="2" t="s">
        <v>74</v>
      </c>
      <c r="AO943" s="2" t="s">
        <v>1658</v>
      </c>
      <c r="AP943" s="2" t="s">
        <v>1659</v>
      </c>
      <c r="AQ943" s="2" t="s">
        <v>74</v>
      </c>
      <c r="AR943" s="2" t="s">
        <v>74</v>
      </c>
      <c r="AS943" s="2" t="s">
        <v>74</v>
      </c>
      <c r="AT943" s="2" t="s">
        <v>6288</v>
      </c>
      <c r="AU943" s="2">
        <v>2010</v>
      </c>
      <c r="AV943" s="2" t="s">
        <v>74</v>
      </c>
      <c r="AW943" s="2">
        <v>2355</v>
      </c>
      <c r="AX943" s="2" t="s">
        <v>74</v>
      </c>
      <c r="AY943" s="2" t="s">
        <v>74</v>
      </c>
      <c r="AZ943" s="2" t="s">
        <v>74</v>
      </c>
      <c r="BA943" s="2" t="s">
        <v>74</v>
      </c>
      <c r="BB943" s="2">
        <v>56</v>
      </c>
      <c r="BC943" s="2">
        <v>68</v>
      </c>
      <c r="BD943" s="2" t="s">
        <v>74</v>
      </c>
      <c r="BE943" s="2" t="s">
        <v>74</v>
      </c>
      <c r="BF943" s="2" t="s">
        <v>74</v>
      </c>
      <c r="BG943" s="2" t="s">
        <v>74</v>
      </c>
      <c r="BH943" s="2" t="s">
        <v>74</v>
      </c>
      <c r="BI943" s="2" t="s">
        <v>74</v>
      </c>
      <c r="BJ943" s="2" t="s">
        <v>74</v>
      </c>
      <c r="BK943" s="2" t="s">
        <v>74</v>
      </c>
      <c r="BL943" s="2" t="s">
        <v>74</v>
      </c>
      <c r="BM943" s="2" t="s">
        <v>74</v>
      </c>
      <c r="BN943" s="2" t="s">
        <v>74</v>
      </c>
      <c r="BO943" s="2" t="s">
        <v>74</v>
      </c>
      <c r="BP943" s="2" t="s">
        <v>74</v>
      </c>
      <c r="BQ943" s="2" t="s">
        <v>74</v>
      </c>
      <c r="BR943" s="2" t="s">
        <v>74</v>
      </c>
      <c r="BS943" s="2" t="s">
        <v>6289</v>
      </c>
      <c r="BT943" s="2" t="str">
        <f>HYPERLINK("https%3A%2F%2Fwww.webofscience.com%2Fwos%2Fwoscc%2Ffull-record%2FWOS:000274639400003","View Full Record in Web of Science")</f>
        <v>View Full Record in Web of Science</v>
      </c>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row>
    <row r="944" spans="1:314" s="2" customFormat="1" x14ac:dyDescent="0.4">
      <c r="A944" s="2" t="s">
        <v>72</v>
      </c>
      <c r="B944" s="2" t="s">
        <v>5595</v>
      </c>
      <c r="C944" s="2" t="s">
        <v>74</v>
      </c>
      <c r="D944" s="2" t="s">
        <v>74</v>
      </c>
      <c r="E944" s="2" t="s">
        <v>74</v>
      </c>
      <c r="F944" s="2" t="s">
        <v>5596</v>
      </c>
      <c r="G944" s="2" t="s">
        <v>74</v>
      </c>
      <c r="H944" s="2" t="s">
        <v>74</v>
      </c>
      <c r="I944" s="2" t="s">
        <v>5597</v>
      </c>
      <c r="J944" s="2" t="s">
        <v>1044</v>
      </c>
      <c r="K944" s="2" t="s">
        <v>74</v>
      </c>
      <c r="L944" s="2" t="s">
        <v>74</v>
      </c>
      <c r="M944" s="2" t="s">
        <v>74</v>
      </c>
      <c r="N944" s="2" t="s">
        <v>74</v>
      </c>
      <c r="O944" s="2" t="s">
        <v>74</v>
      </c>
      <c r="P944" s="2" t="s">
        <v>74</v>
      </c>
      <c r="Q944" s="2" t="s">
        <v>74</v>
      </c>
      <c r="R944" s="2" t="s">
        <v>74</v>
      </c>
      <c r="S944" s="2" t="s">
        <v>74</v>
      </c>
      <c r="T944" s="2" t="s">
        <v>74</v>
      </c>
      <c r="U944" s="2" t="s">
        <v>74</v>
      </c>
      <c r="V944" s="5" t="s">
        <v>5598</v>
      </c>
      <c r="W944" s="2" t="s">
        <v>74</v>
      </c>
      <c r="X944" s="2" t="s">
        <v>74</v>
      </c>
      <c r="Y944" s="2" t="s">
        <v>74</v>
      </c>
      <c r="Z944" s="2" t="s">
        <v>74</v>
      </c>
      <c r="AA944" s="2" t="s">
        <v>5599</v>
      </c>
      <c r="AB944" s="2" t="s">
        <v>5600</v>
      </c>
      <c r="AC944" s="2" t="s">
        <v>74</v>
      </c>
      <c r="AD944" s="2" t="s">
        <v>74</v>
      </c>
      <c r="AE944" s="2" t="s">
        <v>74</v>
      </c>
      <c r="AF944" s="2" t="s">
        <v>74</v>
      </c>
      <c r="AG944" s="2" t="s">
        <v>74</v>
      </c>
      <c r="AH944" s="2" t="s">
        <v>74</v>
      </c>
      <c r="AI944" s="2" t="s">
        <v>74</v>
      </c>
      <c r="AJ944" s="2" t="s">
        <v>74</v>
      </c>
      <c r="AK944" s="2" t="s">
        <v>74</v>
      </c>
      <c r="AL944" s="2" t="s">
        <v>74</v>
      </c>
      <c r="AM944" s="2" t="s">
        <v>74</v>
      </c>
      <c r="AN944" s="2" t="s">
        <v>74</v>
      </c>
      <c r="AO944" s="2" t="s">
        <v>1048</v>
      </c>
      <c r="AP944" s="2" t="s">
        <v>1049</v>
      </c>
      <c r="AQ944" s="2" t="s">
        <v>74</v>
      </c>
      <c r="AR944" s="2" t="s">
        <v>74</v>
      </c>
      <c r="AS944" s="2" t="s">
        <v>74</v>
      </c>
      <c r="AT944" s="2" t="s">
        <v>352</v>
      </c>
      <c r="AU944" s="2">
        <v>2015</v>
      </c>
      <c r="AV944" s="2">
        <v>24</v>
      </c>
      <c r="AW944" s="2">
        <v>18</v>
      </c>
      <c r="AX944" s="2" t="s">
        <v>74</v>
      </c>
      <c r="AY944" s="2" t="s">
        <v>74</v>
      </c>
      <c r="AZ944" s="2" t="s">
        <v>74</v>
      </c>
      <c r="BA944" s="2" t="s">
        <v>74</v>
      </c>
      <c r="BB944" s="2">
        <v>4679</v>
      </c>
      <c r="BC944" s="2">
        <v>4696</v>
      </c>
      <c r="BD944" s="2" t="s">
        <v>74</v>
      </c>
      <c r="BE944" s="2" t="s">
        <v>5601</v>
      </c>
      <c r="BF944" s="2" t="str">
        <f>HYPERLINK("http://dx.doi.org/10.1111/mec.13346","http://dx.doi.org/10.1111/mec.13346")</f>
        <v>http://dx.doi.org/10.1111/mec.13346</v>
      </c>
      <c r="BG944" s="2" t="s">
        <v>74</v>
      </c>
      <c r="BH944" s="2" t="s">
        <v>74</v>
      </c>
      <c r="BI944" s="2" t="s">
        <v>74</v>
      </c>
      <c r="BJ944" s="2" t="s">
        <v>74</v>
      </c>
      <c r="BK944" s="2" t="s">
        <v>74</v>
      </c>
      <c r="BL944" s="2" t="s">
        <v>74</v>
      </c>
      <c r="BM944" s="2" t="s">
        <v>74</v>
      </c>
      <c r="BN944" s="2">
        <v>26289828</v>
      </c>
      <c r="BO944" s="2" t="s">
        <v>74</v>
      </c>
      <c r="BP944" s="2" t="s">
        <v>74</v>
      </c>
      <c r="BQ944" s="2" t="s">
        <v>74</v>
      </c>
      <c r="BR944" s="2" t="s">
        <v>74</v>
      </c>
      <c r="BS944" s="2" t="s">
        <v>5602</v>
      </c>
      <c r="BT944" s="2" t="str">
        <f>HYPERLINK("https%3A%2F%2Fwww.webofscience.com%2Fwos%2Fwoscc%2Ffull-record%2FWOS:000361555900008","View Full Record in Web of Science")</f>
        <v>View Full Record in Web of Science</v>
      </c>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row>
    <row r="945" spans="1:314" s="1" customFormat="1" x14ac:dyDescent="0.4">
      <c r="A945" s="2" t="s">
        <v>72</v>
      </c>
      <c r="B945" s="2" t="s">
        <v>1851</v>
      </c>
      <c r="C945" s="2" t="s">
        <v>74</v>
      </c>
      <c r="D945" s="2" t="s">
        <v>74</v>
      </c>
      <c r="E945" s="2" t="s">
        <v>74</v>
      </c>
      <c r="F945" s="2" t="s">
        <v>1852</v>
      </c>
      <c r="G945" s="2" t="s">
        <v>74</v>
      </c>
      <c r="H945" s="2" t="s">
        <v>74</v>
      </c>
      <c r="I945" s="2" t="s">
        <v>1853</v>
      </c>
      <c r="J945" s="2" t="s">
        <v>1854</v>
      </c>
      <c r="K945" s="2" t="s">
        <v>74</v>
      </c>
      <c r="L945" s="2" t="s">
        <v>74</v>
      </c>
      <c r="M945" s="2" t="s">
        <v>74</v>
      </c>
      <c r="N945" s="2" t="s">
        <v>74</v>
      </c>
      <c r="O945" s="2" t="s">
        <v>74</v>
      </c>
      <c r="P945" s="2" t="s">
        <v>74</v>
      </c>
      <c r="Q945" s="2" t="s">
        <v>74</v>
      </c>
      <c r="R945" s="2" t="s">
        <v>74</v>
      </c>
      <c r="S945" s="2" t="s">
        <v>74</v>
      </c>
      <c r="T945" s="2" t="s">
        <v>74</v>
      </c>
      <c r="U945" s="2" t="s">
        <v>74</v>
      </c>
      <c r="V945" s="5" t="s">
        <v>1855</v>
      </c>
      <c r="W945" s="2" t="s">
        <v>74</v>
      </c>
      <c r="X945" s="2" t="s">
        <v>74</v>
      </c>
      <c r="Y945" s="2" t="s">
        <v>74</v>
      </c>
      <c r="Z945" s="2" t="s">
        <v>74</v>
      </c>
      <c r="AA945" s="2" t="s">
        <v>1856</v>
      </c>
      <c r="AB945" s="2" t="s">
        <v>1857</v>
      </c>
      <c r="AC945" s="2" t="s">
        <v>74</v>
      </c>
      <c r="AD945" s="2" t="s">
        <v>74</v>
      </c>
      <c r="AE945" s="2" t="s">
        <v>74</v>
      </c>
      <c r="AF945" s="2" t="s">
        <v>74</v>
      </c>
      <c r="AG945" s="2" t="s">
        <v>74</v>
      </c>
      <c r="AH945" s="2" t="s">
        <v>74</v>
      </c>
      <c r="AI945" s="2" t="s">
        <v>74</v>
      </c>
      <c r="AJ945" s="2" t="s">
        <v>74</v>
      </c>
      <c r="AK945" s="2" t="s">
        <v>74</v>
      </c>
      <c r="AL945" s="2" t="s">
        <v>74</v>
      </c>
      <c r="AM945" s="2" t="s">
        <v>74</v>
      </c>
      <c r="AN945" s="2" t="s">
        <v>74</v>
      </c>
      <c r="AO945" s="2" t="s">
        <v>1858</v>
      </c>
      <c r="AP945" s="2" t="s">
        <v>1859</v>
      </c>
      <c r="AQ945" s="2" t="s">
        <v>74</v>
      </c>
      <c r="AR945" s="2" t="s">
        <v>74</v>
      </c>
      <c r="AS945" s="2" t="s">
        <v>74</v>
      </c>
      <c r="AT945" s="2" t="s">
        <v>305</v>
      </c>
      <c r="AU945" s="2">
        <v>2016</v>
      </c>
      <c r="AV945" s="2">
        <v>45</v>
      </c>
      <c r="AW945" s="2">
        <v>6</v>
      </c>
      <c r="AX945" s="2" t="s">
        <v>74</v>
      </c>
      <c r="AY945" s="2" t="s">
        <v>74</v>
      </c>
      <c r="AZ945" s="2" t="s">
        <v>74</v>
      </c>
      <c r="BA945" s="2" t="s">
        <v>74</v>
      </c>
      <c r="BB945" s="2">
        <v>658</v>
      </c>
      <c r="BC945" s="2">
        <v>664</v>
      </c>
      <c r="BD945" s="2" t="s">
        <v>74</v>
      </c>
      <c r="BE945" s="2" t="s">
        <v>1860</v>
      </c>
      <c r="BF945" s="2" t="str">
        <f>HYPERLINK("http://dx.doi.org/10.1007/s13744-016-0417-7","http://dx.doi.org/10.1007/s13744-016-0417-7")</f>
        <v>http://dx.doi.org/10.1007/s13744-016-0417-7</v>
      </c>
      <c r="BG945" s="2" t="s">
        <v>74</v>
      </c>
      <c r="BH945" s="2" t="s">
        <v>74</v>
      </c>
      <c r="BI945" s="2" t="s">
        <v>74</v>
      </c>
      <c r="BJ945" s="2" t="s">
        <v>74</v>
      </c>
      <c r="BK945" s="2" t="s">
        <v>74</v>
      </c>
      <c r="BL945" s="2" t="s">
        <v>74</v>
      </c>
      <c r="BM945" s="2" t="s">
        <v>74</v>
      </c>
      <c r="BN945" s="2">
        <v>27379758</v>
      </c>
      <c r="BO945" s="2" t="s">
        <v>74</v>
      </c>
      <c r="BP945" s="2" t="s">
        <v>74</v>
      </c>
      <c r="BQ945" s="2" t="s">
        <v>74</v>
      </c>
      <c r="BR945" s="2" t="s">
        <v>74</v>
      </c>
      <c r="BS945" s="2" t="s">
        <v>1861</v>
      </c>
      <c r="BT945" s="2" t="str">
        <f>HYPERLINK("https%3A%2F%2Fwww.webofscience.com%2Fwos%2Fwoscc%2Ffull-record%2FWOS:000389000400006","View Full Record in Web of Science")</f>
        <v>View Full Record in Web of Science</v>
      </c>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row>
    <row r="946" spans="1:314" s="1" customFormat="1" x14ac:dyDescent="0.4">
      <c r="A946" s="2" t="s">
        <v>72</v>
      </c>
      <c r="B946" s="2" t="s">
        <v>1868</v>
      </c>
      <c r="C946" s="2" t="s">
        <v>74</v>
      </c>
      <c r="D946" s="2" t="s">
        <v>74</v>
      </c>
      <c r="E946" s="2" t="s">
        <v>74</v>
      </c>
      <c r="F946" s="2" t="s">
        <v>1869</v>
      </c>
      <c r="G946" s="2" t="s">
        <v>74</v>
      </c>
      <c r="H946" s="2" t="s">
        <v>74</v>
      </c>
      <c r="I946" s="2" t="s">
        <v>1870</v>
      </c>
      <c r="J946" s="2" t="s">
        <v>731</v>
      </c>
      <c r="K946" s="2" t="s">
        <v>74</v>
      </c>
      <c r="L946" s="2" t="s">
        <v>74</v>
      </c>
      <c r="M946" s="2" t="s">
        <v>74</v>
      </c>
      <c r="N946" s="2" t="s">
        <v>74</v>
      </c>
      <c r="O946" s="2" t="s">
        <v>74</v>
      </c>
      <c r="P946" s="2" t="s">
        <v>74</v>
      </c>
      <c r="Q946" s="2" t="s">
        <v>74</v>
      </c>
      <c r="R946" s="2" t="s">
        <v>74</v>
      </c>
      <c r="S946" s="2" t="s">
        <v>74</v>
      </c>
      <c r="T946" s="2" t="s">
        <v>74</v>
      </c>
      <c r="U946" s="2" t="s">
        <v>74</v>
      </c>
      <c r="V946" s="5" t="s">
        <v>1871</v>
      </c>
      <c r="W946" s="2" t="s">
        <v>74</v>
      </c>
      <c r="X946" s="2" t="s">
        <v>74</v>
      </c>
      <c r="Y946" s="2" t="s">
        <v>74</v>
      </c>
      <c r="Z946" s="2" t="s">
        <v>74</v>
      </c>
      <c r="AA946" s="2" t="s">
        <v>74</v>
      </c>
      <c r="AB946" s="2" t="s">
        <v>74</v>
      </c>
      <c r="AC946" s="2" t="s">
        <v>74</v>
      </c>
      <c r="AD946" s="2" t="s">
        <v>74</v>
      </c>
      <c r="AE946" s="2" t="s">
        <v>74</v>
      </c>
      <c r="AF946" s="2" t="s">
        <v>74</v>
      </c>
      <c r="AG946" s="2" t="s">
        <v>74</v>
      </c>
      <c r="AH946" s="2" t="s">
        <v>74</v>
      </c>
      <c r="AI946" s="2" t="s">
        <v>74</v>
      </c>
      <c r="AJ946" s="2" t="s">
        <v>74</v>
      </c>
      <c r="AK946" s="2" t="s">
        <v>74</v>
      </c>
      <c r="AL946" s="2" t="s">
        <v>74</v>
      </c>
      <c r="AM946" s="2" t="s">
        <v>74</v>
      </c>
      <c r="AN946" s="2" t="s">
        <v>74</v>
      </c>
      <c r="AO946" s="2" t="s">
        <v>733</v>
      </c>
      <c r="AP946" s="2" t="s">
        <v>734</v>
      </c>
      <c r="AQ946" s="2" t="s">
        <v>74</v>
      </c>
      <c r="AR946" s="2" t="s">
        <v>74</v>
      </c>
      <c r="AS946" s="2" t="s">
        <v>74</v>
      </c>
      <c r="AT946" s="2" t="s">
        <v>1872</v>
      </c>
      <c r="AU946" s="2">
        <v>2008</v>
      </c>
      <c r="AV946" s="2">
        <v>191</v>
      </c>
      <c r="AW946" s="2">
        <v>1</v>
      </c>
      <c r="AX946" s="2" t="s">
        <v>74</v>
      </c>
      <c r="AY946" s="2" t="s">
        <v>74</v>
      </c>
      <c r="AZ946" s="2" t="s">
        <v>74</v>
      </c>
      <c r="BA946" s="2" t="s">
        <v>74</v>
      </c>
      <c r="BB946" s="2">
        <v>77</v>
      </c>
      <c r="BC946" s="2">
        <v>87</v>
      </c>
      <c r="BD946" s="2" t="s">
        <v>74</v>
      </c>
      <c r="BE946" s="2" t="s">
        <v>1873</v>
      </c>
      <c r="BF946" s="2" t="str">
        <f>HYPERLINK("http://dx.doi.org/10.1016/j.bbr.2008.03.013","http://dx.doi.org/10.1016/j.bbr.2008.03.013")</f>
        <v>http://dx.doi.org/10.1016/j.bbr.2008.03.013</v>
      </c>
      <c r="BG946" s="2" t="s">
        <v>74</v>
      </c>
      <c r="BH946" s="2" t="s">
        <v>74</v>
      </c>
      <c r="BI946" s="2" t="s">
        <v>74</v>
      </c>
      <c r="BJ946" s="2" t="s">
        <v>74</v>
      </c>
      <c r="BK946" s="2" t="s">
        <v>74</v>
      </c>
      <c r="BL946" s="2" t="s">
        <v>74</v>
      </c>
      <c r="BM946" s="2" t="s">
        <v>74</v>
      </c>
      <c r="BN946" s="2">
        <v>18423643</v>
      </c>
      <c r="BO946" s="2" t="s">
        <v>74</v>
      </c>
      <c r="BP946" s="2" t="s">
        <v>74</v>
      </c>
      <c r="BQ946" s="2" t="s">
        <v>74</v>
      </c>
      <c r="BR946" s="2" t="s">
        <v>74</v>
      </c>
      <c r="BS946" s="2" t="s">
        <v>1874</v>
      </c>
      <c r="BT946" s="2" t="str">
        <f>HYPERLINK("https%3A%2F%2Fwww.webofscience.com%2Fwos%2Fwoscc%2Ffull-record%2FWOS:000256786700012","View Full Record in Web of Science")</f>
        <v>View Full Record in Web of Science</v>
      </c>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row>
    <row r="947" spans="1:314" s="2" customFormat="1" x14ac:dyDescent="0.4">
      <c r="A947" s="2" t="s">
        <v>72</v>
      </c>
      <c r="B947" s="2" t="s">
        <v>2328</v>
      </c>
      <c r="C947" s="2" t="s">
        <v>74</v>
      </c>
      <c r="D947" s="2" t="s">
        <v>74</v>
      </c>
      <c r="E947" s="2" t="s">
        <v>74</v>
      </c>
      <c r="F947" s="2" t="s">
        <v>2329</v>
      </c>
      <c r="G947" s="2" t="s">
        <v>74</v>
      </c>
      <c r="H947" s="2" t="s">
        <v>74</v>
      </c>
      <c r="I947" s="2" t="s">
        <v>2330</v>
      </c>
      <c r="J947" s="2" t="s">
        <v>1244</v>
      </c>
      <c r="K947" s="2" t="s">
        <v>74</v>
      </c>
      <c r="L947" s="2" t="s">
        <v>74</v>
      </c>
      <c r="M947" s="2" t="s">
        <v>74</v>
      </c>
      <c r="N947" s="2" t="s">
        <v>74</v>
      </c>
      <c r="O947" s="2" t="s">
        <v>74</v>
      </c>
      <c r="P947" s="2" t="s">
        <v>74</v>
      </c>
      <c r="Q947" s="2" t="s">
        <v>74</v>
      </c>
      <c r="R947" s="2" t="s">
        <v>74</v>
      </c>
      <c r="S947" s="2" t="s">
        <v>74</v>
      </c>
      <c r="T947" s="2" t="s">
        <v>74</v>
      </c>
      <c r="U947" s="2" t="s">
        <v>74</v>
      </c>
      <c r="V947" s="5" t="s">
        <v>2331</v>
      </c>
      <c r="W947" s="2" t="s">
        <v>74</v>
      </c>
      <c r="X947" s="2" t="s">
        <v>74</v>
      </c>
      <c r="Y947" s="2" t="s">
        <v>74</v>
      </c>
      <c r="Z947" s="2" t="s">
        <v>74</v>
      </c>
      <c r="AA947" s="2" t="s">
        <v>74</v>
      </c>
      <c r="AB947" s="2" t="s">
        <v>74</v>
      </c>
      <c r="AC947" s="2" t="s">
        <v>74</v>
      </c>
      <c r="AD947" s="2" t="s">
        <v>74</v>
      </c>
      <c r="AE947" s="2" t="s">
        <v>74</v>
      </c>
      <c r="AF947" s="2" t="s">
        <v>74</v>
      </c>
      <c r="AG947" s="2" t="s">
        <v>74</v>
      </c>
      <c r="AH947" s="2" t="s">
        <v>74</v>
      </c>
      <c r="AI947" s="2" t="s">
        <v>74</v>
      </c>
      <c r="AJ947" s="2" t="s">
        <v>74</v>
      </c>
      <c r="AK947" s="2" t="s">
        <v>74</v>
      </c>
      <c r="AL947" s="2" t="s">
        <v>74</v>
      </c>
      <c r="AM947" s="2" t="s">
        <v>74</v>
      </c>
      <c r="AN947" s="2" t="s">
        <v>74</v>
      </c>
      <c r="AO947" s="2" t="s">
        <v>1246</v>
      </c>
      <c r="AP947" s="2" t="s">
        <v>74</v>
      </c>
      <c r="AQ947" s="2" t="s">
        <v>74</v>
      </c>
      <c r="AR947" s="2" t="s">
        <v>74</v>
      </c>
      <c r="AS947" s="2" t="s">
        <v>74</v>
      </c>
      <c r="AT947" s="2" t="s">
        <v>2332</v>
      </c>
      <c r="AU947" s="2">
        <v>2014</v>
      </c>
      <c r="AV947" s="2">
        <v>43</v>
      </c>
      <c r="AW947" s="2" t="s">
        <v>1276</v>
      </c>
      <c r="AX947" s="2" t="s">
        <v>74</v>
      </c>
      <c r="AY947" s="2" t="s">
        <v>74</v>
      </c>
      <c r="AZ947" s="2" t="s">
        <v>74</v>
      </c>
      <c r="BA947" s="2" t="s">
        <v>74</v>
      </c>
      <c r="BB947" s="2">
        <v>227</v>
      </c>
      <c r="BC947" s="2">
        <v>235</v>
      </c>
      <c r="BD947" s="2" t="s">
        <v>74</v>
      </c>
      <c r="BE947" s="2" t="s">
        <v>74</v>
      </c>
      <c r="BF947" s="2" t="s">
        <v>74</v>
      </c>
      <c r="BG947" s="2" t="s">
        <v>74</v>
      </c>
      <c r="BH947" s="2" t="s">
        <v>74</v>
      </c>
      <c r="BI947" s="2" t="s">
        <v>74</v>
      </c>
      <c r="BJ947" s="2" t="s">
        <v>74</v>
      </c>
      <c r="BK947" s="2" t="s">
        <v>74</v>
      </c>
      <c r="BL947" s="2" t="s">
        <v>74</v>
      </c>
      <c r="BM947" s="2" t="s">
        <v>74</v>
      </c>
      <c r="BN947" s="2" t="s">
        <v>74</v>
      </c>
      <c r="BO947" s="2" t="s">
        <v>74</v>
      </c>
      <c r="BP947" s="2" t="s">
        <v>74</v>
      </c>
      <c r="BQ947" s="2" t="s">
        <v>74</v>
      </c>
      <c r="BR947" s="2" t="s">
        <v>74</v>
      </c>
      <c r="BS947" s="2" t="s">
        <v>2333</v>
      </c>
      <c r="BT947" s="2" t="str">
        <f>HYPERLINK("https%3A%2F%2Fwww.webofscience.com%2Fwos%2Fwoscc%2Ffull-record%2FWOS:000345540300007","View Full Record in Web of Science")</f>
        <v>View Full Record in Web of Science</v>
      </c>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row>
    <row r="948" spans="1:314" s="2" customFormat="1" x14ac:dyDescent="0.4">
      <c r="A948" s="2" t="s">
        <v>72</v>
      </c>
      <c r="B948" s="2" t="s">
        <v>3843</v>
      </c>
      <c r="C948" s="2" t="s">
        <v>74</v>
      </c>
      <c r="D948" s="2" t="s">
        <v>74</v>
      </c>
      <c r="E948" s="2" t="s">
        <v>74</v>
      </c>
      <c r="F948" s="2" t="s">
        <v>3844</v>
      </c>
      <c r="G948" s="2" t="s">
        <v>74</v>
      </c>
      <c r="H948" s="2" t="s">
        <v>74</v>
      </c>
      <c r="I948" s="2" t="s">
        <v>3845</v>
      </c>
      <c r="J948" s="2" t="s">
        <v>3846</v>
      </c>
      <c r="K948" s="2" t="s">
        <v>74</v>
      </c>
      <c r="L948" s="2" t="s">
        <v>74</v>
      </c>
      <c r="M948" s="2" t="s">
        <v>74</v>
      </c>
      <c r="N948" s="2" t="s">
        <v>74</v>
      </c>
      <c r="O948" s="2" t="s">
        <v>74</v>
      </c>
      <c r="P948" s="2" t="s">
        <v>74</v>
      </c>
      <c r="Q948" s="2" t="s">
        <v>74</v>
      </c>
      <c r="R948" s="2" t="s">
        <v>74</v>
      </c>
      <c r="S948" s="2" t="s">
        <v>74</v>
      </c>
      <c r="T948" s="2" t="s">
        <v>74</v>
      </c>
      <c r="U948" s="2" t="s">
        <v>74</v>
      </c>
      <c r="V948" s="5" t="s">
        <v>3847</v>
      </c>
      <c r="W948" s="2" t="s">
        <v>74</v>
      </c>
      <c r="X948" s="2" t="s">
        <v>74</v>
      </c>
      <c r="Y948" s="2" t="s">
        <v>74</v>
      </c>
      <c r="Z948" s="2" t="s">
        <v>74</v>
      </c>
      <c r="AA948" s="2" t="s">
        <v>231</v>
      </c>
      <c r="AB948" s="2" t="s">
        <v>3848</v>
      </c>
      <c r="AC948" s="2" t="s">
        <v>74</v>
      </c>
      <c r="AD948" s="2" t="s">
        <v>74</v>
      </c>
      <c r="AE948" s="2" t="s">
        <v>74</v>
      </c>
      <c r="AF948" s="2" t="s">
        <v>74</v>
      </c>
      <c r="AG948" s="2" t="s">
        <v>74</v>
      </c>
      <c r="AH948" s="2" t="s">
        <v>74</v>
      </c>
      <c r="AI948" s="2" t="s">
        <v>74</v>
      </c>
      <c r="AJ948" s="2" t="s">
        <v>74</v>
      </c>
      <c r="AK948" s="2" t="s">
        <v>74</v>
      </c>
      <c r="AL948" s="2" t="s">
        <v>74</v>
      </c>
      <c r="AM948" s="2" t="s">
        <v>74</v>
      </c>
      <c r="AN948" s="2" t="s">
        <v>74</v>
      </c>
      <c r="AO948" s="2" t="s">
        <v>3849</v>
      </c>
      <c r="AP948" s="2" t="s">
        <v>3850</v>
      </c>
      <c r="AQ948" s="2" t="s">
        <v>74</v>
      </c>
      <c r="AR948" s="2" t="s">
        <v>74</v>
      </c>
      <c r="AS948" s="2" t="s">
        <v>74</v>
      </c>
      <c r="AT948" s="2" t="s">
        <v>102</v>
      </c>
      <c r="AU948" s="2">
        <v>2019</v>
      </c>
      <c r="AV948" s="2">
        <v>14</v>
      </c>
      <c r="AW948" s="2">
        <v>1</v>
      </c>
      <c r="AX948" s="2" t="s">
        <v>74</v>
      </c>
      <c r="AY948" s="2" t="s">
        <v>74</v>
      </c>
      <c r="AZ948" s="2" t="s">
        <v>74</v>
      </c>
      <c r="BA948" s="2" t="s">
        <v>74</v>
      </c>
      <c r="BB948" s="2">
        <v>35</v>
      </c>
      <c r="BC948" s="2">
        <v>41</v>
      </c>
      <c r="BD948" s="2" t="s">
        <v>74</v>
      </c>
      <c r="BE948" s="2" t="s">
        <v>3851</v>
      </c>
      <c r="BF948" s="2" t="str">
        <f>HYPERLINK("http://dx.doi.org/10.13128/Acta_Herpetol-24651","http://dx.doi.org/10.13128/Acta_Herpetol-24651")</f>
        <v>http://dx.doi.org/10.13128/Acta_Herpetol-24651</v>
      </c>
      <c r="BG948" s="2" t="s">
        <v>74</v>
      </c>
      <c r="BH948" s="2" t="s">
        <v>74</v>
      </c>
      <c r="BI948" s="2" t="s">
        <v>74</v>
      </c>
      <c r="BJ948" s="2" t="s">
        <v>74</v>
      </c>
      <c r="BK948" s="2" t="s">
        <v>74</v>
      </c>
      <c r="BL948" s="2" t="s">
        <v>74</v>
      </c>
      <c r="BM948" s="2" t="s">
        <v>74</v>
      </c>
      <c r="BN948" s="2" t="s">
        <v>74</v>
      </c>
      <c r="BO948" s="2" t="s">
        <v>74</v>
      </c>
      <c r="BP948" s="2" t="s">
        <v>74</v>
      </c>
      <c r="BQ948" s="2" t="s">
        <v>74</v>
      </c>
      <c r="BR948" s="2" t="s">
        <v>74</v>
      </c>
      <c r="BS948" s="2" t="s">
        <v>3852</v>
      </c>
      <c r="BT948" s="2" t="str">
        <f>HYPERLINK("https%3A%2F%2Fwww.webofscience.com%2Fwos%2Fwoscc%2Ffull-record%2FWOS:000482630700005","View Full Record in Web of Science")</f>
        <v>View Full Record in Web of Science</v>
      </c>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row>
    <row r="949" spans="1:314" s="2" customFormat="1" x14ac:dyDescent="0.4">
      <c r="A949" s="2" t="s">
        <v>72</v>
      </c>
      <c r="B949" s="2" t="s">
        <v>7982</v>
      </c>
      <c r="C949" s="2" t="s">
        <v>74</v>
      </c>
      <c r="D949" s="2" t="s">
        <v>74</v>
      </c>
      <c r="E949" s="2" t="s">
        <v>74</v>
      </c>
      <c r="F949" s="2" t="s">
        <v>7982</v>
      </c>
      <c r="G949" s="2" t="s">
        <v>74</v>
      </c>
      <c r="H949" s="2" t="s">
        <v>74</v>
      </c>
      <c r="I949" s="2" t="s">
        <v>7983</v>
      </c>
      <c r="J949" s="2" t="s">
        <v>530</v>
      </c>
      <c r="K949" s="2" t="s">
        <v>74</v>
      </c>
      <c r="L949" s="2" t="s">
        <v>74</v>
      </c>
      <c r="M949" s="2" t="s">
        <v>74</v>
      </c>
      <c r="N949" s="2" t="s">
        <v>74</v>
      </c>
      <c r="O949" s="2" t="s">
        <v>74</v>
      </c>
      <c r="P949" s="2" t="s">
        <v>74</v>
      </c>
      <c r="Q949" s="2" t="s">
        <v>74</v>
      </c>
      <c r="R949" s="2" t="s">
        <v>74</v>
      </c>
      <c r="S949" s="2" t="s">
        <v>74</v>
      </c>
      <c r="T949" s="2" t="s">
        <v>74</v>
      </c>
      <c r="U949" s="2" t="s">
        <v>74</v>
      </c>
      <c r="V949" s="5" t="s">
        <v>7984</v>
      </c>
      <c r="W949" s="2" t="s">
        <v>74</v>
      </c>
      <c r="X949" s="2" t="s">
        <v>74</v>
      </c>
      <c r="Y949" s="2" t="s">
        <v>74</v>
      </c>
      <c r="Z949" s="2" t="s">
        <v>74</v>
      </c>
      <c r="AA949" s="2" t="s">
        <v>7985</v>
      </c>
      <c r="AB949" s="2" t="s">
        <v>7986</v>
      </c>
      <c r="AC949" s="2" t="s">
        <v>74</v>
      </c>
      <c r="AD949" s="2" t="s">
        <v>74</v>
      </c>
      <c r="AE949" s="2" t="s">
        <v>74</v>
      </c>
      <c r="AF949" s="2" t="s">
        <v>74</v>
      </c>
      <c r="AG949" s="2" t="s">
        <v>74</v>
      </c>
      <c r="AH949" s="2" t="s">
        <v>74</v>
      </c>
      <c r="AI949" s="2" t="s">
        <v>74</v>
      </c>
      <c r="AJ949" s="2" t="s">
        <v>74</v>
      </c>
      <c r="AK949" s="2" t="s">
        <v>74</v>
      </c>
      <c r="AL949" s="2" t="s">
        <v>74</v>
      </c>
      <c r="AM949" s="2" t="s">
        <v>74</v>
      </c>
      <c r="AN949" s="2" t="s">
        <v>74</v>
      </c>
      <c r="AO949" s="2" t="s">
        <v>532</v>
      </c>
      <c r="AP949" s="2" t="s">
        <v>74</v>
      </c>
      <c r="AQ949" s="2" t="s">
        <v>74</v>
      </c>
      <c r="AR949" s="2" t="s">
        <v>74</v>
      </c>
      <c r="AS949" s="2" t="s">
        <v>74</v>
      </c>
      <c r="AT949" s="2" t="s">
        <v>964</v>
      </c>
      <c r="AU949" s="2">
        <v>2005</v>
      </c>
      <c r="AV949" s="2">
        <v>146</v>
      </c>
      <c r="AW949" s="2">
        <v>3</v>
      </c>
      <c r="AX949" s="2" t="s">
        <v>74</v>
      </c>
      <c r="AY949" s="2" t="s">
        <v>74</v>
      </c>
      <c r="AZ949" s="2" t="s">
        <v>74</v>
      </c>
      <c r="BA949" s="2" t="s">
        <v>74</v>
      </c>
      <c r="BB949" s="2">
        <v>435</v>
      </c>
      <c r="BC949" s="2">
        <v>443</v>
      </c>
      <c r="BD949" s="2" t="s">
        <v>74</v>
      </c>
      <c r="BE949" s="2" t="s">
        <v>7987</v>
      </c>
      <c r="BF949" s="2" t="str">
        <f>HYPERLINK("http://dx.doi.org/10.1007/s00227-004-1462-z","http://dx.doi.org/10.1007/s00227-004-1462-z")</f>
        <v>http://dx.doi.org/10.1007/s00227-004-1462-z</v>
      </c>
      <c r="BG949" s="2" t="s">
        <v>74</v>
      </c>
      <c r="BH949" s="2" t="s">
        <v>74</v>
      </c>
      <c r="BI949" s="2" t="s">
        <v>74</v>
      </c>
      <c r="BJ949" s="2" t="s">
        <v>74</v>
      </c>
      <c r="BK949" s="2" t="s">
        <v>74</v>
      </c>
      <c r="BL949" s="2" t="s">
        <v>74</v>
      </c>
      <c r="BM949" s="2" t="s">
        <v>74</v>
      </c>
      <c r="BN949" s="2" t="s">
        <v>74</v>
      </c>
      <c r="BO949" s="2" t="s">
        <v>74</v>
      </c>
      <c r="BP949" s="2" t="s">
        <v>74</v>
      </c>
      <c r="BQ949" s="2" t="s">
        <v>74</v>
      </c>
      <c r="BR949" s="2" t="s">
        <v>74</v>
      </c>
      <c r="BS949" s="2" t="s">
        <v>7988</v>
      </c>
      <c r="BT949" s="2" t="str">
        <f>HYPERLINK("https%3A%2F%2Fwww.webofscience.com%2Fwos%2Fwoscc%2Ffull-record%2FWOS:000226810300002","View Full Record in Web of Science")</f>
        <v>View Full Record in Web of Science</v>
      </c>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row>
    <row r="950" spans="1:314" s="2" customFormat="1" x14ac:dyDescent="0.4">
      <c r="A950" s="2" t="s">
        <v>72</v>
      </c>
      <c r="B950" s="2" t="s">
        <v>4783</v>
      </c>
      <c r="C950" s="2" t="s">
        <v>74</v>
      </c>
      <c r="D950" s="2" t="s">
        <v>74</v>
      </c>
      <c r="E950" s="2" t="s">
        <v>74</v>
      </c>
      <c r="F950" s="2" t="s">
        <v>4784</v>
      </c>
      <c r="G950" s="2" t="s">
        <v>74</v>
      </c>
      <c r="H950" s="2" t="s">
        <v>74</v>
      </c>
      <c r="I950" s="2" t="s">
        <v>4785</v>
      </c>
      <c r="J950" s="2" t="s">
        <v>1601</v>
      </c>
      <c r="K950" s="2" t="s">
        <v>74</v>
      </c>
      <c r="L950" s="2" t="s">
        <v>74</v>
      </c>
      <c r="M950" s="2" t="s">
        <v>74</v>
      </c>
      <c r="N950" s="2" t="s">
        <v>74</v>
      </c>
      <c r="O950" s="2" t="s">
        <v>74</v>
      </c>
      <c r="P950" s="2" t="s">
        <v>74</v>
      </c>
      <c r="Q950" s="2" t="s">
        <v>74</v>
      </c>
      <c r="R950" s="2" t="s">
        <v>74</v>
      </c>
      <c r="S950" s="2" t="s">
        <v>74</v>
      </c>
      <c r="T950" s="2" t="s">
        <v>74</v>
      </c>
      <c r="U950" s="2" t="s">
        <v>74</v>
      </c>
      <c r="V950" s="5" t="s">
        <v>4786</v>
      </c>
      <c r="W950" s="2" t="s">
        <v>74</v>
      </c>
      <c r="X950" s="2" t="s">
        <v>74</v>
      </c>
      <c r="Y950" s="2" t="s">
        <v>74</v>
      </c>
      <c r="Z950" s="2" t="s">
        <v>74</v>
      </c>
      <c r="AA950" s="2" t="s">
        <v>74</v>
      </c>
      <c r="AB950" s="2" t="s">
        <v>74</v>
      </c>
      <c r="AC950" s="2" t="s">
        <v>74</v>
      </c>
      <c r="AD950" s="2" t="s">
        <v>74</v>
      </c>
      <c r="AE950" s="2" t="s">
        <v>74</v>
      </c>
      <c r="AF950" s="2" t="s">
        <v>74</v>
      </c>
      <c r="AG950" s="2" t="s">
        <v>74</v>
      </c>
      <c r="AH950" s="2" t="s">
        <v>74</v>
      </c>
      <c r="AI950" s="2" t="s">
        <v>74</v>
      </c>
      <c r="AJ950" s="2" t="s">
        <v>74</v>
      </c>
      <c r="AK950" s="2" t="s">
        <v>74</v>
      </c>
      <c r="AL950" s="2" t="s">
        <v>74</v>
      </c>
      <c r="AM950" s="2" t="s">
        <v>74</v>
      </c>
      <c r="AN950" s="2" t="s">
        <v>74</v>
      </c>
      <c r="AO950" s="2" t="s">
        <v>1603</v>
      </c>
      <c r="AP950" s="2" t="s">
        <v>74</v>
      </c>
      <c r="AQ950" s="2" t="s">
        <v>74</v>
      </c>
      <c r="AR950" s="2" t="s">
        <v>74</v>
      </c>
      <c r="AS950" s="2" t="s">
        <v>74</v>
      </c>
      <c r="AT950" s="2" t="s">
        <v>352</v>
      </c>
      <c r="AU950" s="2">
        <v>2006</v>
      </c>
      <c r="AV950" s="2">
        <v>113</v>
      </c>
      <c r="AW950" s="2">
        <v>3</v>
      </c>
      <c r="AX950" s="2" t="s">
        <v>74</v>
      </c>
      <c r="AY950" s="2" t="s">
        <v>74</v>
      </c>
      <c r="AZ950" s="2" t="s">
        <v>74</v>
      </c>
      <c r="BA950" s="2" t="s">
        <v>74</v>
      </c>
      <c r="BB950" s="2">
        <v>675</v>
      </c>
      <c r="BC950" s="2">
        <v>691</v>
      </c>
      <c r="BD950" s="2" t="s">
        <v>74</v>
      </c>
      <c r="BE950" s="2" t="s">
        <v>4787</v>
      </c>
      <c r="BF950" s="2" t="str">
        <f>HYPERLINK("http://dx.doi.org/10.5962/bhl.part.80367","http://dx.doi.org/10.5962/bhl.part.80367")</f>
        <v>http://dx.doi.org/10.5962/bhl.part.80367</v>
      </c>
      <c r="BG950" s="2" t="s">
        <v>74</v>
      </c>
      <c r="BH950" s="2" t="s">
        <v>74</v>
      </c>
      <c r="BI950" s="2" t="s">
        <v>74</v>
      </c>
      <c r="BJ950" s="2" t="s">
        <v>74</v>
      </c>
      <c r="BK950" s="2" t="s">
        <v>74</v>
      </c>
      <c r="BL950" s="2" t="s">
        <v>74</v>
      </c>
      <c r="BM950" s="2" t="s">
        <v>74</v>
      </c>
      <c r="BN950" s="2" t="s">
        <v>74</v>
      </c>
      <c r="BO950" s="2" t="s">
        <v>74</v>
      </c>
      <c r="BP950" s="2" t="s">
        <v>74</v>
      </c>
      <c r="BQ950" s="2" t="s">
        <v>74</v>
      </c>
      <c r="BR950" s="2" t="s">
        <v>74</v>
      </c>
      <c r="BS950" s="2" t="s">
        <v>4788</v>
      </c>
      <c r="BT950" s="2" t="str">
        <f>HYPERLINK("https%3A%2F%2Fwww.webofscience.com%2Fwos%2Fwoscc%2Ffull-record%2FWOS:000241077500009","View Full Record in Web of Science")</f>
        <v>View Full Record in Web of Science</v>
      </c>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row>
    <row r="951" spans="1:314" s="2" customFormat="1" x14ac:dyDescent="0.4">
      <c r="A951" s="2" t="s">
        <v>72</v>
      </c>
      <c r="B951" s="2" t="s">
        <v>3244</v>
      </c>
      <c r="C951" s="2" t="s">
        <v>74</v>
      </c>
      <c r="D951" s="2" t="s">
        <v>74</v>
      </c>
      <c r="E951" s="2" t="s">
        <v>74</v>
      </c>
      <c r="F951" s="2" t="s">
        <v>3245</v>
      </c>
      <c r="G951" s="2" t="s">
        <v>74</v>
      </c>
      <c r="H951" s="2" t="s">
        <v>74</v>
      </c>
      <c r="I951" s="2" t="s">
        <v>3246</v>
      </c>
      <c r="J951" s="2" t="s">
        <v>610</v>
      </c>
      <c r="K951" s="2" t="s">
        <v>74</v>
      </c>
      <c r="L951" s="2" t="s">
        <v>74</v>
      </c>
      <c r="M951" s="2" t="s">
        <v>74</v>
      </c>
      <c r="N951" s="2" t="s">
        <v>74</v>
      </c>
      <c r="O951" s="2" t="s">
        <v>74</v>
      </c>
      <c r="P951" s="2" t="s">
        <v>74</v>
      </c>
      <c r="Q951" s="2" t="s">
        <v>74</v>
      </c>
      <c r="R951" s="2" t="s">
        <v>74</v>
      </c>
      <c r="S951" s="2" t="s">
        <v>74</v>
      </c>
      <c r="T951" s="2" t="s">
        <v>74</v>
      </c>
      <c r="U951" s="2" t="s">
        <v>74</v>
      </c>
      <c r="V951" s="5" t="s">
        <v>3247</v>
      </c>
      <c r="W951" s="2" t="s">
        <v>74</v>
      </c>
      <c r="X951" s="2" t="s">
        <v>74</v>
      </c>
      <c r="Y951" s="2" t="s">
        <v>74</v>
      </c>
      <c r="Z951" s="2" t="s">
        <v>74</v>
      </c>
      <c r="AA951" s="2" t="s">
        <v>3248</v>
      </c>
      <c r="AB951" s="2" t="s">
        <v>3249</v>
      </c>
      <c r="AC951" s="2" t="s">
        <v>74</v>
      </c>
      <c r="AD951" s="2" t="s">
        <v>74</v>
      </c>
      <c r="AE951" s="2" t="s">
        <v>74</v>
      </c>
      <c r="AF951" s="2" t="s">
        <v>74</v>
      </c>
      <c r="AG951" s="2" t="s">
        <v>74</v>
      </c>
      <c r="AH951" s="2" t="s">
        <v>74</v>
      </c>
      <c r="AI951" s="2" t="s">
        <v>74</v>
      </c>
      <c r="AJ951" s="2" t="s">
        <v>74</v>
      </c>
      <c r="AK951" s="2" t="s">
        <v>74</v>
      </c>
      <c r="AL951" s="2" t="s">
        <v>74</v>
      </c>
      <c r="AM951" s="2" t="s">
        <v>74</v>
      </c>
      <c r="AN951" s="2" t="s">
        <v>74</v>
      </c>
      <c r="AO951" s="2" t="s">
        <v>614</v>
      </c>
      <c r="AP951" s="2" t="s">
        <v>615</v>
      </c>
      <c r="AQ951" s="2" t="s">
        <v>74</v>
      </c>
      <c r="AR951" s="2" t="s">
        <v>74</v>
      </c>
      <c r="AS951" s="2" t="s">
        <v>74</v>
      </c>
      <c r="AT951" s="2" t="s">
        <v>145</v>
      </c>
      <c r="AU951" s="2">
        <v>2017</v>
      </c>
      <c r="AV951" s="2">
        <v>123</v>
      </c>
      <c r="AW951" s="2">
        <v>8</v>
      </c>
      <c r="AX951" s="2" t="s">
        <v>74</v>
      </c>
      <c r="AY951" s="2" t="s">
        <v>74</v>
      </c>
      <c r="AZ951" s="2" t="s">
        <v>74</v>
      </c>
      <c r="BA951" s="2" t="s">
        <v>74</v>
      </c>
      <c r="BB951" s="2">
        <v>560</v>
      </c>
      <c r="BC951" s="2">
        <v>570</v>
      </c>
      <c r="BD951" s="2" t="s">
        <v>74</v>
      </c>
      <c r="BE951" s="2" t="s">
        <v>3250</v>
      </c>
      <c r="BF951" s="2" t="str">
        <f>HYPERLINK("http://dx.doi.org/10.1111/eth.12630","http://dx.doi.org/10.1111/eth.12630")</f>
        <v>http://dx.doi.org/10.1111/eth.12630</v>
      </c>
      <c r="BG951" s="2" t="s">
        <v>74</v>
      </c>
      <c r="BH951" s="2" t="s">
        <v>74</v>
      </c>
      <c r="BI951" s="2" t="s">
        <v>74</v>
      </c>
      <c r="BJ951" s="2" t="s">
        <v>74</v>
      </c>
      <c r="BK951" s="2" t="s">
        <v>74</v>
      </c>
      <c r="BL951" s="2" t="s">
        <v>74</v>
      </c>
      <c r="BM951" s="2" t="s">
        <v>74</v>
      </c>
      <c r="BN951" s="2" t="s">
        <v>74</v>
      </c>
      <c r="BO951" s="2" t="s">
        <v>74</v>
      </c>
      <c r="BP951" s="2" t="s">
        <v>74</v>
      </c>
      <c r="BQ951" s="2" t="s">
        <v>74</v>
      </c>
      <c r="BR951" s="2" t="s">
        <v>74</v>
      </c>
      <c r="BS951" s="2" t="s">
        <v>3251</v>
      </c>
      <c r="BT951" s="2" t="str">
        <f>HYPERLINK("https%3A%2F%2Fwww.webofscience.com%2Fwos%2Fwoscc%2Ffull-record%2FWOS:000404616400008","View Full Record in Web of Science")</f>
        <v>View Full Record in Web of Science</v>
      </c>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row>
    <row r="952" spans="1:314" s="2" customFormat="1" x14ac:dyDescent="0.4">
      <c r="A952" s="2" t="s">
        <v>72</v>
      </c>
      <c r="B952" s="2" t="s">
        <v>6160</v>
      </c>
      <c r="C952" s="2" t="s">
        <v>74</v>
      </c>
      <c r="D952" s="2" t="s">
        <v>74</v>
      </c>
      <c r="E952" s="2" t="s">
        <v>74</v>
      </c>
      <c r="F952" s="2" t="s">
        <v>6161</v>
      </c>
      <c r="G952" s="2" t="s">
        <v>74</v>
      </c>
      <c r="H952" s="2" t="s">
        <v>74</v>
      </c>
      <c r="I952" s="2" t="s">
        <v>6162</v>
      </c>
      <c r="J952" s="2" t="s">
        <v>1656</v>
      </c>
      <c r="K952" s="2" t="s">
        <v>74</v>
      </c>
      <c r="L952" s="2" t="s">
        <v>74</v>
      </c>
      <c r="M952" s="2" t="s">
        <v>74</v>
      </c>
      <c r="N952" s="2" t="s">
        <v>74</v>
      </c>
      <c r="O952" s="2" t="s">
        <v>74</v>
      </c>
      <c r="P952" s="2" t="s">
        <v>74</v>
      </c>
      <c r="Q952" s="2" t="s">
        <v>74</v>
      </c>
      <c r="R952" s="2" t="s">
        <v>74</v>
      </c>
      <c r="S952" s="2" t="s">
        <v>74</v>
      </c>
      <c r="T952" s="2" t="s">
        <v>74</v>
      </c>
      <c r="U952" s="2" t="s">
        <v>74</v>
      </c>
      <c r="V952" s="5" t="s">
        <v>6163</v>
      </c>
      <c r="W952" s="2" t="s">
        <v>74</v>
      </c>
      <c r="X952" s="2" t="s">
        <v>74</v>
      </c>
      <c r="Y952" s="2" t="s">
        <v>74</v>
      </c>
      <c r="Z952" s="2" t="s">
        <v>74</v>
      </c>
      <c r="AA952" s="2" t="s">
        <v>6164</v>
      </c>
      <c r="AB952" s="2" t="s">
        <v>6165</v>
      </c>
      <c r="AC952" s="2" t="s">
        <v>74</v>
      </c>
      <c r="AD952" s="2" t="s">
        <v>74</v>
      </c>
      <c r="AE952" s="2" t="s">
        <v>74</v>
      </c>
      <c r="AF952" s="2" t="s">
        <v>74</v>
      </c>
      <c r="AG952" s="2" t="s">
        <v>74</v>
      </c>
      <c r="AH952" s="2" t="s">
        <v>74</v>
      </c>
      <c r="AI952" s="2" t="s">
        <v>74</v>
      </c>
      <c r="AJ952" s="2" t="s">
        <v>74</v>
      </c>
      <c r="AK952" s="2" t="s">
        <v>74</v>
      </c>
      <c r="AL952" s="2" t="s">
        <v>74</v>
      </c>
      <c r="AM952" s="2" t="s">
        <v>74</v>
      </c>
      <c r="AN952" s="2" t="s">
        <v>74</v>
      </c>
      <c r="AO952" s="2" t="s">
        <v>1658</v>
      </c>
      <c r="AP952" s="2" t="s">
        <v>1659</v>
      </c>
      <c r="AQ952" s="2" t="s">
        <v>74</v>
      </c>
      <c r="AR952" s="2" t="s">
        <v>74</v>
      </c>
      <c r="AS952" s="2" t="s">
        <v>74</v>
      </c>
      <c r="AT952" s="2" t="s">
        <v>4913</v>
      </c>
      <c r="AU952" s="2">
        <v>2019</v>
      </c>
      <c r="AV952" s="2">
        <v>4555</v>
      </c>
      <c r="AW952" s="2">
        <v>2</v>
      </c>
      <c r="AX952" s="2" t="s">
        <v>74</v>
      </c>
      <c r="AY952" s="2" t="s">
        <v>74</v>
      </c>
      <c r="AZ952" s="2" t="s">
        <v>74</v>
      </c>
      <c r="BA952" s="2" t="s">
        <v>74</v>
      </c>
      <c r="BB952" s="2">
        <v>283</v>
      </c>
      <c r="BC952" s="2">
        <v>286</v>
      </c>
      <c r="BD952" s="2" t="s">
        <v>74</v>
      </c>
      <c r="BE952" s="2" t="s">
        <v>6166</v>
      </c>
      <c r="BF952" s="2" t="str">
        <f>HYPERLINK("http://dx.doi.org/10.11646/zootaxa.4555.2.10","http://dx.doi.org/10.11646/zootaxa.4555.2.10")</f>
        <v>http://dx.doi.org/10.11646/zootaxa.4555.2.10</v>
      </c>
      <c r="BG952" s="2" t="s">
        <v>74</v>
      </c>
      <c r="BH952" s="2" t="s">
        <v>74</v>
      </c>
      <c r="BI952" s="2" t="s">
        <v>74</v>
      </c>
      <c r="BJ952" s="2" t="s">
        <v>74</v>
      </c>
      <c r="BK952" s="2" t="s">
        <v>74</v>
      </c>
      <c r="BL952" s="2" t="s">
        <v>74</v>
      </c>
      <c r="BM952" s="2" t="s">
        <v>74</v>
      </c>
      <c r="BN952" s="2">
        <v>30790965</v>
      </c>
      <c r="BO952" s="2" t="s">
        <v>74</v>
      </c>
      <c r="BP952" s="2" t="s">
        <v>74</v>
      </c>
      <c r="BQ952" s="2" t="s">
        <v>74</v>
      </c>
      <c r="BR952" s="2" t="s">
        <v>74</v>
      </c>
      <c r="BS952" s="2" t="s">
        <v>6167</v>
      </c>
      <c r="BT952" s="2" t="str">
        <f>HYPERLINK("https%3A%2F%2Fwww.webofscience.com%2Fwos%2Fwoscc%2Ffull-record%2FWOS:000458428100010","View Full Record in Web of Science")</f>
        <v>View Full Record in Web of Science</v>
      </c>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row>
    <row r="953" spans="1:314" s="2" customFormat="1" x14ac:dyDescent="0.4">
      <c r="A953" s="2" t="s">
        <v>72</v>
      </c>
      <c r="B953" s="2" t="s">
        <v>7686</v>
      </c>
      <c r="C953" s="2" t="s">
        <v>74</v>
      </c>
      <c r="D953" s="2" t="s">
        <v>74</v>
      </c>
      <c r="E953" s="2" t="s">
        <v>74</v>
      </c>
      <c r="F953" s="2" t="s">
        <v>7687</v>
      </c>
      <c r="G953" s="2" t="s">
        <v>74</v>
      </c>
      <c r="H953" s="2" t="s">
        <v>74</v>
      </c>
      <c r="I953" s="2" t="s">
        <v>7688</v>
      </c>
      <c r="J953" s="2" t="s">
        <v>1541</v>
      </c>
      <c r="K953" s="2" t="s">
        <v>74</v>
      </c>
      <c r="L953" s="2" t="s">
        <v>74</v>
      </c>
      <c r="M953" s="2" t="s">
        <v>74</v>
      </c>
      <c r="N953" s="2" t="s">
        <v>74</v>
      </c>
      <c r="O953" s="2" t="s">
        <v>74</v>
      </c>
      <c r="P953" s="2" t="s">
        <v>74</v>
      </c>
      <c r="Q953" s="2" t="s">
        <v>74</v>
      </c>
      <c r="R953" s="2" t="s">
        <v>74</v>
      </c>
      <c r="S953" s="2" t="s">
        <v>74</v>
      </c>
      <c r="T953" s="2" t="s">
        <v>74</v>
      </c>
      <c r="U953" s="2" t="s">
        <v>74</v>
      </c>
      <c r="V953" s="5" t="s">
        <v>7689</v>
      </c>
      <c r="W953" s="2" t="s">
        <v>74</v>
      </c>
      <c r="X953" s="2" t="s">
        <v>74</v>
      </c>
      <c r="Y953" s="2" t="s">
        <v>74</v>
      </c>
      <c r="Z953" s="2" t="s">
        <v>74</v>
      </c>
      <c r="AA953" s="2" t="s">
        <v>7690</v>
      </c>
      <c r="AB953" s="2" t="s">
        <v>7691</v>
      </c>
      <c r="AC953" s="2" t="s">
        <v>74</v>
      </c>
      <c r="AD953" s="2" t="s">
        <v>74</v>
      </c>
      <c r="AE953" s="2" t="s">
        <v>74</v>
      </c>
      <c r="AF953" s="2" t="s">
        <v>74</v>
      </c>
      <c r="AG953" s="2" t="s">
        <v>74</v>
      </c>
      <c r="AH953" s="2" t="s">
        <v>74</v>
      </c>
      <c r="AI953" s="2" t="s">
        <v>74</v>
      </c>
      <c r="AJ953" s="2" t="s">
        <v>74</v>
      </c>
      <c r="AK953" s="2" t="s">
        <v>74</v>
      </c>
      <c r="AL953" s="2" t="s">
        <v>74</v>
      </c>
      <c r="AM953" s="2" t="s">
        <v>74</v>
      </c>
      <c r="AN953" s="2" t="s">
        <v>74</v>
      </c>
      <c r="AO953" s="2" t="s">
        <v>1543</v>
      </c>
      <c r="AP953" s="2" t="s">
        <v>1544</v>
      </c>
      <c r="AQ953" s="2" t="s">
        <v>74</v>
      </c>
      <c r="AR953" s="2" t="s">
        <v>74</v>
      </c>
      <c r="AS953" s="2" t="s">
        <v>74</v>
      </c>
      <c r="AT953" s="2" t="s">
        <v>213</v>
      </c>
      <c r="AU953" s="2">
        <v>2016</v>
      </c>
      <c r="AV953" s="2">
        <v>97</v>
      </c>
      <c r="AW953" s="2">
        <v>11</v>
      </c>
      <c r="AX953" s="2" t="s">
        <v>74</v>
      </c>
      <c r="AY953" s="2" t="s">
        <v>74</v>
      </c>
      <c r="AZ953" s="2" t="s">
        <v>74</v>
      </c>
      <c r="BA953" s="2" t="s">
        <v>74</v>
      </c>
      <c r="BB953" s="2">
        <v>3110</v>
      </c>
      <c r="BC953" s="2">
        <v>3118</v>
      </c>
      <c r="BD953" s="2" t="s">
        <v>74</v>
      </c>
      <c r="BE953" s="2" t="s">
        <v>7692</v>
      </c>
      <c r="BF953" s="2" t="str">
        <f>HYPERLINK("http://dx.doi.org/10.1002/ecy.1565","http://dx.doi.org/10.1002/ecy.1565")</f>
        <v>http://dx.doi.org/10.1002/ecy.1565</v>
      </c>
      <c r="BG953" s="2" t="s">
        <v>74</v>
      </c>
      <c r="BH953" s="2" t="s">
        <v>74</v>
      </c>
      <c r="BI953" s="2" t="s">
        <v>74</v>
      </c>
      <c r="BJ953" s="2" t="s">
        <v>74</v>
      </c>
      <c r="BK953" s="2" t="s">
        <v>74</v>
      </c>
      <c r="BL953" s="2" t="s">
        <v>74</v>
      </c>
      <c r="BM953" s="2" t="s">
        <v>74</v>
      </c>
      <c r="BN953" s="2">
        <v>27870050</v>
      </c>
      <c r="BO953" s="2" t="s">
        <v>74</v>
      </c>
      <c r="BP953" s="2" t="s">
        <v>74</v>
      </c>
      <c r="BQ953" s="2" t="s">
        <v>74</v>
      </c>
      <c r="BR953" s="2" t="s">
        <v>74</v>
      </c>
      <c r="BS953" s="2" t="s">
        <v>7693</v>
      </c>
      <c r="BT953" s="2" t="str">
        <f>HYPERLINK("https%3A%2F%2Fwww.webofscience.com%2Fwos%2Fwoscc%2Ffull-record%2FWOS:000387228200021","View Full Record in Web of Science")</f>
        <v>View Full Record in Web of Science</v>
      </c>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row>
    <row r="954" spans="1:314" s="2" customFormat="1" x14ac:dyDescent="0.4">
      <c r="A954" s="2" t="s">
        <v>72</v>
      </c>
      <c r="B954" s="2" t="s">
        <v>4932</v>
      </c>
      <c r="C954" s="2" t="s">
        <v>74</v>
      </c>
      <c r="D954" s="2" t="s">
        <v>74</v>
      </c>
      <c r="E954" s="2" t="s">
        <v>74</v>
      </c>
      <c r="F954" s="2" t="s">
        <v>4932</v>
      </c>
      <c r="G954" s="2" t="s">
        <v>74</v>
      </c>
      <c r="H954" s="2" t="s">
        <v>74</v>
      </c>
      <c r="I954" s="2" t="s">
        <v>4933</v>
      </c>
      <c r="J954" s="2" t="s">
        <v>4934</v>
      </c>
      <c r="K954" s="2" t="s">
        <v>74</v>
      </c>
      <c r="L954" s="2" t="s">
        <v>74</v>
      </c>
      <c r="M954" s="2" t="s">
        <v>74</v>
      </c>
      <c r="N954" s="2" t="s">
        <v>74</v>
      </c>
      <c r="O954" s="2" t="s">
        <v>74</v>
      </c>
      <c r="P954" s="2" t="s">
        <v>74</v>
      </c>
      <c r="Q954" s="2" t="s">
        <v>74</v>
      </c>
      <c r="R954" s="2" t="s">
        <v>74</v>
      </c>
      <c r="S954" s="2" t="s">
        <v>74</v>
      </c>
      <c r="T954" s="2" t="s">
        <v>74</v>
      </c>
      <c r="U954" s="2" t="s">
        <v>74</v>
      </c>
      <c r="V954" s="5" t="s">
        <v>4935</v>
      </c>
      <c r="W954" s="2" t="s">
        <v>74</v>
      </c>
      <c r="X954" s="2" t="s">
        <v>74</v>
      </c>
      <c r="Y954" s="2" t="s">
        <v>74</v>
      </c>
      <c r="Z954" s="2" t="s">
        <v>74</v>
      </c>
      <c r="AA954" s="2" t="s">
        <v>74</v>
      </c>
      <c r="AB954" s="2" t="s">
        <v>74</v>
      </c>
      <c r="AC954" s="2" t="s">
        <v>74</v>
      </c>
      <c r="AD954" s="2" t="s">
        <v>74</v>
      </c>
      <c r="AE954" s="2" t="s">
        <v>74</v>
      </c>
      <c r="AF954" s="2" t="s">
        <v>74</v>
      </c>
      <c r="AG954" s="2" t="s">
        <v>74</v>
      </c>
      <c r="AH954" s="2" t="s">
        <v>74</v>
      </c>
      <c r="AI954" s="2" t="s">
        <v>74</v>
      </c>
      <c r="AJ954" s="2" t="s">
        <v>74</v>
      </c>
      <c r="AK954" s="2" t="s">
        <v>74</v>
      </c>
      <c r="AL954" s="2" t="s">
        <v>74</v>
      </c>
      <c r="AM954" s="2" t="s">
        <v>74</v>
      </c>
      <c r="AN954" s="2" t="s">
        <v>74</v>
      </c>
      <c r="AO954" s="2" t="s">
        <v>4936</v>
      </c>
      <c r="AP954" s="2" t="s">
        <v>74</v>
      </c>
      <c r="AQ954" s="2" t="s">
        <v>74</v>
      </c>
      <c r="AR954" s="2" t="s">
        <v>74</v>
      </c>
      <c r="AS954" s="2" t="s">
        <v>74</v>
      </c>
      <c r="AT954" s="2" t="s">
        <v>633</v>
      </c>
      <c r="AU954" s="2">
        <v>1995</v>
      </c>
      <c r="AV954" s="2">
        <v>71</v>
      </c>
      <c r="AW954" s="2">
        <v>2</v>
      </c>
      <c r="AX954" s="2" t="s">
        <v>74</v>
      </c>
      <c r="AY954" s="2" t="s">
        <v>74</v>
      </c>
      <c r="AZ954" s="2" t="s">
        <v>74</v>
      </c>
      <c r="BA954" s="2" t="s">
        <v>74</v>
      </c>
      <c r="BB954" s="2">
        <v>113</v>
      </c>
      <c r="BC954" s="2">
        <v>120</v>
      </c>
      <c r="BD954" s="2" t="s">
        <v>74</v>
      </c>
      <c r="BE954" s="2" t="s">
        <v>74</v>
      </c>
      <c r="BF954" s="2" t="s">
        <v>74</v>
      </c>
      <c r="BG954" s="2" t="s">
        <v>74</v>
      </c>
      <c r="BH954" s="2" t="s">
        <v>74</v>
      </c>
      <c r="BI954" s="2" t="s">
        <v>74</v>
      </c>
      <c r="BJ954" s="2" t="s">
        <v>74</v>
      </c>
      <c r="BK954" s="2" t="s">
        <v>74</v>
      </c>
      <c r="BL954" s="2" t="s">
        <v>74</v>
      </c>
      <c r="BM954" s="2" t="s">
        <v>74</v>
      </c>
      <c r="BN954" s="2" t="s">
        <v>74</v>
      </c>
      <c r="BO954" s="2" t="s">
        <v>74</v>
      </c>
      <c r="BP954" s="2" t="s">
        <v>74</v>
      </c>
      <c r="BQ954" s="2" t="s">
        <v>74</v>
      </c>
      <c r="BR954" s="2" t="s">
        <v>74</v>
      </c>
      <c r="BS954" s="2" t="s">
        <v>4937</v>
      </c>
      <c r="BT954" s="2" t="str">
        <f>HYPERLINK("https%3A%2F%2Fwww.webofscience.com%2Fwos%2Fwoscc%2Ffull-record%2FWOS:A1995TA18200008","View Full Record in Web of Science")</f>
        <v>View Full Record in Web of Science</v>
      </c>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row>
    <row r="955" spans="1:314" s="2" customFormat="1" x14ac:dyDescent="0.4">
      <c r="A955" s="2" t="s">
        <v>72</v>
      </c>
      <c r="B955" s="2" t="s">
        <v>8311</v>
      </c>
      <c r="C955" s="2" t="s">
        <v>74</v>
      </c>
      <c r="D955" s="2" t="s">
        <v>74</v>
      </c>
      <c r="E955" s="2" t="s">
        <v>74</v>
      </c>
      <c r="F955" s="2" t="s">
        <v>8312</v>
      </c>
      <c r="G955" s="2" t="s">
        <v>74</v>
      </c>
      <c r="H955" s="2" t="s">
        <v>74</v>
      </c>
      <c r="I955" s="2" t="s">
        <v>8313</v>
      </c>
      <c r="J955" s="2" t="s">
        <v>654</v>
      </c>
      <c r="K955" s="2" t="s">
        <v>74</v>
      </c>
      <c r="L955" s="2" t="s">
        <v>74</v>
      </c>
      <c r="M955" s="2" t="s">
        <v>74</v>
      </c>
      <c r="N955" s="2" t="s">
        <v>74</v>
      </c>
      <c r="O955" s="2" t="s">
        <v>74</v>
      </c>
      <c r="P955" s="2" t="s">
        <v>74</v>
      </c>
      <c r="Q955" s="2" t="s">
        <v>74</v>
      </c>
      <c r="R955" s="2" t="s">
        <v>74</v>
      </c>
      <c r="S955" s="2" t="s">
        <v>74</v>
      </c>
      <c r="T955" s="2" t="s">
        <v>74</v>
      </c>
      <c r="U955" s="2" t="s">
        <v>74</v>
      </c>
      <c r="V955" s="5" t="s">
        <v>8314</v>
      </c>
      <c r="W955" s="2" t="s">
        <v>74</v>
      </c>
      <c r="X955" s="2" t="s">
        <v>74</v>
      </c>
      <c r="Y955" s="2" t="s">
        <v>74</v>
      </c>
      <c r="Z955" s="2" t="s">
        <v>74</v>
      </c>
      <c r="AA955" s="2" t="s">
        <v>74</v>
      </c>
      <c r="AB955" s="2" t="s">
        <v>74</v>
      </c>
      <c r="AC955" s="2" t="s">
        <v>74</v>
      </c>
      <c r="AD955" s="2" t="s">
        <v>74</v>
      </c>
      <c r="AE955" s="2" t="s">
        <v>74</v>
      </c>
      <c r="AF955" s="2" t="s">
        <v>74</v>
      </c>
      <c r="AG955" s="2" t="s">
        <v>74</v>
      </c>
      <c r="AH955" s="2" t="s">
        <v>74</v>
      </c>
      <c r="AI955" s="2" t="s">
        <v>74</v>
      </c>
      <c r="AJ955" s="2" t="s">
        <v>74</v>
      </c>
      <c r="AK955" s="2" t="s">
        <v>74</v>
      </c>
      <c r="AL955" s="2" t="s">
        <v>74</v>
      </c>
      <c r="AM955" s="2" t="s">
        <v>74</v>
      </c>
      <c r="AN955" s="2" t="s">
        <v>74</v>
      </c>
      <c r="AO955" s="2" t="s">
        <v>658</v>
      </c>
      <c r="AP955" s="2" t="s">
        <v>74</v>
      </c>
      <c r="AQ955" s="2" t="s">
        <v>74</v>
      </c>
      <c r="AR955" s="2" t="s">
        <v>74</v>
      </c>
      <c r="AS955" s="2" t="s">
        <v>74</v>
      </c>
      <c r="AT955" s="2" t="s">
        <v>255</v>
      </c>
      <c r="AU955" s="2">
        <v>2024</v>
      </c>
      <c r="AV955" s="2">
        <v>14</v>
      </c>
      <c r="AW955" s="2">
        <v>1</v>
      </c>
      <c r="AX955" s="2" t="s">
        <v>74</v>
      </c>
      <c r="AY955" s="2" t="s">
        <v>74</v>
      </c>
      <c r="AZ955" s="2" t="s">
        <v>74</v>
      </c>
      <c r="BA955" s="2" t="s">
        <v>74</v>
      </c>
      <c r="BB955" s="2" t="s">
        <v>74</v>
      </c>
      <c r="BC955" s="2" t="s">
        <v>74</v>
      </c>
      <c r="BD955" s="2" t="s">
        <v>8315</v>
      </c>
      <c r="BE955" s="2" t="s">
        <v>8316</v>
      </c>
      <c r="BF955" s="2" t="str">
        <f>HYPERLINK("http://dx.doi.org/10.1002/ece3.10851","http://dx.doi.org/10.1002/ece3.10851")</f>
        <v>http://dx.doi.org/10.1002/ece3.10851</v>
      </c>
      <c r="BG955" s="2" t="s">
        <v>74</v>
      </c>
      <c r="BH955" s="2" t="s">
        <v>74</v>
      </c>
      <c r="BI955" s="2" t="s">
        <v>74</v>
      </c>
      <c r="BJ955" s="2" t="s">
        <v>74</v>
      </c>
      <c r="BK955" s="2" t="s">
        <v>74</v>
      </c>
      <c r="BL955" s="2" t="s">
        <v>74</v>
      </c>
      <c r="BM955" s="2" t="s">
        <v>74</v>
      </c>
      <c r="BN955" s="2">
        <v>38274864</v>
      </c>
      <c r="BO955" s="2" t="s">
        <v>74</v>
      </c>
      <c r="BP955" s="2" t="s">
        <v>74</v>
      </c>
      <c r="BQ955" s="2" t="s">
        <v>74</v>
      </c>
      <c r="BR955" s="2" t="s">
        <v>74</v>
      </c>
      <c r="BS955" s="2" t="s">
        <v>8317</v>
      </c>
      <c r="BT955" s="2" t="str">
        <f>HYPERLINK("https%3A%2F%2Fwww.webofscience.com%2Fwos%2Fwoscc%2Ffull-record%2FWOS:001148034400001","View Full Record in Web of Science")</f>
        <v>View Full Record in Web of Science</v>
      </c>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row>
    <row r="956" spans="1:314" s="2" customFormat="1" x14ac:dyDescent="0.4">
      <c r="A956" s="2" t="s">
        <v>72</v>
      </c>
      <c r="B956" s="2" t="s">
        <v>1777</v>
      </c>
      <c r="C956" s="2" t="s">
        <v>74</v>
      </c>
      <c r="D956" s="2" t="s">
        <v>74</v>
      </c>
      <c r="E956" s="2" t="s">
        <v>74</v>
      </c>
      <c r="F956" s="2" t="s">
        <v>1778</v>
      </c>
      <c r="G956" s="2" t="s">
        <v>74</v>
      </c>
      <c r="H956" s="2" t="s">
        <v>74</v>
      </c>
      <c r="I956" s="2" t="s">
        <v>1779</v>
      </c>
      <c r="J956" s="2" t="s">
        <v>140</v>
      </c>
      <c r="K956" s="2" t="s">
        <v>74</v>
      </c>
      <c r="L956" s="2" t="s">
        <v>74</v>
      </c>
      <c r="M956" s="2" t="s">
        <v>74</v>
      </c>
      <c r="N956" s="2" t="s">
        <v>74</v>
      </c>
      <c r="O956" s="2" t="s">
        <v>74</v>
      </c>
      <c r="P956" s="2" t="s">
        <v>74</v>
      </c>
      <c r="Q956" s="2" t="s">
        <v>74</v>
      </c>
      <c r="R956" s="2" t="s">
        <v>74</v>
      </c>
      <c r="S956" s="2" t="s">
        <v>74</v>
      </c>
      <c r="T956" s="2" t="s">
        <v>74</v>
      </c>
      <c r="U956" s="2" t="s">
        <v>74</v>
      </c>
      <c r="V956" s="5" t="s">
        <v>1780</v>
      </c>
      <c r="W956" s="2" t="s">
        <v>74</v>
      </c>
      <c r="X956" s="2" t="s">
        <v>74</v>
      </c>
      <c r="Y956" s="2" t="s">
        <v>74</v>
      </c>
      <c r="Z956" s="2" t="s">
        <v>74</v>
      </c>
      <c r="AA956" s="2" t="s">
        <v>1781</v>
      </c>
      <c r="AB956" s="2" t="s">
        <v>1782</v>
      </c>
      <c r="AC956" s="2" t="s">
        <v>74</v>
      </c>
      <c r="AD956" s="2" t="s">
        <v>74</v>
      </c>
      <c r="AE956" s="2" t="s">
        <v>74</v>
      </c>
      <c r="AF956" s="2" t="s">
        <v>74</v>
      </c>
      <c r="AG956" s="2" t="s">
        <v>74</v>
      </c>
      <c r="AH956" s="2" t="s">
        <v>74</v>
      </c>
      <c r="AI956" s="2" t="s">
        <v>74</v>
      </c>
      <c r="AJ956" s="2" t="s">
        <v>74</v>
      </c>
      <c r="AK956" s="2" t="s">
        <v>74</v>
      </c>
      <c r="AL956" s="2" t="s">
        <v>74</v>
      </c>
      <c r="AM956" s="2" t="s">
        <v>74</v>
      </c>
      <c r="AN956" s="2" t="s">
        <v>74</v>
      </c>
      <c r="AO956" s="2" t="s">
        <v>143</v>
      </c>
      <c r="AP956" s="2" t="s">
        <v>144</v>
      </c>
      <c r="AQ956" s="2" t="s">
        <v>74</v>
      </c>
      <c r="AR956" s="2" t="s">
        <v>74</v>
      </c>
      <c r="AS956" s="2" t="s">
        <v>74</v>
      </c>
      <c r="AT956" s="2" t="s">
        <v>213</v>
      </c>
      <c r="AU956" s="2">
        <v>2018</v>
      </c>
      <c r="AV956" s="2">
        <v>145</v>
      </c>
      <c r="AW956" s="2" t="s">
        <v>74</v>
      </c>
      <c r="AX956" s="2" t="s">
        <v>74</v>
      </c>
      <c r="AY956" s="2" t="s">
        <v>74</v>
      </c>
      <c r="AZ956" s="2" t="s">
        <v>74</v>
      </c>
      <c r="BA956" s="2" t="s">
        <v>74</v>
      </c>
      <c r="BB956" s="2">
        <v>29</v>
      </c>
      <c r="BC956" s="2">
        <v>37</v>
      </c>
      <c r="BD956" s="2" t="s">
        <v>74</v>
      </c>
      <c r="BE956" s="2" t="s">
        <v>1783</v>
      </c>
      <c r="BF956" s="2" t="str">
        <f>HYPERLINK("http://dx.doi.org/10.1016/j.anbehav.2018.08.015","http://dx.doi.org/10.1016/j.anbehav.2018.08.015")</f>
        <v>http://dx.doi.org/10.1016/j.anbehav.2018.08.015</v>
      </c>
      <c r="BG956" s="2" t="s">
        <v>74</v>
      </c>
      <c r="BH956" s="2" t="s">
        <v>74</v>
      </c>
      <c r="BI956" s="2" t="s">
        <v>74</v>
      </c>
      <c r="BJ956" s="2" t="s">
        <v>74</v>
      </c>
      <c r="BK956" s="2" t="s">
        <v>74</v>
      </c>
      <c r="BL956" s="2" t="s">
        <v>74</v>
      </c>
      <c r="BM956" s="2" t="s">
        <v>74</v>
      </c>
      <c r="BN956" s="2" t="s">
        <v>74</v>
      </c>
      <c r="BO956" s="2" t="s">
        <v>74</v>
      </c>
      <c r="BP956" s="2" t="s">
        <v>74</v>
      </c>
      <c r="BQ956" s="2" t="s">
        <v>74</v>
      </c>
      <c r="BR956" s="2" t="s">
        <v>74</v>
      </c>
      <c r="BS956" s="2" t="s">
        <v>1784</v>
      </c>
      <c r="BT956" s="2" t="str">
        <f>HYPERLINK("https%3A%2F%2Fwww.webofscience.com%2Fwos%2Fwoscc%2Ffull-record%2FWOS:000449696600003","View Full Record in Web of Science")</f>
        <v>View Full Record in Web of Science</v>
      </c>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row>
    <row r="957" spans="1:314" s="7" customFormat="1" x14ac:dyDescent="0.4">
      <c r="A957" s="2" t="s">
        <v>72</v>
      </c>
      <c r="B957" s="2" t="s">
        <v>4803</v>
      </c>
      <c r="C957" s="2" t="s">
        <v>74</v>
      </c>
      <c r="D957" s="2" t="s">
        <v>74</v>
      </c>
      <c r="E957" s="2" t="s">
        <v>74</v>
      </c>
      <c r="F957" s="2" t="s">
        <v>4804</v>
      </c>
      <c r="G957" s="2" t="s">
        <v>74</v>
      </c>
      <c r="H957" s="2" t="s">
        <v>74</v>
      </c>
      <c r="I957" s="2" t="s">
        <v>4805</v>
      </c>
      <c r="J957" s="2" t="s">
        <v>3089</v>
      </c>
      <c r="K957" s="2" t="s">
        <v>74</v>
      </c>
      <c r="L957" s="2" t="s">
        <v>74</v>
      </c>
      <c r="M957" s="2" t="s">
        <v>74</v>
      </c>
      <c r="N957" s="2" t="s">
        <v>74</v>
      </c>
      <c r="O957" s="2" t="s">
        <v>74</v>
      </c>
      <c r="P957" s="2" t="s">
        <v>74</v>
      </c>
      <c r="Q957" s="2" t="s">
        <v>74</v>
      </c>
      <c r="R957" s="2" t="s">
        <v>74</v>
      </c>
      <c r="S957" s="2" t="s">
        <v>74</v>
      </c>
      <c r="T957" s="2" t="s">
        <v>74</v>
      </c>
      <c r="U957" s="2" t="s">
        <v>74</v>
      </c>
      <c r="V957" s="5" t="s">
        <v>4806</v>
      </c>
      <c r="W957" s="2" t="s">
        <v>74</v>
      </c>
      <c r="X957" s="2" t="s">
        <v>74</v>
      </c>
      <c r="Y957" s="2" t="s">
        <v>74</v>
      </c>
      <c r="Z957" s="2" t="s">
        <v>74</v>
      </c>
      <c r="AA957" s="2" t="s">
        <v>4807</v>
      </c>
      <c r="AB957" s="2" t="s">
        <v>4808</v>
      </c>
      <c r="AC957" s="2" t="s">
        <v>74</v>
      </c>
      <c r="AD957" s="2" t="s">
        <v>74</v>
      </c>
      <c r="AE957" s="2" t="s">
        <v>74</v>
      </c>
      <c r="AF957" s="2" t="s">
        <v>74</v>
      </c>
      <c r="AG957" s="2" t="s">
        <v>74</v>
      </c>
      <c r="AH957" s="2" t="s">
        <v>74</v>
      </c>
      <c r="AI957" s="2" t="s">
        <v>74</v>
      </c>
      <c r="AJ957" s="2" t="s">
        <v>74</v>
      </c>
      <c r="AK957" s="2" t="s">
        <v>74</v>
      </c>
      <c r="AL957" s="2" t="s">
        <v>74</v>
      </c>
      <c r="AM957" s="2" t="s">
        <v>74</v>
      </c>
      <c r="AN957" s="2" t="s">
        <v>74</v>
      </c>
      <c r="AO957" s="2" t="s">
        <v>3093</v>
      </c>
      <c r="AP957" s="2" t="s">
        <v>3094</v>
      </c>
      <c r="AQ957" s="2" t="s">
        <v>74</v>
      </c>
      <c r="AR957" s="2" t="s">
        <v>74</v>
      </c>
      <c r="AS957" s="2" t="s">
        <v>74</v>
      </c>
      <c r="AT957" s="2" t="s">
        <v>134</v>
      </c>
      <c r="AU957" s="2">
        <v>2010</v>
      </c>
      <c r="AV957" s="2">
        <v>28</v>
      </c>
      <c r="AW957" s="2">
        <v>2</v>
      </c>
      <c r="AX957" s="2" t="s">
        <v>74</v>
      </c>
      <c r="AY957" s="2" t="s">
        <v>74</v>
      </c>
      <c r="AZ957" s="2" t="s">
        <v>74</v>
      </c>
      <c r="BA957" s="2" t="s">
        <v>74</v>
      </c>
      <c r="BB957" s="2">
        <v>273</v>
      </c>
      <c r="BC957" s="2">
        <v>286</v>
      </c>
      <c r="BD957" s="2" t="s">
        <v>74</v>
      </c>
      <c r="BE957" s="2" t="s">
        <v>4809</v>
      </c>
      <c r="BF957" s="2" t="str">
        <f>HYPERLINK("http://dx.doi.org/10.1007/s10164-009-0181-9","http://dx.doi.org/10.1007/s10164-009-0181-9")</f>
        <v>http://dx.doi.org/10.1007/s10164-009-0181-9</v>
      </c>
      <c r="BG957" s="2" t="s">
        <v>74</v>
      </c>
      <c r="BH957" s="2" t="s">
        <v>74</v>
      </c>
      <c r="BI957" s="2" t="s">
        <v>74</v>
      </c>
      <c r="BJ957" s="2" t="s">
        <v>74</v>
      </c>
      <c r="BK957" s="2" t="s">
        <v>74</v>
      </c>
      <c r="BL957" s="2" t="s">
        <v>74</v>
      </c>
      <c r="BM957" s="2" t="s">
        <v>74</v>
      </c>
      <c r="BN957" s="2" t="s">
        <v>74</v>
      </c>
      <c r="BO957" s="2" t="s">
        <v>74</v>
      </c>
      <c r="BP957" s="2" t="s">
        <v>74</v>
      </c>
      <c r="BQ957" s="2" t="s">
        <v>74</v>
      </c>
      <c r="BR957" s="2" t="s">
        <v>74</v>
      </c>
      <c r="BS957" s="2" t="s">
        <v>4810</v>
      </c>
      <c r="BT957" s="2" t="str">
        <f>HYPERLINK("https%3A%2F%2Fwww.webofscience.com%2Fwos%2Fwoscc%2Ffull-record%2FWOS:000277469300009","View Full Record in Web of Science")</f>
        <v>View Full Record in Web of Science</v>
      </c>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row>
    <row r="958" spans="1:314" s="2" customFormat="1" x14ac:dyDescent="0.4">
      <c r="A958" s="2" t="s">
        <v>72</v>
      </c>
      <c r="B958" s="2" t="s">
        <v>8480</v>
      </c>
      <c r="C958" s="2" t="s">
        <v>74</v>
      </c>
      <c r="D958" s="2" t="s">
        <v>74</v>
      </c>
      <c r="E958" s="2" t="s">
        <v>74</v>
      </c>
      <c r="F958" s="2" t="s">
        <v>8480</v>
      </c>
      <c r="G958" s="2" t="s">
        <v>74</v>
      </c>
      <c r="H958" s="2" t="s">
        <v>74</v>
      </c>
      <c r="I958" s="2" t="s">
        <v>8481</v>
      </c>
      <c r="J958" s="2" t="s">
        <v>1755</v>
      </c>
      <c r="K958" s="2" t="s">
        <v>74</v>
      </c>
      <c r="L958" s="2" t="s">
        <v>74</v>
      </c>
      <c r="M958" s="2" t="s">
        <v>74</v>
      </c>
      <c r="N958" s="2" t="s">
        <v>74</v>
      </c>
      <c r="O958" s="2" t="s">
        <v>74</v>
      </c>
      <c r="P958" s="2" t="s">
        <v>74</v>
      </c>
      <c r="Q958" s="2" t="s">
        <v>74</v>
      </c>
      <c r="R958" s="2" t="s">
        <v>74</v>
      </c>
      <c r="S958" s="2" t="s">
        <v>74</v>
      </c>
      <c r="T958" s="2" t="s">
        <v>74</v>
      </c>
      <c r="U958" s="2" t="s">
        <v>74</v>
      </c>
      <c r="V958" s="5" t="s">
        <v>8482</v>
      </c>
      <c r="W958" s="2" t="s">
        <v>74</v>
      </c>
      <c r="X958" s="2" t="s">
        <v>74</v>
      </c>
      <c r="Y958" s="2" t="s">
        <v>74</v>
      </c>
      <c r="Z958" s="2" t="s">
        <v>74</v>
      </c>
      <c r="AA958" s="2" t="s">
        <v>74</v>
      </c>
      <c r="AB958" s="2" t="s">
        <v>74</v>
      </c>
      <c r="AC958" s="2" t="s">
        <v>74</v>
      </c>
      <c r="AD958" s="2" t="s">
        <v>74</v>
      </c>
      <c r="AE958" s="2" t="s">
        <v>74</v>
      </c>
      <c r="AF958" s="2" t="s">
        <v>74</v>
      </c>
      <c r="AG958" s="2" t="s">
        <v>74</v>
      </c>
      <c r="AH958" s="2" t="s">
        <v>74</v>
      </c>
      <c r="AI958" s="2" t="s">
        <v>74</v>
      </c>
      <c r="AJ958" s="2" t="s">
        <v>74</v>
      </c>
      <c r="AK958" s="2" t="s">
        <v>74</v>
      </c>
      <c r="AL958" s="2" t="s">
        <v>74</v>
      </c>
      <c r="AM958" s="2" t="s">
        <v>74</v>
      </c>
      <c r="AN958" s="2" t="s">
        <v>74</v>
      </c>
      <c r="AO958" s="2" t="s">
        <v>1759</v>
      </c>
      <c r="AP958" s="2" t="s">
        <v>1760</v>
      </c>
      <c r="AQ958" s="2" t="s">
        <v>74</v>
      </c>
      <c r="AR958" s="2" t="s">
        <v>74</v>
      </c>
      <c r="AS958" s="2" t="s">
        <v>74</v>
      </c>
      <c r="AT958" s="2" t="s">
        <v>352</v>
      </c>
      <c r="AU958" s="2">
        <v>2001</v>
      </c>
      <c r="AV958" s="2">
        <v>14</v>
      </c>
      <c r="AW958" s="2">
        <v>5</v>
      </c>
      <c r="AX958" s="2" t="s">
        <v>74</v>
      </c>
      <c r="AY958" s="2" t="s">
        <v>74</v>
      </c>
      <c r="AZ958" s="2" t="s">
        <v>74</v>
      </c>
      <c r="BA958" s="2" t="s">
        <v>74</v>
      </c>
      <c r="BB958" s="2">
        <v>607</v>
      </c>
      <c r="BC958" s="2">
        <v>620</v>
      </c>
      <c r="BD958" s="2" t="s">
        <v>74</v>
      </c>
      <c r="BE958" s="2" t="s">
        <v>8483</v>
      </c>
      <c r="BF958" s="2" t="str">
        <f>HYPERLINK("http://dx.doi.org/10.1023/A:1012223217250","http://dx.doi.org/10.1023/A:1012223217250")</f>
        <v>http://dx.doi.org/10.1023/A:1012223217250</v>
      </c>
      <c r="BG958" s="2" t="s">
        <v>74</v>
      </c>
      <c r="BH958" s="2" t="s">
        <v>74</v>
      </c>
      <c r="BI958" s="2" t="s">
        <v>74</v>
      </c>
      <c r="BJ958" s="2" t="s">
        <v>74</v>
      </c>
      <c r="BK958" s="2" t="s">
        <v>74</v>
      </c>
      <c r="BL958" s="2" t="s">
        <v>74</v>
      </c>
      <c r="BM958" s="2" t="s">
        <v>74</v>
      </c>
      <c r="BN958" s="2" t="s">
        <v>74</v>
      </c>
      <c r="BO958" s="2" t="s">
        <v>74</v>
      </c>
      <c r="BP958" s="2" t="s">
        <v>74</v>
      </c>
      <c r="BQ958" s="2" t="s">
        <v>74</v>
      </c>
      <c r="BR958" s="2" t="s">
        <v>74</v>
      </c>
      <c r="BS958" s="2" t="s">
        <v>8484</v>
      </c>
      <c r="BT958" s="2" t="str">
        <f>HYPERLINK("https%3A%2F%2Fwww.webofscience.com%2Fwos%2Fwoscc%2Ffull-record%2FWOS:000172302200004","View Full Record in Web of Science")</f>
        <v>View Full Record in Web of Science</v>
      </c>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row>
    <row r="959" spans="1:314" s="2" customFormat="1" x14ac:dyDescent="0.4">
      <c r="A959" s="2" t="s">
        <v>72</v>
      </c>
      <c r="B959" s="2" t="s">
        <v>1508</v>
      </c>
      <c r="C959" s="2" t="s">
        <v>74</v>
      </c>
      <c r="D959" s="2" t="s">
        <v>74</v>
      </c>
      <c r="E959" s="2" t="s">
        <v>74</v>
      </c>
      <c r="F959" s="2" t="s">
        <v>1509</v>
      </c>
      <c r="G959" s="2" t="s">
        <v>74</v>
      </c>
      <c r="H959" s="2" t="s">
        <v>74</v>
      </c>
      <c r="I959" s="2" t="s">
        <v>1510</v>
      </c>
      <c r="J959" s="2" t="s">
        <v>140</v>
      </c>
      <c r="K959" s="2" t="s">
        <v>74</v>
      </c>
      <c r="L959" s="2" t="s">
        <v>74</v>
      </c>
      <c r="M959" s="2" t="s">
        <v>74</v>
      </c>
      <c r="N959" s="2" t="s">
        <v>74</v>
      </c>
      <c r="O959" s="2" t="s">
        <v>74</v>
      </c>
      <c r="P959" s="2" t="s">
        <v>74</v>
      </c>
      <c r="Q959" s="2" t="s">
        <v>74</v>
      </c>
      <c r="R959" s="2" t="s">
        <v>74</v>
      </c>
      <c r="S959" s="2" t="s">
        <v>74</v>
      </c>
      <c r="T959" s="2" t="s">
        <v>74</v>
      </c>
      <c r="U959" s="2" t="s">
        <v>74</v>
      </c>
      <c r="V959" s="5" t="s">
        <v>1511</v>
      </c>
      <c r="W959" s="2" t="s">
        <v>74</v>
      </c>
      <c r="X959" s="2" t="s">
        <v>74</v>
      </c>
      <c r="Y959" s="2" t="s">
        <v>74</v>
      </c>
      <c r="Z959" s="2" t="s">
        <v>74</v>
      </c>
      <c r="AA959" s="2" t="s">
        <v>1512</v>
      </c>
      <c r="AB959" s="2" t="s">
        <v>1513</v>
      </c>
      <c r="AC959" s="2" t="s">
        <v>74</v>
      </c>
      <c r="AD959" s="2" t="s">
        <v>74</v>
      </c>
      <c r="AE959" s="2" t="s">
        <v>74</v>
      </c>
      <c r="AF959" s="2" t="s">
        <v>74</v>
      </c>
      <c r="AG959" s="2" t="s">
        <v>74</v>
      </c>
      <c r="AH959" s="2" t="s">
        <v>74</v>
      </c>
      <c r="AI959" s="2" t="s">
        <v>74</v>
      </c>
      <c r="AJ959" s="2" t="s">
        <v>74</v>
      </c>
      <c r="AK959" s="2" t="s">
        <v>74</v>
      </c>
      <c r="AL959" s="2" t="s">
        <v>74</v>
      </c>
      <c r="AM959" s="2" t="s">
        <v>74</v>
      </c>
      <c r="AN959" s="2" t="s">
        <v>74</v>
      </c>
      <c r="AO959" s="2" t="s">
        <v>143</v>
      </c>
      <c r="AP959" s="2" t="s">
        <v>144</v>
      </c>
      <c r="AQ959" s="2" t="s">
        <v>74</v>
      </c>
      <c r="AR959" s="2" t="s">
        <v>74</v>
      </c>
      <c r="AS959" s="2" t="s">
        <v>74</v>
      </c>
      <c r="AT959" s="2" t="s">
        <v>175</v>
      </c>
      <c r="AU959" s="2">
        <v>2008</v>
      </c>
      <c r="AV959" s="2">
        <v>76</v>
      </c>
      <c r="AW959" s="2" t="s">
        <v>74</v>
      </c>
      <c r="AX959" s="2">
        <v>4</v>
      </c>
      <c r="AY959" s="2" t="s">
        <v>74</v>
      </c>
      <c r="AZ959" s="2" t="s">
        <v>74</v>
      </c>
      <c r="BA959" s="2" t="s">
        <v>74</v>
      </c>
      <c r="BB959" s="2">
        <v>1357</v>
      </c>
      <c r="BC959" s="2">
        <v>1364</v>
      </c>
      <c r="BD959" s="2" t="s">
        <v>74</v>
      </c>
      <c r="BE959" s="2" t="s">
        <v>1514</v>
      </c>
      <c r="BF959" s="2" t="str">
        <f>HYPERLINK("http://dx.doi.org/10.1016/j.anbehav.2008.04.024","http://dx.doi.org/10.1016/j.anbehav.2008.04.024")</f>
        <v>http://dx.doi.org/10.1016/j.anbehav.2008.04.024</v>
      </c>
      <c r="BG959" s="2" t="s">
        <v>74</v>
      </c>
      <c r="BH959" s="2" t="s">
        <v>74</v>
      </c>
      <c r="BI959" s="2" t="s">
        <v>74</v>
      </c>
      <c r="BJ959" s="2" t="s">
        <v>74</v>
      </c>
      <c r="BK959" s="2" t="s">
        <v>74</v>
      </c>
      <c r="BL959" s="2" t="s">
        <v>74</v>
      </c>
      <c r="BM959" s="2" t="s">
        <v>74</v>
      </c>
      <c r="BN959" s="2" t="s">
        <v>74</v>
      </c>
      <c r="BO959" s="2" t="s">
        <v>74</v>
      </c>
      <c r="BP959" s="2" t="s">
        <v>74</v>
      </c>
      <c r="BQ959" s="2" t="s">
        <v>74</v>
      </c>
      <c r="BR959" s="2" t="s">
        <v>74</v>
      </c>
      <c r="BS959" s="2" t="s">
        <v>1515</v>
      </c>
      <c r="BT959" s="2" t="str">
        <f>HYPERLINK("https%3A%2F%2Fwww.webofscience.com%2Fwos%2Fwoscc%2Ffull-record%2FWOS:000260118000026","View Full Record in Web of Science")</f>
        <v>View Full Record in Web of Science</v>
      </c>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row>
    <row r="960" spans="1:314" s="2" customFormat="1" x14ac:dyDescent="0.4">
      <c r="A960" s="2" t="s">
        <v>72</v>
      </c>
      <c r="B960" s="2" t="s">
        <v>4089</v>
      </c>
      <c r="C960" s="2" t="s">
        <v>74</v>
      </c>
      <c r="D960" s="2" t="s">
        <v>74</v>
      </c>
      <c r="E960" s="2" t="s">
        <v>74</v>
      </c>
      <c r="F960" s="2" t="s">
        <v>4090</v>
      </c>
      <c r="G960" s="2" t="s">
        <v>74</v>
      </c>
      <c r="H960" s="2" t="s">
        <v>74</v>
      </c>
      <c r="I960" s="2" t="s">
        <v>4091</v>
      </c>
      <c r="J960" s="2" t="s">
        <v>140</v>
      </c>
      <c r="K960" s="2" t="s">
        <v>74</v>
      </c>
      <c r="L960" s="2" t="s">
        <v>74</v>
      </c>
      <c r="M960" s="2" t="s">
        <v>74</v>
      </c>
      <c r="N960" s="2" t="s">
        <v>74</v>
      </c>
      <c r="O960" s="2" t="s">
        <v>74</v>
      </c>
      <c r="P960" s="2" t="s">
        <v>74</v>
      </c>
      <c r="Q960" s="2" t="s">
        <v>74</v>
      </c>
      <c r="R960" s="2" t="s">
        <v>74</v>
      </c>
      <c r="S960" s="2" t="s">
        <v>74</v>
      </c>
      <c r="T960" s="2" t="s">
        <v>74</v>
      </c>
      <c r="U960" s="2" t="s">
        <v>74</v>
      </c>
      <c r="V960" s="5" t="s">
        <v>4092</v>
      </c>
      <c r="W960" s="2" t="s">
        <v>74</v>
      </c>
      <c r="X960" s="2" t="s">
        <v>74</v>
      </c>
      <c r="Y960" s="2" t="s">
        <v>74</v>
      </c>
      <c r="Z960" s="2" t="s">
        <v>74</v>
      </c>
      <c r="AA960" s="2" t="s">
        <v>2989</v>
      </c>
      <c r="AB960" s="2" t="s">
        <v>4093</v>
      </c>
      <c r="AC960" s="2" t="s">
        <v>74</v>
      </c>
      <c r="AD960" s="2" t="s">
        <v>74</v>
      </c>
      <c r="AE960" s="2" t="s">
        <v>74</v>
      </c>
      <c r="AF960" s="2" t="s">
        <v>74</v>
      </c>
      <c r="AG960" s="2" t="s">
        <v>74</v>
      </c>
      <c r="AH960" s="2" t="s">
        <v>74</v>
      </c>
      <c r="AI960" s="2" t="s">
        <v>74</v>
      </c>
      <c r="AJ960" s="2" t="s">
        <v>74</v>
      </c>
      <c r="AK960" s="2" t="s">
        <v>74</v>
      </c>
      <c r="AL960" s="2" t="s">
        <v>74</v>
      </c>
      <c r="AM960" s="2" t="s">
        <v>74</v>
      </c>
      <c r="AN960" s="2" t="s">
        <v>74</v>
      </c>
      <c r="AO960" s="2" t="s">
        <v>143</v>
      </c>
      <c r="AP960" s="2" t="s">
        <v>144</v>
      </c>
      <c r="AQ960" s="2" t="s">
        <v>74</v>
      </c>
      <c r="AR960" s="2" t="s">
        <v>74</v>
      </c>
      <c r="AS960" s="2" t="s">
        <v>74</v>
      </c>
      <c r="AT960" s="2" t="s">
        <v>213</v>
      </c>
      <c r="AU960" s="2">
        <v>2013</v>
      </c>
      <c r="AV960" s="2">
        <v>86</v>
      </c>
      <c r="AW960" s="2">
        <v>5</v>
      </c>
      <c r="AX960" s="2" t="s">
        <v>74</v>
      </c>
      <c r="AY960" s="2" t="s">
        <v>74</v>
      </c>
      <c r="AZ960" s="2" t="s">
        <v>74</v>
      </c>
      <c r="BA960" s="2" t="s">
        <v>74</v>
      </c>
      <c r="BB960" s="2">
        <v>923</v>
      </c>
      <c r="BC960" s="2">
        <v>931</v>
      </c>
      <c r="BD960" s="2" t="s">
        <v>74</v>
      </c>
      <c r="BE960" s="2" t="s">
        <v>4094</v>
      </c>
      <c r="BF960" s="2" t="str">
        <f>HYPERLINK("http://dx.doi.org/10.1016/j.anbehav.2013.08.008","http://dx.doi.org/10.1016/j.anbehav.2013.08.008")</f>
        <v>http://dx.doi.org/10.1016/j.anbehav.2013.08.008</v>
      </c>
      <c r="BG960" s="2" t="s">
        <v>74</v>
      </c>
      <c r="BH960" s="2" t="s">
        <v>74</v>
      </c>
      <c r="BI960" s="2" t="s">
        <v>74</v>
      </c>
      <c r="BJ960" s="2" t="s">
        <v>74</v>
      </c>
      <c r="BK960" s="2" t="s">
        <v>74</v>
      </c>
      <c r="BL960" s="2" t="s">
        <v>74</v>
      </c>
      <c r="BM960" s="2" t="s">
        <v>74</v>
      </c>
      <c r="BN960" s="2" t="s">
        <v>74</v>
      </c>
      <c r="BO960" s="2" t="s">
        <v>74</v>
      </c>
      <c r="BP960" s="2" t="s">
        <v>74</v>
      </c>
      <c r="BQ960" s="2" t="s">
        <v>74</v>
      </c>
      <c r="BR960" s="2" t="s">
        <v>74</v>
      </c>
      <c r="BS960" s="2" t="s">
        <v>4095</v>
      </c>
      <c r="BT960" s="2" t="str">
        <f>HYPERLINK("https%3A%2F%2Fwww.webofscience.com%2Fwos%2Fwoscc%2Ffull-record%2FWOS:000326272200011","View Full Record in Web of Science")</f>
        <v>View Full Record in Web of Science</v>
      </c>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row>
    <row r="961" spans="1:314" s="2" customFormat="1" x14ac:dyDescent="0.4">
      <c r="A961" s="2" t="s">
        <v>72</v>
      </c>
      <c r="B961" s="2" t="s">
        <v>4471</v>
      </c>
      <c r="C961" s="2" t="s">
        <v>74</v>
      </c>
      <c r="D961" s="2" t="s">
        <v>74</v>
      </c>
      <c r="E961" s="2" t="s">
        <v>74</v>
      </c>
      <c r="F961" s="2" t="s">
        <v>4471</v>
      </c>
      <c r="G961" s="2" t="s">
        <v>74</v>
      </c>
      <c r="H961" s="2" t="s">
        <v>74</v>
      </c>
      <c r="I961" s="2" t="s">
        <v>4472</v>
      </c>
      <c r="J961" s="2" t="s">
        <v>4473</v>
      </c>
      <c r="K961" s="2" t="s">
        <v>74</v>
      </c>
      <c r="L961" s="2" t="s">
        <v>74</v>
      </c>
      <c r="M961" s="2" t="s">
        <v>74</v>
      </c>
      <c r="N961" s="2" t="s">
        <v>74</v>
      </c>
      <c r="O961" s="2" t="s">
        <v>74</v>
      </c>
      <c r="P961" s="2" t="s">
        <v>74</v>
      </c>
      <c r="Q961" s="2" t="s">
        <v>74</v>
      </c>
      <c r="R961" s="2" t="s">
        <v>74</v>
      </c>
      <c r="S961" s="2" t="s">
        <v>74</v>
      </c>
      <c r="T961" s="2" t="s">
        <v>74</v>
      </c>
      <c r="U961" s="2" t="s">
        <v>74</v>
      </c>
      <c r="V961" s="5" t="s">
        <v>4474</v>
      </c>
      <c r="W961" s="2" t="s">
        <v>74</v>
      </c>
      <c r="X961" s="2" t="s">
        <v>74</v>
      </c>
      <c r="Y961" s="2" t="s">
        <v>74</v>
      </c>
      <c r="Z961" s="2" t="s">
        <v>74</v>
      </c>
      <c r="AA961" s="2" t="s">
        <v>74</v>
      </c>
      <c r="AB961" s="2" t="s">
        <v>74</v>
      </c>
      <c r="AC961" s="2" t="s">
        <v>74</v>
      </c>
      <c r="AD961" s="2" t="s">
        <v>74</v>
      </c>
      <c r="AE961" s="2" t="s">
        <v>74</v>
      </c>
      <c r="AF961" s="2" t="s">
        <v>74</v>
      </c>
      <c r="AG961" s="2" t="s">
        <v>74</v>
      </c>
      <c r="AH961" s="2" t="s">
        <v>74</v>
      </c>
      <c r="AI961" s="2" t="s">
        <v>74</v>
      </c>
      <c r="AJ961" s="2" t="s">
        <v>74</v>
      </c>
      <c r="AK961" s="2" t="s">
        <v>74</v>
      </c>
      <c r="AL961" s="2" t="s">
        <v>74</v>
      </c>
      <c r="AM961" s="2" t="s">
        <v>74</v>
      </c>
      <c r="AN961" s="2" t="s">
        <v>74</v>
      </c>
      <c r="AO961" s="2" t="s">
        <v>818</v>
      </c>
      <c r="AP961" s="2" t="s">
        <v>74</v>
      </c>
      <c r="AQ961" s="2" t="s">
        <v>74</v>
      </c>
      <c r="AR961" s="2" t="s">
        <v>74</v>
      </c>
      <c r="AS961" s="2" t="s">
        <v>74</v>
      </c>
      <c r="AT961" s="2" t="s">
        <v>74</v>
      </c>
      <c r="AU961" s="2">
        <v>1995</v>
      </c>
      <c r="AV961" s="2">
        <v>99</v>
      </c>
      <c r="AW961" s="2">
        <v>2</v>
      </c>
      <c r="AX961" s="2" t="s">
        <v>74</v>
      </c>
      <c r="AY961" s="2" t="s">
        <v>74</v>
      </c>
      <c r="AZ961" s="2" t="s">
        <v>74</v>
      </c>
      <c r="BA961" s="2" t="s">
        <v>74</v>
      </c>
      <c r="BB961" s="2">
        <v>113</v>
      </c>
      <c r="BC961" s="2">
        <v>120</v>
      </c>
      <c r="BD961" s="2" t="s">
        <v>74</v>
      </c>
      <c r="BE961" s="2" t="s">
        <v>74</v>
      </c>
      <c r="BF961" s="2" t="s">
        <v>74</v>
      </c>
      <c r="BG961" s="2" t="s">
        <v>74</v>
      </c>
      <c r="BH961" s="2" t="s">
        <v>74</v>
      </c>
      <c r="BI961" s="2" t="s">
        <v>74</v>
      </c>
      <c r="BJ961" s="2" t="s">
        <v>74</v>
      </c>
      <c r="BK961" s="2" t="s">
        <v>74</v>
      </c>
      <c r="BL961" s="2" t="s">
        <v>74</v>
      </c>
      <c r="BM961" s="2" t="s">
        <v>74</v>
      </c>
      <c r="BN961" s="2" t="s">
        <v>74</v>
      </c>
      <c r="BO961" s="2" t="s">
        <v>74</v>
      </c>
      <c r="BP961" s="2" t="s">
        <v>74</v>
      </c>
      <c r="BQ961" s="2" t="s">
        <v>74</v>
      </c>
      <c r="BR961" s="2" t="s">
        <v>74</v>
      </c>
      <c r="BS961" s="2" t="s">
        <v>4475</v>
      </c>
      <c r="BT961" s="2" t="str">
        <f>HYPERLINK("https%3A%2F%2Fwww.webofscience.com%2Fwos%2Fwoscc%2Ffull-record%2FWOS:A1995UA71800003","View Full Record in Web of Science")</f>
        <v>View Full Record in Web of Science</v>
      </c>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row>
    <row r="962" spans="1:314" s="2" customFormat="1" x14ac:dyDescent="0.4">
      <c r="A962" s="2" t="s">
        <v>72</v>
      </c>
      <c r="B962" s="2" t="s">
        <v>6580</v>
      </c>
      <c r="C962" s="2" t="s">
        <v>74</v>
      </c>
      <c r="D962" s="2" t="s">
        <v>74</v>
      </c>
      <c r="E962" s="2" t="s">
        <v>74</v>
      </c>
      <c r="F962" s="2" t="s">
        <v>6580</v>
      </c>
      <c r="G962" s="2" t="s">
        <v>74</v>
      </c>
      <c r="H962" s="2" t="s">
        <v>74</v>
      </c>
      <c r="I962" s="2" t="s">
        <v>6581</v>
      </c>
      <c r="J962" s="2" t="s">
        <v>77</v>
      </c>
      <c r="K962" s="2" t="s">
        <v>74</v>
      </c>
      <c r="L962" s="2" t="s">
        <v>74</v>
      </c>
      <c r="M962" s="2" t="s">
        <v>74</v>
      </c>
      <c r="N962" s="2" t="s">
        <v>74</v>
      </c>
      <c r="O962" s="2" t="s">
        <v>74</v>
      </c>
      <c r="P962" s="2" t="s">
        <v>74</v>
      </c>
      <c r="Q962" s="2" t="s">
        <v>74</v>
      </c>
      <c r="R962" s="2" t="s">
        <v>74</v>
      </c>
      <c r="S962" s="2" t="s">
        <v>74</v>
      </c>
      <c r="T962" s="2" t="s">
        <v>74</v>
      </c>
      <c r="U962" s="2" t="s">
        <v>74</v>
      </c>
      <c r="V962" s="5" t="s">
        <v>6582</v>
      </c>
      <c r="W962" s="2" t="s">
        <v>74</v>
      </c>
      <c r="X962" s="2" t="s">
        <v>74</v>
      </c>
      <c r="Y962" s="2" t="s">
        <v>74</v>
      </c>
      <c r="Z962" s="2" t="s">
        <v>74</v>
      </c>
      <c r="AA962" s="2" t="s">
        <v>74</v>
      </c>
      <c r="AB962" s="2" t="s">
        <v>74</v>
      </c>
      <c r="AC962" s="2" t="s">
        <v>74</v>
      </c>
      <c r="AD962" s="2" t="s">
        <v>74</v>
      </c>
      <c r="AE962" s="2" t="s">
        <v>74</v>
      </c>
      <c r="AF962" s="2" t="s">
        <v>74</v>
      </c>
      <c r="AG962" s="2" t="s">
        <v>74</v>
      </c>
      <c r="AH962" s="2" t="s">
        <v>74</v>
      </c>
      <c r="AI962" s="2" t="s">
        <v>74</v>
      </c>
      <c r="AJ962" s="2" t="s">
        <v>74</v>
      </c>
      <c r="AK962" s="2" t="s">
        <v>74</v>
      </c>
      <c r="AL962" s="2" t="s">
        <v>74</v>
      </c>
      <c r="AM962" s="2" t="s">
        <v>74</v>
      </c>
      <c r="AN962" s="2" t="s">
        <v>74</v>
      </c>
      <c r="AO962" s="2" t="s">
        <v>81</v>
      </c>
      <c r="AP962" s="2" t="s">
        <v>82</v>
      </c>
      <c r="AQ962" s="2" t="s">
        <v>74</v>
      </c>
      <c r="AR962" s="2" t="s">
        <v>74</v>
      </c>
      <c r="AS962" s="2" t="s">
        <v>74</v>
      </c>
      <c r="AT962" s="2" t="s">
        <v>213</v>
      </c>
      <c r="AU962" s="2">
        <v>1988</v>
      </c>
      <c r="AV962" s="2">
        <v>107</v>
      </c>
      <c r="AW962" s="2" t="s">
        <v>74</v>
      </c>
      <c r="AX962" s="2" t="s">
        <v>548</v>
      </c>
      <c r="AY962" s="2" t="s">
        <v>74</v>
      </c>
      <c r="AZ962" s="2" t="s">
        <v>74</v>
      </c>
      <c r="BA962" s="2" t="s">
        <v>74</v>
      </c>
      <c r="BB962" s="2">
        <v>107</v>
      </c>
      <c r="BC962" s="2">
        <v>121</v>
      </c>
      <c r="BD962" s="2" t="s">
        <v>74</v>
      </c>
      <c r="BE962" s="2" t="s">
        <v>6583</v>
      </c>
      <c r="BF962" s="2" t="str">
        <f>HYPERLINK("http://dx.doi.org/10.1163/156853988X00223","http://dx.doi.org/10.1163/156853988X00223")</f>
        <v>http://dx.doi.org/10.1163/156853988X00223</v>
      </c>
      <c r="BG962" s="2" t="s">
        <v>74</v>
      </c>
      <c r="BH962" s="2" t="s">
        <v>74</v>
      </c>
      <c r="BI962" s="2" t="s">
        <v>74</v>
      </c>
      <c r="BJ962" s="2" t="s">
        <v>74</v>
      </c>
      <c r="BK962" s="2" t="s">
        <v>74</v>
      </c>
      <c r="BL962" s="2" t="s">
        <v>74</v>
      </c>
      <c r="BM962" s="2" t="s">
        <v>74</v>
      </c>
      <c r="BN962" s="2" t="s">
        <v>74</v>
      </c>
      <c r="BO962" s="2" t="s">
        <v>74</v>
      </c>
      <c r="BP962" s="2" t="s">
        <v>74</v>
      </c>
      <c r="BQ962" s="2" t="s">
        <v>74</v>
      </c>
      <c r="BR962" s="2" t="s">
        <v>74</v>
      </c>
      <c r="BS962" s="2" t="s">
        <v>6584</v>
      </c>
      <c r="BT962" s="2" t="str">
        <f>HYPERLINK("https%3A%2F%2Fwww.webofscience.com%2Fwos%2Fwoscc%2Ffull-record%2FWOS:A1988R479600008","View Full Record in Web of Science")</f>
        <v>View Full Record in Web of Science</v>
      </c>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row>
    <row r="963" spans="1:314" s="2" customFormat="1" x14ac:dyDescent="0.4">
      <c r="A963" s="2" t="s">
        <v>72</v>
      </c>
      <c r="B963" s="2" t="s">
        <v>8444</v>
      </c>
      <c r="C963" s="2" t="s">
        <v>74</v>
      </c>
      <c r="D963" s="2" t="s">
        <v>74</v>
      </c>
      <c r="E963" s="2" t="s">
        <v>74</v>
      </c>
      <c r="F963" s="2" t="s">
        <v>8445</v>
      </c>
      <c r="G963" s="2" t="s">
        <v>74</v>
      </c>
      <c r="H963" s="2" t="s">
        <v>74</v>
      </c>
      <c r="I963" s="2" t="s">
        <v>8446</v>
      </c>
      <c r="J963" s="2" t="s">
        <v>3332</v>
      </c>
      <c r="K963" s="2" t="s">
        <v>74</v>
      </c>
      <c r="L963" s="2" t="s">
        <v>74</v>
      </c>
      <c r="M963" s="2" t="s">
        <v>74</v>
      </c>
      <c r="N963" s="2" t="s">
        <v>74</v>
      </c>
      <c r="O963" s="2" t="s">
        <v>74</v>
      </c>
      <c r="P963" s="2" t="s">
        <v>74</v>
      </c>
      <c r="Q963" s="2" t="s">
        <v>74</v>
      </c>
      <c r="R963" s="2" t="s">
        <v>74</v>
      </c>
      <c r="S963" s="2" t="s">
        <v>74</v>
      </c>
      <c r="T963" s="2" t="s">
        <v>74</v>
      </c>
      <c r="U963" s="2" t="s">
        <v>74</v>
      </c>
      <c r="V963" s="5" t="s">
        <v>8447</v>
      </c>
      <c r="W963" s="2" t="s">
        <v>74</v>
      </c>
      <c r="X963" s="2" t="s">
        <v>74</v>
      </c>
      <c r="Y963" s="2" t="s">
        <v>74</v>
      </c>
      <c r="Z963" s="2" t="s">
        <v>74</v>
      </c>
      <c r="AA963" s="2" t="s">
        <v>8448</v>
      </c>
      <c r="AB963" s="2" t="s">
        <v>8449</v>
      </c>
      <c r="AC963" s="2" t="s">
        <v>74</v>
      </c>
      <c r="AD963" s="2" t="s">
        <v>74</v>
      </c>
      <c r="AE963" s="2" t="s">
        <v>74</v>
      </c>
      <c r="AF963" s="2" t="s">
        <v>74</v>
      </c>
      <c r="AG963" s="2" t="s">
        <v>74</v>
      </c>
      <c r="AH963" s="2" t="s">
        <v>74</v>
      </c>
      <c r="AI963" s="2" t="s">
        <v>74</v>
      </c>
      <c r="AJ963" s="2" t="s">
        <v>74</v>
      </c>
      <c r="AK963" s="2" t="s">
        <v>74</v>
      </c>
      <c r="AL963" s="2" t="s">
        <v>74</v>
      </c>
      <c r="AM963" s="2" t="s">
        <v>74</v>
      </c>
      <c r="AN963" s="2" t="s">
        <v>74</v>
      </c>
      <c r="AO963" s="2" t="s">
        <v>3336</v>
      </c>
      <c r="AP963" s="2" t="s">
        <v>3337</v>
      </c>
      <c r="AQ963" s="2" t="s">
        <v>74</v>
      </c>
      <c r="AR963" s="2" t="s">
        <v>74</v>
      </c>
      <c r="AS963" s="2" t="s">
        <v>74</v>
      </c>
      <c r="AT963" s="2" t="s">
        <v>3338</v>
      </c>
      <c r="AU963" s="2">
        <v>2010</v>
      </c>
      <c r="AV963" s="2">
        <v>45</v>
      </c>
      <c r="AW963" s="2">
        <v>1</v>
      </c>
      <c r="AX963" s="2" t="s">
        <v>74</v>
      </c>
      <c r="AY963" s="2" t="s">
        <v>74</v>
      </c>
      <c r="AZ963" s="2" t="s">
        <v>74</v>
      </c>
      <c r="BA963" s="2" t="s">
        <v>74</v>
      </c>
      <c r="BB963" s="2">
        <v>91</v>
      </c>
      <c r="BC963" s="2">
        <v>97</v>
      </c>
      <c r="BD963" s="2" t="s">
        <v>74</v>
      </c>
      <c r="BE963" s="2" t="s">
        <v>8450</v>
      </c>
      <c r="BF963" s="2" t="str">
        <f>HYPERLINK("http://dx.doi.org/10.3161/000164510X516146","http://dx.doi.org/10.3161/000164510X516146")</f>
        <v>http://dx.doi.org/10.3161/000164510X516146</v>
      </c>
      <c r="BG963" s="2" t="s">
        <v>74</v>
      </c>
      <c r="BH963" s="2" t="s">
        <v>74</v>
      </c>
      <c r="BI963" s="2" t="s">
        <v>74</v>
      </c>
      <c r="BJ963" s="2" t="s">
        <v>74</v>
      </c>
      <c r="BK963" s="2" t="s">
        <v>74</v>
      </c>
      <c r="BL963" s="2" t="s">
        <v>74</v>
      </c>
      <c r="BM963" s="2" t="s">
        <v>74</v>
      </c>
      <c r="BN963" s="2" t="s">
        <v>74</v>
      </c>
      <c r="BO963" s="2" t="s">
        <v>74</v>
      </c>
      <c r="BP963" s="2" t="s">
        <v>74</v>
      </c>
      <c r="BQ963" s="2" t="s">
        <v>74</v>
      </c>
      <c r="BR963" s="2" t="s">
        <v>74</v>
      </c>
      <c r="BS963" s="2" t="s">
        <v>8451</v>
      </c>
      <c r="BT963" s="2" t="str">
        <f>HYPERLINK("https%3A%2F%2Fwww.webofscience.com%2Fwos%2Fwoscc%2Ffull-record%2FWOS:000280387600010","View Full Record in Web of Science")</f>
        <v>View Full Record in Web of Science</v>
      </c>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row>
    <row r="964" spans="1:314" s="2" customFormat="1" x14ac:dyDescent="0.4">
      <c r="A964" s="2" t="s">
        <v>72</v>
      </c>
      <c r="B964" s="2" t="s">
        <v>6061</v>
      </c>
      <c r="C964" s="2" t="s">
        <v>74</v>
      </c>
      <c r="D964" s="2" t="s">
        <v>74</v>
      </c>
      <c r="E964" s="2" t="s">
        <v>74</v>
      </c>
      <c r="F964" s="2" t="s">
        <v>6062</v>
      </c>
      <c r="G964" s="2" t="s">
        <v>74</v>
      </c>
      <c r="H964" s="2" t="s">
        <v>74</v>
      </c>
      <c r="I964" s="2" t="s">
        <v>6063</v>
      </c>
      <c r="J964" s="2" t="s">
        <v>576</v>
      </c>
      <c r="K964" s="2" t="s">
        <v>74</v>
      </c>
      <c r="L964" s="2" t="s">
        <v>74</v>
      </c>
      <c r="M964" s="2" t="s">
        <v>74</v>
      </c>
      <c r="N964" s="2" t="s">
        <v>74</v>
      </c>
      <c r="O964" s="2" t="s">
        <v>74</v>
      </c>
      <c r="P964" s="2" t="s">
        <v>74</v>
      </c>
      <c r="Q964" s="2" t="s">
        <v>74</v>
      </c>
      <c r="R964" s="2" t="s">
        <v>74</v>
      </c>
      <c r="S964" s="2" t="s">
        <v>74</v>
      </c>
      <c r="T964" s="2" t="s">
        <v>74</v>
      </c>
      <c r="U964" s="2" t="s">
        <v>74</v>
      </c>
      <c r="V964" s="5" t="s">
        <v>6064</v>
      </c>
      <c r="W964" s="2" t="s">
        <v>74</v>
      </c>
      <c r="X964" s="2" t="s">
        <v>74</v>
      </c>
      <c r="Y964" s="2" t="s">
        <v>74</v>
      </c>
      <c r="Z964" s="2" t="s">
        <v>74</v>
      </c>
      <c r="AA964" s="2" t="s">
        <v>74</v>
      </c>
      <c r="AB964" s="2" t="s">
        <v>6065</v>
      </c>
      <c r="AC964" s="2" t="s">
        <v>74</v>
      </c>
      <c r="AD964" s="2" t="s">
        <v>74</v>
      </c>
      <c r="AE964" s="2" t="s">
        <v>74</v>
      </c>
      <c r="AF964" s="2" t="s">
        <v>74</v>
      </c>
      <c r="AG964" s="2" t="s">
        <v>74</v>
      </c>
      <c r="AH964" s="2" t="s">
        <v>74</v>
      </c>
      <c r="AI964" s="2" t="s">
        <v>74</v>
      </c>
      <c r="AJ964" s="2" t="s">
        <v>74</v>
      </c>
      <c r="AK964" s="2" t="s">
        <v>74</v>
      </c>
      <c r="AL964" s="2" t="s">
        <v>74</v>
      </c>
      <c r="AM964" s="2" t="s">
        <v>74</v>
      </c>
      <c r="AN964" s="2" t="s">
        <v>74</v>
      </c>
      <c r="AO964" s="2" t="s">
        <v>579</v>
      </c>
      <c r="AP964" s="2" t="s">
        <v>580</v>
      </c>
      <c r="AQ964" s="2" t="s">
        <v>74</v>
      </c>
      <c r="AR964" s="2" t="s">
        <v>74</v>
      </c>
      <c r="AS964" s="2" t="s">
        <v>74</v>
      </c>
      <c r="AT964" s="2" t="s">
        <v>123</v>
      </c>
      <c r="AU964" s="2">
        <v>2015</v>
      </c>
      <c r="AV964" s="2">
        <v>29</v>
      </c>
      <c r="AW964" s="2">
        <v>2</v>
      </c>
      <c r="AX964" s="2" t="s">
        <v>74</v>
      </c>
      <c r="AY964" s="2" t="s">
        <v>74</v>
      </c>
      <c r="AZ964" s="2" t="s">
        <v>74</v>
      </c>
      <c r="BA964" s="2" t="s">
        <v>74</v>
      </c>
      <c r="BB964" s="2">
        <v>217</v>
      </c>
      <c r="BC964" s="2">
        <v>227</v>
      </c>
      <c r="BD964" s="2" t="s">
        <v>74</v>
      </c>
      <c r="BE964" s="2" t="s">
        <v>6066</v>
      </c>
      <c r="BF964" s="2" t="str">
        <f>HYPERLINK("http://dx.doi.org/10.1007/s10682-014-9744-5","http://dx.doi.org/10.1007/s10682-014-9744-5")</f>
        <v>http://dx.doi.org/10.1007/s10682-014-9744-5</v>
      </c>
      <c r="BG964" s="2" t="s">
        <v>74</v>
      </c>
      <c r="BH964" s="2" t="s">
        <v>74</v>
      </c>
      <c r="BI964" s="2" t="s">
        <v>74</v>
      </c>
      <c r="BJ964" s="2" t="s">
        <v>74</v>
      </c>
      <c r="BK964" s="2" t="s">
        <v>74</v>
      </c>
      <c r="BL964" s="2" t="s">
        <v>74</v>
      </c>
      <c r="BM964" s="2" t="s">
        <v>74</v>
      </c>
      <c r="BN964" s="2" t="s">
        <v>74</v>
      </c>
      <c r="BO964" s="2" t="s">
        <v>74</v>
      </c>
      <c r="BP964" s="2" t="s">
        <v>74</v>
      </c>
      <c r="BQ964" s="2" t="s">
        <v>74</v>
      </c>
      <c r="BR964" s="2" t="s">
        <v>74</v>
      </c>
      <c r="BS964" s="2" t="s">
        <v>6067</v>
      </c>
      <c r="BT964" s="2" t="str">
        <f>HYPERLINK("https%3A%2F%2Fwww.webofscience.com%2Fwos%2Fwoscc%2Ffull-record%2FWOS:000349964700002","View Full Record in Web of Science")</f>
        <v>View Full Record in Web of Science</v>
      </c>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row>
    <row r="965" spans="1:314" s="2" customFormat="1" x14ac:dyDescent="0.4">
      <c r="A965" s="2" t="s">
        <v>72</v>
      </c>
      <c r="B965" s="2" t="s">
        <v>6015</v>
      </c>
      <c r="C965" s="2" t="s">
        <v>74</v>
      </c>
      <c r="D965" s="2" t="s">
        <v>74</v>
      </c>
      <c r="E965" s="2" t="s">
        <v>74</v>
      </c>
      <c r="F965" s="2" t="s">
        <v>6015</v>
      </c>
      <c r="G965" s="2" t="s">
        <v>74</v>
      </c>
      <c r="H965" s="2" t="s">
        <v>74</v>
      </c>
      <c r="I965" s="2" t="s">
        <v>6016</v>
      </c>
      <c r="J965" s="2" t="s">
        <v>4655</v>
      </c>
      <c r="K965" s="2" t="s">
        <v>74</v>
      </c>
      <c r="L965" s="2" t="s">
        <v>74</v>
      </c>
      <c r="M965" s="2" t="s">
        <v>74</v>
      </c>
      <c r="N965" s="2" t="s">
        <v>74</v>
      </c>
      <c r="O965" s="2" t="s">
        <v>74</v>
      </c>
      <c r="P965" s="2" t="s">
        <v>74</v>
      </c>
      <c r="Q965" s="2" t="s">
        <v>74</v>
      </c>
      <c r="R965" s="2" t="s">
        <v>74</v>
      </c>
      <c r="S965" s="2" t="s">
        <v>74</v>
      </c>
      <c r="T965" s="2" t="s">
        <v>74</v>
      </c>
      <c r="U965" s="2" t="s">
        <v>74</v>
      </c>
      <c r="V965" s="5" t="s">
        <v>6017</v>
      </c>
      <c r="W965" s="2" t="s">
        <v>74</v>
      </c>
      <c r="X965" s="2" t="s">
        <v>74</v>
      </c>
      <c r="Y965" s="2" t="s">
        <v>74</v>
      </c>
      <c r="Z965" s="2" t="s">
        <v>74</v>
      </c>
      <c r="AA965" s="2" t="s">
        <v>74</v>
      </c>
      <c r="AB965" s="2" t="s">
        <v>74</v>
      </c>
      <c r="AC965" s="2" t="s">
        <v>74</v>
      </c>
      <c r="AD965" s="2" t="s">
        <v>74</v>
      </c>
      <c r="AE965" s="2" t="s">
        <v>74</v>
      </c>
      <c r="AF965" s="2" t="s">
        <v>74</v>
      </c>
      <c r="AG965" s="2" t="s">
        <v>74</v>
      </c>
      <c r="AH965" s="2" t="s">
        <v>74</v>
      </c>
      <c r="AI965" s="2" t="s">
        <v>74</v>
      </c>
      <c r="AJ965" s="2" t="s">
        <v>74</v>
      </c>
      <c r="AK965" s="2" t="s">
        <v>74</v>
      </c>
      <c r="AL965" s="2" t="s">
        <v>74</v>
      </c>
      <c r="AM965" s="2" t="s">
        <v>74</v>
      </c>
      <c r="AN965" s="2" t="s">
        <v>74</v>
      </c>
      <c r="AO965" s="2" t="s">
        <v>4657</v>
      </c>
      <c r="AP965" s="2" t="s">
        <v>74</v>
      </c>
      <c r="AQ965" s="2" t="s">
        <v>74</v>
      </c>
      <c r="AR965" s="2" t="s">
        <v>74</v>
      </c>
      <c r="AS965" s="2" t="s">
        <v>74</v>
      </c>
      <c r="AT965" s="2" t="s">
        <v>102</v>
      </c>
      <c r="AU965" s="2">
        <v>1991</v>
      </c>
      <c r="AV965" s="2">
        <v>103</v>
      </c>
      <c r="AW965" s="2">
        <v>2</v>
      </c>
      <c r="AX965" s="2" t="s">
        <v>74</v>
      </c>
      <c r="AY965" s="2" t="s">
        <v>74</v>
      </c>
      <c r="AZ965" s="2" t="s">
        <v>74</v>
      </c>
      <c r="BA965" s="2" t="s">
        <v>74</v>
      </c>
      <c r="BB965" s="2">
        <v>190</v>
      </c>
      <c r="BC965" s="2">
        <v>203</v>
      </c>
      <c r="BD965" s="2" t="s">
        <v>74</v>
      </c>
      <c r="BE965" s="2" t="s">
        <v>74</v>
      </c>
      <c r="BF965" s="2" t="s">
        <v>74</v>
      </c>
      <c r="BG965" s="2" t="s">
        <v>74</v>
      </c>
      <c r="BH965" s="2" t="s">
        <v>74</v>
      </c>
      <c r="BI965" s="2" t="s">
        <v>74</v>
      </c>
      <c r="BJ965" s="2" t="s">
        <v>74</v>
      </c>
      <c r="BK965" s="2" t="s">
        <v>74</v>
      </c>
      <c r="BL965" s="2" t="s">
        <v>74</v>
      </c>
      <c r="BM965" s="2" t="s">
        <v>74</v>
      </c>
      <c r="BN965" s="2" t="s">
        <v>74</v>
      </c>
      <c r="BO965" s="2" t="s">
        <v>74</v>
      </c>
      <c r="BP965" s="2" t="s">
        <v>74</v>
      </c>
      <c r="BQ965" s="2" t="s">
        <v>74</v>
      </c>
      <c r="BR965" s="2" t="s">
        <v>74</v>
      </c>
      <c r="BS965" s="2" t="s">
        <v>6018</v>
      </c>
      <c r="BT965" s="2" t="str">
        <f>HYPERLINK("https%3A%2F%2Fwww.webofscience.com%2Fwos%2Fwoscc%2Ffull-record%2FWOS:A1991FP90500003","View Full Record in Web of Science")</f>
        <v>View Full Record in Web of Science</v>
      </c>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row>
    <row r="966" spans="1:314" s="2" customFormat="1" x14ac:dyDescent="0.4">
      <c r="A966" s="2" t="s">
        <v>72</v>
      </c>
      <c r="B966" s="2" t="s">
        <v>1793</v>
      </c>
      <c r="C966" s="2" t="s">
        <v>74</v>
      </c>
      <c r="D966" s="2" t="s">
        <v>74</v>
      </c>
      <c r="E966" s="2" t="s">
        <v>74</v>
      </c>
      <c r="F966" s="2" t="s">
        <v>1793</v>
      </c>
      <c r="G966" s="2" t="s">
        <v>74</v>
      </c>
      <c r="H966" s="2" t="s">
        <v>74</v>
      </c>
      <c r="I966" s="2" t="s">
        <v>1794</v>
      </c>
      <c r="J966" s="2" t="s">
        <v>108</v>
      </c>
      <c r="K966" s="2" t="s">
        <v>74</v>
      </c>
      <c r="L966" s="2" t="s">
        <v>74</v>
      </c>
      <c r="M966" s="2" t="s">
        <v>74</v>
      </c>
      <c r="N966" s="2" t="s">
        <v>74</v>
      </c>
      <c r="O966" s="2" t="s">
        <v>74</v>
      </c>
      <c r="P966" s="2" t="s">
        <v>74</v>
      </c>
      <c r="Q966" s="2" t="s">
        <v>74</v>
      </c>
      <c r="R966" s="2" t="s">
        <v>74</v>
      </c>
      <c r="S966" s="2" t="s">
        <v>74</v>
      </c>
      <c r="T966" s="2" t="s">
        <v>74</v>
      </c>
      <c r="U966" s="2" t="s">
        <v>74</v>
      </c>
      <c r="V966" s="5" t="s">
        <v>1795</v>
      </c>
      <c r="W966" s="2" t="s">
        <v>74</v>
      </c>
      <c r="X966" s="2" t="s">
        <v>74</v>
      </c>
      <c r="Y966" s="2" t="s">
        <v>74</v>
      </c>
      <c r="Z966" s="2" t="s">
        <v>74</v>
      </c>
      <c r="AA966" s="2" t="s">
        <v>1106</v>
      </c>
      <c r="AB966" s="2" t="s">
        <v>1796</v>
      </c>
      <c r="AC966" s="2" t="s">
        <v>74</v>
      </c>
      <c r="AD966" s="2" t="s">
        <v>74</v>
      </c>
      <c r="AE966" s="2" t="s">
        <v>74</v>
      </c>
      <c r="AF966" s="2" t="s">
        <v>74</v>
      </c>
      <c r="AG966" s="2" t="s">
        <v>74</v>
      </c>
      <c r="AH966" s="2" t="s">
        <v>74</v>
      </c>
      <c r="AI966" s="2" t="s">
        <v>74</v>
      </c>
      <c r="AJ966" s="2" t="s">
        <v>74</v>
      </c>
      <c r="AK966" s="2" t="s">
        <v>74</v>
      </c>
      <c r="AL966" s="2" t="s">
        <v>74</v>
      </c>
      <c r="AM966" s="2" t="s">
        <v>74</v>
      </c>
      <c r="AN966" s="2" t="s">
        <v>74</v>
      </c>
      <c r="AO966" s="2" t="s">
        <v>111</v>
      </c>
      <c r="AP966" s="2" t="s">
        <v>112</v>
      </c>
      <c r="AQ966" s="2" t="s">
        <v>74</v>
      </c>
      <c r="AR966" s="2" t="s">
        <v>74</v>
      </c>
      <c r="AS966" s="2" t="s">
        <v>74</v>
      </c>
      <c r="AT966" s="2" t="s">
        <v>1797</v>
      </c>
      <c r="AU966" s="2">
        <v>2004</v>
      </c>
      <c r="AV966" s="2">
        <v>271</v>
      </c>
      <c r="AW966" s="2">
        <v>1546</v>
      </c>
      <c r="AX966" s="2" t="s">
        <v>74</v>
      </c>
      <c r="AY966" s="2" t="s">
        <v>74</v>
      </c>
      <c r="AZ966" s="2" t="s">
        <v>74</v>
      </c>
      <c r="BA966" s="2" t="s">
        <v>74</v>
      </c>
      <c r="BB966" s="2">
        <v>1345</v>
      </c>
      <c r="BC966" s="2">
        <v>1353</v>
      </c>
      <c r="BD966" s="2" t="s">
        <v>74</v>
      </c>
      <c r="BE966" s="2" t="s">
        <v>1798</v>
      </c>
      <c r="BF966" s="2" t="str">
        <f>HYPERLINK("http://dx.doi.org/10.1098/rspb.2004.2737","http://dx.doi.org/10.1098/rspb.2004.2737")</f>
        <v>http://dx.doi.org/10.1098/rspb.2004.2737</v>
      </c>
      <c r="BG966" s="2" t="s">
        <v>74</v>
      </c>
      <c r="BH966" s="2" t="s">
        <v>74</v>
      </c>
      <c r="BI966" s="2" t="s">
        <v>74</v>
      </c>
      <c r="BJ966" s="2" t="s">
        <v>74</v>
      </c>
      <c r="BK966" s="2" t="s">
        <v>74</v>
      </c>
      <c r="BL966" s="2" t="s">
        <v>74</v>
      </c>
      <c r="BM966" s="2" t="s">
        <v>74</v>
      </c>
      <c r="BN966" s="2">
        <v>15306332</v>
      </c>
      <c r="BO966" s="2" t="s">
        <v>74</v>
      </c>
      <c r="BP966" s="2" t="s">
        <v>74</v>
      </c>
      <c r="BQ966" s="2" t="s">
        <v>74</v>
      </c>
      <c r="BR966" s="2" t="s">
        <v>74</v>
      </c>
      <c r="BS966" s="2" t="s">
        <v>1799</v>
      </c>
      <c r="BT966" s="2" t="str">
        <f>HYPERLINK("https%3A%2F%2Fwww.webofscience.com%2Fwos%2Fwoscc%2Ffull-record%2FWOS:000222576500004","View Full Record in Web of Science")</f>
        <v>View Full Record in Web of Science</v>
      </c>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row>
    <row r="967" spans="1:314" s="2" customFormat="1" x14ac:dyDescent="0.4">
      <c r="A967" s="2" t="s">
        <v>72</v>
      </c>
      <c r="B967" s="2" t="s">
        <v>698</v>
      </c>
      <c r="C967" s="2" t="s">
        <v>74</v>
      </c>
      <c r="D967" s="2" t="s">
        <v>74</v>
      </c>
      <c r="E967" s="2" t="s">
        <v>74</v>
      </c>
      <c r="F967" s="2" t="s">
        <v>699</v>
      </c>
      <c r="G967" s="2" t="s">
        <v>74</v>
      </c>
      <c r="H967" s="2" t="s">
        <v>74</v>
      </c>
      <c r="I967" s="2" t="s">
        <v>700</v>
      </c>
      <c r="J967" s="2" t="s">
        <v>701</v>
      </c>
      <c r="K967" s="2" t="s">
        <v>74</v>
      </c>
      <c r="L967" s="2" t="s">
        <v>74</v>
      </c>
      <c r="M967" s="2" t="s">
        <v>74</v>
      </c>
      <c r="N967" s="2" t="s">
        <v>74</v>
      </c>
      <c r="O967" s="2" t="s">
        <v>74</v>
      </c>
      <c r="P967" s="2" t="s">
        <v>74</v>
      </c>
      <c r="Q967" s="2" t="s">
        <v>74</v>
      </c>
      <c r="R967" s="2" t="s">
        <v>74</v>
      </c>
      <c r="S967" s="2" t="s">
        <v>74</v>
      </c>
      <c r="T967" s="2" t="s">
        <v>74</v>
      </c>
      <c r="U967" s="2" t="s">
        <v>74</v>
      </c>
      <c r="V967" s="5" t="s">
        <v>702</v>
      </c>
      <c r="W967" s="2" t="s">
        <v>74</v>
      </c>
      <c r="X967" s="2" t="s">
        <v>74</v>
      </c>
      <c r="Y967" s="2" t="s">
        <v>74</v>
      </c>
      <c r="Z967" s="2" t="s">
        <v>74</v>
      </c>
      <c r="AA967" s="2" t="s">
        <v>74</v>
      </c>
      <c r="AB967" s="2" t="s">
        <v>74</v>
      </c>
      <c r="AC967" s="2" t="s">
        <v>74</v>
      </c>
      <c r="AD967" s="2" t="s">
        <v>74</v>
      </c>
      <c r="AE967" s="2" t="s">
        <v>74</v>
      </c>
      <c r="AF967" s="2" t="s">
        <v>74</v>
      </c>
      <c r="AG967" s="2" t="s">
        <v>74</v>
      </c>
      <c r="AH967" s="2" t="s">
        <v>74</v>
      </c>
      <c r="AI967" s="2" t="s">
        <v>74</v>
      </c>
      <c r="AJ967" s="2" t="s">
        <v>74</v>
      </c>
      <c r="AK967" s="2" t="s">
        <v>74</v>
      </c>
      <c r="AL967" s="2" t="s">
        <v>74</v>
      </c>
      <c r="AM967" s="2" t="s">
        <v>74</v>
      </c>
      <c r="AN967" s="2" t="s">
        <v>74</v>
      </c>
      <c r="AO967" s="2" t="s">
        <v>703</v>
      </c>
      <c r="AP967" s="2" t="s">
        <v>704</v>
      </c>
      <c r="AQ967" s="2" t="s">
        <v>74</v>
      </c>
      <c r="AR967" s="2" t="s">
        <v>74</v>
      </c>
      <c r="AS967" s="2" t="s">
        <v>74</v>
      </c>
      <c r="AT967" s="2" t="s">
        <v>74</v>
      </c>
      <c r="AU967" s="2">
        <v>2009</v>
      </c>
      <c r="AV967" s="2">
        <v>55</v>
      </c>
      <c r="AW967" s="2">
        <v>4</v>
      </c>
      <c r="AX967" s="2" t="s">
        <v>74</v>
      </c>
      <c r="AY967" s="2" t="s">
        <v>74</v>
      </c>
      <c r="AZ967" s="2" t="s">
        <v>74</v>
      </c>
      <c r="BA967" s="2" t="s">
        <v>74</v>
      </c>
      <c r="BB967" s="2">
        <v>359</v>
      </c>
      <c r="BC967" s="2">
        <v>367</v>
      </c>
      <c r="BD967" s="2" t="s">
        <v>74</v>
      </c>
      <c r="BE967" s="2" t="s">
        <v>705</v>
      </c>
      <c r="BF967" s="2" t="str">
        <f>HYPERLINK("http://dx.doi.org/10.1560/IJEE.55.4.359","http://dx.doi.org/10.1560/IJEE.55.4.359")</f>
        <v>http://dx.doi.org/10.1560/IJEE.55.4.359</v>
      </c>
      <c r="BG967" s="2" t="s">
        <v>74</v>
      </c>
      <c r="BH967" s="2" t="s">
        <v>74</v>
      </c>
      <c r="BI967" s="2" t="s">
        <v>74</v>
      </c>
      <c r="BJ967" s="2" t="s">
        <v>74</v>
      </c>
      <c r="BK967" s="2" t="s">
        <v>74</v>
      </c>
      <c r="BL967" s="2" t="s">
        <v>74</v>
      </c>
      <c r="BM967" s="2" t="s">
        <v>74</v>
      </c>
      <c r="BN967" s="2" t="s">
        <v>74</v>
      </c>
      <c r="BO967" s="2" t="s">
        <v>74</v>
      </c>
      <c r="BP967" s="2" t="s">
        <v>74</v>
      </c>
      <c r="BQ967" s="2" t="s">
        <v>74</v>
      </c>
      <c r="BR967" s="2" t="s">
        <v>74</v>
      </c>
      <c r="BS967" s="2" t="s">
        <v>706</v>
      </c>
      <c r="BT967" s="2" t="str">
        <f>HYPERLINK("https%3A%2F%2Fwww.webofscience.com%2Fwos%2Fwoscc%2Ffull-record%2FWOS:000281916500005","View Full Record in Web of Science")</f>
        <v>View Full Record in Web of Science</v>
      </c>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row>
    <row r="968" spans="1:314" s="2" customFormat="1" x14ac:dyDescent="0.4">
      <c r="A968" s="2" t="s">
        <v>72</v>
      </c>
      <c r="B968" s="2" t="s">
        <v>8465</v>
      </c>
      <c r="C968" s="2" t="s">
        <v>74</v>
      </c>
      <c r="D968" s="2" t="s">
        <v>74</v>
      </c>
      <c r="E968" s="2" t="s">
        <v>74</v>
      </c>
      <c r="F968" s="2" t="s">
        <v>8466</v>
      </c>
      <c r="G968" s="2" t="s">
        <v>74</v>
      </c>
      <c r="H968" s="2" t="s">
        <v>74</v>
      </c>
      <c r="I968" s="2" t="s">
        <v>8467</v>
      </c>
      <c r="J968" s="2" t="s">
        <v>8468</v>
      </c>
      <c r="K968" s="2" t="s">
        <v>74</v>
      </c>
      <c r="L968" s="2" t="s">
        <v>74</v>
      </c>
      <c r="M968" s="2" t="s">
        <v>74</v>
      </c>
      <c r="N968" s="2" t="s">
        <v>74</v>
      </c>
      <c r="O968" s="2" t="s">
        <v>74</v>
      </c>
      <c r="P968" s="2" t="s">
        <v>74</v>
      </c>
      <c r="Q968" s="2" t="s">
        <v>74</v>
      </c>
      <c r="R968" s="2" t="s">
        <v>74</v>
      </c>
      <c r="S968" s="2" t="s">
        <v>74</v>
      </c>
      <c r="T968" s="2" t="s">
        <v>74</v>
      </c>
      <c r="U968" s="2" t="s">
        <v>74</v>
      </c>
      <c r="V968" s="5" t="s">
        <v>8469</v>
      </c>
      <c r="W968" s="2" t="s">
        <v>74</v>
      </c>
      <c r="X968" s="2" t="s">
        <v>74</v>
      </c>
      <c r="Y968" s="2" t="s">
        <v>74</v>
      </c>
      <c r="Z968" s="2" t="s">
        <v>74</v>
      </c>
      <c r="AA968" s="2" t="s">
        <v>74</v>
      </c>
      <c r="AB968" s="2" t="s">
        <v>74</v>
      </c>
      <c r="AC968" s="2" t="s">
        <v>74</v>
      </c>
      <c r="AD968" s="2" t="s">
        <v>74</v>
      </c>
      <c r="AE968" s="2" t="s">
        <v>74</v>
      </c>
      <c r="AF968" s="2" t="s">
        <v>74</v>
      </c>
      <c r="AG968" s="2" t="s">
        <v>74</v>
      </c>
      <c r="AH968" s="2" t="s">
        <v>74</v>
      </c>
      <c r="AI968" s="2" t="s">
        <v>74</v>
      </c>
      <c r="AJ968" s="2" t="s">
        <v>74</v>
      </c>
      <c r="AK968" s="2" t="s">
        <v>74</v>
      </c>
      <c r="AL968" s="2" t="s">
        <v>74</v>
      </c>
      <c r="AM968" s="2" t="s">
        <v>74</v>
      </c>
      <c r="AN968" s="2" t="s">
        <v>74</v>
      </c>
      <c r="AO968" s="2" t="s">
        <v>8470</v>
      </c>
      <c r="AP968" s="2" t="s">
        <v>74</v>
      </c>
      <c r="AQ968" s="2" t="s">
        <v>74</v>
      </c>
      <c r="AR968" s="2" t="s">
        <v>74</v>
      </c>
      <c r="AS968" s="2" t="s">
        <v>74</v>
      </c>
      <c r="AT968" s="2" t="s">
        <v>352</v>
      </c>
      <c r="AU968" s="2">
        <v>2016</v>
      </c>
      <c r="AV968" s="2">
        <v>23</v>
      </c>
      <c r="AW968" s="2" t="s">
        <v>74</v>
      </c>
      <c r="AX968" s="2" t="s">
        <v>74</v>
      </c>
      <c r="AY968" s="2" t="s">
        <v>74</v>
      </c>
      <c r="AZ968" s="2" t="s">
        <v>74</v>
      </c>
      <c r="BA968" s="2" t="s">
        <v>74</v>
      </c>
      <c r="BB968" s="2">
        <v>41</v>
      </c>
      <c r="BC968" s="2">
        <v>59</v>
      </c>
      <c r="BD968" s="2" t="s">
        <v>74</v>
      </c>
      <c r="BE968" s="2" t="s">
        <v>74</v>
      </c>
      <c r="BF968" s="2" t="s">
        <v>74</v>
      </c>
      <c r="BG968" s="2" t="s">
        <v>74</v>
      </c>
      <c r="BH968" s="2" t="s">
        <v>74</v>
      </c>
      <c r="BI968" s="2" t="s">
        <v>74</v>
      </c>
      <c r="BJ968" s="2" t="s">
        <v>74</v>
      </c>
      <c r="BK968" s="2" t="s">
        <v>74</v>
      </c>
      <c r="BL968" s="2" t="s">
        <v>74</v>
      </c>
      <c r="BM968" s="2" t="s">
        <v>74</v>
      </c>
      <c r="BN968" s="2" t="s">
        <v>74</v>
      </c>
      <c r="BO968" s="2" t="s">
        <v>74</v>
      </c>
      <c r="BP968" s="2" t="s">
        <v>74</v>
      </c>
      <c r="BQ968" s="2" t="s">
        <v>74</v>
      </c>
      <c r="BR968" s="2" t="s">
        <v>74</v>
      </c>
      <c r="BS968" s="2" t="s">
        <v>8471</v>
      </c>
      <c r="BT968" s="2" t="str">
        <f>HYPERLINK("https%3A%2F%2Fwww.webofscience.com%2Fwos%2Fwoscc%2Ffull-record%2FWOS:000383924400005","View Full Record in Web of Science")</f>
        <v>View Full Record in Web of Science</v>
      </c>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row>
    <row r="969" spans="1:314" s="2" customFormat="1" x14ac:dyDescent="0.4">
      <c r="A969" s="2" t="s">
        <v>72</v>
      </c>
      <c r="B969" s="2" t="s">
        <v>5978</v>
      </c>
      <c r="C969" s="2" t="s">
        <v>74</v>
      </c>
      <c r="D969" s="2" t="s">
        <v>74</v>
      </c>
      <c r="E969" s="2" t="s">
        <v>74</v>
      </c>
      <c r="F969" s="2" t="s">
        <v>5979</v>
      </c>
      <c r="G969" s="2" t="s">
        <v>74</v>
      </c>
      <c r="H969" s="2" t="s">
        <v>74</v>
      </c>
      <c r="I969" s="2" t="s">
        <v>5980</v>
      </c>
      <c r="J969" s="2" t="s">
        <v>108</v>
      </c>
      <c r="K969" s="2" t="s">
        <v>74</v>
      </c>
      <c r="L969" s="2" t="s">
        <v>74</v>
      </c>
      <c r="M969" s="2" t="s">
        <v>74</v>
      </c>
      <c r="N969" s="2" t="s">
        <v>74</v>
      </c>
      <c r="O969" s="2" t="s">
        <v>74</v>
      </c>
      <c r="P969" s="2" t="s">
        <v>74</v>
      </c>
      <c r="Q969" s="2" t="s">
        <v>74</v>
      </c>
      <c r="R969" s="2" t="s">
        <v>74</v>
      </c>
      <c r="S969" s="2" t="s">
        <v>74</v>
      </c>
      <c r="T969" s="2" t="s">
        <v>74</v>
      </c>
      <c r="U969" s="2" t="s">
        <v>74</v>
      </c>
      <c r="V969" s="5" t="s">
        <v>5981</v>
      </c>
      <c r="W969" s="2" t="s">
        <v>74</v>
      </c>
      <c r="X969" s="2" t="s">
        <v>74</v>
      </c>
      <c r="Y969" s="2" t="s">
        <v>74</v>
      </c>
      <c r="Z969" s="2" t="s">
        <v>74</v>
      </c>
      <c r="AA969" s="2" t="s">
        <v>5982</v>
      </c>
      <c r="AB969" s="2" t="s">
        <v>5983</v>
      </c>
      <c r="AC969" s="2" t="s">
        <v>74</v>
      </c>
      <c r="AD969" s="2" t="s">
        <v>74</v>
      </c>
      <c r="AE969" s="2" t="s">
        <v>74</v>
      </c>
      <c r="AF969" s="2" t="s">
        <v>74</v>
      </c>
      <c r="AG969" s="2" t="s">
        <v>74</v>
      </c>
      <c r="AH969" s="2" t="s">
        <v>74</v>
      </c>
      <c r="AI969" s="2" t="s">
        <v>74</v>
      </c>
      <c r="AJ969" s="2" t="s">
        <v>74</v>
      </c>
      <c r="AK969" s="2" t="s">
        <v>74</v>
      </c>
      <c r="AL969" s="2" t="s">
        <v>74</v>
      </c>
      <c r="AM969" s="2" t="s">
        <v>74</v>
      </c>
      <c r="AN969" s="2" t="s">
        <v>74</v>
      </c>
      <c r="AO969" s="2" t="s">
        <v>111</v>
      </c>
      <c r="AP969" s="2" t="s">
        <v>112</v>
      </c>
      <c r="AQ969" s="2" t="s">
        <v>74</v>
      </c>
      <c r="AR969" s="2" t="s">
        <v>74</v>
      </c>
      <c r="AS969" s="2" t="s">
        <v>74</v>
      </c>
      <c r="AT969" s="2" t="s">
        <v>5984</v>
      </c>
      <c r="AU969" s="2">
        <v>2016</v>
      </c>
      <c r="AV969" s="2">
        <v>283</v>
      </c>
      <c r="AW969" s="2">
        <v>1830</v>
      </c>
      <c r="AX969" s="2" t="s">
        <v>74</v>
      </c>
      <c r="AY969" s="2" t="s">
        <v>74</v>
      </c>
      <c r="AZ969" s="2" t="s">
        <v>74</v>
      </c>
      <c r="BA969" s="2" t="s">
        <v>74</v>
      </c>
      <c r="BB969" s="2" t="s">
        <v>74</v>
      </c>
      <c r="BC969" s="2" t="s">
        <v>74</v>
      </c>
      <c r="BD969" s="2">
        <v>20160172</v>
      </c>
      <c r="BE969" s="2" t="s">
        <v>5985</v>
      </c>
      <c r="BF969" s="2" t="str">
        <f>HYPERLINK("http://dx.doi.org/10.1098/rspb.2016.0172","http://dx.doi.org/10.1098/rspb.2016.0172")</f>
        <v>http://dx.doi.org/10.1098/rspb.2016.0172</v>
      </c>
      <c r="BG969" s="2" t="s">
        <v>74</v>
      </c>
      <c r="BH969" s="2" t="s">
        <v>74</v>
      </c>
      <c r="BI969" s="2" t="s">
        <v>74</v>
      </c>
      <c r="BJ969" s="2" t="s">
        <v>74</v>
      </c>
      <c r="BK969" s="2" t="s">
        <v>74</v>
      </c>
      <c r="BL969" s="2" t="s">
        <v>74</v>
      </c>
      <c r="BM969" s="2" t="s">
        <v>74</v>
      </c>
      <c r="BN969" s="2">
        <v>27147097</v>
      </c>
      <c r="BO969" s="2" t="s">
        <v>74</v>
      </c>
      <c r="BP969" s="2" t="s">
        <v>74</v>
      </c>
      <c r="BQ969" s="2" t="s">
        <v>74</v>
      </c>
      <c r="BR969" s="2" t="s">
        <v>74</v>
      </c>
      <c r="BS969" s="2" t="s">
        <v>5986</v>
      </c>
      <c r="BT969" s="2" t="str">
        <f>HYPERLINK("https%3A%2F%2Fwww.webofscience.com%2Fwos%2Fwoscc%2Ffull-record%2FWOS:000376158800013","View Full Record in Web of Science")</f>
        <v>View Full Record in Web of Science</v>
      </c>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row>
    <row r="970" spans="1:314" s="2" customFormat="1" x14ac:dyDescent="0.4">
      <c r="A970" s="2" t="s">
        <v>72</v>
      </c>
      <c r="B970" s="2" t="s">
        <v>4719</v>
      </c>
      <c r="C970" s="2" t="s">
        <v>74</v>
      </c>
      <c r="D970" s="2" t="s">
        <v>74</v>
      </c>
      <c r="E970" s="2" t="s">
        <v>74</v>
      </c>
      <c r="F970" s="2" t="s">
        <v>4719</v>
      </c>
      <c r="G970" s="2" t="s">
        <v>74</v>
      </c>
      <c r="H970" s="2" t="s">
        <v>74</v>
      </c>
      <c r="I970" s="2" t="s">
        <v>4720</v>
      </c>
      <c r="J970" s="2" t="s">
        <v>129</v>
      </c>
      <c r="K970" s="2" t="s">
        <v>74</v>
      </c>
      <c r="L970" s="2" t="s">
        <v>74</v>
      </c>
      <c r="M970" s="2" t="s">
        <v>74</v>
      </c>
      <c r="N970" s="2" t="s">
        <v>74</v>
      </c>
      <c r="O970" s="2" t="s">
        <v>74</v>
      </c>
      <c r="P970" s="2" t="s">
        <v>74</v>
      </c>
      <c r="Q970" s="2" t="s">
        <v>74</v>
      </c>
      <c r="R970" s="2" t="s">
        <v>74</v>
      </c>
      <c r="S970" s="2" t="s">
        <v>74</v>
      </c>
      <c r="T970" s="2" t="s">
        <v>74</v>
      </c>
      <c r="U970" s="2" t="s">
        <v>74</v>
      </c>
      <c r="V970" s="5" t="s">
        <v>4721</v>
      </c>
      <c r="W970" s="2" t="s">
        <v>74</v>
      </c>
      <c r="X970" s="2" t="s">
        <v>74</v>
      </c>
      <c r="Y970" s="2" t="s">
        <v>74</v>
      </c>
      <c r="Z970" s="2" t="s">
        <v>74</v>
      </c>
      <c r="AA970" s="2" t="s">
        <v>4722</v>
      </c>
      <c r="AB970" s="2" t="s">
        <v>4723</v>
      </c>
      <c r="AC970" s="2" t="s">
        <v>74</v>
      </c>
      <c r="AD970" s="2" t="s">
        <v>74</v>
      </c>
      <c r="AE970" s="2" t="s">
        <v>74</v>
      </c>
      <c r="AF970" s="2" t="s">
        <v>74</v>
      </c>
      <c r="AG970" s="2" t="s">
        <v>74</v>
      </c>
      <c r="AH970" s="2" t="s">
        <v>74</v>
      </c>
      <c r="AI970" s="2" t="s">
        <v>74</v>
      </c>
      <c r="AJ970" s="2" t="s">
        <v>74</v>
      </c>
      <c r="AK970" s="2" t="s">
        <v>74</v>
      </c>
      <c r="AL970" s="2" t="s">
        <v>74</v>
      </c>
      <c r="AM970" s="2" t="s">
        <v>74</v>
      </c>
      <c r="AN970" s="2" t="s">
        <v>74</v>
      </c>
      <c r="AO970" s="2" t="s">
        <v>132</v>
      </c>
      <c r="AP970" s="2" t="s">
        <v>133</v>
      </c>
      <c r="AQ970" s="2" t="s">
        <v>74</v>
      </c>
      <c r="AR970" s="2" t="s">
        <v>74</v>
      </c>
      <c r="AS970" s="2" t="s">
        <v>74</v>
      </c>
      <c r="AT970" s="2" t="s">
        <v>123</v>
      </c>
      <c r="AU970" s="2">
        <v>2005</v>
      </c>
      <c r="AV970" s="2">
        <v>57</v>
      </c>
      <c r="AW970" s="2">
        <v>5</v>
      </c>
      <c r="AX970" s="2" t="s">
        <v>74</v>
      </c>
      <c r="AY970" s="2" t="s">
        <v>74</v>
      </c>
      <c r="AZ970" s="2" t="s">
        <v>74</v>
      </c>
      <c r="BA970" s="2" t="s">
        <v>74</v>
      </c>
      <c r="BB970" s="2">
        <v>465</v>
      </c>
      <c r="BC970" s="2">
        <v>469</v>
      </c>
      <c r="BD970" s="2" t="s">
        <v>74</v>
      </c>
      <c r="BE970" s="2" t="s">
        <v>4724</v>
      </c>
      <c r="BF970" s="2" t="str">
        <f>HYPERLINK("http://dx.doi.org/10.1007/s00265-004-0873-7","http://dx.doi.org/10.1007/s00265-004-0873-7")</f>
        <v>http://dx.doi.org/10.1007/s00265-004-0873-7</v>
      </c>
      <c r="BG970" s="2" t="s">
        <v>74</v>
      </c>
      <c r="BH970" s="2" t="s">
        <v>74</v>
      </c>
      <c r="BI970" s="2" t="s">
        <v>74</v>
      </c>
      <c r="BJ970" s="2" t="s">
        <v>74</v>
      </c>
      <c r="BK970" s="2" t="s">
        <v>74</v>
      </c>
      <c r="BL970" s="2" t="s">
        <v>74</v>
      </c>
      <c r="BM970" s="2" t="s">
        <v>74</v>
      </c>
      <c r="BN970" s="2" t="s">
        <v>74</v>
      </c>
      <c r="BO970" s="2" t="s">
        <v>74</v>
      </c>
      <c r="BP970" s="2" t="s">
        <v>74</v>
      </c>
      <c r="BQ970" s="2" t="s">
        <v>74</v>
      </c>
      <c r="BR970" s="2" t="s">
        <v>74</v>
      </c>
      <c r="BS970" s="2" t="s">
        <v>4725</v>
      </c>
      <c r="BT970" s="2" t="str">
        <f>HYPERLINK("https%3A%2F%2Fwww.webofscience.com%2Fwos%2Fwoscc%2Ffull-record%2FWOS:000227366700008","View Full Record in Web of Science")</f>
        <v>View Full Record in Web of Science</v>
      </c>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row>
    <row r="971" spans="1:314" s="2" customFormat="1" x14ac:dyDescent="0.4">
      <c r="A971" s="2" t="s">
        <v>72</v>
      </c>
      <c r="B971" s="2" t="s">
        <v>5071</v>
      </c>
      <c r="C971" s="2" t="s">
        <v>74</v>
      </c>
      <c r="D971" s="2" t="s">
        <v>74</v>
      </c>
      <c r="E971" s="2" t="s">
        <v>74</v>
      </c>
      <c r="F971" s="2" t="s">
        <v>5071</v>
      </c>
      <c r="G971" s="2" t="s">
        <v>74</v>
      </c>
      <c r="H971" s="2" t="s">
        <v>74</v>
      </c>
      <c r="I971" s="2" t="s">
        <v>5072</v>
      </c>
      <c r="J971" s="2" t="s">
        <v>610</v>
      </c>
      <c r="K971" s="2" t="s">
        <v>74</v>
      </c>
      <c r="L971" s="2" t="s">
        <v>74</v>
      </c>
      <c r="M971" s="2" t="s">
        <v>74</v>
      </c>
      <c r="N971" s="2" t="s">
        <v>74</v>
      </c>
      <c r="O971" s="2" t="s">
        <v>5073</v>
      </c>
      <c r="P971" s="2" t="s">
        <v>5074</v>
      </c>
      <c r="Q971" s="2" t="s">
        <v>5075</v>
      </c>
      <c r="R971" s="2" t="s">
        <v>5076</v>
      </c>
      <c r="S971" s="2" t="s">
        <v>74</v>
      </c>
      <c r="T971" s="2" t="s">
        <v>74</v>
      </c>
      <c r="U971" s="2" t="s">
        <v>74</v>
      </c>
      <c r="V971" s="5" t="s">
        <v>5077</v>
      </c>
      <c r="W971" s="2" t="s">
        <v>74</v>
      </c>
      <c r="X971" s="2" t="s">
        <v>74</v>
      </c>
      <c r="Y971" s="2" t="s">
        <v>74</v>
      </c>
      <c r="Z971" s="2" t="s">
        <v>74</v>
      </c>
      <c r="AA971" s="2" t="s">
        <v>74</v>
      </c>
      <c r="AB971" s="2" t="s">
        <v>74</v>
      </c>
      <c r="AC971" s="2" t="s">
        <v>74</v>
      </c>
      <c r="AD971" s="2" t="s">
        <v>74</v>
      </c>
      <c r="AE971" s="2" t="s">
        <v>74</v>
      </c>
      <c r="AF971" s="2" t="s">
        <v>74</v>
      </c>
      <c r="AG971" s="2" t="s">
        <v>74</v>
      </c>
      <c r="AH971" s="2" t="s">
        <v>74</v>
      </c>
      <c r="AI971" s="2" t="s">
        <v>74</v>
      </c>
      <c r="AJ971" s="2" t="s">
        <v>74</v>
      </c>
      <c r="AK971" s="2" t="s">
        <v>74</v>
      </c>
      <c r="AL971" s="2" t="s">
        <v>74</v>
      </c>
      <c r="AM971" s="2" t="s">
        <v>74</v>
      </c>
      <c r="AN971" s="2" t="s">
        <v>74</v>
      </c>
      <c r="AO971" s="2" t="s">
        <v>614</v>
      </c>
      <c r="AP971" s="2" t="s">
        <v>615</v>
      </c>
      <c r="AQ971" s="2" t="s">
        <v>74</v>
      </c>
      <c r="AR971" s="2" t="s">
        <v>74</v>
      </c>
      <c r="AS971" s="2" t="s">
        <v>74</v>
      </c>
      <c r="AT971" s="2" t="s">
        <v>255</v>
      </c>
      <c r="AU971" s="2">
        <v>2005</v>
      </c>
      <c r="AV971" s="2">
        <v>111</v>
      </c>
      <c r="AW971" s="2">
        <v>1</v>
      </c>
      <c r="AX971" s="2" t="s">
        <v>74</v>
      </c>
      <c r="AY971" s="2" t="s">
        <v>74</v>
      </c>
      <c r="AZ971" s="2" t="s">
        <v>74</v>
      </c>
      <c r="BA971" s="2" t="s">
        <v>74</v>
      </c>
      <c r="BB971" s="2">
        <v>25</v>
      </c>
      <c r="BC971" s="2">
        <v>50</v>
      </c>
      <c r="BD971" s="2" t="s">
        <v>74</v>
      </c>
      <c r="BE971" s="2" t="s">
        <v>5078</v>
      </c>
      <c r="BF971" s="2" t="str">
        <f>HYPERLINK("http://dx.doi.org/10.1111/j.1439-0310.2004.01054.x","http://dx.doi.org/10.1111/j.1439-0310.2004.01054.x")</f>
        <v>http://dx.doi.org/10.1111/j.1439-0310.2004.01054.x</v>
      </c>
      <c r="BG971" s="2" t="s">
        <v>74</v>
      </c>
      <c r="BH971" s="2" t="s">
        <v>74</v>
      </c>
      <c r="BI971" s="2" t="s">
        <v>74</v>
      </c>
      <c r="BJ971" s="2" t="s">
        <v>74</v>
      </c>
      <c r="BK971" s="2" t="s">
        <v>74</v>
      </c>
      <c r="BL971" s="2" t="s">
        <v>74</v>
      </c>
      <c r="BM971" s="2" t="s">
        <v>74</v>
      </c>
      <c r="BN971" s="2" t="s">
        <v>74</v>
      </c>
      <c r="BO971" s="2" t="s">
        <v>74</v>
      </c>
      <c r="BP971" s="2" t="s">
        <v>74</v>
      </c>
      <c r="BQ971" s="2" t="s">
        <v>74</v>
      </c>
      <c r="BR971" s="2" t="s">
        <v>74</v>
      </c>
      <c r="BS971" s="2" t="s">
        <v>5079</v>
      </c>
      <c r="BT971" s="2" t="str">
        <f>HYPERLINK("https%3A%2F%2Fwww.webofscience.com%2Fwos%2Fwoscc%2Ffull-record%2FWOS:000226377200002","View Full Record in Web of Science")</f>
        <v>View Full Record in Web of Science</v>
      </c>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row>
    <row r="972" spans="1:314" s="2" customFormat="1" x14ac:dyDescent="0.4">
      <c r="A972" s="2" t="s">
        <v>72</v>
      </c>
      <c r="B972" s="2" t="s">
        <v>2765</v>
      </c>
      <c r="C972" s="2" t="s">
        <v>74</v>
      </c>
      <c r="D972" s="2" t="s">
        <v>74</v>
      </c>
      <c r="E972" s="2" t="s">
        <v>74</v>
      </c>
      <c r="F972" s="2" t="s">
        <v>2766</v>
      </c>
      <c r="G972" s="2" t="s">
        <v>74</v>
      </c>
      <c r="H972" s="2" t="s">
        <v>74</v>
      </c>
      <c r="I972" s="2" t="s">
        <v>2767</v>
      </c>
      <c r="J972" s="2" t="s">
        <v>691</v>
      </c>
      <c r="K972" s="2" t="s">
        <v>74</v>
      </c>
      <c r="L972" s="2" t="s">
        <v>74</v>
      </c>
      <c r="M972" s="2" t="s">
        <v>74</v>
      </c>
      <c r="N972" s="2" t="s">
        <v>74</v>
      </c>
      <c r="O972" s="2" t="s">
        <v>74</v>
      </c>
      <c r="P972" s="2" t="s">
        <v>74</v>
      </c>
      <c r="Q972" s="2" t="s">
        <v>74</v>
      </c>
      <c r="R972" s="2" t="s">
        <v>74</v>
      </c>
      <c r="S972" s="2" t="s">
        <v>74</v>
      </c>
      <c r="T972" s="2" t="s">
        <v>74</v>
      </c>
      <c r="U972" s="2" t="s">
        <v>74</v>
      </c>
      <c r="V972" s="5" t="s">
        <v>2768</v>
      </c>
      <c r="W972" s="2" t="s">
        <v>74</v>
      </c>
      <c r="X972" s="2" t="s">
        <v>74</v>
      </c>
      <c r="Y972" s="2" t="s">
        <v>74</v>
      </c>
      <c r="Z972" s="2" t="s">
        <v>74</v>
      </c>
      <c r="AA972" s="2" t="s">
        <v>74</v>
      </c>
      <c r="AB972" s="2" t="s">
        <v>74</v>
      </c>
      <c r="AC972" s="2" t="s">
        <v>74</v>
      </c>
      <c r="AD972" s="2" t="s">
        <v>74</v>
      </c>
      <c r="AE972" s="2" t="s">
        <v>74</v>
      </c>
      <c r="AF972" s="2" t="s">
        <v>74</v>
      </c>
      <c r="AG972" s="2" t="s">
        <v>74</v>
      </c>
      <c r="AH972" s="2" t="s">
        <v>74</v>
      </c>
      <c r="AI972" s="2" t="s">
        <v>74</v>
      </c>
      <c r="AJ972" s="2" t="s">
        <v>74</v>
      </c>
      <c r="AK972" s="2" t="s">
        <v>74</v>
      </c>
      <c r="AL972" s="2" t="s">
        <v>74</v>
      </c>
      <c r="AM972" s="2" t="s">
        <v>74</v>
      </c>
      <c r="AN972" s="2" t="s">
        <v>74</v>
      </c>
      <c r="AO972" s="2" t="s">
        <v>695</v>
      </c>
      <c r="AP972" s="2" t="s">
        <v>74</v>
      </c>
      <c r="AQ972" s="2" t="s">
        <v>74</v>
      </c>
      <c r="AR972" s="2" t="s">
        <v>74</v>
      </c>
      <c r="AS972" s="2" t="s">
        <v>74</v>
      </c>
      <c r="AT972" s="2" t="s">
        <v>1146</v>
      </c>
      <c r="AU972" s="2">
        <v>2015</v>
      </c>
      <c r="AV972" s="2">
        <v>147</v>
      </c>
      <c r="AW972" s="2" t="s">
        <v>74</v>
      </c>
      <c r="AX972" s="2" t="s">
        <v>74</v>
      </c>
      <c r="AY972" s="2" t="s">
        <v>74</v>
      </c>
      <c r="AZ972" s="2" t="s">
        <v>74</v>
      </c>
      <c r="BA972" s="2" t="s">
        <v>74</v>
      </c>
      <c r="BB972" s="2">
        <v>245</v>
      </c>
      <c r="BC972" s="2">
        <v>254</v>
      </c>
      <c r="BD972" s="2" t="s">
        <v>74</v>
      </c>
      <c r="BE972" s="2" t="s">
        <v>2769</v>
      </c>
      <c r="BF972" s="2" t="str">
        <f>HYPERLINK("http://dx.doi.org/10.1016/j.physbeh.2015.04.051","http://dx.doi.org/10.1016/j.physbeh.2015.04.051")</f>
        <v>http://dx.doi.org/10.1016/j.physbeh.2015.04.051</v>
      </c>
      <c r="BG972" s="2" t="s">
        <v>74</v>
      </c>
      <c r="BH972" s="2" t="s">
        <v>74</v>
      </c>
      <c r="BI972" s="2" t="s">
        <v>74</v>
      </c>
      <c r="BJ972" s="2" t="s">
        <v>74</v>
      </c>
      <c r="BK972" s="2" t="s">
        <v>74</v>
      </c>
      <c r="BL972" s="2" t="s">
        <v>74</v>
      </c>
      <c r="BM972" s="2" t="s">
        <v>74</v>
      </c>
      <c r="BN972" s="2">
        <v>25936819</v>
      </c>
      <c r="BO972" s="2" t="s">
        <v>74</v>
      </c>
      <c r="BP972" s="2" t="s">
        <v>74</v>
      </c>
      <c r="BQ972" s="2" t="s">
        <v>74</v>
      </c>
      <c r="BR972" s="2" t="s">
        <v>74</v>
      </c>
      <c r="BS972" s="2" t="s">
        <v>2770</v>
      </c>
      <c r="BT972" s="2" t="str">
        <f>HYPERLINK("https%3A%2F%2Fwww.webofscience.com%2Fwos%2Fwoscc%2Ffull-record%2FWOS:000356737100034","View Full Record in Web of Science")</f>
        <v>View Full Record in Web of Science</v>
      </c>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row>
    <row r="973" spans="1:314" s="2" customFormat="1" x14ac:dyDescent="0.4">
      <c r="A973" s="2" t="s">
        <v>72</v>
      </c>
      <c r="B973" s="2" t="s">
        <v>7075</v>
      </c>
      <c r="C973" s="2" t="s">
        <v>74</v>
      </c>
      <c r="D973" s="2" t="s">
        <v>74</v>
      </c>
      <c r="E973" s="2" t="s">
        <v>74</v>
      </c>
      <c r="F973" s="2" t="s">
        <v>7075</v>
      </c>
      <c r="G973" s="2" t="s">
        <v>74</v>
      </c>
      <c r="H973" s="2" t="s">
        <v>74</v>
      </c>
      <c r="I973" s="2" t="s">
        <v>7076</v>
      </c>
      <c r="J973" s="2" t="s">
        <v>5577</v>
      </c>
      <c r="K973" s="2" t="s">
        <v>74</v>
      </c>
      <c r="L973" s="2" t="s">
        <v>74</v>
      </c>
      <c r="M973" s="2" t="s">
        <v>74</v>
      </c>
      <c r="N973" s="2" t="s">
        <v>74</v>
      </c>
      <c r="O973" s="2" t="s">
        <v>74</v>
      </c>
      <c r="P973" s="2" t="s">
        <v>74</v>
      </c>
      <c r="Q973" s="2" t="s">
        <v>74</v>
      </c>
      <c r="R973" s="2" t="s">
        <v>74</v>
      </c>
      <c r="S973" s="2" t="s">
        <v>74</v>
      </c>
      <c r="T973" s="2" t="s">
        <v>74</v>
      </c>
      <c r="U973" s="2" t="s">
        <v>74</v>
      </c>
      <c r="V973" s="5" t="s">
        <v>7077</v>
      </c>
      <c r="W973" s="2" t="s">
        <v>74</v>
      </c>
      <c r="X973" s="2" t="s">
        <v>74</v>
      </c>
      <c r="Y973" s="2" t="s">
        <v>74</v>
      </c>
      <c r="Z973" s="2" t="s">
        <v>74</v>
      </c>
      <c r="AA973" s="2" t="s">
        <v>74</v>
      </c>
      <c r="AB973" s="2" t="s">
        <v>74</v>
      </c>
      <c r="AC973" s="2" t="s">
        <v>74</v>
      </c>
      <c r="AD973" s="2" t="s">
        <v>74</v>
      </c>
      <c r="AE973" s="2" t="s">
        <v>74</v>
      </c>
      <c r="AF973" s="2" t="s">
        <v>74</v>
      </c>
      <c r="AG973" s="2" t="s">
        <v>74</v>
      </c>
      <c r="AH973" s="2" t="s">
        <v>74</v>
      </c>
      <c r="AI973" s="2" t="s">
        <v>74</v>
      </c>
      <c r="AJ973" s="2" t="s">
        <v>74</v>
      </c>
      <c r="AK973" s="2" t="s">
        <v>74</v>
      </c>
      <c r="AL973" s="2" t="s">
        <v>74</v>
      </c>
      <c r="AM973" s="2" t="s">
        <v>74</v>
      </c>
      <c r="AN973" s="2" t="s">
        <v>74</v>
      </c>
      <c r="AO973" s="2" t="s">
        <v>5579</v>
      </c>
      <c r="AP973" s="2" t="s">
        <v>74</v>
      </c>
      <c r="AQ973" s="2" t="s">
        <v>74</v>
      </c>
      <c r="AR973" s="2" t="s">
        <v>74</v>
      </c>
      <c r="AS973" s="2" t="s">
        <v>74</v>
      </c>
      <c r="AT973" s="2" t="s">
        <v>204</v>
      </c>
      <c r="AU973" s="2">
        <v>1998</v>
      </c>
      <c r="AV973" s="2">
        <v>77</v>
      </c>
      <c r="AW973" s="2">
        <v>7</v>
      </c>
      <c r="AX973" s="2" t="s">
        <v>74</v>
      </c>
      <c r="AY973" s="2" t="s">
        <v>74</v>
      </c>
      <c r="AZ973" s="2" t="s">
        <v>74</v>
      </c>
      <c r="BA973" s="2" t="s">
        <v>74</v>
      </c>
      <c r="BB973" s="2">
        <v>809</v>
      </c>
      <c r="BC973" s="2">
        <v>817</v>
      </c>
      <c r="BD973" s="2" t="s">
        <v>74</v>
      </c>
      <c r="BE973" s="2" t="s">
        <v>74</v>
      </c>
      <c r="BF973" s="2" t="s">
        <v>74</v>
      </c>
      <c r="BG973" s="2" t="s">
        <v>74</v>
      </c>
      <c r="BH973" s="2" t="s">
        <v>74</v>
      </c>
      <c r="BI973" s="2" t="s">
        <v>74</v>
      </c>
      <c r="BJ973" s="2" t="s">
        <v>74</v>
      </c>
      <c r="BK973" s="2" t="s">
        <v>74</v>
      </c>
      <c r="BL973" s="2" t="s">
        <v>74</v>
      </c>
      <c r="BM973" s="2" t="s">
        <v>74</v>
      </c>
      <c r="BN973" s="2" t="s">
        <v>74</v>
      </c>
      <c r="BO973" s="2" t="s">
        <v>74</v>
      </c>
      <c r="BP973" s="2" t="s">
        <v>74</v>
      </c>
      <c r="BQ973" s="2" t="s">
        <v>74</v>
      </c>
      <c r="BR973" s="2" t="s">
        <v>74</v>
      </c>
      <c r="BS973" s="2" t="s">
        <v>7078</v>
      </c>
      <c r="BT973" s="2" t="str">
        <f>HYPERLINK("https%3A%2F%2Fwww.webofscience.com%2Fwos%2Fwoscc%2Ffull-record%2FWOS:000075812800006","View Full Record in Web of Science")</f>
        <v>View Full Record in Web of Science</v>
      </c>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row>
    <row r="974" spans="1:314" s="2" customFormat="1" x14ac:dyDescent="0.4">
      <c r="A974" s="2" t="s">
        <v>72</v>
      </c>
      <c r="B974" s="2" t="s">
        <v>5281</v>
      </c>
      <c r="C974" s="2" t="s">
        <v>74</v>
      </c>
      <c r="D974" s="2" t="s">
        <v>74</v>
      </c>
      <c r="E974" s="2" t="s">
        <v>74</v>
      </c>
      <c r="F974" s="2" t="s">
        <v>5282</v>
      </c>
      <c r="G974" s="2" t="s">
        <v>74</v>
      </c>
      <c r="H974" s="2" t="s">
        <v>74</v>
      </c>
      <c r="I974" s="2" t="s">
        <v>5283</v>
      </c>
      <c r="J974" s="2" t="s">
        <v>171</v>
      </c>
      <c r="K974" s="2" t="s">
        <v>74</v>
      </c>
      <c r="L974" s="2" t="s">
        <v>74</v>
      </c>
      <c r="M974" s="2" t="s">
        <v>74</v>
      </c>
      <c r="N974" s="2" t="s">
        <v>74</v>
      </c>
      <c r="O974" s="2" t="s">
        <v>74</v>
      </c>
      <c r="P974" s="2" t="s">
        <v>74</v>
      </c>
      <c r="Q974" s="2" t="s">
        <v>74</v>
      </c>
      <c r="R974" s="2" t="s">
        <v>74</v>
      </c>
      <c r="S974" s="2" t="s">
        <v>74</v>
      </c>
      <c r="T974" s="2" t="s">
        <v>74</v>
      </c>
      <c r="U974" s="2" t="s">
        <v>74</v>
      </c>
      <c r="V974" s="5" t="s">
        <v>5284</v>
      </c>
      <c r="W974" s="2" t="s">
        <v>74</v>
      </c>
      <c r="X974" s="2" t="s">
        <v>74</v>
      </c>
      <c r="Y974" s="2" t="s">
        <v>74</v>
      </c>
      <c r="Z974" s="2" t="s">
        <v>74</v>
      </c>
      <c r="AA974" s="2" t="s">
        <v>5285</v>
      </c>
      <c r="AB974" s="2" t="s">
        <v>5286</v>
      </c>
      <c r="AC974" s="2" t="s">
        <v>74</v>
      </c>
      <c r="AD974" s="2" t="s">
        <v>74</v>
      </c>
      <c r="AE974" s="2" t="s">
        <v>74</v>
      </c>
      <c r="AF974" s="2" t="s">
        <v>74</v>
      </c>
      <c r="AG974" s="2" t="s">
        <v>74</v>
      </c>
      <c r="AH974" s="2" t="s">
        <v>74</v>
      </c>
      <c r="AI974" s="2" t="s">
        <v>74</v>
      </c>
      <c r="AJ974" s="2" t="s">
        <v>74</v>
      </c>
      <c r="AK974" s="2" t="s">
        <v>74</v>
      </c>
      <c r="AL974" s="2" t="s">
        <v>74</v>
      </c>
      <c r="AM974" s="2" t="s">
        <v>74</v>
      </c>
      <c r="AN974" s="2" t="s">
        <v>74</v>
      </c>
      <c r="AO974" s="2" t="s">
        <v>173</v>
      </c>
      <c r="AP974" s="2" t="s">
        <v>174</v>
      </c>
      <c r="AQ974" s="2" t="s">
        <v>74</v>
      </c>
      <c r="AR974" s="2" t="s">
        <v>74</v>
      </c>
      <c r="AS974" s="2" t="s">
        <v>74</v>
      </c>
      <c r="AT974" s="2" t="s">
        <v>305</v>
      </c>
      <c r="AU974" s="2">
        <v>2009</v>
      </c>
      <c r="AV974" s="2">
        <v>63</v>
      </c>
      <c r="AW974" s="2">
        <v>12</v>
      </c>
      <c r="AX974" s="2" t="s">
        <v>74</v>
      </c>
      <c r="AY974" s="2" t="s">
        <v>74</v>
      </c>
      <c r="AZ974" s="2" t="s">
        <v>74</v>
      </c>
      <c r="BA974" s="2" t="s">
        <v>74</v>
      </c>
      <c r="BB974" s="2">
        <v>3106</v>
      </c>
      <c r="BC974" s="2">
        <v>3113</v>
      </c>
      <c r="BD974" s="2" t="s">
        <v>74</v>
      </c>
      <c r="BE974" s="2" t="s">
        <v>5287</v>
      </c>
      <c r="BF974" s="2" t="str">
        <f>HYPERLINK("http://dx.doi.org/10.1111/j.1558-5646.2009.00833.x","http://dx.doi.org/10.1111/j.1558-5646.2009.00833.x")</f>
        <v>http://dx.doi.org/10.1111/j.1558-5646.2009.00833.x</v>
      </c>
      <c r="BG974" s="2" t="s">
        <v>74</v>
      </c>
      <c r="BH974" s="2" t="s">
        <v>74</v>
      </c>
      <c r="BI974" s="2" t="s">
        <v>74</v>
      </c>
      <c r="BJ974" s="2" t="s">
        <v>74</v>
      </c>
      <c r="BK974" s="2" t="s">
        <v>74</v>
      </c>
      <c r="BL974" s="2" t="s">
        <v>74</v>
      </c>
      <c r="BM974" s="2" t="s">
        <v>74</v>
      </c>
      <c r="BN974" s="2">
        <v>19744121</v>
      </c>
      <c r="BO974" s="2" t="s">
        <v>74</v>
      </c>
      <c r="BP974" s="2" t="s">
        <v>74</v>
      </c>
      <c r="BQ974" s="2" t="s">
        <v>74</v>
      </c>
      <c r="BR974" s="2" t="s">
        <v>74</v>
      </c>
      <c r="BS974" s="2" t="s">
        <v>5288</v>
      </c>
      <c r="BT974" s="2" t="str">
        <f>HYPERLINK("https%3A%2F%2Fwww.webofscience.com%2Fwos%2Fwoscc%2Ffull-record%2FWOS:000271973600007","View Full Record in Web of Science")</f>
        <v>View Full Record in Web of Science</v>
      </c>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row>
    <row r="975" spans="1:314" s="2" customFormat="1" x14ac:dyDescent="0.4">
      <c r="A975" s="2" t="s">
        <v>72</v>
      </c>
      <c r="B975" s="2" t="s">
        <v>7960</v>
      </c>
      <c r="C975" s="2" t="s">
        <v>74</v>
      </c>
      <c r="D975" s="2" t="s">
        <v>74</v>
      </c>
      <c r="E975" s="2" t="s">
        <v>74</v>
      </c>
      <c r="F975" s="2" t="s">
        <v>7961</v>
      </c>
      <c r="G975" s="2" t="s">
        <v>74</v>
      </c>
      <c r="H975" s="2" t="s">
        <v>74</v>
      </c>
      <c r="I975" s="2" t="s">
        <v>7962</v>
      </c>
      <c r="J975" s="2" t="s">
        <v>2847</v>
      </c>
      <c r="K975" s="2" t="s">
        <v>74</v>
      </c>
      <c r="L975" s="2" t="s">
        <v>74</v>
      </c>
      <c r="M975" s="2" t="s">
        <v>74</v>
      </c>
      <c r="N975" s="2" t="s">
        <v>74</v>
      </c>
      <c r="O975" s="2" t="s">
        <v>74</v>
      </c>
      <c r="P975" s="2" t="s">
        <v>74</v>
      </c>
      <c r="Q975" s="2" t="s">
        <v>74</v>
      </c>
      <c r="R975" s="2" t="s">
        <v>74</v>
      </c>
      <c r="S975" s="2" t="s">
        <v>74</v>
      </c>
      <c r="T975" s="2" t="s">
        <v>74</v>
      </c>
      <c r="U975" s="2" t="s">
        <v>74</v>
      </c>
      <c r="V975" s="5" t="s">
        <v>7963</v>
      </c>
      <c r="W975" s="2" t="s">
        <v>74</v>
      </c>
      <c r="X975" s="2" t="s">
        <v>74</v>
      </c>
      <c r="Y975" s="2" t="s">
        <v>74</v>
      </c>
      <c r="Z975" s="2" t="s">
        <v>74</v>
      </c>
      <c r="AA975" s="2" t="s">
        <v>74</v>
      </c>
      <c r="AB975" s="2" t="s">
        <v>74</v>
      </c>
      <c r="AC975" s="2" t="s">
        <v>74</v>
      </c>
      <c r="AD975" s="2" t="s">
        <v>74</v>
      </c>
      <c r="AE975" s="2" t="s">
        <v>74</v>
      </c>
      <c r="AF975" s="2" t="s">
        <v>74</v>
      </c>
      <c r="AG975" s="2" t="s">
        <v>74</v>
      </c>
      <c r="AH975" s="2" t="s">
        <v>74</v>
      </c>
      <c r="AI975" s="2" t="s">
        <v>74</v>
      </c>
      <c r="AJ975" s="2" t="s">
        <v>74</v>
      </c>
      <c r="AK975" s="2" t="s">
        <v>74</v>
      </c>
      <c r="AL975" s="2" t="s">
        <v>74</v>
      </c>
      <c r="AM975" s="2" t="s">
        <v>74</v>
      </c>
      <c r="AN975" s="2" t="s">
        <v>74</v>
      </c>
      <c r="AO975" s="2" t="s">
        <v>2849</v>
      </c>
      <c r="AP975" s="2" t="s">
        <v>2850</v>
      </c>
      <c r="AQ975" s="2" t="s">
        <v>74</v>
      </c>
      <c r="AR975" s="2" t="s">
        <v>74</v>
      </c>
      <c r="AS975" s="2" t="s">
        <v>74</v>
      </c>
      <c r="AT975" s="2" t="s">
        <v>1013</v>
      </c>
      <c r="AU975" s="2">
        <v>2020</v>
      </c>
      <c r="AV975" s="2">
        <v>530</v>
      </c>
      <c r="AW975" s="2" t="s">
        <v>74</v>
      </c>
      <c r="AX975" s="2" t="s">
        <v>74</v>
      </c>
      <c r="AY975" s="2" t="s">
        <v>74</v>
      </c>
      <c r="AZ975" s="2" t="s">
        <v>74</v>
      </c>
      <c r="BA975" s="2" t="s">
        <v>74</v>
      </c>
      <c r="BB975" s="2" t="s">
        <v>74</v>
      </c>
      <c r="BC975" s="2" t="s">
        <v>74</v>
      </c>
      <c r="BD975" s="2">
        <v>151430</v>
      </c>
      <c r="BE975" s="2" t="s">
        <v>7964</v>
      </c>
      <c r="BF975" s="2" t="str">
        <f>HYPERLINK("http://dx.doi.org/10.1016/j.jembe.2020.151430","http://dx.doi.org/10.1016/j.jembe.2020.151430")</f>
        <v>http://dx.doi.org/10.1016/j.jembe.2020.151430</v>
      </c>
      <c r="BG975" s="2" t="s">
        <v>74</v>
      </c>
      <c r="BH975" s="2" t="s">
        <v>74</v>
      </c>
      <c r="BI975" s="2" t="s">
        <v>74</v>
      </c>
      <c r="BJ975" s="2" t="s">
        <v>74</v>
      </c>
      <c r="BK975" s="2" t="s">
        <v>74</v>
      </c>
      <c r="BL975" s="2" t="s">
        <v>74</v>
      </c>
      <c r="BM975" s="2" t="s">
        <v>74</v>
      </c>
      <c r="BN975" s="2" t="s">
        <v>74</v>
      </c>
      <c r="BO975" s="2" t="s">
        <v>74</v>
      </c>
      <c r="BP975" s="2" t="s">
        <v>74</v>
      </c>
      <c r="BQ975" s="2" t="s">
        <v>74</v>
      </c>
      <c r="BR975" s="2" t="s">
        <v>74</v>
      </c>
      <c r="BS975" s="2" t="s">
        <v>7965</v>
      </c>
      <c r="BT975" s="2" t="str">
        <f>HYPERLINK("https%3A%2F%2Fwww.webofscience.com%2Fwos%2Fwoscc%2Ffull-record%2FWOS:000562582100021","View Full Record in Web of Science")</f>
        <v>View Full Record in Web of Science</v>
      </c>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row>
    <row r="976" spans="1:314" s="2" customFormat="1" x14ac:dyDescent="0.4">
      <c r="A976" s="2" t="s">
        <v>72</v>
      </c>
      <c r="B976" s="2" t="s">
        <v>5348</v>
      </c>
      <c r="C976" s="2" t="s">
        <v>74</v>
      </c>
      <c r="D976" s="2" t="s">
        <v>74</v>
      </c>
      <c r="E976" s="2" t="s">
        <v>74</v>
      </c>
      <c r="F976" s="2" t="s">
        <v>5348</v>
      </c>
      <c r="G976" s="2" t="s">
        <v>74</v>
      </c>
      <c r="H976" s="2" t="s">
        <v>74</v>
      </c>
      <c r="I976" s="2" t="s">
        <v>5349</v>
      </c>
      <c r="J976" s="2" t="s">
        <v>129</v>
      </c>
      <c r="K976" s="2" t="s">
        <v>74</v>
      </c>
      <c r="L976" s="2" t="s">
        <v>74</v>
      </c>
      <c r="M976" s="2" t="s">
        <v>74</v>
      </c>
      <c r="N976" s="2" t="s">
        <v>74</v>
      </c>
      <c r="O976" s="2" t="s">
        <v>74</v>
      </c>
      <c r="P976" s="2" t="s">
        <v>74</v>
      </c>
      <c r="Q976" s="2" t="s">
        <v>74</v>
      </c>
      <c r="R976" s="2" t="s">
        <v>74</v>
      </c>
      <c r="S976" s="2" t="s">
        <v>74</v>
      </c>
      <c r="T976" s="2" t="s">
        <v>74</v>
      </c>
      <c r="U976" s="2" t="s">
        <v>74</v>
      </c>
      <c r="V976" s="5" t="s">
        <v>5350</v>
      </c>
      <c r="W976" s="2" t="s">
        <v>74</v>
      </c>
      <c r="X976" s="2" t="s">
        <v>74</v>
      </c>
      <c r="Y976" s="2" t="s">
        <v>74</v>
      </c>
      <c r="Z976" s="2" t="s">
        <v>74</v>
      </c>
      <c r="AA976" s="2" t="s">
        <v>5351</v>
      </c>
      <c r="AB976" s="2" t="s">
        <v>5352</v>
      </c>
      <c r="AC976" s="2" t="s">
        <v>74</v>
      </c>
      <c r="AD976" s="2" t="s">
        <v>74</v>
      </c>
      <c r="AE976" s="2" t="s">
        <v>74</v>
      </c>
      <c r="AF976" s="2" t="s">
        <v>74</v>
      </c>
      <c r="AG976" s="2" t="s">
        <v>74</v>
      </c>
      <c r="AH976" s="2" t="s">
        <v>74</v>
      </c>
      <c r="AI976" s="2" t="s">
        <v>74</v>
      </c>
      <c r="AJ976" s="2" t="s">
        <v>74</v>
      </c>
      <c r="AK976" s="2" t="s">
        <v>74</v>
      </c>
      <c r="AL976" s="2" t="s">
        <v>74</v>
      </c>
      <c r="AM976" s="2" t="s">
        <v>74</v>
      </c>
      <c r="AN976" s="2" t="s">
        <v>74</v>
      </c>
      <c r="AO976" s="2" t="s">
        <v>132</v>
      </c>
      <c r="AP976" s="2" t="s">
        <v>133</v>
      </c>
      <c r="AQ976" s="2" t="s">
        <v>74</v>
      </c>
      <c r="AR976" s="2" t="s">
        <v>74</v>
      </c>
      <c r="AS976" s="2" t="s">
        <v>74</v>
      </c>
      <c r="AT976" s="2" t="s">
        <v>123</v>
      </c>
      <c r="AU976" s="2">
        <v>2006</v>
      </c>
      <c r="AV976" s="2">
        <v>59</v>
      </c>
      <c r="AW976" s="2">
        <v>5</v>
      </c>
      <c r="AX976" s="2" t="s">
        <v>74</v>
      </c>
      <c r="AY976" s="2" t="s">
        <v>74</v>
      </c>
      <c r="AZ976" s="2" t="s">
        <v>74</v>
      </c>
      <c r="BA976" s="2" t="s">
        <v>74</v>
      </c>
      <c r="BB976" s="2">
        <v>651</v>
      </c>
      <c r="BC976" s="2">
        <v>656</v>
      </c>
      <c r="BD976" s="2" t="s">
        <v>74</v>
      </c>
      <c r="BE976" s="2" t="s">
        <v>5353</v>
      </c>
      <c r="BF976" s="2" t="str">
        <f>HYPERLINK("http://dx.doi.org/10.1007/s00265-005-0092-x","http://dx.doi.org/10.1007/s00265-005-0092-x")</f>
        <v>http://dx.doi.org/10.1007/s00265-005-0092-x</v>
      </c>
      <c r="BG976" s="2" t="s">
        <v>74</v>
      </c>
      <c r="BH976" s="2" t="s">
        <v>74</v>
      </c>
      <c r="BI976" s="2" t="s">
        <v>74</v>
      </c>
      <c r="BJ976" s="2" t="s">
        <v>74</v>
      </c>
      <c r="BK976" s="2" t="s">
        <v>74</v>
      </c>
      <c r="BL976" s="2" t="s">
        <v>74</v>
      </c>
      <c r="BM976" s="2" t="s">
        <v>74</v>
      </c>
      <c r="BN976" s="2" t="s">
        <v>74</v>
      </c>
      <c r="BO976" s="2" t="s">
        <v>74</v>
      </c>
      <c r="BP976" s="2" t="s">
        <v>74</v>
      </c>
      <c r="BQ976" s="2" t="s">
        <v>74</v>
      </c>
      <c r="BR976" s="2" t="s">
        <v>74</v>
      </c>
      <c r="BS976" s="2" t="s">
        <v>5354</v>
      </c>
      <c r="BT976" s="2" t="str">
        <f>HYPERLINK("https%3A%2F%2Fwww.webofscience.com%2Fwos%2Fwoscc%2Ffull-record%2FWOS:000235219700008","View Full Record in Web of Science")</f>
        <v>View Full Record in Web of Science</v>
      </c>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row>
    <row r="977" spans="1:314" s="2" customFormat="1" x14ac:dyDescent="0.4">
      <c r="A977" s="2" t="s">
        <v>72</v>
      </c>
      <c r="B977" s="2" t="s">
        <v>5760</v>
      </c>
      <c r="C977" s="2" t="s">
        <v>74</v>
      </c>
      <c r="D977" s="2" t="s">
        <v>74</v>
      </c>
      <c r="E977" s="2" t="s">
        <v>74</v>
      </c>
      <c r="F977" s="2" t="s">
        <v>5760</v>
      </c>
      <c r="G977" s="2" t="s">
        <v>74</v>
      </c>
      <c r="H977" s="2" t="s">
        <v>74</v>
      </c>
      <c r="I977" s="2" t="s">
        <v>5761</v>
      </c>
      <c r="J977" s="2" t="s">
        <v>4655</v>
      </c>
      <c r="K977" s="2" t="s">
        <v>74</v>
      </c>
      <c r="L977" s="2" t="s">
        <v>74</v>
      </c>
      <c r="M977" s="2" t="s">
        <v>74</v>
      </c>
      <c r="N977" s="2" t="s">
        <v>74</v>
      </c>
      <c r="O977" s="2" t="s">
        <v>74</v>
      </c>
      <c r="P977" s="2" t="s">
        <v>74</v>
      </c>
      <c r="Q977" s="2" t="s">
        <v>74</v>
      </c>
      <c r="R977" s="2" t="s">
        <v>74</v>
      </c>
      <c r="S977" s="2" t="s">
        <v>74</v>
      </c>
      <c r="T977" s="2" t="s">
        <v>74</v>
      </c>
      <c r="U977" s="2" t="s">
        <v>74</v>
      </c>
      <c r="V977" s="5" t="s">
        <v>5762</v>
      </c>
      <c r="W977" s="2" t="s">
        <v>74</v>
      </c>
      <c r="X977" s="2" t="s">
        <v>74</v>
      </c>
      <c r="Y977" s="2" t="s">
        <v>74</v>
      </c>
      <c r="Z977" s="2" t="s">
        <v>74</v>
      </c>
      <c r="AA977" s="2" t="s">
        <v>74</v>
      </c>
      <c r="AB977" s="2" t="s">
        <v>74</v>
      </c>
      <c r="AC977" s="2" t="s">
        <v>74</v>
      </c>
      <c r="AD977" s="2" t="s">
        <v>74</v>
      </c>
      <c r="AE977" s="2" t="s">
        <v>74</v>
      </c>
      <c r="AF977" s="2" t="s">
        <v>74</v>
      </c>
      <c r="AG977" s="2" t="s">
        <v>74</v>
      </c>
      <c r="AH977" s="2" t="s">
        <v>74</v>
      </c>
      <c r="AI977" s="2" t="s">
        <v>74</v>
      </c>
      <c r="AJ977" s="2" t="s">
        <v>74</v>
      </c>
      <c r="AK977" s="2" t="s">
        <v>74</v>
      </c>
      <c r="AL977" s="2" t="s">
        <v>74</v>
      </c>
      <c r="AM977" s="2" t="s">
        <v>74</v>
      </c>
      <c r="AN977" s="2" t="s">
        <v>74</v>
      </c>
      <c r="AO977" s="2" t="s">
        <v>4657</v>
      </c>
      <c r="AP977" s="2" t="s">
        <v>74</v>
      </c>
      <c r="AQ977" s="2" t="s">
        <v>74</v>
      </c>
      <c r="AR977" s="2" t="s">
        <v>74</v>
      </c>
      <c r="AS977" s="2" t="s">
        <v>74</v>
      </c>
      <c r="AT977" s="2" t="s">
        <v>305</v>
      </c>
      <c r="AU977" s="2">
        <v>1986</v>
      </c>
      <c r="AV977" s="2">
        <v>98</v>
      </c>
      <c r="AW977" s="2">
        <v>4</v>
      </c>
      <c r="AX977" s="2" t="s">
        <v>74</v>
      </c>
      <c r="AY977" s="2" t="s">
        <v>74</v>
      </c>
      <c r="AZ977" s="2" t="s">
        <v>74</v>
      </c>
      <c r="BA977" s="2" t="s">
        <v>74</v>
      </c>
      <c r="BB977" s="2">
        <v>571</v>
      </c>
      <c r="BC977" s="2">
        <v>580</v>
      </c>
      <c r="BD977" s="2" t="s">
        <v>74</v>
      </c>
      <c r="BE977" s="2" t="s">
        <v>74</v>
      </c>
      <c r="BF977" s="2" t="s">
        <v>74</v>
      </c>
      <c r="BG977" s="2" t="s">
        <v>74</v>
      </c>
      <c r="BH977" s="2" t="s">
        <v>74</v>
      </c>
      <c r="BI977" s="2" t="s">
        <v>74</v>
      </c>
      <c r="BJ977" s="2" t="s">
        <v>74</v>
      </c>
      <c r="BK977" s="2" t="s">
        <v>74</v>
      </c>
      <c r="BL977" s="2" t="s">
        <v>74</v>
      </c>
      <c r="BM977" s="2" t="s">
        <v>74</v>
      </c>
      <c r="BN977" s="2" t="s">
        <v>74</v>
      </c>
      <c r="BO977" s="2" t="s">
        <v>74</v>
      </c>
      <c r="BP977" s="2" t="s">
        <v>74</v>
      </c>
      <c r="BQ977" s="2" t="s">
        <v>74</v>
      </c>
      <c r="BR977" s="2" t="s">
        <v>74</v>
      </c>
      <c r="BS977" s="2" t="s">
        <v>5763</v>
      </c>
      <c r="BT977" s="2" t="str">
        <f>HYPERLINK("https%3A%2F%2Fwww.webofscience.com%2Fwos%2Fwoscc%2Ffull-record%2FWOS:A1986F283900007","View Full Record in Web of Science")</f>
        <v>View Full Record in Web of Science</v>
      </c>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row>
    <row r="978" spans="1:314" s="2" customFormat="1" x14ac:dyDescent="0.4">
      <c r="A978" s="2" t="s">
        <v>72</v>
      </c>
      <c r="B978" s="2" t="s">
        <v>7303</v>
      </c>
      <c r="C978" s="2" t="s">
        <v>74</v>
      </c>
      <c r="D978" s="2" t="s">
        <v>74</v>
      </c>
      <c r="E978" s="2" t="s">
        <v>74</v>
      </c>
      <c r="F978" s="2" t="s">
        <v>7304</v>
      </c>
      <c r="G978" s="2" t="s">
        <v>74</v>
      </c>
      <c r="H978" s="2" t="s">
        <v>74</v>
      </c>
      <c r="I978" s="2" t="s">
        <v>7305</v>
      </c>
      <c r="J978" s="2" t="s">
        <v>4114</v>
      </c>
      <c r="K978" s="2" t="s">
        <v>74</v>
      </c>
      <c r="L978" s="2" t="s">
        <v>74</v>
      </c>
      <c r="M978" s="2" t="s">
        <v>74</v>
      </c>
      <c r="N978" s="2" t="s">
        <v>74</v>
      </c>
      <c r="O978" s="2" t="s">
        <v>74</v>
      </c>
      <c r="P978" s="2" t="s">
        <v>74</v>
      </c>
      <c r="Q978" s="2" t="s">
        <v>74</v>
      </c>
      <c r="R978" s="2" t="s">
        <v>74</v>
      </c>
      <c r="S978" s="2" t="s">
        <v>74</v>
      </c>
      <c r="T978" s="2" t="s">
        <v>74</v>
      </c>
      <c r="U978" s="2" t="s">
        <v>74</v>
      </c>
      <c r="V978" s="5" t="s">
        <v>7306</v>
      </c>
      <c r="W978" s="2" t="s">
        <v>74</v>
      </c>
      <c r="X978" s="2" t="s">
        <v>74</v>
      </c>
      <c r="Y978" s="2" t="s">
        <v>74</v>
      </c>
      <c r="Z978" s="2" t="s">
        <v>74</v>
      </c>
      <c r="AA978" s="2" t="s">
        <v>7307</v>
      </c>
      <c r="AB978" s="2" t="s">
        <v>7308</v>
      </c>
      <c r="AC978" s="2" t="s">
        <v>74</v>
      </c>
      <c r="AD978" s="2" t="s">
        <v>74</v>
      </c>
      <c r="AE978" s="2" t="s">
        <v>74</v>
      </c>
      <c r="AF978" s="2" t="s">
        <v>74</v>
      </c>
      <c r="AG978" s="2" t="s">
        <v>74</v>
      </c>
      <c r="AH978" s="2" t="s">
        <v>74</v>
      </c>
      <c r="AI978" s="2" t="s">
        <v>74</v>
      </c>
      <c r="AJ978" s="2" t="s">
        <v>74</v>
      </c>
      <c r="AK978" s="2" t="s">
        <v>74</v>
      </c>
      <c r="AL978" s="2" t="s">
        <v>74</v>
      </c>
      <c r="AM978" s="2" t="s">
        <v>74</v>
      </c>
      <c r="AN978" s="2" t="s">
        <v>74</v>
      </c>
      <c r="AO978" s="2" t="s">
        <v>4116</v>
      </c>
      <c r="AP978" s="2" t="s">
        <v>4117</v>
      </c>
      <c r="AQ978" s="2" t="s">
        <v>74</v>
      </c>
      <c r="AR978" s="2" t="s">
        <v>74</v>
      </c>
      <c r="AS978" s="2" t="s">
        <v>74</v>
      </c>
      <c r="AT978" s="2" t="s">
        <v>145</v>
      </c>
      <c r="AU978" s="2">
        <v>2016</v>
      </c>
      <c r="AV978" s="2">
        <v>41</v>
      </c>
      <c r="AW978" s="2">
        <v>4</v>
      </c>
      <c r="AX978" s="2" t="s">
        <v>74</v>
      </c>
      <c r="AY978" s="2" t="s">
        <v>74</v>
      </c>
      <c r="AZ978" s="2" t="s">
        <v>74</v>
      </c>
      <c r="BA978" s="2" t="s">
        <v>74</v>
      </c>
      <c r="BB978" s="2">
        <v>451</v>
      </c>
      <c r="BC978" s="2">
        <v>458</v>
      </c>
      <c r="BD978" s="2" t="s">
        <v>74</v>
      </c>
      <c r="BE978" s="2" t="s">
        <v>7309</v>
      </c>
      <c r="BF978" s="2" t="str">
        <f>HYPERLINK("http://dx.doi.org/10.1111/een.12315","http://dx.doi.org/10.1111/een.12315")</f>
        <v>http://dx.doi.org/10.1111/een.12315</v>
      </c>
      <c r="BG978" s="2" t="s">
        <v>74</v>
      </c>
      <c r="BH978" s="2" t="s">
        <v>74</v>
      </c>
      <c r="BI978" s="2" t="s">
        <v>74</v>
      </c>
      <c r="BJ978" s="2" t="s">
        <v>74</v>
      </c>
      <c r="BK978" s="2" t="s">
        <v>74</v>
      </c>
      <c r="BL978" s="2" t="s">
        <v>74</v>
      </c>
      <c r="BM978" s="2" t="s">
        <v>74</v>
      </c>
      <c r="BN978" s="2" t="s">
        <v>74</v>
      </c>
      <c r="BO978" s="2" t="s">
        <v>74</v>
      </c>
      <c r="BP978" s="2" t="s">
        <v>74</v>
      </c>
      <c r="BQ978" s="2" t="s">
        <v>74</v>
      </c>
      <c r="BR978" s="2" t="s">
        <v>74</v>
      </c>
      <c r="BS978" s="2" t="s">
        <v>7310</v>
      </c>
      <c r="BT978" s="2" t="str">
        <f>HYPERLINK("https%3A%2F%2Fwww.webofscience.com%2Fwos%2Fwoscc%2Ffull-record%2FWOS:000379942700010","View Full Record in Web of Science")</f>
        <v>View Full Record in Web of Science</v>
      </c>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row>
    <row r="979" spans="1:314" s="7" customFormat="1" x14ac:dyDescent="0.4">
      <c r="A979" s="2" t="s">
        <v>72</v>
      </c>
      <c r="B979" s="2" t="s">
        <v>3159</v>
      </c>
      <c r="C979" s="2" t="s">
        <v>74</v>
      </c>
      <c r="D979" s="2" t="s">
        <v>74</v>
      </c>
      <c r="E979" s="2" t="s">
        <v>74</v>
      </c>
      <c r="F979" s="2" t="s">
        <v>3160</v>
      </c>
      <c r="G979" s="2" t="s">
        <v>74</v>
      </c>
      <c r="H979" s="2" t="s">
        <v>74</v>
      </c>
      <c r="I979" s="2" t="s">
        <v>3161</v>
      </c>
      <c r="J979" s="2" t="s">
        <v>201</v>
      </c>
      <c r="K979" s="2" t="s">
        <v>74</v>
      </c>
      <c r="L979" s="2" t="s">
        <v>74</v>
      </c>
      <c r="M979" s="2" t="s">
        <v>74</v>
      </c>
      <c r="N979" s="2" t="s">
        <v>74</v>
      </c>
      <c r="O979" s="2" t="s">
        <v>74</v>
      </c>
      <c r="P979" s="2" t="s">
        <v>74</v>
      </c>
      <c r="Q979" s="2" t="s">
        <v>74</v>
      </c>
      <c r="R979" s="2" t="s">
        <v>74</v>
      </c>
      <c r="S979" s="2" t="s">
        <v>74</v>
      </c>
      <c r="T979" s="2" t="s">
        <v>74</v>
      </c>
      <c r="U979" s="2" t="s">
        <v>74</v>
      </c>
      <c r="V979" s="5" t="s">
        <v>3162</v>
      </c>
      <c r="W979" s="2" t="s">
        <v>74</v>
      </c>
      <c r="X979" s="2" t="s">
        <v>74</v>
      </c>
      <c r="Y979" s="2" t="s">
        <v>74</v>
      </c>
      <c r="Z979" s="2" t="s">
        <v>74</v>
      </c>
      <c r="AA979" s="2" t="s">
        <v>3163</v>
      </c>
      <c r="AB979" s="2" t="s">
        <v>3164</v>
      </c>
      <c r="AC979" s="2" t="s">
        <v>74</v>
      </c>
      <c r="AD979" s="2" t="s">
        <v>74</v>
      </c>
      <c r="AE979" s="2" t="s">
        <v>74</v>
      </c>
      <c r="AF979" s="2" t="s">
        <v>74</v>
      </c>
      <c r="AG979" s="2" t="s">
        <v>74</v>
      </c>
      <c r="AH979" s="2" t="s">
        <v>74</v>
      </c>
      <c r="AI979" s="2" t="s">
        <v>74</v>
      </c>
      <c r="AJ979" s="2" t="s">
        <v>74</v>
      </c>
      <c r="AK979" s="2" t="s">
        <v>74</v>
      </c>
      <c r="AL979" s="2" t="s">
        <v>74</v>
      </c>
      <c r="AM979" s="2" t="s">
        <v>74</v>
      </c>
      <c r="AN979" s="2" t="s">
        <v>74</v>
      </c>
      <c r="AO979" s="2" t="s">
        <v>203</v>
      </c>
      <c r="AP979" s="2" t="s">
        <v>1192</v>
      </c>
      <c r="AQ979" s="2" t="s">
        <v>74</v>
      </c>
      <c r="AR979" s="2" t="s">
        <v>74</v>
      </c>
      <c r="AS979" s="2" t="s">
        <v>74</v>
      </c>
      <c r="AT979" s="2" t="s">
        <v>123</v>
      </c>
      <c r="AU979" s="2">
        <v>2015</v>
      </c>
      <c r="AV979" s="2">
        <v>86</v>
      </c>
      <c r="AW979" s="2">
        <v>3</v>
      </c>
      <c r="AX979" s="2" t="s">
        <v>74</v>
      </c>
      <c r="AY979" s="2" t="s">
        <v>74</v>
      </c>
      <c r="AZ979" s="2" t="s">
        <v>74</v>
      </c>
      <c r="BA979" s="2" t="s">
        <v>74</v>
      </c>
      <c r="BB979" s="2">
        <v>1109</v>
      </c>
      <c r="BC979" s="2">
        <v>1120</v>
      </c>
      <c r="BD979" s="2" t="s">
        <v>74</v>
      </c>
      <c r="BE979" s="2" t="s">
        <v>3165</v>
      </c>
      <c r="BF979" s="2" t="str">
        <f>HYPERLINK("http://dx.doi.org/10.1111/jfb.12618","http://dx.doi.org/10.1111/jfb.12618")</f>
        <v>http://dx.doi.org/10.1111/jfb.12618</v>
      </c>
      <c r="BG979" s="2" t="s">
        <v>74</v>
      </c>
      <c r="BH979" s="2" t="s">
        <v>74</v>
      </c>
      <c r="BI979" s="2" t="s">
        <v>74</v>
      </c>
      <c r="BJ979" s="2" t="s">
        <v>74</v>
      </c>
      <c r="BK979" s="2" t="s">
        <v>74</v>
      </c>
      <c r="BL979" s="2" t="s">
        <v>74</v>
      </c>
      <c r="BM979" s="2" t="s">
        <v>74</v>
      </c>
      <c r="BN979" s="2">
        <v>25619403</v>
      </c>
      <c r="BO979" s="2" t="s">
        <v>74</v>
      </c>
      <c r="BP979" s="2" t="s">
        <v>74</v>
      </c>
      <c r="BQ979" s="2" t="s">
        <v>74</v>
      </c>
      <c r="BR979" s="2" t="s">
        <v>74</v>
      </c>
      <c r="BS979" s="2" t="s">
        <v>3166</v>
      </c>
      <c r="BT979" s="2" t="str">
        <f>HYPERLINK("https%3A%2F%2Fwww.webofscience.com%2Fwos%2Fwoscc%2Ffull-record%2FWOS:000351356700014","View Full Record in Web of Science")</f>
        <v>View Full Record in Web of Science</v>
      </c>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row>
    <row r="980" spans="1:314" s="2" customFormat="1" x14ac:dyDescent="0.4">
      <c r="A980" s="2" t="s">
        <v>72</v>
      </c>
      <c r="B980" s="2" t="s">
        <v>4927</v>
      </c>
      <c r="C980" s="2" t="s">
        <v>74</v>
      </c>
      <c r="D980" s="2" t="s">
        <v>74</v>
      </c>
      <c r="E980" s="2" t="s">
        <v>74</v>
      </c>
      <c r="F980" s="2" t="s">
        <v>4927</v>
      </c>
      <c r="G980" s="2" t="s">
        <v>74</v>
      </c>
      <c r="H980" s="2" t="s">
        <v>74</v>
      </c>
      <c r="I980" s="2" t="s">
        <v>4928</v>
      </c>
      <c r="J980" s="2" t="s">
        <v>140</v>
      </c>
      <c r="K980" s="2" t="s">
        <v>74</v>
      </c>
      <c r="L980" s="2" t="s">
        <v>74</v>
      </c>
      <c r="M980" s="2" t="s">
        <v>74</v>
      </c>
      <c r="N980" s="2" t="s">
        <v>74</v>
      </c>
      <c r="O980" s="2" t="s">
        <v>74</v>
      </c>
      <c r="P980" s="2" t="s">
        <v>74</v>
      </c>
      <c r="Q980" s="2" t="s">
        <v>74</v>
      </c>
      <c r="R980" s="2" t="s">
        <v>74</v>
      </c>
      <c r="S980" s="2" t="s">
        <v>74</v>
      </c>
      <c r="T980" s="2" t="s">
        <v>74</v>
      </c>
      <c r="U980" s="2" t="s">
        <v>74</v>
      </c>
      <c r="V980" s="5" t="s">
        <v>4929</v>
      </c>
      <c r="W980" s="2" t="s">
        <v>74</v>
      </c>
      <c r="X980" s="2" t="s">
        <v>74</v>
      </c>
      <c r="Y980" s="2" t="s">
        <v>74</v>
      </c>
      <c r="Z980" s="2" t="s">
        <v>74</v>
      </c>
      <c r="AA980" s="2" t="s">
        <v>74</v>
      </c>
      <c r="AB980" s="2" t="s">
        <v>74</v>
      </c>
      <c r="AC980" s="2" t="s">
        <v>74</v>
      </c>
      <c r="AD980" s="2" t="s">
        <v>74</v>
      </c>
      <c r="AE980" s="2" t="s">
        <v>74</v>
      </c>
      <c r="AF980" s="2" t="s">
        <v>74</v>
      </c>
      <c r="AG980" s="2" t="s">
        <v>74</v>
      </c>
      <c r="AH980" s="2" t="s">
        <v>74</v>
      </c>
      <c r="AI980" s="2" t="s">
        <v>74</v>
      </c>
      <c r="AJ980" s="2" t="s">
        <v>74</v>
      </c>
      <c r="AK980" s="2" t="s">
        <v>74</v>
      </c>
      <c r="AL980" s="2" t="s">
        <v>74</v>
      </c>
      <c r="AM980" s="2" t="s">
        <v>74</v>
      </c>
      <c r="AN980" s="2" t="s">
        <v>74</v>
      </c>
      <c r="AO980" s="2" t="s">
        <v>143</v>
      </c>
      <c r="AP980" s="2" t="s">
        <v>144</v>
      </c>
      <c r="AQ980" s="2" t="s">
        <v>74</v>
      </c>
      <c r="AR980" s="2" t="s">
        <v>74</v>
      </c>
      <c r="AS980" s="2" t="s">
        <v>74</v>
      </c>
      <c r="AT980" s="2" t="s">
        <v>74</v>
      </c>
      <c r="AU980" s="2">
        <v>1978</v>
      </c>
      <c r="AV980" s="2">
        <v>26</v>
      </c>
      <c r="AW980" s="2" t="s">
        <v>213</v>
      </c>
      <c r="AX980" s="2" t="s">
        <v>74</v>
      </c>
      <c r="AY980" s="2" t="s">
        <v>74</v>
      </c>
      <c r="AZ980" s="2" t="s">
        <v>74</v>
      </c>
      <c r="BA980" s="2" t="s">
        <v>74</v>
      </c>
      <c r="BB980" s="2">
        <v>1120</v>
      </c>
      <c r="BC980" s="2">
        <v>1125</v>
      </c>
      <c r="BD980" s="2" t="s">
        <v>74</v>
      </c>
      <c r="BE980" s="2" t="s">
        <v>4930</v>
      </c>
      <c r="BF980" s="2" t="str">
        <f>HYPERLINK("http://dx.doi.org/10.1016/0003-3472(78)90101-X","http://dx.doi.org/10.1016/0003-3472(78)90101-X")</f>
        <v>http://dx.doi.org/10.1016/0003-3472(78)90101-X</v>
      </c>
      <c r="BG980" s="2" t="s">
        <v>74</v>
      </c>
      <c r="BH980" s="2" t="s">
        <v>74</v>
      </c>
      <c r="BI980" s="2" t="s">
        <v>74</v>
      </c>
      <c r="BJ980" s="2" t="s">
        <v>74</v>
      </c>
      <c r="BK980" s="2" t="s">
        <v>74</v>
      </c>
      <c r="BL980" s="2" t="s">
        <v>74</v>
      </c>
      <c r="BM980" s="2" t="s">
        <v>74</v>
      </c>
      <c r="BN980" s="2" t="s">
        <v>74</v>
      </c>
      <c r="BO980" s="2" t="s">
        <v>74</v>
      </c>
      <c r="BP980" s="2" t="s">
        <v>74</v>
      </c>
      <c r="BQ980" s="2" t="s">
        <v>74</v>
      </c>
      <c r="BR980" s="2" t="s">
        <v>74</v>
      </c>
      <c r="BS980" s="2" t="s">
        <v>4931</v>
      </c>
      <c r="BT980" s="2" t="str">
        <f>HYPERLINK("https%3A%2F%2Fwww.webofscience.com%2Fwos%2Fwoscc%2Ffull-record%2FWOS:A1978GD83400017","View Full Record in Web of Science")</f>
        <v>View Full Record in Web of Science</v>
      </c>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row>
    <row r="981" spans="1:314" s="1" customFormat="1" x14ac:dyDescent="0.4">
      <c r="A981" s="2" t="s">
        <v>72</v>
      </c>
      <c r="B981" s="2" t="s">
        <v>1310</v>
      </c>
      <c r="C981" s="2" t="s">
        <v>74</v>
      </c>
      <c r="D981" s="2" t="s">
        <v>74</v>
      </c>
      <c r="E981" s="2" t="s">
        <v>74</v>
      </c>
      <c r="F981" s="2" t="s">
        <v>1311</v>
      </c>
      <c r="G981" s="2" t="s">
        <v>74</v>
      </c>
      <c r="H981" s="2" t="s">
        <v>74</v>
      </c>
      <c r="I981" s="2" t="s">
        <v>1312</v>
      </c>
      <c r="J981" s="2" t="s">
        <v>140</v>
      </c>
      <c r="K981" s="2" t="s">
        <v>74</v>
      </c>
      <c r="L981" s="2" t="s">
        <v>74</v>
      </c>
      <c r="M981" s="2" t="s">
        <v>74</v>
      </c>
      <c r="N981" s="2" t="s">
        <v>74</v>
      </c>
      <c r="O981" s="2" t="s">
        <v>74</v>
      </c>
      <c r="P981" s="2" t="s">
        <v>74</v>
      </c>
      <c r="Q981" s="2" t="s">
        <v>74</v>
      </c>
      <c r="R981" s="2" t="s">
        <v>74</v>
      </c>
      <c r="S981" s="2" t="s">
        <v>74</v>
      </c>
      <c r="T981" s="2" t="s">
        <v>74</v>
      </c>
      <c r="U981" s="2" t="s">
        <v>74</v>
      </c>
      <c r="V981" s="5" t="s">
        <v>1313</v>
      </c>
      <c r="W981" s="2" t="s">
        <v>74</v>
      </c>
      <c r="X981" s="2" t="s">
        <v>74</v>
      </c>
      <c r="Y981" s="2" t="s">
        <v>74</v>
      </c>
      <c r="Z981" s="2" t="s">
        <v>74</v>
      </c>
      <c r="AA981" s="2" t="s">
        <v>74</v>
      </c>
      <c r="AB981" s="2" t="s">
        <v>74</v>
      </c>
      <c r="AC981" s="2" t="s">
        <v>74</v>
      </c>
      <c r="AD981" s="2" t="s">
        <v>74</v>
      </c>
      <c r="AE981" s="2" t="s">
        <v>74</v>
      </c>
      <c r="AF981" s="2" t="s">
        <v>74</v>
      </c>
      <c r="AG981" s="2" t="s">
        <v>74</v>
      </c>
      <c r="AH981" s="2" t="s">
        <v>74</v>
      </c>
      <c r="AI981" s="2" t="s">
        <v>74</v>
      </c>
      <c r="AJ981" s="2" t="s">
        <v>74</v>
      </c>
      <c r="AK981" s="2" t="s">
        <v>74</v>
      </c>
      <c r="AL981" s="2" t="s">
        <v>74</v>
      </c>
      <c r="AM981" s="2" t="s">
        <v>74</v>
      </c>
      <c r="AN981" s="2" t="s">
        <v>74</v>
      </c>
      <c r="AO981" s="2" t="s">
        <v>143</v>
      </c>
      <c r="AP981" s="2" t="s">
        <v>74</v>
      </c>
      <c r="AQ981" s="2" t="s">
        <v>74</v>
      </c>
      <c r="AR981" s="2" t="s">
        <v>74</v>
      </c>
      <c r="AS981" s="2" t="s">
        <v>74</v>
      </c>
      <c r="AT981" s="2" t="s">
        <v>633</v>
      </c>
      <c r="AU981" s="2">
        <v>2011</v>
      </c>
      <c r="AV981" s="2">
        <v>81</v>
      </c>
      <c r="AW981" s="2">
        <v>4</v>
      </c>
      <c r="AX981" s="2" t="s">
        <v>74</v>
      </c>
      <c r="AY981" s="2" t="s">
        <v>74</v>
      </c>
      <c r="AZ981" s="2" t="s">
        <v>74</v>
      </c>
      <c r="BA981" s="2" t="s">
        <v>74</v>
      </c>
      <c r="BB981" s="2">
        <v>825</v>
      </c>
      <c r="BC981" s="2">
        <v>829</v>
      </c>
      <c r="BD981" s="2" t="s">
        <v>74</v>
      </c>
      <c r="BE981" s="2" t="s">
        <v>1314</v>
      </c>
      <c r="BF981" s="2" t="str">
        <f>HYPERLINK("http://dx.doi.org/10.1016/j.anbehav.2011.01.017","http://dx.doi.org/10.1016/j.anbehav.2011.01.017")</f>
        <v>http://dx.doi.org/10.1016/j.anbehav.2011.01.017</v>
      </c>
      <c r="BG981" s="2" t="s">
        <v>74</v>
      </c>
      <c r="BH981" s="2" t="s">
        <v>74</v>
      </c>
      <c r="BI981" s="2" t="s">
        <v>74</v>
      </c>
      <c r="BJ981" s="2" t="s">
        <v>74</v>
      </c>
      <c r="BK981" s="2" t="s">
        <v>74</v>
      </c>
      <c r="BL981" s="2" t="s">
        <v>74</v>
      </c>
      <c r="BM981" s="2" t="s">
        <v>74</v>
      </c>
      <c r="BN981" s="2" t="s">
        <v>74</v>
      </c>
      <c r="BO981" s="2" t="s">
        <v>74</v>
      </c>
      <c r="BP981" s="2" t="s">
        <v>74</v>
      </c>
      <c r="BQ981" s="2" t="s">
        <v>74</v>
      </c>
      <c r="BR981" s="2" t="s">
        <v>74</v>
      </c>
      <c r="BS981" s="2" t="s">
        <v>1315</v>
      </c>
      <c r="BT981" s="2" t="str">
        <f>HYPERLINK("https%3A%2F%2Fwww.webofscience.com%2Fwos%2Fwoscc%2Ffull-record%2FWOS:000288651200019","View Full Record in Web of Science")</f>
        <v>View Full Record in Web of Science</v>
      </c>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row>
    <row r="982" spans="1:314" s="2" customFormat="1" x14ac:dyDescent="0.4">
      <c r="A982" s="2" t="s">
        <v>72</v>
      </c>
      <c r="B982" s="2" t="s">
        <v>5857</v>
      </c>
      <c r="C982" s="2" t="s">
        <v>74</v>
      </c>
      <c r="D982" s="2" t="s">
        <v>74</v>
      </c>
      <c r="E982" s="2" t="s">
        <v>74</v>
      </c>
      <c r="F982" s="2" t="s">
        <v>5858</v>
      </c>
      <c r="G982" s="2" t="s">
        <v>74</v>
      </c>
      <c r="H982" s="2" t="s">
        <v>74</v>
      </c>
      <c r="I982" s="2" t="s">
        <v>5859</v>
      </c>
      <c r="J982" s="2" t="s">
        <v>509</v>
      </c>
      <c r="K982" s="2" t="s">
        <v>74</v>
      </c>
      <c r="L982" s="2" t="s">
        <v>74</v>
      </c>
      <c r="M982" s="2" t="s">
        <v>74</v>
      </c>
      <c r="N982" s="2" t="s">
        <v>74</v>
      </c>
      <c r="O982" s="2" t="s">
        <v>74</v>
      </c>
      <c r="P982" s="2" t="s">
        <v>74</v>
      </c>
      <c r="Q982" s="2" t="s">
        <v>74</v>
      </c>
      <c r="R982" s="2" t="s">
        <v>74</v>
      </c>
      <c r="S982" s="2" t="s">
        <v>74</v>
      </c>
      <c r="T982" s="2" t="s">
        <v>74</v>
      </c>
      <c r="U982" s="2" t="s">
        <v>74</v>
      </c>
      <c r="V982" s="5" t="s">
        <v>5860</v>
      </c>
      <c r="W982" s="2" t="s">
        <v>74</v>
      </c>
      <c r="X982" s="2" t="s">
        <v>74</v>
      </c>
      <c r="Y982" s="2" t="s">
        <v>74</v>
      </c>
      <c r="Z982" s="2" t="s">
        <v>74</v>
      </c>
      <c r="AA982" s="2" t="s">
        <v>5861</v>
      </c>
      <c r="AB982" s="2" t="s">
        <v>5862</v>
      </c>
      <c r="AC982" s="2" t="s">
        <v>74</v>
      </c>
      <c r="AD982" s="2" t="s">
        <v>74</v>
      </c>
      <c r="AE982" s="2" t="s">
        <v>74</v>
      </c>
      <c r="AF982" s="2" t="s">
        <v>74</v>
      </c>
      <c r="AG982" s="2" t="s">
        <v>74</v>
      </c>
      <c r="AH982" s="2" t="s">
        <v>74</v>
      </c>
      <c r="AI982" s="2" t="s">
        <v>74</v>
      </c>
      <c r="AJ982" s="2" t="s">
        <v>74</v>
      </c>
      <c r="AK982" s="2" t="s">
        <v>74</v>
      </c>
      <c r="AL982" s="2" t="s">
        <v>74</v>
      </c>
      <c r="AM982" s="2" t="s">
        <v>74</v>
      </c>
      <c r="AN982" s="2" t="s">
        <v>74</v>
      </c>
      <c r="AO982" s="2" t="s">
        <v>511</v>
      </c>
      <c r="AP982" s="2" t="s">
        <v>512</v>
      </c>
      <c r="AQ982" s="2" t="s">
        <v>74</v>
      </c>
      <c r="AR982" s="2" t="s">
        <v>74</v>
      </c>
      <c r="AS982" s="2" t="s">
        <v>74</v>
      </c>
      <c r="AT982" s="2" t="s">
        <v>352</v>
      </c>
      <c r="AU982" s="2">
        <v>2008</v>
      </c>
      <c r="AV982" s="2">
        <v>54</v>
      </c>
      <c r="AW982" s="2">
        <v>4</v>
      </c>
      <c r="AX982" s="2" t="s">
        <v>74</v>
      </c>
      <c r="AY982" s="2" t="s">
        <v>74</v>
      </c>
      <c r="AZ982" s="2" t="s">
        <v>74</v>
      </c>
      <c r="BA982" s="2" t="s">
        <v>74</v>
      </c>
      <c r="BB982" s="2">
        <v>549</v>
      </c>
      <c r="BC982" s="2">
        <v>556</v>
      </c>
      <c r="BD982" s="2" t="s">
        <v>74</v>
      </c>
      <c r="BE982" s="2" t="s">
        <v>5863</v>
      </c>
      <c r="BF982" s="2" t="str">
        <f>HYPERLINK("http://dx.doi.org/10.1016/j.yhbeh.2008.05.018","http://dx.doi.org/10.1016/j.yhbeh.2008.05.018")</f>
        <v>http://dx.doi.org/10.1016/j.yhbeh.2008.05.018</v>
      </c>
      <c r="BG982" s="2" t="s">
        <v>74</v>
      </c>
      <c r="BH982" s="2" t="s">
        <v>74</v>
      </c>
      <c r="BI982" s="2" t="s">
        <v>74</v>
      </c>
      <c r="BJ982" s="2" t="s">
        <v>74</v>
      </c>
      <c r="BK982" s="2" t="s">
        <v>74</v>
      </c>
      <c r="BL982" s="2" t="s">
        <v>74</v>
      </c>
      <c r="BM982" s="2" t="s">
        <v>74</v>
      </c>
      <c r="BN982" s="2">
        <v>18586039</v>
      </c>
      <c r="BO982" s="2" t="s">
        <v>74</v>
      </c>
      <c r="BP982" s="2" t="s">
        <v>74</v>
      </c>
      <c r="BQ982" s="2" t="s">
        <v>74</v>
      </c>
      <c r="BR982" s="2" t="s">
        <v>74</v>
      </c>
      <c r="BS982" s="2" t="s">
        <v>5864</v>
      </c>
      <c r="BT982" s="2" t="str">
        <f>HYPERLINK("https%3A%2F%2Fwww.webofscience.com%2Fwos%2Fwoscc%2Ffull-record%2FWOS:000259159200011","View Full Record in Web of Science")</f>
        <v>View Full Record in Web of Science</v>
      </c>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row>
    <row r="983" spans="1:314" s="2" customFormat="1" x14ac:dyDescent="0.4">
      <c r="A983" s="2" t="s">
        <v>72</v>
      </c>
      <c r="B983" s="2" t="s">
        <v>5127</v>
      </c>
      <c r="C983" s="2" t="s">
        <v>74</v>
      </c>
      <c r="D983" s="2" t="s">
        <v>74</v>
      </c>
      <c r="E983" s="2" t="s">
        <v>74</v>
      </c>
      <c r="F983" s="2" t="s">
        <v>5127</v>
      </c>
      <c r="G983" s="2" t="s">
        <v>74</v>
      </c>
      <c r="H983" s="2" t="s">
        <v>74</v>
      </c>
      <c r="I983" s="2" t="s">
        <v>5128</v>
      </c>
      <c r="J983" s="2" t="s">
        <v>5129</v>
      </c>
      <c r="K983" s="2" t="s">
        <v>74</v>
      </c>
      <c r="L983" s="2" t="s">
        <v>74</v>
      </c>
      <c r="M983" s="2" t="s">
        <v>74</v>
      </c>
      <c r="N983" s="2" t="s">
        <v>74</v>
      </c>
      <c r="O983" s="2" t="s">
        <v>74</v>
      </c>
      <c r="P983" s="2" t="s">
        <v>74</v>
      </c>
      <c r="Q983" s="2" t="s">
        <v>74</v>
      </c>
      <c r="R983" s="2" t="s">
        <v>74</v>
      </c>
      <c r="S983" s="2" t="s">
        <v>74</v>
      </c>
      <c r="T983" s="2" t="s">
        <v>74</v>
      </c>
      <c r="U983" s="2" t="s">
        <v>74</v>
      </c>
      <c r="V983" s="5" t="s">
        <v>5130</v>
      </c>
      <c r="W983" s="2" t="s">
        <v>74</v>
      </c>
      <c r="X983" s="2" t="s">
        <v>74</v>
      </c>
      <c r="Y983" s="2" t="s">
        <v>74</v>
      </c>
      <c r="Z983" s="2" t="s">
        <v>74</v>
      </c>
      <c r="AA983" s="2" t="s">
        <v>74</v>
      </c>
      <c r="AB983" s="2" t="s">
        <v>74</v>
      </c>
      <c r="AC983" s="2" t="s">
        <v>74</v>
      </c>
      <c r="AD983" s="2" t="s">
        <v>74</v>
      </c>
      <c r="AE983" s="2" t="s">
        <v>74</v>
      </c>
      <c r="AF983" s="2" t="s">
        <v>74</v>
      </c>
      <c r="AG983" s="2" t="s">
        <v>74</v>
      </c>
      <c r="AH983" s="2" t="s">
        <v>74</v>
      </c>
      <c r="AI983" s="2" t="s">
        <v>74</v>
      </c>
      <c r="AJ983" s="2" t="s">
        <v>74</v>
      </c>
      <c r="AK983" s="2" t="s">
        <v>74</v>
      </c>
      <c r="AL983" s="2" t="s">
        <v>74</v>
      </c>
      <c r="AM983" s="2" t="s">
        <v>74</v>
      </c>
      <c r="AN983" s="2" t="s">
        <v>74</v>
      </c>
      <c r="AO983" s="2" t="s">
        <v>5131</v>
      </c>
      <c r="AP983" s="2" t="s">
        <v>5132</v>
      </c>
      <c r="AQ983" s="2" t="s">
        <v>74</v>
      </c>
      <c r="AR983" s="2" t="s">
        <v>74</v>
      </c>
      <c r="AS983" s="2" t="s">
        <v>74</v>
      </c>
      <c r="AT983" s="2" t="s">
        <v>74</v>
      </c>
      <c r="AU983" s="2">
        <v>1993</v>
      </c>
      <c r="AV983" s="2">
        <v>81</v>
      </c>
      <c r="AW983" s="2">
        <v>1</v>
      </c>
      <c r="AX983" s="2" t="s">
        <v>74</v>
      </c>
      <c r="AY983" s="2" t="s">
        <v>74</v>
      </c>
      <c r="AZ983" s="2" t="s">
        <v>74</v>
      </c>
      <c r="BA983" s="2" t="s">
        <v>74</v>
      </c>
      <c r="BB983" s="2">
        <v>35</v>
      </c>
      <c r="BC983" s="2">
        <v>41</v>
      </c>
      <c r="BD983" s="2" t="s">
        <v>74</v>
      </c>
      <c r="BE983" s="2" t="s">
        <v>74</v>
      </c>
      <c r="BF983" s="2" t="s">
        <v>74</v>
      </c>
      <c r="BG983" s="2" t="s">
        <v>74</v>
      </c>
      <c r="BH983" s="2" t="s">
        <v>74</v>
      </c>
      <c r="BI983" s="2" t="s">
        <v>74</v>
      </c>
      <c r="BJ983" s="2" t="s">
        <v>74</v>
      </c>
      <c r="BK983" s="2" t="s">
        <v>74</v>
      </c>
      <c r="BL983" s="2" t="s">
        <v>74</v>
      </c>
      <c r="BM983" s="2" t="s">
        <v>74</v>
      </c>
      <c r="BN983" s="2" t="s">
        <v>74</v>
      </c>
      <c r="BO983" s="2" t="s">
        <v>74</v>
      </c>
      <c r="BP983" s="2" t="s">
        <v>74</v>
      </c>
      <c r="BQ983" s="2" t="s">
        <v>74</v>
      </c>
      <c r="BR983" s="2" t="s">
        <v>74</v>
      </c>
      <c r="BS983" s="2" t="s">
        <v>5133</v>
      </c>
      <c r="BT983" s="2" t="str">
        <f>HYPERLINK("https%3A%2F%2Fwww.webofscience.com%2Fwos%2Fwoscc%2Ffull-record%2FWOS:A1993LV04800007","View Full Record in Web of Science")</f>
        <v>View Full Record in Web of Science</v>
      </c>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row>
    <row r="984" spans="1:314" s="2" customFormat="1" x14ac:dyDescent="0.4">
      <c r="A984" s="2" t="s">
        <v>72</v>
      </c>
      <c r="B984" s="2" t="s">
        <v>3310</v>
      </c>
      <c r="C984" s="2" t="s">
        <v>74</v>
      </c>
      <c r="D984" s="2" t="s">
        <v>74</v>
      </c>
      <c r="E984" s="2" t="s">
        <v>74</v>
      </c>
      <c r="F984" s="2" t="s">
        <v>3310</v>
      </c>
      <c r="G984" s="2" t="s">
        <v>74</v>
      </c>
      <c r="H984" s="2" t="s">
        <v>74</v>
      </c>
      <c r="I984" s="2" t="s">
        <v>3311</v>
      </c>
      <c r="J984" s="2" t="s">
        <v>108</v>
      </c>
      <c r="K984" s="2" t="s">
        <v>74</v>
      </c>
      <c r="L984" s="2" t="s">
        <v>74</v>
      </c>
      <c r="M984" s="2" t="s">
        <v>74</v>
      </c>
      <c r="N984" s="2" t="s">
        <v>74</v>
      </c>
      <c r="O984" s="2" t="s">
        <v>74</v>
      </c>
      <c r="P984" s="2" t="s">
        <v>74</v>
      </c>
      <c r="Q984" s="2" t="s">
        <v>74</v>
      </c>
      <c r="R984" s="2" t="s">
        <v>74</v>
      </c>
      <c r="S984" s="2" t="s">
        <v>74</v>
      </c>
      <c r="T984" s="2" t="s">
        <v>74</v>
      </c>
      <c r="U984" s="2" t="s">
        <v>74</v>
      </c>
      <c r="V984" s="5" t="s">
        <v>3312</v>
      </c>
      <c r="W984" s="2" t="s">
        <v>74</v>
      </c>
      <c r="X984" s="2" t="s">
        <v>74</v>
      </c>
      <c r="Y984" s="2" t="s">
        <v>74</v>
      </c>
      <c r="Z984" s="2" t="s">
        <v>74</v>
      </c>
      <c r="AA984" s="2" t="s">
        <v>74</v>
      </c>
      <c r="AB984" s="2" t="s">
        <v>74</v>
      </c>
      <c r="AC984" s="2" t="s">
        <v>74</v>
      </c>
      <c r="AD984" s="2" t="s">
        <v>74</v>
      </c>
      <c r="AE984" s="2" t="s">
        <v>74</v>
      </c>
      <c r="AF984" s="2" t="s">
        <v>74</v>
      </c>
      <c r="AG984" s="2" t="s">
        <v>74</v>
      </c>
      <c r="AH984" s="2" t="s">
        <v>74</v>
      </c>
      <c r="AI984" s="2" t="s">
        <v>74</v>
      </c>
      <c r="AJ984" s="2" t="s">
        <v>74</v>
      </c>
      <c r="AK984" s="2" t="s">
        <v>74</v>
      </c>
      <c r="AL984" s="2" t="s">
        <v>74</v>
      </c>
      <c r="AM984" s="2" t="s">
        <v>74</v>
      </c>
      <c r="AN984" s="2" t="s">
        <v>74</v>
      </c>
      <c r="AO984" s="2" t="s">
        <v>111</v>
      </c>
      <c r="AP984" s="2" t="s">
        <v>112</v>
      </c>
      <c r="AQ984" s="2" t="s">
        <v>74</v>
      </c>
      <c r="AR984" s="2" t="s">
        <v>74</v>
      </c>
      <c r="AS984" s="2" t="s">
        <v>74</v>
      </c>
      <c r="AT984" s="2" t="s">
        <v>3313</v>
      </c>
      <c r="AU984" s="2">
        <v>1999</v>
      </c>
      <c r="AV984" s="2">
        <v>266</v>
      </c>
      <c r="AW984" s="2">
        <v>1422</v>
      </c>
      <c r="AX984" s="2" t="s">
        <v>74</v>
      </c>
      <c r="AY984" s="2" t="s">
        <v>74</v>
      </c>
      <c r="AZ984" s="2" t="s">
        <v>74</v>
      </c>
      <c r="BA984" s="2" t="s">
        <v>74</v>
      </c>
      <c r="BB984" s="2">
        <v>917</v>
      </c>
      <c r="BC984" s="2">
        <v>921</v>
      </c>
      <c r="BD984" s="2" t="s">
        <v>74</v>
      </c>
      <c r="BE984" s="2" t="s">
        <v>3314</v>
      </c>
      <c r="BF984" s="2" t="str">
        <f>HYPERLINK("http://dx.doi.org/10.1098/rspb.1999.0724","http://dx.doi.org/10.1098/rspb.1999.0724")</f>
        <v>http://dx.doi.org/10.1098/rspb.1999.0724</v>
      </c>
      <c r="BG984" s="2" t="s">
        <v>74</v>
      </c>
      <c r="BH984" s="2" t="s">
        <v>74</v>
      </c>
      <c r="BI984" s="2" t="s">
        <v>74</v>
      </c>
      <c r="BJ984" s="2" t="s">
        <v>74</v>
      </c>
      <c r="BK984" s="2" t="s">
        <v>74</v>
      </c>
      <c r="BL984" s="2" t="s">
        <v>74</v>
      </c>
      <c r="BM984" s="2" t="s">
        <v>74</v>
      </c>
      <c r="BN984" s="2" t="s">
        <v>74</v>
      </c>
      <c r="BO984" s="2" t="s">
        <v>74</v>
      </c>
      <c r="BP984" s="2" t="s">
        <v>74</v>
      </c>
      <c r="BQ984" s="2" t="s">
        <v>74</v>
      </c>
      <c r="BR984" s="2" t="s">
        <v>74</v>
      </c>
      <c r="BS984" s="2" t="s">
        <v>3315</v>
      </c>
      <c r="BT984" s="2" t="str">
        <f>HYPERLINK("https%3A%2F%2Fwww.webofscience.com%2Fwos%2Fwoscc%2Ffull-record%2FWOS:000080290100008","View Full Record in Web of Science")</f>
        <v>View Full Record in Web of Science</v>
      </c>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row>
    <row r="985" spans="1:314" s="2" customFormat="1" x14ac:dyDescent="0.4">
      <c r="A985" s="2" t="s">
        <v>72</v>
      </c>
      <c r="B985" s="2" t="s">
        <v>1278</v>
      </c>
      <c r="C985" s="2" t="s">
        <v>74</v>
      </c>
      <c r="D985" s="2" t="s">
        <v>74</v>
      </c>
      <c r="E985" s="2" t="s">
        <v>74</v>
      </c>
      <c r="F985" s="2" t="s">
        <v>1278</v>
      </c>
      <c r="G985" s="2" t="s">
        <v>74</v>
      </c>
      <c r="H985" s="2" t="s">
        <v>74</v>
      </c>
      <c r="I985" s="2" t="s">
        <v>1279</v>
      </c>
      <c r="J985" s="2" t="s">
        <v>171</v>
      </c>
      <c r="K985" s="2" t="s">
        <v>74</v>
      </c>
      <c r="L985" s="2" t="s">
        <v>74</v>
      </c>
      <c r="M985" s="2" t="s">
        <v>74</v>
      </c>
      <c r="N985" s="2" t="s">
        <v>74</v>
      </c>
      <c r="O985" s="2" t="s">
        <v>74</v>
      </c>
      <c r="P985" s="2" t="s">
        <v>74</v>
      </c>
      <c r="Q985" s="2" t="s">
        <v>74</v>
      </c>
      <c r="R985" s="2" t="s">
        <v>74</v>
      </c>
      <c r="S985" s="2" t="s">
        <v>74</v>
      </c>
      <c r="T985" s="2" t="s">
        <v>74</v>
      </c>
      <c r="U985" s="2" t="s">
        <v>74</v>
      </c>
      <c r="V985" s="5" t="s">
        <v>1280</v>
      </c>
      <c r="W985" s="2" t="s">
        <v>74</v>
      </c>
      <c r="X985" s="2" t="s">
        <v>74</v>
      </c>
      <c r="Y985" s="2" t="s">
        <v>74</v>
      </c>
      <c r="Z985" s="2" t="s">
        <v>74</v>
      </c>
      <c r="AA985" s="2" t="s">
        <v>74</v>
      </c>
      <c r="AB985" s="2" t="s">
        <v>74</v>
      </c>
      <c r="AC985" s="2" t="s">
        <v>74</v>
      </c>
      <c r="AD985" s="2" t="s">
        <v>74</v>
      </c>
      <c r="AE985" s="2" t="s">
        <v>74</v>
      </c>
      <c r="AF985" s="2" t="s">
        <v>74</v>
      </c>
      <c r="AG985" s="2" t="s">
        <v>74</v>
      </c>
      <c r="AH985" s="2" t="s">
        <v>74</v>
      </c>
      <c r="AI985" s="2" t="s">
        <v>74</v>
      </c>
      <c r="AJ985" s="2" t="s">
        <v>74</v>
      </c>
      <c r="AK985" s="2" t="s">
        <v>74</v>
      </c>
      <c r="AL985" s="2" t="s">
        <v>74</v>
      </c>
      <c r="AM985" s="2" t="s">
        <v>74</v>
      </c>
      <c r="AN985" s="2" t="s">
        <v>74</v>
      </c>
      <c r="AO985" s="2" t="s">
        <v>173</v>
      </c>
      <c r="AP985" s="2" t="s">
        <v>74</v>
      </c>
      <c r="AQ985" s="2" t="s">
        <v>74</v>
      </c>
      <c r="AR985" s="2" t="s">
        <v>74</v>
      </c>
      <c r="AS985" s="2" t="s">
        <v>74</v>
      </c>
      <c r="AT985" s="2" t="s">
        <v>102</v>
      </c>
      <c r="AU985" s="2">
        <v>1991</v>
      </c>
      <c r="AV985" s="2">
        <v>45</v>
      </c>
      <c r="AW985" s="2">
        <v>4</v>
      </c>
      <c r="AX985" s="2" t="s">
        <v>74</v>
      </c>
      <c r="AY985" s="2" t="s">
        <v>74</v>
      </c>
      <c r="AZ985" s="2" t="s">
        <v>74</v>
      </c>
      <c r="BA985" s="2" t="s">
        <v>74</v>
      </c>
      <c r="BB985" s="2">
        <v>910</v>
      </c>
      <c r="BC985" s="2">
        <v>917</v>
      </c>
      <c r="BD985" s="2" t="s">
        <v>74</v>
      </c>
      <c r="BE985" s="2" t="s">
        <v>1281</v>
      </c>
      <c r="BF985" s="2" t="str">
        <f>HYPERLINK("http://dx.doi.org/10.2307/2409698","http://dx.doi.org/10.2307/2409698")</f>
        <v>http://dx.doi.org/10.2307/2409698</v>
      </c>
      <c r="BG985" s="2" t="s">
        <v>74</v>
      </c>
      <c r="BH985" s="2" t="s">
        <v>74</v>
      </c>
      <c r="BI985" s="2" t="s">
        <v>74</v>
      </c>
      <c r="BJ985" s="2" t="s">
        <v>74</v>
      </c>
      <c r="BK985" s="2" t="s">
        <v>74</v>
      </c>
      <c r="BL985" s="2" t="s">
        <v>74</v>
      </c>
      <c r="BM985" s="2" t="s">
        <v>74</v>
      </c>
      <c r="BN985" s="2">
        <v>28564056</v>
      </c>
      <c r="BO985" s="2" t="s">
        <v>74</v>
      </c>
      <c r="BP985" s="2" t="s">
        <v>74</v>
      </c>
      <c r="BQ985" s="2" t="s">
        <v>74</v>
      </c>
      <c r="BR985" s="2" t="s">
        <v>74</v>
      </c>
      <c r="BS985" s="2" t="s">
        <v>1282</v>
      </c>
      <c r="BT985" s="2" t="str">
        <f>HYPERLINK("https%3A%2F%2Fwww.webofscience.com%2Fwos%2Fwoscc%2Ffull-record%2FWOS:A1991FW83600008","View Full Record in Web of Science")</f>
        <v>View Full Record in Web of Science</v>
      </c>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row>
    <row r="986" spans="1:314" s="2" customFormat="1" x14ac:dyDescent="0.4">
      <c r="A986" s="2" t="s">
        <v>72</v>
      </c>
      <c r="B986" s="2" t="s">
        <v>7317</v>
      </c>
      <c r="C986" s="2" t="s">
        <v>74</v>
      </c>
      <c r="D986" s="2" t="s">
        <v>74</v>
      </c>
      <c r="E986" s="2" t="s">
        <v>74</v>
      </c>
      <c r="F986" s="2" t="s">
        <v>7318</v>
      </c>
      <c r="G986" s="2" t="s">
        <v>74</v>
      </c>
      <c r="H986" s="2" t="s">
        <v>74</v>
      </c>
      <c r="I986" s="2" t="s">
        <v>7319</v>
      </c>
      <c r="J986" s="2" t="s">
        <v>140</v>
      </c>
      <c r="K986" s="2" t="s">
        <v>74</v>
      </c>
      <c r="L986" s="2" t="s">
        <v>74</v>
      </c>
      <c r="M986" s="2" t="s">
        <v>74</v>
      </c>
      <c r="N986" s="2" t="s">
        <v>74</v>
      </c>
      <c r="O986" s="2" t="s">
        <v>74</v>
      </c>
      <c r="P986" s="2" t="s">
        <v>74</v>
      </c>
      <c r="Q986" s="2" t="s">
        <v>74</v>
      </c>
      <c r="R986" s="2" t="s">
        <v>74</v>
      </c>
      <c r="S986" s="2" t="s">
        <v>74</v>
      </c>
      <c r="T986" s="2" t="s">
        <v>74</v>
      </c>
      <c r="U986" s="2" t="s">
        <v>74</v>
      </c>
      <c r="V986" s="5" t="s">
        <v>7320</v>
      </c>
      <c r="W986" s="2" t="s">
        <v>74</v>
      </c>
      <c r="X986" s="2" t="s">
        <v>74</v>
      </c>
      <c r="Y986" s="2" t="s">
        <v>74</v>
      </c>
      <c r="Z986" s="2" t="s">
        <v>74</v>
      </c>
      <c r="AA986" s="2" t="s">
        <v>7321</v>
      </c>
      <c r="AB986" s="2" t="s">
        <v>7322</v>
      </c>
      <c r="AC986" s="2" t="s">
        <v>74</v>
      </c>
      <c r="AD986" s="2" t="s">
        <v>74</v>
      </c>
      <c r="AE986" s="2" t="s">
        <v>74</v>
      </c>
      <c r="AF986" s="2" t="s">
        <v>74</v>
      </c>
      <c r="AG986" s="2" t="s">
        <v>74</v>
      </c>
      <c r="AH986" s="2" t="s">
        <v>74</v>
      </c>
      <c r="AI986" s="2" t="s">
        <v>74</v>
      </c>
      <c r="AJ986" s="2" t="s">
        <v>74</v>
      </c>
      <c r="AK986" s="2" t="s">
        <v>74</v>
      </c>
      <c r="AL986" s="2" t="s">
        <v>74</v>
      </c>
      <c r="AM986" s="2" t="s">
        <v>74</v>
      </c>
      <c r="AN986" s="2" t="s">
        <v>74</v>
      </c>
      <c r="AO986" s="2" t="s">
        <v>143</v>
      </c>
      <c r="AP986" s="2" t="s">
        <v>144</v>
      </c>
      <c r="AQ986" s="2" t="s">
        <v>74</v>
      </c>
      <c r="AR986" s="2" t="s">
        <v>74</v>
      </c>
      <c r="AS986" s="2" t="s">
        <v>74</v>
      </c>
      <c r="AT986" s="2" t="s">
        <v>134</v>
      </c>
      <c r="AU986" s="2">
        <v>2019</v>
      </c>
      <c r="AV986" s="2">
        <v>151</v>
      </c>
      <c r="AW986" s="2" t="s">
        <v>74</v>
      </c>
      <c r="AX986" s="2" t="s">
        <v>74</v>
      </c>
      <c r="AY986" s="2" t="s">
        <v>74</v>
      </c>
      <c r="AZ986" s="2" t="s">
        <v>74</v>
      </c>
      <c r="BA986" s="2" t="s">
        <v>74</v>
      </c>
      <c r="BB986" s="2">
        <v>185</v>
      </c>
      <c r="BC986" s="2">
        <v>193</v>
      </c>
      <c r="BD986" s="2" t="s">
        <v>74</v>
      </c>
      <c r="BE986" s="2" t="s">
        <v>7323</v>
      </c>
      <c r="BF986" s="2" t="str">
        <f>HYPERLINK("http://dx.doi.org/10.1016/j.anbehav.2019.02.002","http://dx.doi.org/10.1016/j.anbehav.2019.02.002")</f>
        <v>http://dx.doi.org/10.1016/j.anbehav.2019.02.002</v>
      </c>
      <c r="BG986" s="2" t="s">
        <v>74</v>
      </c>
      <c r="BH986" s="2" t="s">
        <v>74</v>
      </c>
      <c r="BI986" s="2" t="s">
        <v>74</v>
      </c>
      <c r="BJ986" s="2" t="s">
        <v>74</v>
      </c>
      <c r="BK986" s="2" t="s">
        <v>74</v>
      </c>
      <c r="BL986" s="2" t="s">
        <v>74</v>
      </c>
      <c r="BM986" s="2" t="s">
        <v>74</v>
      </c>
      <c r="BN986" s="2" t="s">
        <v>74</v>
      </c>
      <c r="BO986" s="2" t="s">
        <v>74</v>
      </c>
      <c r="BP986" s="2" t="s">
        <v>74</v>
      </c>
      <c r="BQ986" s="2" t="s">
        <v>74</v>
      </c>
      <c r="BR986" s="2" t="s">
        <v>74</v>
      </c>
      <c r="BS986" s="2" t="s">
        <v>7324</v>
      </c>
      <c r="BT986" s="2" t="str">
        <f>HYPERLINK("https%3A%2F%2Fwww.webofscience.com%2Fwos%2Fwoscc%2Ffull-record%2FWOS:000467013300018","View Full Record in Web of Science")</f>
        <v>View Full Record in Web of Science</v>
      </c>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row>
    <row r="987" spans="1:314" s="2" customFormat="1" x14ac:dyDescent="0.4">
      <c r="A987" s="2" t="s">
        <v>72</v>
      </c>
      <c r="B987" s="2" t="s">
        <v>7517</v>
      </c>
      <c r="C987" s="2" t="s">
        <v>74</v>
      </c>
      <c r="D987" s="2" t="s">
        <v>74</v>
      </c>
      <c r="E987" s="2" t="s">
        <v>74</v>
      </c>
      <c r="F987" s="2" t="s">
        <v>7517</v>
      </c>
      <c r="G987" s="2" t="s">
        <v>74</v>
      </c>
      <c r="H987" s="2" t="s">
        <v>74</v>
      </c>
      <c r="I987" s="2" t="s">
        <v>7518</v>
      </c>
      <c r="J987" s="2" t="s">
        <v>509</v>
      </c>
      <c r="K987" s="2" t="s">
        <v>74</v>
      </c>
      <c r="L987" s="2" t="s">
        <v>74</v>
      </c>
      <c r="M987" s="2" t="s">
        <v>74</v>
      </c>
      <c r="N987" s="2" t="s">
        <v>74</v>
      </c>
      <c r="O987" s="2" t="s">
        <v>74</v>
      </c>
      <c r="P987" s="2" t="s">
        <v>74</v>
      </c>
      <c r="Q987" s="2" t="s">
        <v>74</v>
      </c>
      <c r="R987" s="2" t="s">
        <v>74</v>
      </c>
      <c r="S987" s="2" t="s">
        <v>74</v>
      </c>
      <c r="T987" s="2" t="s">
        <v>74</v>
      </c>
      <c r="U987" s="2" t="s">
        <v>74</v>
      </c>
      <c r="V987" s="5" t="s">
        <v>7519</v>
      </c>
      <c r="W987" s="2" t="s">
        <v>74</v>
      </c>
      <c r="X987" s="2" t="s">
        <v>74</v>
      </c>
      <c r="Y987" s="2" t="s">
        <v>74</v>
      </c>
      <c r="Z987" s="2" t="s">
        <v>74</v>
      </c>
      <c r="AA987" s="2" t="s">
        <v>74</v>
      </c>
      <c r="AB987" s="2" t="s">
        <v>74</v>
      </c>
      <c r="AC987" s="2" t="s">
        <v>74</v>
      </c>
      <c r="AD987" s="2" t="s">
        <v>74</v>
      </c>
      <c r="AE987" s="2" t="s">
        <v>74</v>
      </c>
      <c r="AF987" s="2" t="s">
        <v>74</v>
      </c>
      <c r="AG987" s="2" t="s">
        <v>74</v>
      </c>
      <c r="AH987" s="2" t="s">
        <v>74</v>
      </c>
      <c r="AI987" s="2" t="s">
        <v>74</v>
      </c>
      <c r="AJ987" s="2" t="s">
        <v>74</v>
      </c>
      <c r="AK987" s="2" t="s">
        <v>74</v>
      </c>
      <c r="AL987" s="2" t="s">
        <v>74</v>
      </c>
      <c r="AM987" s="2" t="s">
        <v>74</v>
      </c>
      <c r="AN987" s="2" t="s">
        <v>74</v>
      </c>
      <c r="AO987" s="2" t="s">
        <v>511</v>
      </c>
      <c r="AP987" s="2" t="s">
        <v>512</v>
      </c>
      <c r="AQ987" s="2" t="s">
        <v>74</v>
      </c>
      <c r="AR987" s="2" t="s">
        <v>74</v>
      </c>
      <c r="AS987" s="2" t="s">
        <v>74</v>
      </c>
      <c r="AT987" s="2" t="s">
        <v>145</v>
      </c>
      <c r="AU987" s="2">
        <v>1999</v>
      </c>
      <c r="AV987" s="2">
        <v>36</v>
      </c>
      <c r="AW987" s="2">
        <v>1</v>
      </c>
      <c r="AX987" s="2" t="s">
        <v>74</v>
      </c>
      <c r="AY987" s="2" t="s">
        <v>74</v>
      </c>
      <c r="AZ987" s="2" t="s">
        <v>74</v>
      </c>
      <c r="BA987" s="2" t="s">
        <v>74</v>
      </c>
      <c r="BB987" s="2">
        <v>39</v>
      </c>
      <c r="BC987" s="2">
        <v>52</v>
      </c>
      <c r="BD987" s="2" t="s">
        <v>74</v>
      </c>
      <c r="BE987" s="2" t="s">
        <v>7520</v>
      </c>
      <c r="BF987" s="2" t="str">
        <f>HYPERLINK("http://dx.doi.org/10.1006/hbeh.1999.1523","http://dx.doi.org/10.1006/hbeh.1999.1523")</f>
        <v>http://dx.doi.org/10.1006/hbeh.1999.1523</v>
      </c>
      <c r="BG987" s="2" t="s">
        <v>74</v>
      </c>
      <c r="BH987" s="2" t="s">
        <v>74</v>
      </c>
      <c r="BI987" s="2" t="s">
        <v>74</v>
      </c>
      <c r="BJ987" s="2" t="s">
        <v>74</v>
      </c>
      <c r="BK987" s="2" t="s">
        <v>74</v>
      </c>
      <c r="BL987" s="2" t="s">
        <v>74</v>
      </c>
      <c r="BM987" s="2" t="s">
        <v>74</v>
      </c>
      <c r="BN987" s="2">
        <v>10433885</v>
      </c>
      <c r="BO987" s="2" t="s">
        <v>74</v>
      </c>
      <c r="BP987" s="2" t="s">
        <v>74</v>
      </c>
      <c r="BQ987" s="2" t="s">
        <v>74</v>
      </c>
      <c r="BR987" s="2" t="s">
        <v>74</v>
      </c>
      <c r="BS987" s="2" t="s">
        <v>7521</v>
      </c>
      <c r="BT987" s="2" t="str">
        <f>HYPERLINK("https%3A%2F%2Fwww.webofscience.com%2Fwos%2Fwoscc%2Ffull-record%2FWOS:000082107300004","View Full Record in Web of Science")</f>
        <v>View Full Record in Web of Science</v>
      </c>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row>
    <row r="988" spans="1:314" s="2" customFormat="1" x14ac:dyDescent="0.4">
      <c r="A988" s="2" t="s">
        <v>72</v>
      </c>
      <c r="B988" s="2" t="s">
        <v>438</v>
      </c>
      <c r="C988" s="2" t="s">
        <v>74</v>
      </c>
      <c r="D988" s="2" t="s">
        <v>74</v>
      </c>
      <c r="E988" s="2" t="s">
        <v>74</v>
      </c>
      <c r="F988" s="2" t="s">
        <v>438</v>
      </c>
      <c r="G988" s="2" t="s">
        <v>74</v>
      </c>
      <c r="H988" s="2" t="s">
        <v>74</v>
      </c>
      <c r="I988" s="2" t="s">
        <v>439</v>
      </c>
      <c r="J988" s="2" t="s">
        <v>229</v>
      </c>
      <c r="K988" s="2" t="s">
        <v>74</v>
      </c>
      <c r="L988" s="2" t="s">
        <v>74</v>
      </c>
      <c r="M988" s="2" t="s">
        <v>74</v>
      </c>
      <c r="N988" s="2" t="s">
        <v>74</v>
      </c>
      <c r="O988" s="2" t="s">
        <v>74</v>
      </c>
      <c r="P988" s="2" t="s">
        <v>74</v>
      </c>
      <c r="Q988" s="2" t="s">
        <v>74</v>
      </c>
      <c r="R988" s="2" t="s">
        <v>74</v>
      </c>
      <c r="S988" s="2" t="s">
        <v>74</v>
      </c>
      <c r="T988" s="2" t="s">
        <v>74</v>
      </c>
      <c r="U988" s="2" t="s">
        <v>74</v>
      </c>
      <c r="V988" s="5" t="s">
        <v>440</v>
      </c>
      <c r="W988" s="2" t="s">
        <v>74</v>
      </c>
      <c r="X988" s="2" t="s">
        <v>74</v>
      </c>
      <c r="Y988" s="2" t="s">
        <v>74</v>
      </c>
      <c r="Z988" s="2" t="s">
        <v>74</v>
      </c>
      <c r="AA988" s="2" t="s">
        <v>74</v>
      </c>
      <c r="AB988" s="2" t="s">
        <v>441</v>
      </c>
      <c r="AC988" s="2" t="s">
        <v>74</v>
      </c>
      <c r="AD988" s="2" t="s">
        <v>74</v>
      </c>
      <c r="AE988" s="2" t="s">
        <v>74</v>
      </c>
      <c r="AF988" s="2" t="s">
        <v>74</v>
      </c>
      <c r="AG988" s="2" t="s">
        <v>74</v>
      </c>
      <c r="AH988" s="2" t="s">
        <v>74</v>
      </c>
      <c r="AI988" s="2" t="s">
        <v>74</v>
      </c>
      <c r="AJ988" s="2" t="s">
        <v>74</v>
      </c>
      <c r="AK988" s="2" t="s">
        <v>74</v>
      </c>
      <c r="AL988" s="2" t="s">
        <v>74</v>
      </c>
      <c r="AM988" s="2" t="s">
        <v>74</v>
      </c>
      <c r="AN988" s="2" t="s">
        <v>74</v>
      </c>
      <c r="AO988" s="2" t="s">
        <v>233</v>
      </c>
      <c r="AP988" s="2" t="s">
        <v>234</v>
      </c>
      <c r="AQ988" s="2" t="s">
        <v>74</v>
      </c>
      <c r="AR988" s="2" t="s">
        <v>74</v>
      </c>
      <c r="AS988" s="2" t="s">
        <v>74</v>
      </c>
      <c r="AT988" s="2" t="s">
        <v>74</v>
      </c>
      <c r="AU988" s="2">
        <v>2005</v>
      </c>
      <c r="AV988" s="2">
        <v>31</v>
      </c>
      <c r="AW988" s="2">
        <v>3</v>
      </c>
      <c r="AX988" s="2" t="s">
        <v>74</v>
      </c>
      <c r="AY988" s="2" t="s">
        <v>74</v>
      </c>
      <c r="AZ988" s="2" t="s">
        <v>74</v>
      </c>
      <c r="BA988" s="2" t="s">
        <v>74</v>
      </c>
      <c r="BB988" s="2">
        <v>271</v>
      </c>
      <c r="BC988" s="2">
        <v>282</v>
      </c>
      <c r="BD988" s="2" t="s">
        <v>74</v>
      </c>
      <c r="BE988" s="2" t="s">
        <v>442</v>
      </c>
      <c r="BF988" s="2" t="str">
        <f>HYPERLINK("http://dx.doi.org/10.1002/ab.20071","http://dx.doi.org/10.1002/ab.20071")</f>
        <v>http://dx.doi.org/10.1002/ab.20071</v>
      </c>
      <c r="BG988" s="2" t="s">
        <v>74</v>
      </c>
      <c r="BH988" s="2" t="s">
        <v>74</v>
      </c>
      <c r="BI988" s="2" t="s">
        <v>74</v>
      </c>
      <c r="BJ988" s="2" t="s">
        <v>74</v>
      </c>
      <c r="BK988" s="2" t="s">
        <v>74</v>
      </c>
      <c r="BL988" s="2" t="s">
        <v>74</v>
      </c>
      <c r="BM988" s="2" t="s">
        <v>74</v>
      </c>
      <c r="BN988" s="2" t="s">
        <v>74</v>
      </c>
      <c r="BO988" s="2" t="s">
        <v>74</v>
      </c>
      <c r="BP988" s="2" t="s">
        <v>74</v>
      </c>
      <c r="BQ988" s="2" t="s">
        <v>74</v>
      </c>
      <c r="BR988" s="2" t="s">
        <v>74</v>
      </c>
      <c r="BS988" s="2" t="s">
        <v>443</v>
      </c>
      <c r="BT988" s="2" t="str">
        <f>HYPERLINK("https%3A%2F%2Fwww.webofscience.com%2Fwos%2Fwoscc%2Ffull-record%2FWOS:000227894100006","View Full Record in Web of Science")</f>
        <v>View Full Record in Web of Science</v>
      </c>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row>
    <row r="989" spans="1:314" s="2" customFormat="1" x14ac:dyDescent="0.4">
      <c r="A989" s="2" t="s">
        <v>72</v>
      </c>
      <c r="B989" s="2" t="s">
        <v>2529</v>
      </c>
      <c r="C989" s="2" t="s">
        <v>74</v>
      </c>
      <c r="D989" s="2" t="s">
        <v>74</v>
      </c>
      <c r="E989" s="2" t="s">
        <v>74</v>
      </c>
      <c r="F989" s="2" t="s">
        <v>2529</v>
      </c>
      <c r="G989" s="2" t="s">
        <v>74</v>
      </c>
      <c r="H989" s="2" t="s">
        <v>74</v>
      </c>
      <c r="I989" s="2" t="s">
        <v>2530</v>
      </c>
      <c r="J989" s="2" t="s">
        <v>108</v>
      </c>
      <c r="K989" s="2" t="s">
        <v>74</v>
      </c>
      <c r="L989" s="2" t="s">
        <v>74</v>
      </c>
      <c r="M989" s="2" t="s">
        <v>74</v>
      </c>
      <c r="N989" s="2" t="s">
        <v>74</v>
      </c>
      <c r="O989" s="2" t="s">
        <v>74</v>
      </c>
      <c r="P989" s="2" t="s">
        <v>74</v>
      </c>
      <c r="Q989" s="2" t="s">
        <v>74</v>
      </c>
      <c r="R989" s="2" t="s">
        <v>74</v>
      </c>
      <c r="S989" s="2" t="s">
        <v>74</v>
      </c>
      <c r="T989" s="2" t="s">
        <v>74</v>
      </c>
      <c r="U989" s="2" t="s">
        <v>74</v>
      </c>
      <c r="V989" s="5" t="s">
        <v>2531</v>
      </c>
      <c r="W989" s="2" t="s">
        <v>74</v>
      </c>
      <c r="X989" s="2" t="s">
        <v>74</v>
      </c>
      <c r="Y989" s="2" t="s">
        <v>74</v>
      </c>
      <c r="Z989" s="2" t="s">
        <v>74</v>
      </c>
      <c r="AA989" s="2" t="s">
        <v>74</v>
      </c>
      <c r="AB989" s="2" t="s">
        <v>74</v>
      </c>
      <c r="AC989" s="2" t="s">
        <v>74</v>
      </c>
      <c r="AD989" s="2" t="s">
        <v>74</v>
      </c>
      <c r="AE989" s="2" t="s">
        <v>74</v>
      </c>
      <c r="AF989" s="2" t="s">
        <v>74</v>
      </c>
      <c r="AG989" s="2" t="s">
        <v>74</v>
      </c>
      <c r="AH989" s="2" t="s">
        <v>74</v>
      </c>
      <c r="AI989" s="2" t="s">
        <v>74</v>
      </c>
      <c r="AJ989" s="2" t="s">
        <v>74</v>
      </c>
      <c r="AK989" s="2" t="s">
        <v>74</v>
      </c>
      <c r="AL989" s="2" t="s">
        <v>74</v>
      </c>
      <c r="AM989" s="2" t="s">
        <v>74</v>
      </c>
      <c r="AN989" s="2" t="s">
        <v>74</v>
      </c>
      <c r="AO989" s="2" t="s">
        <v>111</v>
      </c>
      <c r="AP989" s="2" t="s">
        <v>112</v>
      </c>
      <c r="AQ989" s="2" t="s">
        <v>74</v>
      </c>
      <c r="AR989" s="2" t="s">
        <v>74</v>
      </c>
      <c r="AS989" s="2" t="s">
        <v>74</v>
      </c>
      <c r="AT989" s="2" t="s">
        <v>1210</v>
      </c>
      <c r="AU989" s="2">
        <v>2002</v>
      </c>
      <c r="AV989" s="2">
        <v>269</v>
      </c>
      <c r="AW989" s="2">
        <v>1509</v>
      </c>
      <c r="AX989" s="2" t="s">
        <v>74</v>
      </c>
      <c r="AY989" s="2" t="s">
        <v>74</v>
      </c>
      <c r="AZ989" s="2" t="s">
        <v>74</v>
      </c>
      <c r="BA989" s="2" t="s">
        <v>74</v>
      </c>
      <c r="BB989" s="2">
        <v>2495</v>
      </c>
      <c r="BC989" s="2">
        <v>2502</v>
      </c>
      <c r="BD989" s="2" t="s">
        <v>74</v>
      </c>
      <c r="BE989" s="2" t="s">
        <v>2532</v>
      </c>
      <c r="BF989" s="2" t="str">
        <f>HYPERLINK("http://dx.doi.org/10.1098/rspb.2002.2188","http://dx.doi.org/10.1098/rspb.2002.2188")</f>
        <v>http://dx.doi.org/10.1098/rspb.2002.2188</v>
      </c>
      <c r="BG989" s="2" t="s">
        <v>74</v>
      </c>
      <c r="BH989" s="2" t="s">
        <v>74</v>
      </c>
      <c r="BI989" s="2" t="s">
        <v>74</v>
      </c>
      <c r="BJ989" s="2" t="s">
        <v>74</v>
      </c>
      <c r="BK989" s="2" t="s">
        <v>74</v>
      </c>
      <c r="BL989" s="2" t="s">
        <v>74</v>
      </c>
      <c r="BM989" s="2" t="s">
        <v>74</v>
      </c>
      <c r="BN989" s="2">
        <v>12573062</v>
      </c>
      <c r="BO989" s="2" t="s">
        <v>74</v>
      </c>
      <c r="BP989" s="2" t="s">
        <v>74</v>
      </c>
      <c r="BQ989" s="2" t="s">
        <v>74</v>
      </c>
      <c r="BR989" s="2" t="s">
        <v>74</v>
      </c>
      <c r="BS989" s="2" t="s">
        <v>2533</v>
      </c>
      <c r="BT989" s="2" t="str">
        <f>HYPERLINK("https%3A%2F%2Fwww.webofscience.com%2Fwos%2Fwoscc%2Ffull-record%2FWOS:000180221100001","View Full Record in Web of Science")</f>
        <v>View Full Record in Web of Science</v>
      </c>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row>
    <row r="990" spans="1:314" s="2" customFormat="1" x14ac:dyDescent="0.4">
      <c r="A990" s="2" t="s">
        <v>72</v>
      </c>
      <c r="B990" s="2" t="s">
        <v>2092</v>
      </c>
      <c r="C990" s="2" t="s">
        <v>74</v>
      </c>
      <c r="D990" s="2" t="s">
        <v>74</v>
      </c>
      <c r="E990" s="2" t="s">
        <v>74</v>
      </c>
      <c r="F990" s="2" t="s">
        <v>2093</v>
      </c>
      <c r="G990" s="2" t="s">
        <v>74</v>
      </c>
      <c r="H990" s="2" t="s">
        <v>74</v>
      </c>
      <c r="I990" s="2" t="s">
        <v>2094</v>
      </c>
      <c r="J990" s="2" t="s">
        <v>1743</v>
      </c>
      <c r="K990" s="2" t="s">
        <v>74</v>
      </c>
      <c r="L990" s="2" t="s">
        <v>74</v>
      </c>
      <c r="M990" s="2" t="s">
        <v>74</v>
      </c>
      <c r="N990" s="2" t="s">
        <v>74</v>
      </c>
      <c r="O990" s="2" t="s">
        <v>74</v>
      </c>
      <c r="P990" s="2" t="s">
        <v>74</v>
      </c>
      <c r="Q990" s="2" t="s">
        <v>74</v>
      </c>
      <c r="R990" s="2" t="s">
        <v>74</v>
      </c>
      <c r="S990" s="2" t="s">
        <v>74</v>
      </c>
      <c r="T990" s="2" t="s">
        <v>74</v>
      </c>
      <c r="U990" s="2" t="s">
        <v>74</v>
      </c>
      <c r="V990" s="5" t="s">
        <v>2095</v>
      </c>
      <c r="W990" s="2" t="s">
        <v>74</v>
      </c>
      <c r="X990" s="2" t="s">
        <v>74</v>
      </c>
      <c r="Y990" s="2" t="s">
        <v>74</v>
      </c>
      <c r="Z990" s="2" t="s">
        <v>74</v>
      </c>
      <c r="AA990" s="2" t="s">
        <v>2096</v>
      </c>
      <c r="AB990" s="2" t="s">
        <v>2097</v>
      </c>
      <c r="AC990" s="2" t="s">
        <v>74</v>
      </c>
      <c r="AD990" s="2" t="s">
        <v>74</v>
      </c>
      <c r="AE990" s="2" t="s">
        <v>74</v>
      </c>
      <c r="AF990" s="2" t="s">
        <v>74</v>
      </c>
      <c r="AG990" s="2" t="s">
        <v>74</v>
      </c>
      <c r="AH990" s="2" t="s">
        <v>74</v>
      </c>
      <c r="AI990" s="2" t="s">
        <v>74</v>
      </c>
      <c r="AJ990" s="2" t="s">
        <v>74</v>
      </c>
      <c r="AK990" s="2" t="s">
        <v>74</v>
      </c>
      <c r="AL990" s="2" t="s">
        <v>74</v>
      </c>
      <c r="AM990" s="2" t="s">
        <v>74</v>
      </c>
      <c r="AN990" s="2" t="s">
        <v>74</v>
      </c>
      <c r="AO990" s="2" t="s">
        <v>1746</v>
      </c>
      <c r="AP990" s="2" t="s">
        <v>74</v>
      </c>
      <c r="AQ990" s="2" t="s">
        <v>74</v>
      </c>
      <c r="AR990" s="2" t="s">
        <v>74</v>
      </c>
      <c r="AS990" s="2" t="s">
        <v>74</v>
      </c>
      <c r="AT990" s="2" t="s">
        <v>633</v>
      </c>
      <c r="AU990" s="2">
        <v>2023</v>
      </c>
      <c r="AV990" s="2">
        <v>40</v>
      </c>
      <c r="AW990" s="2">
        <v>2</v>
      </c>
      <c r="AX990" s="2" t="s">
        <v>74</v>
      </c>
      <c r="AY990" s="2" t="s">
        <v>74</v>
      </c>
      <c r="AZ990" s="2" t="s">
        <v>74</v>
      </c>
      <c r="BA990" s="2" t="s">
        <v>74</v>
      </c>
      <c r="BB990" s="2">
        <v>168</v>
      </c>
      <c r="BC990" s="2">
        <v>174</v>
      </c>
      <c r="BD990" s="2" t="s">
        <v>74</v>
      </c>
      <c r="BE990" s="2" t="s">
        <v>2098</v>
      </c>
      <c r="BF990" s="2" t="str">
        <f>HYPERLINK("http://dx.doi.org/10.2108/zs220088","http://dx.doi.org/10.2108/zs220088")</f>
        <v>http://dx.doi.org/10.2108/zs220088</v>
      </c>
      <c r="BG990" s="2" t="s">
        <v>74</v>
      </c>
      <c r="BH990" s="2" t="s">
        <v>74</v>
      </c>
      <c r="BI990" s="2" t="s">
        <v>74</v>
      </c>
      <c r="BJ990" s="2" t="s">
        <v>74</v>
      </c>
      <c r="BK990" s="2" t="s">
        <v>74</v>
      </c>
      <c r="BL990" s="2" t="s">
        <v>74</v>
      </c>
      <c r="BM990" s="2" t="s">
        <v>74</v>
      </c>
      <c r="BN990" s="2">
        <v>37042696</v>
      </c>
      <c r="BO990" s="2" t="s">
        <v>74</v>
      </c>
      <c r="BP990" s="2" t="s">
        <v>74</v>
      </c>
      <c r="BQ990" s="2" t="s">
        <v>74</v>
      </c>
      <c r="BR990" s="2" t="s">
        <v>74</v>
      </c>
      <c r="BS990" s="2" t="s">
        <v>2099</v>
      </c>
      <c r="BT990" s="2" t="str">
        <f>HYPERLINK("https%3A%2F%2Fwww.webofscience.com%2Fwos%2Fwoscc%2Ffull-record%2FWOS:000963816400010","View Full Record in Web of Science")</f>
        <v>View Full Record in Web of Science</v>
      </c>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row>
    <row r="991" spans="1:314" s="2" customFormat="1" x14ac:dyDescent="0.4">
      <c r="A991" s="2" t="s">
        <v>72</v>
      </c>
      <c r="B991" s="2" t="s">
        <v>7311</v>
      </c>
      <c r="C991" s="2" t="s">
        <v>74</v>
      </c>
      <c r="D991" s="2" t="s">
        <v>74</v>
      </c>
      <c r="E991" s="2" t="s">
        <v>74</v>
      </c>
      <c r="F991" s="2" t="s">
        <v>7312</v>
      </c>
      <c r="G991" s="2" t="s">
        <v>74</v>
      </c>
      <c r="H991" s="2" t="s">
        <v>74</v>
      </c>
      <c r="I991" s="2" t="s">
        <v>7313</v>
      </c>
      <c r="J991" s="2" t="s">
        <v>1526</v>
      </c>
      <c r="K991" s="2" t="s">
        <v>74</v>
      </c>
      <c r="L991" s="2" t="s">
        <v>74</v>
      </c>
      <c r="M991" s="2" t="s">
        <v>74</v>
      </c>
      <c r="N991" s="2" t="s">
        <v>74</v>
      </c>
      <c r="O991" s="2" t="s">
        <v>74</v>
      </c>
      <c r="P991" s="2" t="s">
        <v>74</v>
      </c>
      <c r="Q991" s="2" t="s">
        <v>74</v>
      </c>
      <c r="R991" s="2" t="s">
        <v>74</v>
      </c>
      <c r="S991" s="2" t="s">
        <v>74</v>
      </c>
      <c r="T991" s="2" t="s">
        <v>74</v>
      </c>
      <c r="U991" s="2" t="s">
        <v>74</v>
      </c>
      <c r="V991" s="5" t="s">
        <v>7314</v>
      </c>
      <c r="W991" s="2" t="s">
        <v>74</v>
      </c>
      <c r="X991" s="2" t="s">
        <v>74</v>
      </c>
      <c r="Y991" s="2" t="s">
        <v>74</v>
      </c>
      <c r="Z991" s="2" t="s">
        <v>74</v>
      </c>
      <c r="AA991" s="2" t="s">
        <v>74</v>
      </c>
      <c r="AB991" s="2" t="s">
        <v>74</v>
      </c>
      <c r="AC991" s="2" t="s">
        <v>74</v>
      </c>
      <c r="AD991" s="2" t="s">
        <v>74</v>
      </c>
      <c r="AE991" s="2" t="s">
        <v>74</v>
      </c>
      <c r="AF991" s="2" t="s">
        <v>74</v>
      </c>
      <c r="AG991" s="2" t="s">
        <v>74</v>
      </c>
      <c r="AH991" s="2" t="s">
        <v>74</v>
      </c>
      <c r="AI991" s="2" t="s">
        <v>74</v>
      </c>
      <c r="AJ991" s="2" t="s">
        <v>74</v>
      </c>
      <c r="AK991" s="2" t="s">
        <v>74</v>
      </c>
      <c r="AL991" s="2" t="s">
        <v>74</v>
      </c>
      <c r="AM991" s="2" t="s">
        <v>74</v>
      </c>
      <c r="AN991" s="2" t="s">
        <v>74</v>
      </c>
      <c r="AO991" s="2" t="s">
        <v>1528</v>
      </c>
      <c r="AP991" s="2" t="s">
        <v>74</v>
      </c>
      <c r="AQ991" s="2" t="s">
        <v>74</v>
      </c>
      <c r="AR991" s="2" t="s">
        <v>74</v>
      </c>
      <c r="AS991" s="2" t="s">
        <v>74</v>
      </c>
      <c r="AT991" s="2" t="s">
        <v>134</v>
      </c>
      <c r="AU991" s="2">
        <v>2007</v>
      </c>
      <c r="AV991" s="2">
        <v>109</v>
      </c>
      <c r="AW991" s="2">
        <v>2</v>
      </c>
      <c r="AX991" s="2" t="s">
        <v>74</v>
      </c>
      <c r="AY991" s="2" t="s">
        <v>74</v>
      </c>
      <c r="AZ991" s="2" t="s">
        <v>74</v>
      </c>
      <c r="BA991" s="2" t="s">
        <v>74</v>
      </c>
      <c r="BB991" s="2">
        <v>475</v>
      </c>
      <c r="BC991" s="2">
        <v>480</v>
      </c>
      <c r="BD991" s="2" t="s">
        <v>74</v>
      </c>
      <c r="BE991" s="2" t="s">
        <v>7315</v>
      </c>
      <c r="BF991" s="2" t="str">
        <f>HYPERLINK("http://dx.doi.org/10.1650/0010-5422(2007)109[475:WFNTDB]2.0.CO;2","http://dx.doi.org/10.1650/0010-5422(2007)109[475:WFNTDB]2.0.CO;2")</f>
        <v>http://dx.doi.org/10.1650/0010-5422(2007)109[475:WFNTDB]2.0.CO;2</v>
      </c>
      <c r="BG991" s="2" t="s">
        <v>74</v>
      </c>
      <c r="BH991" s="2" t="s">
        <v>74</v>
      </c>
      <c r="BI991" s="2" t="s">
        <v>74</v>
      </c>
      <c r="BJ991" s="2" t="s">
        <v>74</v>
      </c>
      <c r="BK991" s="2" t="s">
        <v>74</v>
      </c>
      <c r="BL991" s="2" t="s">
        <v>74</v>
      </c>
      <c r="BM991" s="2" t="s">
        <v>74</v>
      </c>
      <c r="BN991" s="2" t="s">
        <v>74</v>
      </c>
      <c r="BO991" s="2" t="s">
        <v>74</v>
      </c>
      <c r="BP991" s="2" t="s">
        <v>74</v>
      </c>
      <c r="BQ991" s="2" t="s">
        <v>74</v>
      </c>
      <c r="BR991" s="2" t="s">
        <v>74</v>
      </c>
      <c r="BS991" s="2" t="s">
        <v>7316</v>
      </c>
      <c r="BT991" s="2" t="str">
        <f>HYPERLINK("https%3A%2F%2Fwww.webofscience.com%2Fwos%2Fwoscc%2Ffull-record%2FWOS:000246603900024","View Full Record in Web of Science")</f>
        <v>View Full Record in Web of Science</v>
      </c>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row>
    <row r="992" spans="1:314" s="2" customFormat="1" x14ac:dyDescent="0.4">
      <c r="A992" s="2" t="s">
        <v>72</v>
      </c>
      <c r="B992" s="2" t="s">
        <v>745</v>
      </c>
      <c r="C992" s="2" t="s">
        <v>74</v>
      </c>
      <c r="D992" s="2" t="s">
        <v>74</v>
      </c>
      <c r="E992" s="2" t="s">
        <v>74</v>
      </c>
      <c r="F992" s="2" t="s">
        <v>746</v>
      </c>
      <c r="G992" s="2" t="s">
        <v>74</v>
      </c>
      <c r="H992" s="2" t="s">
        <v>74</v>
      </c>
      <c r="I992" s="2" t="s">
        <v>747</v>
      </c>
      <c r="J992" s="2" t="s">
        <v>748</v>
      </c>
      <c r="K992" s="2" t="s">
        <v>74</v>
      </c>
      <c r="L992" s="2" t="s">
        <v>74</v>
      </c>
      <c r="M992" s="2" t="s">
        <v>74</v>
      </c>
      <c r="N992" s="2" t="s">
        <v>74</v>
      </c>
      <c r="O992" s="2" t="s">
        <v>74</v>
      </c>
      <c r="P992" s="2" t="s">
        <v>74</v>
      </c>
      <c r="Q992" s="2" t="s">
        <v>74</v>
      </c>
      <c r="R992" s="2" t="s">
        <v>74</v>
      </c>
      <c r="S992" s="2" t="s">
        <v>74</v>
      </c>
      <c r="T992" s="2" t="s">
        <v>74</v>
      </c>
      <c r="U992" s="2" t="s">
        <v>74</v>
      </c>
      <c r="V992" s="5" t="s">
        <v>749</v>
      </c>
      <c r="W992" s="2" t="s">
        <v>74</v>
      </c>
      <c r="X992" s="2" t="s">
        <v>74</v>
      </c>
      <c r="Y992" s="2" t="s">
        <v>74</v>
      </c>
      <c r="Z992" s="2" t="s">
        <v>74</v>
      </c>
      <c r="AA992" s="2" t="s">
        <v>74</v>
      </c>
      <c r="AB992" s="2" t="s">
        <v>74</v>
      </c>
      <c r="AC992" s="2" t="s">
        <v>74</v>
      </c>
      <c r="AD992" s="2" t="s">
        <v>74</v>
      </c>
      <c r="AE992" s="2" t="s">
        <v>74</v>
      </c>
      <c r="AF992" s="2" t="s">
        <v>74</v>
      </c>
      <c r="AG992" s="2" t="s">
        <v>74</v>
      </c>
      <c r="AH992" s="2" t="s">
        <v>74</v>
      </c>
      <c r="AI992" s="2" t="s">
        <v>74</v>
      </c>
      <c r="AJ992" s="2" t="s">
        <v>74</v>
      </c>
      <c r="AK992" s="2" t="s">
        <v>74</v>
      </c>
      <c r="AL992" s="2" t="s">
        <v>74</v>
      </c>
      <c r="AM992" s="2" t="s">
        <v>74</v>
      </c>
      <c r="AN992" s="2" t="s">
        <v>74</v>
      </c>
      <c r="AO992" s="2" t="s">
        <v>750</v>
      </c>
      <c r="AP992" s="2" t="s">
        <v>74</v>
      </c>
      <c r="AQ992" s="2" t="s">
        <v>74</v>
      </c>
      <c r="AR992" s="2" t="s">
        <v>74</v>
      </c>
      <c r="AS992" s="2" t="s">
        <v>74</v>
      </c>
      <c r="AT992" s="2" t="s">
        <v>255</v>
      </c>
      <c r="AU992" s="2">
        <v>2022</v>
      </c>
      <c r="AV992" s="2">
        <v>21</v>
      </c>
      <c r="AW992" s="2">
        <v>1</v>
      </c>
      <c r="AX992" s="2" t="s">
        <v>74</v>
      </c>
      <c r="AY992" s="2" t="s">
        <v>74</v>
      </c>
      <c r="AZ992" s="2" t="s">
        <v>74</v>
      </c>
      <c r="BA992" s="2" t="s">
        <v>74</v>
      </c>
      <c r="BB992" s="2">
        <v>45</v>
      </c>
      <c r="BC992" s="2">
        <v>52</v>
      </c>
      <c r="BD992" s="2" t="s">
        <v>74</v>
      </c>
      <c r="BE992" s="2" t="s">
        <v>74</v>
      </c>
      <c r="BF992" s="2" t="s">
        <v>74</v>
      </c>
      <c r="BG992" s="2" t="s">
        <v>74</v>
      </c>
      <c r="BH992" s="2" t="s">
        <v>74</v>
      </c>
      <c r="BI992" s="2" t="s">
        <v>74</v>
      </c>
      <c r="BJ992" s="2" t="s">
        <v>74</v>
      </c>
      <c r="BK992" s="2" t="s">
        <v>74</v>
      </c>
      <c r="BL992" s="2" t="s">
        <v>74</v>
      </c>
      <c r="BM992" s="2" t="s">
        <v>74</v>
      </c>
      <c r="BN992" s="2" t="s">
        <v>74</v>
      </c>
      <c r="BO992" s="2" t="s">
        <v>74</v>
      </c>
      <c r="BP992" s="2" t="s">
        <v>74</v>
      </c>
      <c r="BQ992" s="2" t="s">
        <v>74</v>
      </c>
      <c r="BR992" s="2" t="s">
        <v>74</v>
      </c>
      <c r="BS992" s="2" t="s">
        <v>751</v>
      </c>
      <c r="BT992" s="2" t="str">
        <f>HYPERLINK("https%3A%2F%2Fwww.webofscience.com%2Fwos%2Fwoscc%2Ffull-record%2FWOS:000752459100006","View Full Record in Web of Science")</f>
        <v>View Full Record in Web of Science</v>
      </c>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row>
    <row r="993" spans="1:314" s="2" customFormat="1" x14ac:dyDescent="0.4">
      <c r="A993" s="2" t="s">
        <v>72</v>
      </c>
      <c r="B993" s="2" t="s">
        <v>1946</v>
      </c>
      <c r="C993" s="2" t="s">
        <v>74</v>
      </c>
      <c r="D993" s="2" t="s">
        <v>74</v>
      </c>
      <c r="E993" s="2" t="s">
        <v>74</v>
      </c>
      <c r="F993" s="2" t="s">
        <v>1947</v>
      </c>
      <c r="G993" s="2" t="s">
        <v>74</v>
      </c>
      <c r="H993" s="2" t="s">
        <v>74</v>
      </c>
      <c r="I993" s="2" t="s">
        <v>1948</v>
      </c>
      <c r="J993" s="2" t="s">
        <v>1949</v>
      </c>
      <c r="K993" s="2" t="s">
        <v>74</v>
      </c>
      <c r="L993" s="2" t="s">
        <v>74</v>
      </c>
      <c r="M993" s="2" t="s">
        <v>74</v>
      </c>
      <c r="N993" s="2" t="s">
        <v>74</v>
      </c>
      <c r="O993" s="2" t="s">
        <v>74</v>
      </c>
      <c r="P993" s="2" t="s">
        <v>74</v>
      </c>
      <c r="Q993" s="2" t="s">
        <v>74</v>
      </c>
      <c r="R993" s="2" t="s">
        <v>74</v>
      </c>
      <c r="S993" s="2" t="s">
        <v>74</v>
      </c>
      <c r="T993" s="2" t="s">
        <v>74</v>
      </c>
      <c r="U993" s="2" t="s">
        <v>74</v>
      </c>
      <c r="V993" s="5" t="s">
        <v>1950</v>
      </c>
      <c r="W993" s="2" t="s">
        <v>74</v>
      </c>
      <c r="X993" s="2" t="s">
        <v>74</v>
      </c>
      <c r="Y993" s="2" t="s">
        <v>74</v>
      </c>
      <c r="Z993" s="2" t="s">
        <v>74</v>
      </c>
      <c r="AA993" s="2" t="s">
        <v>1951</v>
      </c>
      <c r="AB993" s="2" t="s">
        <v>1952</v>
      </c>
      <c r="AC993" s="2" t="s">
        <v>74</v>
      </c>
      <c r="AD993" s="2" t="s">
        <v>74</v>
      </c>
      <c r="AE993" s="2" t="s">
        <v>74</v>
      </c>
      <c r="AF993" s="2" t="s">
        <v>74</v>
      </c>
      <c r="AG993" s="2" t="s">
        <v>74</v>
      </c>
      <c r="AH993" s="2" t="s">
        <v>74</v>
      </c>
      <c r="AI993" s="2" t="s">
        <v>74</v>
      </c>
      <c r="AJ993" s="2" t="s">
        <v>74</v>
      </c>
      <c r="AK993" s="2" t="s">
        <v>74</v>
      </c>
      <c r="AL993" s="2" t="s">
        <v>74</v>
      </c>
      <c r="AM993" s="2" t="s">
        <v>74</v>
      </c>
      <c r="AN993" s="2" t="s">
        <v>74</v>
      </c>
      <c r="AO993" s="2" t="s">
        <v>74</v>
      </c>
      <c r="AP993" s="2" t="s">
        <v>1953</v>
      </c>
      <c r="AQ993" s="2" t="s">
        <v>74</v>
      </c>
      <c r="AR993" s="2" t="s">
        <v>74</v>
      </c>
      <c r="AS993" s="2" t="s">
        <v>74</v>
      </c>
      <c r="AT993" s="2" t="s">
        <v>123</v>
      </c>
      <c r="AU993" s="2">
        <v>2023</v>
      </c>
      <c r="AV993" s="2">
        <v>14</v>
      </c>
      <c r="AW993" s="2">
        <v>3</v>
      </c>
      <c r="AX993" s="2" t="s">
        <v>74</v>
      </c>
      <c r="AY993" s="2" t="s">
        <v>74</v>
      </c>
      <c r="AZ993" s="2" t="s">
        <v>74</v>
      </c>
      <c r="BA993" s="2" t="s">
        <v>74</v>
      </c>
      <c r="BB993" s="2" t="s">
        <v>74</v>
      </c>
      <c r="BC993" s="2" t="s">
        <v>74</v>
      </c>
      <c r="BD993" s="2">
        <v>227</v>
      </c>
      <c r="BE993" s="2" t="s">
        <v>1954</v>
      </c>
      <c r="BF993" s="2" t="str">
        <f>HYPERLINK("http://dx.doi.org/10.3390/insects14030227","http://dx.doi.org/10.3390/insects14030227")</f>
        <v>http://dx.doi.org/10.3390/insects14030227</v>
      </c>
      <c r="BG993" s="2" t="s">
        <v>74</v>
      </c>
      <c r="BH993" s="2" t="s">
        <v>74</v>
      </c>
      <c r="BI993" s="2" t="s">
        <v>74</v>
      </c>
      <c r="BJ993" s="2" t="s">
        <v>74</v>
      </c>
      <c r="BK993" s="2" t="s">
        <v>74</v>
      </c>
      <c r="BL993" s="2" t="s">
        <v>74</v>
      </c>
      <c r="BM993" s="2" t="s">
        <v>74</v>
      </c>
      <c r="BN993" s="2">
        <v>36975912</v>
      </c>
      <c r="BO993" s="2" t="s">
        <v>74</v>
      </c>
      <c r="BP993" s="2" t="s">
        <v>74</v>
      </c>
      <c r="BQ993" s="2" t="s">
        <v>74</v>
      </c>
      <c r="BR993" s="2" t="s">
        <v>74</v>
      </c>
      <c r="BS993" s="2" t="s">
        <v>1955</v>
      </c>
      <c r="BT993" s="2" t="str">
        <f>HYPERLINK("https%3A%2F%2Fwww.webofscience.com%2Fwos%2Fwoscc%2Ffull-record%2FWOS:000955456800001","View Full Record in Web of Science")</f>
        <v>View Full Record in Web of Science</v>
      </c>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row>
    <row r="994" spans="1:314" s="2" customFormat="1" x14ac:dyDescent="0.4">
      <c r="A994" s="2" t="s">
        <v>72</v>
      </c>
      <c r="B994" s="2" t="s">
        <v>8058</v>
      </c>
      <c r="C994" s="2" t="s">
        <v>74</v>
      </c>
      <c r="D994" s="2" t="s">
        <v>74</v>
      </c>
      <c r="E994" s="2" t="s">
        <v>74</v>
      </c>
      <c r="F994" s="2" t="s">
        <v>8058</v>
      </c>
      <c r="G994" s="2" t="s">
        <v>74</v>
      </c>
      <c r="H994" s="2" t="s">
        <v>74</v>
      </c>
      <c r="I994" s="2" t="s">
        <v>8059</v>
      </c>
      <c r="J994" s="2" t="s">
        <v>8060</v>
      </c>
      <c r="K994" s="2" t="s">
        <v>74</v>
      </c>
      <c r="L994" s="2" t="s">
        <v>74</v>
      </c>
      <c r="M994" s="2" t="s">
        <v>74</v>
      </c>
      <c r="N994" s="2" t="s">
        <v>74</v>
      </c>
      <c r="O994" s="2" t="s">
        <v>74</v>
      </c>
      <c r="P994" s="2" t="s">
        <v>74</v>
      </c>
      <c r="Q994" s="2" t="s">
        <v>74</v>
      </c>
      <c r="R994" s="2" t="s">
        <v>74</v>
      </c>
      <c r="S994" s="2" t="s">
        <v>74</v>
      </c>
      <c r="T994" s="2" t="s">
        <v>74</v>
      </c>
      <c r="U994" s="2" t="s">
        <v>74</v>
      </c>
      <c r="V994" s="5" t="s">
        <v>8061</v>
      </c>
      <c r="W994" s="2" t="s">
        <v>74</v>
      </c>
      <c r="X994" s="2" t="s">
        <v>74</v>
      </c>
      <c r="Y994" s="2" t="s">
        <v>74</v>
      </c>
      <c r="Z994" s="2" t="s">
        <v>74</v>
      </c>
      <c r="AA994" s="2" t="s">
        <v>74</v>
      </c>
      <c r="AB994" s="2" t="s">
        <v>74</v>
      </c>
      <c r="AC994" s="2" t="s">
        <v>74</v>
      </c>
      <c r="AD994" s="2" t="s">
        <v>74</v>
      </c>
      <c r="AE994" s="2" t="s">
        <v>74</v>
      </c>
      <c r="AF994" s="2" t="s">
        <v>74</v>
      </c>
      <c r="AG994" s="2" t="s">
        <v>74</v>
      </c>
      <c r="AH994" s="2" t="s">
        <v>74</v>
      </c>
      <c r="AI994" s="2" t="s">
        <v>74</v>
      </c>
      <c r="AJ994" s="2" t="s">
        <v>74</v>
      </c>
      <c r="AK994" s="2" t="s">
        <v>74</v>
      </c>
      <c r="AL994" s="2" t="s">
        <v>74</v>
      </c>
      <c r="AM994" s="2" t="s">
        <v>74</v>
      </c>
      <c r="AN994" s="2" t="s">
        <v>74</v>
      </c>
      <c r="AO994" s="2" t="s">
        <v>8062</v>
      </c>
      <c r="AP994" s="2" t="s">
        <v>74</v>
      </c>
      <c r="AQ994" s="2" t="s">
        <v>74</v>
      </c>
      <c r="AR994" s="2" t="s">
        <v>74</v>
      </c>
      <c r="AS994" s="2" t="s">
        <v>74</v>
      </c>
      <c r="AT994" s="2" t="s">
        <v>352</v>
      </c>
      <c r="AU994" s="2">
        <v>2002</v>
      </c>
      <c r="AV994" s="2">
        <v>104</v>
      </c>
      <c r="AW994" s="2">
        <v>3</v>
      </c>
      <c r="AX994" s="2" t="s">
        <v>74</v>
      </c>
      <c r="AY994" s="2" t="s">
        <v>74</v>
      </c>
      <c r="AZ994" s="2" t="s">
        <v>74</v>
      </c>
      <c r="BA994" s="2" t="s">
        <v>74</v>
      </c>
      <c r="BB994" s="2">
        <v>353</v>
      </c>
      <c r="BC994" s="2">
        <v>360</v>
      </c>
      <c r="BD994" s="2" t="s">
        <v>74</v>
      </c>
      <c r="BE994" s="2" t="s">
        <v>74</v>
      </c>
      <c r="BF994" s="2" t="s">
        <v>74</v>
      </c>
      <c r="BG994" s="2" t="s">
        <v>74</v>
      </c>
      <c r="BH994" s="2" t="s">
        <v>74</v>
      </c>
      <c r="BI994" s="2" t="s">
        <v>74</v>
      </c>
      <c r="BJ994" s="2" t="s">
        <v>74</v>
      </c>
      <c r="BK994" s="2" t="s">
        <v>74</v>
      </c>
      <c r="BL994" s="2" t="s">
        <v>74</v>
      </c>
      <c r="BM994" s="2" t="s">
        <v>74</v>
      </c>
      <c r="BN994" s="2" t="s">
        <v>74</v>
      </c>
      <c r="BO994" s="2" t="s">
        <v>74</v>
      </c>
      <c r="BP994" s="2" t="s">
        <v>74</v>
      </c>
      <c r="BQ994" s="2" t="s">
        <v>74</v>
      </c>
      <c r="BR994" s="2" t="s">
        <v>74</v>
      </c>
      <c r="BS994" s="2" t="s">
        <v>8063</v>
      </c>
      <c r="BT994" s="2" t="str">
        <f>HYPERLINK("https%3A%2F%2Fwww.webofscience.com%2Fwos%2Fwoscc%2Ffull-record%2FWOS:000179601800016","View Full Record in Web of Science")</f>
        <v>View Full Record in Web of Science</v>
      </c>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row>
    <row r="995" spans="1:314" s="2" customFormat="1" x14ac:dyDescent="0.4">
      <c r="A995" s="2" t="s">
        <v>72</v>
      </c>
      <c r="B995" s="2" t="s">
        <v>1707</v>
      </c>
      <c r="C995" s="2" t="s">
        <v>74</v>
      </c>
      <c r="D995" s="2" t="s">
        <v>74</v>
      </c>
      <c r="E995" s="2" t="s">
        <v>74</v>
      </c>
      <c r="F995" s="2" t="s">
        <v>1708</v>
      </c>
      <c r="G995" s="2" t="s">
        <v>74</v>
      </c>
      <c r="H995" s="2" t="s">
        <v>74</v>
      </c>
      <c r="I995" s="2" t="s">
        <v>1709</v>
      </c>
      <c r="J995" s="2" t="s">
        <v>119</v>
      </c>
      <c r="K995" s="2" t="s">
        <v>74</v>
      </c>
      <c r="L995" s="2" t="s">
        <v>74</v>
      </c>
      <c r="M995" s="2" t="s">
        <v>74</v>
      </c>
      <c r="N995" s="2" t="s">
        <v>74</v>
      </c>
      <c r="O995" s="2" t="s">
        <v>74</v>
      </c>
      <c r="P995" s="2" t="s">
        <v>74</v>
      </c>
      <c r="Q995" s="2" t="s">
        <v>74</v>
      </c>
      <c r="R995" s="2" t="s">
        <v>74</v>
      </c>
      <c r="S995" s="2" t="s">
        <v>74</v>
      </c>
      <c r="T995" s="2" t="s">
        <v>74</v>
      </c>
      <c r="U995" s="2" t="s">
        <v>74</v>
      </c>
      <c r="V995" s="5" t="s">
        <v>1710</v>
      </c>
      <c r="W995" s="2" t="s">
        <v>74</v>
      </c>
      <c r="X995" s="2" t="s">
        <v>74</v>
      </c>
      <c r="Y995" s="2" t="s">
        <v>74</v>
      </c>
      <c r="Z995" s="2" t="s">
        <v>74</v>
      </c>
      <c r="AA995" s="2" t="s">
        <v>379</v>
      </c>
      <c r="AB995" s="2" t="s">
        <v>74</v>
      </c>
      <c r="AC995" s="2" t="s">
        <v>74</v>
      </c>
      <c r="AD995" s="2" t="s">
        <v>74</v>
      </c>
      <c r="AE995" s="2" t="s">
        <v>74</v>
      </c>
      <c r="AF995" s="2" t="s">
        <v>74</v>
      </c>
      <c r="AG995" s="2" t="s">
        <v>74</v>
      </c>
      <c r="AH995" s="2" t="s">
        <v>74</v>
      </c>
      <c r="AI995" s="2" t="s">
        <v>74</v>
      </c>
      <c r="AJ995" s="2" t="s">
        <v>74</v>
      </c>
      <c r="AK995" s="2" t="s">
        <v>74</v>
      </c>
      <c r="AL995" s="2" t="s">
        <v>74</v>
      </c>
      <c r="AM995" s="2" t="s">
        <v>74</v>
      </c>
      <c r="AN995" s="2" t="s">
        <v>74</v>
      </c>
      <c r="AO995" s="2" t="s">
        <v>121</v>
      </c>
      <c r="AP995" s="2" t="s">
        <v>122</v>
      </c>
      <c r="AQ995" s="2" t="s">
        <v>74</v>
      </c>
      <c r="AR995" s="2" t="s">
        <v>74</v>
      </c>
      <c r="AS995" s="2" t="s">
        <v>74</v>
      </c>
      <c r="AT995" s="2" t="s">
        <v>255</v>
      </c>
      <c r="AU995" s="2">
        <v>2020</v>
      </c>
      <c r="AV995" s="2">
        <v>170</v>
      </c>
      <c r="AW995" s="2" t="s">
        <v>74</v>
      </c>
      <c r="AX995" s="2" t="s">
        <v>74</v>
      </c>
      <c r="AY995" s="2" t="s">
        <v>74</v>
      </c>
      <c r="AZ995" s="2" t="s">
        <v>74</v>
      </c>
      <c r="BA995" s="2" t="s">
        <v>74</v>
      </c>
      <c r="BB995" s="2" t="s">
        <v>74</v>
      </c>
      <c r="BC995" s="2" t="s">
        <v>74</v>
      </c>
      <c r="BD995" s="2">
        <v>104013</v>
      </c>
      <c r="BE995" s="2" t="s">
        <v>1711</v>
      </c>
      <c r="BF995" s="2" t="str">
        <f>HYPERLINK("http://dx.doi.org/10.1016/j.beproc.2019.104013","http://dx.doi.org/10.1016/j.beproc.2019.104013")</f>
        <v>http://dx.doi.org/10.1016/j.beproc.2019.104013</v>
      </c>
      <c r="BG995" s="2" t="s">
        <v>74</v>
      </c>
      <c r="BH995" s="2" t="s">
        <v>74</v>
      </c>
      <c r="BI995" s="2" t="s">
        <v>74</v>
      </c>
      <c r="BJ995" s="2" t="s">
        <v>74</v>
      </c>
      <c r="BK995" s="2" t="s">
        <v>74</v>
      </c>
      <c r="BL995" s="2" t="s">
        <v>74</v>
      </c>
      <c r="BM995" s="2" t="s">
        <v>74</v>
      </c>
      <c r="BN995" s="2">
        <v>31751600</v>
      </c>
      <c r="BO995" s="2" t="s">
        <v>74</v>
      </c>
      <c r="BP995" s="2" t="s">
        <v>74</v>
      </c>
      <c r="BQ995" s="2" t="s">
        <v>74</v>
      </c>
      <c r="BR995" s="2" t="s">
        <v>74</v>
      </c>
      <c r="BS995" s="2" t="s">
        <v>1712</v>
      </c>
      <c r="BT995" s="2" t="str">
        <f>HYPERLINK("https%3A%2F%2Fwww.webofscience.com%2Fwos%2Fwoscc%2Ffull-record%2FWOS:000519226600012","View Full Record in Web of Science")</f>
        <v>View Full Record in Web of Science</v>
      </c>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row>
    <row r="996" spans="1:314" s="2" customFormat="1" x14ac:dyDescent="0.4">
      <c r="A996" s="2" t="s">
        <v>72</v>
      </c>
      <c r="B996" s="2" t="s">
        <v>189</v>
      </c>
      <c r="C996" s="2" t="s">
        <v>74</v>
      </c>
      <c r="D996" s="2" t="s">
        <v>74</v>
      </c>
      <c r="E996" s="2" t="s">
        <v>74</v>
      </c>
      <c r="F996" s="2" t="s">
        <v>190</v>
      </c>
      <c r="G996" s="2" t="s">
        <v>74</v>
      </c>
      <c r="H996" s="2" t="s">
        <v>74</v>
      </c>
      <c r="I996" s="2" t="s">
        <v>191</v>
      </c>
      <c r="J996" s="2" t="s">
        <v>192</v>
      </c>
      <c r="K996" s="2" t="s">
        <v>74</v>
      </c>
      <c r="L996" s="2" t="s">
        <v>74</v>
      </c>
      <c r="M996" s="2" t="s">
        <v>74</v>
      </c>
      <c r="N996" s="2" t="s">
        <v>74</v>
      </c>
      <c r="O996" s="2" t="s">
        <v>74</v>
      </c>
      <c r="P996" s="2" t="s">
        <v>74</v>
      </c>
      <c r="Q996" s="2" t="s">
        <v>74</v>
      </c>
      <c r="R996" s="2" t="s">
        <v>74</v>
      </c>
      <c r="S996" s="2" t="s">
        <v>74</v>
      </c>
      <c r="T996" s="2" t="s">
        <v>74</v>
      </c>
      <c r="U996" s="2" t="s">
        <v>74</v>
      </c>
      <c r="V996" s="5" t="s">
        <v>193</v>
      </c>
      <c r="W996" s="2" t="s">
        <v>74</v>
      </c>
      <c r="X996" s="2" t="s">
        <v>74</v>
      </c>
      <c r="Y996" s="2" t="s">
        <v>74</v>
      </c>
      <c r="Z996" s="2" t="s">
        <v>74</v>
      </c>
      <c r="AA996" s="2" t="s">
        <v>163</v>
      </c>
      <c r="AB996" s="2" t="s">
        <v>194</v>
      </c>
      <c r="AC996" s="2" t="s">
        <v>74</v>
      </c>
      <c r="AD996" s="2" t="s">
        <v>74</v>
      </c>
      <c r="AE996" s="2" t="s">
        <v>74</v>
      </c>
      <c r="AF996" s="2" t="s">
        <v>74</v>
      </c>
      <c r="AG996" s="2" t="s">
        <v>74</v>
      </c>
      <c r="AH996" s="2" t="s">
        <v>74</v>
      </c>
      <c r="AI996" s="2" t="s">
        <v>74</v>
      </c>
      <c r="AJ996" s="2" t="s">
        <v>74</v>
      </c>
      <c r="AK996" s="2" t="s">
        <v>74</v>
      </c>
      <c r="AL996" s="2" t="s">
        <v>74</v>
      </c>
      <c r="AM996" s="2" t="s">
        <v>74</v>
      </c>
      <c r="AN996" s="2" t="s">
        <v>74</v>
      </c>
      <c r="AO996" s="2" t="s">
        <v>195</v>
      </c>
      <c r="AP996" s="2" t="s">
        <v>196</v>
      </c>
      <c r="AQ996" s="2" t="s">
        <v>74</v>
      </c>
      <c r="AR996" s="2" t="s">
        <v>74</v>
      </c>
      <c r="AS996" s="2" t="s">
        <v>74</v>
      </c>
      <c r="AT996" s="2" t="s">
        <v>134</v>
      </c>
      <c r="AU996" s="2">
        <v>2017</v>
      </c>
      <c r="AV996" s="2">
        <v>791</v>
      </c>
      <c r="AW996" s="2">
        <v>1</v>
      </c>
      <c r="AX996" s="2" t="s">
        <v>74</v>
      </c>
      <c r="AY996" s="2" t="s">
        <v>74</v>
      </c>
      <c r="AZ996" s="2" t="s">
        <v>74</v>
      </c>
      <c r="BA996" s="2" t="s">
        <v>74</v>
      </c>
      <c r="BB996" s="2">
        <v>237</v>
      </c>
      <c r="BC996" s="2">
        <v>245</v>
      </c>
      <c r="BD996" s="2" t="s">
        <v>74</v>
      </c>
      <c r="BE996" s="2" t="s">
        <v>197</v>
      </c>
      <c r="BF996" s="2" t="str">
        <f>HYPERLINK("http://dx.doi.org/10.1007/s10750-016-2889-1","http://dx.doi.org/10.1007/s10750-016-2889-1")</f>
        <v>http://dx.doi.org/10.1007/s10750-016-2889-1</v>
      </c>
      <c r="BG996" s="2" t="s">
        <v>74</v>
      </c>
      <c r="BH996" s="2" t="s">
        <v>74</v>
      </c>
      <c r="BI996" s="2" t="s">
        <v>74</v>
      </c>
      <c r="BJ996" s="2" t="s">
        <v>74</v>
      </c>
      <c r="BK996" s="2" t="s">
        <v>74</v>
      </c>
      <c r="BL996" s="2" t="s">
        <v>74</v>
      </c>
      <c r="BM996" s="2" t="s">
        <v>74</v>
      </c>
      <c r="BN996" s="2" t="s">
        <v>74</v>
      </c>
      <c r="BO996" s="2" t="s">
        <v>74</v>
      </c>
      <c r="BP996" s="2" t="s">
        <v>74</v>
      </c>
      <c r="BQ996" s="2" t="s">
        <v>74</v>
      </c>
      <c r="BR996" s="2" t="s">
        <v>74</v>
      </c>
      <c r="BS996" s="2" t="s">
        <v>198</v>
      </c>
      <c r="BT996" s="2" t="str">
        <f>HYPERLINK("https%3A%2F%2Fwww.webofscience.com%2Fwos%2Fwoscc%2Ffull-record%2FWOS:000396043800017","View Full Record in Web of Science")</f>
        <v>View Full Record in Web of Science</v>
      </c>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row>
    <row r="997" spans="1:314" s="7" customFormat="1" x14ac:dyDescent="0.4">
      <c r="A997" s="2" t="s">
        <v>72</v>
      </c>
      <c r="B997" s="2" t="s">
        <v>5555</v>
      </c>
      <c r="C997" s="2" t="s">
        <v>74</v>
      </c>
      <c r="D997" s="2" t="s">
        <v>74</v>
      </c>
      <c r="E997" s="2" t="s">
        <v>74</v>
      </c>
      <c r="F997" s="2" t="s">
        <v>5556</v>
      </c>
      <c r="G997" s="2" t="s">
        <v>74</v>
      </c>
      <c r="H997" s="2" t="s">
        <v>74</v>
      </c>
      <c r="I997" s="2" t="s">
        <v>5557</v>
      </c>
      <c r="J997" s="2" t="s">
        <v>576</v>
      </c>
      <c r="K997" s="2" t="s">
        <v>74</v>
      </c>
      <c r="L997" s="2" t="s">
        <v>74</v>
      </c>
      <c r="M997" s="2" t="s">
        <v>74</v>
      </c>
      <c r="N997" s="2" t="s">
        <v>74</v>
      </c>
      <c r="O997" s="2" t="s">
        <v>74</v>
      </c>
      <c r="P997" s="2" t="s">
        <v>74</v>
      </c>
      <c r="Q997" s="2" t="s">
        <v>74</v>
      </c>
      <c r="R997" s="2" t="s">
        <v>74</v>
      </c>
      <c r="S997" s="2" t="s">
        <v>74</v>
      </c>
      <c r="T997" s="2" t="s">
        <v>74</v>
      </c>
      <c r="U997" s="2" t="s">
        <v>74</v>
      </c>
      <c r="V997" s="5" t="s">
        <v>5558</v>
      </c>
      <c r="W997" s="2" t="s">
        <v>74</v>
      </c>
      <c r="X997" s="2" t="s">
        <v>74</v>
      </c>
      <c r="Y997" s="2" t="s">
        <v>74</v>
      </c>
      <c r="Z997" s="2" t="s">
        <v>74</v>
      </c>
      <c r="AA997" s="2" t="s">
        <v>5559</v>
      </c>
      <c r="AB997" s="2" t="s">
        <v>5560</v>
      </c>
      <c r="AC997" s="2" t="s">
        <v>74</v>
      </c>
      <c r="AD997" s="2" t="s">
        <v>74</v>
      </c>
      <c r="AE997" s="2" t="s">
        <v>74</v>
      </c>
      <c r="AF997" s="2" t="s">
        <v>74</v>
      </c>
      <c r="AG997" s="2" t="s">
        <v>74</v>
      </c>
      <c r="AH997" s="2" t="s">
        <v>74</v>
      </c>
      <c r="AI997" s="2" t="s">
        <v>74</v>
      </c>
      <c r="AJ997" s="2" t="s">
        <v>74</v>
      </c>
      <c r="AK997" s="2" t="s">
        <v>74</v>
      </c>
      <c r="AL997" s="2" t="s">
        <v>74</v>
      </c>
      <c r="AM997" s="2" t="s">
        <v>74</v>
      </c>
      <c r="AN997" s="2" t="s">
        <v>74</v>
      </c>
      <c r="AO997" s="2" t="s">
        <v>579</v>
      </c>
      <c r="AP997" s="2" t="s">
        <v>580</v>
      </c>
      <c r="AQ997" s="2" t="s">
        <v>74</v>
      </c>
      <c r="AR997" s="2" t="s">
        <v>74</v>
      </c>
      <c r="AS997" s="2" t="s">
        <v>74</v>
      </c>
      <c r="AT997" s="2" t="s">
        <v>213</v>
      </c>
      <c r="AU997" s="2">
        <v>2009</v>
      </c>
      <c r="AV997" s="2">
        <v>23</v>
      </c>
      <c r="AW997" s="2">
        <v>6</v>
      </c>
      <c r="AX997" s="2" t="s">
        <v>74</v>
      </c>
      <c r="AY997" s="2" t="s">
        <v>74</v>
      </c>
      <c r="AZ997" s="2" t="s">
        <v>74</v>
      </c>
      <c r="BA997" s="2" t="s">
        <v>74</v>
      </c>
      <c r="BB997" s="2">
        <v>943</v>
      </c>
      <c r="BC997" s="2">
        <v>961</v>
      </c>
      <c r="BD997" s="2" t="s">
        <v>74</v>
      </c>
      <c r="BE997" s="2" t="s">
        <v>5561</v>
      </c>
      <c r="BF997" s="2" t="str">
        <f>HYPERLINK("http://dx.doi.org/10.1007/s10682-008-9283-z","http://dx.doi.org/10.1007/s10682-008-9283-z")</f>
        <v>http://dx.doi.org/10.1007/s10682-008-9283-z</v>
      </c>
      <c r="BG997" s="2" t="s">
        <v>74</v>
      </c>
      <c r="BH997" s="2" t="s">
        <v>74</v>
      </c>
      <c r="BI997" s="2" t="s">
        <v>74</v>
      </c>
      <c r="BJ997" s="2" t="s">
        <v>74</v>
      </c>
      <c r="BK997" s="2" t="s">
        <v>74</v>
      </c>
      <c r="BL997" s="2" t="s">
        <v>74</v>
      </c>
      <c r="BM997" s="2" t="s">
        <v>74</v>
      </c>
      <c r="BN997" s="2" t="s">
        <v>74</v>
      </c>
      <c r="BO997" s="2" t="s">
        <v>74</v>
      </c>
      <c r="BP997" s="2" t="s">
        <v>74</v>
      </c>
      <c r="BQ997" s="2" t="s">
        <v>74</v>
      </c>
      <c r="BR997" s="2" t="s">
        <v>74</v>
      </c>
      <c r="BS997" s="2" t="s">
        <v>5562</v>
      </c>
      <c r="BT997" s="2" t="str">
        <f>HYPERLINK("https%3A%2F%2Fwww.webofscience.com%2Fwos%2Fwoscc%2Ffull-record%2FWOS:000271949700009","View Full Record in Web of Science")</f>
        <v>View Full Record in Web of Science</v>
      </c>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row>
    <row r="998" spans="1:314" s="2" customFormat="1" x14ac:dyDescent="0.4">
      <c r="A998" s="2" t="s">
        <v>72</v>
      </c>
      <c r="B998" s="2" t="s">
        <v>5425</v>
      </c>
      <c r="C998" s="2" t="s">
        <v>74</v>
      </c>
      <c r="D998" s="2" t="s">
        <v>74</v>
      </c>
      <c r="E998" s="2" t="s">
        <v>74</v>
      </c>
      <c r="F998" s="2" t="s">
        <v>5426</v>
      </c>
      <c r="G998" s="2" t="s">
        <v>74</v>
      </c>
      <c r="H998" s="2" t="s">
        <v>74</v>
      </c>
      <c r="I998" s="2" t="s">
        <v>5427</v>
      </c>
      <c r="J998" s="2" t="s">
        <v>5428</v>
      </c>
      <c r="K998" s="2" t="s">
        <v>74</v>
      </c>
      <c r="L998" s="2" t="s">
        <v>74</v>
      </c>
      <c r="M998" s="2" t="s">
        <v>74</v>
      </c>
      <c r="N998" s="2" t="s">
        <v>74</v>
      </c>
      <c r="O998" s="2" t="s">
        <v>74</v>
      </c>
      <c r="P998" s="2" t="s">
        <v>74</v>
      </c>
      <c r="Q998" s="2" t="s">
        <v>74</v>
      </c>
      <c r="R998" s="2" t="s">
        <v>74</v>
      </c>
      <c r="S998" s="2" t="s">
        <v>74</v>
      </c>
      <c r="T998" s="2" t="s">
        <v>74</v>
      </c>
      <c r="U998" s="2" t="s">
        <v>74</v>
      </c>
      <c r="V998" s="5" t="s">
        <v>5429</v>
      </c>
      <c r="W998" s="2" t="s">
        <v>74</v>
      </c>
      <c r="X998" s="2" t="s">
        <v>74</v>
      </c>
      <c r="Y998" s="2" t="s">
        <v>74</v>
      </c>
      <c r="Z998" s="2" t="s">
        <v>74</v>
      </c>
      <c r="AA998" s="2" t="s">
        <v>4828</v>
      </c>
      <c r="AB998" s="2" t="s">
        <v>4829</v>
      </c>
      <c r="AC998" s="2" t="s">
        <v>74</v>
      </c>
      <c r="AD998" s="2" t="s">
        <v>74</v>
      </c>
      <c r="AE998" s="2" t="s">
        <v>74</v>
      </c>
      <c r="AF998" s="2" t="s">
        <v>74</v>
      </c>
      <c r="AG998" s="2" t="s">
        <v>74</v>
      </c>
      <c r="AH998" s="2" t="s">
        <v>74</v>
      </c>
      <c r="AI998" s="2" t="s">
        <v>74</v>
      </c>
      <c r="AJ998" s="2" t="s">
        <v>74</v>
      </c>
      <c r="AK998" s="2" t="s">
        <v>74</v>
      </c>
      <c r="AL998" s="2" t="s">
        <v>74</v>
      </c>
      <c r="AM998" s="2" t="s">
        <v>74</v>
      </c>
      <c r="AN998" s="2" t="s">
        <v>74</v>
      </c>
      <c r="AO998" s="2" t="s">
        <v>5430</v>
      </c>
      <c r="AP998" s="2" t="s">
        <v>5431</v>
      </c>
      <c r="AQ998" s="2" t="s">
        <v>74</v>
      </c>
      <c r="AR998" s="2" t="s">
        <v>74</v>
      </c>
      <c r="AS998" s="2" t="s">
        <v>74</v>
      </c>
      <c r="AT998" s="2" t="s">
        <v>352</v>
      </c>
      <c r="AU998" s="2">
        <v>2002</v>
      </c>
      <c r="AV998" s="2">
        <v>3</v>
      </c>
      <c r="AW998" s="2">
        <v>3</v>
      </c>
      <c r="AX998" s="2" t="s">
        <v>74</v>
      </c>
      <c r="AY998" s="2" t="s">
        <v>74</v>
      </c>
      <c r="AZ998" s="2" t="s">
        <v>74</v>
      </c>
      <c r="BA998" s="2" t="s">
        <v>74</v>
      </c>
      <c r="BB998" s="2">
        <v>213</v>
      </c>
      <c r="BC998" s="2">
        <v>224</v>
      </c>
      <c r="BD998" s="2" t="s">
        <v>74</v>
      </c>
      <c r="BE998" s="2" t="s">
        <v>5432</v>
      </c>
      <c r="BF998" s="2" t="str">
        <f>HYPERLINK("http://dx.doi.org/10.1046/j.1467-2979.2002.00088.x","http://dx.doi.org/10.1046/j.1467-2979.2002.00088.x")</f>
        <v>http://dx.doi.org/10.1046/j.1467-2979.2002.00088.x</v>
      </c>
      <c r="BG998" s="2" t="s">
        <v>74</v>
      </c>
      <c r="BH998" s="2" t="s">
        <v>74</v>
      </c>
      <c r="BI998" s="2" t="s">
        <v>74</v>
      </c>
      <c r="BJ998" s="2" t="s">
        <v>74</v>
      </c>
      <c r="BK998" s="2" t="s">
        <v>74</v>
      </c>
      <c r="BL998" s="2" t="s">
        <v>74</v>
      </c>
      <c r="BM998" s="2" t="s">
        <v>74</v>
      </c>
      <c r="BN998" s="2" t="s">
        <v>74</v>
      </c>
      <c r="BO998" s="2" t="s">
        <v>74</v>
      </c>
      <c r="BP998" s="2" t="s">
        <v>74</v>
      </c>
      <c r="BQ998" s="2" t="s">
        <v>74</v>
      </c>
      <c r="BR998" s="2" t="s">
        <v>74</v>
      </c>
      <c r="BS998" s="2" t="s">
        <v>5433</v>
      </c>
      <c r="BT998" s="2" t="str">
        <f>HYPERLINK("https%3A%2F%2Fwww.webofscience.com%2Fwos%2Fwoscc%2Ffull-record%2FWOS:000208993800007","View Full Record in Web of Science")</f>
        <v>View Full Record in Web of Science</v>
      </c>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row>
    <row r="999" spans="1:314" s="2" customFormat="1" x14ac:dyDescent="0.4">
      <c r="A999" s="2" t="s">
        <v>72</v>
      </c>
      <c r="B999" s="2" t="s">
        <v>1249</v>
      </c>
      <c r="C999" s="2" t="s">
        <v>74</v>
      </c>
      <c r="D999" s="2" t="s">
        <v>74</v>
      </c>
      <c r="E999" s="2" t="s">
        <v>74</v>
      </c>
      <c r="F999" s="2" t="s">
        <v>1249</v>
      </c>
      <c r="G999" s="2" t="s">
        <v>74</v>
      </c>
      <c r="H999" s="2" t="s">
        <v>74</v>
      </c>
      <c r="I999" s="2" t="s">
        <v>1250</v>
      </c>
      <c r="J999" s="2" t="s">
        <v>108</v>
      </c>
      <c r="K999" s="2" t="s">
        <v>74</v>
      </c>
      <c r="L999" s="2" t="s">
        <v>74</v>
      </c>
      <c r="M999" s="2" t="s">
        <v>74</v>
      </c>
      <c r="N999" s="2" t="s">
        <v>74</v>
      </c>
      <c r="O999" s="2" t="s">
        <v>74</v>
      </c>
      <c r="P999" s="2" t="s">
        <v>74</v>
      </c>
      <c r="Q999" s="2" t="s">
        <v>74</v>
      </c>
      <c r="R999" s="2" t="s">
        <v>74</v>
      </c>
      <c r="S999" s="2" t="s">
        <v>74</v>
      </c>
      <c r="T999" s="2" t="s">
        <v>74</v>
      </c>
      <c r="U999" s="2" t="s">
        <v>74</v>
      </c>
      <c r="V999" s="5" t="s">
        <v>1251</v>
      </c>
      <c r="W999" s="2" t="s">
        <v>74</v>
      </c>
      <c r="X999" s="2" t="s">
        <v>74</v>
      </c>
      <c r="Y999" s="2" t="s">
        <v>74</v>
      </c>
      <c r="Z999" s="2" t="s">
        <v>74</v>
      </c>
      <c r="AA999" s="2" t="s">
        <v>1252</v>
      </c>
      <c r="AB999" s="2" t="s">
        <v>74</v>
      </c>
      <c r="AC999" s="2" t="s">
        <v>74</v>
      </c>
      <c r="AD999" s="2" t="s">
        <v>74</v>
      </c>
      <c r="AE999" s="2" t="s">
        <v>74</v>
      </c>
      <c r="AF999" s="2" t="s">
        <v>74</v>
      </c>
      <c r="AG999" s="2" t="s">
        <v>74</v>
      </c>
      <c r="AH999" s="2" t="s">
        <v>74</v>
      </c>
      <c r="AI999" s="2" t="s">
        <v>74</v>
      </c>
      <c r="AJ999" s="2" t="s">
        <v>74</v>
      </c>
      <c r="AK999" s="2" t="s">
        <v>74</v>
      </c>
      <c r="AL999" s="2" t="s">
        <v>74</v>
      </c>
      <c r="AM999" s="2" t="s">
        <v>74</v>
      </c>
      <c r="AN999" s="2" t="s">
        <v>74</v>
      </c>
      <c r="AO999" s="2" t="s">
        <v>111</v>
      </c>
      <c r="AP999" s="2" t="s">
        <v>74</v>
      </c>
      <c r="AQ999" s="2" t="s">
        <v>74</v>
      </c>
      <c r="AR999" s="2" t="s">
        <v>74</v>
      </c>
      <c r="AS999" s="2" t="s">
        <v>74</v>
      </c>
      <c r="AT999" s="2" t="s">
        <v>1253</v>
      </c>
      <c r="AU999" s="2">
        <v>2004</v>
      </c>
      <c r="AV999" s="2">
        <v>271</v>
      </c>
      <c r="AW999" s="2">
        <v>1548</v>
      </c>
      <c r="AX999" s="2" t="s">
        <v>74</v>
      </c>
      <c r="AY999" s="2" t="s">
        <v>74</v>
      </c>
      <c r="AZ999" s="2" t="s">
        <v>74</v>
      </c>
      <c r="BA999" s="2" t="s">
        <v>74</v>
      </c>
      <c r="BB999" s="2">
        <v>1577</v>
      </c>
      <c r="BC999" s="2">
        <v>1584</v>
      </c>
      <c r="BD999" s="2" t="s">
        <v>74</v>
      </c>
      <c r="BE999" s="2" t="s">
        <v>1254</v>
      </c>
      <c r="BF999" s="2" t="str">
        <f>HYPERLINK("http://dx.doi.org/10.1098/rspb.2004.2781","http://dx.doi.org/10.1098/rspb.2004.2781")</f>
        <v>http://dx.doi.org/10.1098/rspb.2004.2781</v>
      </c>
      <c r="BG999" s="2" t="s">
        <v>74</v>
      </c>
      <c r="BH999" s="2" t="s">
        <v>74</v>
      </c>
      <c r="BI999" s="2" t="s">
        <v>74</v>
      </c>
      <c r="BJ999" s="2" t="s">
        <v>74</v>
      </c>
      <c r="BK999" s="2" t="s">
        <v>74</v>
      </c>
      <c r="BL999" s="2" t="s">
        <v>74</v>
      </c>
      <c r="BM999" s="2" t="s">
        <v>74</v>
      </c>
      <c r="BN999" s="2">
        <v>15306303</v>
      </c>
      <c r="BO999" s="2" t="s">
        <v>74</v>
      </c>
      <c r="BP999" s="2" t="s">
        <v>74</v>
      </c>
      <c r="BQ999" s="2" t="s">
        <v>74</v>
      </c>
      <c r="BR999" s="2" t="s">
        <v>74</v>
      </c>
      <c r="BS999" s="2" t="s">
        <v>1255</v>
      </c>
      <c r="BT999" s="2" t="str">
        <f>HYPERLINK("https%3A%2F%2Fwww.webofscience.com%2Fwos%2Fwoscc%2Ffull-record%2FWOS:000222995100005","View Full Record in Web of Science")</f>
        <v>View Full Record in Web of Science</v>
      </c>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row>
    <row r="1000" spans="1:314" s="2" customFormat="1" x14ac:dyDescent="0.4">
      <c r="A1000" s="2" t="s">
        <v>72</v>
      </c>
      <c r="B1000" s="2" t="s">
        <v>8539</v>
      </c>
      <c r="C1000" s="2" t="s">
        <v>74</v>
      </c>
      <c r="D1000" s="2" t="s">
        <v>74</v>
      </c>
      <c r="E1000" s="2" t="s">
        <v>74</v>
      </c>
      <c r="F1000" s="2" t="s">
        <v>8540</v>
      </c>
      <c r="G1000" s="2" t="s">
        <v>74</v>
      </c>
      <c r="H1000" s="2" t="s">
        <v>74</v>
      </c>
      <c r="I1000" s="2" t="s">
        <v>8541</v>
      </c>
      <c r="J1000" s="2" t="s">
        <v>171</v>
      </c>
      <c r="K1000" s="2" t="s">
        <v>74</v>
      </c>
      <c r="L1000" s="2" t="s">
        <v>74</v>
      </c>
      <c r="M1000" s="2" t="s">
        <v>74</v>
      </c>
      <c r="N1000" s="2" t="s">
        <v>74</v>
      </c>
      <c r="O1000" s="2" t="s">
        <v>74</v>
      </c>
      <c r="P1000" s="2" t="s">
        <v>74</v>
      </c>
      <c r="Q1000" s="2" t="s">
        <v>74</v>
      </c>
      <c r="R1000" s="2" t="s">
        <v>74</v>
      </c>
      <c r="S1000" s="2" t="s">
        <v>74</v>
      </c>
      <c r="T1000" s="2" t="s">
        <v>74</v>
      </c>
      <c r="U1000" s="2" t="s">
        <v>74</v>
      </c>
      <c r="V1000" s="5" t="s">
        <v>8542</v>
      </c>
      <c r="W1000" s="2" t="s">
        <v>74</v>
      </c>
      <c r="X1000" s="2" t="s">
        <v>74</v>
      </c>
      <c r="Y1000" s="2" t="s">
        <v>74</v>
      </c>
      <c r="Z1000" s="2" t="s">
        <v>74</v>
      </c>
      <c r="AA1000" s="2" t="s">
        <v>74</v>
      </c>
      <c r="AB1000" s="2" t="s">
        <v>322</v>
      </c>
      <c r="AC1000" s="2" t="s">
        <v>74</v>
      </c>
      <c r="AD1000" s="2" t="s">
        <v>74</v>
      </c>
      <c r="AE1000" s="2" t="s">
        <v>74</v>
      </c>
      <c r="AF1000" s="2" t="s">
        <v>74</v>
      </c>
      <c r="AG1000" s="2" t="s">
        <v>74</v>
      </c>
      <c r="AH1000" s="2" t="s">
        <v>74</v>
      </c>
      <c r="AI1000" s="2" t="s">
        <v>74</v>
      </c>
      <c r="AJ1000" s="2" t="s">
        <v>74</v>
      </c>
      <c r="AK1000" s="2" t="s">
        <v>74</v>
      </c>
      <c r="AL1000" s="2" t="s">
        <v>74</v>
      </c>
      <c r="AM1000" s="2" t="s">
        <v>74</v>
      </c>
      <c r="AN1000" s="2" t="s">
        <v>74</v>
      </c>
      <c r="AO1000" s="2" t="s">
        <v>173</v>
      </c>
      <c r="AP1000" s="2" t="s">
        <v>174</v>
      </c>
      <c r="AQ1000" s="2" t="s">
        <v>74</v>
      </c>
      <c r="AR1000" s="2" t="s">
        <v>74</v>
      </c>
      <c r="AS1000" s="2" t="s">
        <v>74</v>
      </c>
      <c r="AT1000" s="2" t="s">
        <v>204</v>
      </c>
      <c r="AU1000" s="2">
        <v>2006</v>
      </c>
      <c r="AV1000" s="2">
        <v>60</v>
      </c>
      <c r="AW1000" s="2">
        <v>7</v>
      </c>
      <c r="AX1000" s="2" t="s">
        <v>74</v>
      </c>
      <c r="AY1000" s="2" t="s">
        <v>74</v>
      </c>
      <c r="AZ1000" s="2" t="s">
        <v>74</v>
      </c>
      <c r="BA1000" s="2" t="s">
        <v>74</v>
      </c>
      <c r="BB1000" s="2">
        <v>1476</v>
      </c>
      <c r="BC1000" s="2">
        <v>1485</v>
      </c>
      <c r="BD1000" s="2" t="s">
        <v>74</v>
      </c>
      <c r="BE1000" s="2" t="s">
        <v>8543</v>
      </c>
      <c r="BF1000" s="2" t="str">
        <f>HYPERLINK("http://dx.doi.org/10.1111/j.0014-3820.2006.tb01226.x","http://dx.doi.org/10.1111/j.0014-3820.2006.tb01226.x")</f>
        <v>http://dx.doi.org/10.1111/j.0014-3820.2006.tb01226.x</v>
      </c>
      <c r="BG1000" s="2" t="s">
        <v>74</v>
      </c>
      <c r="BH1000" s="2" t="s">
        <v>74</v>
      </c>
      <c r="BI1000" s="2" t="s">
        <v>74</v>
      </c>
      <c r="BJ1000" s="2" t="s">
        <v>74</v>
      </c>
      <c r="BK1000" s="2" t="s">
        <v>74</v>
      </c>
      <c r="BL1000" s="2" t="s">
        <v>74</v>
      </c>
      <c r="BM1000" s="2" t="s">
        <v>74</v>
      </c>
      <c r="BN1000" s="2">
        <v>16929664</v>
      </c>
      <c r="BO1000" s="2" t="s">
        <v>74</v>
      </c>
      <c r="BP1000" s="2" t="s">
        <v>74</v>
      </c>
      <c r="BQ1000" s="2" t="s">
        <v>74</v>
      </c>
      <c r="BR1000" s="2" t="s">
        <v>74</v>
      </c>
      <c r="BS1000" s="2" t="s">
        <v>8544</v>
      </c>
      <c r="BT1000" s="2" t="str">
        <f>HYPERLINK("https%3A%2F%2Fwww.webofscience.com%2Fwos%2Fwoscc%2Ffull-record%2FWOS:000239682300015","View Full Record in Web of Science")</f>
        <v>View Full Record in Web of Science</v>
      </c>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row>
    <row r="1001" spans="1:314" s="2" customFormat="1" x14ac:dyDescent="0.4">
      <c r="A1001" s="2" t="s">
        <v>72</v>
      </c>
      <c r="B1001" s="2" t="s">
        <v>4537</v>
      </c>
      <c r="C1001" s="2" t="s">
        <v>74</v>
      </c>
      <c r="D1001" s="2" t="s">
        <v>74</v>
      </c>
      <c r="E1001" s="2" t="s">
        <v>74</v>
      </c>
      <c r="F1001" s="2" t="s">
        <v>4538</v>
      </c>
      <c r="G1001" s="2" t="s">
        <v>74</v>
      </c>
      <c r="H1001" s="2" t="s">
        <v>74</v>
      </c>
      <c r="I1001" s="2" t="s">
        <v>4539</v>
      </c>
      <c r="J1001" s="2" t="s">
        <v>4540</v>
      </c>
      <c r="K1001" s="2" t="s">
        <v>74</v>
      </c>
      <c r="L1001" s="2" t="s">
        <v>74</v>
      </c>
      <c r="M1001" s="2" t="s">
        <v>74</v>
      </c>
      <c r="N1001" s="2" t="s">
        <v>74</v>
      </c>
      <c r="O1001" s="2" t="s">
        <v>74</v>
      </c>
      <c r="P1001" s="2" t="s">
        <v>74</v>
      </c>
      <c r="Q1001" s="2" t="s">
        <v>74</v>
      </c>
      <c r="R1001" s="2" t="s">
        <v>74</v>
      </c>
      <c r="S1001" s="2" t="s">
        <v>74</v>
      </c>
      <c r="T1001" s="2" t="s">
        <v>74</v>
      </c>
      <c r="U1001" s="2" t="s">
        <v>74</v>
      </c>
      <c r="V1001" s="5" t="s">
        <v>4541</v>
      </c>
      <c r="W1001" s="2" t="s">
        <v>74</v>
      </c>
      <c r="X1001" s="2" t="s">
        <v>74</v>
      </c>
      <c r="Y1001" s="2" t="s">
        <v>74</v>
      </c>
      <c r="Z1001" s="2" t="s">
        <v>74</v>
      </c>
      <c r="AA1001" s="2" t="s">
        <v>4542</v>
      </c>
      <c r="AB1001" s="2" t="s">
        <v>4543</v>
      </c>
      <c r="AC1001" s="2" t="s">
        <v>74</v>
      </c>
      <c r="AD1001" s="2" t="s">
        <v>74</v>
      </c>
      <c r="AE1001" s="2" t="s">
        <v>74</v>
      </c>
      <c r="AF1001" s="2" t="s">
        <v>74</v>
      </c>
      <c r="AG1001" s="2" t="s">
        <v>74</v>
      </c>
      <c r="AH1001" s="2" t="s">
        <v>74</v>
      </c>
      <c r="AI1001" s="2" t="s">
        <v>74</v>
      </c>
      <c r="AJ1001" s="2" t="s">
        <v>74</v>
      </c>
      <c r="AK1001" s="2" t="s">
        <v>74</v>
      </c>
      <c r="AL1001" s="2" t="s">
        <v>74</v>
      </c>
      <c r="AM1001" s="2" t="s">
        <v>74</v>
      </c>
      <c r="AN1001" s="2" t="s">
        <v>74</v>
      </c>
      <c r="AO1001" s="2" t="s">
        <v>4544</v>
      </c>
      <c r="AP1001" s="2" t="s">
        <v>4545</v>
      </c>
      <c r="AQ1001" s="2" t="s">
        <v>74</v>
      </c>
      <c r="AR1001" s="2" t="s">
        <v>74</v>
      </c>
      <c r="AS1001" s="2" t="s">
        <v>74</v>
      </c>
      <c r="AT1001" s="2" t="s">
        <v>102</v>
      </c>
      <c r="AU1001" s="2">
        <v>2016</v>
      </c>
      <c r="AV1001" s="2">
        <v>99</v>
      </c>
      <c r="AW1001" s="2" t="s">
        <v>74</v>
      </c>
      <c r="AX1001" s="2" t="s">
        <v>74</v>
      </c>
      <c r="AY1001" s="2" t="s">
        <v>74</v>
      </c>
      <c r="AZ1001" s="2">
        <v>1</v>
      </c>
      <c r="BA1001" s="2" t="s">
        <v>74</v>
      </c>
      <c r="BB1001" s="2">
        <v>192</v>
      </c>
      <c r="BC1001" s="2">
        <v>199</v>
      </c>
      <c r="BD1001" s="2" t="s">
        <v>74</v>
      </c>
      <c r="BE1001" s="2" t="s">
        <v>4546</v>
      </c>
      <c r="BF1001" s="2" t="str">
        <f>HYPERLINK("http://dx.doi.org/10.1653/024.099.sp123","http://dx.doi.org/10.1653/024.099.sp123")</f>
        <v>http://dx.doi.org/10.1653/024.099.sp123</v>
      </c>
      <c r="BG1001" s="2" t="s">
        <v>74</v>
      </c>
      <c r="BH1001" s="2" t="s">
        <v>74</v>
      </c>
      <c r="BI1001" s="2" t="s">
        <v>74</v>
      </c>
      <c r="BJ1001" s="2" t="s">
        <v>74</v>
      </c>
      <c r="BK1001" s="2" t="s">
        <v>74</v>
      </c>
      <c r="BL1001" s="2" t="s">
        <v>74</v>
      </c>
      <c r="BM1001" s="2" t="s">
        <v>74</v>
      </c>
      <c r="BN1001" s="2" t="s">
        <v>74</v>
      </c>
      <c r="BO1001" s="2" t="s">
        <v>74</v>
      </c>
      <c r="BP1001" s="2" t="s">
        <v>74</v>
      </c>
      <c r="BQ1001" s="2" t="s">
        <v>74</v>
      </c>
      <c r="BR1001" s="2" t="s">
        <v>74</v>
      </c>
      <c r="BS1001" s="2" t="s">
        <v>4547</v>
      </c>
      <c r="BT1001" s="2" t="str">
        <f>HYPERLINK("https%3A%2F%2Fwww.webofscience.com%2Fwos%2Fwoscc%2Ffull-record%2FWOS:000382249300022","View Full Record in Web of Science")</f>
        <v>View Full Record in Web of Science</v>
      </c>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row>
    <row r="1002" spans="1:314" s="1" customFormat="1" x14ac:dyDescent="0.4">
      <c r="A1002" s="2" t="s">
        <v>72</v>
      </c>
      <c r="B1002" s="2" t="s">
        <v>2919</v>
      </c>
      <c r="C1002" s="2" t="s">
        <v>74</v>
      </c>
      <c r="D1002" s="2" t="s">
        <v>74</v>
      </c>
      <c r="E1002" s="2" t="s">
        <v>74</v>
      </c>
      <c r="F1002" s="2" t="s">
        <v>2920</v>
      </c>
      <c r="G1002" s="2" t="s">
        <v>74</v>
      </c>
      <c r="H1002" s="2" t="s">
        <v>74</v>
      </c>
      <c r="I1002" s="2" t="s">
        <v>2921</v>
      </c>
      <c r="J1002" s="2" t="s">
        <v>408</v>
      </c>
      <c r="K1002" s="2" t="s">
        <v>74</v>
      </c>
      <c r="L1002" s="2" t="s">
        <v>74</v>
      </c>
      <c r="M1002" s="2" t="s">
        <v>74</v>
      </c>
      <c r="N1002" s="2" t="s">
        <v>74</v>
      </c>
      <c r="O1002" s="2" t="s">
        <v>74</v>
      </c>
      <c r="P1002" s="2" t="s">
        <v>74</v>
      </c>
      <c r="Q1002" s="2" t="s">
        <v>74</v>
      </c>
      <c r="R1002" s="2" t="s">
        <v>74</v>
      </c>
      <c r="S1002" s="2" t="s">
        <v>74</v>
      </c>
      <c r="T1002" s="2" t="s">
        <v>74</v>
      </c>
      <c r="U1002" s="2" t="s">
        <v>74</v>
      </c>
      <c r="V1002" s="5" t="s">
        <v>2922</v>
      </c>
      <c r="W1002" s="2" t="s">
        <v>74</v>
      </c>
      <c r="X1002" s="2" t="s">
        <v>74</v>
      </c>
      <c r="Y1002" s="2" t="s">
        <v>74</v>
      </c>
      <c r="Z1002" s="2" t="s">
        <v>74</v>
      </c>
      <c r="AA1002" s="2" t="s">
        <v>2923</v>
      </c>
      <c r="AB1002" s="2" t="s">
        <v>2924</v>
      </c>
      <c r="AC1002" s="2" t="s">
        <v>74</v>
      </c>
      <c r="AD1002" s="2" t="s">
        <v>74</v>
      </c>
      <c r="AE1002" s="2" t="s">
        <v>74</v>
      </c>
      <c r="AF1002" s="2" t="s">
        <v>74</v>
      </c>
      <c r="AG1002" s="2" t="s">
        <v>74</v>
      </c>
      <c r="AH1002" s="2" t="s">
        <v>74</v>
      </c>
      <c r="AI1002" s="2" t="s">
        <v>74</v>
      </c>
      <c r="AJ1002" s="2" t="s">
        <v>74</v>
      </c>
      <c r="AK1002" s="2" t="s">
        <v>74</v>
      </c>
      <c r="AL1002" s="2" t="s">
        <v>74</v>
      </c>
      <c r="AM1002" s="2" t="s">
        <v>74</v>
      </c>
      <c r="AN1002" s="2" t="s">
        <v>74</v>
      </c>
      <c r="AO1002" s="2" t="s">
        <v>412</v>
      </c>
      <c r="AP1002" s="2" t="s">
        <v>413</v>
      </c>
      <c r="AQ1002" s="2" t="s">
        <v>74</v>
      </c>
      <c r="AR1002" s="2" t="s">
        <v>74</v>
      </c>
      <c r="AS1002" s="2" t="s">
        <v>74</v>
      </c>
      <c r="AT1002" s="2" t="s">
        <v>769</v>
      </c>
      <c r="AU1002" s="2">
        <v>2017</v>
      </c>
      <c r="AV1002" s="2">
        <v>120</v>
      </c>
      <c r="AW1002" s="2">
        <v>2</v>
      </c>
      <c r="AX1002" s="2" t="s">
        <v>74</v>
      </c>
      <c r="AY1002" s="2" t="s">
        <v>74</v>
      </c>
      <c r="AZ1002" s="2" t="s">
        <v>74</v>
      </c>
      <c r="BA1002" s="2" t="s">
        <v>74</v>
      </c>
      <c r="BB1002" s="2">
        <v>396</v>
      </c>
      <c r="BC1002" s="2">
        <v>409</v>
      </c>
      <c r="BD1002" s="2" t="s">
        <v>74</v>
      </c>
      <c r="BE1002" s="2" t="s">
        <v>74</v>
      </c>
      <c r="BF1002" s="2" t="s">
        <v>74</v>
      </c>
      <c r="BG1002" s="2" t="s">
        <v>74</v>
      </c>
      <c r="BH1002" s="2" t="s">
        <v>74</v>
      </c>
      <c r="BI1002" s="2" t="s">
        <v>74</v>
      </c>
      <c r="BJ1002" s="2" t="s">
        <v>74</v>
      </c>
      <c r="BK1002" s="2" t="s">
        <v>74</v>
      </c>
      <c r="BL1002" s="2" t="s">
        <v>74</v>
      </c>
      <c r="BM1002" s="2" t="s">
        <v>74</v>
      </c>
      <c r="BN1002" s="2" t="s">
        <v>74</v>
      </c>
      <c r="BO1002" s="2" t="s">
        <v>74</v>
      </c>
      <c r="BP1002" s="2" t="s">
        <v>74</v>
      </c>
      <c r="BQ1002" s="2" t="s">
        <v>74</v>
      </c>
      <c r="BR1002" s="2" t="s">
        <v>74</v>
      </c>
      <c r="BS1002" s="2" t="s">
        <v>2925</v>
      </c>
      <c r="BT1002" s="2" t="str">
        <f>HYPERLINK("https%3A%2F%2Fwww.webofscience.com%2Fwos%2Fwoscc%2Ffull-record%2FWOS:000400944500010","View Full Record in Web of Science")</f>
        <v>View Full Record in Web of Science</v>
      </c>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row>
    <row r="1003" spans="1:314" s="2" customFormat="1" x14ac:dyDescent="0.4">
      <c r="A1003" s="2" t="s">
        <v>72</v>
      </c>
      <c r="B1003" s="2" t="s">
        <v>5529</v>
      </c>
      <c r="C1003" s="2" t="s">
        <v>74</v>
      </c>
      <c r="D1003" s="2" t="s">
        <v>74</v>
      </c>
      <c r="E1003" s="2" t="s">
        <v>74</v>
      </c>
      <c r="F1003" s="2" t="s">
        <v>5530</v>
      </c>
      <c r="G1003" s="2" t="s">
        <v>74</v>
      </c>
      <c r="H1003" s="2" t="s">
        <v>74</v>
      </c>
      <c r="I1003" s="2" t="s">
        <v>5531</v>
      </c>
      <c r="J1003" s="2" t="s">
        <v>576</v>
      </c>
      <c r="K1003" s="2" t="s">
        <v>74</v>
      </c>
      <c r="L1003" s="2" t="s">
        <v>74</v>
      </c>
      <c r="M1003" s="2" t="s">
        <v>74</v>
      </c>
      <c r="N1003" s="2" t="s">
        <v>74</v>
      </c>
      <c r="O1003" s="2" t="s">
        <v>74</v>
      </c>
      <c r="P1003" s="2" t="s">
        <v>74</v>
      </c>
      <c r="Q1003" s="2" t="s">
        <v>74</v>
      </c>
      <c r="R1003" s="2" t="s">
        <v>74</v>
      </c>
      <c r="S1003" s="2" t="s">
        <v>74</v>
      </c>
      <c r="T1003" s="2" t="s">
        <v>74</v>
      </c>
      <c r="U1003" s="2" t="s">
        <v>74</v>
      </c>
      <c r="V1003" s="5" t="s">
        <v>5532</v>
      </c>
      <c r="W1003" s="2" t="s">
        <v>74</v>
      </c>
      <c r="X1003" s="2" t="s">
        <v>74</v>
      </c>
      <c r="Y1003" s="2" t="s">
        <v>74</v>
      </c>
      <c r="Z1003" s="2" t="s">
        <v>74</v>
      </c>
      <c r="AA1003" s="2" t="s">
        <v>5533</v>
      </c>
      <c r="AB1003" s="2" t="s">
        <v>5534</v>
      </c>
      <c r="AC1003" s="2" t="s">
        <v>74</v>
      </c>
      <c r="AD1003" s="2" t="s">
        <v>74</v>
      </c>
      <c r="AE1003" s="2" t="s">
        <v>74</v>
      </c>
      <c r="AF1003" s="2" t="s">
        <v>74</v>
      </c>
      <c r="AG1003" s="2" t="s">
        <v>74</v>
      </c>
      <c r="AH1003" s="2" t="s">
        <v>74</v>
      </c>
      <c r="AI1003" s="2" t="s">
        <v>74</v>
      </c>
      <c r="AJ1003" s="2" t="s">
        <v>74</v>
      </c>
      <c r="AK1003" s="2" t="s">
        <v>74</v>
      </c>
      <c r="AL1003" s="2" t="s">
        <v>74</v>
      </c>
      <c r="AM1003" s="2" t="s">
        <v>74</v>
      </c>
      <c r="AN1003" s="2" t="s">
        <v>74</v>
      </c>
      <c r="AO1003" s="2" t="s">
        <v>579</v>
      </c>
      <c r="AP1003" s="2" t="s">
        <v>580</v>
      </c>
      <c r="AQ1003" s="2" t="s">
        <v>74</v>
      </c>
      <c r="AR1003" s="2" t="s">
        <v>74</v>
      </c>
      <c r="AS1003" s="2" t="s">
        <v>74</v>
      </c>
      <c r="AT1003" s="2" t="s">
        <v>213</v>
      </c>
      <c r="AU1003" s="2">
        <v>2012</v>
      </c>
      <c r="AV1003" s="2">
        <v>26</v>
      </c>
      <c r="AW1003" s="2">
        <v>6</v>
      </c>
      <c r="AX1003" s="2" t="s">
        <v>74</v>
      </c>
      <c r="AY1003" s="2" t="s">
        <v>74</v>
      </c>
      <c r="AZ1003" s="2" t="s">
        <v>74</v>
      </c>
      <c r="BA1003" s="2" t="s">
        <v>74</v>
      </c>
      <c r="BB1003" s="2">
        <v>1277</v>
      </c>
      <c r="BC1003" s="2">
        <v>1291</v>
      </c>
      <c r="BD1003" s="2" t="s">
        <v>74</v>
      </c>
      <c r="BE1003" s="2" t="s">
        <v>5535</v>
      </c>
      <c r="BF1003" s="2" t="str">
        <f>HYPERLINK("http://dx.doi.org/10.1007/s10682-011-9551-1","http://dx.doi.org/10.1007/s10682-011-9551-1")</f>
        <v>http://dx.doi.org/10.1007/s10682-011-9551-1</v>
      </c>
      <c r="BG1003" s="2" t="s">
        <v>74</v>
      </c>
      <c r="BH1003" s="2" t="s">
        <v>74</v>
      </c>
      <c r="BI1003" s="2" t="s">
        <v>74</v>
      </c>
      <c r="BJ1003" s="2" t="s">
        <v>74</v>
      </c>
      <c r="BK1003" s="2" t="s">
        <v>74</v>
      </c>
      <c r="BL1003" s="2" t="s">
        <v>74</v>
      </c>
      <c r="BM1003" s="2" t="s">
        <v>74</v>
      </c>
      <c r="BN1003" s="2" t="s">
        <v>74</v>
      </c>
      <c r="BO1003" s="2" t="s">
        <v>74</v>
      </c>
      <c r="BP1003" s="2" t="s">
        <v>74</v>
      </c>
      <c r="BQ1003" s="2" t="s">
        <v>74</v>
      </c>
      <c r="BR1003" s="2" t="s">
        <v>74</v>
      </c>
      <c r="BS1003" s="2" t="s">
        <v>5536</v>
      </c>
      <c r="BT1003" s="2" t="str">
        <f>HYPERLINK("https%3A%2F%2Fwww.webofscience.com%2Fwos%2Fwoscc%2Ffull-record%2FWOS:000309869600001","View Full Record in Web of Science")</f>
        <v>View Full Record in Web of Science</v>
      </c>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row>
    <row r="1004" spans="1:314" s="2" customFormat="1" x14ac:dyDescent="0.4">
      <c r="A1004" s="2" t="s">
        <v>72</v>
      </c>
      <c r="B1004" s="2" t="s">
        <v>1985</v>
      </c>
      <c r="C1004" s="2" t="s">
        <v>74</v>
      </c>
      <c r="D1004" s="2" t="s">
        <v>74</v>
      </c>
      <c r="E1004" s="2" t="s">
        <v>74</v>
      </c>
      <c r="F1004" s="2" t="s">
        <v>1986</v>
      </c>
      <c r="G1004" s="2" t="s">
        <v>74</v>
      </c>
      <c r="H1004" s="2" t="s">
        <v>74</v>
      </c>
      <c r="I1004" s="2" t="s">
        <v>1987</v>
      </c>
      <c r="J1004" s="2" t="s">
        <v>88</v>
      </c>
      <c r="K1004" s="2" t="s">
        <v>74</v>
      </c>
      <c r="L1004" s="2" t="s">
        <v>74</v>
      </c>
      <c r="M1004" s="2" t="s">
        <v>74</v>
      </c>
      <c r="N1004" s="2" t="s">
        <v>74</v>
      </c>
      <c r="O1004" s="2" t="s">
        <v>74</v>
      </c>
      <c r="P1004" s="2" t="s">
        <v>74</v>
      </c>
      <c r="Q1004" s="2" t="s">
        <v>74</v>
      </c>
      <c r="R1004" s="2" t="s">
        <v>74</v>
      </c>
      <c r="S1004" s="2" t="s">
        <v>74</v>
      </c>
      <c r="T1004" s="2" t="s">
        <v>74</v>
      </c>
      <c r="U1004" s="2" t="s">
        <v>74</v>
      </c>
      <c r="V1004" s="5" t="s">
        <v>1988</v>
      </c>
      <c r="W1004" s="2" t="s">
        <v>74</v>
      </c>
      <c r="X1004" s="2" t="s">
        <v>74</v>
      </c>
      <c r="Y1004" s="2" t="s">
        <v>74</v>
      </c>
      <c r="Z1004" s="2" t="s">
        <v>74</v>
      </c>
      <c r="AA1004" s="2" t="s">
        <v>1989</v>
      </c>
      <c r="AB1004" s="2" t="s">
        <v>1990</v>
      </c>
      <c r="AC1004" s="2" t="s">
        <v>74</v>
      </c>
      <c r="AD1004" s="2" t="s">
        <v>74</v>
      </c>
      <c r="AE1004" s="2" t="s">
        <v>74</v>
      </c>
      <c r="AF1004" s="2" t="s">
        <v>74</v>
      </c>
      <c r="AG1004" s="2" t="s">
        <v>74</v>
      </c>
      <c r="AH1004" s="2" t="s">
        <v>74</v>
      </c>
      <c r="AI1004" s="2" t="s">
        <v>74</v>
      </c>
      <c r="AJ1004" s="2" t="s">
        <v>74</v>
      </c>
      <c r="AK1004" s="2" t="s">
        <v>74</v>
      </c>
      <c r="AL1004" s="2" t="s">
        <v>74</v>
      </c>
      <c r="AM1004" s="2" t="s">
        <v>74</v>
      </c>
      <c r="AN1004" s="2" t="s">
        <v>74</v>
      </c>
      <c r="AO1004" s="2" t="s">
        <v>91</v>
      </c>
      <c r="AP1004" s="2" t="s">
        <v>74</v>
      </c>
      <c r="AQ1004" s="2" t="s">
        <v>74</v>
      </c>
      <c r="AR1004" s="2" t="s">
        <v>74</v>
      </c>
      <c r="AS1004" s="2" t="s">
        <v>74</v>
      </c>
      <c r="AT1004" s="2" t="s">
        <v>93</v>
      </c>
      <c r="AU1004" s="2">
        <v>2012</v>
      </c>
      <c r="AV1004" s="2">
        <v>8</v>
      </c>
      <c r="AW1004" s="2">
        <v>2</v>
      </c>
      <c r="AX1004" s="2" t="s">
        <v>74</v>
      </c>
      <c r="AY1004" s="2" t="s">
        <v>74</v>
      </c>
      <c r="AZ1004" s="2" t="s">
        <v>74</v>
      </c>
      <c r="BA1004" s="2" t="s">
        <v>74</v>
      </c>
      <c r="BB1004" s="2">
        <v>167</v>
      </c>
      <c r="BC1004" s="2">
        <v>170</v>
      </c>
      <c r="BD1004" s="2" t="s">
        <v>74</v>
      </c>
      <c r="BE1004" s="2" t="s">
        <v>1991</v>
      </c>
      <c r="BF1004" s="2" t="str">
        <f>HYPERLINK("http://dx.doi.org/10.1098/rsbl.2011.0914","http://dx.doi.org/10.1098/rsbl.2011.0914")</f>
        <v>http://dx.doi.org/10.1098/rsbl.2011.0914</v>
      </c>
      <c r="BG1004" s="2" t="s">
        <v>74</v>
      </c>
      <c r="BH1004" s="2" t="s">
        <v>74</v>
      </c>
      <c r="BI1004" s="2" t="s">
        <v>74</v>
      </c>
      <c r="BJ1004" s="2" t="s">
        <v>74</v>
      </c>
      <c r="BK1004" s="2" t="s">
        <v>74</v>
      </c>
      <c r="BL1004" s="2" t="s">
        <v>74</v>
      </c>
      <c r="BM1004" s="2" t="s">
        <v>74</v>
      </c>
      <c r="BN1004" s="2">
        <v>22072281</v>
      </c>
      <c r="BO1004" s="2" t="s">
        <v>74</v>
      </c>
      <c r="BP1004" s="2" t="s">
        <v>74</v>
      </c>
      <c r="BQ1004" s="2" t="s">
        <v>74</v>
      </c>
      <c r="BR1004" s="2" t="s">
        <v>74</v>
      </c>
      <c r="BS1004" s="2" t="s">
        <v>1992</v>
      </c>
      <c r="BT1004" s="2" t="str">
        <f>HYPERLINK("https%3A%2F%2Fwww.webofscience.com%2Fwos%2Fwoscc%2Ffull-record%2FWOS:000301304000003","View Full Record in Web of Science")</f>
        <v>View Full Record in Web of Science</v>
      </c>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row>
    <row r="1005" spans="1:314" s="7" customFormat="1" x14ac:dyDescent="0.4">
      <c r="A1005" s="2" t="s">
        <v>72</v>
      </c>
      <c r="B1005" s="2" t="s">
        <v>543</v>
      </c>
      <c r="C1005" s="2" t="s">
        <v>74</v>
      </c>
      <c r="D1005" s="2" t="s">
        <v>74</v>
      </c>
      <c r="E1005" s="2" t="s">
        <v>74</v>
      </c>
      <c r="F1005" s="2" t="s">
        <v>543</v>
      </c>
      <c r="G1005" s="2" t="s">
        <v>74</v>
      </c>
      <c r="H1005" s="2" t="s">
        <v>74</v>
      </c>
      <c r="I1005" s="2" t="s">
        <v>544</v>
      </c>
      <c r="J1005" s="2" t="s">
        <v>545</v>
      </c>
      <c r="K1005" s="2" t="s">
        <v>74</v>
      </c>
      <c r="L1005" s="2" t="s">
        <v>74</v>
      </c>
      <c r="M1005" s="2" t="s">
        <v>74</v>
      </c>
      <c r="N1005" s="2" t="s">
        <v>74</v>
      </c>
      <c r="O1005" s="2" t="s">
        <v>74</v>
      </c>
      <c r="P1005" s="2" t="s">
        <v>74</v>
      </c>
      <c r="Q1005" s="2" t="s">
        <v>74</v>
      </c>
      <c r="R1005" s="2" t="s">
        <v>74</v>
      </c>
      <c r="S1005" s="2" t="s">
        <v>74</v>
      </c>
      <c r="T1005" s="2" t="s">
        <v>74</v>
      </c>
      <c r="U1005" s="2" t="s">
        <v>74</v>
      </c>
      <c r="V1005" s="5" t="s">
        <v>546</v>
      </c>
      <c r="W1005" s="2" t="s">
        <v>74</v>
      </c>
      <c r="X1005" s="2" t="s">
        <v>74</v>
      </c>
      <c r="Y1005" s="2" t="s">
        <v>74</v>
      </c>
      <c r="Z1005" s="2" t="s">
        <v>74</v>
      </c>
      <c r="AA1005" s="2" t="s">
        <v>74</v>
      </c>
      <c r="AB1005" s="2" t="s">
        <v>74</v>
      </c>
      <c r="AC1005" s="2" t="s">
        <v>74</v>
      </c>
      <c r="AD1005" s="2" t="s">
        <v>74</v>
      </c>
      <c r="AE1005" s="2" t="s">
        <v>74</v>
      </c>
      <c r="AF1005" s="2" t="s">
        <v>74</v>
      </c>
      <c r="AG1005" s="2" t="s">
        <v>74</v>
      </c>
      <c r="AH1005" s="2" t="s">
        <v>74</v>
      </c>
      <c r="AI1005" s="2" t="s">
        <v>74</v>
      </c>
      <c r="AJ1005" s="2" t="s">
        <v>74</v>
      </c>
      <c r="AK1005" s="2" t="s">
        <v>74</v>
      </c>
      <c r="AL1005" s="2" t="s">
        <v>74</v>
      </c>
      <c r="AM1005" s="2" t="s">
        <v>74</v>
      </c>
      <c r="AN1005" s="2" t="s">
        <v>74</v>
      </c>
      <c r="AO1005" s="2" t="s">
        <v>547</v>
      </c>
      <c r="AP1005" s="2" t="s">
        <v>74</v>
      </c>
      <c r="AQ1005" s="2" t="s">
        <v>74</v>
      </c>
      <c r="AR1005" s="2" t="s">
        <v>74</v>
      </c>
      <c r="AS1005" s="2" t="s">
        <v>74</v>
      </c>
      <c r="AT1005" s="2" t="s">
        <v>305</v>
      </c>
      <c r="AU1005" s="2">
        <v>1996</v>
      </c>
      <c r="AV1005" s="2">
        <v>235</v>
      </c>
      <c r="AW1005" s="2" t="s">
        <v>548</v>
      </c>
      <c r="AX1005" s="2" t="s">
        <v>74</v>
      </c>
      <c r="AY1005" s="2" t="s">
        <v>74</v>
      </c>
      <c r="AZ1005" s="2" t="s">
        <v>74</v>
      </c>
      <c r="BA1005" s="2" t="s">
        <v>74</v>
      </c>
      <c r="BB1005" s="2">
        <v>77</v>
      </c>
      <c r="BC1005" s="2">
        <v>88</v>
      </c>
      <c r="BD1005" s="2" t="s">
        <v>74</v>
      </c>
      <c r="BE1005" s="2" t="s">
        <v>74</v>
      </c>
      <c r="BF1005" s="2" t="s">
        <v>74</v>
      </c>
      <c r="BG1005" s="2" t="s">
        <v>74</v>
      </c>
      <c r="BH1005" s="2" t="s">
        <v>74</v>
      </c>
      <c r="BI1005" s="2" t="s">
        <v>74</v>
      </c>
      <c r="BJ1005" s="2" t="s">
        <v>74</v>
      </c>
      <c r="BK1005" s="2" t="s">
        <v>74</v>
      </c>
      <c r="BL1005" s="2" t="s">
        <v>74</v>
      </c>
      <c r="BM1005" s="2" t="s">
        <v>74</v>
      </c>
      <c r="BN1005" s="2" t="s">
        <v>74</v>
      </c>
      <c r="BO1005" s="2" t="s">
        <v>74</v>
      </c>
      <c r="BP1005" s="2" t="s">
        <v>74</v>
      </c>
      <c r="BQ1005" s="2" t="s">
        <v>74</v>
      </c>
      <c r="BR1005" s="2" t="s">
        <v>74</v>
      </c>
      <c r="BS1005" s="2" t="s">
        <v>549</v>
      </c>
      <c r="BT1005" s="2" t="str">
        <f>HYPERLINK("https%3A%2F%2Fwww.webofscience.com%2Fwos%2Fwoscc%2Ffull-record%2FWOS:A1996WG04900005","View Full Record in Web of Science")</f>
        <v>View Full Record in Web of Science</v>
      </c>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row>
    <row r="1006" spans="1:314" s="2" customFormat="1" x14ac:dyDescent="0.4">
      <c r="A1006" s="2" t="s">
        <v>72</v>
      </c>
      <c r="B1006" s="2" t="s">
        <v>4747</v>
      </c>
      <c r="C1006" s="2" t="s">
        <v>74</v>
      </c>
      <c r="D1006" s="2" t="s">
        <v>74</v>
      </c>
      <c r="E1006" s="2" t="s">
        <v>74</v>
      </c>
      <c r="F1006" s="2" t="s">
        <v>4748</v>
      </c>
      <c r="G1006" s="2" t="s">
        <v>74</v>
      </c>
      <c r="H1006" s="2" t="s">
        <v>74</v>
      </c>
      <c r="I1006" s="2" t="s">
        <v>4749</v>
      </c>
      <c r="J1006" s="2" t="s">
        <v>1044</v>
      </c>
      <c r="K1006" s="2" t="s">
        <v>74</v>
      </c>
      <c r="L1006" s="2" t="s">
        <v>74</v>
      </c>
      <c r="M1006" s="2" t="s">
        <v>74</v>
      </c>
      <c r="N1006" s="2" t="s">
        <v>74</v>
      </c>
      <c r="O1006" s="2" t="s">
        <v>74</v>
      </c>
      <c r="P1006" s="2" t="s">
        <v>74</v>
      </c>
      <c r="Q1006" s="2" t="s">
        <v>74</v>
      </c>
      <c r="R1006" s="2" t="s">
        <v>74</v>
      </c>
      <c r="S1006" s="2" t="s">
        <v>74</v>
      </c>
      <c r="T1006" s="2" t="s">
        <v>74</v>
      </c>
      <c r="U1006" s="2" t="s">
        <v>74</v>
      </c>
      <c r="V1006" s="5" t="s">
        <v>4750</v>
      </c>
      <c r="W1006" s="2" t="s">
        <v>74</v>
      </c>
      <c r="X1006" s="2" t="s">
        <v>74</v>
      </c>
      <c r="Y1006" s="2" t="s">
        <v>74</v>
      </c>
      <c r="Z1006" s="2" t="s">
        <v>74</v>
      </c>
      <c r="AA1006" s="2" t="s">
        <v>4751</v>
      </c>
      <c r="AB1006" s="2" t="s">
        <v>4752</v>
      </c>
      <c r="AC1006" s="2" t="s">
        <v>74</v>
      </c>
      <c r="AD1006" s="2" t="s">
        <v>74</v>
      </c>
      <c r="AE1006" s="2" t="s">
        <v>74</v>
      </c>
      <c r="AF1006" s="2" t="s">
        <v>74</v>
      </c>
      <c r="AG1006" s="2" t="s">
        <v>74</v>
      </c>
      <c r="AH1006" s="2" t="s">
        <v>74</v>
      </c>
      <c r="AI1006" s="2" t="s">
        <v>74</v>
      </c>
      <c r="AJ1006" s="2" t="s">
        <v>74</v>
      </c>
      <c r="AK1006" s="2" t="s">
        <v>74</v>
      </c>
      <c r="AL1006" s="2" t="s">
        <v>74</v>
      </c>
      <c r="AM1006" s="2" t="s">
        <v>74</v>
      </c>
      <c r="AN1006" s="2" t="s">
        <v>74</v>
      </c>
      <c r="AO1006" s="2" t="s">
        <v>1048</v>
      </c>
      <c r="AP1006" s="2" t="s">
        <v>1049</v>
      </c>
      <c r="AQ1006" s="2" t="s">
        <v>74</v>
      </c>
      <c r="AR1006" s="2" t="s">
        <v>74</v>
      </c>
      <c r="AS1006" s="2" t="s">
        <v>74</v>
      </c>
      <c r="AT1006" s="2" t="s">
        <v>633</v>
      </c>
      <c r="AU1006" s="2">
        <v>2023</v>
      </c>
      <c r="AV1006" s="2">
        <v>32</v>
      </c>
      <c r="AW1006" s="2">
        <v>7</v>
      </c>
      <c r="AX1006" s="2" t="s">
        <v>74</v>
      </c>
      <c r="AY1006" s="2" t="s">
        <v>74</v>
      </c>
      <c r="AZ1006" s="2" t="s">
        <v>74</v>
      </c>
      <c r="BA1006" s="2" t="s">
        <v>74</v>
      </c>
      <c r="BB1006" s="2">
        <v>1656</v>
      </c>
      <c r="BC1006" s="2">
        <v>1672</v>
      </c>
      <c r="BD1006" s="2" t="s">
        <v>74</v>
      </c>
      <c r="BE1006" s="2" t="s">
        <v>4753</v>
      </c>
      <c r="BF1006" s="2" t="str">
        <f>HYPERLINK("http://dx.doi.org/10.1111/mec.16831","http://dx.doi.org/10.1111/mec.16831")</f>
        <v>http://dx.doi.org/10.1111/mec.16831</v>
      </c>
      <c r="BG1006" s="2" t="s">
        <v>74</v>
      </c>
      <c r="BH1006" s="2" t="s">
        <v>3048</v>
      </c>
      <c r="BI1006" s="2" t="s">
        <v>74</v>
      </c>
      <c r="BJ1006" s="2" t="s">
        <v>74</v>
      </c>
      <c r="BK1006" s="2" t="s">
        <v>74</v>
      </c>
      <c r="BL1006" s="2" t="s">
        <v>74</v>
      </c>
      <c r="BM1006" s="2" t="s">
        <v>74</v>
      </c>
      <c r="BN1006" s="2">
        <v>36560895</v>
      </c>
      <c r="BO1006" s="2" t="s">
        <v>74</v>
      </c>
      <c r="BP1006" s="2" t="s">
        <v>74</v>
      </c>
      <c r="BQ1006" s="2" t="s">
        <v>74</v>
      </c>
      <c r="BR1006" s="2" t="s">
        <v>74</v>
      </c>
      <c r="BS1006" s="2" t="s">
        <v>4754</v>
      </c>
      <c r="BT1006" s="2" t="str">
        <f>HYPERLINK("https%3A%2F%2Fwww.webofscience.com%2Fwos%2Fwoscc%2Ffull-record%2FWOS:000913280100001","View Full Record in Web of Science")</f>
        <v>View Full Record in Web of Science</v>
      </c>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row>
    <row r="1007" spans="1:314" s="2" customFormat="1" x14ac:dyDescent="0.4">
      <c r="A1007" s="2" t="s">
        <v>72</v>
      </c>
      <c r="B1007" s="2" t="s">
        <v>6616</v>
      </c>
      <c r="C1007" s="2" t="s">
        <v>74</v>
      </c>
      <c r="D1007" s="2" t="s">
        <v>74</v>
      </c>
      <c r="E1007" s="2" t="s">
        <v>74</v>
      </c>
      <c r="F1007" s="2" t="s">
        <v>6617</v>
      </c>
      <c r="G1007" s="2" t="s">
        <v>74</v>
      </c>
      <c r="H1007" s="2" t="s">
        <v>74</v>
      </c>
      <c r="I1007" s="2" t="s">
        <v>6618</v>
      </c>
      <c r="J1007" s="2" t="s">
        <v>5474</v>
      </c>
      <c r="K1007" s="2" t="s">
        <v>74</v>
      </c>
      <c r="L1007" s="2" t="s">
        <v>74</v>
      </c>
      <c r="M1007" s="2" t="s">
        <v>74</v>
      </c>
      <c r="N1007" s="2" t="s">
        <v>74</v>
      </c>
      <c r="O1007" s="2" t="s">
        <v>74</v>
      </c>
      <c r="P1007" s="2" t="s">
        <v>74</v>
      </c>
      <c r="Q1007" s="2" t="s">
        <v>74</v>
      </c>
      <c r="R1007" s="2" t="s">
        <v>74</v>
      </c>
      <c r="S1007" s="2" t="s">
        <v>74</v>
      </c>
      <c r="T1007" s="2" t="s">
        <v>74</v>
      </c>
      <c r="U1007" s="2" t="s">
        <v>74</v>
      </c>
      <c r="V1007" s="5" t="s">
        <v>6619</v>
      </c>
      <c r="W1007" s="2" t="s">
        <v>74</v>
      </c>
      <c r="X1007" s="2" t="s">
        <v>74</v>
      </c>
      <c r="Y1007" s="2" t="s">
        <v>74</v>
      </c>
      <c r="Z1007" s="2" t="s">
        <v>74</v>
      </c>
      <c r="AA1007" s="2" t="s">
        <v>6620</v>
      </c>
      <c r="AB1007" s="2" t="s">
        <v>6621</v>
      </c>
      <c r="AC1007" s="2" t="s">
        <v>74</v>
      </c>
      <c r="AD1007" s="2" t="s">
        <v>74</v>
      </c>
      <c r="AE1007" s="2" t="s">
        <v>74</v>
      </c>
      <c r="AF1007" s="2" t="s">
        <v>74</v>
      </c>
      <c r="AG1007" s="2" t="s">
        <v>74</v>
      </c>
      <c r="AH1007" s="2" t="s">
        <v>74</v>
      </c>
      <c r="AI1007" s="2" t="s">
        <v>74</v>
      </c>
      <c r="AJ1007" s="2" t="s">
        <v>74</v>
      </c>
      <c r="AK1007" s="2" t="s">
        <v>74</v>
      </c>
      <c r="AL1007" s="2" t="s">
        <v>74</v>
      </c>
      <c r="AM1007" s="2" t="s">
        <v>74</v>
      </c>
      <c r="AN1007" s="2" t="s">
        <v>74</v>
      </c>
      <c r="AO1007" s="2" t="s">
        <v>5478</v>
      </c>
      <c r="AP1007" s="2" t="s">
        <v>74</v>
      </c>
      <c r="AQ1007" s="2" t="s">
        <v>74</v>
      </c>
      <c r="AR1007" s="2" t="s">
        <v>74</v>
      </c>
      <c r="AS1007" s="2" t="s">
        <v>74</v>
      </c>
      <c r="AT1007" s="2" t="s">
        <v>6622</v>
      </c>
      <c r="AU1007" s="2">
        <v>2013</v>
      </c>
      <c r="AV1007" s="2">
        <v>68</v>
      </c>
      <c r="AW1007" s="2" t="s">
        <v>74</v>
      </c>
      <c r="AX1007" s="2" t="s">
        <v>74</v>
      </c>
      <c r="AY1007" s="2" t="s">
        <v>74</v>
      </c>
      <c r="AZ1007" s="2" t="s">
        <v>74</v>
      </c>
      <c r="BA1007" s="2" t="s">
        <v>74</v>
      </c>
      <c r="BB1007" s="2">
        <v>1</v>
      </c>
      <c r="BC1007" s="2">
        <v>26</v>
      </c>
      <c r="BD1007" s="2" t="s">
        <v>74</v>
      </c>
      <c r="BE1007" s="2" t="s">
        <v>6623</v>
      </c>
      <c r="BF1007" s="2" t="str">
        <f>HYPERLINK("http://dx.doi.org/10.5852/ejt.2013.68","http://dx.doi.org/10.5852/ejt.2013.68")</f>
        <v>http://dx.doi.org/10.5852/ejt.2013.68</v>
      </c>
      <c r="BG1007" s="2" t="s">
        <v>74</v>
      </c>
      <c r="BH1007" s="2" t="s">
        <v>74</v>
      </c>
      <c r="BI1007" s="2" t="s">
        <v>74</v>
      </c>
      <c r="BJ1007" s="2" t="s">
        <v>74</v>
      </c>
      <c r="BK1007" s="2" t="s">
        <v>74</v>
      </c>
      <c r="BL1007" s="2" t="s">
        <v>74</v>
      </c>
      <c r="BM1007" s="2" t="s">
        <v>74</v>
      </c>
      <c r="BN1007" s="2" t="s">
        <v>74</v>
      </c>
      <c r="BO1007" s="2" t="s">
        <v>74</v>
      </c>
      <c r="BP1007" s="2" t="s">
        <v>74</v>
      </c>
      <c r="BQ1007" s="2" t="s">
        <v>74</v>
      </c>
      <c r="BR1007" s="2" t="s">
        <v>74</v>
      </c>
      <c r="BS1007" s="2" t="s">
        <v>6624</v>
      </c>
      <c r="BT1007" s="2" t="str">
        <f>HYPERLINK("https%3A%2F%2Fwww.webofscience.com%2Fwos%2Fwoscc%2Ffull-record%2FWOS:000333018600001","View Full Record in Web of Science")</f>
        <v>View Full Record in Web of Science</v>
      </c>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row>
    <row r="1008" spans="1:314" s="2" customFormat="1" x14ac:dyDescent="0.4">
      <c r="A1008" s="2" t="s">
        <v>72</v>
      </c>
      <c r="B1008" s="2" t="s">
        <v>5471</v>
      </c>
      <c r="C1008" s="2" t="s">
        <v>74</v>
      </c>
      <c r="D1008" s="2" t="s">
        <v>74</v>
      </c>
      <c r="E1008" s="2" t="s">
        <v>74</v>
      </c>
      <c r="F1008" s="2" t="s">
        <v>5472</v>
      </c>
      <c r="G1008" s="2" t="s">
        <v>74</v>
      </c>
      <c r="H1008" s="2" t="s">
        <v>74</v>
      </c>
      <c r="I1008" s="2" t="s">
        <v>5473</v>
      </c>
      <c r="J1008" s="2" t="s">
        <v>5474</v>
      </c>
      <c r="K1008" s="2" t="s">
        <v>74</v>
      </c>
      <c r="L1008" s="2" t="s">
        <v>74</v>
      </c>
      <c r="M1008" s="2" t="s">
        <v>74</v>
      </c>
      <c r="N1008" s="2" t="s">
        <v>74</v>
      </c>
      <c r="O1008" s="2" t="s">
        <v>74</v>
      </c>
      <c r="P1008" s="2" t="s">
        <v>74</v>
      </c>
      <c r="Q1008" s="2" t="s">
        <v>74</v>
      </c>
      <c r="R1008" s="2" t="s">
        <v>74</v>
      </c>
      <c r="S1008" s="2" t="s">
        <v>74</v>
      </c>
      <c r="T1008" s="2" t="s">
        <v>74</v>
      </c>
      <c r="U1008" s="2" t="s">
        <v>74</v>
      </c>
      <c r="V1008" s="5" t="s">
        <v>5475</v>
      </c>
      <c r="W1008" s="2" t="s">
        <v>74</v>
      </c>
      <c r="X1008" s="2" t="s">
        <v>74</v>
      </c>
      <c r="Y1008" s="2" t="s">
        <v>74</v>
      </c>
      <c r="Z1008" s="2" t="s">
        <v>74</v>
      </c>
      <c r="AA1008" s="2" t="s">
        <v>5476</v>
      </c>
      <c r="AB1008" s="2" t="s">
        <v>5477</v>
      </c>
      <c r="AC1008" s="2" t="s">
        <v>74</v>
      </c>
      <c r="AD1008" s="2" t="s">
        <v>74</v>
      </c>
      <c r="AE1008" s="2" t="s">
        <v>74</v>
      </c>
      <c r="AF1008" s="2" t="s">
        <v>74</v>
      </c>
      <c r="AG1008" s="2" t="s">
        <v>74</v>
      </c>
      <c r="AH1008" s="2" t="s">
        <v>74</v>
      </c>
      <c r="AI1008" s="2" t="s">
        <v>74</v>
      </c>
      <c r="AJ1008" s="2" t="s">
        <v>74</v>
      </c>
      <c r="AK1008" s="2" t="s">
        <v>74</v>
      </c>
      <c r="AL1008" s="2" t="s">
        <v>74</v>
      </c>
      <c r="AM1008" s="2" t="s">
        <v>74</v>
      </c>
      <c r="AN1008" s="2" t="s">
        <v>74</v>
      </c>
      <c r="AO1008" s="2" t="s">
        <v>5478</v>
      </c>
      <c r="AP1008" s="2" t="s">
        <v>74</v>
      </c>
      <c r="AQ1008" s="2" t="s">
        <v>74</v>
      </c>
      <c r="AR1008" s="2" t="s">
        <v>74</v>
      </c>
      <c r="AS1008" s="2" t="s">
        <v>74</v>
      </c>
      <c r="AT1008" s="2" t="s">
        <v>5479</v>
      </c>
      <c r="AU1008" s="2">
        <v>2020</v>
      </c>
      <c r="AV1008" s="2">
        <v>600</v>
      </c>
      <c r="AW1008" s="2" t="s">
        <v>74</v>
      </c>
      <c r="AX1008" s="2" t="s">
        <v>74</v>
      </c>
      <c r="AY1008" s="2" t="s">
        <v>74</v>
      </c>
      <c r="AZ1008" s="2" t="s">
        <v>74</v>
      </c>
      <c r="BA1008" s="2" t="s">
        <v>74</v>
      </c>
      <c r="BB1008" s="2" t="s">
        <v>74</v>
      </c>
      <c r="BC1008" s="2" t="s">
        <v>74</v>
      </c>
      <c r="BD1008" s="2" t="s">
        <v>74</v>
      </c>
      <c r="BE1008" s="2" t="s">
        <v>5480</v>
      </c>
      <c r="BF1008" s="2" t="str">
        <f>HYPERLINK("http://dx.doi.org/10.5852/ejt.2020.600","http://dx.doi.org/10.5852/ejt.2020.600")</f>
        <v>http://dx.doi.org/10.5852/ejt.2020.600</v>
      </c>
      <c r="BG1008" s="2" t="s">
        <v>74</v>
      </c>
      <c r="BH1008" s="2" t="s">
        <v>74</v>
      </c>
      <c r="BI1008" s="2" t="s">
        <v>74</v>
      </c>
      <c r="BJ1008" s="2" t="s">
        <v>74</v>
      </c>
      <c r="BK1008" s="2" t="s">
        <v>74</v>
      </c>
      <c r="BL1008" s="2" t="s">
        <v>74</v>
      </c>
      <c r="BM1008" s="2" t="s">
        <v>74</v>
      </c>
      <c r="BN1008" s="2" t="s">
        <v>74</v>
      </c>
      <c r="BO1008" s="2" t="s">
        <v>74</v>
      </c>
      <c r="BP1008" s="2" t="s">
        <v>74</v>
      </c>
      <c r="BQ1008" s="2" t="s">
        <v>74</v>
      </c>
      <c r="BR1008" s="2" t="s">
        <v>74</v>
      </c>
      <c r="BS1008" s="2" t="s">
        <v>5481</v>
      </c>
      <c r="BT1008" s="2" t="str">
        <f>HYPERLINK("https%3A%2F%2Fwww.webofscience.com%2Fwos%2Fwoscc%2Ffull-record%2FWOS:000512655700001","View Full Record in Web of Science")</f>
        <v>View Full Record in Web of Science</v>
      </c>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row>
    <row r="1009" spans="1:314" s="2" customFormat="1" x14ac:dyDescent="0.4">
      <c r="A1009" s="2" t="s">
        <v>72</v>
      </c>
      <c r="B1009" s="2" t="s">
        <v>3329</v>
      </c>
      <c r="C1009" s="2" t="s">
        <v>74</v>
      </c>
      <c r="D1009" s="2" t="s">
        <v>74</v>
      </c>
      <c r="E1009" s="2" t="s">
        <v>74</v>
      </c>
      <c r="F1009" s="2" t="s">
        <v>3330</v>
      </c>
      <c r="G1009" s="2" t="s">
        <v>74</v>
      </c>
      <c r="H1009" s="2" t="s">
        <v>74</v>
      </c>
      <c r="I1009" s="2" t="s">
        <v>3331</v>
      </c>
      <c r="J1009" s="2" t="s">
        <v>3332</v>
      </c>
      <c r="K1009" s="2" t="s">
        <v>74</v>
      </c>
      <c r="L1009" s="2" t="s">
        <v>74</v>
      </c>
      <c r="M1009" s="2" t="s">
        <v>74</v>
      </c>
      <c r="N1009" s="2" t="s">
        <v>74</v>
      </c>
      <c r="O1009" s="2" t="s">
        <v>74</v>
      </c>
      <c r="P1009" s="2" t="s">
        <v>74</v>
      </c>
      <c r="Q1009" s="2" t="s">
        <v>74</v>
      </c>
      <c r="R1009" s="2" t="s">
        <v>74</v>
      </c>
      <c r="S1009" s="2" t="s">
        <v>74</v>
      </c>
      <c r="T1009" s="2" t="s">
        <v>74</v>
      </c>
      <c r="U1009" s="2" t="s">
        <v>74</v>
      </c>
      <c r="V1009" s="5" t="s">
        <v>3333</v>
      </c>
      <c r="W1009" s="2" t="s">
        <v>74</v>
      </c>
      <c r="X1009" s="2" t="s">
        <v>74</v>
      </c>
      <c r="Y1009" s="2" t="s">
        <v>74</v>
      </c>
      <c r="Z1009" s="2" t="s">
        <v>74</v>
      </c>
      <c r="AA1009" s="2" t="s">
        <v>3334</v>
      </c>
      <c r="AB1009" s="2" t="s">
        <v>3335</v>
      </c>
      <c r="AC1009" s="2" t="s">
        <v>74</v>
      </c>
      <c r="AD1009" s="2" t="s">
        <v>74</v>
      </c>
      <c r="AE1009" s="2" t="s">
        <v>74</v>
      </c>
      <c r="AF1009" s="2" t="s">
        <v>74</v>
      </c>
      <c r="AG1009" s="2" t="s">
        <v>74</v>
      </c>
      <c r="AH1009" s="2" t="s">
        <v>74</v>
      </c>
      <c r="AI1009" s="2" t="s">
        <v>74</v>
      </c>
      <c r="AJ1009" s="2" t="s">
        <v>74</v>
      </c>
      <c r="AK1009" s="2" t="s">
        <v>74</v>
      </c>
      <c r="AL1009" s="2" t="s">
        <v>74</v>
      </c>
      <c r="AM1009" s="2" t="s">
        <v>74</v>
      </c>
      <c r="AN1009" s="2" t="s">
        <v>74</v>
      </c>
      <c r="AO1009" s="2" t="s">
        <v>3336</v>
      </c>
      <c r="AP1009" s="2" t="s">
        <v>3337</v>
      </c>
      <c r="AQ1009" s="2" t="s">
        <v>74</v>
      </c>
      <c r="AR1009" s="2" t="s">
        <v>74</v>
      </c>
      <c r="AS1009" s="2" t="s">
        <v>74</v>
      </c>
      <c r="AT1009" s="2" t="s">
        <v>3338</v>
      </c>
      <c r="AU1009" s="2">
        <v>2010</v>
      </c>
      <c r="AV1009" s="2">
        <v>45</v>
      </c>
      <c r="AW1009" s="2">
        <v>1</v>
      </c>
      <c r="AX1009" s="2" t="s">
        <v>74</v>
      </c>
      <c r="AY1009" s="2" t="s">
        <v>74</v>
      </c>
      <c r="AZ1009" s="2" t="s">
        <v>74</v>
      </c>
      <c r="BA1009" s="2" t="s">
        <v>74</v>
      </c>
      <c r="BB1009" s="2">
        <v>98</v>
      </c>
      <c r="BC1009" s="2">
        <v>104</v>
      </c>
      <c r="BD1009" s="2" t="s">
        <v>74</v>
      </c>
      <c r="BE1009" s="2" t="s">
        <v>3339</v>
      </c>
      <c r="BF1009" s="2" t="str">
        <f>HYPERLINK("http://dx.doi.org/10.3161/000164510X516137","http://dx.doi.org/10.3161/000164510X516137")</f>
        <v>http://dx.doi.org/10.3161/000164510X516137</v>
      </c>
      <c r="BG1009" s="2" t="s">
        <v>74</v>
      </c>
      <c r="BH1009" s="2" t="s">
        <v>74</v>
      </c>
      <c r="BI1009" s="2" t="s">
        <v>74</v>
      </c>
      <c r="BJ1009" s="2" t="s">
        <v>74</v>
      </c>
      <c r="BK1009" s="2" t="s">
        <v>74</v>
      </c>
      <c r="BL1009" s="2" t="s">
        <v>74</v>
      </c>
      <c r="BM1009" s="2" t="s">
        <v>74</v>
      </c>
      <c r="BN1009" s="2" t="s">
        <v>74</v>
      </c>
      <c r="BO1009" s="2" t="s">
        <v>74</v>
      </c>
      <c r="BP1009" s="2" t="s">
        <v>74</v>
      </c>
      <c r="BQ1009" s="2" t="s">
        <v>74</v>
      </c>
      <c r="BR1009" s="2" t="s">
        <v>74</v>
      </c>
      <c r="BS1009" s="2" t="s">
        <v>3340</v>
      </c>
      <c r="BT1009" s="2" t="str">
        <f>HYPERLINK("https%3A%2F%2Fwww.webofscience.com%2Fwos%2Fwoscc%2Ffull-record%2FWOS:000280387600011","View Full Record in Web of Science")</f>
        <v>View Full Record in Web of Science</v>
      </c>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row>
    <row r="1010" spans="1:314" s="2" customFormat="1" x14ac:dyDescent="0.4">
      <c r="A1010" s="2" t="s">
        <v>72</v>
      </c>
      <c r="B1010" s="2" t="s">
        <v>1593</v>
      </c>
      <c r="C1010" s="2" t="s">
        <v>74</v>
      </c>
      <c r="D1010" s="2" t="s">
        <v>74</v>
      </c>
      <c r="E1010" s="2" t="s">
        <v>74</v>
      </c>
      <c r="F1010" s="2" t="s">
        <v>1593</v>
      </c>
      <c r="G1010" s="2" t="s">
        <v>74</v>
      </c>
      <c r="H1010" s="2" t="s">
        <v>74</v>
      </c>
      <c r="I1010" s="2" t="s">
        <v>1594</v>
      </c>
      <c r="J1010" s="2" t="s">
        <v>77</v>
      </c>
      <c r="K1010" s="2" t="s">
        <v>74</v>
      </c>
      <c r="L1010" s="2" t="s">
        <v>74</v>
      </c>
      <c r="M1010" s="2" t="s">
        <v>74</v>
      </c>
      <c r="N1010" s="2" t="s">
        <v>74</v>
      </c>
      <c r="O1010" s="2" t="s">
        <v>74</v>
      </c>
      <c r="P1010" s="2" t="s">
        <v>74</v>
      </c>
      <c r="Q1010" s="2" t="s">
        <v>74</v>
      </c>
      <c r="R1010" s="2" t="s">
        <v>74</v>
      </c>
      <c r="S1010" s="2" t="s">
        <v>74</v>
      </c>
      <c r="T1010" s="2" t="s">
        <v>74</v>
      </c>
      <c r="U1010" s="2" t="s">
        <v>74</v>
      </c>
      <c r="V1010" s="5" t="s">
        <v>1595</v>
      </c>
      <c r="W1010" s="2" t="s">
        <v>74</v>
      </c>
      <c r="X1010" s="2" t="s">
        <v>74</v>
      </c>
      <c r="Y1010" s="2" t="s">
        <v>74</v>
      </c>
      <c r="Z1010" s="2" t="s">
        <v>74</v>
      </c>
      <c r="AA1010" s="2" t="s">
        <v>1596</v>
      </c>
      <c r="AB1010" s="2" t="s">
        <v>262</v>
      </c>
      <c r="AC1010" s="2" t="s">
        <v>74</v>
      </c>
      <c r="AD1010" s="2" t="s">
        <v>74</v>
      </c>
      <c r="AE1010" s="2" t="s">
        <v>74</v>
      </c>
      <c r="AF1010" s="2" t="s">
        <v>74</v>
      </c>
      <c r="AG1010" s="2" t="s">
        <v>74</v>
      </c>
      <c r="AH1010" s="2" t="s">
        <v>74</v>
      </c>
      <c r="AI1010" s="2" t="s">
        <v>74</v>
      </c>
      <c r="AJ1010" s="2" t="s">
        <v>74</v>
      </c>
      <c r="AK1010" s="2" t="s">
        <v>74</v>
      </c>
      <c r="AL1010" s="2" t="s">
        <v>74</v>
      </c>
      <c r="AM1010" s="2" t="s">
        <v>74</v>
      </c>
      <c r="AN1010" s="2" t="s">
        <v>74</v>
      </c>
      <c r="AO1010" s="2" t="s">
        <v>81</v>
      </c>
      <c r="AP1010" s="2" t="s">
        <v>82</v>
      </c>
      <c r="AQ1010" s="2" t="s">
        <v>74</v>
      </c>
      <c r="AR1010" s="2" t="s">
        <v>74</v>
      </c>
      <c r="AS1010" s="2" t="s">
        <v>74</v>
      </c>
      <c r="AT1010" s="2" t="s">
        <v>123</v>
      </c>
      <c r="AU1010" s="2">
        <v>2005</v>
      </c>
      <c r="AV1010" s="2">
        <v>142</v>
      </c>
      <c r="AW1010" s="2" t="s">
        <v>74</v>
      </c>
      <c r="AX1010" s="2">
        <v>3</v>
      </c>
      <c r="AY1010" s="2" t="s">
        <v>74</v>
      </c>
      <c r="AZ1010" s="2" t="s">
        <v>74</v>
      </c>
      <c r="BA1010" s="2" t="s">
        <v>74</v>
      </c>
      <c r="BB1010" s="2">
        <v>329</v>
      </c>
      <c r="BC1010" s="2">
        <v>350</v>
      </c>
      <c r="BD1010" s="2" t="s">
        <v>74</v>
      </c>
      <c r="BE1010" s="2" t="s">
        <v>1597</v>
      </c>
      <c r="BF1010" s="2" t="str">
        <f>HYPERLINK("http://dx.doi.org/10.1163/1568539053778265","http://dx.doi.org/10.1163/1568539053778265")</f>
        <v>http://dx.doi.org/10.1163/1568539053778265</v>
      </c>
      <c r="BG1010" s="2" t="s">
        <v>74</v>
      </c>
      <c r="BH1010" s="2" t="s">
        <v>74</v>
      </c>
      <c r="BI1010" s="2" t="s">
        <v>74</v>
      </c>
      <c r="BJ1010" s="2" t="s">
        <v>74</v>
      </c>
      <c r="BK1010" s="2" t="s">
        <v>74</v>
      </c>
      <c r="BL1010" s="2" t="s">
        <v>74</v>
      </c>
      <c r="BM1010" s="2" t="s">
        <v>74</v>
      </c>
      <c r="BN1010" s="2" t="s">
        <v>74</v>
      </c>
      <c r="BO1010" s="2" t="s">
        <v>74</v>
      </c>
      <c r="BP1010" s="2" t="s">
        <v>74</v>
      </c>
      <c r="BQ1010" s="2" t="s">
        <v>74</v>
      </c>
      <c r="BR1010" s="2" t="s">
        <v>74</v>
      </c>
      <c r="BS1010" s="2" t="s">
        <v>1598</v>
      </c>
      <c r="BT1010" s="2" t="str">
        <f>HYPERLINK("https%3A%2F%2Fwww.webofscience.com%2Fwos%2Fwoscc%2Ffull-record%2FWOS:000230357500004","View Full Record in Web of Science")</f>
        <v>View Full Record in Web of Science</v>
      </c>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row>
    <row r="1011" spans="1:314" s="2" customFormat="1" x14ac:dyDescent="0.4">
      <c r="A1011" s="2" t="s">
        <v>72</v>
      </c>
      <c r="B1011" s="2" t="s">
        <v>3125</v>
      </c>
      <c r="C1011" s="2" t="s">
        <v>74</v>
      </c>
      <c r="D1011" s="2" t="s">
        <v>74</v>
      </c>
      <c r="E1011" s="2" t="s">
        <v>74</v>
      </c>
      <c r="F1011" s="2" t="s">
        <v>3126</v>
      </c>
      <c r="G1011" s="2" t="s">
        <v>74</v>
      </c>
      <c r="H1011" s="2" t="s">
        <v>74</v>
      </c>
      <c r="I1011" s="2" t="s">
        <v>3127</v>
      </c>
      <c r="J1011" s="2" t="s">
        <v>3128</v>
      </c>
      <c r="K1011" s="2" t="s">
        <v>74</v>
      </c>
      <c r="L1011" s="2" t="s">
        <v>74</v>
      </c>
      <c r="M1011" s="2" t="s">
        <v>74</v>
      </c>
      <c r="N1011" s="2" t="s">
        <v>74</v>
      </c>
      <c r="O1011" s="2" t="s">
        <v>74</v>
      </c>
      <c r="P1011" s="2" t="s">
        <v>74</v>
      </c>
      <c r="Q1011" s="2" t="s">
        <v>74</v>
      </c>
      <c r="R1011" s="2" t="s">
        <v>74</v>
      </c>
      <c r="S1011" s="2" t="s">
        <v>74</v>
      </c>
      <c r="T1011" s="2" t="s">
        <v>74</v>
      </c>
      <c r="U1011" s="2" t="s">
        <v>74</v>
      </c>
      <c r="V1011" s="5" t="s">
        <v>3129</v>
      </c>
      <c r="W1011" s="2" t="s">
        <v>74</v>
      </c>
      <c r="X1011" s="2" t="s">
        <v>74</v>
      </c>
      <c r="Y1011" s="2" t="s">
        <v>74</v>
      </c>
      <c r="Z1011" s="2" t="s">
        <v>74</v>
      </c>
      <c r="AA1011" s="2" t="s">
        <v>74</v>
      </c>
      <c r="AB1011" s="2" t="s">
        <v>74</v>
      </c>
      <c r="AC1011" s="2" t="s">
        <v>74</v>
      </c>
      <c r="AD1011" s="2" t="s">
        <v>74</v>
      </c>
      <c r="AE1011" s="2" t="s">
        <v>74</v>
      </c>
      <c r="AF1011" s="2" t="s">
        <v>74</v>
      </c>
      <c r="AG1011" s="2" t="s">
        <v>74</v>
      </c>
      <c r="AH1011" s="2" t="s">
        <v>74</v>
      </c>
      <c r="AI1011" s="2" t="s">
        <v>74</v>
      </c>
      <c r="AJ1011" s="2" t="s">
        <v>74</v>
      </c>
      <c r="AK1011" s="2" t="s">
        <v>74</v>
      </c>
      <c r="AL1011" s="2" t="s">
        <v>74</v>
      </c>
      <c r="AM1011" s="2" t="s">
        <v>74</v>
      </c>
      <c r="AN1011" s="2" t="s">
        <v>74</v>
      </c>
      <c r="AO1011" s="2" t="s">
        <v>3130</v>
      </c>
      <c r="AP1011" s="2" t="s">
        <v>3131</v>
      </c>
      <c r="AQ1011" s="2" t="s">
        <v>74</v>
      </c>
      <c r="AR1011" s="2" t="s">
        <v>74</v>
      </c>
      <c r="AS1011" s="2" t="s">
        <v>74</v>
      </c>
      <c r="AT1011" s="2" t="s">
        <v>74</v>
      </c>
      <c r="AU1011" s="2">
        <v>2016</v>
      </c>
      <c r="AV1011" s="2">
        <v>37</v>
      </c>
      <c r="AW1011" s="2">
        <v>3</v>
      </c>
      <c r="AX1011" s="2" t="s">
        <v>74</v>
      </c>
      <c r="AY1011" s="2" t="s">
        <v>74</v>
      </c>
      <c r="AZ1011" s="2" t="s">
        <v>74</v>
      </c>
      <c r="BA1011" s="2" t="s">
        <v>74</v>
      </c>
      <c r="BB1011" s="2">
        <v>283</v>
      </c>
      <c r="BC1011" s="2">
        <v>290</v>
      </c>
      <c r="BD1011" s="2" t="s">
        <v>74</v>
      </c>
      <c r="BE1011" s="2" t="s">
        <v>3132</v>
      </c>
      <c r="BF1011" s="2" t="str">
        <f>HYPERLINK("http://dx.doi.org/10.1163/15685381-00003055","http://dx.doi.org/10.1163/15685381-00003055")</f>
        <v>http://dx.doi.org/10.1163/15685381-00003055</v>
      </c>
      <c r="BG1011" s="2" t="s">
        <v>74</v>
      </c>
      <c r="BH1011" s="2" t="s">
        <v>74</v>
      </c>
      <c r="BI1011" s="2" t="s">
        <v>74</v>
      </c>
      <c r="BJ1011" s="2" t="s">
        <v>74</v>
      </c>
      <c r="BK1011" s="2" t="s">
        <v>74</v>
      </c>
      <c r="BL1011" s="2" t="s">
        <v>74</v>
      </c>
      <c r="BM1011" s="2" t="s">
        <v>74</v>
      </c>
      <c r="BN1011" s="2" t="s">
        <v>74</v>
      </c>
      <c r="BO1011" s="2" t="s">
        <v>74</v>
      </c>
      <c r="BP1011" s="2" t="s">
        <v>74</v>
      </c>
      <c r="BQ1011" s="2" t="s">
        <v>74</v>
      </c>
      <c r="BR1011" s="2" t="s">
        <v>74</v>
      </c>
      <c r="BS1011" s="2" t="s">
        <v>3133</v>
      </c>
      <c r="BT1011" s="2" t="str">
        <f>HYPERLINK("https%3A%2F%2Fwww.webofscience.com%2Fwos%2Fwoscc%2Ffull-record%2FWOS:000384414500004","View Full Record in Web of Science")</f>
        <v>View Full Record in Web of Science</v>
      </c>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row>
    <row r="1012" spans="1:314" s="2" customFormat="1" x14ac:dyDescent="0.4">
      <c r="A1012" s="2" t="s">
        <v>72</v>
      </c>
      <c r="B1012" s="2" t="s">
        <v>6537</v>
      </c>
      <c r="C1012" s="2" t="s">
        <v>74</v>
      </c>
      <c r="D1012" s="2" t="s">
        <v>74</v>
      </c>
      <c r="E1012" s="2" t="s">
        <v>74</v>
      </c>
      <c r="F1012" s="2" t="s">
        <v>6537</v>
      </c>
      <c r="G1012" s="2" t="s">
        <v>74</v>
      </c>
      <c r="H1012" s="2" t="s">
        <v>74</v>
      </c>
      <c r="I1012" s="2" t="s">
        <v>6538</v>
      </c>
      <c r="J1012" s="2" t="s">
        <v>129</v>
      </c>
      <c r="K1012" s="2" t="s">
        <v>74</v>
      </c>
      <c r="L1012" s="2" t="s">
        <v>74</v>
      </c>
      <c r="M1012" s="2" t="s">
        <v>74</v>
      </c>
      <c r="N1012" s="2" t="s">
        <v>74</v>
      </c>
      <c r="O1012" s="2" t="s">
        <v>74</v>
      </c>
      <c r="P1012" s="2" t="s">
        <v>74</v>
      </c>
      <c r="Q1012" s="2" t="s">
        <v>74</v>
      </c>
      <c r="R1012" s="2" t="s">
        <v>74</v>
      </c>
      <c r="S1012" s="2" t="s">
        <v>74</v>
      </c>
      <c r="T1012" s="2" t="s">
        <v>74</v>
      </c>
      <c r="U1012" s="2" t="s">
        <v>74</v>
      </c>
      <c r="V1012" s="5" t="s">
        <v>6539</v>
      </c>
      <c r="W1012" s="2" t="s">
        <v>74</v>
      </c>
      <c r="X1012" s="2" t="s">
        <v>74</v>
      </c>
      <c r="Y1012" s="2" t="s">
        <v>74</v>
      </c>
      <c r="Z1012" s="2" t="s">
        <v>74</v>
      </c>
      <c r="AA1012" s="2" t="s">
        <v>74</v>
      </c>
      <c r="AB1012" s="2" t="s">
        <v>74</v>
      </c>
      <c r="AC1012" s="2" t="s">
        <v>74</v>
      </c>
      <c r="AD1012" s="2" t="s">
        <v>74</v>
      </c>
      <c r="AE1012" s="2" t="s">
        <v>74</v>
      </c>
      <c r="AF1012" s="2" t="s">
        <v>74</v>
      </c>
      <c r="AG1012" s="2" t="s">
        <v>74</v>
      </c>
      <c r="AH1012" s="2" t="s">
        <v>74</v>
      </c>
      <c r="AI1012" s="2" t="s">
        <v>74</v>
      </c>
      <c r="AJ1012" s="2" t="s">
        <v>74</v>
      </c>
      <c r="AK1012" s="2" t="s">
        <v>74</v>
      </c>
      <c r="AL1012" s="2" t="s">
        <v>74</v>
      </c>
      <c r="AM1012" s="2" t="s">
        <v>74</v>
      </c>
      <c r="AN1012" s="2" t="s">
        <v>74</v>
      </c>
      <c r="AO1012" s="2" t="s">
        <v>132</v>
      </c>
      <c r="AP1012" s="2" t="s">
        <v>74</v>
      </c>
      <c r="AQ1012" s="2" t="s">
        <v>74</v>
      </c>
      <c r="AR1012" s="2" t="s">
        <v>74</v>
      </c>
      <c r="AS1012" s="2" t="s">
        <v>74</v>
      </c>
      <c r="AT1012" s="2" t="s">
        <v>204</v>
      </c>
      <c r="AU1012" s="2">
        <v>1992</v>
      </c>
      <c r="AV1012" s="2">
        <v>31</v>
      </c>
      <c r="AW1012" s="2">
        <v>1</v>
      </c>
      <c r="AX1012" s="2" t="s">
        <v>74</v>
      </c>
      <c r="AY1012" s="2" t="s">
        <v>74</v>
      </c>
      <c r="AZ1012" s="2" t="s">
        <v>74</v>
      </c>
      <c r="BA1012" s="2" t="s">
        <v>74</v>
      </c>
      <c r="BB1012" s="2">
        <v>27</v>
      </c>
      <c r="BC1012" s="2">
        <v>33</v>
      </c>
      <c r="BD1012" s="2" t="s">
        <v>74</v>
      </c>
      <c r="BE1012" s="2" t="s">
        <v>6540</v>
      </c>
      <c r="BF1012" s="2" t="str">
        <f>HYPERLINK("http://dx.doi.org/10.1007/BF00167813","http://dx.doi.org/10.1007/BF00167813")</f>
        <v>http://dx.doi.org/10.1007/BF00167813</v>
      </c>
      <c r="BG1012" s="2" t="s">
        <v>74</v>
      </c>
      <c r="BH1012" s="2" t="s">
        <v>74</v>
      </c>
      <c r="BI1012" s="2" t="s">
        <v>74</v>
      </c>
      <c r="BJ1012" s="2" t="s">
        <v>74</v>
      </c>
      <c r="BK1012" s="2" t="s">
        <v>74</v>
      </c>
      <c r="BL1012" s="2" t="s">
        <v>74</v>
      </c>
      <c r="BM1012" s="2" t="s">
        <v>74</v>
      </c>
      <c r="BN1012" s="2" t="s">
        <v>74</v>
      </c>
      <c r="BO1012" s="2" t="s">
        <v>74</v>
      </c>
      <c r="BP1012" s="2" t="s">
        <v>74</v>
      </c>
      <c r="BQ1012" s="2" t="s">
        <v>74</v>
      </c>
      <c r="BR1012" s="2" t="s">
        <v>74</v>
      </c>
      <c r="BS1012" s="2" t="s">
        <v>6541</v>
      </c>
      <c r="BT1012" s="2" t="str">
        <f>HYPERLINK("https%3A%2F%2Fwww.webofscience.com%2Fwos%2Fwoscc%2Ffull-record%2FWOS:A1992JE29600004","View Full Record in Web of Science")</f>
        <v>View Full Record in Web of Science</v>
      </c>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row>
    <row r="1013" spans="1:314" s="2" customFormat="1" x14ac:dyDescent="0.4">
      <c r="A1013" s="2" t="s">
        <v>72</v>
      </c>
      <c r="B1013" s="2" t="s">
        <v>7212</v>
      </c>
      <c r="C1013" s="2" t="s">
        <v>74</v>
      </c>
      <c r="D1013" s="2" t="s">
        <v>74</v>
      </c>
      <c r="E1013" s="2" t="s">
        <v>74</v>
      </c>
      <c r="F1013" s="2" t="s">
        <v>7213</v>
      </c>
      <c r="G1013" s="2" t="s">
        <v>74</v>
      </c>
      <c r="H1013" s="2" t="s">
        <v>74</v>
      </c>
      <c r="I1013" s="2" t="s">
        <v>7214</v>
      </c>
      <c r="J1013" s="2" t="s">
        <v>333</v>
      </c>
      <c r="K1013" s="2" t="s">
        <v>74</v>
      </c>
      <c r="L1013" s="2" t="s">
        <v>74</v>
      </c>
      <c r="M1013" s="2" t="s">
        <v>74</v>
      </c>
      <c r="N1013" s="2" t="s">
        <v>74</v>
      </c>
      <c r="O1013" s="2" t="s">
        <v>74</v>
      </c>
      <c r="P1013" s="2" t="s">
        <v>74</v>
      </c>
      <c r="Q1013" s="2" t="s">
        <v>74</v>
      </c>
      <c r="R1013" s="2" t="s">
        <v>74</v>
      </c>
      <c r="S1013" s="2" t="s">
        <v>74</v>
      </c>
      <c r="T1013" s="2" t="s">
        <v>74</v>
      </c>
      <c r="U1013" s="2" t="s">
        <v>74</v>
      </c>
      <c r="V1013" s="5" t="s">
        <v>7215</v>
      </c>
      <c r="W1013" s="2" t="s">
        <v>74</v>
      </c>
      <c r="X1013" s="2" t="s">
        <v>74</v>
      </c>
      <c r="Y1013" s="2" t="s">
        <v>74</v>
      </c>
      <c r="Z1013" s="2" t="s">
        <v>74</v>
      </c>
      <c r="AA1013" s="2" t="s">
        <v>7216</v>
      </c>
      <c r="AB1013" s="2" t="s">
        <v>7217</v>
      </c>
      <c r="AC1013" s="2" t="s">
        <v>74</v>
      </c>
      <c r="AD1013" s="2" t="s">
        <v>74</v>
      </c>
      <c r="AE1013" s="2" t="s">
        <v>74</v>
      </c>
      <c r="AF1013" s="2" t="s">
        <v>74</v>
      </c>
      <c r="AG1013" s="2" t="s">
        <v>74</v>
      </c>
      <c r="AH1013" s="2" t="s">
        <v>74</v>
      </c>
      <c r="AI1013" s="2" t="s">
        <v>74</v>
      </c>
      <c r="AJ1013" s="2" t="s">
        <v>74</v>
      </c>
      <c r="AK1013" s="2" t="s">
        <v>74</v>
      </c>
      <c r="AL1013" s="2" t="s">
        <v>74</v>
      </c>
      <c r="AM1013" s="2" t="s">
        <v>74</v>
      </c>
      <c r="AN1013" s="2" t="s">
        <v>74</v>
      </c>
      <c r="AO1013" s="2" t="s">
        <v>337</v>
      </c>
      <c r="AP1013" s="2" t="s">
        <v>338</v>
      </c>
      <c r="AQ1013" s="2" t="s">
        <v>74</v>
      </c>
      <c r="AR1013" s="2" t="s">
        <v>74</v>
      </c>
      <c r="AS1013" s="2" t="s">
        <v>74</v>
      </c>
      <c r="AT1013" s="2" t="s">
        <v>1038</v>
      </c>
      <c r="AU1013" s="2">
        <v>2016</v>
      </c>
      <c r="AV1013" s="2">
        <v>27</v>
      </c>
      <c r="AW1013" s="2">
        <v>2</v>
      </c>
      <c r="AX1013" s="2" t="s">
        <v>74</v>
      </c>
      <c r="AY1013" s="2" t="s">
        <v>74</v>
      </c>
      <c r="AZ1013" s="2" t="s">
        <v>74</v>
      </c>
      <c r="BA1013" s="2" t="s">
        <v>74</v>
      </c>
      <c r="BB1013" s="2">
        <v>677</v>
      </c>
      <c r="BC1013" s="2">
        <v>684</v>
      </c>
      <c r="BD1013" s="2" t="s">
        <v>74</v>
      </c>
      <c r="BE1013" s="2" t="s">
        <v>7218</v>
      </c>
      <c r="BF1013" s="2" t="str">
        <f>HYPERLINK("http://dx.doi.org/10.1093/beheco/arv206","http://dx.doi.org/10.1093/beheco/arv206")</f>
        <v>http://dx.doi.org/10.1093/beheco/arv206</v>
      </c>
      <c r="BG1013" s="2" t="s">
        <v>74</v>
      </c>
      <c r="BH1013" s="2" t="s">
        <v>74</v>
      </c>
      <c r="BI1013" s="2" t="s">
        <v>74</v>
      </c>
      <c r="BJ1013" s="2" t="s">
        <v>74</v>
      </c>
      <c r="BK1013" s="2" t="s">
        <v>74</v>
      </c>
      <c r="BL1013" s="2" t="s">
        <v>74</v>
      </c>
      <c r="BM1013" s="2" t="s">
        <v>74</v>
      </c>
      <c r="BN1013" s="2" t="s">
        <v>74</v>
      </c>
      <c r="BO1013" s="2" t="s">
        <v>74</v>
      </c>
      <c r="BP1013" s="2" t="s">
        <v>74</v>
      </c>
      <c r="BQ1013" s="2" t="s">
        <v>74</v>
      </c>
      <c r="BR1013" s="2" t="s">
        <v>74</v>
      </c>
      <c r="BS1013" s="2" t="s">
        <v>7219</v>
      </c>
      <c r="BT1013" s="2" t="str">
        <f>HYPERLINK("https%3A%2F%2Fwww.webofscience.com%2Fwos%2Fwoscc%2Ffull-record%2FWOS:000375398800043","View Full Record in Web of Science")</f>
        <v>View Full Record in Web of Science</v>
      </c>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row>
    <row r="1014" spans="1:314" s="2" customFormat="1" x14ac:dyDescent="0.4">
      <c r="A1014" s="2" t="s">
        <v>72</v>
      </c>
      <c r="B1014" s="2" t="s">
        <v>1771</v>
      </c>
      <c r="C1014" s="2" t="s">
        <v>74</v>
      </c>
      <c r="D1014" s="2" t="s">
        <v>74</v>
      </c>
      <c r="E1014" s="2" t="s">
        <v>74</v>
      </c>
      <c r="F1014" s="2" t="s">
        <v>1771</v>
      </c>
      <c r="G1014" s="2" t="s">
        <v>74</v>
      </c>
      <c r="H1014" s="2" t="s">
        <v>74</v>
      </c>
      <c r="I1014" s="2" t="s">
        <v>1772</v>
      </c>
      <c r="J1014" s="2" t="s">
        <v>509</v>
      </c>
      <c r="K1014" s="2" t="s">
        <v>74</v>
      </c>
      <c r="L1014" s="2" t="s">
        <v>74</v>
      </c>
      <c r="M1014" s="2" t="s">
        <v>74</v>
      </c>
      <c r="N1014" s="2" t="s">
        <v>74</v>
      </c>
      <c r="O1014" s="2" t="s">
        <v>74</v>
      </c>
      <c r="P1014" s="2" t="s">
        <v>74</v>
      </c>
      <c r="Q1014" s="2" t="s">
        <v>74</v>
      </c>
      <c r="R1014" s="2" t="s">
        <v>74</v>
      </c>
      <c r="S1014" s="2" t="s">
        <v>74</v>
      </c>
      <c r="T1014" s="2" t="s">
        <v>74</v>
      </c>
      <c r="U1014" s="2" t="s">
        <v>74</v>
      </c>
      <c r="V1014" s="5" t="s">
        <v>1773</v>
      </c>
      <c r="W1014" s="2" t="s">
        <v>74</v>
      </c>
      <c r="X1014" s="2" t="s">
        <v>74</v>
      </c>
      <c r="Y1014" s="2" t="s">
        <v>74</v>
      </c>
      <c r="Z1014" s="2" t="s">
        <v>74</v>
      </c>
      <c r="AA1014" s="2" t="s">
        <v>74</v>
      </c>
      <c r="AB1014" s="2" t="s">
        <v>1774</v>
      </c>
      <c r="AC1014" s="2" t="s">
        <v>74</v>
      </c>
      <c r="AD1014" s="2" t="s">
        <v>74</v>
      </c>
      <c r="AE1014" s="2" t="s">
        <v>74</v>
      </c>
      <c r="AF1014" s="2" t="s">
        <v>74</v>
      </c>
      <c r="AG1014" s="2" t="s">
        <v>74</v>
      </c>
      <c r="AH1014" s="2" t="s">
        <v>74</v>
      </c>
      <c r="AI1014" s="2" t="s">
        <v>74</v>
      </c>
      <c r="AJ1014" s="2" t="s">
        <v>74</v>
      </c>
      <c r="AK1014" s="2" t="s">
        <v>74</v>
      </c>
      <c r="AL1014" s="2" t="s">
        <v>74</v>
      </c>
      <c r="AM1014" s="2" t="s">
        <v>74</v>
      </c>
      <c r="AN1014" s="2" t="s">
        <v>74</v>
      </c>
      <c r="AO1014" s="2" t="s">
        <v>511</v>
      </c>
      <c r="AP1014" s="2" t="s">
        <v>74</v>
      </c>
      <c r="AQ1014" s="2" t="s">
        <v>74</v>
      </c>
      <c r="AR1014" s="2" t="s">
        <v>74</v>
      </c>
      <c r="AS1014" s="2" t="s">
        <v>74</v>
      </c>
      <c r="AT1014" s="2" t="s">
        <v>123</v>
      </c>
      <c r="AU1014" s="2">
        <v>1994</v>
      </c>
      <c r="AV1014" s="2">
        <v>28</v>
      </c>
      <c r="AW1014" s="2">
        <v>1</v>
      </c>
      <c r="AX1014" s="2" t="s">
        <v>74</v>
      </c>
      <c r="AY1014" s="2" t="s">
        <v>74</v>
      </c>
      <c r="AZ1014" s="2" t="s">
        <v>74</v>
      </c>
      <c r="BA1014" s="2" t="s">
        <v>74</v>
      </c>
      <c r="BB1014" s="2">
        <v>29</v>
      </c>
      <c r="BC1014" s="2">
        <v>40</v>
      </c>
      <c r="BD1014" s="2" t="s">
        <v>74</v>
      </c>
      <c r="BE1014" s="2" t="s">
        <v>1775</v>
      </c>
      <c r="BF1014" s="2" t="str">
        <f>HYPERLINK("http://dx.doi.org/10.1006/hbeh.1994.1003","http://dx.doi.org/10.1006/hbeh.1994.1003")</f>
        <v>http://dx.doi.org/10.1006/hbeh.1994.1003</v>
      </c>
      <c r="BG1014" s="2" t="s">
        <v>74</v>
      </c>
      <c r="BH1014" s="2" t="s">
        <v>74</v>
      </c>
      <c r="BI1014" s="2" t="s">
        <v>74</v>
      </c>
      <c r="BJ1014" s="2" t="s">
        <v>74</v>
      </c>
      <c r="BK1014" s="2" t="s">
        <v>74</v>
      </c>
      <c r="BL1014" s="2" t="s">
        <v>74</v>
      </c>
      <c r="BM1014" s="2" t="s">
        <v>74</v>
      </c>
      <c r="BN1014" s="2">
        <v>8034280</v>
      </c>
      <c r="BO1014" s="2" t="s">
        <v>74</v>
      </c>
      <c r="BP1014" s="2" t="s">
        <v>74</v>
      </c>
      <c r="BQ1014" s="2" t="s">
        <v>74</v>
      </c>
      <c r="BR1014" s="2" t="s">
        <v>74</v>
      </c>
      <c r="BS1014" s="2" t="s">
        <v>1776</v>
      </c>
      <c r="BT1014" s="2" t="str">
        <f>HYPERLINK("https%3A%2F%2Fwww.webofscience.com%2Fwos%2Fwoscc%2Ffull-record%2FWOS:A1994NG07100003","View Full Record in Web of Science")</f>
        <v>View Full Record in Web of Science</v>
      </c>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row>
    <row r="1015" spans="1:314" s="2" customFormat="1" x14ac:dyDescent="0.4">
      <c r="A1015" s="2" t="s">
        <v>72</v>
      </c>
      <c r="B1015" s="2" t="s">
        <v>1771</v>
      </c>
      <c r="C1015" s="2" t="s">
        <v>74</v>
      </c>
      <c r="D1015" s="2" t="s">
        <v>74</v>
      </c>
      <c r="E1015" s="2" t="s">
        <v>74</v>
      </c>
      <c r="F1015" s="2" t="s">
        <v>1771</v>
      </c>
      <c r="G1015" s="2" t="s">
        <v>74</v>
      </c>
      <c r="H1015" s="2" t="s">
        <v>74</v>
      </c>
      <c r="I1015" s="2" t="s">
        <v>6183</v>
      </c>
      <c r="J1015" s="2" t="s">
        <v>1574</v>
      </c>
      <c r="K1015" s="2" t="s">
        <v>74</v>
      </c>
      <c r="L1015" s="2" t="s">
        <v>74</v>
      </c>
      <c r="M1015" s="2" t="s">
        <v>74</v>
      </c>
      <c r="N1015" s="2" t="s">
        <v>74</v>
      </c>
      <c r="O1015" s="2" t="s">
        <v>74</v>
      </c>
      <c r="P1015" s="2" t="s">
        <v>74</v>
      </c>
      <c r="Q1015" s="2" t="s">
        <v>74</v>
      </c>
      <c r="R1015" s="2" t="s">
        <v>74</v>
      </c>
      <c r="S1015" s="2" t="s">
        <v>74</v>
      </c>
      <c r="T1015" s="2" t="s">
        <v>74</v>
      </c>
      <c r="U1015" s="2" t="s">
        <v>74</v>
      </c>
      <c r="V1015" s="5" t="s">
        <v>6184</v>
      </c>
      <c r="W1015" s="2" t="s">
        <v>74</v>
      </c>
      <c r="X1015" s="2" t="s">
        <v>74</v>
      </c>
      <c r="Y1015" s="2" t="s">
        <v>74</v>
      </c>
      <c r="Z1015" s="2" t="s">
        <v>74</v>
      </c>
      <c r="AA1015" s="2" t="s">
        <v>74</v>
      </c>
      <c r="AB1015" s="2" t="s">
        <v>1774</v>
      </c>
      <c r="AC1015" s="2" t="s">
        <v>74</v>
      </c>
      <c r="AD1015" s="2" t="s">
        <v>74</v>
      </c>
      <c r="AE1015" s="2" t="s">
        <v>74</v>
      </c>
      <c r="AF1015" s="2" t="s">
        <v>74</v>
      </c>
      <c r="AG1015" s="2" t="s">
        <v>74</v>
      </c>
      <c r="AH1015" s="2" t="s">
        <v>74</v>
      </c>
      <c r="AI1015" s="2" t="s">
        <v>74</v>
      </c>
      <c r="AJ1015" s="2" t="s">
        <v>74</v>
      </c>
      <c r="AK1015" s="2" t="s">
        <v>74</v>
      </c>
      <c r="AL1015" s="2" t="s">
        <v>74</v>
      </c>
      <c r="AM1015" s="2" t="s">
        <v>74</v>
      </c>
      <c r="AN1015" s="2" t="s">
        <v>74</v>
      </c>
      <c r="AO1015" s="2" t="s">
        <v>1576</v>
      </c>
      <c r="AP1015" s="2" t="s">
        <v>74</v>
      </c>
      <c r="AQ1015" s="2" t="s">
        <v>74</v>
      </c>
      <c r="AR1015" s="2" t="s">
        <v>74</v>
      </c>
      <c r="AS1015" s="2" t="s">
        <v>74</v>
      </c>
      <c r="AT1015" s="2" t="s">
        <v>102</v>
      </c>
      <c r="AU1015" s="2">
        <v>1995</v>
      </c>
      <c r="AV1015" s="2">
        <v>45</v>
      </c>
      <c r="AW1015" s="2">
        <v>6</v>
      </c>
      <c r="AX1015" s="2" t="s">
        <v>74</v>
      </c>
      <c r="AY1015" s="2" t="s">
        <v>74</v>
      </c>
      <c r="AZ1015" s="2" t="s">
        <v>74</v>
      </c>
      <c r="BA1015" s="2" t="s">
        <v>74</v>
      </c>
      <c r="BB1015" s="2">
        <v>339</v>
      </c>
      <c r="BC1015" s="2">
        <v>349</v>
      </c>
      <c r="BD1015" s="2" t="s">
        <v>74</v>
      </c>
      <c r="BE1015" s="2" t="s">
        <v>6185</v>
      </c>
      <c r="BF1015" s="2" t="str">
        <f>HYPERLINK("http://dx.doi.org/10.1159/000113561","http://dx.doi.org/10.1159/000113561")</f>
        <v>http://dx.doi.org/10.1159/000113561</v>
      </c>
      <c r="BG1015" s="2" t="s">
        <v>74</v>
      </c>
      <c r="BH1015" s="2" t="s">
        <v>74</v>
      </c>
      <c r="BI1015" s="2" t="s">
        <v>74</v>
      </c>
      <c r="BJ1015" s="2" t="s">
        <v>74</v>
      </c>
      <c r="BK1015" s="2" t="s">
        <v>74</v>
      </c>
      <c r="BL1015" s="2" t="s">
        <v>74</v>
      </c>
      <c r="BM1015" s="2" t="s">
        <v>74</v>
      </c>
      <c r="BN1015" s="2">
        <v>7663963</v>
      </c>
      <c r="BO1015" s="2" t="s">
        <v>74</v>
      </c>
      <c r="BP1015" s="2" t="s">
        <v>74</v>
      </c>
      <c r="BQ1015" s="2" t="s">
        <v>74</v>
      </c>
      <c r="BR1015" s="2" t="s">
        <v>74</v>
      </c>
      <c r="BS1015" s="2" t="s">
        <v>6186</v>
      </c>
      <c r="BT1015" s="2" t="str">
        <f>HYPERLINK("https%3A%2F%2Fwww.webofscience.com%2Fwos%2Fwoscc%2Ffull-record%2FWOS:A1995RE13000004","View Full Record in Web of Science")</f>
        <v>View Full Record in Web of Science</v>
      </c>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row>
    <row r="1016" spans="1:314" s="2" customFormat="1" x14ac:dyDescent="0.4">
      <c r="A1016" s="2" t="s">
        <v>72</v>
      </c>
      <c r="B1016" s="2" t="s">
        <v>5303</v>
      </c>
      <c r="C1016" s="2" t="s">
        <v>74</v>
      </c>
      <c r="D1016" s="2" t="s">
        <v>74</v>
      </c>
      <c r="E1016" s="2" t="s">
        <v>74</v>
      </c>
      <c r="F1016" s="2" t="s">
        <v>5303</v>
      </c>
      <c r="G1016" s="2" t="s">
        <v>74</v>
      </c>
      <c r="H1016" s="2" t="s">
        <v>74</v>
      </c>
      <c r="I1016" s="2" t="s">
        <v>5304</v>
      </c>
      <c r="J1016" s="2" t="s">
        <v>129</v>
      </c>
      <c r="K1016" s="2" t="s">
        <v>74</v>
      </c>
      <c r="L1016" s="2" t="s">
        <v>74</v>
      </c>
      <c r="M1016" s="2" t="s">
        <v>74</v>
      </c>
      <c r="N1016" s="2" t="s">
        <v>74</v>
      </c>
      <c r="O1016" s="2" t="s">
        <v>74</v>
      </c>
      <c r="P1016" s="2" t="s">
        <v>74</v>
      </c>
      <c r="Q1016" s="2" t="s">
        <v>74</v>
      </c>
      <c r="R1016" s="2" t="s">
        <v>74</v>
      </c>
      <c r="S1016" s="2" t="s">
        <v>74</v>
      </c>
      <c r="T1016" s="2" t="s">
        <v>74</v>
      </c>
      <c r="U1016" s="2" t="s">
        <v>74</v>
      </c>
      <c r="V1016" s="5" t="s">
        <v>5305</v>
      </c>
      <c r="W1016" s="2" t="s">
        <v>74</v>
      </c>
      <c r="X1016" s="2" t="s">
        <v>74</v>
      </c>
      <c r="Y1016" s="2" t="s">
        <v>74</v>
      </c>
      <c r="Z1016" s="2" t="s">
        <v>74</v>
      </c>
      <c r="AA1016" s="2" t="s">
        <v>74</v>
      </c>
      <c r="AB1016" s="2" t="s">
        <v>74</v>
      </c>
      <c r="AC1016" s="2" t="s">
        <v>74</v>
      </c>
      <c r="AD1016" s="2" t="s">
        <v>74</v>
      </c>
      <c r="AE1016" s="2" t="s">
        <v>74</v>
      </c>
      <c r="AF1016" s="2" t="s">
        <v>74</v>
      </c>
      <c r="AG1016" s="2" t="s">
        <v>74</v>
      </c>
      <c r="AH1016" s="2" t="s">
        <v>74</v>
      </c>
      <c r="AI1016" s="2" t="s">
        <v>74</v>
      </c>
      <c r="AJ1016" s="2" t="s">
        <v>74</v>
      </c>
      <c r="AK1016" s="2" t="s">
        <v>74</v>
      </c>
      <c r="AL1016" s="2" t="s">
        <v>74</v>
      </c>
      <c r="AM1016" s="2" t="s">
        <v>74</v>
      </c>
      <c r="AN1016" s="2" t="s">
        <v>74</v>
      </c>
      <c r="AO1016" s="2" t="s">
        <v>132</v>
      </c>
      <c r="AP1016" s="2" t="s">
        <v>133</v>
      </c>
      <c r="AQ1016" s="2" t="s">
        <v>74</v>
      </c>
      <c r="AR1016" s="2" t="s">
        <v>74</v>
      </c>
      <c r="AS1016" s="2" t="s">
        <v>74</v>
      </c>
      <c r="AT1016" s="2" t="s">
        <v>175</v>
      </c>
      <c r="AU1016" s="2">
        <v>1995</v>
      </c>
      <c r="AV1016" s="2">
        <v>37</v>
      </c>
      <c r="AW1016" s="2">
        <v>4</v>
      </c>
      <c r="AX1016" s="2" t="s">
        <v>74</v>
      </c>
      <c r="AY1016" s="2" t="s">
        <v>74</v>
      </c>
      <c r="AZ1016" s="2" t="s">
        <v>74</v>
      </c>
      <c r="BA1016" s="2" t="s">
        <v>74</v>
      </c>
      <c r="BB1016" s="2">
        <v>275</v>
      </c>
      <c r="BC1016" s="2">
        <v>282</v>
      </c>
      <c r="BD1016" s="2" t="s">
        <v>74</v>
      </c>
      <c r="BE1016" s="2" t="s">
        <v>5306</v>
      </c>
      <c r="BF1016" s="2" t="str">
        <f>HYPERLINK("http://dx.doi.org/10.1007/BF00177407","http://dx.doi.org/10.1007/BF00177407")</f>
        <v>http://dx.doi.org/10.1007/BF00177407</v>
      </c>
      <c r="BG1016" s="2" t="s">
        <v>74</v>
      </c>
      <c r="BH1016" s="2" t="s">
        <v>74</v>
      </c>
      <c r="BI1016" s="2" t="s">
        <v>74</v>
      </c>
      <c r="BJ1016" s="2" t="s">
        <v>74</v>
      </c>
      <c r="BK1016" s="2" t="s">
        <v>74</v>
      </c>
      <c r="BL1016" s="2" t="s">
        <v>74</v>
      </c>
      <c r="BM1016" s="2" t="s">
        <v>74</v>
      </c>
      <c r="BN1016" s="2" t="s">
        <v>74</v>
      </c>
      <c r="BO1016" s="2" t="s">
        <v>74</v>
      </c>
      <c r="BP1016" s="2" t="s">
        <v>74</v>
      </c>
      <c r="BQ1016" s="2" t="s">
        <v>74</v>
      </c>
      <c r="BR1016" s="2" t="s">
        <v>74</v>
      </c>
      <c r="BS1016" s="2" t="s">
        <v>5307</v>
      </c>
      <c r="BT1016" s="2" t="str">
        <f>HYPERLINK("https%3A%2F%2Fwww.webofscience.com%2Fwos%2Fwoscc%2Ffull-record%2FWOS:A1995TC81600008","View Full Record in Web of Science")</f>
        <v>View Full Record in Web of Science</v>
      </c>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row>
    <row r="1017" spans="1:314" s="1" customFormat="1" x14ac:dyDescent="0.4">
      <c r="A1017" s="2" t="s">
        <v>72</v>
      </c>
      <c r="B1017" s="2" t="s">
        <v>4061</v>
      </c>
      <c r="C1017" s="2" t="s">
        <v>74</v>
      </c>
      <c r="D1017" s="2" t="s">
        <v>74</v>
      </c>
      <c r="E1017" s="2" t="s">
        <v>74</v>
      </c>
      <c r="F1017" s="2" t="s">
        <v>4062</v>
      </c>
      <c r="G1017" s="2" t="s">
        <v>74</v>
      </c>
      <c r="H1017" s="2" t="s">
        <v>74</v>
      </c>
      <c r="I1017" s="2" t="s">
        <v>4063</v>
      </c>
      <c r="J1017" s="2" t="s">
        <v>4064</v>
      </c>
      <c r="K1017" s="2" t="s">
        <v>74</v>
      </c>
      <c r="L1017" s="2" t="s">
        <v>74</v>
      </c>
      <c r="M1017" s="2" t="s">
        <v>74</v>
      </c>
      <c r="N1017" s="2" t="s">
        <v>74</v>
      </c>
      <c r="O1017" s="2" t="s">
        <v>74</v>
      </c>
      <c r="P1017" s="2" t="s">
        <v>74</v>
      </c>
      <c r="Q1017" s="2" t="s">
        <v>74</v>
      </c>
      <c r="R1017" s="2" t="s">
        <v>74</v>
      </c>
      <c r="S1017" s="2" t="s">
        <v>74</v>
      </c>
      <c r="T1017" s="2" t="s">
        <v>74</v>
      </c>
      <c r="U1017" s="2" t="s">
        <v>74</v>
      </c>
      <c r="V1017" s="5" t="s">
        <v>4065</v>
      </c>
      <c r="W1017" s="2" t="s">
        <v>74</v>
      </c>
      <c r="X1017" s="2" t="s">
        <v>74</v>
      </c>
      <c r="Y1017" s="2" t="s">
        <v>74</v>
      </c>
      <c r="Z1017" s="2" t="s">
        <v>74</v>
      </c>
      <c r="AA1017" s="2" t="s">
        <v>4066</v>
      </c>
      <c r="AB1017" s="2" t="s">
        <v>4067</v>
      </c>
      <c r="AC1017" s="2" t="s">
        <v>74</v>
      </c>
      <c r="AD1017" s="2" t="s">
        <v>74</v>
      </c>
      <c r="AE1017" s="2" t="s">
        <v>74</v>
      </c>
      <c r="AF1017" s="2" t="s">
        <v>74</v>
      </c>
      <c r="AG1017" s="2" t="s">
        <v>74</v>
      </c>
      <c r="AH1017" s="2" t="s">
        <v>74</v>
      </c>
      <c r="AI1017" s="2" t="s">
        <v>74</v>
      </c>
      <c r="AJ1017" s="2" t="s">
        <v>74</v>
      </c>
      <c r="AK1017" s="2" t="s">
        <v>74</v>
      </c>
      <c r="AL1017" s="2" t="s">
        <v>74</v>
      </c>
      <c r="AM1017" s="2" t="s">
        <v>74</v>
      </c>
      <c r="AN1017" s="2" t="s">
        <v>74</v>
      </c>
      <c r="AO1017" s="2" t="s">
        <v>4068</v>
      </c>
      <c r="AP1017" s="2" t="s">
        <v>4069</v>
      </c>
      <c r="AQ1017" s="2" t="s">
        <v>74</v>
      </c>
      <c r="AR1017" s="2" t="s">
        <v>74</v>
      </c>
      <c r="AS1017" s="2" t="s">
        <v>74</v>
      </c>
      <c r="AT1017" s="2" t="s">
        <v>4070</v>
      </c>
      <c r="AU1017" s="2">
        <v>2007</v>
      </c>
      <c r="AV1017" s="2">
        <v>17</v>
      </c>
      <c r="AW1017" s="2">
        <v>22</v>
      </c>
      <c r="AX1017" s="2" t="s">
        <v>74</v>
      </c>
      <c r="AY1017" s="2" t="s">
        <v>74</v>
      </c>
      <c r="AZ1017" s="2" t="s">
        <v>74</v>
      </c>
      <c r="BA1017" s="2" t="s">
        <v>74</v>
      </c>
      <c r="BB1017" s="2">
        <v>1943</v>
      </c>
      <c r="BC1017" s="2">
        <v>1947</v>
      </c>
      <c r="BD1017" s="2" t="s">
        <v>74</v>
      </c>
      <c r="BE1017" s="2" t="s">
        <v>4071</v>
      </c>
      <c r="BF1017" s="2" t="str">
        <f>HYPERLINK("http://dx.doi.org/10.1016/j.cub.2007.09.038","http://dx.doi.org/10.1016/j.cub.2007.09.038")</f>
        <v>http://dx.doi.org/10.1016/j.cub.2007.09.038</v>
      </c>
      <c r="BG1017" s="2" t="s">
        <v>74</v>
      </c>
      <c r="BH1017" s="2" t="s">
        <v>74</v>
      </c>
      <c r="BI1017" s="2" t="s">
        <v>74</v>
      </c>
      <c r="BJ1017" s="2" t="s">
        <v>74</v>
      </c>
      <c r="BK1017" s="2" t="s">
        <v>74</v>
      </c>
      <c r="BL1017" s="2" t="s">
        <v>74</v>
      </c>
      <c r="BM1017" s="2" t="s">
        <v>74</v>
      </c>
      <c r="BN1017" s="2">
        <v>17935996</v>
      </c>
      <c r="BO1017" s="2" t="s">
        <v>74</v>
      </c>
      <c r="BP1017" s="2" t="s">
        <v>74</v>
      </c>
      <c r="BQ1017" s="2" t="s">
        <v>74</v>
      </c>
      <c r="BR1017" s="2" t="s">
        <v>74</v>
      </c>
      <c r="BS1017" s="2" t="s">
        <v>4072</v>
      </c>
      <c r="BT1017" s="2" t="str">
        <f>HYPERLINK("https%3A%2F%2Fwww.webofscience.com%2Fwos%2Fwoscc%2Ffull-record%2FWOS:000251274300027","View Full Record in Web of Science")</f>
        <v>View Full Record in Web of Science</v>
      </c>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row>
    <row r="1018" spans="1:314" s="2" customFormat="1" x14ac:dyDescent="0.4">
      <c r="A1018" s="2" t="s">
        <v>72</v>
      </c>
      <c r="B1018" s="2" t="s">
        <v>3997</v>
      </c>
      <c r="C1018" s="2" t="s">
        <v>74</v>
      </c>
      <c r="D1018" s="2" t="s">
        <v>74</v>
      </c>
      <c r="E1018" s="2" t="s">
        <v>74</v>
      </c>
      <c r="F1018" s="2" t="s">
        <v>3998</v>
      </c>
      <c r="G1018" s="2" t="s">
        <v>74</v>
      </c>
      <c r="H1018" s="2" t="s">
        <v>74</v>
      </c>
      <c r="I1018" s="2" t="s">
        <v>3999</v>
      </c>
      <c r="J1018" s="2" t="s">
        <v>1112</v>
      </c>
      <c r="K1018" s="2" t="s">
        <v>74</v>
      </c>
      <c r="L1018" s="2" t="s">
        <v>74</v>
      </c>
      <c r="M1018" s="2" t="s">
        <v>74</v>
      </c>
      <c r="N1018" s="2" t="s">
        <v>74</v>
      </c>
      <c r="O1018" s="2" t="s">
        <v>74</v>
      </c>
      <c r="P1018" s="2" t="s">
        <v>74</v>
      </c>
      <c r="Q1018" s="2" t="s">
        <v>74</v>
      </c>
      <c r="R1018" s="2" t="s">
        <v>74</v>
      </c>
      <c r="S1018" s="2" t="s">
        <v>74</v>
      </c>
      <c r="T1018" s="2" t="s">
        <v>74</v>
      </c>
      <c r="U1018" s="2" t="s">
        <v>74</v>
      </c>
      <c r="V1018" s="5" t="s">
        <v>4000</v>
      </c>
      <c r="W1018" s="2" t="s">
        <v>74</v>
      </c>
      <c r="X1018" s="2" t="s">
        <v>74</v>
      </c>
      <c r="Y1018" s="2" t="s">
        <v>74</v>
      </c>
      <c r="Z1018" s="2" t="s">
        <v>74</v>
      </c>
      <c r="AA1018" s="2" t="s">
        <v>4001</v>
      </c>
      <c r="AB1018" s="2" t="s">
        <v>4002</v>
      </c>
      <c r="AC1018" s="2" t="s">
        <v>74</v>
      </c>
      <c r="AD1018" s="2" t="s">
        <v>74</v>
      </c>
      <c r="AE1018" s="2" t="s">
        <v>74</v>
      </c>
      <c r="AF1018" s="2" t="s">
        <v>74</v>
      </c>
      <c r="AG1018" s="2" t="s">
        <v>74</v>
      </c>
      <c r="AH1018" s="2" t="s">
        <v>74</v>
      </c>
      <c r="AI1018" s="2" t="s">
        <v>74</v>
      </c>
      <c r="AJ1018" s="2" t="s">
        <v>74</v>
      </c>
      <c r="AK1018" s="2" t="s">
        <v>74</v>
      </c>
      <c r="AL1018" s="2" t="s">
        <v>74</v>
      </c>
      <c r="AM1018" s="2" t="s">
        <v>74</v>
      </c>
      <c r="AN1018" s="2" t="s">
        <v>74</v>
      </c>
      <c r="AO1018" s="2" t="s">
        <v>1114</v>
      </c>
      <c r="AP1018" s="2" t="s">
        <v>1115</v>
      </c>
      <c r="AQ1018" s="2" t="s">
        <v>74</v>
      </c>
      <c r="AR1018" s="2" t="s">
        <v>74</v>
      </c>
      <c r="AS1018" s="2" t="s">
        <v>74</v>
      </c>
      <c r="AT1018" s="2" t="s">
        <v>134</v>
      </c>
      <c r="AU1018" s="2">
        <v>2023</v>
      </c>
      <c r="AV1018" s="2">
        <v>262</v>
      </c>
      <c r="AW1018" s="2" t="s">
        <v>74</v>
      </c>
      <c r="AX1018" s="2" t="s">
        <v>74</v>
      </c>
      <c r="AY1018" s="2" t="s">
        <v>74</v>
      </c>
      <c r="AZ1018" s="2" t="s">
        <v>74</v>
      </c>
      <c r="BA1018" s="2" t="s">
        <v>74</v>
      </c>
      <c r="BB1018" s="2" t="s">
        <v>74</v>
      </c>
      <c r="BC1018" s="2" t="s">
        <v>74</v>
      </c>
      <c r="BD1018" s="2">
        <v>105903</v>
      </c>
      <c r="BE1018" s="2" t="s">
        <v>4003</v>
      </c>
      <c r="BF1018" s="2" t="str">
        <f>HYPERLINK("http://dx.doi.org/10.1016/j.applanim.2023.105903","http://dx.doi.org/10.1016/j.applanim.2023.105903")</f>
        <v>http://dx.doi.org/10.1016/j.applanim.2023.105903</v>
      </c>
      <c r="BG1018" s="2" t="s">
        <v>74</v>
      </c>
      <c r="BH1018" s="2" t="s">
        <v>4004</v>
      </c>
      <c r="BI1018" s="2" t="s">
        <v>74</v>
      </c>
      <c r="BJ1018" s="2" t="s">
        <v>74</v>
      </c>
      <c r="BK1018" s="2" t="s">
        <v>74</v>
      </c>
      <c r="BL1018" s="2" t="s">
        <v>74</v>
      </c>
      <c r="BM1018" s="2" t="s">
        <v>74</v>
      </c>
      <c r="BN1018" s="2" t="s">
        <v>74</v>
      </c>
      <c r="BO1018" s="2" t="s">
        <v>74</v>
      </c>
      <c r="BP1018" s="2" t="s">
        <v>74</v>
      </c>
      <c r="BQ1018" s="2" t="s">
        <v>74</v>
      </c>
      <c r="BR1018" s="2" t="s">
        <v>74</v>
      </c>
      <c r="BS1018" s="2" t="s">
        <v>4005</v>
      </c>
      <c r="BT1018" s="2" t="str">
        <f>HYPERLINK("https%3A%2F%2Fwww.webofscience.com%2Fwos%2Fwoscc%2Ffull-record%2FWOS:000964957600001","View Full Record in Web of Science")</f>
        <v>View Full Record in Web of Science</v>
      </c>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row>
    <row r="1019" spans="1:314" s="2" customFormat="1" x14ac:dyDescent="0.4">
      <c r="A1019" s="2" t="s">
        <v>72</v>
      </c>
      <c r="B1019" s="2" t="s">
        <v>8092</v>
      </c>
      <c r="C1019" s="2" t="s">
        <v>74</v>
      </c>
      <c r="D1019" s="2" t="s">
        <v>74</v>
      </c>
      <c r="E1019" s="2" t="s">
        <v>74</v>
      </c>
      <c r="F1019" s="2" t="s">
        <v>8093</v>
      </c>
      <c r="G1019" s="2" t="s">
        <v>74</v>
      </c>
      <c r="H1019" s="2" t="s">
        <v>74</v>
      </c>
      <c r="I1019" s="2" t="s">
        <v>8094</v>
      </c>
      <c r="J1019" s="2" t="s">
        <v>3353</v>
      </c>
      <c r="K1019" s="2" t="s">
        <v>74</v>
      </c>
      <c r="L1019" s="2" t="s">
        <v>74</v>
      </c>
      <c r="M1019" s="2" t="s">
        <v>74</v>
      </c>
      <c r="N1019" s="2" t="s">
        <v>74</v>
      </c>
      <c r="O1019" s="2" t="s">
        <v>74</v>
      </c>
      <c r="P1019" s="2" t="s">
        <v>74</v>
      </c>
      <c r="Q1019" s="2" t="s">
        <v>74</v>
      </c>
      <c r="R1019" s="2" t="s">
        <v>74</v>
      </c>
      <c r="S1019" s="2" t="s">
        <v>74</v>
      </c>
      <c r="T1019" s="2" t="s">
        <v>74</v>
      </c>
      <c r="U1019" s="2" t="s">
        <v>74</v>
      </c>
      <c r="V1019" s="5" t="s">
        <v>8095</v>
      </c>
      <c r="W1019" s="2" t="s">
        <v>74</v>
      </c>
      <c r="X1019" s="2" t="s">
        <v>74</v>
      </c>
      <c r="Y1019" s="2" t="s">
        <v>74</v>
      </c>
      <c r="Z1019" s="2" t="s">
        <v>74</v>
      </c>
      <c r="AA1019" s="2" t="s">
        <v>8096</v>
      </c>
      <c r="AB1019" s="2" t="s">
        <v>8097</v>
      </c>
      <c r="AC1019" s="2" t="s">
        <v>74</v>
      </c>
      <c r="AD1019" s="2" t="s">
        <v>74</v>
      </c>
      <c r="AE1019" s="2" t="s">
        <v>74</v>
      </c>
      <c r="AF1019" s="2" t="s">
        <v>74</v>
      </c>
      <c r="AG1019" s="2" t="s">
        <v>74</v>
      </c>
      <c r="AH1019" s="2" t="s">
        <v>74</v>
      </c>
      <c r="AI1019" s="2" t="s">
        <v>74</v>
      </c>
      <c r="AJ1019" s="2" t="s">
        <v>74</v>
      </c>
      <c r="AK1019" s="2" t="s">
        <v>74</v>
      </c>
      <c r="AL1019" s="2" t="s">
        <v>74</v>
      </c>
      <c r="AM1019" s="2" t="s">
        <v>74</v>
      </c>
      <c r="AN1019" s="2" t="s">
        <v>74</v>
      </c>
      <c r="AO1019" s="2" t="s">
        <v>3357</v>
      </c>
      <c r="AP1019" s="2" t="s">
        <v>3358</v>
      </c>
      <c r="AQ1019" s="2" t="s">
        <v>74</v>
      </c>
      <c r="AR1019" s="2" t="s">
        <v>74</v>
      </c>
      <c r="AS1019" s="2" t="s">
        <v>74</v>
      </c>
      <c r="AT1019" s="2" t="s">
        <v>134</v>
      </c>
      <c r="AU1019" s="2">
        <v>2024</v>
      </c>
      <c r="AV1019" s="2">
        <v>49</v>
      </c>
      <c r="AW1019" s="2">
        <v>5</v>
      </c>
      <c r="AX1019" s="2" t="s">
        <v>74</v>
      </c>
      <c r="AY1019" s="2" t="s">
        <v>74</v>
      </c>
      <c r="AZ1019" s="2" t="s">
        <v>74</v>
      </c>
      <c r="BA1019" s="2" t="s">
        <v>74</v>
      </c>
      <c r="BB1019" s="2" t="s">
        <v>74</v>
      </c>
      <c r="BC1019" s="2" t="s">
        <v>74</v>
      </c>
      <c r="BD1019" s="2" t="s">
        <v>8098</v>
      </c>
      <c r="BE1019" s="2" t="s">
        <v>8099</v>
      </c>
      <c r="BF1019" s="2" t="str">
        <f>HYPERLINK("http://dx.doi.org/10.1111/aec.13523","http://dx.doi.org/10.1111/aec.13523")</f>
        <v>http://dx.doi.org/10.1111/aec.13523</v>
      </c>
      <c r="BG1019" s="2" t="s">
        <v>74</v>
      </c>
      <c r="BH1019" s="2" t="s">
        <v>74</v>
      </c>
      <c r="BI1019" s="2" t="s">
        <v>74</v>
      </c>
      <c r="BJ1019" s="2" t="s">
        <v>74</v>
      </c>
      <c r="BK1019" s="2" t="s">
        <v>74</v>
      </c>
      <c r="BL1019" s="2" t="s">
        <v>74</v>
      </c>
      <c r="BM1019" s="2" t="s">
        <v>74</v>
      </c>
      <c r="BN1019" s="2" t="s">
        <v>74</v>
      </c>
      <c r="BO1019" s="2" t="s">
        <v>74</v>
      </c>
      <c r="BP1019" s="2" t="s">
        <v>74</v>
      </c>
      <c r="BQ1019" s="2" t="s">
        <v>74</v>
      </c>
      <c r="BR1019" s="2" t="s">
        <v>74</v>
      </c>
      <c r="BS1019" s="2" t="s">
        <v>8100</v>
      </c>
      <c r="BT1019" s="2" t="str">
        <f>HYPERLINK("https%3A%2F%2Fwww.webofscience.com%2Fwos%2Fwoscc%2Ffull-record%2FWOS:001223578900001","View Full Record in Web of Science")</f>
        <v>View Full Record in Web of Science</v>
      </c>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row>
    <row r="1020" spans="1:314" s="2" customFormat="1" x14ac:dyDescent="0.4">
      <c r="A1020" s="2" t="s">
        <v>72</v>
      </c>
      <c r="B1020" s="2" t="s">
        <v>3341</v>
      </c>
      <c r="C1020" s="2" t="s">
        <v>74</v>
      </c>
      <c r="D1020" s="2" t="s">
        <v>74</v>
      </c>
      <c r="E1020" s="2" t="s">
        <v>74</v>
      </c>
      <c r="F1020" s="2" t="s">
        <v>3342</v>
      </c>
      <c r="G1020" s="2" t="s">
        <v>74</v>
      </c>
      <c r="H1020" s="2" t="s">
        <v>74</v>
      </c>
      <c r="I1020" s="2" t="s">
        <v>3343</v>
      </c>
      <c r="J1020" s="2" t="s">
        <v>1437</v>
      </c>
      <c r="K1020" s="2" t="s">
        <v>74</v>
      </c>
      <c r="L1020" s="2" t="s">
        <v>74</v>
      </c>
      <c r="M1020" s="2" t="s">
        <v>74</v>
      </c>
      <c r="N1020" s="2" t="s">
        <v>74</v>
      </c>
      <c r="O1020" s="2" t="s">
        <v>74</v>
      </c>
      <c r="P1020" s="2" t="s">
        <v>74</v>
      </c>
      <c r="Q1020" s="2" t="s">
        <v>74</v>
      </c>
      <c r="R1020" s="2" t="s">
        <v>74</v>
      </c>
      <c r="S1020" s="2" t="s">
        <v>74</v>
      </c>
      <c r="T1020" s="2" t="s">
        <v>74</v>
      </c>
      <c r="U1020" s="2" t="s">
        <v>74</v>
      </c>
      <c r="V1020" s="5" t="s">
        <v>3344</v>
      </c>
      <c r="W1020" s="2" t="s">
        <v>74</v>
      </c>
      <c r="X1020" s="2" t="s">
        <v>74</v>
      </c>
      <c r="Y1020" s="2" t="s">
        <v>74</v>
      </c>
      <c r="Z1020" s="2" t="s">
        <v>74</v>
      </c>
      <c r="AA1020" s="2" t="s">
        <v>3345</v>
      </c>
      <c r="AB1020" s="2" t="s">
        <v>3346</v>
      </c>
      <c r="AC1020" s="2" t="s">
        <v>74</v>
      </c>
      <c r="AD1020" s="2" t="s">
        <v>74</v>
      </c>
      <c r="AE1020" s="2" t="s">
        <v>74</v>
      </c>
      <c r="AF1020" s="2" t="s">
        <v>74</v>
      </c>
      <c r="AG1020" s="2" t="s">
        <v>74</v>
      </c>
      <c r="AH1020" s="2" t="s">
        <v>74</v>
      </c>
      <c r="AI1020" s="2" t="s">
        <v>74</v>
      </c>
      <c r="AJ1020" s="2" t="s">
        <v>74</v>
      </c>
      <c r="AK1020" s="2" t="s">
        <v>74</v>
      </c>
      <c r="AL1020" s="2" t="s">
        <v>74</v>
      </c>
      <c r="AM1020" s="2" t="s">
        <v>74</v>
      </c>
      <c r="AN1020" s="2" t="s">
        <v>74</v>
      </c>
      <c r="AO1020" s="2" t="s">
        <v>1440</v>
      </c>
      <c r="AP1020" s="2" t="s">
        <v>3347</v>
      </c>
      <c r="AQ1020" s="2" t="s">
        <v>74</v>
      </c>
      <c r="AR1020" s="2" t="s">
        <v>74</v>
      </c>
      <c r="AS1020" s="2" t="s">
        <v>74</v>
      </c>
      <c r="AT1020" s="2" t="s">
        <v>255</v>
      </c>
      <c r="AU1020" s="2">
        <v>2019</v>
      </c>
      <c r="AV1020" s="2">
        <v>122</v>
      </c>
      <c r="AW1020" s="2">
        <v>1</v>
      </c>
      <c r="AX1020" s="2" t="s">
        <v>74</v>
      </c>
      <c r="AY1020" s="2" t="s">
        <v>74</v>
      </c>
      <c r="AZ1020" s="2" t="s">
        <v>74</v>
      </c>
      <c r="BA1020" s="2" t="s">
        <v>74</v>
      </c>
      <c r="BB1020" s="2">
        <v>81</v>
      </c>
      <c r="BC1020" s="2">
        <v>92</v>
      </c>
      <c r="BD1020" s="2" t="s">
        <v>74</v>
      </c>
      <c r="BE1020" s="2" t="s">
        <v>3348</v>
      </c>
      <c r="BF1020" s="2" t="str">
        <f>HYPERLINK("http://dx.doi.org/10.1038/s41437-018-0076-z","http://dx.doi.org/10.1038/s41437-018-0076-z")</f>
        <v>http://dx.doi.org/10.1038/s41437-018-0076-z</v>
      </c>
      <c r="BG1020" s="2" t="s">
        <v>74</v>
      </c>
      <c r="BH1020" s="2" t="s">
        <v>74</v>
      </c>
      <c r="BI1020" s="2" t="s">
        <v>74</v>
      </c>
      <c r="BJ1020" s="2" t="s">
        <v>74</v>
      </c>
      <c r="BK1020" s="2" t="s">
        <v>74</v>
      </c>
      <c r="BL1020" s="2" t="s">
        <v>74</v>
      </c>
      <c r="BM1020" s="2" t="s">
        <v>74</v>
      </c>
      <c r="BN1020" s="2">
        <v>29713090</v>
      </c>
      <c r="BO1020" s="2" t="s">
        <v>74</v>
      </c>
      <c r="BP1020" s="2" t="s">
        <v>74</v>
      </c>
      <c r="BQ1020" s="2" t="s">
        <v>74</v>
      </c>
      <c r="BR1020" s="2" t="s">
        <v>74</v>
      </c>
      <c r="BS1020" s="2" t="s">
        <v>3349</v>
      </c>
      <c r="BT1020" s="2" t="str">
        <f>HYPERLINK("https%3A%2F%2Fwww.webofscience.com%2Fwos%2Fwoscc%2Ffull-record%2FWOS:000452620900007","View Full Record in Web of Science")</f>
        <v>View Full Record in Web of Science</v>
      </c>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row>
    <row r="1021" spans="1:314" s="2" customFormat="1" x14ac:dyDescent="0.4">
      <c r="A1021" s="2" t="s">
        <v>72</v>
      </c>
      <c r="B1021" s="2" t="s">
        <v>3538</v>
      </c>
      <c r="C1021" s="2" t="s">
        <v>74</v>
      </c>
      <c r="D1021" s="2" t="s">
        <v>74</v>
      </c>
      <c r="E1021" s="2" t="s">
        <v>74</v>
      </c>
      <c r="F1021" s="2" t="s">
        <v>3539</v>
      </c>
      <c r="G1021" s="2" t="s">
        <v>74</v>
      </c>
      <c r="H1021" s="2" t="s">
        <v>74</v>
      </c>
      <c r="I1021" s="2" t="s">
        <v>3540</v>
      </c>
      <c r="J1021" s="2" t="s">
        <v>2042</v>
      </c>
      <c r="K1021" s="2" t="s">
        <v>74</v>
      </c>
      <c r="L1021" s="2" t="s">
        <v>74</v>
      </c>
      <c r="M1021" s="2" t="s">
        <v>74</v>
      </c>
      <c r="N1021" s="2" t="s">
        <v>74</v>
      </c>
      <c r="O1021" s="2" t="s">
        <v>74</v>
      </c>
      <c r="P1021" s="2" t="s">
        <v>74</v>
      </c>
      <c r="Q1021" s="2" t="s">
        <v>74</v>
      </c>
      <c r="R1021" s="2" t="s">
        <v>74</v>
      </c>
      <c r="S1021" s="2" t="s">
        <v>74</v>
      </c>
      <c r="T1021" s="2" t="s">
        <v>74</v>
      </c>
      <c r="U1021" s="2" t="s">
        <v>74</v>
      </c>
      <c r="V1021" s="5" t="s">
        <v>3541</v>
      </c>
      <c r="W1021" s="2" t="s">
        <v>74</v>
      </c>
      <c r="X1021" s="2" t="s">
        <v>74</v>
      </c>
      <c r="Y1021" s="2" t="s">
        <v>74</v>
      </c>
      <c r="Z1021" s="2" t="s">
        <v>74</v>
      </c>
      <c r="AA1021" s="2" t="s">
        <v>74</v>
      </c>
      <c r="AB1021" s="2" t="s">
        <v>74</v>
      </c>
      <c r="AC1021" s="2" t="s">
        <v>74</v>
      </c>
      <c r="AD1021" s="2" t="s">
        <v>74</v>
      </c>
      <c r="AE1021" s="2" t="s">
        <v>74</v>
      </c>
      <c r="AF1021" s="2" t="s">
        <v>74</v>
      </c>
      <c r="AG1021" s="2" t="s">
        <v>74</v>
      </c>
      <c r="AH1021" s="2" t="s">
        <v>74</v>
      </c>
      <c r="AI1021" s="2" t="s">
        <v>74</v>
      </c>
      <c r="AJ1021" s="2" t="s">
        <v>74</v>
      </c>
      <c r="AK1021" s="2" t="s">
        <v>74</v>
      </c>
      <c r="AL1021" s="2" t="s">
        <v>74</v>
      </c>
      <c r="AM1021" s="2" t="s">
        <v>74</v>
      </c>
      <c r="AN1021" s="2" t="s">
        <v>74</v>
      </c>
      <c r="AO1021" s="2" t="s">
        <v>2045</v>
      </c>
      <c r="AP1021" s="2" t="s">
        <v>2046</v>
      </c>
      <c r="AQ1021" s="2" t="s">
        <v>74</v>
      </c>
      <c r="AR1021" s="2" t="s">
        <v>74</v>
      </c>
      <c r="AS1021" s="2" t="s">
        <v>74</v>
      </c>
      <c r="AT1021" s="2" t="s">
        <v>964</v>
      </c>
      <c r="AU1021" s="2">
        <v>2007</v>
      </c>
      <c r="AV1021" s="2">
        <v>54</v>
      </c>
      <c r="AW1021" s="2">
        <v>1</v>
      </c>
      <c r="AX1021" s="2" t="s">
        <v>74</v>
      </c>
      <c r="AY1021" s="2" t="s">
        <v>74</v>
      </c>
      <c r="AZ1021" s="2" t="s">
        <v>74</v>
      </c>
      <c r="BA1021" s="2" t="s">
        <v>74</v>
      </c>
      <c r="BB1021" s="2">
        <v>55</v>
      </c>
      <c r="BC1021" s="2">
        <v>60</v>
      </c>
      <c r="BD1021" s="2" t="s">
        <v>74</v>
      </c>
      <c r="BE1021" s="2" t="s">
        <v>3542</v>
      </c>
      <c r="BF1021" s="2" t="str">
        <f>HYPERLINK("http://dx.doi.org/10.1007/s10228-006-0374-y","http://dx.doi.org/10.1007/s10228-006-0374-y")</f>
        <v>http://dx.doi.org/10.1007/s10228-006-0374-y</v>
      </c>
      <c r="BG1021" s="2" t="s">
        <v>74</v>
      </c>
      <c r="BH1021" s="2" t="s">
        <v>74</v>
      </c>
      <c r="BI1021" s="2" t="s">
        <v>74</v>
      </c>
      <c r="BJ1021" s="2" t="s">
        <v>74</v>
      </c>
      <c r="BK1021" s="2" t="s">
        <v>74</v>
      </c>
      <c r="BL1021" s="2" t="s">
        <v>74</v>
      </c>
      <c r="BM1021" s="2" t="s">
        <v>74</v>
      </c>
      <c r="BN1021" s="2" t="s">
        <v>74</v>
      </c>
      <c r="BO1021" s="2" t="s">
        <v>74</v>
      </c>
      <c r="BP1021" s="2" t="s">
        <v>74</v>
      </c>
      <c r="BQ1021" s="2" t="s">
        <v>74</v>
      </c>
      <c r="BR1021" s="2" t="s">
        <v>74</v>
      </c>
      <c r="BS1021" s="2" t="s">
        <v>3543</v>
      </c>
      <c r="BT1021" s="2" t="str">
        <f>HYPERLINK("https%3A%2F%2Fwww.webofscience.com%2Fwos%2Fwoscc%2Ffull-record%2FWOS:000244724300008","View Full Record in Web of Science")</f>
        <v>View Full Record in Web of Science</v>
      </c>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row>
    <row r="1022" spans="1:314" s="2" customFormat="1" x14ac:dyDescent="0.4">
      <c r="A1022" s="2" t="s">
        <v>72</v>
      </c>
      <c r="B1022" s="2" t="s">
        <v>6210</v>
      </c>
      <c r="C1022" s="2" t="s">
        <v>74</v>
      </c>
      <c r="D1022" s="2" t="s">
        <v>74</v>
      </c>
      <c r="E1022" s="2" t="s">
        <v>74</v>
      </c>
      <c r="F1022" s="2" t="s">
        <v>6211</v>
      </c>
      <c r="G1022" s="2" t="s">
        <v>74</v>
      </c>
      <c r="H1022" s="2" t="s">
        <v>74</v>
      </c>
      <c r="I1022" s="2" t="s">
        <v>6212</v>
      </c>
      <c r="J1022" s="2" t="s">
        <v>5357</v>
      </c>
      <c r="K1022" s="2" t="s">
        <v>74</v>
      </c>
      <c r="L1022" s="2" t="s">
        <v>74</v>
      </c>
      <c r="M1022" s="2" t="s">
        <v>74</v>
      </c>
      <c r="N1022" s="2" t="s">
        <v>74</v>
      </c>
      <c r="O1022" s="2" t="s">
        <v>74</v>
      </c>
      <c r="P1022" s="2" t="s">
        <v>74</v>
      </c>
      <c r="Q1022" s="2" t="s">
        <v>74</v>
      </c>
      <c r="R1022" s="2" t="s">
        <v>74</v>
      </c>
      <c r="S1022" s="2" t="s">
        <v>74</v>
      </c>
      <c r="T1022" s="2" t="s">
        <v>74</v>
      </c>
      <c r="U1022" s="2" t="s">
        <v>74</v>
      </c>
      <c r="V1022" s="5" t="s">
        <v>6213</v>
      </c>
      <c r="W1022" s="2" t="s">
        <v>74</v>
      </c>
      <c r="X1022" s="2" t="s">
        <v>74</v>
      </c>
      <c r="Y1022" s="2" t="s">
        <v>74</v>
      </c>
      <c r="Z1022" s="2" t="s">
        <v>74</v>
      </c>
      <c r="AA1022" s="2" t="s">
        <v>74</v>
      </c>
      <c r="AB1022" s="2" t="s">
        <v>6214</v>
      </c>
      <c r="AC1022" s="2" t="s">
        <v>74</v>
      </c>
      <c r="AD1022" s="2" t="s">
        <v>74</v>
      </c>
      <c r="AE1022" s="2" t="s">
        <v>74</v>
      </c>
      <c r="AF1022" s="2" t="s">
        <v>74</v>
      </c>
      <c r="AG1022" s="2" t="s">
        <v>74</v>
      </c>
      <c r="AH1022" s="2" t="s">
        <v>74</v>
      </c>
      <c r="AI1022" s="2" t="s">
        <v>74</v>
      </c>
      <c r="AJ1022" s="2" t="s">
        <v>74</v>
      </c>
      <c r="AK1022" s="2" t="s">
        <v>74</v>
      </c>
      <c r="AL1022" s="2" t="s">
        <v>74</v>
      </c>
      <c r="AM1022" s="2" t="s">
        <v>74</v>
      </c>
      <c r="AN1022" s="2" t="s">
        <v>74</v>
      </c>
      <c r="AO1022" s="2" t="s">
        <v>5359</v>
      </c>
      <c r="AP1022" s="2" t="s">
        <v>5360</v>
      </c>
      <c r="AQ1022" s="2" t="s">
        <v>74</v>
      </c>
      <c r="AR1022" s="2" t="s">
        <v>74</v>
      </c>
      <c r="AS1022" s="2" t="s">
        <v>74</v>
      </c>
      <c r="AT1022" s="2" t="s">
        <v>964</v>
      </c>
      <c r="AU1022" s="2">
        <v>2013</v>
      </c>
      <c r="AV1022" s="2">
        <v>31</v>
      </c>
      <c r="AW1022" s="2">
        <v>1</v>
      </c>
      <c r="AX1022" s="2" t="s">
        <v>74</v>
      </c>
      <c r="AY1022" s="2" t="s">
        <v>74</v>
      </c>
      <c r="AZ1022" s="2" t="s">
        <v>74</v>
      </c>
      <c r="BA1022" s="2" t="s">
        <v>74</v>
      </c>
      <c r="BB1022" s="2">
        <v>25</v>
      </c>
      <c r="BC1022" s="2">
        <v>37</v>
      </c>
      <c r="BD1022" s="2" t="s">
        <v>74</v>
      </c>
      <c r="BE1022" s="2" t="s">
        <v>6215</v>
      </c>
      <c r="BF1022" s="2" t="str">
        <f>HYPERLINK("http://dx.doi.org/10.4003/006.031.0114","http://dx.doi.org/10.4003/006.031.0114")</f>
        <v>http://dx.doi.org/10.4003/006.031.0114</v>
      </c>
      <c r="BG1022" s="2" t="s">
        <v>74</v>
      </c>
      <c r="BH1022" s="2" t="s">
        <v>74</v>
      </c>
      <c r="BI1022" s="2" t="s">
        <v>74</v>
      </c>
      <c r="BJ1022" s="2" t="s">
        <v>74</v>
      </c>
      <c r="BK1022" s="2" t="s">
        <v>74</v>
      </c>
      <c r="BL1022" s="2" t="s">
        <v>74</v>
      </c>
      <c r="BM1022" s="2" t="s">
        <v>74</v>
      </c>
      <c r="BN1022" s="2" t="s">
        <v>74</v>
      </c>
      <c r="BO1022" s="2" t="s">
        <v>74</v>
      </c>
      <c r="BP1022" s="2" t="s">
        <v>74</v>
      </c>
      <c r="BQ1022" s="2" t="s">
        <v>74</v>
      </c>
      <c r="BR1022" s="2" t="s">
        <v>74</v>
      </c>
      <c r="BS1022" s="2" t="s">
        <v>6216</v>
      </c>
      <c r="BT1022" s="2" t="str">
        <f>HYPERLINK("https%3A%2F%2Fwww.webofscience.com%2Fwos%2Fwoscc%2Ffull-record%2FWOS:000338769900003","View Full Record in Web of Science")</f>
        <v>View Full Record in Web of Science</v>
      </c>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row>
    <row r="1023" spans="1:314" s="2" customFormat="1" x14ac:dyDescent="0.4">
      <c r="A1023" s="2" t="s">
        <v>72</v>
      </c>
      <c r="B1023" s="2" t="s">
        <v>4414</v>
      </c>
      <c r="C1023" s="2" t="s">
        <v>74</v>
      </c>
      <c r="D1023" s="2" t="s">
        <v>74</v>
      </c>
      <c r="E1023" s="2" t="s">
        <v>74</v>
      </c>
      <c r="F1023" s="2" t="s">
        <v>4415</v>
      </c>
      <c r="G1023" s="2" t="s">
        <v>74</v>
      </c>
      <c r="H1023" s="2" t="s">
        <v>74</v>
      </c>
      <c r="I1023" s="2" t="s">
        <v>4416</v>
      </c>
      <c r="J1023" s="2" t="s">
        <v>4417</v>
      </c>
      <c r="K1023" s="2" t="s">
        <v>74</v>
      </c>
      <c r="L1023" s="2" t="s">
        <v>74</v>
      </c>
      <c r="M1023" s="2" t="s">
        <v>74</v>
      </c>
      <c r="N1023" s="2" t="s">
        <v>74</v>
      </c>
      <c r="O1023" s="2" t="s">
        <v>74</v>
      </c>
      <c r="P1023" s="2" t="s">
        <v>74</v>
      </c>
      <c r="Q1023" s="2" t="s">
        <v>74</v>
      </c>
      <c r="R1023" s="2" t="s">
        <v>74</v>
      </c>
      <c r="S1023" s="2" t="s">
        <v>74</v>
      </c>
      <c r="T1023" s="2" t="s">
        <v>74</v>
      </c>
      <c r="U1023" s="2" t="s">
        <v>74</v>
      </c>
      <c r="V1023" s="5" t="s">
        <v>4418</v>
      </c>
      <c r="W1023" s="2" t="s">
        <v>74</v>
      </c>
      <c r="X1023" s="2" t="s">
        <v>74</v>
      </c>
      <c r="Y1023" s="2" t="s">
        <v>74</v>
      </c>
      <c r="Z1023" s="2" t="s">
        <v>74</v>
      </c>
      <c r="AA1023" s="2" t="s">
        <v>4419</v>
      </c>
      <c r="AB1023" s="2" t="s">
        <v>4420</v>
      </c>
      <c r="AC1023" s="2" t="s">
        <v>74</v>
      </c>
      <c r="AD1023" s="2" t="s">
        <v>74</v>
      </c>
      <c r="AE1023" s="2" t="s">
        <v>74</v>
      </c>
      <c r="AF1023" s="2" t="s">
        <v>74</v>
      </c>
      <c r="AG1023" s="2" t="s">
        <v>74</v>
      </c>
      <c r="AH1023" s="2" t="s">
        <v>74</v>
      </c>
      <c r="AI1023" s="2" t="s">
        <v>74</v>
      </c>
      <c r="AJ1023" s="2" t="s">
        <v>74</v>
      </c>
      <c r="AK1023" s="2" t="s">
        <v>74</v>
      </c>
      <c r="AL1023" s="2" t="s">
        <v>74</v>
      </c>
      <c r="AM1023" s="2" t="s">
        <v>74</v>
      </c>
      <c r="AN1023" s="2" t="s">
        <v>74</v>
      </c>
      <c r="AO1023" s="2" t="s">
        <v>4421</v>
      </c>
      <c r="AP1023" s="2" t="s">
        <v>4422</v>
      </c>
      <c r="AQ1023" s="2" t="s">
        <v>74</v>
      </c>
      <c r="AR1023" s="2" t="s">
        <v>74</v>
      </c>
      <c r="AS1023" s="2" t="s">
        <v>74</v>
      </c>
      <c r="AT1023" s="2" t="s">
        <v>305</v>
      </c>
      <c r="AU1023" s="2">
        <v>2022</v>
      </c>
      <c r="AV1023" s="2">
        <v>25</v>
      </c>
      <c r="AW1023" s="2">
        <v>4</v>
      </c>
      <c r="AX1023" s="2" t="s">
        <v>74</v>
      </c>
      <c r="AY1023" s="2" t="s">
        <v>74</v>
      </c>
      <c r="AZ1023" s="2" t="s">
        <v>74</v>
      </c>
      <c r="BA1023" s="2" t="s">
        <v>74</v>
      </c>
      <c r="BB1023" s="2" t="s">
        <v>74</v>
      </c>
      <c r="BC1023" s="2" t="s">
        <v>74</v>
      </c>
      <c r="BD1023" s="2" t="s">
        <v>4423</v>
      </c>
      <c r="BE1023" s="2" t="s">
        <v>4424</v>
      </c>
      <c r="BF1023" s="2" t="str">
        <f>HYPERLINK("http://dx.doi.org/10.1111/ens.12529","http://dx.doi.org/10.1111/ens.12529")</f>
        <v>http://dx.doi.org/10.1111/ens.12529</v>
      </c>
      <c r="BG1023" s="2" t="s">
        <v>74</v>
      </c>
      <c r="BH1023" s="2" t="s">
        <v>74</v>
      </c>
      <c r="BI1023" s="2" t="s">
        <v>74</v>
      </c>
      <c r="BJ1023" s="2" t="s">
        <v>74</v>
      </c>
      <c r="BK1023" s="2" t="s">
        <v>74</v>
      </c>
      <c r="BL1023" s="2" t="s">
        <v>74</v>
      </c>
      <c r="BM1023" s="2" t="s">
        <v>74</v>
      </c>
      <c r="BN1023" s="2" t="s">
        <v>74</v>
      </c>
      <c r="BO1023" s="2" t="s">
        <v>74</v>
      </c>
      <c r="BP1023" s="2" t="s">
        <v>74</v>
      </c>
      <c r="BQ1023" s="2" t="s">
        <v>74</v>
      </c>
      <c r="BR1023" s="2" t="s">
        <v>74</v>
      </c>
      <c r="BS1023" s="2" t="s">
        <v>4425</v>
      </c>
      <c r="BT1023" s="2" t="str">
        <f>HYPERLINK("https%3A%2F%2Fwww.webofscience.com%2Fwos%2Fwoscc%2Ffull-record%2FWOS:000888062100001","View Full Record in Web of Science")</f>
        <v>View Full Record in Web of Science</v>
      </c>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row>
    <row r="1024" spans="1:314" s="2" customFormat="1" x14ac:dyDescent="0.4">
      <c r="A1024" s="2" t="s">
        <v>72</v>
      </c>
      <c r="B1024" s="2" t="s">
        <v>550</v>
      </c>
      <c r="C1024" s="2" t="s">
        <v>74</v>
      </c>
      <c r="D1024" s="2" t="s">
        <v>74</v>
      </c>
      <c r="E1024" s="2" t="s">
        <v>74</v>
      </c>
      <c r="F1024" s="2" t="s">
        <v>551</v>
      </c>
      <c r="G1024" s="2" t="s">
        <v>74</v>
      </c>
      <c r="H1024" s="2" t="s">
        <v>74</v>
      </c>
      <c r="I1024" s="2" t="s">
        <v>552</v>
      </c>
      <c r="J1024" s="2" t="s">
        <v>553</v>
      </c>
      <c r="K1024" s="2" t="s">
        <v>74</v>
      </c>
      <c r="L1024" s="2" t="s">
        <v>74</v>
      </c>
      <c r="M1024" s="2" t="s">
        <v>74</v>
      </c>
      <c r="N1024" s="2" t="s">
        <v>74</v>
      </c>
      <c r="O1024" s="2" t="s">
        <v>74</v>
      </c>
      <c r="P1024" s="2" t="s">
        <v>74</v>
      </c>
      <c r="Q1024" s="2" t="s">
        <v>74</v>
      </c>
      <c r="R1024" s="2" t="s">
        <v>74</v>
      </c>
      <c r="S1024" s="2" t="s">
        <v>74</v>
      </c>
      <c r="T1024" s="2" t="s">
        <v>74</v>
      </c>
      <c r="U1024" s="2" t="s">
        <v>74</v>
      </c>
      <c r="V1024" s="5" t="s">
        <v>554</v>
      </c>
      <c r="W1024" s="2" t="s">
        <v>74</v>
      </c>
      <c r="X1024" s="2" t="s">
        <v>74</v>
      </c>
      <c r="Y1024" s="2" t="s">
        <v>74</v>
      </c>
      <c r="Z1024" s="2" t="s">
        <v>74</v>
      </c>
      <c r="AA1024" s="2" t="s">
        <v>74</v>
      </c>
      <c r="AB1024" s="2" t="s">
        <v>74</v>
      </c>
      <c r="AC1024" s="2" t="s">
        <v>74</v>
      </c>
      <c r="AD1024" s="2" t="s">
        <v>74</v>
      </c>
      <c r="AE1024" s="2" t="s">
        <v>74</v>
      </c>
      <c r="AF1024" s="2" t="s">
        <v>74</v>
      </c>
      <c r="AG1024" s="2" t="s">
        <v>74</v>
      </c>
      <c r="AH1024" s="2" t="s">
        <v>74</v>
      </c>
      <c r="AI1024" s="2" t="s">
        <v>74</v>
      </c>
      <c r="AJ1024" s="2" t="s">
        <v>74</v>
      </c>
      <c r="AK1024" s="2" t="s">
        <v>74</v>
      </c>
      <c r="AL1024" s="2" t="s">
        <v>74</v>
      </c>
      <c r="AM1024" s="2" t="s">
        <v>74</v>
      </c>
      <c r="AN1024" s="2" t="s">
        <v>74</v>
      </c>
      <c r="AO1024" s="2" t="s">
        <v>555</v>
      </c>
      <c r="AP1024" s="2" t="s">
        <v>556</v>
      </c>
      <c r="AQ1024" s="2" t="s">
        <v>74</v>
      </c>
      <c r="AR1024" s="2" t="s">
        <v>74</v>
      </c>
      <c r="AS1024" s="2" t="s">
        <v>74</v>
      </c>
      <c r="AT1024" s="2" t="s">
        <v>74</v>
      </c>
      <c r="AU1024" s="2">
        <v>2017</v>
      </c>
      <c r="AV1024" s="2">
        <v>30</v>
      </c>
      <c r="AW1024" s="2">
        <v>3</v>
      </c>
      <c r="AX1024" s="2" t="s">
        <v>74</v>
      </c>
      <c r="AY1024" s="2" t="s">
        <v>74</v>
      </c>
      <c r="AZ1024" s="2" t="s">
        <v>74</v>
      </c>
      <c r="BA1024" s="2" t="s">
        <v>74</v>
      </c>
      <c r="BB1024" s="2">
        <v>110</v>
      </c>
      <c r="BC1024" s="2">
        <v>124</v>
      </c>
      <c r="BD1024" s="2" t="s">
        <v>74</v>
      </c>
      <c r="BE1024" s="2" t="s">
        <v>557</v>
      </c>
      <c r="BF1024" s="2" t="str">
        <f>HYPERLINK("http://dx.doi.org/10.1080/03946975.2017.1345471","http://dx.doi.org/10.1080/03946975.2017.1345471")</f>
        <v>http://dx.doi.org/10.1080/03946975.2017.1345471</v>
      </c>
      <c r="BG1024" s="2" t="s">
        <v>74</v>
      </c>
      <c r="BH1024" s="2" t="s">
        <v>74</v>
      </c>
      <c r="BI1024" s="2" t="s">
        <v>74</v>
      </c>
      <c r="BJ1024" s="2" t="s">
        <v>74</v>
      </c>
      <c r="BK1024" s="2" t="s">
        <v>74</v>
      </c>
      <c r="BL1024" s="2" t="s">
        <v>74</v>
      </c>
      <c r="BM1024" s="2" t="s">
        <v>74</v>
      </c>
      <c r="BN1024" s="2" t="s">
        <v>74</v>
      </c>
      <c r="BO1024" s="2" t="s">
        <v>74</v>
      </c>
      <c r="BP1024" s="2" t="s">
        <v>74</v>
      </c>
      <c r="BQ1024" s="2" t="s">
        <v>74</v>
      </c>
      <c r="BR1024" s="2" t="s">
        <v>74</v>
      </c>
      <c r="BS1024" s="2" t="s">
        <v>558</v>
      </c>
      <c r="BT1024" s="2" t="str">
        <f>HYPERLINK("https%3A%2F%2Fwww.webofscience.com%2Fwos%2Fwoscc%2Ffull-record%2FWOS:000407553100002","View Full Record in Web of Science")</f>
        <v>View Full Record in Web of Science</v>
      </c>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row>
    <row r="1025" spans="1:314" s="2" customFormat="1" x14ac:dyDescent="0.4">
      <c r="A1025" s="2" t="s">
        <v>72</v>
      </c>
      <c r="B1025" s="2" t="s">
        <v>1339</v>
      </c>
      <c r="C1025" s="2" t="s">
        <v>74</v>
      </c>
      <c r="D1025" s="2" t="s">
        <v>74</v>
      </c>
      <c r="E1025" s="2" t="s">
        <v>74</v>
      </c>
      <c r="F1025" s="2" t="s">
        <v>1339</v>
      </c>
      <c r="G1025" s="2" t="s">
        <v>74</v>
      </c>
      <c r="H1025" s="2" t="s">
        <v>74</v>
      </c>
      <c r="I1025" s="2" t="s">
        <v>1340</v>
      </c>
      <c r="J1025" s="2" t="s">
        <v>1341</v>
      </c>
      <c r="K1025" s="2" t="s">
        <v>74</v>
      </c>
      <c r="L1025" s="2" t="s">
        <v>74</v>
      </c>
      <c r="M1025" s="2" t="s">
        <v>74</v>
      </c>
      <c r="N1025" s="2" t="s">
        <v>74</v>
      </c>
      <c r="O1025" s="2" t="s">
        <v>74</v>
      </c>
      <c r="P1025" s="2" t="s">
        <v>74</v>
      </c>
      <c r="Q1025" s="2" t="s">
        <v>74</v>
      </c>
      <c r="R1025" s="2" t="s">
        <v>74</v>
      </c>
      <c r="S1025" s="2" t="s">
        <v>74</v>
      </c>
      <c r="T1025" s="2" t="s">
        <v>74</v>
      </c>
      <c r="U1025" s="2" t="s">
        <v>74</v>
      </c>
      <c r="V1025" s="5" t="s">
        <v>1342</v>
      </c>
      <c r="W1025" s="2" t="s">
        <v>74</v>
      </c>
      <c r="X1025" s="2" t="s">
        <v>74</v>
      </c>
      <c r="Y1025" s="2" t="s">
        <v>74</v>
      </c>
      <c r="Z1025" s="2" t="s">
        <v>74</v>
      </c>
      <c r="AA1025" s="2" t="s">
        <v>74</v>
      </c>
      <c r="AB1025" s="2" t="s">
        <v>74</v>
      </c>
      <c r="AC1025" s="2" t="s">
        <v>74</v>
      </c>
      <c r="AD1025" s="2" t="s">
        <v>74</v>
      </c>
      <c r="AE1025" s="2" t="s">
        <v>74</v>
      </c>
      <c r="AF1025" s="2" t="s">
        <v>74</v>
      </c>
      <c r="AG1025" s="2" t="s">
        <v>74</v>
      </c>
      <c r="AH1025" s="2" t="s">
        <v>74</v>
      </c>
      <c r="AI1025" s="2" t="s">
        <v>74</v>
      </c>
      <c r="AJ1025" s="2" t="s">
        <v>74</v>
      </c>
      <c r="AK1025" s="2" t="s">
        <v>74</v>
      </c>
      <c r="AL1025" s="2" t="s">
        <v>74</v>
      </c>
      <c r="AM1025" s="2" t="s">
        <v>74</v>
      </c>
      <c r="AN1025" s="2" t="s">
        <v>74</v>
      </c>
      <c r="AO1025" s="2" t="s">
        <v>1343</v>
      </c>
      <c r="AP1025" s="2" t="s">
        <v>74</v>
      </c>
      <c r="AQ1025" s="2" t="s">
        <v>74</v>
      </c>
      <c r="AR1025" s="2" t="s">
        <v>74</v>
      </c>
      <c r="AS1025" s="2" t="s">
        <v>74</v>
      </c>
      <c r="AT1025" s="2" t="s">
        <v>123</v>
      </c>
      <c r="AU1025" s="2">
        <v>1996</v>
      </c>
      <c r="AV1025" s="2">
        <v>42</v>
      </c>
      <c r="AW1025" s="2">
        <v>3</v>
      </c>
      <c r="AX1025" s="2" t="s">
        <v>74</v>
      </c>
      <c r="AY1025" s="2" t="s">
        <v>74</v>
      </c>
      <c r="AZ1025" s="2" t="s">
        <v>74</v>
      </c>
      <c r="BA1025" s="2" t="s">
        <v>74</v>
      </c>
      <c r="BB1025" s="2">
        <v>287</v>
      </c>
      <c r="BC1025" s="2">
        <v>294</v>
      </c>
      <c r="BD1025" s="2" t="s">
        <v>74</v>
      </c>
      <c r="BE1025" s="2" t="s">
        <v>1344</v>
      </c>
      <c r="BF1025" s="2" t="str">
        <f>HYPERLINK("http://dx.doi.org/10.1016/0022-1910(95)00115-8","http://dx.doi.org/10.1016/0022-1910(95)00115-8")</f>
        <v>http://dx.doi.org/10.1016/0022-1910(95)00115-8</v>
      </c>
      <c r="BG1025" s="2" t="s">
        <v>74</v>
      </c>
      <c r="BH1025" s="2" t="s">
        <v>74</v>
      </c>
      <c r="BI1025" s="2" t="s">
        <v>74</v>
      </c>
      <c r="BJ1025" s="2" t="s">
        <v>74</v>
      </c>
      <c r="BK1025" s="2" t="s">
        <v>74</v>
      </c>
      <c r="BL1025" s="2" t="s">
        <v>74</v>
      </c>
      <c r="BM1025" s="2" t="s">
        <v>74</v>
      </c>
      <c r="BN1025" s="2" t="s">
        <v>74</v>
      </c>
      <c r="BO1025" s="2" t="s">
        <v>74</v>
      </c>
      <c r="BP1025" s="2" t="s">
        <v>74</v>
      </c>
      <c r="BQ1025" s="2" t="s">
        <v>74</v>
      </c>
      <c r="BR1025" s="2" t="s">
        <v>74</v>
      </c>
      <c r="BS1025" s="2" t="s">
        <v>1345</v>
      </c>
      <c r="BT1025" s="2" t="str">
        <f>HYPERLINK("https%3A%2F%2Fwww.webofscience.com%2Fwos%2Fwoscc%2Ffull-record%2FWOS:A1996TZ11300012","View Full Record in Web of Science")</f>
        <v>View Full Record in Web of Science</v>
      </c>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row>
    <row r="1026" spans="1:314" s="2" customFormat="1" x14ac:dyDescent="0.4">
      <c r="A1026" s="2" t="s">
        <v>72</v>
      </c>
      <c r="B1026" s="2" t="s">
        <v>7184</v>
      </c>
      <c r="C1026" s="2" t="s">
        <v>74</v>
      </c>
      <c r="D1026" s="2" t="s">
        <v>74</v>
      </c>
      <c r="E1026" s="2" t="s">
        <v>74</v>
      </c>
      <c r="F1026" s="2" t="s">
        <v>7185</v>
      </c>
      <c r="G1026" s="2" t="s">
        <v>74</v>
      </c>
      <c r="H1026" s="2" t="s">
        <v>74</v>
      </c>
      <c r="I1026" s="2" t="s">
        <v>7186</v>
      </c>
      <c r="J1026" s="2" t="s">
        <v>1341</v>
      </c>
      <c r="K1026" s="2" t="s">
        <v>74</v>
      </c>
      <c r="L1026" s="2" t="s">
        <v>74</v>
      </c>
      <c r="M1026" s="2" t="s">
        <v>74</v>
      </c>
      <c r="N1026" s="2" t="s">
        <v>74</v>
      </c>
      <c r="O1026" s="2" t="s">
        <v>74</v>
      </c>
      <c r="P1026" s="2" t="s">
        <v>74</v>
      </c>
      <c r="Q1026" s="2" t="s">
        <v>74</v>
      </c>
      <c r="R1026" s="2" t="s">
        <v>74</v>
      </c>
      <c r="S1026" s="2" t="s">
        <v>74</v>
      </c>
      <c r="T1026" s="2" t="s">
        <v>74</v>
      </c>
      <c r="U1026" s="2" t="s">
        <v>74</v>
      </c>
      <c r="V1026" s="5" t="s">
        <v>7187</v>
      </c>
      <c r="W1026" s="2" t="s">
        <v>74</v>
      </c>
      <c r="X1026" s="2" t="s">
        <v>74</v>
      </c>
      <c r="Y1026" s="2" t="s">
        <v>74</v>
      </c>
      <c r="Z1026" s="2" t="s">
        <v>74</v>
      </c>
      <c r="AA1026" s="2" t="s">
        <v>74</v>
      </c>
      <c r="AB1026" s="2" t="s">
        <v>74</v>
      </c>
      <c r="AC1026" s="2" t="s">
        <v>74</v>
      </c>
      <c r="AD1026" s="2" t="s">
        <v>74</v>
      </c>
      <c r="AE1026" s="2" t="s">
        <v>74</v>
      </c>
      <c r="AF1026" s="2" t="s">
        <v>74</v>
      </c>
      <c r="AG1026" s="2" t="s">
        <v>74</v>
      </c>
      <c r="AH1026" s="2" t="s">
        <v>74</v>
      </c>
      <c r="AI1026" s="2" t="s">
        <v>74</v>
      </c>
      <c r="AJ1026" s="2" t="s">
        <v>74</v>
      </c>
      <c r="AK1026" s="2" t="s">
        <v>74</v>
      </c>
      <c r="AL1026" s="2" t="s">
        <v>74</v>
      </c>
      <c r="AM1026" s="2" t="s">
        <v>74</v>
      </c>
      <c r="AN1026" s="2" t="s">
        <v>74</v>
      </c>
      <c r="AO1026" s="2" t="s">
        <v>1343</v>
      </c>
      <c r="AP1026" s="2" t="s">
        <v>3686</v>
      </c>
      <c r="AQ1026" s="2" t="s">
        <v>74</v>
      </c>
      <c r="AR1026" s="2" t="s">
        <v>74</v>
      </c>
      <c r="AS1026" s="2" t="s">
        <v>74</v>
      </c>
      <c r="AT1026" s="2" t="s">
        <v>145</v>
      </c>
      <c r="AU1026" s="2">
        <v>2012</v>
      </c>
      <c r="AV1026" s="2">
        <v>58</v>
      </c>
      <c r="AW1026" s="2">
        <v>8</v>
      </c>
      <c r="AX1026" s="2" t="s">
        <v>74</v>
      </c>
      <c r="AY1026" s="2" t="s">
        <v>74</v>
      </c>
      <c r="AZ1026" s="2" t="s">
        <v>74</v>
      </c>
      <c r="BA1026" s="2" t="s">
        <v>74</v>
      </c>
      <c r="BB1026" s="2">
        <v>1060</v>
      </c>
      <c r="BC1026" s="2">
        <v>1071</v>
      </c>
      <c r="BD1026" s="2" t="s">
        <v>74</v>
      </c>
      <c r="BE1026" s="2" t="s">
        <v>7188</v>
      </c>
      <c r="BF1026" s="2" t="str">
        <f>HYPERLINK("http://dx.doi.org/10.1016/j.jinsphys.2012.04.005","http://dx.doi.org/10.1016/j.jinsphys.2012.04.005")</f>
        <v>http://dx.doi.org/10.1016/j.jinsphys.2012.04.005</v>
      </c>
      <c r="BG1026" s="2" t="s">
        <v>74</v>
      </c>
      <c r="BH1026" s="2" t="s">
        <v>74</v>
      </c>
      <c r="BI1026" s="2" t="s">
        <v>74</v>
      </c>
      <c r="BJ1026" s="2" t="s">
        <v>74</v>
      </c>
      <c r="BK1026" s="2" t="s">
        <v>74</v>
      </c>
      <c r="BL1026" s="2" t="s">
        <v>74</v>
      </c>
      <c r="BM1026" s="2" t="s">
        <v>74</v>
      </c>
      <c r="BN1026" s="2">
        <v>22546561</v>
      </c>
      <c r="BO1026" s="2" t="s">
        <v>74</v>
      </c>
      <c r="BP1026" s="2" t="s">
        <v>74</v>
      </c>
      <c r="BQ1026" s="2" t="s">
        <v>74</v>
      </c>
      <c r="BR1026" s="2" t="s">
        <v>74</v>
      </c>
      <c r="BS1026" s="2" t="s">
        <v>7189</v>
      </c>
      <c r="BT1026" s="2" t="str">
        <f>HYPERLINK("https%3A%2F%2Fwww.webofscience.com%2Fwos%2Fwoscc%2Ffull-record%2FWOS:000307154600004","View Full Record in Web of Science")</f>
        <v>View Full Record in Web of Science</v>
      </c>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row>
    <row r="1027" spans="1:314" s="2" customFormat="1" x14ac:dyDescent="0.4">
      <c r="A1027" s="2" t="s">
        <v>72</v>
      </c>
      <c r="B1027" s="2" t="s">
        <v>677</v>
      </c>
      <c r="C1027" s="2" t="s">
        <v>74</v>
      </c>
      <c r="D1027" s="2" t="s">
        <v>74</v>
      </c>
      <c r="E1027" s="2" t="s">
        <v>74</v>
      </c>
      <c r="F1027" s="2" t="s">
        <v>677</v>
      </c>
      <c r="G1027" s="2" t="s">
        <v>74</v>
      </c>
      <c r="H1027" s="2" t="s">
        <v>74</v>
      </c>
      <c r="I1027" s="2" t="s">
        <v>678</v>
      </c>
      <c r="J1027" s="2" t="s">
        <v>509</v>
      </c>
      <c r="K1027" s="2" t="s">
        <v>74</v>
      </c>
      <c r="L1027" s="2" t="s">
        <v>74</v>
      </c>
      <c r="M1027" s="2" t="s">
        <v>74</v>
      </c>
      <c r="N1027" s="2" t="s">
        <v>74</v>
      </c>
      <c r="O1027" s="2" t="s">
        <v>74</v>
      </c>
      <c r="P1027" s="2" t="s">
        <v>74</v>
      </c>
      <c r="Q1027" s="2" t="s">
        <v>74</v>
      </c>
      <c r="R1027" s="2" t="s">
        <v>74</v>
      </c>
      <c r="S1027" s="2" t="s">
        <v>74</v>
      </c>
      <c r="T1027" s="2" t="s">
        <v>74</v>
      </c>
      <c r="U1027" s="2" t="s">
        <v>74</v>
      </c>
      <c r="V1027" s="5" t="s">
        <v>679</v>
      </c>
      <c r="W1027" s="2" t="s">
        <v>74</v>
      </c>
      <c r="X1027" s="2" t="s">
        <v>74</v>
      </c>
      <c r="Y1027" s="2" t="s">
        <v>74</v>
      </c>
      <c r="Z1027" s="2" t="s">
        <v>74</v>
      </c>
      <c r="AA1027" s="2" t="s">
        <v>74</v>
      </c>
      <c r="AB1027" s="2" t="s">
        <v>74</v>
      </c>
      <c r="AC1027" s="2" t="s">
        <v>74</v>
      </c>
      <c r="AD1027" s="2" t="s">
        <v>74</v>
      </c>
      <c r="AE1027" s="2" t="s">
        <v>74</v>
      </c>
      <c r="AF1027" s="2" t="s">
        <v>74</v>
      </c>
      <c r="AG1027" s="2" t="s">
        <v>74</v>
      </c>
      <c r="AH1027" s="2" t="s">
        <v>74</v>
      </c>
      <c r="AI1027" s="2" t="s">
        <v>74</v>
      </c>
      <c r="AJ1027" s="2" t="s">
        <v>74</v>
      </c>
      <c r="AK1027" s="2" t="s">
        <v>74</v>
      </c>
      <c r="AL1027" s="2" t="s">
        <v>74</v>
      </c>
      <c r="AM1027" s="2" t="s">
        <v>74</v>
      </c>
      <c r="AN1027" s="2" t="s">
        <v>74</v>
      </c>
      <c r="AO1027" s="2" t="s">
        <v>511</v>
      </c>
      <c r="AP1027" s="2" t="s">
        <v>512</v>
      </c>
      <c r="AQ1027" s="2" t="s">
        <v>74</v>
      </c>
      <c r="AR1027" s="2" t="s">
        <v>74</v>
      </c>
      <c r="AS1027" s="2" t="s">
        <v>74</v>
      </c>
      <c r="AT1027" s="2" t="s">
        <v>102</v>
      </c>
      <c r="AU1027" s="2">
        <v>1987</v>
      </c>
      <c r="AV1027" s="2">
        <v>21</v>
      </c>
      <c r="AW1027" s="2">
        <v>2</v>
      </c>
      <c r="AX1027" s="2" t="s">
        <v>74</v>
      </c>
      <c r="AY1027" s="2" t="s">
        <v>74</v>
      </c>
      <c r="AZ1027" s="2" t="s">
        <v>74</v>
      </c>
      <c r="BA1027" s="2" t="s">
        <v>74</v>
      </c>
      <c r="BB1027" s="2">
        <v>234</v>
      </c>
      <c r="BC1027" s="2">
        <v>244</v>
      </c>
      <c r="BD1027" s="2" t="s">
        <v>74</v>
      </c>
      <c r="BE1027" s="2" t="s">
        <v>680</v>
      </c>
      <c r="BF1027" s="2" t="str">
        <f>HYPERLINK("http://dx.doi.org/10.1016/0018-506X(87)90048-1","http://dx.doi.org/10.1016/0018-506X(87)90048-1")</f>
        <v>http://dx.doi.org/10.1016/0018-506X(87)90048-1</v>
      </c>
      <c r="BG1027" s="2" t="s">
        <v>74</v>
      </c>
      <c r="BH1027" s="2" t="s">
        <v>74</v>
      </c>
      <c r="BI1027" s="2" t="s">
        <v>74</v>
      </c>
      <c r="BJ1027" s="2" t="s">
        <v>74</v>
      </c>
      <c r="BK1027" s="2" t="s">
        <v>74</v>
      </c>
      <c r="BL1027" s="2" t="s">
        <v>74</v>
      </c>
      <c r="BM1027" s="2" t="s">
        <v>74</v>
      </c>
      <c r="BN1027" s="2">
        <v>3610060</v>
      </c>
      <c r="BO1027" s="2" t="s">
        <v>74</v>
      </c>
      <c r="BP1027" s="2" t="s">
        <v>74</v>
      </c>
      <c r="BQ1027" s="2" t="s">
        <v>74</v>
      </c>
      <c r="BR1027" s="2" t="s">
        <v>74</v>
      </c>
      <c r="BS1027" s="2" t="s">
        <v>681</v>
      </c>
      <c r="BT1027" s="2" t="str">
        <f>HYPERLINK("https%3A%2F%2Fwww.webofscience.com%2Fwos%2Fwoscc%2Ffull-record%2FWOS:A1987H984200009","View Full Record in Web of Science")</f>
        <v>View Full Record in Web of Science</v>
      </c>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row>
    <row r="1028" spans="1:314" s="1" customFormat="1" x14ac:dyDescent="0.4">
      <c r="A1028" s="2" t="s">
        <v>72</v>
      </c>
      <c r="B1028" s="2" t="s">
        <v>978</v>
      </c>
      <c r="C1028" s="2" t="s">
        <v>74</v>
      </c>
      <c r="D1028" s="2" t="s">
        <v>74</v>
      </c>
      <c r="E1028" s="2" t="s">
        <v>74</v>
      </c>
      <c r="F1028" s="2" t="s">
        <v>978</v>
      </c>
      <c r="G1028" s="2" t="s">
        <v>74</v>
      </c>
      <c r="H1028" s="2" t="s">
        <v>74</v>
      </c>
      <c r="I1028" s="2" t="s">
        <v>979</v>
      </c>
      <c r="J1028" s="2" t="s">
        <v>691</v>
      </c>
      <c r="K1028" s="2" t="s">
        <v>74</v>
      </c>
      <c r="L1028" s="2" t="s">
        <v>74</v>
      </c>
      <c r="M1028" s="2" t="s">
        <v>74</v>
      </c>
      <c r="N1028" s="2" t="s">
        <v>74</v>
      </c>
      <c r="O1028" s="2" t="s">
        <v>74</v>
      </c>
      <c r="P1028" s="2" t="s">
        <v>74</v>
      </c>
      <c r="Q1028" s="2" t="s">
        <v>74</v>
      </c>
      <c r="R1028" s="2" t="s">
        <v>74</v>
      </c>
      <c r="S1028" s="2" t="s">
        <v>74</v>
      </c>
      <c r="T1028" s="2" t="s">
        <v>74</v>
      </c>
      <c r="U1028" s="2" t="s">
        <v>74</v>
      </c>
      <c r="V1028" s="5" t="s">
        <v>980</v>
      </c>
      <c r="W1028" s="2" t="s">
        <v>74</v>
      </c>
      <c r="X1028" s="2" t="s">
        <v>74</v>
      </c>
      <c r="Y1028" s="2" t="s">
        <v>74</v>
      </c>
      <c r="Z1028" s="2" t="s">
        <v>74</v>
      </c>
      <c r="AA1028" s="2" t="s">
        <v>74</v>
      </c>
      <c r="AB1028" s="2" t="s">
        <v>74</v>
      </c>
      <c r="AC1028" s="2" t="s">
        <v>74</v>
      </c>
      <c r="AD1028" s="2" t="s">
        <v>74</v>
      </c>
      <c r="AE1028" s="2" t="s">
        <v>74</v>
      </c>
      <c r="AF1028" s="2" t="s">
        <v>74</v>
      </c>
      <c r="AG1028" s="2" t="s">
        <v>74</v>
      </c>
      <c r="AH1028" s="2" t="s">
        <v>74</v>
      </c>
      <c r="AI1028" s="2" t="s">
        <v>74</v>
      </c>
      <c r="AJ1028" s="2" t="s">
        <v>74</v>
      </c>
      <c r="AK1028" s="2" t="s">
        <v>74</v>
      </c>
      <c r="AL1028" s="2" t="s">
        <v>74</v>
      </c>
      <c r="AM1028" s="2" t="s">
        <v>74</v>
      </c>
      <c r="AN1028" s="2" t="s">
        <v>74</v>
      </c>
      <c r="AO1028" s="2" t="s">
        <v>695</v>
      </c>
      <c r="AP1028" s="2" t="s">
        <v>981</v>
      </c>
      <c r="AQ1028" s="2" t="s">
        <v>74</v>
      </c>
      <c r="AR1028" s="2" t="s">
        <v>74</v>
      </c>
      <c r="AS1028" s="2" t="s">
        <v>74</v>
      </c>
      <c r="AT1028" s="2" t="s">
        <v>74</v>
      </c>
      <c r="AU1028" s="2">
        <v>1984</v>
      </c>
      <c r="AV1028" s="2">
        <v>32</v>
      </c>
      <c r="AW1028" s="2">
        <v>4</v>
      </c>
      <c r="AX1028" s="2" t="s">
        <v>74</v>
      </c>
      <c r="AY1028" s="2" t="s">
        <v>74</v>
      </c>
      <c r="AZ1028" s="2" t="s">
        <v>74</v>
      </c>
      <c r="BA1028" s="2" t="s">
        <v>74</v>
      </c>
      <c r="BB1028" s="2">
        <v>541</v>
      </c>
      <c r="BC1028" s="2">
        <v>546</v>
      </c>
      <c r="BD1028" s="2" t="s">
        <v>74</v>
      </c>
      <c r="BE1028" s="2" t="s">
        <v>982</v>
      </c>
      <c r="BF1028" s="2" t="str">
        <f>HYPERLINK("http://dx.doi.org/10.1016/0031-9384(84)90307-X","http://dx.doi.org/10.1016/0031-9384(84)90307-X")</f>
        <v>http://dx.doi.org/10.1016/0031-9384(84)90307-X</v>
      </c>
      <c r="BG1028" s="2" t="s">
        <v>74</v>
      </c>
      <c r="BH1028" s="2" t="s">
        <v>74</v>
      </c>
      <c r="BI1028" s="2" t="s">
        <v>74</v>
      </c>
      <c r="BJ1028" s="2" t="s">
        <v>74</v>
      </c>
      <c r="BK1028" s="2" t="s">
        <v>74</v>
      </c>
      <c r="BL1028" s="2" t="s">
        <v>74</v>
      </c>
      <c r="BM1028" s="2" t="s">
        <v>74</v>
      </c>
      <c r="BN1028" s="2">
        <v>6541348</v>
      </c>
      <c r="BO1028" s="2" t="s">
        <v>74</v>
      </c>
      <c r="BP1028" s="2" t="s">
        <v>74</v>
      </c>
      <c r="BQ1028" s="2" t="s">
        <v>74</v>
      </c>
      <c r="BR1028" s="2" t="s">
        <v>74</v>
      </c>
      <c r="BS1028" s="2" t="s">
        <v>983</v>
      </c>
      <c r="BT1028" s="2" t="str">
        <f>HYPERLINK("https%3A%2F%2Fwww.webofscience.com%2Fwos%2Fwoscc%2Ffull-record%2FWOS:A1984SV55800004","View Full Record in Web of Science")</f>
        <v>View Full Record in Web of Science</v>
      </c>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row>
    <row r="1029" spans="1:314" s="1" customFormat="1" x14ac:dyDescent="0.4">
      <c r="A1029" s="2" t="s">
        <v>72</v>
      </c>
      <c r="B1029" s="2" t="s">
        <v>3232</v>
      </c>
      <c r="C1029" s="2" t="s">
        <v>74</v>
      </c>
      <c r="D1029" s="2" t="s">
        <v>74</v>
      </c>
      <c r="E1029" s="2" t="s">
        <v>74</v>
      </c>
      <c r="F1029" s="2" t="s">
        <v>3232</v>
      </c>
      <c r="G1029" s="2" t="s">
        <v>74</v>
      </c>
      <c r="H1029" s="2" t="s">
        <v>74</v>
      </c>
      <c r="I1029" s="2" t="s">
        <v>3233</v>
      </c>
      <c r="J1029" s="2" t="s">
        <v>1126</v>
      </c>
      <c r="K1029" s="2" t="s">
        <v>74</v>
      </c>
      <c r="L1029" s="2" t="s">
        <v>74</v>
      </c>
      <c r="M1029" s="2" t="s">
        <v>74</v>
      </c>
      <c r="N1029" s="2" t="s">
        <v>74</v>
      </c>
      <c r="O1029" s="2" t="s">
        <v>74</v>
      </c>
      <c r="P1029" s="2" t="s">
        <v>74</v>
      </c>
      <c r="Q1029" s="2" t="s">
        <v>74</v>
      </c>
      <c r="R1029" s="2" t="s">
        <v>74</v>
      </c>
      <c r="S1029" s="2" t="s">
        <v>74</v>
      </c>
      <c r="T1029" s="2" t="s">
        <v>74</v>
      </c>
      <c r="U1029" s="2" t="s">
        <v>74</v>
      </c>
      <c r="V1029" s="5" t="s">
        <v>3234</v>
      </c>
      <c r="W1029" s="2" t="s">
        <v>74</v>
      </c>
      <c r="X1029" s="2" t="s">
        <v>74</v>
      </c>
      <c r="Y1029" s="2" t="s">
        <v>74</v>
      </c>
      <c r="Z1029" s="2" t="s">
        <v>74</v>
      </c>
      <c r="AA1029" s="2" t="s">
        <v>74</v>
      </c>
      <c r="AB1029" s="2" t="s">
        <v>74</v>
      </c>
      <c r="AC1029" s="2" t="s">
        <v>74</v>
      </c>
      <c r="AD1029" s="2" t="s">
        <v>74</v>
      </c>
      <c r="AE1029" s="2" t="s">
        <v>74</v>
      </c>
      <c r="AF1029" s="2" t="s">
        <v>74</v>
      </c>
      <c r="AG1029" s="2" t="s">
        <v>74</v>
      </c>
      <c r="AH1029" s="2" t="s">
        <v>74</v>
      </c>
      <c r="AI1029" s="2" t="s">
        <v>74</v>
      </c>
      <c r="AJ1029" s="2" t="s">
        <v>74</v>
      </c>
      <c r="AK1029" s="2" t="s">
        <v>74</v>
      </c>
      <c r="AL1029" s="2" t="s">
        <v>74</v>
      </c>
      <c r="AM1029" s="2" t="s">
        <v>74</v>
      </c>
      <c r="AN1029" s="2" t="s">
        <v>74</v>
      </c>
      <c r="AO1029" s="2" t="s">
        <v>1128</v>
      </c>
      <c r="AP1029" s="2" t="s">
        <v>1129</v>
      </c>
      <c r="AQ1029" s="2" t="s">
        <v>74</v>
      </c>
      <c r="AR1029" s="2" t="s">
        <v>74</v>
      </c>
      <c r="AS1029" s="2" t="s">
        <v>74</v>
      </c>
      <c r="AT1029" s="2" t="s">
        <v>1146</v>
      </c>
      <c r="AU1029" s="2">
        <v>1991</v>
      </c>
      <c r="AV1029" s="2" t="s">
        <v>74</v>
      </c>
      <c r="AW1029" s="2">
        <v>3</v>
      </c>
      <c r="AX1029" s="2" t="s">
        <v>74</v>
      </c>
      <c r="AY1029" s="2" t="s">
        <v>74</v>
      </c>
      <c r="AZ1029" s="2" t="s">
        <v>74</v>
      </c>
      <c r="BA1029" s="2" t="s">
        <v>74</v>
      </c>
      <c r="BB1029" s="2">
        <v>800</v>
      </c>
      <c r="BC1029" s="2">
        <v>809</v>
      </c>
      <c r="BD1029" s="2" t="s">
        <v>74</v>
      </c>
      <c r="BE1029" s="2" t="s">
        <v>74</v>
      </c>
      <c r="BF1029" s="2" t="s">
        <v>74</v>
      </c>
      <c r="BG1029" s="2" t="s">
        <v>74</v>
      </c>
      <c r="BH1029" s="2" t="s">
        <v>74</v>
      </c>
      <c r="BI1029" s="2" t="s">
        <v>74</v>
      </c>
      <c r="BJ1029" s="2" t="s">
        <v>74</v>
      </c>
      <c r="BK1029" s="2" t="s">
        <v>74</v>
      </c>
      <c r="BL1029" s="2" t="s">
        <v>74</v>
      </c>
      <c r="BM1029" s="2" t="s">
        <v>74</v>
      </c>
      <c r="BN1029" s="2" t="s">
        <v>74</v>
      </c>
      <c r="BO1029" s="2" t="s">
        <v>74</v>
      </c>
      <c r="BP1029" s="2" t="s">
        <v>74</v>
      </c>
      <c r="BQ1029" s="2" t="s">
        <v>74</v>
      </c>
      <c r="BR1029" s="2" t="s">
        <v>74</v>
      </c>
      <c r="BS1029" s="2" t="s">
        <v>3235</v>
      </c>
      <c r="BT1029" s="2" t="str">
        <f>HYPERLINK("https%3A%2F%2Fwww.webofscience.com%2Fwos%2Fwoscc%2Ffull-record%2FWOS:A1991FZ81200023","View Full Record in Web of Science")</f>
        <v>View Full Record in Web of Science</v>
      </c>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row>
    <row r="1030" spans="1:314" s="2" customFormat="1" x14ac:dyDescent="0.4">
      <c r="A1030" s="2" t="s">
        <v>72</v>
      </c>
      <c r="B1030" s="2" t="s">
        <v>3697</v>
      </c>
      <c r="C1030" s="2" t="s">
        <v>74</v>
      </c>
      <c r="D1030" s="2" t="s">
        <v>74</v>
      </c>
      <c r="E1030" s="2" t="s">
        <v>74</v>
      </c>
      <c r="F1030" s="2" t="s">
        <v>3698</v>
      </c>
      <c r="G1030" s="2" t="s">
        <v>74</v>
      </c>
      <c r="H1030" s="2" t="s">
        <v>74</v>
      </c>
      <c r="I1030" s="2" t="s">
        <v>3699</v>
      </c>
      <c r="J1030" s="2" t="s">
        <v>140</v>
      </c>
      <c r="K1030" s="2" t="s">
        <v>74</v>
      </c>
      <c r="L1030" s="2" t="s">
        <v>74</v>
      </c>
      <c r="M1030" s="2" t="s">
        <v>74</v>
      </c>
      <c r="N1030" s="2" t="s">
        <v>74</v>
      </c>
      <c r="O1030" s="2" t="s">
        <v>74</v>
      </c>
      <c r="P1030" s="2" t="s">
        <v>74</v>
      </c>
      <c r="Q1030" s="2" t="s">
        <v>74</v>
      </c>
      <c r="R1030" s="2" t="s">
        <v>74</v>
      </c>
      <c r="S1030" s="2" t="s">
        <v>74</v>
      </c>
      <c r="T1030" s="2" t="s">
        <v>74</v>
      </c>
      <c r="U1030" s="2" t="s">
        <v>74</v>
      </c>
      <c r="V1030" s="5" t="s">
        <v>3700</v>
      </c>
      <c r="W1030" s="2" t="s">
        <v>74</v>
      </c>
      <c r="X1030" s="2" t="s">
        <v>74</v>
      </c>
      <c r="Y1030" s="2" t="s">
        <v>74</v>
      </c>
      <c r="Z1030" s="2" t="s">
        <v>74</v>
      </c>
      <c r="AA1030" s="2" t="s">
        <v>74</v>
      </c>
      <c r="AB1030" s="2" t="s">
        <v>74</v>
      </c>
      <c r="AC1030" s="2" t="s">
        <v>74</v>
      </c>
      <c r="AD1030" s="2" t="s">
        <v>74</v>
      </c>
      <c r="AE1030" s="2" t="s">
        <v>74</v>
      </c>
      <c r="AF1030" s="2" t="s">
        <v>74</v>
      </c>
      <c r="AG1030" s="2" t="s">
        <v>74</v>
      </c>
      <c r="AH1030" s="2" t="s">
        <v>74</v>
      </c>
      <c r="AI1030" s="2" t="s">
        <v>74</v>
      </c>
      <c r="AJ1030" s="2" t="s">
        <v>74</v>
      </c>
      <c r="AK1030" s="2" t="s">
        <v>74</v>
      </c>
      <c r="AL1030" s="2" t="s">
        <v>74</v>
      </c>
      <c r="AM1030" s="2" t="s">
        <v>74</v>
      </c>
      <c r="AN1030" s="2" t="s">
        <v>74</v>
      </c>
      <c r="AO1030" s="2" t="s">
        <v>143</v>
      </c>
      <c r="AP1030" s="2" t="s">
        <v>144</v>
      </c>
      <c r="AQ1030" s="2" t="s">
        <v>74</v>
      </c>
      <c r="AR1030" s="2" t="s">
        <v>74</v>
      </c>
      <c r="AS1030" s="2" t="s">
        <v>74</v>
      </c>
      <c r="AT1030" s="2" t="s">
        <v>204</v>
      </c>
      <c r="AU1030" s="2">
        <v>2014</v>
      </c>
      <c r="AV1030" s="2">
        <v>93</v>
      </c>
      <c r="AW1030" s="2" t="s">
        <v>74</v>
      </c>
      <c r="AX1030" s="2" t="s">
        <v>74</v>
      </c>
      <c r="AY1030" s="2" t="s">
        <v>74</v>
      </c>
      <c r="AZ1030" s="2" t="s">
        <v>74</v>
      </c>
      <c r="BA1030" s="2" t="s">
        <v>74</v>
      </c>
      <c r="BB1030" s="2">
        <v>267</v>
      </c>
      <c r="BC1030" s="2">
        <v>278</v>
      </c>
      <c r="BD1030" s="2" t="s">
        <v>74</v>
      </c>
      <c r="BE1030" s="2" t="s">
        <v>3701</v>
      </c>
      <c r="BF1030" s="2" t="str">
        <f>HYPERLINK("http://dx.doi.org/10.1016/j.anbehav.2014.05.005","http://dx.doi.org/10.1016/j.anbehav.2014.05.005")</f>
        <v>http://dx.doi.org/10.1016/j.anbehav.2014.05.005</v>
      </c>
      <c r="BG1030" s="2" t="s">
        <v>74</v>
      </c>
      <c r="BH1030" s="2" t="s">
        <v>74</v>
      </c>
      <c r="BI1030" s="2" t="s">
        <v>74</v>
      </c>
      <c r="BJ1030" s="2" t="s">
        <v>74</v>
      </c>
      <c r="BK1030" s="2" t="s">
        <v>74</v>
      </c>
      <c r="BL1030" s="2" t="s">
        <v>74</v>
      </c>
      <c r="BM1030" s="2" t="s">
        <v>74</v>
      </c>
      <c r="BN1030" s="2" t="s">
        <v>74</v>
      </c>
      <c r="BO1030" s="2" t="s">
        <v>74</v>
      </c>
      <c r="BP1030" s="2" t="s">
        <v>74</v>
      </c>
      <c r="BQ1030" s="2" t="s">
        <v>74</v>
      </c>
      <c r="BR1030" s="2" t="s">
        <v>74</v>
      </c>
      <c r="BS1030" s="2" t="s">
        <v>3702</v>
      </c>
      <c r="BT1030" s="2" t="str">
        <f>HYPERLINK("https%3A%2F%2Fwww.webofscience.com%2Fwos%2Fwoscc%2Ffull-record%2FWOS:000338712900033","View Full Record in Web of Science")</f>
        <v>View Full Record in Web of Science</v>
      </c>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row>
    <row r="1031" spans="1:314" s="2" customFormat="1" x14ac:dyDescent="0.4">
      <c r="A1031" s="2" t="s">
        <v>72</v>
      </c>
      <c r="B1031" s="2" t="s">
        <v>7489</v>
      </c>
      <c r="C1031" s="2" t="s">
        <v>74</v>
      </c>
      <c r="D1031" s="2" t="s">
        <v>74</v>
      </c>
      <c r="E1031" s="2" t="s">
        <v>74</v>
      </c>
      <c r="F1031" s="2" t="s">
        <v>7490</v>
      </c>
      <c r="G1031" s="2" t="s">
        <v>74</v>
      </c>
      <c r="H1031" s="2" t="s">
        <v>74</v>
      </c>
      <c r="I1031" s="2" t="s">
        <v>7491</v>
      </c>
      <c r="J1031" s="2" t="s">
        <v>333</v>
      </c>
      <c r="K1031" s="2" t="s">
        <v>74</v>
      </c>
      <c r="L1031" s="2" t="s">
        <v>74</v>
      </c>
      <c r="M1031" s="2" t="s">
        <v>74</v>
      </c>
      <c r="N1031" s="2" t="s">
        <v>74</v>
      </c>
      <c r="O1031" s="2" t="s">
        <v>74</v>
      </c>
      <c r="P1031" s="2" t="s">
        <v>74</v>
      </c>
      <c r="Q1031" s="2" t="s">
        <v>74</v>
      </c>
      <c r="R1031" s="2" t="s">
        <v>74</v>
      </c>
      <c r="S1031" s="2" t="s">
        <v>74</v>
      </c>
      <c r="T1031" s="2" t="s">
        <v>74</v>
      </c>
      <c r="U1031" s="2" t="s">
        <v>74</v>
      </c>
      <c r="V1031" s="5" t="s">
        <v>7492</v>
      </c>
      <c r="W1031" s="2" t="s">
        <v>74</v>
      </c>
      <c r="X1031" s="2" t="s">
        <v>74</v>
      </c>
      <c r="Y1031" s="2" t="s">
        <v>74</v>
      </c>
      <c r="Z1031" s="2" t="s">
        <v>74</v>
      </c>
      <c r="AA1031" s="2" t="s">
        <v>74</v>
      </c>
      <c r="AB1031" s="2" t="s">
        <v>74</v>
      </c>
      <c r="AC1031" s="2" t="s">
        <v>74</v>
      </c>
      <c r="AD1031" s="2" t="s">
        <v>74</v>
      </c>
      <c r="AE1031" s="2" t="s">
        <v>74</v>
      </c>
      <c r="AF1031" s="2" t="s">
        <v>74</v>
      </c>
      <c r="AG1031" s="2" t="s">
        <v>74</v>
      </c>
      <c r="AH1031" s="2" t="s">
        <v>74</v>
      </c>
      <c r="AI1031" s="2" t="s">
        <v>74</v>
      </c>
      <c r="AJ1031" s="2" t="s">
        <v>74</v>
      </c>
      <c r="AK1031" s="2" t="s">
        <v>74</v>
      </c>
      <c r="AL1031" s="2" t="s">
        <v>74</v>
      </c>
      <c r="AM1031" s="2" t="s">
        <v>74</v>
      </c>
      <c r="AN1031" s="2" t="s">
        <v>74</v>
      </c>
      <c r="AO1031" s="2" t="s">
        <v>337</v>
      </c>
      <c r="AP1031" s="2" t="s">
        <v>338</v>
      </c>
      <c r="AQ1031" s="2" t="s">
        <v>74</v>
      </c>
      <c r="AR1031" s="2" t="s">
        <v>74</v>
      </c>
      <c r="AS1031" s="2" t="s">
        <v>74</v>
      </c>
      <c r="AT1031" s="2" t="s">
        <v>339</v>
      </c>
      <c r="AU1031" s="2">
        <v>2013</v>
      </c>
      <c r="AV1031" s="2">
        <v>24</v>
      </c>
      <c r="AW1031" s="2">
        <v>4</v>
      </c>
      <c r="AX1031" s="2" t="s">
        <v>74</v>
      </c>
      <c r="AY1031" s="2" t="s">
        <v>74</v>
      </c>
      <c r="AZ1031" s="2" t="s">
        <v>74</v>
      </c>
      <c r="BA1031" s="2" t="s">
        <v>74</v>
      </c>
      <c r="BB1031" s="2">
        <v>955</v>
      </c>
      <c r="BC1031" s="2">
        <v>967</v>
      </c>
      <c r="BD1031" s="2" t="s">
        <v>74</v>
      </c>
      <c r="BE1031" s="2" t="s">
        <v>7493</v>
      </c>
      <c r="BF1031" s="2" t="str">
        <f>HYPERLINK("http://dx.doi.org/10.1093/beheco/art011","http://dx.doi.org/10.1093/beheco/art011")</f>
        <v>http://dx.doi.org/10.1093/beheco/art011</v>
      </c>
      <c r="BG1031" s="2" t="s">
        <v>74</v>
      </c>
      <c r="BH1031" s="2" t="s">
        <v>74</v>
      </c>
      <c r="BI1031" s="2" t="s">
        <v>74</v>
      </c>
      <c r="BJ1031" s="2" t="s">
        <v>74</v>
      </c>
      <c r="BK1031" s="2" t="s">
        <v>74</v>
      </c>
      <c r="BL1031" s="2" t="s">
        <v>74</v>
      </c>
      <c r="BM1031" s="2" t="s">
        <v>74</v>
      </c>
      <c r="BN1031" s="2" t="s">
        <v>74</v>
      </c>
      <c r="BO1031" s="2" t="s">
        <v>74</v>
      </c>
      <c r="BP1031" s="2" t="s">
        <v>74</v>
      </c>
      <c r="BQ1031" s="2" t="s">
        <v>74</v>
      </c>
      <c r="BR1031" s="2" t="s">
        <v>74</v>
      </c>
      <c r="BS1031" s="2" t="s">
        <v>7494</v>
      </c>
      <c r="BT1031" s="2" t="str">
        <f>HYPERLINK("https%3A%2F%2Fwww.webofscience.com%2Fwos%2Fwoscc%2Ffull-record%2FWOS:000320409900027","View Full Record in Web of Science")</f>
        <v>View Full Record in Web of Science</v>
      </c>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row>
    <row r="1032" spans="1:314" s="1" customFormat="1" x14ac:dyDescent="0.4">
      <c r="A1032" s="2" t="s">
        <v>72</v>
      </c>
      <c r="B1032" s="2" t="s">
        <v>4870</v>
      </c>
      <c r="C1032" s="2" t="s">
        <v>74</v>
      </c>
      <c r="D1032" s="2" t="s">
        <v>74</v>
      </c>
      <c r="E1032" s="2" t="s">
        <v>74</v>
      </c>
      <c r="F1032" s="2" t="s">
        <v>4871</v>
      </c>
      <c r="G1032" s="2" t="s">
        <v>74</v>
      </c>
      <c r="H1032" s="2" t="s">
        <v>74</v>
      </c>
      <c r="I1032" s="2" t="s">
        <v>4872</v>
      </c>
      <c r="J1032" s="2" t="s">
        <v>763</v>
      </c>
      <c r="K1032" s="2" t="s">
        <v>74</v>
      </c>
      <c r="L1032" s="2" t="s">
        <v>74</v>
      </c>
      <c r="M1032" s="2" t="s">
        <v>74</v>
      </c>
      <c r="N1032" s="2" t="s">
        <v>74</v>
      </c>
      <c r="O1032" s="2" t="s">
        <v>74</v>
      </c>
      <c r="P1032" s="2" t="s">
        <v>74</v>
      </c>
      <c r="Q1032" s="2" t="s">
        <v>74</v>
      </c>
      <c r="R1032" s="2" t="s">
        <v>74</v>
      </c>
      <c r="S1032" s="2" t="s">
        <v>74</v>
      </c>
      <c r="T1032" s="2" t="s">
        <v>74</v>
      </c>
      <c r="U1032" s="2" t="s">
        <v>74</v>
      </c>
      <c r="V1032" s="5" t="s">
        <v>4873</v>
      </c>
      <c r="W1032" s="2" t="s">
        <v>74</v>
      </c>
      <c r="X1032" s="2" t="s">
        <v>74</v>
      </c>
      <c r="Y1032" s="2" t="s">
        <v>74</v>
      </c>
      <c r="Z1032" s="2" t="s">
        <v>74</v>
      </c>
      <c r="AA1032" s="2" t="s">
        <v>4874</v>
      </c>
      <c r="AB1032" s="2" t="s">
        <v>4875</v>
      </c>
      <c r="AC1032" s="2" t="s">
        <v>74</v>
      </c>
      <c r="AD1032" s="2" t="s">
        <v>74</v>
      </c>
      <c r="AE1032" s="2" t="s">
        <v>74</v>
      </c>
      <c r="AF1032" s="2" t="s">
        <v>74</v>
      </c>
      <c r="AG1032" s="2" t="s">
        <v>74</v>
      </c>
      <c r="AH1032" s="2" t="s">
        <v>74</v>
      </c>
      <c r="AI1032" s="2" t="s">
        <v>74</v>
      </c>
      <c r="AJ1032" s="2" t="s">
        <v>74</v>
      </c>
      <c r="AK1032" s="2" t="s">
        <v>74</v>
      </c>
      <c r="AL1032" s="2" t="s">
        <v>74</v>
      </c>
      <c r="AM1032" s="2" t="s">
        <v>74</v>
      </c>
      <c r="AN1032" s="2" t="s">
        <v>74</v>
      </c>
      <c r="AO1032" s="2" t="s">
        <v>767</v>
      </c>
      <c r="AP1032" s="2" t="s">
        <v>74</v>
      </c>
      <c r="AQ1032" s="2" t="s">
        <v>74</v>
      </c>
      <c r="AR1032" s="2" t="s">
        <v>74</v>
      </c>
      <c r="AS1032" s="2" t="s">
        <v>74</v>
      </c>
      <c r="AT1032" s="2" t="s">
        <v>134</v>
      </c>
      <c r="AU1032" s="2">
        <v>2013</v>
      </c>
      <c r="AV1032" s="2">
        <v>216</v>
      </c>
      <c r="AW1032" s="2">
        <v>9</v>
      </c>
      <c r="AX1032" s="2" t="s">
        <v>74</v>
      </c>
      <c r="AY1032" s="2" t="s">
        <v>74</v>
      </c>
      <c r="AZ1032" s="2" t="s">
        <v>74</v>
      </c>
      <c r="BA1032" s="2" t="s">
        <v>74</v>
      </c>
      <c r="BB1032" s="2">
        <v>1744</v>
      </c>
      <c r="BC1032" s="2">
        <v>1756</v>
      </c>
      <c r="BD1032" s="2" t="s">
        <v>74</v>
      </c>
      <c r="BE1032" s="2" t="s">
        <v>4876</v>
      </c>
      <c r="BF1032" s="2" t="str">
        <f>HYPERLINK("http://dx.doi.org/10.1242/jeb.071118","http://dx.doi.org/10.1242/jeb.071118")</f>
        <v>http://dx.doi.org/10.1242/jeb.071118</v>
      </c>
      <c r="BG1032" s="2" t="s">
        <v>74</v>
      </c>
      <c r="BH1032" s="2" t="s">
        <v>74</v>
      </c>
      <c r="BI1032" s="2" t="s">
        <v>74</v>
      </c>
      <c r="BJ1032" s="2" t="s">
        <v>74</v>
      </c>
      <c r="BK1032" s="2" t="s">
        <v>74</v>
      </c>
      <c r="BL1032" s="2" t="s">
        <v>74</v>
      </c>
      <c r="BM1032" s="2" t="s">
        <v>74</v>
      </c>
      <c r="BN1032" s="2">
        <v>23348952</v>
      </c>
      <c r="BO1032" s="2" t="s">
        <v>74</v>
      </c>
      <c r="BP1032" s="2" t="s">
        <v>74</v>
      </c>
      <c r="BQ1032" s="2" t="s">
        <v>74</v>
      </c>
      <c r="BR1032" s="2" t="s">
        <v>74</v>
      </c>
      <c r="BS1032" s="2" t="s">
        <v>4877</v>
      </c>
      <c r="BT1032" s="2" t="str">
        <f>HYPERLINK("https%3A%2F%2Fwww.webofscience.com%2Fwos%2Fwoscc%2Ffull-record%2FWOS:000317722700033","View Full Record in Web of Science")</f>
        <v>View Full Record in Web of Science</v>
      </c>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row>
    <row r="1033" spans="1:314" s="2" customFormat="1" x14ac:dyDescent="0.4">
      <c r="A1033" s="2" t="s">
        <v>72</v>
      </c>
      <c r="B1033" s="2" t="s">
        <v>821</v>
      </c>
      <c r="C1033" s="2" t="s">
        <v>74</v>
      </c>
      <c r="D1033" s="2" t="s">
        <v>74</v>
      </c>
      <c r="E1033" s="2" t="s">
        <v>74</v>
      </c>
      <c r="F1033" s="2" t="s">
        <v>822</v>
      </c>
      <c r="G1033" s="2" t="s">
        <v>74</v>
      </c>
      <c r="H1033" s="2" t="s">
        <v>74</v>
      </c>
      <c r="I1033" s="2" t="s">
        <v>823</v>
      </c>
      <c r="J1033" s="2" t="s">
        <v>824</v>
      </c>
      <c r="K1033" s="2" t="s">
        <v>74</v>
      </c>
      <c r="L1033" s="2" t="s">
        <v>74</v>
      </c>
      <c r="M1033" s="2" t="s">
        <v>74</v>
      </c>
      <c r="N1033" s="2" t="s">
        <v>74</v>
      </c>
      <c r="O1033" s="2" t="s">
        <v>74</v>
      </c>
      <c r="P1033" s="2" t="s">
        <v>74</v>
      </c>
      <c r="Q1033" s="2" t="s">
        <v>74</v>
      </c>
      <c r="R1033" s="2" t="s">
        <v>74</v>
      </c>
      <c r="S1033" s="2" t="s">
        <v>74</v>
      </c>
      <c r="T1033" s="2" t="s">
        <v>74</v>
      </c>
      <c r="U1033" s="2" t="s">
        <v>74</v>
      </c>
      <c r="V1033" s="5" t="s">
        <v>825</v>
      </c>
      <c r="W1033" s="2" t="s">
        <v>74</v>
      </c>
      <c r="X1033" s="2" t="s">
        <v>74</v>
      </c>
      <c r="Y1033" s="2" t="s">
        <v>74</v>
      </c>
      <c r="Z1033" s="2" t="s">
        <v>74</v>
      </c>
      <c r="AA1033" s="2" t="s">
        <v>826</v>
      </c>
      <c r="AB1033" s="2" t="s">
        <v>827</v>
      </c>
      <c r="AC1033" s="2" t="s">
        <v>74</v>
      </c>
      <c r="AD1033" s="2" t="s">
        <v>74</v>
      </c>
      <c r="AE1033" s="2" t="s">
        <v>74</v>
      </c>
      <c r="AF1033" s="2" t="s">
        <v>74</v>
      </c>
      <c r="AG1033" s="2" t="s">
        <v>74</v>
      </c>
      <c r="AH1033" s="2" t="s">
        <v>74</v>
      </c>
      <c r="AI1033" s="2" t="s">
        <v>74</v>
      </c>
      <c r="AJ1033" s="2" t="s">
        <v>74</v>
      </c>
      <c r="AK1033" s="2" t="s">
        <v>74</v>
      </c>
      <c r="AL1033" s="2" t="s">
        <v>74</v>
      </c>
      <c r="AM1033" s="2" t="s">
        <v>74</v>
      </c>
      <c r="AN1033" s="2" t="s">
        <v>74</v>
      </c>
      <c r="AO1033" s="2" t="s">
        <v>828</v>
      </c>
      <c r="AP1033" s="2" t="s">
        <v>829</v>
      </c>
      <c r="AQ1033" s="2" t="s">
        <v>74</v>
      </c>
      <c r="AR1033" s="2" t="s">
        <v>74</v>
      </c>
      <c r="AS1033" s="2" t="s">
        <v>74</v>
      </c>
      <c r="AT1033" s="2" t="s">
        <v>352</v>
      </c>
      <c r="AU1033" s="2">
        <v>2017</v>
      </c>
      <c r="AV1033" s="2">
        <v>86</v>
      </c>
      <c r="AW1033" s="2">
        <v>5</v>
      </c>
      <c r="AX1033" s="2" t="s">
        <v>74</v>
      </c>
      <c r="AY1033" s="2" t="s">
        <v>74</v>
      </c>
      <c r="AZ1033" s="2" t="s">
        <v>74</v>
      </c>
      <c r="BA1033" s="2" t="s">
        <v>74</v>
      </c>
      <c r="BB1033" s="2">
        <v>1074</v>
      </c>
      <c r="BC1033" s="2">
        <v>1081</v>
      </c>
      <c r="BD1033" s="2" t="s">
        <v>74</v>
      </c>
      <c r="BE1033" s="2" t="s">
        <v>830</v>
      </c>
      <c r="BF1033" s="2" t="str">
        <f>HYPERLINK("http://dx.doi.org/10.1111/1365-2656.12690","http://dx.doi.org/10.1111/1365-2656.12690")</f>
        <v>http://dx.doi.org/10.1111/1365-2656.12690</v>
      </c>
      <c r="BG1033" s="2" t="s">
        <v>74</v>
      </c>
      <c r="BH1033" s="2" t="s">
        <v>74</v>
      </c>
      <c r="BI1033" s="2" t="s">
        <v>74</v>
      </c>
      <c r="BJ1033" s="2" t="s">
        <v>74</v>
      </c>
      <c r="BK1033" s="2" t="s">
        <v>74</v>
      </c>
      <c r="BL1033" s="2" t="s">
        <v>74</v>
      </c>
      <c r="BM1033" s="2" t="s">
        <v>74</v>
      </c>
      <c r="BN1033" s="2">
        <v>28502084</v>
      </c>
      <c r="BO1033" s="2" t="s">
        <v>74</v>
      </c>
      <c r="BP1033" s="2" t="s">
        <v>74</v>
      </c>
      <c r="BQ1033" s="2" t="s">
        <v>74</v>
      </c>
      <c r="BR1033" s="2" t="s">
        <v>74</v>
      </c>
      <c r="BS1033" s="2" t="s">
        <v>831</v>
      </c>
      <c r="BT1033" s="2" t="str">
        <f>HYPERLINK("https%3A%2F%2Fwww.webofscience.com%2Fwos%2Fwoscc%2Ffull-record%2FWOS:000407320500010","View Full Record in Web of Science")</f>
        <v>View Full Record in Web of Science</v>
      </c>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row>
    <row r="1034" spans="1:314" s="2" customFormat="1" x14ac:dyDescent="0.4">
      <c r="A1034" s="2" t="s">
        <v>72</v>
      </c>
      <c r="B1034" s="2" t="s">
        <v>5895</v>
      </c>
      <c r="C1034" s="2" t="s">
        <v>74</v>
      </c>
      <c r="D1034" s="2" t="s">
        <v>74</v>
      </c>
      <c r="E1034" s="2" t="s">
        <v>74</v>
      </c>
      <c r="F1034" s="2" t="s">
        <v>5895</v>
      </c>
      <c r="G1034" s="2" t="s">
        <v>74</v>
      </c>
      <c r="H1034" s="2" t="s">
        <v>74</v>
      </c>
      <c r="I1034" s="2" t="s">
        <v>5896</v>
      </c>
      <c r="J1034" s="2" t="s">
        <v>5897</v>
      </c>
      <c r="K1034" s="2" t="s">
        <v>74</v>
      </c>
      <c r="L1034" s="2" t="s">
        <v>74</v>
      </c>
      <c r="M1034" s="2" t="s">
        <v>74</v>
      </c>
      <c r="N1034" s="2" t="s">
        <v>74</v>
      </c>
      <c r="O1034" s="2" t="s">
        <v>74</v>
      </c>
      <c r="P1034" s="2" t="s">
        <v>74</v>
      </c>
      <c r="Q1034" s="2" t="s">
        <v>74</v>
      </c>
      <c r="R1034" s="2" t="s">
        <v>74</v>
      </c>
      <c r="S1034" s="2" t="s">
        <v>74</v>
      </c>
      <c r="T1034" s="2" t="s">
        <v>74</v>
      </c>
      <c r="U1034" s="2" t="s">
        <v>74</v>
      </c>
      <c r="V1034" s="5" t="s">
        <v>5898</v>
      </c>
      <c r="W1034" s="2" t="s">
        <v>74</v>
      </c>
      <c r="X1034" s="2" t="s">
        <v>74</v>
      </c>
      <c r="Y1034" s="2" t="s">
        <v>74</v>
      </c>
      <c r="Z1034" s="2" t="s">
        <v>74</v>
      </c>
      <c r="AA1034" s="2" t="s">
        <v>74</v>
      </c>
      <c r="AB1034" s="2" t="s">
        <v>74</v>
      </c>
      <c r="AC1034" s="2" t="s">
        <v>74</v>
      </c>
      <c r="AD1034" s="2" t="s">
        <v>74</v>
      </c>
      <c r="AE1034" s="2" t="s">
        <v>74</v>
      </c>
      <c r="AF1034" s="2" t="s">
        <v>74</v>
      </c>
      <c r="AG1034" s="2" t="s">
        <v>74</v>
      </c>
      <c r="AH1034" s="2" t="s">
        <v>74</v>
      </c>
      <c r="AI1034" s="2" t="s">
        <v>74</v>
      </c>
      <c r="AJ1034" s="2" t="s">
        <v>74</v>
      </c>
      <c r="AK1034" s="2" t="s">
        <v>74</v>
      </c>
      <c r="AL1034" s="2" t="s">
        <v>74</v>
      </c>
      <c r="AM1034" s="2" t="s">
        <v>74</v>
      </c>
      <c r="AN1034" s="2" t="s">
        <v>74</v>
      </c>
      <c r="AO1034" s="2" t="s">
        <v>5899</v>
      </c>
      <c r="AP1034" s="2" t="s">
        <v>5900</v>
      </c>
      <c r="AQ1034" s="2" t="s">
        <v>74</v>
      </c>
      <c r="AR1034" s="2" t="s">
        <v>74</v>
      </c>
      <c r="AS1034" s="2" t="s">
        <v>74</v>
      </c>
      <c r="AT1034" s="2" t="s">
        <v>175</v>
      </c>
      <c r="AU1034" s="2">
        <v>1988</v>
      </c>
      <c r="AV1034" s="2">
        <v>61</v>
      </c>
      <c r="AW1034" s="2">
        <v>4</v>
      </c>
      <c r="AX1034" s="2" t="s">
        <v>74</v>
      </c>
      <c r="AY1034" s="2" t="s">
        <v>74</v>
      </c>
      <c r="AZ1034" s="2" t="s">
        <v>74</v>
      </c>
      <c r="BA1034" s="2" t="s">
        <v>74</v>
      </c>
      <c r="BB1034" s="2">
        <v>388</v>
      </c>
      <c r="BC1034" s="2">
        <v>395</v>
      </c>
      <c r="BD1034" s="2" t="s">
        <v>74</v>
      </c>
      <c r="BE1034" s="2" t="s">
        <v>74</v>
      </c>
      <c r="BF1034" s="2" t="s">
        <v>74</v>
      </c>
      <c r="BG1034" s="2" t="s">
        <v>74</v>
      </c>
      <c r="BH1034" s="2" t="s">
        <v>74</v>
      </c>
      <c r="BI1034" s="2" t="s">
        <v>74</v>
      </c>
      <c r="BJ1034" s="2" t="s">
        <v>74</v>
      </c>
      <c r="BK1034" s="2" t="s">
        <v>74</v>
      </c>
      <c r="BL1034" s="2" t="s">
        <v>74</v>
      </c>
      <c r="BM1034" s="2" t="s">
        <v>74</v>
      </c>
      <c r="BN1034" s="2" t="s">
        <v>74</v>
      </c>
      <c r="BO1034" s="2" t="s">
        <v>74</v>
      </c>
      <c r="BP1034" s="2" t="s">
        <v>74</v>
      </c>
      <c r="BQ1034" s="2" t="s">
        <v>74</v>
      </c>
      <c r="BR1034" s="2" t="s">
        <v>74</v>
      </c>
      <c r="BS1034" s="2" t="s">
        <v>5901</v>
      </c>
      <c r="BT1034" s="2" t="str">
        <f>HYPERLINK("https%3A%2F%2Fwww.webofscience.com%2Fwos%2Fwoscc%2Ffull-record%2FWOS:A1988T891300004","View Full Record in Web of Science")</f>
        <v>View Full Record in Web of Science</v>
      </c>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row>
    <row r="1035" spans="1:314" s="2" customFormat="1" x14ac:dyDescent="0.4">
      <c r="A1035" s="2" t="s">
        <v>72</v>
      </c>
      <c r="B1035" s="2" t="s">
        <v>8266</v>
      </c>
      <c r="C1035" s="2" t="s">
        <v>74</v>
      </c>
      <c r="D1035" s="2" t="s">
        <v>74</v>
      </c>
      <c r="E1035" s="2" t="s">
        <v>74</v>
      </c>
      <c r="F1035" s="2" t="s">
        <v>8267</v>
      </c>
      <c r="G1035" s="2" t="s">
        <v>74</v>
      </c>
      <c r="H1035" s="2" t="s">
        <v>74</v>
      </c>
      <c r="I1035" s="2" t="s">
        <v>8268</v>
      </c>
      <c r="J1035" s="2" t="s">
        <v>8269</v>
      </c>
      <c r="K1035" s="2" t="s">
        <v>74</v>
      </c>
      <c r="L1035" s="2" t="s">
        <v>74</v>
      </c>
      <c r="M1035" s="2" t="s">
        <v>74</v>
      </c>
      <c r="N1035" s="2" t="s">
        <v>74</v>
      </c>
      <c r="O1035" s="2" t="s">
        <v>74</v>
      </c>
      <c r="P1035" s="2" t="s">
        <v>74</v>
      </c>
      <c r="Q1035" s="2" t="s">
        <v>74</v>
      </c>
      <c r="R1035" s="2" t="s">
        <v>74</v>
      </c>
      <c r="S1035" s="2" t="s">
        <v>74</v>
      </c>
      <c r="T1035" s="2" t="s">
        <v>74</v>
      </c>
      <c r="U1035" s="2" t="s">
        <v>74</v>
      </c>
      <c r="V1035" s="5" t="s">
        <v>8270</v>
      </c>
      <c r="W1035" s="2" t="s">
        <v>74</v>
      </c>
      <c r="X1035" s="2" t="s">
        <v>74</v>
      </c>
      <c r="Y1035" s="2" t="s">
        <v>74</v>
      </c>
      <c r="Z1035" s="2" t="s">
        <v>74</v>
      </c>
      <c r="AA1035" s="2" t="s">
        <v>8271</v>
      </c>
      <c r="AB1035" s="2" t="s">
        <v>8272</v>
      </c>
      <c r="AC1035" s="2" t="s">
        <v>74</v>
      </c>
      <c r="AD1035" s="2" t="s">
        <v>74</v>
      </c>
      <c r="AE1035" s="2" t="s">
        <v>74</v>
      </c>
      <c r="AF1035" s="2" t="s">
        <v>74</v>
      </c>
      <c r="AG1035" s="2" t="s">
        <v>74</v>
      </c>
      <c r="AH1035" s="2" t="s">
        <v>74</v>
      </c>
      <c r="AI1035" s="2" t="s">
        <v>74</v>
      </c>
      <c r="AJ1035" s="2" t="s">
        <v>74</v>
      </c>
      <c r="AK1035" s="2" t="s">
        <v>74</v>
      </c>
      <c r="AL1035" s="2" t="s">
        <v>74</v>
      </c>
      <c r="AM1035" s="2" t="s">
        <v>74</v>
      </c>
      <c r="AN1035" s="2" t="s">
        <v>74</v>
      </c>
      <c r="AO1035" s="2" t="s">
        <v>8273</v>
      </c>
      <c r="AP1035" s="2" t="s">
        <v>74</v>
      </c>
      <c r="AQ1035" s="2" t="s">
        <v>74</v>
      </c>
      <c r="AR1035" s="2" t="s">
        <v>74</v>
      </c>
      <c r="AS1035" s="2" t="s">
        <v>74</v>
      </c>
      <c r="AT1035" s="2" t="s">
        <v>1090</v>
      </c>
      <c r="AU1035" s="2">
        <v>2014</v>
      </c>
      <c r="AV1035" s="2">
        <v>78</v>
      </c>
      <c r="AW1035" s="2" t="s">
        <v>74</v>
      </c>
      <c r="AX1035" s="2" t="s">
        <v>74</v>
      </c>
      <c r="AY1035" s="2" t="s">
        <v>74</v>
      </c>
      <c r="AZ1035" s="2" t="s">
        <v>74</v>
      </c>
      <c r="BA1035" s="2" t="s">
        <v>74</v>
      </c>
      <c r="BB1035" s="2" t="s">
        <v>74</v>
      </c>
      <c r="BC1035" s="2" t="s">
        <v>74</v>
      </c>
      <c r="BD1035" s="2" t="s">
        <v>74</v>
      </c>
      <c r="BE1035" s="2" t="s">
        <v>8274</v>
      </c>
      <c r="BF1035" s="2" t="str">
        <f>HYPERLINK("http://dx.doi.org/10.1399/eps.2013.1","http://dx.doi.org/10.1399/eps.2013.1")</f>
        <v>http://dx.doi.org/10.1399/eps.2013.1</v>
      </c>
      <c r="BG1035" s="2" t="s">
        <v>74</v>
      </c>
      <c r="BH1035" s="2" t="s">
        <v>74</v>
      </c>
      <c r="BI1035" s="2" t="s">
        <v>74</v>
      </c>
      <c r="BJ1035" s="2" t="s">
        <v>74</v>
      </c>
      <c r="BK1035" s="2" t="s">
        <v>74</v>
      </c>
      <c r="BL1035" s="2" t="s">
        <v>74</v>
      </c>
      <c r="BM1035" s="2" t="s">
        <v>74</v>
      </c>
      <c r="BN1035" s="2" t="s">
        <v>74</v>
      </c>
      <c r="BO1035" s="2" t="s">
        <v>74</v>
      </c>
      <c r="BP1035" s="2" t="s">
        <v>74</v>
      </c>
      <c r="BQ1035" s="2" t="s">
        <v>74</v>
      </c>
      <c r="BR1035" s="2" t="s">
        <v>74</v>
      </c>
      <c r="BS1035" s="2" t="s">
        <v>8275</v>
      </c>
      <c r="BT1035" s="2" t="str">
        <f>HYPERLINK("https%3A%2F%2Fwww.webofscience.com%2Fwos%2Fwoscc%2Ffull-record%2FWOS:000343648600001","View Full Record in Web of Science")</f>
        <v>View Full Record in Web of Science</v>
      </c>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row>
    <row r="1036" spans="1:314" s="2" customFormat="1" x14ac:dyDescent="0.4">
      <c r="A1036" s="2" t="s">
        <v>72</v>
      </c>
      <c r="B1036" s="2" t="s">
        <v>2464</v>
      </c>
      <c r="C1036" s="2" t="s">
        <v>74</v>
      </c>
      <c r="D1036" s="2" t="s">
        <v>74</v>
      </c>
      <c r="E1036" s="2" t="s">
        <v>74</v>
      </c>
      <c r="F1036" s="2" t="s">
        <v>2464</v>
      </c>
      <c r="G1036" s="2" t="s">
        <v>74</v>
      </c>
      <c r="H1036" s="2" t="s">
        <v>74</v>
      </c>
      <c r="I1036" s="2" t="s">
        <v>2465</v>
      </c>
      <c r="J1036" s="2" t="s">
        <v>2466</v>
      </c>
      <c r="K1036" s="2" t="s">
        <v>74</v>
      </c>
      <c r="L1036" s="2" t="s">
        <v>74</v>
      </c>
      <c r="M1036" s="2" t="s">
        <v>74</v>
      </c>
      <c r="N1036" s="2" t="s">
        <v>74</v>
      </c>
      <c r="O1036" s="2" t="s">
        <v>74</v>
      </c>
      <c r="P1036" s="2" t="s">
        <v>74</v>
      </c>
      <c r="Q1036" s="2" t="s">
        <v>74</v>
      </c>
      <c r="R1036" s="2" t="s">
        <v>74</v>
      </c>
      <c r="S1036" s="2" t="s">
        <v>74</v>
      </c>
      <c r="T1036" s="2" t="s">
        <v>74</v>
      </c>
      <c r="U1036" s="2" t="s">
        <v>74</v>
      </c>
      <c r="V1036" s="5" t="s">
        <v>2467</v>
      </c>
      <c r="W1036" s="2" t="s">
        <v>74</v>
      </c>
      <c r="X1036" s="2" t="s">
        <v>74</v>
      </c>
      <c r="Y1036" s="2" t="s">
        <v>74</v>
      </c>
      <c r="Z1036" s="2" t="s">
        <v>74</v>
      </c>
      <c r="AA1036" s="2" t="s">
        <v>2468</v>
      </c>
      <c r="AB1036" s="2" t="s">
        <v>2469</v>
      </c>
      <c r="AC1036" s="2" t="s">
        <v>74</v>
      </c>
      <c r="AD1036" s="2" t="s">
        <v>74</v>
      </c>
      <c r="AE1036" s="2" t="s">
        <v>74</v>
      </c>
      <c r="AF1036" s="2" t="s">
        <v>74</v>
      </c>
      <c r="AG1036" s="2" t="s">
        <v>74</v>
      </c>
      <c r="AH1036" s="2" t="s">
        <v>74</v>
      </c>
      <c r="AI1036" s="2" t="s">
        <v>74</v>
      </c>
      <c r="AJ1036" s="2" t="s">
        <v>74</v>
      </c>
      <c r="AK1036" s="2" t="s">
        <v>74</v>
      </c>
      <c r="AL1036" s="2" t="s">
        <v>74</v>
      </c>
      <c r="AM1036" s="2" t="s">
        <v>74</v>
      </c>
      <c r="AN1036" s="2" t="s">
        <v>74</v>
      </c>
      <c r="AO1036" s="2" t="s">
        <v>2470</v>
      </c>
      <c r="AP1036" s="2" t="s">
        <v>2471</v>
      </c>
      <c r="AQ1036" s="2" t="s">
        <v>74</v>
      </c>
      <c r="AR1036" s="2" t="s">
        <v>74</v>
      </c>
      <c r="AS1036" s="2" t="s">
        <v>74</v>
      </c>
      <c r="AT1036" s="2" t="s">
        <v>204</v>
      </c>
      <c r="AU1036" s="2">
        <v>2005</v>
      </c>
      <c r="AV1036" s="2">
        <v>83</v>
      </c>
      <c r="AW1036" s="2">
        <v>7</v>
      </c>
      <c r="AX1036" s="2" t="s">
        <v>74</v>
      </c>
      <c r="AY1036" s="2" t="s">
        <v>74</v>
      </c>
      <c r="AZ1036" s="2" t="s">
        <v>74</v>
      </c>
      <c r="BA1036" s="2" t="s">
        <v>74</v>
      </c>
      <c r="BB1036" s="2">
        <v>1664</v>
      </c>
      <c r="BC1036" s="2">
        <v>1672</v>
      </c>
      <c r="BD1036" s="2" t="s">
        <v>74</v>
      </c>
      <c r="BE1036" s="2" t="s">
        <v>74</v>
      </c>
      <c r="BF1036" s="2" t="s">
        <v>74</v>
      </c>
      <c r="BG1036" s="2" t="s">
        <v>74</v>
      </c>
      <c r="BH1036" s="2" t="s">
        <v>74</v>
      </c>
      <c r="BI1036" s="2" t="s">
        <v>74</v>
      </c>
      <c r="BJ1036" s="2" t="s">
        <v>74</v>
      </c>
      <c r="BK1036" s="2" t="s">
        <v>74</v>
      </c>
      <c r="BL1036" s="2" t="s">
        <v>74</v>
      </c>
      <c r="BM1036" s="2" t="s">
        <v>74</v>
      </c>
      <c r="BN1036" s="2">
        <v>15956475</v>
      </c>
      <c r="BO1036" s="2" t="s">
        <v>74</v>
      </c>
      <c r="BP1036" s="2" t="s">
        <v>74</v>
      </c>
      <c r="BQ1036" s="2" t="s">
        <v>74</v>
      </c>
      <c r="BR1036" s="2" t="s">
        <v>74</v>
      </c>
      <c r="BS1036" s="2" t="s">
        <v>2472</v>
      </c>
      <c r="BT1036" s="2" t="str">
        <f>HYPERLINK("https%3A%2F%2Fwww.webofscience.com%2Fwos%2Fwoscc%2Ffull-record%2FWOS:000235847500021","View Full Record in Web of Science")</f>
        <v>View Full Record in Web of Science</v>
      </c>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row>
    <row r="1037" spans="1:314" s="2" customFormat="1" x14ac:dyDescent="0.4">
      <c r="A1037" s="2" t="s">
        <v>72</v>
      </c>
      <c r="B1037" s="2" t="s">
        <v>5063</v>
      </c>
      <c r="C1037" s="2" t="s">
        <v>74</v>
      </c>
      <c r="D1037" s="2" t="s">
        <v>74</v>
      </c>
      <c r="E1037" s="2" t="s">
        <v>74</v>
      </c>
      <c r="F1037" s="2" t="s">
        <v>5063</v>
      </c>
      <c r="G1037" s="2" t="s">
        <v>74</v>
      </c>
      <c r="H1037" s="2" t="s">
        <v>74</v>
      </c>
      <c r="I1037" s="2" t="s">
        <v>5064</v>
      </c>
      <c r="J1037" s="2" t="s">
        <v>5065</v>
      </c>
      <c r="K1037" s="2" t="s">
        <v>74</v>
      </c>
      <c r="L1037" s="2" t="s">
        <v>74</v>
      </c>
      <c r="M1037" s="2" t="s">
        <v>74</v>
      </c>
      <c r="N1037" s="2" t="s">
        <v>74</v>
      </c>
      <c r="O1037" s="2" t="s">
        <v>74</v>
      </c>
      <c r="P1037" s="2" t="s">
        <v>74</v>
      </c>
      <c r="Q1037" s="2" t="s">
        <v>74</v>
      </c>
      <c r="R1037" s="2" t="s">
        <v>74</v>
      </c>
      <c r="S1037" s="2" t="s">
        <v>74</v>
      </c>
      <c r="T1037" s="2" t="s">
        <v>74</v>
      </c>
      <c r="U1037" s="2" t="s">
        <v>74</v>
      </c>
      <c r="V1037" s="5" t="s">
        <v>5066</v>
      </c>
      <c r="W1037" s="2" t="s">
        <v>74</v>
      </c>
      <c r="X1037" s="2" t="s">
        <v>74</v>
      </c>
      <c r="Y1037" s="2" t="s">
        <v>74</v>
      </c>
      <c r="Z1037" s="2" t="s">
        <v>74</v>
      </c>
      <c r="AA1037" s="2" t="s">
        <v>5067</v>
      </c>
      <c r="AB1037" s="2" t="s">
        <v>74</v>
      </c>
      <c r="AC1037" s="2" t="s">
        <v>74</v>
      </c>
      <c r="AD1037" s="2" t="s">
        <v>74</v>
      </c>
      <c r="AE1037" s="2" t="s">
        <v>74</v>
      </c>
      <c r="AF1037" s="2" t="s">
        <v>74</v>
      </c>
      <c r="AG1037" s="2" t="s">
        <v>74</v>
      </c>
      <c r="AH1037" s="2" t="s">
        <v>74</v>
      </c>
      <c r="AI1037" s="2" t="s">
        <v>74</v>
      </c>
      <c r="AJ1037" s="2" t="s">
        <v>74</v>
      </c>
      <c r="AK1037" s="2" t="s">
        <v>74</v>
      </c>
      <c r="AL1037" s="2" t="s">
        <v>74</v>
      </c>
      <c r="AM1037" s="2" t="s">
        <v>74</v>
      </c>
      <c r="AN1037" s="2" t="s">
        <v>74</v>
      </c>
      <c r="AO1037" s="2" t="s">
        <v>5068</v>
      </c>
      <c r="AP1037" s="2" t="s">
        <v>74</v>
      </c>
      <c r="AQ1037" s="2" t="s">
        <v>74</v>
      </c>
      <c r="AR1037" s="2" t="s">
        <v>74</v>
      </c>
      <c r="AS1037" s="2" t="s">
        <v>74</v>
      </c>
      <c r="AT1037" s="2" t="s">
        <v>74</v>
      </c>
      <c r="AU1037" s="2">
        <v>1979</v>
      </c>
      <c r="AV1037" s="2">
        <v>6</v>
      </c>
      <c r="AW1037" s="2">
        <v>2</v>
      </c>
      <c r="AX1037" s="2" t="s">
        <v>74</v>
      </c>
      <c r="AY1037" s="2" t="s">
        <v>74</v>
      </c>
      <c r="AZ1037" s="2" t="s">
        <v>74</v>
      </c>
      <c r="BA1037" s="2" t="s">
        <v>74</v>
      </c>
      <c r="BB1037" s="2">
        <v>83</v>
      </c>
      <c r="BC1037" s="2">
        <v>93</v>
      </c>
      <c r="BD1037" s="2" t="s">
        <v>74</v>
      </c>
      <c r="BE1037" s="2" t="s">
        <v>5069</v>
      </c>
      <c r="BF1037" s="2" t="str">
        <f>HYPERLINK("http://dx.doi.org/10.1080/10236247909378556","http://dx.doi.org/10.1080/10236247909378556")</f>
        <v>http://dx.doi.org/10.1080/10236247909378556</v>
      </c>
      <c r="BG1037" s="2" t="s">
        <v>74</v>
      </c>
      <c r="BH1037" s="2" t="s">
        <v>74</v>
      </c>
      <c r="BI1037" s="2" t="s">
        <v>74</v>
      </c>
      <c r="BJ1037" s="2" t="s">
        <v>74</v>
      </c>
      <c r="BK1037" s="2" t="s">
        <v>74</v>
      </c>
      <c r="BL1037" s="2" t="s">
        <v>74</v>
      </c>
      <c r="BM1037" s="2" t="s">
        <v>74</v>
      </c>
      <c r="BN1037" s="2" t="s">
        <v>74</v>
      </c>
      <c r="BO1037" s="2" t="s">
        <v>74</v>
      </c>
      <c r="BP1037" s="2" t="s">
        <v>74</v>
      </c>
      <c r="BQ1037" s="2" t="s">
        <v>74</v>
      </c>
      <c r="BR1037" s="2" t="s">
        <v>74</v>
      </c>
      <c r="BS1037" s="2" t="s">
        <v>5070</v>
      </c>
      <c r="BT1037" s="2" t="str">
        <f>HYPERLINK("https%3A%2F%2Fwww.webofscience.com%2Fwos%2Fwoscc%2Ffull-record%2FWOS:A1979HB35100001","View Full Record in Web of Science")</f>
        <v>View Full Record in Web of Science</v>
      </c>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row>
    <row r="1038" spans="1:314" s="2" customFormat="1" x14ac:dyDescent="0.4">
      <c r="A1038" s="2" t="s">
        <v>72</v>
      </c>
      <c r="B1038" s="2" t="s">
        <v>599</v>
      </c>
      <c r="C1038" s="2" t="s">
        <v>74</v>
      </c>
      <c r="D1038" s="2" t="s">
        <v>74</v>
      </c>
      <c r="E1038" s="2" t="s">
        <v>74</v>
      </c>
      <c r="F1038" s="2" t="s">
        <v>600</v>
      </c>
      <c r="G1038" s="2" t="s">
        <v>74</v>
      </c>
      <c r="H1038" s="2" t="s">
        <v>74</v>
      </c>
      <c r="I1038" s="2" t="s">
        <v>601</v>
      </c>
      <c r="J1038" s="2" t="s">
        <v>602</v>
      </c>
      <c r="K1038" s="2" t="s">
        <v>74</v>
      </c>
      <c r="L1038" s="2" t="s">
        <v>74</v>
      </c>
      <c r="M1038" s="2" t="s">
        <v>74</v>
      </c>
      <c r="N1038" s="2" t="s">
        <v>74</v>
      </c>
      <c r="O1038" s="2" t="s">
        <v>74</v>
      </c>
      <c r="P1038" s="2" t="s">
        <v>74</v>
      </c>
      <c r="Q1038" s="2" t="s">
        <v>74</v>
      </c>
      <c r="R1038" s="2" t="s">
        <v>74</v>
      </c>
      <c r="S1038" s="2" t="s">
        <v>74</v>
      </c>
      <c r="T1038" s="2" t="s">
        <v>74</v>
      </c>
      <c r="U1038" s="2" t="s">
        <v>74</v>
      </c>
      <c r="V1038" s="5" t="s">
        <v>603</v>
      </c>
      <c r="W1038" s="2" t="s">
        <v>74</v>
      </c>
      <c r="X1038" s="2" t="s">
        <v>74</v>
      </c>
      <c r="Y1038" s="2" t="s">
        <v>74</v>
      </c>
      <c r="Z1038" s="2" t="s">
        <v>74</v>
      </c>
      <c r="AA1038" s="2" t="s">
        <v>604</v>
      </c>
      <c r="AB1038" s="2" t="s">
        <v>74</v>
      </c>
      <c r="AC1038" s="2" t="s">
        <v>74</v>
      </c>
      <c r="AD1038" s="2" t="s">
        <v>74</v>
      </c>
      <c r="AE1038" s="2" t="s">
        <v>74</v>
      </c>
      <c r="AF1038" s="2" t="s">
        <v>74</v>
      </c>
      <c r="AG1038" s="2" t="s">
        <v>74</v>
      </c>
      <c r="AH1038" s="2" t="s">
        <v>74</v>
      </c>
      <c r="AI1038" s="2" t="s">
        <v>74</v>
      </c>
      <c r="AJ1038" s="2" t="s">
        <v>74</v>
      </c>
      <c r="AK1038" s="2" t="s">
        <v>74</v>
      </c>
      <c r="AL1038" s="2" t="s">
        <v>74</v>
      </c>
      <c r="AM1038" s="2" t="s">
        <v>74</v>
      </c>
      <c r="AN1038" s="2" t="s">
        <v>74</v>
      </c>
      <c r="AO1038" s="2" t="s">
        <v>605</v>
      </c>
      <c r="AP1038" s="2" t="s">
        <v>74</v>
      </c>
      <c r="AQ1038" s="2" t="s">
        <v>74</v>
      </c>
      <c r="AR1038" s="2" t="s">
        <v>74</v>
      </c>
      <c r="AS1038" s="2" t="s">
        <v>74</v>
      </c>
      <c r="AT1038" s="2" t="s">
        <v>74</v>
      </c>
      <c r="AU1038" s="2">
        <v>2011</v>
      </c>
      <c r="AV1038" s="2">
        <v>63</v>
      </c>
      <c r="AW1038" s="2" t="s">
        <v>74</v>
      </c>
      <c r="AX1038" s="2" t="s">
        <v>74</v>
      </c>
      <c r="AY1038" s="2" t="s">
        <v>74</v>
      </c>
      <c r="AZ1038" s="2" t="s">
        <v>74</v>
      </c>
      <c r="BA1038" s="2" t="s">
        <v>74</v>
      </c>
      <c r="BB1038" s="2" t="s">
        <v>74</v>
      </c>
      <c r="BC1038" s="2" t="s">
        <v>74</v>
      </c>
      <c r="BD1038" s="2">
        <v>532</v>
      </c>
      <c r="BE1038" s="2" t="s">
        <v>74</v>
      </c>
      <c r="BF1038" s="2" t="s">
        <v>74</v>
      </c>
      <c r="BG1038" s="2" t="s">
        <v>74</v>
      </c>
      <c r="BH1038" s="2" t="s">
        <v>74</v>
      </c>
      <c r="BI1038" s="2" t="s">
        <v>74</v>
      </c>
      <c r="BJ1038" s="2" t="s">
        <v>74</v>
      </c>
      <c r="BK1038" s="2" t="s">
        <v>74</v>
      </c>
      <c r="BL1038" s="2" t="s">
        <v>74</v>
      </c>
      <c r="BM1038" s="2" t="s">
        <v>74</v>
      </c>
      <c r="BN1038" s="2" t="s">
        <v>74</v>
      </c>
      <c r="BO1038" s="2" t="s">
        <v>74</v>
      </c>
      <c r="BP1038" s="2" t="s">
        <v>74</v>
      </c>
      <c r="BQ1038" s="2" t="s">
        <v>74</v>
      </c>
      <c r="BR1038" s="2" t="s">
        <v>74</v>
      </c>
      <c r="BS1038" s="2" t="s">
        <v>606</v>
      </c>
      <c r="BT1038" s="2" t="str">
        <f>HYPERLINK("https%3A%2F%2Fwww.webofscience.com%2Fwos%2Fwoscc%2Ffull-record%2FWOS:000296494000001","View Full Record in Web of Science")</f>
        <v>View Full Record in Web of Science</v>
      </c>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row>
    <row r="1039" spans="1:314" s="2" customFormat="1" x14ac:dyDescent="0.4">
      <c r="A1039" s="2" t="s">
        <v>72</v>
      </c>
      <c r="B1039" s="2" t="s">
        <v>4943</v>
      </c>
      <c r="C1039" s="2" t="s">
        <v>74</v>
      </c>
      <c r="D1039" s="2" t="s">
        <v>74</v>
      </c>
      <c r="E1039" s="2" t="s">
        <v>74</v>
      </c>
      <c r="F1039" s="2" t="s">
        <v>4944</v>
      </c>
      <c r="G1039" s="2" t="s">
        <v>74</v>
      </c>
      <c r="H1039" s="2" t="s">
        <v>74</v>
      </c>
      <c r="I1039" s="2" t="s">
        <v>4945</v>
      </c>
      <c r="J1039" s="2" t="s">
        <v>129</v>
      </c>
      <c r="K1039" s="2" t="s">
        <v>74</v>
      </c>
      <c r="L1039" s="2" t="s">
        <v>74</v>
      </c>
      <c r="M1039" s="2" t="s">
        <v>74</v>
      </c>
      <c r="N1039" s="2" t="s">
        <v>74</v>
      </c>
      <c r="O1039" s="2" t="s">
        <v>74</v>
      </c>
      <c r="P1039" s="2" t="s">
        <v>74</v>
      </c>
      <c r="Q1039" s="2" t="s">
        <v>74</v>
      </c>
      <c r="R1039" s="2" t="s">
        <v>74</v>
      </c>
      <c r="S1039" s="2" t="s">
        <v>74</v>
      </c>
      <c r="T1039" s="2" t="s">
        <v>74</v>
      </c>
      <c r="U1039" s="2" t="s">
        <v>74</v>
      </c>
      <c r="V1039" s="5" t="s">
        <v>4946</v>
      </c>
      <c r="W1039" s="2" t="s">
        <v>74</v>
      </c>
      <c r="X1039" s="2" t="s">
        <v>74</v>
      </c>
      <c r="Y1039" s="2" t="s">
        <v>74</v>
      </c>
      <c r="Z1039" s="2" t="s">
        <v>74</v>
      </c>
      <c r="AA1039" s="2" t="s">
        <v>74</v>
      </c>
      <c r="AB1039" s="2" t="s">
        <v>74</v>
      </c>
      <c r="AC1039" s="2" t="s">
        <v>74</v>
      </c>
      <c r="AD1039" s="2" t="s">
        <v>74</v>
      </c>
      <c r="AE1039" s="2" t="s">
        <v>74</v>
      </c>
      <c r="AF1039" s="2" t="s">
        <v>74</v>
      </c>
      <c r="AG1039" s="2" t="s">
        <v>74</v>
      </c>
      <c r="AH1039" s="2" t="s">
        <v>74</v>
      </c>
      <c r="AI1039" s="2" t="s">
        <v>74</v>
      </c>
      <c r="AJ1039" s="2" t="s">
        <v>74</v>
      </c>
      <c r="AK1039" s="2" t="s">
        <v>74</v>
      </c>
      <c r="AL1039" s="2" t="s">
        <v>74</v>
      </c>
      <c r="AM1039" s="2" t="s">
        <v>74</v>
      </c>
      <c r="AN1039" s="2" t="s">
        <v>74</v>
      </c>
      <c r="AO1039" s="2" t="s">
        <v>132</v>
      </c>
      <c r="AP1039" s="2" t="s">
        <v>133</v>
      </c>
      <c r="AQ1039" s="2" t="s">
        <v>74</v>
      </c>
      <c r="AR1039" s="2" t="s">
        <v>74</v>
      </c>
      <c r="AS1039" s="2" t="s">
        <v>74</v>
      </c>
      <c r="AT1039" s="2" t="s">
        <v>305</v>
      </c>
      <c r="AU1039" s="2">
        <v>2009</v>
      </c>
      <c r="AV1039" s="2">
        <v>64</v>
      </c>
      <c r="AW1039" s="2">
        <v>2</v>
      </c>
      <c r="AX1039" s="2" t="s">
        <v>74</v>
      </c>
      <c r="AY1039" s="2" t="s">
        <v>74</v>
      </c>
      <c r="AZ1039" s="2" t="s">
        <v>74</v>
      </c>
      <c r="BA1039" s="2" t="s">
        <v>74</v>
      </c>
      <c r="BB1039" s="2">
        <v>225</v>
      </c>
      <c r="BC1039" s="2">
        <v>236</v>
      </c>
      <c r="BD1039" s="2" t="s">
        <v>74</v>
      </c>
      <c r="BE1039" s="2" t="s">
        <v>4947</v>
      </c>
      <c r="BF1039" s="2" t="str">
        <f>HYPERLINK("http://dx.doi.org/10.1007/s00265-009-0839-x","http://dx.doi.org/10.1007/s00265-009-0839-x")</f>
        <v>http://dx.doi.org/10.1007/s00265-009-0839-x</v>
      </c>
      <c r="BG1039" s="2" t="s">
        <v>74</v>
      </c>
      <c r="BH1039" s="2" t="s">
        <v>74</v>
      </c>
      <c r="BI1039" s="2" t="s">
        <v>74</v>
      </c>
      <c r="BJ1039" s="2" t="s">
        <v>74</v>
      </c>
      <c r="BK1039" s="2" t="s">
        <v>74</v>
      </c>
      <c r="BL1039" s="2" t="s">
        <v>74</v>
      </c>
      <c r="BM1039" s="2" t="s">
        <v>74</v>
      </c>
      <c r="BN1039" s="2" t="s">
        <v>74</v>
      </c>
      <c r="BO1039" s="2" t="s">
        <v>74</v>
      </c>
      <c r="BP1039" s="2" t="s">
        <v>74</v>
      </c>
      <c r="BQ1039" s="2" t="s">
        <v>74</v>
      </c>
      <c r="BR1039" s="2" t="s">
        <v>74</v>
      </c>
      <c r="BS1039" s="2" t="s">
        <v>4948</v>
      </c>
      <c r="BT1039" s="2" t="str">
        <f>HYPERLINK("https%3A%2F%2Fwww.webofscience.com%2Fwos%2Fwoscc%2Ffull-record%2FWOS:000271978300008","View Full Record in Web of Science")</f>
        <v>View Full Record in Web of Science</v>
      </c>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row>
    <row r="1040" spans="1:314" s="2" customFormat="1" x14ac:dyDescent="0.4">
      <c r="A1040" s="2" t="s">
        <v>72</v>
      </c>
      <c r="B1040" s="2" t="s">
        <v>8576</v>
      </c>
      <c r="C1040" s="2" t="s">
        <v>74</v>
      </c>
      <c r="D1040" s="2" t="s">
        <v>74</v>
      </c>
      <c r="E1040" s="2" t="s">
        <v>74</v>
      </c>
      <c r="F1040" s="2" t="s">
        <v>8577</v>
      </c>
      <c r="G1040" s="2" t="s">
        <v>74</v>
      </c>
      <c r="H1040" s="2" t="s">
        <v>74</v>
      </c>
      <c r="I1040" s="2" t="s">
        <v>8578</v>
      </c>
      <c r="J1040" s="2" t="s">
        <v>420</v>
      </c>
      <c r="K1040" s="2" t="s">
        <v>74</v>
      </c>
      <c r="L1040" s="2" t="s">
        <v>74</v>
      </c>
      <c r="M1040" s="2" t="s">
        <v>74</v>
      </c>
      <c r="N1040" s="2" t="s">
        <v>74</v>
      </c>
      <c r="O1040" s="2" t="s">
        <v>74</v>
      </c>
      <c r="P1040" s="2" t="s">
        <v>74</v>
      </c>
      <c r="Q1040" s="2" t="s">
        <v>74</v>
      </c>
      <c r="R1040" s="2" t="s">
        <v>74</v>
      </c>
      <c r="S1040" s="2" t="s">
        <v>74</v>
      </c>
      <c r="T1040" s="2" t="s">
        <v>74</v>
      </c>
      <c r="U1040" s="2" t="s">
        <v>74</v>
      </c>
      <c r="V1040" s="5" t="s">
        <v>8579</v>
      </c>
      <c r="W1040" s="2" t="s">
        <v>74</v>
      </c>
      <c r="X1040" s="2" t="s">
        <v>74</v>
      </c>
      <c r="Y1040" s="2" t="s">
        <v>74</v>
      </c>
      <c r="Z1040" s="2" t="s">
        <v>74</v>
      </c>
      <c r="AA1040" s="2" t="s">
        <v>74</v>
      </c>
      <c r="AB1040" s="2" t="s">
        <v>8580</v>
      </c>
      <c r="AC1040" s="2" t="s">
        <v>74</v>
      </c>
      <c r="AD1040" s="2" t="s">
        <v>74</v>
      </c>
      <c r="AE1040" s="2" t="s">
        <v>74</v>
      </c>
      <c r="AF1040" s="2" t="s">
        <v>74</v>
      </c>
      <c r="AG1040" s="2" t="s">
        <v>74</v>
      </c>
      <c r="AH1040" s="2" t="s">
        <v>74</v>
      </c>
      <c r="AI1040" s="2" t="s">
        <v>74</v>
      </c>
      <c r="AJ1040" s="2" t="s">
        <v>74</v>
      </c>
      <c r="AK1040" s="2" t="s">
        <v>74</v>
      </c>
      <c r="AL1040" s="2" t="s">
        <v>74</v>
      </c>
      <c r="AM1040" s="2" t="s">
        <v>74</v>
      </c>
      <c r="AN1040" s="2" t="s">
        <v>74</v>
      </c>
      <c r="AO1040" s="2" t="s">
        <v>424</v>
      </c>
      <c r="AP1040" s="2" t="s">
        <v>74</v>
      </c>
      <c r="AQ1040" s="2" t="s">
        <v>74</v>
      </c>
      <c r="AR1040" s="2" t="s">
        <v>74</v>
      </c>
      <c r="AS1040" s="2" t="s">
        <v>74</v>
      </c>
      <c r="AT1040" s="2" t="s">
        <v>8581</v>
      </c>
      <c r="AU1040" s="2">
        <v>2015</v>
      </c>
      <c r="AV1040" s="2">
        <v>15</v>
      </c>
      <c r="AW1040" s="2" t="s">
        <v>74</v>
      </c>
      <c r="AX1040" s="2" t="s">
        <v>74</v>
      </c>
      <c r="AY1040" s="2" t="s">
        <v>74</v>
      </c>
      <c r="AZ1040" s="2" t="s">
        <v>74</v>
      </c>
      <c r="BA1040" s="2" t="s">
        <v>74</v>
      </c>
      <c r="BB1040" s="2" t="s">
        <v>74</v>
      </c>
      <c r="BC1040" s="2" t="s">
        <v>74</v>
      </c>
      <c r="BD1040" s="2">
        <v>200</v>
      </c>
      <c r="BE1040" s="2" t="s">
        <v>8582</v>
      </c>
      <c r="BF1040" s="2" t="str">
        <f>HYPERLINK("http://dx.doi.org/10.1186/s12862-015-0481-3","http://dx.doi.org/10.1186/s12862-015-0481-3")</f>
        <v>http://dx.doi.org/10.1186/s12862-015-0481-3</v>
      </c>
      <c r="BG1040" s="2" t="s">
        <v>74</v>
      </c>
      <c r="BH1040" s="2" t="s">
        <v>74</v>
      </c>
      <c r="BI1040" s="2" t="s">
        <v>74</v>
      </c>
      <c r="BJ1040" s="2" t="s">
        <v>74</v>
      </c>
      <c r="BK1040" s="2" t="s">
        <v>74</v>
      </c>
      <c r="BL1040" s="2" t="s">
        <v>74</v>
      </c>
      <c r="BM1040" s="2" t="s">
        <v>74</v>
      </c>
      <c r="BN1040" s="2">
        <v>26385337</v>
      </c>
      <c r="BO1040" s="2" t="s">
        <v>74</v>
      </c>
      <c r="BP1040" s="2" t="s">
        <v>74</v>
      </c>
      <c r="BQ1040" s="2" t="s">
        <v>74</v>
      </c>
      <c r="BR1040" s="2" t="s">
        <v>74</v>
      </c>
      <c r="BS1040" s="2" t="s">
        <v>8583</v>
      </c>
      <c r="BT1040" s="2" t="str">
        <f>HYPERLINK("https%3A%2F%2Fwww.webofscience.com%2Fwos%2Fwoscc%2Ffull-record%2FWOS:000361510800001","View Full Record in Web of Science")</f>
        <v>View Full Record in Web of Science</v>
      </c>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row>
    <row r="1041" spans="1:314" s="2" customFormat="1" x14ac:dyDescent="0.4">
      <c r="A1041" s="2" t="s">
        <v>72</v>
      </c>
      <c r="B1041" s="2" t="s">
        <v>5718</v>
      </c>
      <c r="C1041" s="2" t="s">
        <v>74</v>
      </c>
      <c r="D1041" s="2" t="s">
        <v>74</v>
      </c>
      <c r="E1041" s="2" t="s">
        <v>74</v>
      </c>
      <c r="F1041" s="2" t="s">
        <v>5719</v>
      </c>
      <c r="G1041" s="2" t="s">
        <v>74</v>
      </c>
      <c r="H1041" s="2" t="s">
        <v>74</v>
      </c>
      <c r="I1041" s="2" t="s">
        <v>5720</v>
      </c>
      <c r="J1041" s="2" t="s">
        <v>99</v>
      </c>
      <c r="K1041" s="2" t="s">
        <v>74</v>
      </c>
      <c r="L1041" s="2" t="s">
        <v>74</v>
      </c>
      <c r="M1041" s="2" t="s">
        <v>74</v>
      </c>
      <c r="N1041" s="2" t="s">
        <v>74</v>
      </c>
      <c r="O1041" s="2" t="s">
        <v>74</v>
      </c>
      <c r="P1041" s="2" t="s">
        <v>74</v>
      </c>
      <c r="Q1041" s="2" t="s">
        <v>74</v>
      </c>
      <c r="R1041" s="2" t="s">
        <v>74</v>
      </c>
      <c r="S1041" s="2" t="s">
        <v>74</v>
      </c>
      <c r="T1041" s="2" t="s">
        <v>74</v>
      </c>
      <c r="U1041" s="2" t="s">
        <v>74</v>
      </c>
      <c r="V1041" s="5" t="s">
        <v>5721</v>
      </c>
      <c r="W1041" s="2" t="s">
        <v>74</v>
      </c>
      <c r="X1041" s="2" t="s">
        <v>74</v>
      </c>
      <c r="Y1041" s="2" t="s">
        <v>74</v>
      </c>
      <c r="Z1041" s="2" t="s">
        <v>74</v>
      </c>
      <c r="AA1041" s="2" t="s">
        <v>74</v>
      </c>
      <c r="AB1041" s="2" t="s">
        <v>5722</v>
      </c>
      <c r="AC1041" s="2" t="s">
        <v>74</v>
      </c>
      <c r="AD1041" s="2" t="s">
        <v>74</v>
      </c>
      <c r="AE1041" s="2" t="s">
        <v>74</v>
      </c>
      <c r="AF1041" s="2" t="s">
        <v>74</v>
      </c>
      <c r="AG1041" s="2" t="s">
        <v>74</v>
      </c>
      <c r="AH1041" s="2" t="s">
        <v>74</v>
      </c>
      <c r="AI1041" s="2" t="s">
        <v>74</v>
      </c>
      <c r="AJ1041" s="2" t="s">
        <v>74</v>
      </c>
      <c r="AK1041" s="2" t="s">
        <v>74</v>
      </c>
      <c r="AL1041" s="2" t="s">
        <v>74</v>
      </c>
      <c r="AM1041" s="2" t="s">
        <v>74</v>
      </c>
      <c r="AN1041" s="2" t="s">
        <v>74</v>
      </c>
      <c r="AO1041" s="2" t="s">
        <v>101</v>
      </c>
      <c r="AP1041" s="2" t="s">
        <v>1218</v>
      </c>
      <c r="AQ1041" s="2" t="s">
        <v>74</v>
      </c>
      <c r="AR1041" s="2" t="s">
        <v>74</v>
      </c>
      <c r="AS1041" s="2" t="s">
        <v>74</v>
      </c>
      <c r="AT1041" s="2" t="s">
        <v>123</v>
      </c>
      <c r="AU1041" s="2">
        <v>2018</v>
      </c>
      <c r="AV1041" s="2">
        <v>130</v>
      </c>
      <c r="AW1041" s="2">
        <v>1</v>
      </c>
      <c r="AX1041" s="2" t="s">
        <v>74</v>
      </c>
      <c r="AY1041" s="2" t="s">
        <v>74</v>
      </c>
      <c r="AZ1041" s="2" t="s">
        <v>74</v>
      </c>
      <c r="BA1041" s="2" t="s">
        <v>74</v>
      </c>
      <c r="BB1041" s="2">
        <v>286</v>
      </c>
      <c r="BC1041" s="2">
        <v>296</v>
      </c>
      <c r="BD1041" s="2" t="s">
        <v>74</v>
      </c>
      <c r="BE1041" s="2" t="s">
        <v>74</v>
      </c>
      <c r="BF1041" s="2" t="s">
        <v>74</v>
      </c>
      <c r="BG1041" s="2" t="s">
        <v>74</v>
      </c>
      <c r="BH1041" s="2" t="s">
        <v>74</v>
      </c>
      <c r="BI1041" s="2" t="s">
        <v>74</v>
      </c>
      <c r="BJ1041" s="2" t="s">
        <v>74</v>
      </c>
      <c r="BK1041" s="2" t="s">
        <v>74</v>
      </c>
      <c r="BL1041" s="2" t="s">
        <v>74</v>
      </c>
      <c r="BM1041" s="2" t="s">
        <v>74</v>
      </c>
      <c r="BN1041" s="2" t="s">
        <v>74</v>
      </c>
      <c r="BO1041" s="2" t="s">
        <v>74</v>
      </c>
      <c r="BP1041" s="2" t="s">
        <v>74</v>
      </c>
      <c r="BQ1041" s="2" t="s">
        <v>74</v>
      </c>
      <c r="BR1041" s="2" t="s">
        <v>74</v>
      </c>
      <c r="BS1041" s="2" t="s">
        <v>5723</v>
      </c>
      <c r="BT1041" s="2" t="str">
        <f>HYPERLINK("https%3A%2F%2Fwww.webofscience.com%2Fwos%2Fwoscc%2Ffull-record%2FWOS:000430954100023","View Full Record in Web of Science")</f>
        <v>View Full Record in Web of Science</v>
      </c>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row>
    <row r="1042" spans="1:314" s="2" customFormat="1" x14ac:dyDescent="0.4">
      <c r="A1042" s="2" t="s">
        <v>72</v>
      </c>
      <c r="B1042" s="2" t="s">
        <v>4325</v>
      </c>
      <c r="C1042" s="2" t="s">
        <v>74</v>
      </c>
      <c r="D1042" s="2" t="s">
        <v>74</v>
      </c>
      <c r="E1042" s="2" t="s">
        <v>74</v>
      </c>
      <c r="F1042" s="2" t="s">
        <v>4326</v>
      </c>
      <c r="G1042" s="2" t="s">
        <v>74</v>
      </c>
      <c r="H1042" s="2" t="s">
        <v>74</v>
      </c>
      <c r="I1042" s="2" t="s">
        <v>4327</v>
      </c>
      <c r="J1042" s="2" t="s">
        <v>1673</v>
      </c>
      <c r="K1042" s="2" t="s">
        <v>74</v>
      </c>
      <c r="L1042" s="2" t="s">
        <v>74</v>
      </c>
      <c r="M1042" s="2" t="s">
        <v>74</v>
      </c>
      <c r="N1042" s="2" t="s">
        <v>74</v>
      </c>
      <c r="O1042" s="2" t="s">
        <v>74</v>
      </c>
      <c r="P1042" s="2" t="s">
        <v>74</v>
      </c>
      <c r="Q1042" s="2" t="s">
        <v>74</v>
      </c>
      <c r="R1042" s="2" t="s">
        <v>74</v>
      </c>
      <c r="S1042" s="2" t="s">
        <v>74</v>
      </c>
      <c r="T1042" s="2" t="s">
        <v>74</v>
      </c>
      <c r="U1042" s="2" t="s">
        <v>74</v>
      </c>
      <c r="V1042" s="5" t="s">
        <v>4328</v>
      </c>
      <c r="W1042" s="2" t="s">
        <v>74</v>
      </c>
      <c r="X1042" s="2" t="s">
        <v>74</v>
      </c>
      <c r="Y1042" s="2" t="s">
        <v>74</v>
      </c>
      <c r="Z1042" s="2" t="s">
        <v>74</v>
      </c>
      <c r="AA1042" s="2" t="s">
        <v>74</v>
      </c>
      <c r="AB1042" s="2" t="s">
        <v>74</v>
      </c>
      <c r="AC1042" s="2" t="s">
        <v>74</v>
      </c>
      <c r="AD1042" s="2" t="s">
        <v>74</v>
      </c>
      <c r="AE1042" s="2" t="s">
        <v>74</v>
      </c>
      <c r="AF1042" s="2" t="s">
        <v>74</v>
      </c>
      <c r="AG1042" s="2" t="s">
        <v>74</v>
      </c>
      <c r="AH1042" s="2" t="s">
        <v>74</v>
      </c>
      <c r="AI1042" s="2" t="s">
        <v>74</v>
      </c>
      <c r="AJ1042" s="2" t="s">
        <v>74</v>
      </c>
      <c r="AK1042" s="2" t="s">
        <v>74</v>
      </c>
      <c r="AL1042" s="2" t="s">
        <v>74</v>
      </c>
      <c r="AM1042" s="2" t="s">
        <v>74</v>
      </c>
      <c r="AN1042" s="2" t="s">
        <v>74</v>
      </c>
      <c r="AO1042" s="2" t="s">
        <v>1239</v>
      </c>
      <c r="AP1042" s="2" t="s">
        <v>1675</v>
      </c>
      <c r="AQ1042" s="2" t="s">
        <v>74</v>
      </c>
      <c r="AR1042" s="2" t="s">
        <v>74</v>
      </c>
      <c r="AS1042" s="2" t="s">
        <v>74</v>
      </c>
      <c r="AT1042" s="2" t="s">
        <v>213</v>
      </c>
      <c r="AU1042" s="2">
        <v>2022</v>
      </c>
      <c r="AV1042" s="2">
        <v>100</v>
      </c>
      <c r="AW1042" s="2">
        <v>11</v>
      </c>
      <c r="AX1042" s="2" t="s">
        <v>74</v>
      </c>
      <c r="AY1042" s="2" t="s">
        <v>74</v>
      </c>
      <c r="AZ1042" s="2" t="s">
        <v>74</v>
      </c>
      <c r="BA1042" s="2" t="s">
        <v>74</v>
      </c>
      <c r="BB1042" s="2">
        <v>747</v>
      </c>
      <c r="BC1042" s="2">
        <v>756</v>
      </c>
      <c r="BD1042" s="2" t="s">
        <v>74</v>
      </c>
      <c r="BE1042" s="2" t="s">
        <v>4329</v>
      </c>
      <c r="BF1042" s="2" t="str">
        <f>HYPERLINK("http://dx.doi.org/10.1139/cjz-2022-0064747","http://dx.doi.org/10.1139/cjz-2022-0064747")</f>
        <v>http://dx.doi.org/10.1139/cjz-2022-0064747</v>
      </c>
      <c r="BG1042" s="2" t="s">
        <v>74</v>
      </c>
      <c r="BH1042" s="2" t="s">
        <v>74</v>
      </c>
      <c r="BI1042" s="2" t="s">
        <v>74</v>
      </c>
      <c r="BJ1042" s="2" t="s">
        <v>74</v>
      </c>
      <c r="BK1042" s="2" t="s">
        <v>74</v>
      </c>
      <c r="BL1042" s="2" t="s">
        <v>74</v>
      </c>
      <c r="BM1042" s="2" t="s">
        <v>74</v>
      </c>
      <c r="BN1042" s="2" t="s">
        <v>74</v>
      </c>
      <c r="BO1042" s="2" t="s">
        <v>74</v>
      </c>
      <c r="BP1042" s="2" t="s">
        <v>74</v>
      </c>
      <c r="BQ1042" s="2" t="s">
        <v>74</v>
      </c>
      <c r="BR1042" s="2" t="s">
        <v>74</v>
      </c>
      <c r="BS1042" s="2" t="s">
        <v>4330</v>
      </c>
      <c r="BT1042" s="2" t="str">
        <f>HYPERLINK("https%3A%2F%2Fwww.webofscience.com%2Fwos%2Fwoscc%2Ffull-record%2FWOS:000879975200002","View Full Record in Web of Science")</f>
        <v>View Full Record in Web of Science</v>
      </c>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row>
    <row r="1043" spans="1:314" s="2" customFormat="1" x14ac:dyDescent="0.4">
      <c r="A1043" s="2" t="s">
        <v>72</v>
      </c>
      <c r="B1043" s="2" t="s">
        <v>4325</v>
      </c>
      <c r="C1043" s="2" t="s">
        <v>74</v>
      </c>
      <c r="D1043" s="2" t="s">
        <v>74</v>
      </c>
      <c r="E1043" s="2" t="s">
        <v>74</v>
      </c>
      <c r="F1043" s="2" t="s">
        <v>4326</v>
      </c>
      <c r="G1043" s="2" t="s">
        <v>74</v>
      </c>
      <c r="H1043" s="2" t="s">
        <v>74</v>
      </c>
      <c r="I1043" s="2" t="s">
        <v>4337</v>
      </c>
      <c r="J1043" s="2" t="s">
        <v>1673</v>
      </c>
      <c r="K1043" s="2" t="s">
        <v>74</v>
      </c>
      <c r="L1043" s="2" t="s">
        <v>74</v>
      </c>
      <c r="M1043" s="2" t="s">
        <v>74</v>
      </c>
      <c r="N1043" s="2" t="s">
        <v>74</v>
      </c>
      <c r="O1043" s="2" t="s">
        <v>74</v>
      </c>
      <c r="P1043" s="2" t="s">
        <v>74</v>
      </c>
      <c r="Q1043" s="2" t="s">
        <v>74</v>
      </c>
      <c r="R1043" s="2" t="s">
        <v>74</v>
      </c>
      <c r="S1043" s="2" t="s">
        <v>74</v>
      </c>
      <c r="T1043" s="2" t="s">
        <v>74</v>
      </c>
      <c r="U1043" s="2" t="s">
        <v>74</v>
      </c>
      <c r="V1043" s="5" t="s">
        <v>4328</v>
      </c>
      <c r="W1043" s="2" t="s">
        <v>74</v>
      </c>
      <c r="X1043" s="2" t="s">
        <v>74</v>
      </c>
      <c r="Y1043" s="2" t="s">
        <v>74</v>
      </c>
      <c r="Z1043" s="2" t="s">
        <v>74</v>
      </c>
      <c r="AA1043" s="2" t="s">
        <v>74</v>
      </c>
      <c r="AB1043" s="2" t="s">
        <v>74</v>
      </c>
      <c r="AC1043" s="2" t="s">
        <v>74</v>
      </c>
      <c r="AD1043" s="2" t="s">
        <v>74</v>
      </c>
      <c r="AE1043" s="2" t="s">
        <v>74</v>
      </c>
      <c r="AF1043" s="2" t="s">
        <v>74</v>
      </c>
      <c r="AG1043" s="2" t="s">
        <v>74</v>
      </c>
      <c r="AH1043" s="2" t="s">
        <v>74</v>
      </c>
      <c r="AI1043" s="2" t="s">
        <v>74</v>
      </c>
      <c r="AJ1043" s="2" t="s">
        <v>74</v>
      </c>
      <c r="AK1043" s="2" t="s">
        <v>74</v>
      </c>
      <c r="AL1043" s="2" t="s">
        <v>74</v>
      </c>
      <c r="AM1043" s="2" t="s">
        <v>74</v>
      </c>
      <c r="AN1043" s="2" t="s">
        <v>74</v>
      </c>
      <c r="AO1043" s="2" t="s">
        <v>1239</v>
      </c>
      <c r="AP1043" s="2" t="s">
        <v>1675</v>
      </c>
      <c r="AQ1043" s="2" t="s">
        <v>74</v>
      </c>
      <c r="AR1043" s="2" t="s">
        <v>74</v>
      </c>
      <c r="AS1043" s="2" t="s">
        <v>74</v>
      </c>
      <c r="AT1043" s="2" t="s">
        <v>4338</v>
      </c>
      <c r="AU1043" s="2">
        <v>2022</v>
      </c>
      <c r="AV1043" s="2" t="s">
        <v>74</v>
      </c>
      <c r="AW1043" s="2" t="s">
        <v>74</v>
      </c>
      <c r="AX1043" s="2" t="s">
        <v>74</v>
      </c>
      <c r="AY1043" s="2" t="s">
        <v>74</v>
      </c>
      <c r="AZ1043" s="2" t="s">
        <v>74</v>
      </c>
      <c r="BA1043" s="2" t="s">
        <v>74</v>
      </c>
      <c r="BB1043" s="2" t="s">
        <v>74</v>
      </c>
      <c r="BC1043" s="2" t="s">
        <v>74</v>
      </c>
      <c r="BD1043" s="2" t="s">
        <v>74</v>
      </c>
      <c r="BE1043" s="2" t="s">
        <v>4339</v>
      </c>
      <c r="BF1043" s="2" t="str">
        <f>HYPERLINK("http://dx.doi.org/10.1139/cjz-2022-0064","http://dx.doi.org/10.1139/cjz-2022-0064")</f>
        <v>http://dx.doi.org/10.1139/cjz-2022-0064</v>
      </c>
      <c r="BG1043" s="2" t="s">
        <v>74</v>
      </c>
      <c r="BH1043" s="2" t="s">
        <v>3406</v>
      </c>
      <c r="BI1043" s="2" t="s">
        <v>74</v>
      </c>
      <c r="BJ1043" s="2" t="s">
        <v>74</v>
      </c>
      <c r="BK1043" s="2" t="s">
        <v>74</v>
      </c>
      <c r="BL1043" s="2" t="s">
        <v>74</v>
      </c>
      <c r="BM1043" s="2" t="s">
        <v>74</v>
      </c>
      <c r="BN1043" s="2" t="s">
        <v>74</v>
      </c>
      <c r="BO1043" s="2" t="s">
        <v>74</v>
      </c>
      <c r="BP1043" s="2" t="s">
        <v>74</v>
      </c>
      <c r="BQ1043" s="2" t="s">
        <v>74</v>
      </c>
      <c r="BR1043" s="2" t="s">
        <v>74</v>
      </c>
      <c r="BS1043" s="2" t="s">
        <v>4340</v>
      </c>
      <c r="BT1043" s="2" t="str">
        <f>HYPERLINK("https%3A%2F%2Fwww.webofscience.com%2Fwos%2Fwoscc%2Ffull-record%2FWOS:000857570800001","View Full Record in Web of Science")</f>
        <v>View Full Record in Web of Science</v>
      </c>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row>
    <row r="1044" spans="1:314" s="2" customFormat="1" x14ac:dyDescent="0.4">
      <c r="A1044" s="2" t="s">
        <v>72</v>
      </c>
      <c r="B1044" s="2" t="s">
        <v>2014</v>
      </c>
      <c r="C1044" s="2" t="s">
        <v>74</v>
      </c>
      <c r="D1044" s="2" t="s">
        <v>74</v>
      </c>
      <c r="E1044" s="2" t="s">
        <v>74</v>
      </c>
      <c r="F1044" s="2" t="s">
        <v>2015</v>
      </c>
      <c r="G1044" s="2" t="s">
        <v>74</v>
      </c>
      <c r="H1044" s="2" t="s">
        <v>74</v>
      </c>
      <c r="I1044" s="2" t="s">
        <v>2016</v>
      </c>
      <c r="J1044" s="2" t="s">
        <v>2017</v>
      </c>
      <c r="K1044" s="2" t="s">
        <v>74</v>
      </c>
      <c r="L1044" s="2" t="s">
        <v>74</v>
      </c>
      <c r="M1044" s="2" t="s">
        <v>74</v>
      </c>
      <c r="N1044" s="2" t="s">
        <v>74</v>
      </c>
      <c r="O1044" s="2" t="s">
        <v>74</v>
      </c>
      <c r="P1044" s="2" t="s">
        <v>74</v>
      </c>
      <c r="Q1044" s="2" t="s">
        <v>74</v>
      </c>
      <c r="R1044" s="2" t="s">
        <v>74</v>
      </c>
      <c r="S1044" s="2" t="s">
        <v>74</v>
      </c>
      <c r="T1044" s="2" t="s">
        <v>74</v>
      </c>
      <c r="U1044" s="2" t="s">
        <v>74</v>
      </c>
      <c r="V1044" s="5" t="s">
        <v>2018</v>
      </c>
      <c r="W1044" s="2" t="s">
        <v>74</v>
      </c>
      <c r="X1044" s="2" t="s">
        <v>74</v>
      </c>
      <c r="Y1044" s="2" t="s">
        <v>74</v>
      </c>
      <c r="Z1044" s="2" t="s">
        <v>74</v>
      </c>
      <c r="AA1044" s="2" t="s">
        <v>2019</v>
      </c>
      <c r="AB1044" s="2" t="s">
        <v>2020</v>
      </c>
      <c r="AC1044" s="2" t="s">
        <v>74</v>
      </c>
      <c r="AD1044" s="2" t="s">
        <v>74</v>
      </c>
      <c r="AE1044" s="2" t="s">
        <v>74</v>
      </c>
      <c r="AF1044" s="2" t="s">
        <v>74</v>
      </c>
      <c r="AG1044" s="2" t="s">
        <v>74</v>
      </c>
      <c r="AH1044" s="2" t="s">
        <v>74</v>
      </c>
      <c r="AI1044" s="2" t="s">
        <v>74</v>
      </c>
      <c r="AJ1044" s="2" t="s">
        <v>74</v>
      </c>
      <c r="AK1044" s="2" t="s">
        <v>74</v>
      </c>
      <c r="AL1044" s="2" t="s">
        <v>74</v>
      </c>
      <c r="AM1044" s="2" t="s">
        <v>74</v>
      </c>
      <c r="AN1044" s="2" t="s">
        <v>74</v>
      </c>
      <c r="AO1044" s="2" t="s">
        <v>2021</v>
      </c>
      <c r="AP1044" s="2" t="s">
        <v>74</v>
      </c>
      <c r="AQ1044" s="2" t="s">
        <v>74</v>
      </c>
      <c r="AR1044" s="2" t="s">
        <v>74</v>
      </c>
      <c r="AS1044" s="2" t="s">
        <v>74</v>
      </c>
      <c r="AT1044" s="2" t="s">
        <v>2022</v>
      </c>
      <c r="AU1044" s="2">
        <v>2021</v>
      </c>
      <c r="AV1044" s="2">
        <v>9</v>
      </c>
      <c r="AW1044" s="2" t="s">
        <v>74</v>
      </c>
      <c r="AX1044" s="2" t="s">
        <v>74</v>
      </c>
      <c r="AY1044" s="2" t="s">
        <v>74</v>
      </c>
      <c r="AZ1044" s="2" t="s">
        <v>74</v>
      </c>
      <c r="BA1044" s="2" t="s">
        <v>74</v>
      </c>
      <c r="BB1044" s="2" t="s">
        <v>74</v>
      </c>
      <c r="BC1044" s="2" t="s">
        <v>74</v>
      </c>
      <c r="BD1044" s="2">
        <v>589781</v>
      </c>
      <c r="BE1044" s="2" t="s">
        <v>2023</v>
      </c>
      <c r="BF1044" s="2" t="str">
        <f>HYPERLINK("http://dx.doi.org/10.3389/fevo.2021.589781","http://dx.doi.org/10.3389/fevo.2021.589781")</f>
        <v>http://dx.doi.org/10.3389/fevo.2021.589781</v>
      </c>
      <c r="BG1044" s="2" t="s">
        <v>74</v>
      </c>
      <c r="BH1044" s="2" t="s">
        <v>74</v>
      </c>
      <c r="BI1044" s="2" t="s">
        <v>74</v>
      </c>
      <c r="BJ1044" s="2" t="s">
        <v>74</v>
      </c>
      <c r="BK1044" s="2" t="s">
        <v>74</v>
      </c>
      <c r="BL1044" s="2" t="s">
        <v>74</v>
      </c>
      <c r="BM1044" s="2" t="s">
        <v>74</v>
      </c>
      <c r="BN1044" s="2" t="s">
        <v>74</v>
      </c>
      <c r="BO1044" s="2" t="s">
        <v>74</v>
      </c>
      <c r="BP1044" s="2" t="s">
        <v>74</v>
      </c>
      <c r="BQ1044" s="2" t="s">
        <v>74</v>
      </c>
      <c r="BR1044" s="2" t="s">
        <v>74</v>
      </c>
      <c r="BS1044" s="2" t="s">
        <v>2024</v>
      </c>
      <c r="BT1044" s="2" t="str">
        <f>HYPERLINK("https%3A%2F%2Fwww.webofscience.com%2Fwos%2Fwoscc%2Ffull-record%2FWOS:000645123900001","View Full Record in Web of Science")</f>
        <v>View Full Record in Web of Science</v>
      </c>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row>
    <row r="1045" spans="1:314" s="2" customFormat="1" x14ac:dyDescent="0.4">
      <c r="A1045" s="2" t="s">
        <v>72</v>
      </c>
      <c r="B1045" s="2" t="s">
        <v>3835</v>
      </c>
      <c r="C1045" s="2" t="s">
        <v>74</v>
      </c>
      <c r="D1045" s="2" t="s">
        <v>74</v>
      </c>
      <c r="E1045" s="2" t="s">
        <v>74</v>
      </c>
      <c r="F1045" s="2" t="s">
        <v>3836</v>
      </c>
      <c r="G1045" s="2" t="s">
        <v>74</v>
      </c>
      <c r="H1045" s="2" t="s">
        <v>74</v>
      </c>
      <c r="I1045" s="2" t="s">
        <v>3837</v>
      </c>
      <c r="J1045" s="2" t="s">
        <v>824</v>
      </c>
      <c r="K1045" s="2" t="s">
        <v>74</v>
      </c>
      <c r="L1045" s="2" t="s">
        <v>74</v>
      </c>
      <c r="M1045" s="2" t="s">
        <v>74</v>
      </c>
      <c r="N1045" s="2" t="s">
        <v>74</v>
      </c>
      <c r="O1045" s="2" t="s">
        <v>74</v>
      </c>
      <c r="P1045" s="2" t="s">
        <v>74</v>
      </c>
      <c r="Q1045" s="2" t="s">
        <v>74</v>
      </c>
      <c r="R1045" s="2" t="s">
        <v>74</v>
      </c>
      <c r="S1045" s="2" t="s">
        <v>74</v>
      </c>
      <c r="T1045" s="2" t="s">
        <v>74</v>
      </c>
      <c r="U1045" s="2" t="s">
        <v>74</v>
      </c>
      <c r="V1045" s="5" t="s">
        <v>3838</v>
      </c>
      <c r="W1045" s="2" t="s">
        <v>74</v>
      </c>
      <c r="X1045" s="2" t="s">
        <v>74</v>
      </c>
      <c r="Y1045" s="2" t="s">
        <v>74</v>
      </c>
      <c r="Z1045" s="2" t="s">
        <v>74</v>
      </c>
      <c r="AA1045" s="2" t="s">
        <v>3839</v>
      </c>
      <c r="AB1045" s="2" t="s">
        <v>3840</v>
      </c>
      <c r="AC1045" s="2" t="s">
        <v>74</v>
      </c>
      <c r="AD1045" s="2" t="s">
        <v>74</v>
      </c>
      <c r="AE1045" s="2" t="s">
        <v>74</v>
      </c>
      <c r="AF1045" s="2" t="s">
        <v>74</v>
      </c>
      <c r="AG1045" s="2" t="s">
        <v>74</v>
      </c>
      <c r="AH1045" s="2" t="s">
        <v>74</v>
      </c>
      <c r="AI1045" s="2" t="s">
        <v>74</v>
      </c>
      <c r="AJ1045" s="2" t="s">
        <v>74</v>
      </c>
      <c r="AK1045" s="2" t="s">
        <v>74</v>
      </c>
      <c r="AL1045" s="2" t="s">
        <v>74</v>
      </c>
      <c r="AM1045" s="2" t="s">
        <v>74</v>
      </c>
      <c r="AN1045" s="2" t="s">
        <v>74</v>
      </c>
      <c r="AO1045" s="2" t="s">
        <v>828</v>
      </c>
      <c r="AP1045" s="2" t="s">
        <v>829</v>
      </c>
      <c r="AQ1045" s="2" t="s">
        <v>74</v>
      </c>
      <c r="AR1045" s="2" t="s">
        <v>74</v>
      </c>
      <c r="AS1045" s="2" t="s">
        <v>74</v>
      </c>
      <c r="AT1045" s="2" t="s">
        <v>352</v>
      </c>
      <c r="AU1045" s="2">
        <v>2017</v>
      </c>
      <c r="AV1045" s="2">
        <v>86</v>
      </c>
      <c r="AW1045" s="2">
        <v>5</v>
      </c>
      <c r="AX1045" s="2" t="s">
        <v>74</v>
      </c>
      <c r="AY1045" s="2" t="s">
        <v>74</v>
      </c>
      <c r="AZ1045" s="2" t="s">
        <v>74</v>
      </c>
      <c r="BA1045" s="2" t="s">
        <v>74</v>
      </c>
      <c r="BB1045" s="2">
        <v>1044</v>
      </c>
      <c r="BC1045" s="2">
        <v>1053</v>
      </c>
      <c r="BD1045" s="2" t="s">
        <v>74</v>
      </c>
      <c r="BE1045" s="2" t="s">
        <v>3841</v>
      </c>
      <c r="BF1045" s="2" t="str">
        <f>HYPERLINK("http://dx.doi.org/10.1111/1365-2656.12693","http://dx.doi.org/10.1111/1365-2656.12693")</f>
        <v>http://dx.doi.org/10.1111/1365-2656.12693</v>
      </c>
      <c r="BG1045" s="2" t="s">
        <v>74</v>
      </c>
      <c r="BH1045" s="2" t="s">
        <v>74</v>
      </c>
      <c r="BI1045" s="2" t="s">
        <v>74</v>
      </c>
      <c r="BJ1045" s="2" t="s">
        <v>74</v>
      </c>
      <c r="BK1045" s="2" t="s">
        <v>74</v>
      </c>
      <c r="BL1045" s="2" t="s">
        <v>74</v>
      </c>
      <c r="BM1045" s="2" t="s">
        <v>74</v>
      </c>
      <c r="BN1045" s="2">
        <v>28502118</v>
      </c>
      <c r="BO1045" s="2" t="s">
        <v>74</v>
      </c>
      <c r="BP1045" s="2" t="s">
        <v>74</v>
      </c>
      <c r="BQ1045" s="2" t="s">
        <v>74</v>
      </c>
      <c r="BR1045" s="2" t="s">
        <v>74</v>
      </c>
      <c r="BS1045" s="2" t="s">
        <v>3842</v>
      </c>
      <c r="BT1045" s="2" t="str">
        <f>HYPERLINK("https%3A%2F%2Fwww.webofscience.com%2Fwos%2Fwoscc%2Ffull-record%2FWOS:000407320500007","View Full Record in Web of Science")</f>
        <v>View Full Record in Web of Science</v>
      </c>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row>
    <row r="1046" spans="1:314" s="2" customFormat="1" x14ac:dyDescent="0.4">
      <c r="A1046" s="2" t="s">
        <v>72</v>
      </c>
      <c r="B1046" s="2" t="s">
        <v>1554</v>
      </c>
      <c r="C1046" s="2" t="s">
        <v>74</v>
      </c>
      <c r="D1046" s="2" t="s">
        <v>74</v>
      </c>
      <c r="E1046" s="2" t="s">
        <v>74</v>
      </c>
      <c r="F1046" s="2" t="s">
        <v>1555</v>
      </c>
      <c r="G1046" s="2" t="s">
        <v>74</v>
      </c>
      <c r="H1046" s="2" t="s">
        <v>74</v>
      </c>
      <c r="I1046" s="2" t="s">
        <v>1556</v>
      </c>
      <c r="J1046" s="2" t="s">
        <v>1557</v>
      </c>
      <c r="K1046" s="2" t="s">
        <v>74</v>
      </c>
      <c r="L1046" s="2" t="s">
        <v>74</v>
      </c>
      <c r="M1046" s="2" t="s">
        <v>74</v>
      </c>
      <c r="N1046" s="2" t="s">
        <v>74</v>
      </c>
      <c r="O1046" s="2" t="s">
        <v>74</v>
      </c>
      <c r="P1046" s="2" t="s">
        <v>74</v>
      </c>
      <c r="Q1046" s="2" t="s">
        <v>74</v>
      </c>
      <c r="R1046" s="2" t="s">
        <v>74</v>
      </c>
      <c r="S1046" s="2" t="s">
        <v>74</v>
      </c>
      <c r="T1046" s="2" t="s">
        <v>74</v>
      </c>
      <c r="U1046" s="2" t="s">
        <v>74</v>
      </c>
      <c r="V1046" s="5" t="s">
        <v>1558</v>
      </c>
      <c r="W1046" s="2" t="s">
        <v>74</v>
      </c>
      <c r="X1046" s="2" t="s">
        <v>74</v>
      </c>
      <c r="Y1046" s="2" t="s">
        <v>74</v>
      </c>
      <c r="Z1046" s="2" t="s">
        <v>74</v>
      </c>
      <c r="AA1046" s="2" t="s">
        <v>1559</v>
      </c>
      <c r="AB1046" s="2" t="s">
        <v>1560</v>
      </c>
      <c r="AC1046" s="2" t="s">
        <v>74</v>
      </c>
      <c r="AD1046" s="2" t="s">
        <v>74</v>
      </c>
      <c r="AE1046" s="2" t="s">
        <v>74</v>
      </c>
      <c r="AF1046" s="2" t="s">
        <v>74</v>
      </c>
      <c r="AG1046" s="2" t="s">
        <v>74</v>
      </c>
      <c r="AH1046" s="2" t="s">
        <v>74</v>
      </c>
      <c r="AI1046" s="2" t="s">
        <v>74</v>
      </c>
      <c r="AJ1046" s="2" t="s">
        <v>74</v>
      </c>
      <c r="AK1046" s="2" t="s">
        <v>74</v>
      </c>
      <c r="AL1046" s="2" t="s">
        <v>74</v>
      </c>
      <c r="AM1046" s="2" t="s">
        <v>74</v>
      </c>
      <c r="AN1046" s="2" t="s">
        <v>74</v>
      </c>
      <c r="AO1046" s="2" t="s">
        <v>1561</v>
      </c>
      <c r="AP1046" s="2" t="s">
        <v>1562</v>
      </c>
      <c r="AQ1046" s="2" t="s">
        <v>74</v>
      </c>
      <c r="AR1046" s="2" t="s">
        <v>74</v>
      </c>
      <c r="AS1046" s="2" t="s">
        <v>74</v>
      </c>
      <c r="AT1046" s="2" t="s">
        <v>361</v>
      </c>
      <c r="AU1046" s="2">
        <v>2013</v>
      </c>
      <c r="AV1046" s="2">
        <v>46</v>
      </c>
      <c r="AW1046" s="2">
        <v>3</v>
      </c>
      <c r="AX1046" s="2" t="s">
        <v>74</v>
      </c>
      <c r="AY1046" s="2" t="s">
        <v>74</v>
      </c>
      <c r="AZ1046" s="2" t="s">
        <v>74</v>
      </c>
      <c r="BA1046" s="2" t="s">
        <v>74</v>
      </c>
      <c r="BB1046" s="2">
        <v>183</v>
      </c>
      <c r="BC1046" s="2">
        <v>190</v>
      </c>
      <c r="BD1046" s="2" t="s">
        <v>74</v>
      </c>
      <c r="BE1046" s="2" t="s">
        <v>1563</v>
      </c>
      <c r="BF1046" s="2" t="str">
        <f>HYPERLINK("http://dx.doi.org/10.1080/10236244.2013.805053","http://dx.doi.org/10.1080/10236244.2013.805053")</f>
        <v>http://dx.doi.org/10.1080/10236244.2013.805053</v>
      </c>
      <c r="BG1046" s="2" t="s">
        <v>74</v>
      </c>
      <c r="BH1046" s="2" t="s">
        <v>74</v>
      </c>
      <c r="BI1046" s="2" t="s">
        <v>74</v>
      </c>
      <c r="BJ1046" s="2" t="s">
        <v>74</v>
      </c>
      <c r="BK1046" s="2" t="s">
        <v>74</v>
      </c>
      <c r="BL1046" s="2" t="s">
        <v>74</v>
      </c>
      <c r="BM1046" s="2" t="s">
        <v>74</v>
      </c>
      <c r="BN1046" s="2" t="s">
        <v>74</v>
      </c>
      <c r="BO1046" s="2" t="s">
        <v>74</v>
      </c>
      <c r="BP1046" s="2" t="s">
        <v>74</v>
      </c>
      <c r="BQ1046" s="2" t="s">
        <v>74</v>
      </c>
      <c r="BR1046" s="2" t="s">
        <v>74</v>
      </c>
      <c r="BS1046" s="2" t="s">
        <v>1564</v>
      </c>
      <c r="BT1046" s="2" t="str">
        <f>HYPERLINK("https%3A%2F%2Fwww.webofscience.com%2Fwos%2Fwoscc%2Ffull-record%2FWOS:000320570200004","View Full Record in Web of Science")</f>
        <v>View Full Record in Web of Science</v>
      </c>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row>
    <row r="1047" spans="1:314" s="2" customFormat="1" x14ac:dyDescent="0.4">
      <c r="A1047" s="2" t="s">
        <v>72</v>
      </c>
      <c r="B1047" s="2" t="s">
        <v>1283</v>
      </c>
      <c r="C1047" s="2" t="s">
        <v>74</v>
      </c>
      <c r="D1047" s="2" t="s">
        <v>74</v>
      </c>
      <c r="E1047" s="2" t="s">
        <v>74</v>
      </c>
      <c r="F1047" s="2" t="s">
        <v>1284</v>
      </c>
      <c r="G1047" s="2" t="s">
        <v>74</v>
      </c>
      <c r="H1047" s="2" t="s">
        <v>74</v>
      </c>
      <c r="I1047" s="2" t="s">
        <v>1285</v>
      </c>
      <c r="J1047" s="2" t="s">
        <v>654</v>
      </c>
      <c r="K1047" s="2" t="s">
        <v>74</v>
      </c>
      <c r="L1047" s="2" t="s">
        <v>74</v>
      </c>
      <c r="M1047" s="2" t="s">
        <v>74</v>
      </c>
      <c r="N1047" s="2" t="s">
        <v>74</v>
      </c>
      <c r="O1047" s="2" t="s">
        <v>74</v>
      </c>
      <c r="P1047" s="2" t="s">
        <v>74</v>
      </c>
      <c r="Q1047" s="2" t="s">
        <v>74</v>
      </c>
      <c r="R1047" s="2" t="s">
        <v>74</v>
      </c>
      <c r="S1047" s="2" t="s">
        <v>74</v>
      </c>
      <c r="T1047" s="2" t="s">
        <v>74</v>
      </c>
      <c r="U1047" s="2" t="s">
        <v>74</v>
      </c>
      <c r="V1047" s="5" t="s">
        <v>1286</v>
      </c>
      <c r="W1047" s="2" t="s">
        <v>74</v>
      </c>
      <c r="X1047" s="2" t="s">
        <v>74</v>
      </c>
      <c r="Y1047" s="2" t="s">
        <v>74</v>
      </c>
      <c r="Z1047" s="2" t="s">
        <v>74</v>
      </c>
      <c r="AA1047" s="2" t="s">
        <v>1287</v>
      </c>
      <c r="AB1047" s="2" t="s">
        <v>1288</v>
      </c>
      <c r="AC1047" s="2" t="s">
        <v>74</v>
      </c>
      <c r="AD1047" s="2" t="s">
        <v>74</v>
      </c>
      <c r="AE1047" s="2" t="s">
        <v>74</v>
      </c>
      <c r="AF1047" s="2" t="s">
        <v>74</v>
      </c>
      <c r="AG1047" s="2" t="s">
        <v>74</v>
      </c>
      <c r="AH1047" s="2" t="s">
        <v>74</v>
      </c>
      <c r="AI1047" s="2" t="s">
        <v>74</v>
      </c>
      <c r="AJ1047" s="2" t="s">
        <v>74</v>
      </c>
      <c r="AK1047" s="2" t="s">
        <v>74</v>
      </c>
      <c r="AL1047" s="2" t="s">
        <v>74</v>
      </c>
      <c r="AM1047" s="2" t="s">
        <v>74</v>
      </c>
      <c r="AN1047" s="2" t="s">
        <v>74</v>
      </c>
      <c r="AO1047" s="2" t="s">
        <v>658</v>
      </c>
      <c r="AP1047" s="2" t="s">
        <v>74</v>
      </c>
      <c r="AQ1047" s="2" t="s">
        <v>74</v>
      </c>
      <c r="AR1047" s="2" t="s">
        <v>74</v>
      </c>
      <c r="AS1047" s="2" t="s">
        <v>74</v>
      </c>
      <c r="AT1047" s="2" t="s">
        <v>145</v>
      </c>
      <c r="AU1047" s="2">
        <v>2023</v>
      </c>
      <c r="AV1047" s="2">
        <v>13</v>
      </c>
      <c r="AW1047" s="2">
        <v>8</v>
      </c>
      <c r="AX1047" s="2" t="s">
        <v>74</v>
      </c>
      <c r="AY1047" s="2" t="s">
        <v>74</v>
      </c>
      <c r="AZ1047" s="2" t="s">
        <v>74</v>
      </c>
      <c r="BA1047" s="2" t="s">
        <v>74</v>
      </c>
      <c r="BB1047" s="2" t="s">
        <v>74</v>
      </c>
      <c r="BC1047" s="2" t="s">
        <v>74</v>
      </c>
      <c r="BD1047" s="2" t="s">
        <v>74</v>
      </c>
      <c r="BE1047" s="2" t="s">
        <v>1289</v>
      </c>
      <c r="BF1047" s="2" t="str">
        <f>HYPERLINK("http://dx.doi.org/10.1002/ece3.10328","http://dx.doi.org/10.1002/ece3.10328")</f>
        <v>http://dx.doi.org/10.1002/ece3.10328</v>
      </c>
      <c r="BG1047" s="2" t="s">
        <v>74</v>
      </c>
      <c r="BH1047" s="2" t="s">
        <v>74</v>
      </c>
      <c r="BI1047" s="2" t="s">
        <v>74</v>
      </c>
      <c r="BJ1047" s="2" t="s">
        <v>74</v>
      </c>
      <c r="BK1047" s="2" t="s">
        <v>74</v>
      </c>
      <c r="BL1047" s="2" t="s">
        <v>74</v>
      </c>
      <c r="BM1047" s="2" t="s">
        <v>74</v>
      </c>
      <c r="BN1047" s="2">
        <v>37636865</v>
      </c>
      <c r="BO1047" s="2" t="s">
        <v>74</v>
      </c>
      <c r="BP1047" s="2" t="s">
        <v>74</v>
      </c>
      <c r="BQ1047" s="2" t="s">
        <v>74</v>
      </c>
      <c r="BR1047" s="2" t="s">
        <v>74</v>
      </c>
      <c r="BS1047" s="2" t="s">
        <v>1290</v>
      </c>
      <c r="BT1047" s="2" t="str">
        <f>HYPERLINK("https%3A%2F%2Fwww.webofscience.com%2Fwos%2Fwoscc%2Ffull-record%2FWOS:001054792900001","View Full Record in Web of Science")</f>
        <v>View Full Record in Web of Science</v>
      </c>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row>
    <row r="1048" spans="1:314" s="2" customFormat="1" x14ac:dyDescent="0.4">
      <c r="A1048" s="2" t="s">
        <v>72</v>
      </c>
      <c r="B1048" s="2" t="s">
        <v>5811</v>
      </c>
      <c r="C1048" s="2" t="s">
        <v>74</v>
      </c>
      <c r="D1048" s="2" t="s">
        <v>74</v>
      </c>
      <c r="E1048" s="2" t="s">
        <v>74</v>
      </c>
      <c r="F1048" s="2" t="s">
        <v>5812</v>
      </c>
      <c r="G1048" s="2" t="s">
        <v>74</v>
      </c>
      <c r="H1048" s="2" t="s">
        <v>74</v>
      </c>
      <c r="I1048" s="2" t="s">
        <v>5813</v>
      </c>
      <c r="J1048" s="2" t="s">
        <v>5814</v>
      </c>
      <c r="K1048" s="2" t="s">
        <v>74</v>
      </c>
      <c r="L1048" s="2" t="s">
        <v>74</v>
      </c>
      <c r="M1048" s="2" t="s">
        <v>74</v>
      </c>
      <c r="N1048" s="2" t="s">
        <v>74</v>
      </c>
      <c r="O1048" s="2" t="s">
        <v>74</v>
      </c>
      <c r="P1048" s="2" t="s">
        <v>74</v>
      </c>
      <c r="Q1048" s="2" t="s">
        <v>74</v>
      </c>
      <c r="R1048" s="2" t="s">
        <v>74</v>
      </c>
      <c r="S1048" s="2" t="s">
        <v>74</v>
      </c>
      <c r="T1048" s="2" t="s">
        <v>74</v>
      </c>
      <c r="U1048" s="2" t="s">
        <v>74</v>
      </c>
      <c r="V1048" s="5" t="s">
        <v>5815</v>
      </c>
      <c r="W1048" s="2" t="s">
        <v>74</v>
      </c>
      <c r="X1048" s="2" t="s">
        <v>74</v>
      </c>
      <c r="Y1048" s="2" t="s">
        <v>74</v>
      </c>
      <c r="Z1048" s="2" t="s">
        <v>74</v>
      </c>
      <c r="AA1048" s="2" t="s">
        <v>5816</v>
      </c>
      <c r="AB1048" s="2" t="s">
        <v>5817</v>
      </c>
      <c r="AC1048" s="2" t="s">
        <v>74</v>
      </c>
      <c r="AD1048" s="2" t="s">
        <v>74</v>
      </c>
      <c r="AE1048" s="2" t="s">
        <v>74</v>
      </c>
      <c r="AF1048" s="2" t="s">
        <v>74</v>
      </c>
      <c r="AG1048" s="2" t="s">
        <v>74</v>
      </c>
      <c r="AH1048" s="2" t="s">
        <v>74</v>
      </c>
      <c r="AI1048" s="2" t="s">
        <v>74</v>
      </c>
      <c r="AJ1048" s="2" t="s">
        <v>74</v>
      </c>
      <c r="AK1048" s="2" t="s">
        <v>74</v>
      </c>
      <c r="AL1048" s="2" t="s">
        <v>74</v>
      </c>
      <c r="AM1048" s="2" t="s">
        <v>74</v>
      </c>
      <c r="AN1048" s="2" t="s">
        <v>74</v>
      </c>
      <c r="AO1048" s="2" t="s">
        <v>74</v>
      </c>
      <c r="AP1048" s="2" t="s">
        <v>5818</v>
      </c>
      <c r="AQ1048" s="2" t="s">
        <v>74</v>
      </c>
      <c r="AR1048" s="2" t="s">
        <v>74</v>
      </c>
      <c r="AS1048" s="2" t="s">
        <v>74</v>
      </c>
      <c r="AT1048" s="2" t="s">
        <v>5819</v>
      </c>
      <c r="AU1048" s="2">
        <v>2007</v>
      </c>
      <c r="AV1048" s="2">
        <v>104</v>
      </c>
      <c r="AW1048" s="2">
        <v>1</v>
      </c>
      <c r="AX1048" s="2" t="s">
        <v>74</v>
      </c>
      <c r="AY1048" s="2" t="s">
        <v>74</v>
      </c>
      <c r="AZ1048" s="2" t="s">
        <v>74</v>
      </c>
      <c r="BA1048" s="2" t="s">
        <v>74</v>
      </c>
      <c r="BB1048" s="2">
        <v>57</v>
      </c>
      <c r="BC1048" s="2">
        <v>65</v>
      </c>
      <c r="BD1048" s="2" t="s">
        <v>74</v>
      </c>
      <c r="BE1048" s="2" t="s">
        <v>5820</v>
      </c>
      <c r="BF1048" s="2" t="str">
        <f>HYPERLINK("http://dx.doi.org/10.14411/eje.2007.009","http://dx.doi.org/10.14411/eje.2007.009")</f>
        <v>http://dx.doi.org/10.14411/eje.2007.009</v>
      </c>
      <c r="BG1048" s="2" t="s">
        <v>74</v>
      </c>
      <c r="BH1048" s="2" t="s">
        <v>74</v>
      </c>
      <c r="BI1048" s="2" t="s">
        <v>74</v>
      </c>
      <c r="BJ1048" s="2" t="s">
        <v>74</v>
      </c>
      <c r="BK1048" s="2" t="s">
        <v>74</v>
      </c>
      <c r="BL1048" s="2" t="s">
        <v>74</v>
      </c>
      <c r="BM1048" s="2" t="s">
        <v>74</v>
      </c>
      <c r="BN1048" s="2" t="s">
        <v>74</v>
      </c>
      <c r="BO1048" s="2" t="s">
        <v>74</v>
      </c>
      <c r="BP1048" s="2" t="s">
        <v>74</v>
      </c>
      <c r="BQ1048" s="2" t="s">
        <v>74</v>
      </c>
      <c r="BR1048" s="2" t="s">
        <v>74</v>
      </c>
      <c r="BS1048" s="2" t="s">
        <v>5821</v>
      </c>
      <c r="BT1048" s="2" t="str">
        <f>HYPERLINK("https%3A%2F%2Fwww.webofscience.com%2Fwos%2Fwoscc%2Ffull-record%2FWOS:000243077100009","View Full Record in Web of Science")</f>
        <v>View Full Record in Web of Science</v>
      </c>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row>
    <row r="1049" spans="1:314" s="2" customFormat="1" x14ac:dyDescent="0.4">
      <c r="A1049" s="2" t="s">
        <v>72</v>
      </c>
      <c r="B1049" s="2" t="s">
        <v>2779</v>
      </c>
      <c r="C1049" s="2" t="s">
        <v>74</v>
      </c>
      <c r="D1049" s="2" t="s">
        <v>74</v>
      </c>
      <c r="E1049" s="2" t="s">
        <v>74</v>
      </c>
      <c r="F1049" s="2" t="s">
        <v>2780</v>
      </c>
      <c r="G1049" s="2" t="s">
        <v>74</v>
      </c>
      <c r="H1049" s="2" t="s">
        <v>74</v>
      </c>
      <c r="I1049" s="2" t="s">
        <v>2781</v>
      </c>
      <c r="J1049" s="2" t="s">
        <v>824</v>
      </c>
      <c r="K1049" s="2" t="s">
        <v>74</v>
      </c>
      <c r="L1049" s="2" t="s">
        <v>74</v>
      </c>
      <c r="M1049" s="2" t="s">
        <v>74</v>
      </c>
      <c r="N1049" s="2" t="s">
        <v>74</v>
      </c>
      <c r="O1049" s="2" t="s">
        <v>74</v>
      </c>
      <c r="P1049" s="2" t="s">
        <v>74</v>
      </c>
      <c r="Q1049" s="2" t="s">
        <v>74</v>
      </c>
      <c r="R1049" s="2" t="s">
        <v>74</v>
      </c>
      <c r="S1049" s="2" t="s">
        <v>74</v>
      </c>
      <c r="T1049" s="2" t="s">
        <v>74</v>
      </c>
      <c r="U1049" s="2" t="s">
        <v>74</v>
      </c>
      <c r="V1049" s="5" t="s">
        <v>2782</v>
      </c>
      <c r="W1049" s="2" t="s">
        <v>74</v>
      </c>
      <c r="X1049" s="2" t="s">
        <v>74</v>
      </c>
      <c r="Y1049" s="2" t="s">
        <v>74</v>
      </c>
      <c r="Z1049" s="2" t="s">
        <v>74</v>
      </c>
      <c r="AA1049" s="2" t="s">
        <v>74</v>
      </c>
      <c r="AB1049" s="2" t="s">
        <v>2783</v>
      </c>
      <c r="AC1049" s="2" t="s">
        <v>74</v>
      </c>
      <c r="AD1049" s="2" t="s">
        <v>74</v>
      </c>
      <c r="AE1049" s="2" t="s">
        <v>74</v>
      </c>
      <c r="AF1049" s="2" t="s">
        <v>74</v>
      </c>
      <c r="AG1049" s="2" t="s">
        <v>74</v>
      </c>
      <c r="AH1049" s="2" t="s">
        <v>74</v>
      </c>
      <c r="AI1049" s="2" t="s">
        <v>74</v>
      </c>
      <c r="AJ1049" s="2" t="s">
        <v>74</v>
      </c>
      <c r="AK1049" s="2" t="s">
        <v>74</v>
      </c>
      <c r="AL1049" s="2" t="s">
        <v>74</v>
      </c>
      <c r="AM1049" s="2" t="s">
        <v>74</v>
      </c>
      <c r="AN1049" s="2" t="s">
        <v>74</v>
      </c>
      <c r="AO1049" s="2" t="s">
        <v>828</v>
      </c>
      <c r="AP1049" s="2" t="s">
        <v>74</v>
      </c>
      <c r="AQ1049" s="2" t="s">
        <v>74</v>
      </c>
      <c r="AR1049" s="2" t="s">
        <v>74</v>
      </c>
      <c r="AS1049" s="2" t="s">
        <v>74</v>
      </c>
      <c r="AT1049" s="2" t="s">
        <v>255</v>
      </c>
      <c r="AU1049" s="2">
        <v>2011</v>
      </c>
      <c r="AV1049" s="2">
        <v>80</v>
      </c>
      <c r="AW1049" s="2">
        <v>1</v>
      </c>
      <c r="AX1049" s="2" t="s">
        <v>74</v>
      </c>
      <c r="AY1049" s="2" t="s">
        <v>74</v>
      </c>
      <c r="AZ1049" s="2" t="s">
        <v>74</v>
      </c>
      <c r="BA1049" s="2" t="s">
        <v>74</v>
      </c>
      <c r="BB1049" s="2">
        <v>79</v>
      </c>
      <c r="BC1049" s="2">
        <v>88</v>
      </c>
      <c r="BD1049" s="2" t="s">
        <v>74</v>
      </c>
      <c r="BE1049" s="2" t="s">
        <v>2784</v>
      </c>
      <c r="BF1049" s="2" t="str">
        <f>HYPERLINK("http://dx.doi.org/10.1111/j.1365-2656.2010.01765.x","http://dx.doi.org/10.1111/j.1365-2656.2010.01765.x")</f>
        <v>http://dx.doi.org/10.1111/j.1365-2656.2010.01765.x</v>
      </c>
      <c r="BG1049" s="2" t="s">
        <v>74</v>
      </c>
      <c r="BH1049" s="2" t="s">
        <v>74</v>
      </c>
      <c r="BI1049" s="2" t="s">
        <v>74</v>
      </c>
      <c r="BJ1049" s="2" t="s">
        <v>74</v>
      </c>
      <c r="BK1049" s="2" t="s">
        <v>74</v>
      </c>
      <c r="BL1049" s="2" t="s">
        <v>74</v>
      </c>
      <c r="BM1049" s="2" t="s">
        <v>74</v>
      </c>
      <c r="BN1049" s="2">
        <v>20964684</v>
      </c>
      <c r="BO1049" s="2" t="s">
        <v>74</v>
      </c>
      <c r="BP1049" s="2" t="s">
        <v>74</v>
      </c>
      <c r="BQ1049" s="2" t="s">
        <v>74</v>
      </c>
      <c r="BR1049" s="2" t="s">
        <v>74</v>
      </c>
      <c r="BS1049" s="2" t="s">
        <v>2785</v>
      </c>
      <c r="BT1049" s="2" t="str">
        <f>HYPERLINK("https%3A%2F%2Fwww.webofscience.com%2Fwos%2Fwoscc%2Ffull-record%2FWOS:000285110600008","View Full Record in Web of Science")</f>
        <v>View Full Record in Web of Science</v>
      </c>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row>
    <row r="1050" spans="1:314" s="2" customFormat="1" x14ac:dyDescent="0.4">
      <c r="A1050" s="2" t="s">
        <v>72</v>
      </c>
      <c r="B1050" s="2" t="s">
        <v>5624</v>
      </c>
      <c r="C1050" s="2" t="s">
        <v>74</v>
      </c>
      <c r="D1050" s="2" t="s">
        <v>74</v>
      </c>
      <c r="E1050" s="2" t="s">
        <v>74</v>
      </c>
      <c r="F1050" s="2" t="s">
        <v>5625</v>
      </c>
      <c r="G1050" s="2" t="s">
        <v>74</v>
      </c>
      <c r="H1050" s="2" t="s">
        <v>74</v>
      </c>
      <c r="I1050" s="2" t="s">
        <v>5626</v>
      </c>
      <c r="J1050" s="2" t="s">
        <v>281</v>
      </c>
      <c r="K1050" s="2" t="s">
        <v>74</v>
      </c>
      <c r="L1050" s="2" t="s">
        <v>74</v>
      </c>
      <c r="M1050" s="2" t="s">
        <v>74</v>
      </c>
      <c r="N1050" s="2" t="s">
        <v>74</v>
      </c>
      <c r="O1050" s="2" t="s">
        <v>74</v>
      </c>
      <c r="P1050" s="2" t="s">
        <v>74</v>
      </c>
      <c r="Q1050" s="2" t="s">
        <v>74</v>
      </c>
      <c r="R1050" s="2" t="s">
        <v>74</v>
      </c>
      <c r="S1050" s="2" t="s">
        <v>74</v>
      </c>
      <c r="T1050" s="2" t="s">
        <v>74</v>
      </c>
      <c r="U1050" s="2" t="s">
        <v>74</v>
      </c>
      <c r="V1050" s="5" t="s">
        <v>5627</v>
      </c>
      <c r="W1050" s="2" t="s">
        <v>74</v>
      </c>
      <c r="X1050" s="2" t="s">
        <v>74</v>
      </c>
      <c r="Y1050" s="2" t="s">
        <v>74</v>
      </c>
      <c r="Z1050" s="2" t="s">
        <v>74</v>
      </c>
      <c r="AA1050" s="2" t="s">
        <v>74</v>
      </c>
      <c r="AB1050" s="2" t="s">
        <v>5628</v>
      </c>
      <c r="AC1050" s="2" t="s">
        <v>74</v>
      </c>
      <c r="AD1050" s="2" t="s">
        <v>74</v>
      </c>
      <c r="AE1050" s="2" t="s">
        <v>74</v>
      </c>
      <c r="AF1050" s="2" t="s">
        <v>74</v>
      </c>
      <c r="AG1050" s="2" t="s">
        <v>74</v>
      </c>
      <c r="AH1050" s="2" t="s">
        <v>74</v>
      </c>
      <c r="AI1050" s="2" t="s">
        <v>74</v>
      </c>
      <c r="AJ1050" s="2" t="s">
        <v>74</v>
      </c>
      <c r="AK1050" s="2" t="s">
        <v>74</v>
      </c>
      <c r="AL1050" s="2" t="s">
        <v>74</v>
      </c>
      <c r="AM1050" s="2" t="s">
        <v>74</v>
      </c>
      <c r="AN1050" s="2" t="s">
        <v>74</v>
      </c>
      <c r="AO1050" s="2" t="s">
        <v>285</v>
      </c>
      <c r="AP1050" s="2" t="s">
        <v>286</v>
      </c>
      <c r="AQ1050" s="2" t="s">
        <v>74</v>
      </c>
      <c r="AR1050" s="2" t="s">
        <v>74</v>
      </c>
      <c r="AS1050" s="2" t="s">
        <v>74</v>
      </c>
      <c r="AT1050" s="2" t="s">
        <v>964</v>
      </c>
      <c r="AU1050" s="2">
        <v>2022</v>
      </c>
      <c r="AV1050" s="2">
        <v>25</v>
      </c>
      <c r="AW1050" s="2">
        <v>1</v>
      </c>
      <c r="AX1050" s="2" t="s">
        <v>74</v>
      </c>
      <c r="AY1050" s="2" t="s">
        <v>74</v>
      </c>
      <c r="AZ1050" s="2" t="s">
        <v>74</v>
      </c>
      <c r="BA1050" s="2" t="s">
        <v>74</v>
      </c>
      <c r="BB1050" s="2">
        <v>205</v>
      </c>
      <c r="BC1050" s="2">
        <v>216</v>
      </c>
      <c r="BD1050" s="2" t="s">
        <v>74</v>
      </c>
      <c r="BE1050" s="2" t="s">
        <v>5629</v>
      </c>
      <c r="BF1050" s="2" t="str">
        <f>HYPERLINK("http://dx.doi.org/10.1007/s10071-021-01548-7","http://dx.doi.org/10.1007/s10071-021-01548-7")</f>
        <v>http://dx.doi.org/10.1007/s10071-021-01548-7</v>
      </c>
      <c r="BG1050" s="2" t="s">
        <v>74</v>
      </c>
      <c r="BH1050" s="2" t="s">
        <v>4990</v>
      </c>
      <c r="BI1050" s="2" t="s">
        <v>74</v>
      </c>
      <c r="BJ1050" s="2" t="s">
        <v>74</v>
      </c>
      <c r="BK1050" s="2" t="s">
        <v>74</v>
      </c>
      <c r="BL1050" s="2" t="s">
        <v>74</v>
      </c>
      <c r="BM1050" s="2" t="s">
        <v>74</v>
      </c>
      <c r="BN1050" s="2">
        <v>34383151</v>
      </c>
      <c r="BO1050" s="2" t="s">
        <v>74</v>
      </c>
      <c r="BP1050" s="2" t="s">
        <v>74</v>
      </c>
      <c r="BQ1050" s="2" t="s">
        <v>74</v>
      </c>
      <c r="BR1050" s="2" t="s">
        <v>74</v>
      </c>
      <c r="BS1050" s="2" t="s">
        <v>5630</v>
      </c>
      <c r="BT1050" s="2" t="str">
        <f>HYPERLINK("https%3A%2F%2Fwww.webofscience.com%2Fwos%2Fwoscc%2Ffull-record%2FWOS:000684460500001","View Full Record in Web of Science")</f>
        <v>View Full Record in Web of Science</v>
      </c>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row>
    <row r="1051" spans="1:314" s="2" customFormat="1" x14ac:dyDescent="0.4">
      <c r="A1051" s="2" t="s">
        <v>72</v>
      </c>
      <c r="B1051" s="2" t="s">
        <v>2100</v>
      </c>
      <c r="C1051" s="2" t="s">
        <v>74</v>
      </c>
      <c r="D1051" s="2" t="s">
        <v>74</v>
      </c>
      <c r="E1051" s="2" t="s">
        <v>74</v>
      </c>
      <c r="F1051" s="2" t="s">
        <v>2101</v>
      </c>
      <c r="G1051" s="2" t="s">
        <v>74</v>
      </c>
      <c r="H1051" s="2" t="s">
        <v>74</v>
      </c>
      <c r="I1051" s="2" t="s">
        <v>2102</v>
      </c>
      <c r="J1051" s="2" t="s">
        <v>2017</v>
      </c>
      <c r="K1051" s="2" t="s">
        <v>74</v>
      </c>
      <c r="L1051" s="2" t="s">
        <v>74</v>
      </c>
      <c r="M1051" s="2" t="s">
        <v>74</v>
      </c>
      <c r="N1051" s="2" t="s">
        <v>74</v>
      </c>
      <c r="O1051" s="2" t="s">
        <v>74</v>
      </c>
      <c r="P1051" s="2" t="s">
        <v>74</v>
      </c>
      <c r="Q1051" s="2" t="s">
        <v>74</v>
      </c>
      <c r="R1051" s="2" t="s">
        <v>74</v>
      </c>
      <c r="S1051" s="2" t="s">
        <v>74</v>
      </c>
      <c r="T1051" s="2" t="s">
        <v>74</v>
      </c>
      <c r="U1051" s="2" t="s">
        <v>74</v>
      </c>
      <c r="V1051" s="5" t="s">
        <v>2103</v>
      </c>
      <c r="W1051" s="2" t="s">
        <v>74</v>
      </c>
      <c r="X1051" s="2" t="s">
        <v>74</v>
      </c>
      <c r="Y1051" s="2" t="s">
        <v>74</v>
      </c>
      <c r="Z1051" s="2" t="s">
        <v>74</v>
      </c>
      <c r="AA1051" s="2" t="s">
        <v>2104</v>
      </c>
      <c r="AB1051" s="2" t="s">
        <v>2105</v>
      </c>
      <c r="AC1051" s="2" t="s">
        <v>74</v>
      </c>
      <c r="AD1051" s="2" t="s">
        <v>74</v>
      </c>
      <c r="AE1051" s="2" t="s">
        <v>74</v>
      </c>
      <c r="AF1051" s="2" t="s">
        <v>74</v>
      </c>
      <c r="AG1051" s="2" t="s">
        <v>74</v>
      </c>
      <c r="AH1051" s="2" t="s">
        <v>74</v>
      </c>
      <c r="AI1051" s="2" t="s">
        <v>74</v>
      </c>
      <c r="AJ1051" s="2" t="s">
        <v>74</v>
      </c>
      <c r="AK1051" s="2" t="s">
        <v>74</v>
      </c>
      <c r="AL1051" s="2" t="s">
        <v>74</v>
      </c>
      <c r="AM1051" s="2" t="s">
        <v>74</v>
      </c>
      <c r="AN1051" s="2" t="s">
        <v>74</v>
      </c>
      <c r="AO1051" s="2" t="s">
        <v>2021</v>
      </c>
      <c r="AP1051" s="2" t="s">
        <v>74</v>
      </c>
      <c r="AQ1051" s="2" t="s">
        <v>74</v>
      </c>
      <c r="AR1051" s="2" t="s">
        <v>74</v>
      </c>
      <c r="AS1051" s="2" t="s">
        <v>74</v>
      </c>
      <c r="AT1051" s="2" t="s">
        <v>1253</v>
      </c>
      <c r="AU1051" s="2">
        <v>2019</v>
      </c>
      <c r="AV1051" s="2">
        <v>7</v>
      </c>
      <c r="AW1051" s="2" t="s">
        <v>74</v>
      </c>
      <c r="AX1051" s="2" t="s">
        <v>74</v>
      </c>
      <c r="AY1051" s="2" t="s">
        <v>74</v>
      </c>
      <c r="AZ1051" s="2" t="s">
        <v>74</v>
      </c>
      <c r="BA1051" s="2" t="s">
        <v>74</v>
      </c>
      <c r="BB1051" s="2" t="s">
        <v>74</v>
      </c>
      <c r="BC1051" s="2" t="s">
        <v>74</v>
      </c>
      <c r="BD1051" s="2">
        <v>292</v>
      </c>
      <c r="BE1051" s="2" t="s">
        <v>2106</v>
      </c>
      <c r="BF1051" s="2" t="str">
        <f>HYPERLINK("http://dx.doi.org/10.3389/fevo.2019.00292","http://dx.doi.org/10.3389/fevo.2019.00292")</f>
        <v>http://dx.doi.org/10.3389/fevo.2019.00292</v>
      </c>
      <c r="BG1051" s="2" t="s">
        <v>74</v>
      </c>
      <c r="BH1051" s="2" t="s">
        <v>74</v>
      </c>
      <c r="BI1051" s="2" t="s">
        <v>74</v>
      </c>
      <c r="BJ1051" s="2" t="s">
        <v>74</v>
      </c>
      <c r="BK1051" s="2" t="s">
        <v>74</v>
      </c>
      <c r="BL1051" s="2" t="s">
        <v>74</v>
      </c>
      <c r="BM1051" s="2" t="s">
        <v>74</v>
      </c>
      <c r="BN1051" s="2" t="s">
        <v>74</v>
      </c>
      <c r="BO1051" s="2" t="s">
        <v>74</v>
      </c>
      <c r="BP1051" s="2" t="s">
        <v>74</v>
      </c>
      <c r="BQ1051" s="2" t="s">
        <v>74</v>
      </c>
      <c r="BR1051" s="2" t="s">
        <v>74</v>
      </c>
      <c r="BS1051" s="2" t="s">
        <v>2107</v>
      </c>
      <c r="BT1051" s="2" t="str">
        <f>HYPERLINK("https%3A%2F%2Fwww.webofscience.com%2Fwos%2Fwoscc%2Ffull-record%2FWOS:000479067400001","View Full Record in Web of Science")</f>
        <v>View Full Record in Web of Science</v>
      </c>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row>
    <row r="1052" spans="1:314" s="2" customFormat="1" x14ac:dyDescent="0.4">
      <c r="A1052" s="2" t="s">
        <v>72</v>
      </c>
      <c r="B1052" s="2" t="s">
        <v>3288</v>
      </c>
      <c r="C1052" s="2" t="s">
        <v>74</v>
      </c>
      <c r="D1052" s="2" t="s">
        <v>74</v>
      </c>
      <c r="E1052" s="2" t="s">
        <v>74</v>
      </c>
      <c r="F1052" s="2" t="s">
        <v>3289</v>
      </c>
      <c r="G1052" s="2" t="s">
        <v>74</v>
      </c>
      <c r="H1052" s="2" t="s">
        <v>74</v>
      </c>
      <c r="I1052" s="2" t="s">
        <v>3290</v>
      </c>
      <c r="J1052" s="2" t="s">
        <v>3291</v>
      </c>
      <c r="K1052" s="2" t="s">
        <v>74</v>
      </c>
      <c r="L1052" s="2" t="s">
        <v>74</v>
      </c>
      <c r="M1052" s="2" t="s">
        <v>74</v>
      </c>
      <c r="N1052" s="2" t="s">
        <v>74</v>
      </c>
      <c r="O1052" s="2" t="s">
        <v>74</v>
      </c>
      <c r="P1052" s="2" t="s">
        <v>74</v>
      </c>
      <c r="Q1052" s="2" t="s">
        <v>74</v>
      </c>
      <c r="R1052" s="2" t="s">
        <v>74</v>
      </c>
      <c r="S1052" s="2" t="s">
        <v>74</v>
      </c>
      <c r="T1052" s="2" t="s">
        <v>74</v>
      </c>
      <c r="U1052" s="2" t="s">
        <v>74</v>
      </c>
      <c r="V1052" s="5" t="s">
        <v>3292</v>
      </c>
      <c r="W1052" s="2" t="s">
        <v>74</v>
      </c>
      <c r="X1052" s="2" t="s">
        <v>74</v>
      </c>
      <c r="Y1052" s="2" t="s">
        <v>74</v>
      </c>
      <c r="Z1052" s="2" t="s">
        <v>74</v>
      </c>
      <c r="AA1052" s="2" t="s">
        <v>3293</v>
      </c>
      <c r="AB1052" s="2" t="s">
        <v>3294</v>
      </c>
      <c r="AC1052" s="2" t="s">
        <v>74</v>
      </c>
      <c r="AD1052" s="2" t="s">
        <v>74</v>
      </c>
      <c r="AE1052" s="2" t="s">
        <v>74</v>
      </c>
      <c r="AF1052" s="2" t="s">
        <v>74</v>
      </c>
      <c r="AG1052" s="2" t="s">
        <v>74</v>
      </c>
      <c r="AH1052" s="2" t="s">
        <v>74</v>
      </c>
      <c r="AI1052" s="2" t="s">
        <v>74</v>
      </c>
      <c r="AJ1052" s="2" t="s">
        <v>74</v>
      </c>
      <c r="AK1052" s="2" t="s">
        <v>74</v>
      </c>
      <c r="AL1052" s="2" t="s">
        <v>74</v>
      </c>
      <c r="AM1052" s="2" t="s">
        <v>74</v>
      </c>
      <c r="AN1052" s="2" t="s">
        <v>74</v>
      </c>
      <c r="AO1052" s="2" t="s">
        <v>3295</v>
      </c>
      <c r="AP1052" s="2" t="s">
        <v>74</v>
      </c>
      <c r="AQ1052" s="2" t="s">
        <v>74</v>
      </c>
      <c r="AR1052" s="2" t="s">
        <v>74</v>
      </c>
      <c r="AS1052" s="2" t="s">
        <v>74</v>
      </c>
      <c r="AT1052" s="2" t="s">
        <v>1641</v>
      </c>
      <c r="AU1052" s="2">
        <v>2013</v>
      </c>
      <c r="AV1052" s="2">
        <v>10</v>
      </c>
      <c r="AW1052" s="2" t="s">
        <v>74</v>
      </c>
      <c r="AX1052" s="2" t="s">
        <v>74</v>
      </c>
      <c r="AY1052" s="2" t="s">
        <v>74</v>
      </c>
      <c r="AZ1052" s="2" t="s">
        <v>74</v>
      </c>
      <c r="BA1052" s="2" t="s">
        <v>74</v>
      </c>
      <c r="BB1052" s="2" t="s">
        <v>74</v>
      </c>
      <c r="BC1052" s="2" t="s">
        <v>74</v>
      </c>
      <c r="BD1052" s="2">
        <v>25</v>
      </c>
      <c r="BE1052" s="2" t="s">
        <v>3296</v>
      </c>
      <c r="BF1052" s="2" t="str">
        <f>HYPERLINK("http://dx.doi.org/10.1186/1742-9994-10-25","http://dx.doi.org/10.1186/1742-9994-10-25")</f>
        <v>http://dx.doi.org/10.1186/1742-9994-10-25</v>
      </c>
      <c r="BG1052" s="2" t="s">
        <v>74</v>
      </c>
      <c r="BH1052" s="2" t="s">
        <v>74</v>
      </c>
      <c r="BI1052" s="2" t="s">
        <v>74</v>
      </c>
      <c r="BJ1052" s="2" t="s">
        <v>74</v>
      </c>
      <c r="BK1052" s="2" t="s">
        <v>74</v>
      </c>
      <c r="BL1052" s="2" t="s">
        <v>74</v>
      </c>
      <c r="BM1052" s="2" t="s">
        <v>74</v>
      </c>
      <c r="BN1052" s="2">
        <v>23663311</v>
      </c>
      <c r="BO1052" s="2" t="s">
        <v>74</v>
      </c>
      <c r="BP1052" s="2" t="s">
        <v>74</v>
      </c>
      <c r="BQ1052" s="2" t="s">
        <v>74</v>
      </c>
      <c r="BR1052" s="2" t="s">
        <v>74</v>
      </c>
      <c r="BS1052" s="2" t="s">
        <v>3297</v>
      </c>
      <c r="BT1052" s="2" t="str">
        <f>HYPERLINK("https%3A%2F%2Fwww.webofscience.com%2Fwos%2Fwoscc%2Ffull-record%2FWOS:000319151500001","View Full Record in Web of Science")</f>
        <v>View Full Record in Web of Science</v>
      </c>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row>
    <row r="1053" spans="1:314" s="2" customFormat="1" x14ac:dyDescent="0.4">
      <c r="A1053" s="2" t="s">
        <v>72</v>
      </c>
      <c r="B1053" s="2" t="s">
        <v>5442</v>
      </c>
      <c r="C1053" s="2" t="s">
        <v>74</v>
      </c>
      <c r="D1053" s="2" t="s">
        <v>74</v>
      </c>
      <c r="E1053" s="2" t="s">
        <v>74</v>
      </c>
      <c r="F1053" s="2" t="s">
        <v>5443</v>
      </c>
      <c r="G1053" s="2" t="s">
        <v>74</v>
      </c>
      <c r="H1053" s="2" t="s">
        <v>74</v>
      </c>
      <c r="I1053" s="2" t="s">
        <v>5444</v>
      </c>
      <c r="J1053" s="2" t="s">
        <v>333</v>
      </c>
      <c r="K1053" s="2" t="s">
        <v>74</v>
      </c>
      <c r="L1053" s="2" t="s">
        <v>74</v>
      </c>
      <c r="M1053" s="2" t="s">
        <v>74</v>
      </c>
      <c r="N1053" s="2" t="s">
        <v>74</v>
      </c>
      <c r="O1053" s="2" t="s">
        <v>74</v>
      </c>
      <c r="P1053" s="2" t="s">
        <v>74</v>
      </c>
      <c r="Q1053" s="2" t="s">
        <v>74</v>
      </c>
      <c r="R1053" s="2" t="s">
        <v>74</v>
      </c>
      <c r="S1053" s="2" t="s">
        <v>74</v>
      </c>
      <c r="T1053" s="2" t="s">
        <v>74</v>
      </c>
      <c r="U1053" s="2" t="s">
        <v>74</v>
      </c>
      <c r="V1053" s="5" t="s">
        <v>5445</v>
      </c>
      <c r="W1053" s="2" t="s">
        <v>74</v>
      </c>
      <c r="X1053" s="2" t="s">
        <v>74</v>
      </c>
      <c r="Y1053" s="2" t="s">
        <v>74</v>
      </c>
      <c r="Z1053" s="2" t="s">
        <v>74</v>
      </c>
      <c r="AA1053" s="2" t="s">
        <v>74</v>
      </c>
      <c r="AB1053" s="2" t="s">
        <v>74</v>
      </c>
      <c r="AC1053" s="2" t="s">
        <v>74</v>
      </c>
      <c r="AD1053" s="2" t="s">
        <v>74</v>
      </c>
      <c r="AE1053" s="2" t="s">
        <v>74</v>
      </c>
      <c r="AF1053" s="2" t="s">
        <v>74</v>
      </c>
      <c r="AG1053" s="2" t="s">
        <v>74</v>
      </c>
      <c r="AH1053" s="2" t="s">
        <v>74</v>
      </c>
      <c r="AI1053" s="2" t="s">
        <v>74</v>
      </c>
      <c r="AJ1053" s="2" t="s">
        <v>74</v>
      </c>
      <c r="AK1053" s="2" t="s">
        <v>74</v>
      </c>
      <c r="AL1053" s="2" t="s">
        <v>74</v>
      </c>
      <c r="AM1053" s="2" t="s">
        <v>74</v>
      </c>
      <c r="AN1053" s="2" t="s">
        <v>74</v>
      </c>
      <c r="AO1053" s="2" t="s">
        <v>337</v>
      </c>
      <c r="AP1053" s="2" t="s">
        <v>338</v>
      </c>
      <c r="AQ1053" s="2" t="s">
        <v>74</v>
      </c>
      <c r="AR1053" s="2" t="s">
        <v>74</v>
      </c>
      <c r="AS1053" s="2" t="s">
        <v>74</v>
      </c>
      <c r="AT1053" s="2" t="s">
        <v>1013</v>
      </c>
      <c r="AU1053" s="2">
        <v>2018</v>
      </c>
      <c r="AV1053" s="2">
        <v>29</v>
      </c>
      <c r="AW1053" s="2">
        <v>5</v>
      </c>
      <c r="AX1053" s="2" t="s">
        <v>74</v>
      </c>
      <c r="AY1053" s="2" t="s">
        <v>74</v>
      </c>
      <c r="AZ1053" s="2" t="s">
        <v>74</v>
      </c>
      <c r="BA1053" s="2" t="s">
        <v>74</v>
      </c>
      <c r="BB1053" s="2">
        <v>1046</v>
      </c>
      <c r="BC1053" s="2">
        <v>1055</v>
      </c>
      <c r="BD1053" s="2" t="s">
        <v>74</v>
      </c>
      <c r="BE1053" s="2" t="s">
        <v>5446</v>
      </c>
      <c r="BF1053" s="2" t="str">
        <f>HYPERLINK("http://dx.doi.org/10.1093/beheco/ary078","http://dx.doi.org/10.1093/beheco/ary078")</f>
        <v>http://dx.doi.org/10.1093/beheco/ary078</v>
      </c>
      <c r="BG1053" s="2" t="s">
        <v>74</v>
      </c>
      <c r="BH1053" s="2" t="s">
        <v>74</v>
      </c>
      <c r="BI1053" s="2" t="s">
        <v>74</v>
      </c>
      <c r="BJ1053" s="2" t="s">
        <v>74</v>
      </c>
      <c r="BK1053" s="2" t="s">
        <v>74</v>
      </c>
      <c r="BL1053" s="2" t="s">
        <v>74</v>
      </c>
      <c r="BM1053" s="2" t="s">
        <v>74</v>
      </c>
      <c r="BN1053" s="2" t="s">
        <v>74</v>
      </c>
      <c r="BO1053" s="2" t="s">
        <v>74</v>
      </c>
      <c r="BP1053" s="2" t="s">
        <v>74</v>
      </c>
      <c r="BQ1053" s="2" t="s">
        <v>74</v>
      </c>
      <c r="BR1053" s="2" t="s">
        <v>74</v>
      </c>
      <c r="BS1053" s="2" t="s">
        <v>5447</v>
      </c>
      <c r="BT1053" s="2" t="str">
        <f>HYPERLINK("https%3A%2F%2Fwww.webofscience.com%2Fwos%2Fwoscc%2Ffull-record%2FWOS:000444301900012","View Full Record in Web of Science")</f>
        <v>View Full Record in Web of Science</v>
      </c>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row>
    <row r="1054" spans="1:314" s="2" customFormat="1" x14ac:dyDescent="0.4">
      <c r="A1054" s="2" t="s">
        <v>72</v>
      </c>
      <c r="B1054" s="2" t="s">
        <v>7257</v>
      </c>
      <c r="C1054" s="2" t="s">
        <v>74</v>
      </c>
      <c r="D1054" s="2" t="s">
        <v>74</v>
      </c>
      <c r="E1054" s="2" t="s">
        <v>74</v>
      </c>
      <c r="F1054" s="2" t="s">
        <v>7257</v>
      </c>
      <c r="G1054" s="2" t="s">
        <v>74</v>
      </c>
      <c r="H1054" s="2" t="s">
        <v>74</v>
      </c>
      <c r="I1054" s="2" t="s">
        <v>7258</v>
      </c>
      <c r="J1054" s="2" t="s">
        <v>5577</v>
      </c>
      <c r="K1054" s="2" t="s">
        <v>74</v>
      </c>
      <c r="L1054" s="2" t="s">
        <v>74</v>
      </c>
      <c r="M1054" s="2" t="s">
        <v>74</v>
      </c>
      <c r="N1054" s="2" t="s">
        <v>74</v>
      </c>
      <c r="O1054" s="2" t="s">
        <v>74</v>
      </c>
      <c r="P1054" s="2" t="s">
        <v>74</v>
      </c>
      <c r="Q1054" s="2" t="s">
        <v>74</v>
      </c>
      <c r="R1054" s="2" t="s">
        <v>74</v>
      </c>
      <c r="S1054" s="2" t="s">
        <v>74</v>
      </c>
      <c r="T1054" s="2" t="s">
        <v>74</v>
      </c>
      <c r="U1054" s="2" t="s">
        <v>74</v>
      </c>
      <c r="V1054" s="5" t="s">
        <v>7259</v>
      </c>
      <c r="W1054" s="2" t="s">
        <v>74</v>
      </c>
      <c r="X1054" s="2" t="s">
        <v>74</v>
      </c>
      <c r="Y1054" s="2" t="s">
        <v>74</v>
      </c>
      <c r="Z1054" s="2" t="s">
        <v>74</v>
      </c>
      <c r="AA1054" s="2" t="s">
        <v>7260</v>
      </c>
      <c r="AB1054" s="2" t="s">
        <v>74</v>
      </c>
      <c r="AC1054" s="2" t="s">
        <v>74</v>
      </c>
      <c r="AD1054" s="2" t="s">
        <v>74</v>
      </c>
      <c r="AE1054" s="2" t="s">
        <v>74</v>
      </c>
      <c r="AF1054" s="2" t="s">
        <v>74</v>
      </c>
      <c r="AG1054" s="2" t="s">
        <v>74</v>
      </c>
      <c r="AH1054" s="2" t="s">
        <v>74</v>
      </c>
      <c r="AI1054" s="2" t="s">
        <v>74</v>
      </c>
      <c r="AJ1054" s="2" t="s">
        <v>74</v>
      </c>
      <c r="AK1054" s="2" t="s">
        <v>74</v>
      </c>
      <c r="AL1054" s="2" t="s">
        <v>74</v>
      </c>
      <c r="AM1054" s="2" t="s">
        <v>74</v>
      </c>
      <c r="AN1054" s="2" t="s">
        <v>74</v>
      </c>
      <c r="AO1054" s="2" t="s">
        <v>5579</v>
      </c>
      <c r="AP1054" s="2" t="s">
        <v>74</v>
      </c>
      <c r="AQ1054" s="2" t="s">
        <v>74</v>
      </c>
      <c r="AR1054" s="2" t="s">
        <v>74</v>
      </c>
      <c r="AS1054" s="2" t="s">
        <v>74</v>
      </c>
      <c r="AT1054" s="2" t="s">
        <v>145</v>
      </c>
      <c r="AU1054" s="2">
        <v>2002</v>
      </c>
      <c r="AV1054" s="2">
        <v>81</v>
      </c>
      <c r="AW1054" s="2">
        <v>8</v>
      </c>
      <c r="AX1054" s="2" t="s">
        <v>74</v>
      </c>
      <c r="AY1054" s="2" t="s">
        <v>74</v>
      </c>
      <c r="AZ1054" s="2" t="s">
        <v>74</v>
      </c>
      <c r="BA1054" s="2" t="s">
        <v>74</v>
      </c>
      <c r="BB1054" s="2">
        <v>970</v>
      </c>
      <c r="BC1054" s="2">
        <v>977</v>
      </c>
      <c r="BD1054" s="2" t="s">
        <v>74</v>
      </c>
      <c r="BE1054" s="2" t="s">
        <v>74</v>
      </c>
      <c r="BF1054" s="2" t="s">
        <v>74</v>
      </c>
      <c r="BG1054" s="2" t="s">
        <v>74</v>
      </c>
      <c r="BH1054" s="2" t="s">
        <v>74</v>
      </c>
      <c r="BI1054" s="2" t="s">
        <v>74</v>
      </c>
      <c r="BJ1054" s="2" t="s">
        <v>74</v>
      </c>
      <c r="BK1054" s="2" t="s">
        <v>74</v>
      </c>
      <c r="BL1054" s="2" t="s">
        <v>74</v>
      </c>
      <c r="BM1054" s="2" t="s">
        <v>74</v>
      </c>
      <c r="BN1054" s="2" t="s">
        <v>74</v>
      </c>
      <c r="BO1054" s="2" t="s">
        <v>74</v>
      </c>
      <c r="BP1054" s="2" t="s">
        <v>74</v>
      </c>
      <c r="BQ1054" s="2" t="s">
        <v>74</v>
      </c>
      <c r="BR1054" s="2" t="s">
        <v>74</v>
      </c>
      <c r="BS1054" s="2" t="s">
        <v>7261</v>
      </c>
      <c r="BT1054" s="2" t="str">
        <f>HYPERLINK("https%3A%2F%2Fwww.webofscience.com%2Fwos%2Fwoscc%2Ffull-record%2FWOS:000178048000009","View Full Record in Web of Science")</f>
        <v>View Full Record in Web of Science</v>
      </c>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row>
    <row r="1055" spans="1:314" s="2" customFormat="1" x14ac:dyDescent="0.4">
      <c r="A1055" s="2" t="s">
        <v>72</v>
      </c>
      <c r="B1055" s="2" t="s">
        <v>389</v>
      </c>
      <c r="C1055" s="2" t="s">
        <v>74</v>
      </c>
      <c r="D1055" s="2" t="s">
        <v>74</v>
      </c>
      <c r="E1055" s="2" t="s">
        <v>74</v>
      </c>
      <c r="F1055" s="2" t="s">
        <v>389</v>
      </c>
      <c r="G1055" s="2" t="s">
        <v>74</v>
      </c>
      <c r="H1055" s="2" t="s">
        <v>74</v>
      </c>
      <c r="I1055" s="2" t="s">
        <v>390</v>
      </c>
      <c r="J1055" s="2" t="s">
        <v>151</v>
      </c>
      <c r="K1055" s="2" t="s">
        <v>74</v>
      </c>
      <c r="L1055" s="2" t="s">
        <v>74</v>
      </c>
      <c r="M1055" s="2" t="s">
        <v>74</v>
      </c>
      <c r="N1055" s="2" t="s">
        <v>74</v>
      </c>
      <c r="O1055" s="2" t="s">
        <v>74</v>
      </c>
      <c r="P1055" s="2" t="s">
        <v>74</v>
      </c>
      <c r="Q1055" s="2" t="s">
        <v>74</v>
      </c>
      <c r="R1055" s="2" t="s">
        <v>74</v>
      </c>
      <c r="S1055" s="2" t="s">
        <v>74</v>
      </c>
      <c r="T1055" s="2" t="s">
        <v>74</v>
      </c>
      <c r="U1055" s="2" t="s">
        <v>74</v>
      </c>
      <c r="V1055" s="5" t="s">
        <v>391</v>
      </c>
      <c r="W1055" s="2" t="s">
        <v>74</v>
      </c>
      <c r="X1055" s="2" t="s">
        <v>74</v>
      </c>
      <c r="Y1055" s="2" t="s">
        <v>74</v>
      </c>
      <c r="Z1055" s="2" t="s">
        <v>74</v>
      </c>
      <c r="AA1055" s="2" t="s">
        <v>74</v>
      </c>
      <c r="AB1055" s="2" t="s">
        <v>74</v>
      </c>
      <c r="AC1055" s="2" t="s">
        <v>74</v>
      </c>
      <c r="AD1055" s="2" t="s">
        <v>74</v>
      </c>
      <c r="AE1055" s="2" t="s">
        <v>74</v>
      </c>
      <c r="AF1055" s="2" t="s">
        <v>74</v>
      </c>
      <c r="AG1055" s="2" t="s">
        <v>74</v>
      </c>
      <c r="AH1055" s="2" t="s">
        <v>74</v>
      </c>
      <c r="AI1055" s="2" t="s">
        <v>74</v>
      </c>
      <c r="AJ1055" s="2" t="s">
        <v>74</v>
      </c>
      <c r="AK1055" s="2" t="s">
        <v>74</v>
      </c>
      <c r="AL1055" s="2" t="s">
        <v>74</v>
      </c>
      <c r="AM1055" s="2" t="s">
        <v>74</v>
      </c>
      <c r="AN1055" s="2" t="s">
        <v>74</v>
      </c>
      <c r="AO1055" s="2" t="s">
        <v>155</v>
      </c>
      <c r="AP1055" s="2" t="s">
        <v>74</v>
      </c>
      <c r="AQ1055" s="2" t="s">
        <v>74</v>
      </c>
      <c r="AR1055" s="2" t="s">
        <v>74</v>
      </c>
      <c r="AS1055" s="2" t="s">
        <v>74</v>
      </c>
      <c r="AT1055" s="2" t="s">
        <v>74</v>
      </c>
      <c r="AU1055" s="2">
        <v>2003</v>
      </c>
      <c r="AV1055" s="2">
        <v>247</v>
      </c>
      <c r="AW1055" s="2" t="s">
        <v>74</v>
      </c>
      <c r="AX1055" s="2" t="s">
        <v>74</v>
      </c>
      <c r="AY1055" s="2" t="s">
        <v>74</v>
      </c>
      <c r="AZ1055" s="2" t="s">
        <v>74</v>
      </c>
      <c r="BA1055" s="2" t="s">
        <v>74</v>
      </c>
      <c r="BB1055" s="2">
        <v>85</v>
      </c>
      <c r="BC1055" s="2">
        <v>92</v>
      </c>
      <c r="BD1055" s="2" t="s">
        <v>74</v>
      </c>
      <c r="BE1055" s="2" t="s">
        <v>392</v>
      </c>
      <c r="BF1055" s="2" t="str">
        <f>HYPERLINK("http://dx.doi.org/10.3354/meps247085","http://dx.doi.org/10.3354/meps247085")</f>
        <v>http://dx.doi.org/10.3354/meps247085</v>
      </c>
      <c r="BG1055" s="2" t="s">
        <v>74</v>
      </c>
      <c r="BH1055" s="2" t="s">
        <v>74</v>
      </c>
      <c r="BI1055" s="2" t="s">
        <v>74</v>
      </c>
      <c r="BJ1055" s="2" t="s">
        <v>74</v>
      </c>
      <c r="BK1055" s="2" t="s">
        <v>74</v>
      </c>
      <c r="BL1055" s="2" t="s">
        <v>74</v>
      </c>
      <c r="BM1055" s="2" t="s">
        <v>74</v>
      </c>
      <c r="BN1055" s="2" t="s">
        <v>74</v>
      </c>
      <c r="BO1055" s="2" t="s">
        <v>74</v>
      </c>
      <c r="BP1055" s="2" t="s">
        <v>74</v>
      </c>
      <c r="BQ1055" s="2" t="s">
        <v>74</v>
      </c>
      <c r="BR1055" s="2" t="s">
        <v>74</v>
      </c>
      <c r="BS1055" s="2" t="s">
        <v>393</v>
      </c>
      <c r="BT1055" s="2" t="str">
        <f>HYPERLINK("https%3A%2F%2Fwww.webofscience.com%2Fwos%2Fwoscc%2Ffull-record%2FWOS:000181318700008","View Full Record in Web of Science")</f>
        <v>View Full Record in Web of Science</v>
      </c>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row>
    <row r="1056" spans="1:314" s="2" customFormat="1" x14ac:dyDescent="0.4">
      <c r="A1056" s="2" t="s">
        <v>72</v>
      </c>
      <c r="B1056" s="2" t="s">
        <v>669</v>
      </c>
      <c r="C1056" s="2" t="s">
        <v>74</v>
      </c>
      <c r="D1056" s="2" t="s">
        <v>74</v>
      </c>
      <c r="E1056" s="2" t="s">
        <v>74</v>
      </c>
      <c r="F1056" s="2" t="s">
        <v>670</v>
      </c>
      <c r="G1056" s="2" t="s">
        <v>74</v>
      </c>
      <c r="H1056" s="2" t="s">
        <v>74</v>
      </c>
      <c r="I1056" s="2" t="s">
        <v>671</v>
      </c>
      <c r="J1056" s="2" t="s">
        <v>218</v>
      </c>
      <c r="K1056" s="2" t="s">
        <v>74</v>
      </c>
      <c r="L1056" s="2" t="s">
        <v>74</v>
      </c>
      <c r="M1056" s="2" t="s">
        <v>74</v>
      </c>
      <c r="N1056" s="2" t="s">
        <v>74</v>
      </c>
      <c r="O1056" s="2" t="s">
        <v>74</v>
      </c>
      <c r="P1056" s="2" t="s">
        <v>74</v>
      </c>
      <c r="Q1056" s="2" t="s">
        <v>74</v>
      </c>
      <c r="R1056" s="2" t="s">
        <v>74</v>
      </c>
      <c r="S1056" s="2" t="s">
        <v>74</v>
      </c>
      <c r="T1056" s="2" t="s">
        <v>74</v>
      </c>
      <c r="U1056" s="2" t="s">
        <v>74</v>
      </c>
      <c r="V1056" s="5" t="s">
        <v>672</v>
      </c>
      <c r="W1056" s="2" t="s">
        <v>74</v>
      </c>
      <c r="X1056" s="2" t="s">
        <v>74</v>
      </c>
      <c r="Y1056" s="2" t="s">
        <v>74</v>
      </c>
      <c r="Z1056" s="2" t="s">
        <v>74</v>
      </c>
      <c r="AA1056" s="2" t="s">
        <v>74</v>
      </c>
      <c r="AB1056" s="2" t="s">
        <v>673</v>
      </c>
      <c r="AC1056" s="2" t="s">
        <v>74</v>
      </c>
      <c r="AD1056" s="2" t="s">
        <v>74</v>
      </c>
      <c r="AE1056" s="2" t="s">
        <v>74</v>
      </c>
      <c r="AF1056" s="2" t="s">
        <v>74</v>
      </c>
      <c r="AG1056" s="2" t="s">
        <v>74</v>
      </c>
      <c r="AH1056" s="2" t="s">
        <v>74</v>
      </c>
      <c r="AI1056" s="2" t="s">
        <v>74</v>
      </c>
      <c r="AJ1056" s="2" t="s">
        <v>74</v>
      </c>
      <c r="AK1056" s="2" t="s">
        <v>74</v>
      </c>
      <c r="AL1056" s="2" t="s">
        <v>74</v>
      </c>
      <c r="AM1056" s="2" t="s">
        <v>74</v>
      </c>
      <c r="AN1056" s="2" t="s">
        <v>74</v>
      </c>
      <c r="AO1056" s="2" t="s">
        <v>221</v>
      </c>
      <c r="AP1056" s="2" t="s">
        <v>222</v>
      </c>
      <c r="AQ1056" s="2" t="s">
        <v>74</v>
      </c>
      <c r="AR1056" s="2" t="s">
        <v>74</v>
      </c>
      <c r="AS1056" s="2" t="s">
        <v>74</v>
      </c>
      <c r="AT1056" s="2" t="s">
        <v>213</v>
      </c>
      <c r="AU1056" s="2">
        <v>2021</v>
      </c>
      <c r="AV1056" s="2">
        <v>34</v>
      </c>
      <c r="AW1056" s="2">
        <v>11</v>
      </c>
      <c r="AX1056" s="2" t="s">
        <v>74</v>
      </c>
      <c r="AY1056" s="2" t="s">
        <v>74</v>
      </c>
      <c r="AZ1056" s="2" t="s">
        <v>74</v>
      </c>
      <c r="BA1056" s="2" t="s">
        <v>74</v>
      </c>
      <c r="BB1056" s="2">
        <v>1678</v>
      </c>
      <c r="BC1056" s="2">
        <v>1690</v>
      </c>
      <c r="BD1056" s="2" t="s">
        <v>74</v>
      </c>
      <c r="BE1056" s="2" t="s">
        <v>674</v>
      </c>
      <c r="BF1056" s="2" t="str">
        <f>HYPERLINK("http://dx.doi.org/10.1111/jeb.13929","http://dx.doi.org/10.1111/jeb.13929")</f>
        <v>http://dx.doi.org/10.1111/jeb.13929</v>
      </c>
      <c r="BG1056" s="2" t="s">
        <v>74</v>
      </c>
      <c r="BH1056" s="2" t="s">
        <v>675</v>
      </c>
      <c r="BI1056" s="2" t="s">
        <v>74</v>
      </c>
      <c r="BJ1056" s="2" t="s">
        <v>74</v>
      </c>
      <c r="BK1056" s="2" t="s">
        <v>74</v>
      </c>
      <c r="BL1056" s="2" t="s">
        <v>74</v>
      </c>
      <c r="BM1056" s="2" t="s">
        <v>74</v>
      </c>
      <c r="BN1056" s="2">
        <v>34528321</v>
      </c>
      <c r="BO1056" s="2" t="s">
        <v>74</v>
      </c>
      <c r="BP1056" s="2" t="s">
        <v>74</v>
      </c>
      <c r="BQ1056" s="2" t="s">
        <v>74</v>
      </c>
      <c r="BR1056" s="2" t="s">
        <v>74</v>
      </c>
      <c r="BS1056" s="2" t="s">
        <v>676</v>
      </c>
      <c r="BT1056" s="2" t="str">
        <f>HYPERLINK("https%3A%2F%2Fwww.webofscience.com%2Fwos%2Fwoscc%2Ffull-record%2FWOS:000698957000001","View Full Record in Web of Science")</f>
        <v>View Full Record in Web of Science</v>
      </c>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row>
    <row r="1057" spans="1:314" s="2" customFormat="1" x14ac:dyDescent="0.4">
      <c r="A1057" s="2" t="s">
        <v>72</v>
      </c>
      <c r="B1057" s="2" t="s">
        <v>2364</v>
      </c>
      <c r="C1057" s="2" t="s">
        <v>74</v>
      </c>
      <c r="D1057" s="2" t="s">
        <v>74</v>
      </c>
      <c r="E1057" s="2" t="s">
        <v>74</v>
      </c>
      <c r="F1057" s="2" t="s">
        <v>2365</v>
      </c>
      <c r="G1057" s="2" t="s">
        <v>74</v>
      </c>
      <c r="H1057" s="2" t="s">
        <v>74</v>
      </c>
      <c r="I1057" s="2" t="s">
        <v>2366</v>
      </c>
      <c r="J1057" s="2" t="s">
        <v>408</v>
      </c>
      <c r="K1057" s="2" t="s">
        <v>74</v>
      </c>
      <c r="L1057" s="2" t="s">
        <v>74</v>
      </c>
      <c r="M1057" s="2" t="s">
        <v>74</v>
      </c>
      <c r="N1057" s="2" t="s">
        <v>74</v>
      </c>
      <c r="O1057" s="2" t="s">
        <v>74</v>
      </c>
      <c r="P1057" s="2" t="s">
        <v>74</v>
      </c>
      <c r="Q1057" s="2" t="s">
        <v>74</v>
      </c>
      <c r="R1057" s="2" t="s">
        <v>74</v>
      </c>
      <c r="S1057" s="2" t="s">
        <v>74</v>
      </c>
      <c r="T1057" s="2" t="s">
        <v>74</v>
      </c>
      <c r="U1057" s="2" t="s">
        <v>74</v>
      </c>
      <c r="V1057" s="5" t="s">
        <v>2367</v>
      </c>
      <c r="W1057" s="2" t="s">
        <v>74</v>
      </c>
      <c r="X1057" s="2" t="s">
        <v>74</v>
      </c>
      <c r="Y1057" s="2" t="s">
        <v>74</v>
      </c>
      <c r="Z1057" s="2" t="s">
        <v>74</v>
      </c>
      <c r="AA1057" s="2" t="s">
        <v>74</v>
      </c>
      <c r="AB1057" s="2" t="s">
        <v>2368</v>
      </c>
      <c r="AC1057" s="2" t="s">
        <v>74</v>
      </c>
      <c r="AD1057" s="2" t="s">
        <v>74</v>
      </c>
      <c r="AE1057" s="2" t="s">
        <v>74</v>
      </c>
      <c r="AF1057" s="2" t="s">
        <v>74</v>
      </c>
      <c r="AG1057" s="2" t="s">
        <v>74</v>
      </c>
      <c r="AH1057" s="2" t="s">
        <v>74</v>
      </c>
      <c r="AI1057" s="2" t="s">
        <v>74</v>
      </c>
      <c r="AJ1057" s="2" t="s">
        <v>74</v>
      </c>
      <c r="AK1057" s="2" t="s">
        <v>74</v>
      </c>
      <c r="AL1057" s="2" t="s">
        <v>74</v>
      </c>
      <c r="AM1057" s="2" t="s">
        <v>74</v>
      </c>
      <c r="AN1057" s="2" t="s">
        <v>74</v>
      </c>
      <c r="AO1057" s="2" t="s">
        <v>412</v>
      </c>
      <c r="AP1057" s="2" t="s">
        <v>413</v>
      </c>
      <c r="AQ1057" s="2" t="s">
        <v>74</v>
      </c>
      <c r="AR1057" s="2" t="s">
        <v>74</v>
      </c>
      <c r="AS1057" s="2" t="s">
        <v>74</v>
      </c>
      <c r="AT1057" s="2" t="s">
        <v>352</v>
      </c>
      <c r="AU1057" s="2">
        <v>2013</v>
      </c>
      <c r="AV1057" s="2">
        <v>110</v>
      </c>
      <c r="AW1057" s="2">
        <v>1</v>
      </c>
      <c r="AX1057" s="2" t="s">
        <v>74</v>
      </c>
      <c r="AY1057" s="2" t="s">
        <v>74</v>
      </c>
      <c r="AZ1057" s="2" t="s">
        <v>74</v>
      </c>
      <c r="BA1057" s="2" t="s">
        <v>74</v>
      </c>
      <c r="BB1057" s="2">
        <v>180</v>
      </c>
      <c r="BC1057" s="2">
        <v>188</v>
      </c>
      <c r="BD1057" s="2" t="s">
        <v>74</v>
      </c>
      <c r="BE1057" s="2" t="s">
        <v>2369</v>
      </c>
      <c r="BF1057" s="2" t="str">
        <f>HYPERLINK("http://dx.doi.org/10.1111/bij.12105","http://dx.doi.org/10.1111/bij.12105")</f>
        <v>http://dx.doi.org/10.1111/bij.12105</v>
      </c>
      <c r="BG1057" s="2" t="s">
        <v>74</v>
      </c>
      <c r="BH1057" s="2" t="s">
        <v>74</v>
      </c>
      <c r="BI1057" s="2" t="s">
        <v>74</v>
      </c>
      <c r="BJ1057" s="2" t="s">
        <v>74</v>
      </c>
      <c r="BK1057" s="2" t="s">
        <v>74</v>
      </c>
      <c r="BL1057" s="2" t="s">
        <v>74</v>
      </c>
      <c r="BM1057" s="2" t="s">
        <v>74</v>
      </c>
      <c r="BN1057" s="2" t="s">
        <v>74</v>
      </c>
      <c r="BO1057" s="2" t="s">
        <v>74</v>
      </c>
      <c r="BP1057" s="2" t="s">
        <v>74</v>
      </c>
      <c r="BQ1057" s="2" t="s">
        <v>74</v>
      </c>
      <c r="BR1057" s="2" t="s">
        <v>74</v>
      </c>
      <c r="BS1057" s="2" t="s">
        <v>2370</v>
      </c>
      <c r="BT1057" s="2" t="str">
        <f>HYPERLINK("https%3A%2F%2Fwww.webofscience.com%2Fwos%2Fwoscc%2Ffull-record%2FWOS:000323040200013","View Full Record in Web of Science")</f>
        <v>View Full Record in Web of Science</v>
      </c>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row>
    <row r="1058" spans="1:314" s="2" customFormat="1" x14ac:dyDescent="0.4">
      <c r="A1058" s="2" t="s">
        <v>72</v>
      </c>
      <c r="B1058" s="2" t="s">
        <v>4041</v>
      </c>
      <c r="C1058" s="2" t="s">
        <v>74</v>
      </c>
      <c r="D1058" s="2" t="s">
        <v>74</v>
      </c>
      <c r="E1058" s="2" t="s">
        <v>74</v>
      </c>
      <c r="F1058" s="2" t="s">
        <v>4042</v>
      </c>
      <c r="G1058" s="2" t="s">
        <v>74</v>
      </c>
      <c r="H1058" s="2" t="s">
        <v>74</v>
      </c>
      <c r="I1058" s="2" t="s">
        <v>4043</v>
      </c>
      <c r="J1058" s="2" t="s">
        <v>129</v>
      </c>
      <c r="K1058" s="2" t="s">
        <v>74</v>
      </c>
      <c r="L1058" s="2" t="s">
        <v>74</v>
      </c>
      <c r="M1058" s="2" t="s">
        <v>74</v>
      </c>
      <c r="N1058" s="2" t="s">
        <v>74</v>
      </c>
      <c r="O1058" s="2" t="s">
        <v>74</v>
      </c>
      <c r="P1058" s="2" t="s">
        <v>74</v>
      </c>
      <c r="Q1058" s="2" t="s">
        <v>74</v>
      </c>
      <c r="R1058" s="2" t="s">
        <v>74</v>
      </c>
      <c r="S1058" s="2" t="s">
        <v>74</v>
      </c>
      <c r="T1058" s="2" t="s">
        <v>74</v>
      </c>
      <c r="U1058" s="2" t="s">
        <v>74</v>
      </c>
      <c r="V1058" s="5" t="s">
        <v>4044</v>
      </c>
      <c r="W1058" s="2" t="s">
        <v>74</v>
      </c>
      <c r="X1058" s="2" t="s">
        <v>74</v>
      </c>
      <c r="Y1058" s="2" t="s">
        <v>74</v>
      </c>
      <c r="Z1058" s="2" t="s">
        <v>74</v>
      </c>
      <c r="AA1058" s="2" t="s">
        <v>74</v>
      </c>
      <c r="AB1058" s="2" t="s">
        <v>74</v>
      </c>
      <c r="AC1058" s="2" t="s">
        <v>74</v>
      </c>
      <c r="AD1058" s="2" t="s">
        <v>74</v>
      </c>
      <c r="AE1058" s="2" t="s">
        <v>74</v>
      </c>
      <c r="AF1058" s="2" t="s">
        <v>74</v>
      </c>
      <c r="AG1058" s="2" t="s">
        <v>74</v>
      </c>
      <c r="AH1058" s="2" t="s">
        <v>74</v>
      </c>
      <c r="AI1058" s="2" t="s">
        <v>74</v>
      </c>
      <c r="AJ1058" s="2" t="s">
        <v>74</v>
      </c>
      <c r="AK1058" s="2" t="s">
        <v>74</v>
      </c>
      <c r="AL1058" s="2" t="s">
        <v>74</v>
      </c>
      <c r="AM1058" s="2" t="s">
        <v>74</v>
      </c>
      <c r="AN1058" s="2" t="s">
        <v>74</v>
      </c>
      <c r="AO1058" s="2" t="s">
        <v>132</v>
      </c>
      <c r="AP1058" s="2" t="s">
        <v>133</v>
      </c>
      <c r="AQ1058" s="2" t="s">
        <v>74</v>
      </c>
      <c r="AR1058" s="2" t="s">
        <v>74</v>
      </c>
      <c r="AS1058" s="2" t="s">
        <v>74</v>
      </c>
      <c r="AT1058" s="2" t="s">
        <v>123</v>
      </c>
      <c r="AU1058" s="2">
        <v>2024</v>
      </c>
      <c r="AV1058" s="2">
        <v>78</v>
      </c>
      <c r="AW1058" s="2">
        <v>3</v>
      </c>
      <c r="AX1058" s="2" t="s">
        <v>74</v>
      </c>
      <c r="AY1058" s="2" t="s">
        <v>74</v>
      </c>
      <c r="AZ1058" s="2" t="s">
        <v>74</v>
      </c>
      <c r="BA1058" s="2" t="s">
        <v>74</v>
      </c>
      <c r="BB1058" s="2" t="s">
        <v>74</v>
      </c>
      <c r="BC1058" s="2" t="s">
        <v>74</v>
      </c>
      <c r="BD1058" s="2">
        <v>43</v>
      </c>
      <c r="BE1058" s="2" t="s">
        <v>4045</v>
      </c>
      <c r="BF1058" s="2" t="str">
        <f>HYPERLINK("http://dx.doi.org/10.1007/s00265-024-03453-8","http://dx.doi.org/10.1007/s00265-024-03453-8")</f>
        <v>http://dx.doi.org/10.1007/s00265-024-03453-8</v>
      </c>
      <c r="BG1058" s="2" t="s">
        <v>74</v>
      </c>
      <c r="BH1058" s="2" t="s">
        <v>74</v>
      </c>
      <c r="BI1058" s="2" t="s">
        <v>74</v>
      </c>
      <c r="BJ1058" s="2" t="s">
        <v>74</v>
      </c>
      <c r="BK1058" s="2" t="s">
        <v>74</v>
      </c>
      <c r="BL1058" s="2" t="s">
        <v>74</v>
      </c>
      <c r="BM1058" s="2" t="s">
        <v>74</v>
      </c>
      <c r="BN1058" s="2" t="s">
        <v>74</v>
      </c>
      <c r="BO1058" s="2" t="s">
        <v>74</v>
      </c>
      <c r="BP1058" s="2" t="s">
        <v>74</v>
      </c>
      <c r="BQ1058" s="2" t="s">
        <v>74</v>
      </c>
      <c r="BR1058" s="2" t="s">
        <v>74</v>
      </c>
      <c r="BS1058" s="2" t="s">
        <v>4046</v>
      </c>
      <c r="BT1058" s="2" t="str">
        <f>HYPERLINK("https%3A%2F%2Fwww.webofscience.com%2Fwos%2Fwoscc%2Ffull-record%2FWOS:001190569600001","View Full Record in Web of Science")</f>
        <v>View Full Record in Web of Science</v>
      </c>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row>
    <row r="1059" spans="1:314" s="2" customFormat="1" x14ac:dyDescent="0.4">
      <c r="A1059" s="2" t="s">
        <v>72</v>
      </c>
      <c r="B1059" s="2" t="s">
        <v>5262</v>
      </c>
      <c r="C1059" s="2" t="s">
        <v>74</v>
      </c>
      <c r="D1059" s="2" t="s">
        <v>74</v>
      </c>
      <c r="E1059" s="2" t="s">
        <v>74</v>
      </c>
      <c r="F1059" s="2" t="s">
        <v>5263</v>
      </c>
      <c r="G1059" s="2" t="s">
        <v>74</v>
      </c>
      <c r="H1059" s="2" t="s">
        <v>74</v>
      </c>
      <c r="I1059" s="2" t="s">
        <v>5264</v>
      </c>
      <c r="J1059" s="2" t="s">
        <v>5265</v>
      </c>
      <c r="K1059" s="2" t="s">
        <v>74</v>
      </c>
      <c r="L1059" s="2" t="s">
        <v>74</v>
      </c>
      <c r="M1059" s="2" t="s">
        <v>74</v>
      </c>
      <c r="N1059" s="2" t="s">
        <v>74</v>
      </c>
      <c r="O1059" s="2" t="s">
        <v>74</v>
      </c>
      <c r="P1059" s="2" t="s">
        <v>74</v>
      </c>
      <c r="Q1059" s="2" t="s">
        <v>74</v>
      </c>
      <c r="R1059" s="2" t="s">
        <v>74</v>
      </c>
      <c r="S1059" s="2" t="s">
        <v>74</v>
      </c>
      <c r="T1059" s="2" t="s">
        <v>74</v>
      </c>
      <c r="U1059" s="2" t="s">
        <v>74</v>
      </c>
      <c r="V1059" s="5" t="s">
        <v>5266</v>
      </c>
      <c r="W1059" s="2" t="s">
        <v>74</v>
      </c>
      <c r="X1059" s="2" t="s">
        <v>74</v>
      </c>
      <c r="Y1059" s="2" t="s">
        <v>74</v>
      </c>
      <c r="Z1059" s="2" t="s">
        <v>74</v>
      </c>
      <c r="AA1059" s="2" t="s">
        <v>5267</v>
      </c>
      <c r="AB1059" s="2" t="s">
        <v>5268</v>
      </c>
      <c r="AC1059" s="2" t="s">
        <v>74</v>
      </c>
      <c r="AD1059" s="2" t="s">
        <v>74</v>
      </c>
      <c r="AE1059" s="2" t="s">
        <v>74</v>
      </c>
      <c r="AF1059" s="2" t="s">
        <v>74</v>
      </c>
      <c r="AG1059" s="2" t="s">
        <v>74</v>
      </c>
      <c r="AH1059" s="2" t="s">
        <v>74</v>
      </c>
      <c r="AI1059" s="2" t="s">
        <v>74</v>
      </c>
      <c r="AJ1059" s="2" t="s">
        <v>74</v>
      </c>
      <c r="AK1059" s="2" t="s">
        <v>74</v>
      </c>
      <c r="AL1059" s="2" t="s">
        <v>74</v>
      </c>
      <c r="AM1059" s="2" t="s">
        <v>74</v>
      </c>
      <c r="AN1059" s="2" t="s">
        <v>74</v>
      </c>
      <c r="AO1059" s="2" t="s">
        <v>5269</v>
      </c>
      <c r="AP1059" s="2" t="s">
        <v>74</v>
      </c>
      <c r="AQ1059" s="2" t="s">
        <v>74</v>
      </c>
      <c r="AR1059" s="2" t="s">
        <v>74</v>
      </c>
      <c r="AS1059" s="2" t="s">
        <v>74</v>
      </c>
      <c r="AT1059" s="2" t="s">
        <v>5270</v>
      </c>
      <c r="AU1059" s="2">
        <v>2018</v>
      </c>
      <c r="AV1059" s="2">
        <v>42</v>
      </c>
      <c r="AW1059" s="2">
        <v>3</v>
      </c>
      <c r="AX1059" s="2" t="s">
        <v>74</v>
      </c>
      <c r="AY1059" s="2" t="s">
        <v>74</v>
      </c>
      <c r="AZ1059" s="2" t="s">
        <v>74</v>
      </c>
      <c r="BA1059" s="2" t="s">
        <v>74</v>
      </c>
      <c r="BB1059" s="2">
        <v>229</v>
      </c>
      <c r="BC1059" s="2">
        <v>256</v>
      </c>
      <c r="BD1059" s="2" t="s">
        <v>74</v>
      </c>
      <c r="BE1059" s="2" t="s">
        <v>74</v>
      </c>
      <c r="BF1059" s="2" t="s">
        <v>74</v>
      </c>
      <c r="BG1059" s="2" t="s">
        <v>74</v>
      </c>
      <c r="BH1059" s="2" t="s">
        <v>74</v>
      </c>
      <c r="BI1059" s="2" t="s">
        <v>74</v>
      </c>
      <c r="BJ1059" s="2" t="s">
        <v>74</v>
      </c>
      <c r="BK1059" s="2" t="s">
        <v>74</v>
      </c>
      <c r="BL1059" s="2" t="s">
        <v>74</v>
      </c>
      <c r="BM1059" s="2" t="s">
        <v>74</v>
      </c>
      <c r="BN1059" s="2" t="s">
        <v>74</v>
      </c>
      <c r="BO1059" s="2" t="s">
        <v>74</v>
      </c>
      <c r="BP1059" s="2" t="s">
        <v>74</v>
      </c>
      <c r="BQ1059" s="2" t="s">
        <v>74</v>
      </c>
      <c r="BR1059" s="2" t="s">
        <v>74</v>
      </c>
      <c r="BS1059" s="2" t="s">
        <v>5271</v>
      </c>
      <c r="BT1059" s="2" t="str">
        <f>HYPERLINK("https%3A%2F%2Fwww.webofscience.com%2Fwos%2Fwoscc%2Ffull-record%2FWOS:000449238000002","View Full Record in Web of Science")</f>
        <v>View Full Record in Web of Science</v>
      </c>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row>
    <row r="1060" spans="1:314" s="2" customFormat="1" x14ac:dyDescent="0.4">
      <c r="A1060" s="2" t="s">
        <v>72</v>
      </c>
      <c r="B1060" s="2" t="s">
        <v>7857</v>
      </c>
      <c r="C1060" s="2" t="s">
        <v>74</v>
      </c>
      <c r="D1060" s="2" t="s">
        <v>74</v>
      </c>
      <c r="E1060" s="2" t="s">
        <v>74</v>
      </c>
      <c r="F1060" s="2" t="s">
        <v>7858</v>
      </c>
      <c r="G1060" s="2" t="s">
        <v>74</v>
      </c>
      <c r="H1060" s="2" t="s">
        <v>74</v>
      </c>
      <c r="I1060" s="2" t="s">
        <v>7859</v>
      </c>
      <c r="J1060" s="2" t="s">
        <v>108</v>
      </c>
      <c r="K1060" s="2" t="s">
        <v>74</v>
      </c>
      <c r="L1060" s="2" t="s">
        <v>74</v>
      </c>
      <c r="M1060" s="2" t="s">
        <v>74</v>
      </c>
      <c r="N1060" s="2" t="s">
        <v>74</v>
      </c>
      <c r="O1060" s="2" t="s">
        <v>74</v>
      </c>
      <c r="P1060" s="2" t="s">
        <v>74</v>
      </c>
      <c r="Q1060" s="2" t="s">
        <v>74</v>
      </c>
      <c r="R1060" s="2" t="s">
        <v>74</v>
      </c>
      <c r="S1060" s="2" t="s">
        <v>74</v>
      </c>
      <c r="T1060" s="2" t="s">
        <v>74</v>
      </c>
      <c r="U1060" s="2" t="s">
        <v>74</v>
      </c>
      <c r="V1060" s="5" t="s">
        <v>7860</v>
      </c>
      <c r="W1060" s="2" t="s">
        <v>74</v>
      </c>
      <c r="X1060" s="2" t="s">
        <v>74</v>
      </c>
      <c r="Y1060" s="2" t="s">
        <v>74</v>
      </c>
      <c r="Z1060" s="2" t="s">
        <v>74</v>
      </c>
      <c r="AA1060" s="2" t="s">
        <v>7861</v>
      </c>
      <c r="AB1060" s="2" t="s">
        <v>7862</v>
      </c>
      <c r="AC1060" s="2" t="s">
        <v>74</v>
      </c>
      <c r="AD1060" s="2" t="s">
        <v>74</v>
      </c>
      <c r="AE1060" s="2" t="s">
        <v>74</v>
      </c>
      <c r="AF1060" s="2" t="s">
        <v>74</v>
      </c>
      <c r="AG1060" s="2" t="s">
        <v>74</v>
      </c>
      <c r="AH1060" s="2" t="s">
        <v>74</v>
      </c>
      <c r="AI1060" s="2" t="s">
        <v>74</v>
      </c>
      <c r="AJ1060" s="2" t="s">
        <v>74</v>
      </c>
      <c r="AK1060" s="2" t="s">
        <v>74</v>
      </c>
      <c r="AL1060" s="2" t="s">
        <v>74</v>
      </c>
      <c r="AM1060" s="2" t="s">
        <v>74</v>
      </c>
      <c r="AN1060" s="2" t="s">
        <v>74</v>
      </c>
      <c r="AO1060" s="2" t="s">
        <v>111</v>
      </c>
      <c r="AP1060" s="2" t="s">
        <v>112</v>
      </c>
      <c r="AQ1060" s="2" t="s">
        <v>74</v>
      </c>
      <c r="AR1060" s="2" t="s">
        <v>74</v>
      </c>
      <c r="AS1060" s="2" t="s">
        <v>74</v>
      </c>
      <c r="AT1060" s="2" t="s">
        <v>3105</v>
      </c>
      <c r="AU1060" s="2">
        <v>2019</v>
      </c>
      <c r="AV1060" s="2">
        <v>286</v>
      </c>
      <c r="AW1060" s="2">
        <v>1914</v>
      </c>
      <c r="AX1060" s="2" t="s">
        <v>74</v>
      </c>
      <c r="AY1060" s="2" t="s">
        <v>74</v>
      </c>
      <c r="AZ1060" s="2" t="s">
        <v>74</v>
      </c>
      <c r="BA1060" s="2" t="s">
        <v>74</v>
      </c>
      <c r="BB1060" s="2" t="s">
        <v>74</v>
      </c>
      <c r="BC1060" s="2" t="s">
        <v>74</v>
      </c>
      <c r="BD1060" s="2">
        <v>20192075</v>
      </c>
      <c r="BE1060" s="2" t="s">
        <v>7863</v>
      </c>
      <c r="BF1060" s="2" t="str">
        <f>HYPERLINK("http://dx.doi.org/10.1098/rspb.2019.2075","http://dx.doi.org/10.1098/rspb.2019.2075")</f>
        <v>http://dx.doi.org/10.1098/rspb.2019.2075</v>
      </c>
      <c r="BG1060" s="2" t="s">
        <v>74</v>
      </c>
      <c r="BH1060" s="2" t="s">
        <v>74</v>
      </c>
      <c r="BI1060" s="2" t="s">
        <v>74</v>
      </c>
      <c r="BJ1060" s="2" t="s">
        <v>74</v>
      </c>
      <c r="BK1060" s="2" t="s">
        <v>74</v>
      </c>
      <c r="BL1060" s="2" t="s">
        <v>74</v>
      </c>
      <c r="BM1060" s="2" t="s">
        <v>74</v>
      </c>
      <c r="BN1060" s="2">
        <v>31690236</v>
      </c>
      <c r="BO1060" s="2" t="s">
        <v>74</v>
      </c>
      <c r="BP1060" s="2" t="s">
        <v>74</v>
      </c>
      <c r="BQ1060" s="2" t="s">
        <v>74</v>
      </c>
      <c r="BR1060" s="2" t="s">
        <v>74</v>
      </c>
      <c r="BS1060" s="2" t="s">
        <v>7864</v>
      </c>
      <c r="BT1060" s="2" t="str">
        <f>HYPERLINK("https%3A%2F%2Fwww.webofscience.com%2Fwos%2Fwoscc%2Ffull-record%2FWOS:000504858100018","View Full Record in Web of Science")</f>
        <v>View Full Record in Web of Science</v>
      </c>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row>
    <row r="1061" spans="1:314" s="2" customFormat="1" x14ac:dyDescent="0.4">
      <c r="A1061" s="2" t="s">
        <v>72</v>
      </c>
      <c r="B1061" s="2" t="s">
        <v>2926</v>
      </c>
      <c r="C1061" s="2" t="s">
        <v>74</v>
      </c>
      <c r="D1061" s="2" t="s">
        <v>74</v>
      </c>
      <c r="E1061" s="2" t="s">
        <v>74</v>
      </c>
      <c r="F1061" s="2" t="s">
        <v>2927</v>
      </c>
      <c r="G1061" s="2" t="s">
        <v>74</v>
      </c>
      <c r="H1061" s="2" t="s">
        <v>74</v>
      </c>
      <c r="I1061" s="2" t="s">
        <v>2928</v>
      </c>
      <c r="J1061" s="2" t="s">
        <v>2929</v>
      </c>
      <c r="K1061" s="2" t="s">
        <v>74</v>
      </c>
      <c r="L1061" s="2" t="s">
        <v>74</v>
      </c>
      <c r="M1061" s="2" t="s">
        <v>74</v>
      </c>
      <c r="N1061" s="2" t="s">
        <v>74</v>
      </c>
      <c r="O1061" s="2" t="s">
        <v>74</v>
      </c>
      <c r="P1061" s="2" t="s">
        <v>74</v>
      </c>
      <c r="Q1061" s="2" t="s">
        <v>74</v>
      </c>
      <c r="R1061" s="2" t="s">
        <v>74</v>
      </c>
      <c r="S1061" s="2" t="s">
        <v>74</v>
      </c>
      <c r="T1061" s="2" t="s">
        <v>74</v>
      </c>
      <c r="U1061" s="2" t="s">
        <v>74</v>
      </c>
      <c r="V1061" s="5" t="s">
        <v>2930</v>
      </c>
      <c r="W1061" s="2" t="s">
        <v>74</v>
      </c>
      <c r="X1061" s="2" t="s">
        <v>74</v>
      </c>
      <c r="Y1061" s="2" t="s">
        <v>74</v>
      </c>
      <c r="Z1061" s="2" t="s">
        <v>74</v>
      </c>
      <c r="AA1061" s="2" t="s">
        <v>74</v>
      </c>
      <c r="AB1061" s="2" t="s">
        <v>2931</v>
      </c>
      <c r="AC1061" s="2" t="s">
        <v>74</v>
      </c>
      <c r="AD1061" s="2" t="s">
        <v>74</v>
      </c>
      <c r="AE1061" s="2" t="s">
        <v>74</v>
      </c>
      <c r="AF1061" s="2" t="s">
        <v>74</v>
      </c>
      <c r="AG1061" s="2" t="s">
        <v>74</v>
      </c>
      <c r="AH1061" s="2" t="s">
        <v>74</v>
      </c>
      <c r="AI1061" s="2" t="s">
        <v>74</v>
      </c>
      <c r="AJ1061" s="2" t="s">
        <v>74</v>
      </c>
      <c r="AK1061" s="2" t="s">
        <v>74</v>
      </c>
      <c r="AL1061" s="2" t="s">
        <v>74</v>
      </c>
      <c r="AM1061" s="2" t="s">
        <v>74</v>
      </c>
      <c r="AN1061" s="2" t="s">
        <v>74</v>
      </c>
      <c r="AO1061" s="2" t="s">
        <v>2932</v>
      </c>
      <c r="AP1061" s="2" t="s">
        <v>74</v>
      </c>
      <c r="AQ1061" s="2" t="s">
        <v>74</v>
      </c>
      <c r="AR1061" s="2" t="s">
        <v>74</v>
      </c>
      <c r="AS1061" s="2" t="s">
        <v>74</v>
      </c>
      <c r="AT1061" s="2" t="s">
        <v>305</v>
      </c>
      <c r="AU1061" s="2">
        <v>2021</v>
      </c>
      <c r="AV1061" s="2">
        <v>21</v>
      </c>
      <c r="AW1061" s="2">
        <v>1</v>
      </c>
      <c r="AX1061" s="2" t="s">
        <v>74</v>
      </c>
      <c r="AY1061" s="2" t="s">
        <v>74</v>
      </c>
      <c r="AZ1061" s="2" t="s">
        <v>74</v>
      </c>
      <c r="BA1061" s="2" t="s">
        <v>74</v>
      </c>
      <c r="BB1061" s="2">
        <v>80</v>
      </c>
      <c r="BC1061" s="2">
        <v>84</v>
      </c>
      <c r="BD1061" s="2" t="s">
        <v>74</v>
      </c>
      <c r="BE1061" s="2" t="s">
        <v>2933</v>
      </c>
      <c r="BF1061" s="2" t="str">
        <f>HYPERLINK("http://dx.doi.org/10.2994/SAJH-D-20-00015.1","http://dx.doi.org/10.2994/SAJH-D-20-00015.1")</f>
        <v>http://dx.doi.org/10.2994/SAJH-D-20-00015.1</v>
      </c>
      <c r="BG1061" s="2" t="s">
        <v>74</v>
      </c>
      <c r="BH1061" s="2" t="s">
        <v>74</v>
      </c>
      <c r="BI1061" s="2" t="s">
        <v>74</v>
      </c>
      <c r="BJ1061" s="2" t="s">
        <v>74</v>
      </c>
      <c r="BK1061" s="2" t="s">
        <v>74</v>
      </c>
      <c r="BL1061" s="2" t="s">
        <v>74</v>
      </c>
      <c r="BM1061" s="2" t="s">
        <v>74</v>
      </c>
      <c r="BN1061" s="2" t="s">
        <v>74</v>
      </c>
      <c r="BO1061" s="2" t="s">
        <v>74</v>
      </c>
      <c r="BP1061" s="2" t="s">
        <v>74</v>
      </c>
      <c r="BQ1061" s="2" t="s">
        <v>74</v>
      </c>
      <c r="BR1061" s="2" t="s">
        <v>74</v>
      </c>
      <c r="BS1061" s="2" t="s">
        <v>2934</v>
      </c>
      <c r="BT1061" s="2" t="str">
        <f>HYPERLINK("https%3A%2F%2Fwww.webofscience.com%2Fwos%2Fwoscc%2Ffull-record%2FWOS:000739788300008","View Full Record in Web of Science")</f>
        <v>View Full Record in Web of Science</v>
      </c>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row>
    <row r="1062" spans="1:314" s="2" customFormat="1" x14ac:dyDescent="0.4">
      <c r="A1062" s="2" t="s">
        <v>72</v>
      </c>
      <c r="B1062" s="2" t="s">
        <v>5251</v>
      </c>
      <c r="C1062" s="2" t="s">
        <v>74</v>
      </c>
      <c r="D1062" s="2" t="s">
        <v>74</v>
      </c>
      <c r="E1062" s="2" t="s">
        <v>74</v>
      </c>
      <c r="F1062" s="2" t="s">
        <v>5252</v>
      </c>
      <c r="G1062" s="2" t="s">
        <v>74</v>
      </c>
      <c r="H1062" s="2" t="s">
        <v>74</v>
      </c>
      <c r="I1062" s="2" t="s">
        <v>5253</v>
      </c>
      <c r="J1062" s="2" t="s">
        <v>129</v>
      </c>
      <c r="K1062" s="2" t="s">
        <v>74</v>
      </c>
      <c r="L1062" s="2" t="s">
        <v>74</v>
      </c>
      <c r="M1062" s="2" t="s">
        <v>74</v>
      </c>
      <c r="N1062" s="2" t="s">
        <v>74</v>
      </c>
      <c r="O1062" s="2" t="s">
        <v>74</v>
      </c>
      <c r="P1062" s="2" t="s">
        <v>74</v>
      </c>
      <c r="Q1062" s="2" t="s">
        <v>74</v>
      </c>
      <c r="R1062" s="2" t="s">
        <v>74</v>
      </c>
      <c r="S1062" s="2" t="s">
        <v>74</v>
      </c>
      <c r="T1062" s="2" t="s">
        <v>74</v>
      </c>
      <c r="U1062" s="2" t="s">
        <v>74</v>
      </c>
      <c r="V1062" s="5" t="s">
        <v>5254</v>
      </c>
      <c r="W1062" s="2" t="s">
        <v>74</v>
      </c>
      <c r="X1062" s="2" t="s">
        <v>74</v>
      </c>
      <c r="Y1062" s="2" t="s">
        <v>74</v>
      </c>
      <c r="Z1062" s="2" t="s">
        <v>74</v>
      </c>
      <c r="AA1062" s="2" t="s">
        <v>74</v>
      </c>
      <c r="AB1062" s="2" t="s">
        <v>322</v>
      </c>
      <c r="AC1062" s="2" t="s">
        <v>74</v>
      </c>
      <c r="AD1062" s="2" t="s">
        <v>74</v>
      </c>
      <c r="AE1062" s="2" t="s">
        <v>74</v>
      </c>
      <c r="AF1062" s="2" t="s">
        <v>74</v>
      </c>
      <c r="AG1062" s="2" t="s">
        <v>74</v>
      </c>
      <c r="AH1062" s="2" t="s">
        <v>74</v>
      </c>
      <c r="AI1062" s="2" t="s">
        <v>74</v>
      </c>
      <c r="AJ1062" s="2" t="s">
        <v>74</v>
      </c>
      <c r="AK1062" s="2" t="s">
        <v>74</v>
      </c>
      <c r="AL1062" s="2" t="s">
        <v>74</v>
      </c>
      <c r="AM1062" s="2" t="s">
        <v>74</v>
      </c>
      <c r="AN1062" s="2" t="s">
        <v>74</v>
      </c>
      <c r="AO1062" s="2" t="s">
        <v>132</v>
      </c>
      <c r="AP1062" s="2" t="s">
        <v>133</v>
      </c>
      <c r="AQ1062" s="2" t="s">
        <v>74</v>
      </c>
      <c r="AR1062" s="2" t="s">
        <v>74</v>
      </c>
      <c r="AS1062" s="2" t="s">
        <v>74</v>
      </c>
      <c r="AT1062" s="2" t="s">
        <v>352</v>
      </c>
      <c r="AU1062" s="2">
        <v>2013</v>
      </c>
      <c r="AV1062" s="2">
        <v>67</v>
      </c>
      <c r="AW1062" s="2">
        <v>9</v>
      </c>
      <c r="AX1062" s="2" t="s">
        <v>74</v>
      </c>
      <c r="AY1062" s="2" t="s">
        <v>74</v>
      </c>
      <c r="AZ1062" s="2" t="s">
        <v>848</v>
      </c>
      <c r="BA1062" s="2" t="s">
        <v>74</v>
      </c>
      <c r="BB1062" s="2">
        <v>1499</v>
      </c>
      <c r="BC1062" s="2">
        <v>1511</v>
      </c>
      <c r="BD1062" s="2" t="s">
        <v>74</v>
      </c>
      <c r="BE1062" s="2" t="s">
        <v>5255</v>
      </c>
      <c r="BF1062" s="2" t="str">
        <f>HYPERLINK("http://dx.doi.org/10.1007/s00265-013-1492-y","http://dx.doi.org/10.1007/s00265-013-1492-y")</f>
        <v>http://dx.doi.org/10.1007/s00265-013-1492-y</v>
      </c>
      <c r="BG1062" s="2" t="s">
        <v>74</v>
      </c>
      <c r="BH1062" s="2" t="s">
        <v>74</v>
      </c>
      <c r="BI1062" s="2" t="s">
        <v>74</v>
      </c>
      <c r="BJ1062" s="2" t="s">
        <v>74</v>
      </c>
      <c r="BK1062" s="2" t="s">
        <v>74</v>
      </c>
      <c r="BL1062" s="2" t="s">
        <v>74</v>
      </c>
      <c r="BM1062" s="2" t="s">
        <v>74</v>
      </c>
      <c r="BN1062" s="2" t="s">
        <v>74</v>
      </c>
      <c r="BO1062" s="2" t="s">
        <v>74</v>
      </c>
      <c r="BP1062" s="2" t="s">
        <v>74</v>
      </c>
      <c r="BQ1062" s="2" t="s">
        <v>74</v>
      </c>
      <c r="BR1062" s="2" t="s">
        <v>74</v>
      </c>
      <c r="BS1062" s="2" t="s">
        <v>5256</v>
      </c>
      <c r="BT1062" s="2" t="str">
        <f>HYPERLINK("https%3A%2F%2Fwww.webofscience.com%2Fwos%2Fwoscc%2Ffull-record%2FWOS:000323103400012","View Full Record in Web of Science")</f>
        <v>View Full Record in Web of Science</v>
      </c>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row>
    <row r="1063" spans="1:314" s="2" customFormat="1" x14ac:dyDescent="0.4">
      <c r="A1063" s="2" t="s">
        <v>72</v>
      </c>
      <c r="B1063" s="2" t="s">
        <v>7746</v>
      </c>
      <c r="C1063" s="2" t="s">
        <v>74</v>
      </c>
      <c r="D1063" s="2" t="s">
        <v>74</v>
      </c>
      <c r="E1063" s="2" t="s">
        <v>74</v>
      </c>
      <c r="F1063" s="2" t="s">
        <v>7747</v>
      </c>
      <c r="G1063" s="2" t="s">
        <v>74</v>
      </c>
      <c r="H1063" s="2" t="s">
        <v>74</v>
      </c>
      <c r="I1063" s="2" t="s">
        <v>7748</v>
      </c>
      <c r="J1063" s="2" t="s">
        <v>2017</v>
      </c>
      <c r="K1063" s="2" t="s">
        <v>74</v>
      </c>
      <c r="L1063" s="2" t="s">
        <v>74</v>
      </c>
      <c r="M1063" s="2" t="s">
        <v>74</v>
      </c>
      <c r="N1063" s="2" t="s">
        <v>74</v>
      </c>
      <c r="O1063" s="2" t="s">
        <v>74</v>
      </c>
      <c r="P1063" s="2" t="s">
        <v>74</v>
      </c>
      <c r="Q1063" s="2" t="s">
        <v>74</v>
      </c>
      <c r="R1063" s="2" t="s">
        <v>74</v>
      </c>
      <c r="S1063" s="2" t="s">
        <v>74</v>
      </c>
      <c r="T1063" s="2" t="s">
        <v>74</v>
      </c>
      <c r="U1063" s="2" t="s">
        <v>74</v>
      </c>
      <c r="V1063" s="5" t="s">
        <v>7749</v>
      </c>
      <c r="W1063" s="2" t="s">
        <v>74</v>
      </c>
      <c r="X1063" s="2" t="s">
        <v>74</v>
      </c>
      <c r="Y1063" s="2" t="s">
        <v>74</v>
      </c>
      <c r="Z1063" s="2" t="s">
        <v>74</v>
      </c>
      <c r="AA1063" s="2" t="s">
        <v>7750</v>
      </c>
      <c r="AB1063" s="2" t="s">
        <v>7751</v>
      </c>
      <c r="AC1063" s="2" t="s">
        <v>74</v>
      </c>
      <c r="AD1063" s="2" t="s">
        <v>74</v>
      </c>
      <c r="AE1063" s="2" t="s">
        <v>74</v>
      </c>
      <c r="AF1063" s="2" t="s">
        <v>74</v>
      </c>
      <c r="AG1063" s="2" t="s">
        <v>74</v>
      </c>
      <c r="AH1063" s="2" t="s">
        <v>74</v>
      </c>
      <c r="AI1063" s="2" t="s">
        <v>74</v>
      </c>
      <c r="AJ1063" s="2" t="s">
        <v>74</v>
      </c>
      <c r="AK1063" s="2" t="s">
        <v>74</v>
      </c>
      <c r="AL1063" s="2" t="s">
        <v>74</v>
      </c>
      <c r="AM1063" s="2" t="s">
        <v>74</v>
      </c>
      <c r="AN1063" s="2" t="s">
        <v>74</v>
      </c>
      <c r="AO1063" s="2" t="s">
        <v>2021</v>
      </c>
      <c r="AP1063" s="2" t="s">
        <v>74</v>
      </c>
      <c r="AQ1063" s="2" t="s">
        <v>74</v>
      </c>
      <c r="AR1063" s="2" t="s">
        <v>74</v>
      </c>
      <c r="AS1063" s="2" t="s">
        <v>74</v>
      </c>
      <c r="AT1063" s="2" t="s">
        <v>493</v>
      </c>
      <c r="AU1063" s="2">
        <v>2022</v>
      </c>
      <c r="AV1063" s="2">
        <v>10</v>
      </c>
      <c r="AW1063" s="2" t="s">
        <v>74</v>
      </c>
      <c r="AX1063" s="2" t="s">
        <v>74</v>
      </c>
      <c r="AY1063" s="2" t="s">
        <v>74</v>
      </c>
      <c r="AZ1063" s="2" t="s">
        <v>74</v>
      </c>
      <c r="BA1063" s="2" t="s">
        <v>74</v>
      </c>
      <c r="BB1063" s="2" t="s">
        <v>74</v>
      </c>
      <c r="BC1063" s="2" t="s">
        <v>74</v>
      </c>
      <c r="BD1063" s="2">
        <v>890874</v>
      </c>
      <c r="BE1063" s="2" t="s">
        <v>7752</v>
      </c>
      <c r="BF1063" s="2" t="str">
        <f>HYPERLINK("http://dx.doi.org/10.3389/fevo.2022.890874","http://dx.doi.org/10.3389/fevo.2022.890874")</f>
        <v>http://dx.doi.org/10.3389/fevo.2022.890874</v>
      </c>
      <c r="BG1063" s="2" t="s">
        <v>74</v>
      </c>
      <c r="BH1063" s="2" t="s">
        <v>74</v>
      </c>
      <c r="BI1063" s="2" t="s">
        <v>74</v>
      </c>
      <c r="BJ1063" s="2" t="s">
        <v>74</v>
      </c>
      <c r="BK1063" s="2" t="s">
        <v>74</v>
      </c>
      <c r="BL1063" s="2" t="s">
        <v>74</v>
      </c>
      <c r="BM1063" s="2" t="s">
        <v>74</v>
      </c>
      <c r="BN1063" s="2" t="s">
        <v>74</v>
      </c>
      <c r="BO1063" s="2" t="s">
        <v>74</v>
      </c>
      <c r="BP1063" s="2" t="s">
        <v>74</v>
      </c>
      <c r="BQ1063" s="2" t="s">
        <v>74</v>
      </c>
      <c r="BR1063" s="2" t="s">
        <v>74</v>
      </c>
      <c r="BS1063" s="2" t="s">
        <v>7753</v>
      </c>
      <c r="BT1063" s="2" t="str">
        <f>HYPERLINK("https%3A%2F%2Fwww.webofscience.com%2Fwos%2Fwoscc%2Ffull-record%2FWOS:000837071500001","View Full Record in Web of Science")</f>
        <v>View Full Record in Web of Science</v>
      </c>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row>
    <row r="1064" spans="1:314" s="2" customFormat="1" x14ac:dyDescent="0.4">
      <c r="A1064" s="2" t="s">
        <v>72</v>
      </c>
      <c r="B1064" s="2" t="s">
        <v>8731</v>
      </c>
      <c r="C1064" s="2" t="s">
        <v>74</v>
      </c>
      <c r="D1064" s="2" t="s">
        <v>74</v>
      </c>
      <c r="E1064" s="2" t="s">
        <v>74</v>
      </c>
      <c r="F1064" s="2" t="s">
        <v>8732</v>
      </c>
      <c r="G1064" s="2" t="s">
        <v>74</v>
      </c>
      <c r="H1064" s="2" t="s">
        <v>74</v>
      </c>
      <c r="I1064" s="2" t="s">
        <v>8733</v>
      </c>
      <c r="J1064" s="2" t="s">
        <v>171</v>
      </c>
      <c r="K1064" s="2" t="s">
        <v>74</v>
      </c>
      <c r="L1064" s="2" t="s">
        <v>74</v>
      </c>
      <c r="M1064" s="2" t="s">
        <v>74</v>
      </c>
      <c r="N1064" s="2" t="s">
        <v>74</v>
      </c>
      <c r="O1064" s="2" t="s">
        <v>74</v>
      </c>
      <c r="P1064" s="2" t="s">
        <v>74</v>
      </c>
      <c r="Q1064" s="2" t="s">
        <v>74</v>
      </c>
      <c r="R1064" s="2" t="s">
        <v>74</v>
      </c>
      <c r="S1064" s="2" t="s">
        <v>74</v>
      </c>
      <c r="T1064" s="2" t="s">
        <v>74</v>
      </c>
      <c r="U1064" s="2" t="s">
        <v>74</v>
      </c>
      <c r="V1064" s="5" t="s">
        <v>8734</v>
      </c>
      <c r="W1064" s="2" t="s">
        <v>74</v>
      </c>
      <c r="X1064" s="2" t="s">
        <v>74</v>
      </c>
      <c r="Y1064" s="2" t="s">
        <v>74</v>
      </c>
      <c r="Z1064" s="2" t="s">
        <v>74</v>
      </c>
      <c r="AA1064" s="2" t="s">
        <v>8735</v>
      </c>
      <c r="AB1064" s="2" t="s">
        <v>8736</v>
      </c>
      <c r="AC1064" s="2" t="s">
        <v>74</v>
      </c>
      <c r="AD1064" s="2" t="s">
        <v>74</v>
      </c>
      <c r="AE1064" s="2" t="s">
        <v>74</v>
      </c>
      <c r="AF1064" s="2" t="s">
        <v>74</v>
      </c>
      <c r="AG1064" s="2" t="s">
        <v>74</v>
      </c>
      <c r="AH1064" s="2" t="s">
        <v>74</v>
      </c>
      <c r="AI1064" s="2" t="s">
        <v>74</v>
      </c>
      <c r="AJ1064" s="2" t="s">
        <v>74</v>
      </c>
      <c r="AK1064" s="2" t="s">
        <v>74</v>
      </c>
      <c r="AL1064" s="2" t="s">
        <v>74</v>
      </c>
      <c r="AM1064" s="2" t="s">
        <v>74</v>
      </c>
      <c r="AN1064" s="2" t="s">
        <v>74</v>
      </c>
      <c r="AO1064" s="2" t="s">
        <v>173</v>
      </c>
      <c r="AP1064" s="2" t="s">
        <v>174</v>
      </c>
      <c r="AQ1064" s="2" t="s">
        <v>74</v>
      </c>
      <c r="AR1064" s="2" t="s">
        <v>74</v>
      </c>
      <c r="AS1064" s="2" t="s">
        <v>74</v>
      </c>
      <c r="AT1064" s="2" t="s">
        <v>633</v>
      </c>
      <c r="AU1064" s="2">
        <v>2012</v>
      </c>
      <c r="AV1064" s="2">
        <v>66</v>
      </c>
      <c r="AW1064" s="2">
        <v>4</v>
      </c>
      <c r="AX1064" s="2" t="s">
        <v>74</v>
      </c>
      <c r="AY1064" s="2" t="s">
        <v>74</v>
      </c>
      <c r="AZ1064" s="2" t="s">
        <v>74</v>
      </c>
      <c r="BA1064" s="2" t="s">
        <v>74</v>
      </c>
      <c r="BB1064" s="2">
        <v>1167</v>
      </c>
      <c r="BC1064" s="2">
        <v>1179</v>
      </c>
      <c r="BD1064" s="2" t="s">
        <v>74</v>
      </c>
      <c r="BE1064" s="2" t="s">
        <v>8737</v>
      </c>
      <c r="BF1064" s="2" t="str">
        <f>HYPERLINK("http://dx.doi.org/10.1111/j.1558-5646.2011.01518.x","http://dx.doi.org/10.1111/j.1558-5646.2011.01518.x")</f>
        <v>http://dx.doi.org/10.1111/j.1558-5646.2011.01518.x</v>
      </c>
      <c r="BG1064" s="2" t="s">
        <v>74</v>
      </c>
      <c r="BH1064" s="2" t="s">
        <v>74</v>
      </c>
      <c r="BI1064" s="2" t="s">
        <v>74</v>
      </c>
      <c r="BJ1064" s="2" t="s">
        <v>74</v>
      </c>
      <c r="BK1064" s="2" t="s">
        <v>74</v>
      </c>
      <c r="BL1064" s="2" t="s">
        <v>74</v>
      </c>
      <c r="BM1064" s="2" t="s">
        <v>74</v>
      </c>
      <c r="BN1064" s="2">
        <v>22486696</v>
      </c>
      <c r="BO1064" s="2" t="s">
        <v>74</v>
      </c>
      <c r="BP1064" s="2" t="s">
        <v>74</v>
      </c>
      <c r="BQ1064" s="2" t="s">
        <v>74</v>
      </c>
      <c r="BR1064" s="2" t="s">
        <v>74</v>
      </c>
      <c r="BS1064" s="2" t="s">
        <v>8738</v>
      </c>
      <c r="BT1064" s="2" t="str">
        <f>HYPERLINK("https%3A%2F%2Fwww.webofscience.com%2Fwos%2Fwoscc%2Ffull-record%2FWOS:000302546700016","View Full Record in Web of Science")</f>
        <v>View Full Record in Web of Science</v>
      </c>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row>
    <row r="1065" spans="1:314" s="2" customFormat="1" x14ac:dyDescent="0.4">
      <c r="A1065" s="2" t="s">
        <v>72</v>
      </c>
      <c r="B1065" s="2" t="s">
        <v>2540</v>
      </c>
      <c r="C1065" s="2" t="s">
        <v>74</v>
      </c>
      <c r="D1065" s="2" t="s">
        <v>74</v>
      </c>
      <c r="E1065" s="2" t="s">
        <v>74</v>
      </c>
      <c r="F1065" s="2" t="s">
        <v>2541</v>
      </c>
      <c r="G1065" s="2" t="s">
        <v>74</v>
      </c>
      <c r="H1065" s="2" t="s">
        <v>74</v>
      </c>
      <c r="I1065" s="2" t="s">
        <v>2542</v>
      </c>
      <c r="J1065" s="2" t="s">
        <v>775</v>
      </c>
      <c r="K1065" s="2" t="s">
        <v>74</v>
      </c>
      <c r="L1065" s="2" t="s">
        <v>74</v>
      </c>
      <c r="M1065" s="2" t="s">
        <v>74</v>
      </c>
      <c r="N1065" s="2" t="s">
        <v>74</v>
      </c>
      <c r="O1065" s="2" t="s">
        <v>74</v>
      </c>
      <c r="P1065" s="2" t="s">
        <v>74</v>
      </c>
      <c r="Q1065" s="2" t="s">
        <v>74</v>
      </c>
      <c r="R1065" s="2" t="s">
        <v>74</v>
      </c>
      <c r="S1065" s="2" t="s">
        <v>74</v>
      </c>
      <c r="T1065" s="2" t="s">
        <v>74</v>
      </c>
      <c r="U1065" s="2" t="s">
        <v>74</v>
      </c>
      <c r="V1065" s="5" t="s">
        <v>2543</v>
      </c>
      <c r="W1065" s="2" t="s">
        <v>74</v>
      </c>
      <c r="X1065" s="2" t="s">
        <v>74</v>
      </c>
      <c r="Y1065" s="2" t="s">
        <v>74</v>
      </c>
      <c r="Z1065" s="2" t="s">
        <v>74</v>
      </c>
      <c r="AA1065" s="2" t="s">
        <v>2544</v>
      </c>
      <c r="AB1065" s="2" t="s">
        <v>1704</v>
      </c>
      <c r="AC1065" s="2" t="s">
        <v>74</v>
      </c>
      <c r="AD1065" s="2" t="s">
        <v>74</v>
      </c>
      <c r="AE1065" s="2" t="s">
        <v>74</v>
      </c>
      <c r="AF1065" s="2" t="s">
        <v>74</v>
      </c>
      <c r="AG1065" s="2" t="s">
        <v>74</v>
      </c>
      <c r="AH1065" s="2" t="s">
        <v>74</v>
      </c>
      <c r="AI1065" s="2" t="s">
        <v>74</v>
      </c>
      <c r="AJ1065" s="2" t="s">
        <v>74</v>
      </c>
      <c r="AK1065" s="2" t="s">
        <v>74</v>
      </c>
      <c r="AL1065" s="2" t="s">
        <v>74</v>
      </c>
      <c r="AM1065" s="2" t="s">
        <v>74</v>
      </c>
      <c r="AN1065" s="2" t="s">
        <v>74</v>
      </c>
      <c r="AO1065" s="2" t="s">
        <v>778</v>
      </c>
      <c r="AP1065" s="2" t="s">
        <v>74</v>
      </c>
      <c r="AQ1065" s="2" t="s">
        <v>74</v>
      </c>
      <c r="AR1065" s="2" t="s">
        <v>74</v>
      </c>
      <c r="AS1065" s="2" t="s">
        <v>74</v>
      </c>
      <c r="AT1065" s="2" t="s">
        <v>74</v>
      </c>
      <c r="AU1065" s="2">
        <v>2013</v>
      </c>
      <c r="AV1065" s="2">
        <v>59</v>
      </c>
      <c r="AW1065" s="2">
        <v>2</v>
      </c>
      <c r="AX1065" s="2" t="s">
        <v>74</v>
      </c>
      <c r="AY1065" s="2" t="s">
        <v>74</v>
      </c>
      <c r="AZ1065" s="2" t="s">
        <v>74</v>
      </c>
      <c r="BA1065" s="2" t="s">
        <v>74</v>
      </c>
      <c r="BB1065" s="2">
        <v>221</v>
      </c>
      <c r="BC1065" s="2">
        <v>229</v>
      </c>
      <c r="BD1065" s="2" t="s">
        <v>74</v>
      </c>
      <c r="BE1065" s="2" t="s">
        <v>2545</v>
      </c>
      <c r="BF1065" s="2" t="str">
        <f>HYPERLINK("http://dx.doi.org/10.1093/czoolo/59.2.221","http://dx.doi.org/10.1093/czoolo/59.2.221")</f>
        <v>http://dx.doi.org/10.1093/czoolo/59.2.221</v>
      </c>
      <c r="BG1065" s="2" t="s">
        <v>74</v>
      </c>
      <c r="BH1065" s="2" t="s">
        <v>74</v>
      </c>
      <c r="BI1065" s="2" t="s">
        <v>74</v>
      </c>
      <c r="BJ1065" s="2" t="s">
        <v>74</v>
      </c>
      <c r="BK1065" s="2" t="s">
        <v>74</v>
      </c>
      <c r="BL1065" s="2" t="s">
        <v>74</v>
      </c>
      <c r="BM1065" s="2" t="s">
        <v>74</v>
      </c>
      <c r="BN1065" s="2" t="s">
        <v>74</v>
      </c>
      <c r="BO1065" s="2" t="s">
        <v>74</v>
      </c>
      <c r="BP1065" s="2" t="s">
        <v>74</v>
      </c>
      <c r="BQ1065" s="2" t="s">
        <v>74</v>
      </c>
      <c r="BR1065" s="2" t="s">
        <v>74</v>
      </c>
      <c r="BS1065" s="2" t="s">
        <v>2546</v>
      </c>
      <c r="BT1065" s="2" t="str">
        <f>HYPERLINK("https%3A%2F%2Fwww.webofscience.com%2Fwos%2Fwoscc%2Ffull-record%2FWOS:000315813200009","View Full Record in Web of Science")</f>
        <v>View Full Record in Web of Science</v>
      </c>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row>
    <row r="1066" spans="1:314" s="2" customFormat="1" x14ac:dyDescent="0.4">
      <c r="A1066" s="2" t="s">
        <v>72</v>
      </c>
      <c r="B1066" s="2" t="s">
        <v>7820</v>
      </c>
      <c r="C1066" s="2" t="s">
        <v>74</v>
      </c>
      <c r="D1066" s="2" t="s">
        <v>74</v>
      </c>
      <c r="E1066" s="2" t="s">
        <v>74</v>
      </c>
      <c r="F1066" s="2" t="s">
        <v>7821</v>
      </c>
      <c r="G1066" s="2" t="s">
        <v>74</v>
      </c>
      <c r="H1066" s="2" t="s">
        <v>74</v>
      </c>
      <c r="I1066" s="2" t="s">
        <v>7822</v>
      </c>
      <c r="J1066" s="2" t="s">
        <v>1237</v>
      </c>
      <c r="K1066" s="2" t="s">
        <v>74</v>
      </c>
      <c r="L1066" s="2" t="s">
        <v>74</v>
      </c>
      <c r="M1066" s="2" t="s">
        <v>74</v>
      </c>
      <c r="N1066" s="2" t="s">
        <v>74</v>
      </c>
      <c r="O1066" s="2" t="s">
        <v>74</v>
      </c>
      <c r="P1066" s="2" t="s">
        <v>74</v>
      </c>
      <c r="Q1066" s="2" t="s">
        <v>74</v>
      </c>
      <c r="R1066" s="2" t="s">
        <v>74</v>
      </c>
      <c r="S1066" s="2" t="s">
        <v>74</v>
      </c>
      <c r="T1066" s="2" t="s">
        <v>74</v>
      </c>
      <c r="U1066" s="2" t="s">
        <v>74</v>
      </c>
      <c r="V1066" s="5" t="s">
        <v>7823</v>
      </c>
      <c r="W1066" s="2" t="s">
        <v>74</v>
      </c>
      <c r="X1066" s="2" t="s">
        <v>74</v>
      </c>
      <c r="Y1066" s="2" t="s">
        <v>74</v>
      </c>
      <c r="Z1066" s="2" t="s">
        <v>74</v>
      </c>
      <c r="AA1066" s="2" t="s">
        <v>6718</v>
      </c>
      <c r="AB1066" s="2" t="s">
        <v>6719</v>
      </c>
      <c r="AC1066" s="2" t="s">
        <v>74</v>
      </c>
      <c r="AD1066" s="2" t="s">
        <v>74</v>
      </c>
      <c r="AE1066" s="2" t="s">
        <v>74</v>
      </c>
      <c r="AF1066" s="2" t="s">
        <v>74</v>
      </c>
      <c r="AG1066" s="2" t="s">
        <v>74</v>
      </c>
      <c r="AH1066" s="2" t="s">
        <v>74</v>
      </c>
      <c r="AI1066" s="2" t="s">
        <v>74</v>
      </c>
      <c r="AJ1066" s="2" t="s">
        <v>74</v>
      </c>
      <c r="AK1066" s="2" t="s">
        <v>74</v>
      </c>
      <c r="AL1066" s="2" t="s">
        <v>74</v>
      </c>
      <c r="AM1066" s="2" t="s">
        <v>74</v>
      </c>
      <c r="AN1066" s="2" t="s">
        <v>74</v>
      </c>
      <c r="AO1066" s="2" t="s">
        <v>1239</v>
      </c>
      <c r="AP1066" s="2" t="s">
        <v>74</v>
      </c>
      <c r="AQ1066" s="2" t="s">
        <v>74</v>
      </c>
      <c r="AR1066" s="2" t="s">
        <v>74</v>
      </c>
      <c r="AS1066" s="2" t="s">
        <v>74</v>
      </c>
      <c r="AT1066" s="2" t="s">
        <v>175</v>
      </c>
      <c r="AU1066" s="2">
        <v>2008</v>
      </c>
      <c r="AV1066" s="2">
        <v>86</v>
      </c>
      <c r="AW1066" s="2">
        <v>10</v>
      </c>
      <c r="AX1066" s="2" t="s">
        <v>74</v>
      </c>
      <c r="AY1066" s="2" t="s">
        <v>74</v>
      </c>
      <c r="AZ1066" s="2" t="s">
        <v>74</v>
      </c>
      <c r="BA1066" s="2" t="s">
        <v>74</v>
      </c>
      <c r="BB1066" s="2">
        <v>1131</v>
      </c>
      <c r="BC1066" s="2">
        <v>1138</v>
      </c>
      <c r="BD1066" s="2" t="s">
        <v>74</v>
      </c>
      <c r="BE1066" s="2" t="s">
        <v>7824</v>
      </c>
      <c r="BF1066" s="2" t="str">
        <f>HYPERLINK("http://dx.doi.org/10.1139/Z08-091","http://dx.doi.org/10.1139/Z08-091")</f>
        <v>http://dx.doi.org/10.1139/Z08-091</v>
      </c>
      <c r="BG1066" s="2" t="s">
        <v>74</v>
      </c>
      <c r="BH1066" s="2" t="s">
        <v>74</v>
      </c>
      <c r="BI1066" s="2" t="s">
        <v>74</v>
      </c>
      <c r="BJ1066" s="2" t="s">
        <v>74</v>
      </c>
      <c r="BK1066" s="2" t="s">
        <v>74</v>
      </c>
      <c r="BL1066" s="2" t="s">
        <v>74</v>
      </c>
      <c r="BM1066" s="2" t="s">
        <v>74</v>
      </c>
      <c r="BN1066" s="2" t="s">
        <v>74</v>
      </c>
      <c r="BO1066" s="2" t="s">
        <v>74</v>
      </c>
      <c r="BP1066" s="2" t="s">
        <v>74</v>
      </c>
      <c r="BQ1066" s="2" t="s">
        <v>74</v>
      </c>
      <c r="BR1066" s="2" t="s">
        <v>74</v>
      </c>
      <c r="BS1066" s="2" t="s">
        <v>7825</v>
      </c>
      <c r="BT1066" s="2" t="str">
        <f>HYPERLINK("https%3A%2F%2Fwww.webofscience.com%2Fwos%2Fwoscc%2Ffull-record%2FWOS:000260166800006","View Full Record in Web of Science")</f>
        <v>View Full Record in Web of Science</v>
      </c>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row>
    <row r="1067" spans="1:314" s="2" customFormat="1" x14ac:dyDescent="0.4">
      <c r="A1067" s="2" t="s">
        <v>72</v>
      </c>
      <c r="B1067" s="2" t="s">
        <v>593</v>
      </c>
      <c r="C1067" s="2" t="s">
        <v>74</v>
      </c>
      <c r="D1067" s="2" t="s">
        <v>74</v>
      </c>
      <c r="E1067" s="2" t="s">
        <v>74</v>
      </c>
      <c r="F1067" s="2" t="s">
        <v>593</v>
      </c>
      <c r="G1067" s="2" t="s">
        <v>74</v>
      </c>
      <c r="H1067" s="2" t="s">
        <v>74</v>
      </c>
      <c r="I1067" s="2" t="s">
        <v>594</v>
      </c>
      <c r="J1067" s="2" t="s">
        <v>129</v>
      </c>
      <c r="K1067" s="2" t="s">
        <v>74</v>
      </c>
      <c r="L1067" s="2" t="s">
        <v>74</v>
      </c>
      <c r="M1067" s="2" t="s">
        <v>74</v>
      </c>
      <c r="N1067" s="2" t="s">
        <v>74</v>
      </c>
      <c r="O1067" s="2" t="s">
        <v>74</v>
      </c>
      <c r="P1067" s="2" t="s">
        <v>74</v>
      </c>
      <c r="Q1067" s="2" t="s">
        <v>74</v>
      </c>
      <c r="R1067" s="2" t="s">
        <v>74</v>
      </c>
      <c r="S1067" s="2" t="s">
        <v>74</v>
      </c>
      <c r="T1067" s="2" t="s">
        <v>74</v>
      </c>
      <c r="U1067" s="2" t="s">
        <v>74</v>
      </c>
      <c r="V1067" s="5" t="s">
        <v>595</v>
      </c>
      <c r="W1067" s="2" t="s">
        <v>74</v>
      </c>
      <c r="X1067" s="2" t="s">
        <v>74</v>
      </c>
      <c r="Y1067" s="2" t="s">
        <v>74</v>
      </c>
      <c r="Z1067" s="2" t="s">
        <v>74</v>
      </c>
      <c r="AA1067" s="2" t="s">
        <v>596</v>
      </c>
      <c r="AB1067" s="2" t="s">
        <v>597</v>
      </c>
      <c r="AC1067" s="2" t="s">
        <v>74</v>
      </c>
      <c r="AD1067" s="2" t="s">
        <v>74</v>
      </c>
      <c r="AE1067" s="2" t="s">
        <v>74</v>
      </c>
      <c r="AF1067" s="2" t="s">
        <v>74</v>
      </c>
      <c r="AG1067" s="2" t="s">
        <v>74</v>
      </c>
      <c r="AH1067" s="2" t="s">
        <v>74</v>
      </c>
      <c r="AI1067" s="2" t="s">
        <v>74</v>
      </c>
      <c r="AJ1067" s="2" t="s">
        <v>74</v>
      </c>
      <c r="AK1067" s="2" t="s">
        <v>74</v>
      </c>
      <c r="AL1067" s="2" t="s">
        <v>74</v>
      </c>
      <c r="AM1067" s="2" t="s">
        <v>74</v>
      </c>
      <c r="AN1067" s="2" t="s">
        <v>74</v>
      </c>
      <c r="AO1067" s="2" t="s">
        <v>132</v>
      </c>
      <c r="AP1067" s="2" t="s">
        <v>133</v>
      </c>
      <c r="AQ1067" s="2" t="s">
        <v>74</v>
      </c>
      <c r="AR1067" s="2" t="s">
        <v>74</v>
      </c>
      <c r="AS1067" s="2" t="s">
        <v>74</v>
      </c>
      <c r="AT1067" s="2" t="s">
        <v>305</v>
      </c>
      <c r="AU1067" s="2">
        <v>2001</v>
      </c>
      <c r="AV1067" s="2">
        <v>51</v>
      </c>
      <c r="AW1067" s="2">
        <v>1</v>
      </c>
      <c r="AX1067" s="2" t="s">
        <v>74</v>
      </c>
      <c r="AY1067" s="2" t="s">
        <v>74</v>
      </c>
      <c r="AZ1067" s="2" t="s">
        <v>74</v>
      </c>
      <c r="BA1067" s="2" t="s">
        <v>74</v>
      </c>
      <c r="BB1067" s="2">
        <v>69</v>
      </c>
      <c r="BC1067" s="2">
        <v>75</v>
      </c>
      <c r="BD1067" s="2" t="s">
        <v>74</v>
      </c>
      <c r="BE1067" s="2" t="s">
        <v>74</v>
      </c>
      <c r="BF1067" s="2" t="s">
        <v>74</v>
      </c>
      <c r="BG1067" s="2" t="s">
        <v>74</v>
      </c>
      <c r="BH1067" s="2" t="s">
        <v>74</v>
      </c>
      <c r="BI1067" s="2" t="s">
        <v>74</v>
      </c>
      <c r="BJ1067" s="2" t="s">
        <v>74</v>
      </c>
      <c r="BK1067" s="2" t="s">
        <v>74</v>
      </c>
      <c r="BL1067" s="2" t="s">
        <v>74</v>
      </c>
      <c r="BM1067" s="2" t="s">
        <v>74</v>
      </c>
      <c r="BN1067" s="2" t="s">
        <v>74</v>
      </c>
      <c r="BO1067" s="2" t="s">
        <v>74</v>
      </c>
      <c r="BP1067" s="2" t="s">
        <v>74</v>
      </c>
      <c r="BQ1067" s="2" t="s">
        <v>74</v>
      </c>
      <c r="BR1067" s="2" t="s">
        <v>74</v>
      </c>
      <c r="BS1067" s="2" t="s">
        <v>598</v>
      </c>
      <c r="BT1067" s="2" t="str">
        <f>HYPERLINK("https%3A%2F%2Fwww.webofscience.com%2Fwos%2Fwoscc%2Ffull-record%2FWOS:000173034800009","View Full Record in Web of Science")</f>
        <v>View Full Record in Web of Science</v>
      </c>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row>
    <row r="1068" spans="1:314" s="2" customFormat="1" x14ac:dyDescent="0.4">
      <c r="A1068" s="2" t="s">
        <v>72</v>
      </c>
      <c r="B1068" s="2" t="s">
        <v>593</v>
      </c>
      <c r="C1068" s="2" t="s">
        <v>74</v>
      </c>
      <c r="D1068" s="2" t="s">
        <v>74</v>
      </c>
      <c r="E1068" s="2" t="s">
        <v>74</v>
      </c>
      <c r="F1068" s="2" t="s">
        <v>593</v>
      </c>
      <c r="G1068" s="2" t="s">
        <v>74</v>
      </c>
      <c r="H1068" s="2" t="s">
        <v>74</v>
      </c>
      <c r="I1068" s="2" t="s">
        <v>3183</v>
      </c>
      <c r="J1068" s="2" t="s">
        <v>408</v>
      </c>
      <c r="K1068" s="2" t="s">
        <v>74</v>
      </c>
      <c r="L1068" s="2" t="s">
        <v>74</v>
      </c>
      <c r="M1068" s="2" t="s">
        <v>74</v>
      </c>
      <c r="N1068" s="2" t="s">
        <v>74</v>
      </c>
      <c r="O1068" s="2" t="s">
        <v>74</v>
      </c>
      <c r="P1068" s="2" t="s">
        <v>74</v>
      </c>
      <c r="Q1068" s="2" t="s">
        <v>74</v>
      </c>
      <c r="R1068" s="2" t="s">
        <v>74</v>
      </c>
      <c r="S1068" s="2" t="s">
        <v>74</v>
      </c>
      <c r="T1068" s="2" t="s">
        <v>74</v>
      </c>
      <c r="U1068" s="2" t="s">
        <v>74</v>
      </c>
      <c r="V1068" s="5" t="s">
        <v>3184</v>
      </c>
      <c r="W1068" s="2" t="s">
        <v>74</v>
      </c>
      <c r="X1068" s="2" t="s">
        <v>74</v>
      </c>
      <c r="Y1068" s="2" t="s">
        <v>74</v>
      </c>
      <c r="Z1068" s="2" t="s">
        <v>74</v>
      </c>
      <c r="AA1068" s="2" t="s">
        <v>2525</v>
      </c>
      <c r="AB1068" s="2" t="s">
        <v>597</v>
      </c>
      <c r="AC1068" s="2" t="s">
        <v>74</v>
      </c>
      <c r="AD1068" s="2" t="s">
        <v>74</v>
      </c>
      <c r="AE1068" s="2" t="s">
        <v>74</v>
      </c>
      <c r="AF1068" s="2" t="s">
        <v>74</v>
      </c>
      <c r="AG1068" s="2" t="s">
        <v>74</v>
      </c>
      <c r="AH1068" s="2" t="s">
        <v>74</v>
      </c>
      <c r="AI1068" s="2" t="s">
        <v>74</v>
      </c>
      <c r="AJ1068" s="2" t="s">
        <v>74</v>
      </c>
      <c r="AK1068" s="2" t="s">
        <v>74</v>
      </c>
      <c r="AL1068" s="2" t="s">
        <v>74</v>
      </c>
      <c r="AM1068" s="2" t="s">
        <v>74</v>
      </c>
      <c r="AN1068" s="2" t="s">
        <v>74</v>
      </c>
      <c r="AO1068" s="2" t="s">
        <v>412</v>
      </c>
      <c r="AP1068" s="2" t="s">
        <v>74</v>
      </c>
      <c r="AQ1068" s="2" t="s">
        <v>74</v>
      </c>
      <c r="AR1068" s="2" t="s">
        <v>74</v>
      </c>
      <c r="AS1068" s="2" t="s">
        <v>74</v>
      </c>
      <c r="AT1068" s="2" t="s">
        <v>305</v>
      </c>
      <c r="AU1068" s="2">
        <v>2005</v>
      </c>
      <c r="AV1068" s="2">
        <v>86</v>
      </c>
      <c r="AW1068" s="2">
        <v>4</v>
      </c>
      <c r="AX1068" s="2" t="s">
        <v>74</v>
      </c>
      <c r="AY1068" s="2" t="s">
        <v>74</v>
      </c>
      <c r="AZ1068" s="2" t="s">
        <v>74</v>
      </c>
      <c r="BA1068" s="2" t="s">
        <v>74</v>
      </c>
      <c r="BB1068" s="2">
        <v>515</v>
      </c>
      <c r="BC1068" s="2">
        <v>523</v>
      </c>
      <c r="BD1068" s="2" t="s">
        <v>74</v>
      </c>
      <c r="BE1068" s="2" t="s">
        <v>3185</v>
      </c>
      <c r="BF1068" s="2" t="str">
        <f>HYPERLINK("http://dx.doi.org/10.1111/j.1095-8312.2005.00551.x","http://dx.doi.org/10.1111/j.1095-8312.2005.00551.x")</f>
        <v>http://dx.doi.org/10.1111/j.1095-8312.2005.00551.x</v>
      </c>
      <c r="BG1068" s="2" t="s">
        <v>74</v>
      </c>
      <c r="BH1068" s="2" t="s">
        <v>74</v>
      </c>
      <c r="BI1068" s="2" t="s">
        <v>74</v>
      </c>
      <c r="BJ1068" s="2" t="s">
        <v>74</v>
      </c>
      <c r="BK1068" s="2" t="s">
        <v>74</v>
      </c>
      <c r="BL1068" s="2" t="s">
        <v>74</v>
      </c>
      <c r="BM1068" s="2" t="s">
        <v>74</v>
      </c>
      <c r="BN1068" s="2" t="s">
        <v>74</v>
      </c>
      <c r="BO1068" s="2" t="s">
        <v>74</v>
      </c>
      <c r="BP1068" s="2" t="s">
        <v>74</v>
      </c>
      <c r="BQ1068" s="2" t="s">
        <v>74</v>
      </c>
      <c r="BR1068" s="2" t="s">
        <v>74</v>
      </c>
      <c r="BS1068" s="2" t="s">
        <v>3186</v>
      </c>
      <c r="BT1068" s="2" t="str">
        <f>HYPERLINK("https%3A%2F%2Fwww.webofscience.com%2Fwos%2Fwoscc%2Ffull-record%2FWOS:000233621200008","View Full Record in Web of Science")</f>
        <v>View Full Record in Web of Science</v>
      </c>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row>
    <row r="1069" spans="1:314" s="2" customFormat="1" x14ac:dyDescent="0.4">
      <c r="A1069" s="2" t="s">
        <v>72</v>
      </c>
      <c r="B1069" s="2" t="s">
        <v>2522</v>
      </c>
      <c r="C1069" s="2" t="s">
        <v>74</v>
      </c>
      <c r="D1069" s="2" t="s">
        <v>74</v>
      </c>
      <c r="E1069" s="2" t="s">
        <v>74</v>
      </c>
      <c r="F1069" s="2" t="s">
        <v>2522</v>
      </c>
      <c r="G1069" s="2" t="s">
        <v>74</v>
      </c>
      <c r="H1069" s="2" t="s">
        <v>74</v>
      </c>
      <c r="I1069" s="2" t="s">
        <v>2523</v>
      </c>
      <c r="J1069" s="2" t="s">
        <v>140</v>
      </c>
      <c r="K1069" s="2" t="s">
        <v>74</v>
      </c>
      <c r="L1069" s="2" t="s">
        <v>74</v>
      </c>
      <c r="M1069" s="2" t="s">
        <v>74</v>
      </c>
      <c r="N1069" s="2" t="s">
        <v>74</v>
      </c>
      <c r="O1069" s="2" t="s">
        <v>74</v>
      </c>
      <c r="P1069" s="2" t="s">
        <v>74</v>
      </c>
      <c r="Q1069" s="2" t="s">
        <v>74</v>
      </c>
      <c r="R1069" s="2" t="s">
        <v>74</v>
      </c>
      <c r="S1069" s="2" t="s">
        <v>74</v>
      </c>
      <c r="T1069" s="2" t="s">
        <v>74</v>
      </c>
      <c r="U1069" s="2" t="s">
        <v>74</v>
      </c>
      <c r="V1069" s="5" t="s">
        <v>2524</v>
      </c>
      <c r="W1069" s="2" t="s">
        <v>74</v>
      </c>
      <c r="X1069" s="2" t="s">
        <v>74</v>
      </c>
      <c r="Y1069" s="2" t="s">
        <v>74</v>
      </c>
      <c r="Z1069" s="2" t="s">
        <v>74</v>
      </c>
      <c r="AA1069" s="2" t="s">
        <v>2525</v>
      </c>
      <c r="AB1069" s="2" t="s">
        <v>2526</v>
      </c>
      <c r="AC1069" s="2" t="s">
        <v>74</v>
      </c>
      <c r="AD1069" s="2" t="s">
        <v>74</v>
      </c>
      <c r="AE1069" s="2" t="s">
        <v>74</v>
      </c>
      <c r="AF1069" s="2" t="s">
        <v>74</v>
      </c>
      <c r="AG1069" s="2" t="s">
        <v>74</v>
      </c>
      <c r="AH1069" s="2" t="s">
        <v>74</v>
      </c>
      <c r="AI1069" s="2" t="s">
        <v>74</v>
      </c>
      <c r="AJ1069" s="2" t="s">
        <v>74</v>
      </c>
      <c r="AK1069" s="2" t="s">
        <v>74</v>
      </c>
      <c r="AL1069" s="2" t="s">
        <v>74</v>
      </c>
      <c r="AM1069" s="2" t="s">
        <v>74</v>
      </c>
      <c r="AN1069" s="2" t="s">
        <v>74</v>
      </c>
      <c r="AO1069" s="2" t="s">
        <v>143</v>
      </c>
      <c r="AP1069" s="2" t="s">
        <v>74</v>
      </c>
      <c r="AQ1069" s="2" t="s">
        <v>74</v>
      </c>
      <c r="AR1069" s="2" t="s">
        <v>74</v>
      </c>
      <c r="AS1069" s="2" t="s">
        <v>74</v>
      </c>
      <c r="AT1069" s="2" t="s">
        <v>102</v>
      </c>
      <c r="AU1069" s="2">
        <v>1999</v>
      </c>
      <c r="AV1069" s="2">
        <v>57</v>
      </c>
      <c r="AW1069" s="2" t="s">
        <v>74</v>
      </c>
      <c r="AX1069" s="2">
        <v>6</v>
      </c>
      <c r="AY1069" s="2" t="s">
        <v>74</v>
      </c>
      <c r="AZ1069" s="2" t="s">
        <v>74</v>
      </c>
      <c r="BA1069" s="2" t="s">
        <v>74</v>
      </c>
      <c r="BB1069" s="2">
        <v>1229</v>
      </c>
      <c r="BC1069" s="2">
        <v>1232</v>
      </c>
      <c r="BD1069" s="2" t="s">
        <v>74</v>
      </c>
      <c r="BE1069" s="2" t="s">
        <v>2527</v>
      </c>
      <c r="BF1069" s="2" t="str">
        <f>HYPERLINK("http://dx.doi.org/10.1006/anbe.1999.1100","http://dx.doi.org/10.1006/anbe.1999.1100")</f>
        <v>http://dx.doi.org/10.1006/anbe.1999.1100</v>
      </c>
      <c r="BG1069" s="2" t="s">
        <v>74</v>
      </c>
      <c r="BH1069" s="2" t="s">
        <v>74</v>
      </c>
      <c r="BI1069" s="2" t="s">
        <v>74</v>
      </c>
      <c r="BJ1069" s="2" t="s">
        <v>74</v>
      </c>
      <c r="BK1069" s="2" t="s">
        <v>74</v>
      </c>
      <c r="BL1069" s="2" t="s">
        <v>74</v>
      </c>
      <c r="BM1069" s="2" t="s">
        <v>74</v>
      </c>
      <c r="BN1069" s="2">
        <v>10373255</v>
      </c>
      <c r="BO1069" s="2" t="s">
        <v>74</v>
      </c>
      <c r="BP1069" s="2" t="s">
        <v>74</v>
      </c>
      <c r="BQ1069" s="2" t="s">
        <v>74</v>
      </c>
      <c r="BR1069" s="2" t="s">
        <v>74</v>
      </c>
      <c r="BS1069" s="2" t="s">
        <v>2528</v>
      </c>
      <c r="BT1069" s="2" t="str">
        <f>HYPERLINK("https%3A%2F%2Fwww.webofscience.com%2Fwos%2Fwoscc%2Ffull-record%2FWOS:000080973100007","View Full Record in Web of Science")</f>
        <v>View Full Record in Web of Science</v>
      </c>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row>
    <row r="1070" spans="1:314" s="1" customFormat="1" x14ac:dyDescent="0.4">
      <c r="A1070" s="2" t="s">
        <v>72</v>
      </c>
      <c r="B1070" s="2" t="s">
        <v>6794</v>
      </c>
      <c r="C1070" s="2" t="s">
        <v>74</v>
      </c>
      <c r="D1070" s="2" t="s">
        <v>74</v>
      </c>
      <c r="E1070" s="2" t="s">
        <v>74</v>
      </c>
      <c r="F1070" s="2" t="s">
        <v>6795</v>
      </c>
      <c r="G1070" s="2" t="s">
        <v>74</v>
      </c>
      <c r="H1070" s="2" t="s">
        <v>74</v>
      </c>
      <c r="I1070" s="2" t="s">
        <v>6796</v>
      </c>
      <c r="J1070" s="2" t="s">
        <v>2087</v>
      </c>
      <c r="K1070" s="2" t="s">
        <v>74</v>
      </c>
      <c r="L1070" s="2" t="s">
        <v>74</v>
      </c>
      <c r="M1070" s="2" t="s">
        <v>74</v>
      </c>
      <c r="N1070" s="2" t="s">
        <v>74</v>
      </c>
      <c r="O1070" s="2" t="s">
        <v>74</v>
      </c>
      <c r="P1070" s="2" t="s">
        <v>74</v>
      </c>
      <c r="Q1070" s="2" t="s">
        <v>74</v>
      </c>
      <c r="R1070" s="2" t="s">
        <v>74</v>
      </c>
      <c r="S1070" s="2" t="s">
        <v>74</v>
      </c>
      <c r="T1070" s="2" t="s">
        <v>74</v>
      </c>
      <c r="U1070" s="2" t="s">
        <v>74</v>
      </c>
      <c r="V1070" s="5" t="s">
        <v>6797</v>
      </c>
      <c r="W1070" s="2" t="s">
        <v>74</v>
      </c>
      <c r="X1070" s="2" t="s">
        <v>74</v>
      </c>
      <c r="Y1070" s="2" t="s">
        <v>74</v>
      </c>
      <c r="Z1070" s="2" t="s">
        <v>74</v>
      </c>
      <c r="AA1070" s="2" t="s">
        <v>6718</v>
      </c>
      <c r="AB1070" s="2" t="s">
        <v>6719</v>
      </c>
      <c r="AC1070" s="2" t="s">
        <v>74</v>
      </c>
      <c r="AD1070" s="2" t="s">
        <v>74</v>
      </c>
      <c r="AE1070" s="2" t="s">
        <v>74</v>
      </c>
      <c r="AF1070" s="2" t="s">
        <v>74</v>
      </c>
      <c r="AG1070" s="2" t="s">
        <v>74</v>
      </c>
      <c r="AH1070" s="2" t="s">
        <v>74</v>
      </c>
      <c r="AI1070" s="2" t="s">
        <v>74</v>
      </c>
      <c r="AJ1070" s="2" t="s">
        <v>74</v>
      </c>
      <c r="AK1070" s="2" t="s">
        <v>74</v>
      </c>
      <c r="AL1070" s="2" t="s">
        <v>74</v>
      </c>
      <c r="AM1070" s="2" t="s">
        <v>74</v>
      </c>
      <c r="AN1070" s="2" t="s">
        <v>74</v>
      </c>
      <c r="AO1070" s="2" t="s">
        <v>2089</v>
      </c>
      <c r="AP1070" s="2" t="s">
        <v>74</v>
      </c>
      <c r="AQ1070" s="2" t="s">
        <v>74</v>
      </c>
      <c r="AR1070" s="2" t="s">
        <v>74</v>
      </c>
      <c r="AS1070" s="2" t="s">
        <v>74</v>
      </c>
      <c r="AT1070" s="2" t="s">
        <v>74</v>
      </c>
      <c r="AU1070" s="2">
        <v>2007</v>
      </c>
      <c r="AV1070" s="2">
        <v>14</v>
      </c>
      <c r="AW1070" s="2">
        <v>1</v>
      </c>
      <c r="AX1070" s="2" t="s">
        <v>74</v>
      </c>
      <c r="AY1070" s="2" t="s">
        <v>74</v>
      </c>
      <c r="AZ1070" s="2" t="s">
        <v>74</v>
      </c>
      <c r="BA1070" s="2" t="s">
        <v>74</v>
      </c>
      <c r="BB1070" s="2">
        <v>1</v>
      </c>
      <c r="BC1070" s="2">
        <v>7</v>
      </c>
      <c r="BD1070" s="2" t="s">
        <v>74</v>
      </c>
      <c r="BE1070" s="2" t="s">
        <v>6798</v>
      </c>
      <c r="BF1070" s="2" t="str">
        <f>HYPERLINK("http://dx.doi.org/10.2980/1195-6860(2007)14[1:RIBNDS]2.0.CO;2","http://dx.doi.org/10.2980/1195-6860(2007)14[1:RIBNDS]2.0.CO;2")</f>
        <v>http://dx.doi.org/10.2980/1195-6860(2007)14[1:RIBNDS]2.0.CO;2</v>
      </c>
      <c r="BG1070" s="2" t="s">
        <v>74</v>
      </c>
      <c r="BH1070" s="2" t="s">
        <v>74</v>
      </c>
      <c r="BI1070" s="2" t="s">
        <v>74</v>
      </c>
      <c r="BJ1070" s="2" t="s">
        <v>74</v>
      </c>
      <c r="BK1070" s="2" t="s">
        <v>74</v>
      </c>
      <c r="BL1070" s="2" t="s">
        <v>74</v>
      </c>
      <c r="BM1070" s="2" t="s">
        <v>74</v>
      </c>
      <c r="BN1070" s="2" t="s">
        <v>74</v>
      </c>
      <c r="BO1070" s="2" t="s">
        <v>74</v>
      </c>
      <c r="BP1070" s="2" t="s">
        <v>74</v>
      </c>
      <c r="BQ1070" s="2" t="s">
        <v>74</v>
      </c>
      <c r="BR1070" s="2" t="s">
        <v>74</v>
      </c>
      <c r="BS1070" s="2" t="s">
        <v>6799</v>
      </c>
      <c r="BT1070" s="2" t="str">
        <f>HYPERLINK("https%3A%2F%2Fwww.webofscience.com%2Fwos%2Fwoscc%2Ffull-record%2FWOS:000245364700001","View Full Record in Web of Science")</f>
        <v>View Full Record in Web of Science</v>
      </c>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row>
    <row r="1071" spans="1:314" s="2" customFormat="1" x14ac:dyDescent="0.4">
      <c r="A1071" s="2" t="s">
        <v>72</v>
      </c>
      <c r="B1071" s="2" t="s">
        <v>1159</v>
      </c>
      <c r="C1071" s="2" t="s">
        <v>74</v>
      </c>
      <c r="D1071" s="2" t="s">
        <v>74</v>
      </c>
      <c r="E1071" s="2" t="s">
        <v>74</v>
      </c>
      <c r="F1071" s="2" t="s">
        <v>1160</v>
      </c>
      <c r="G1071" s="2" t="s">
        <v>74</v>
      </c>
      <c r="H1071" s="2" t="s">
        <v>74</v>
      </c>
      <c r="I1071" s="2" t="s">
        <v>1161</v>
      </c>
      <c r="J1071" s="2" t="s">
        <v>576</v>
      </c>
      <c r="K1071" s="2" t="s">
        <v>74</v>
      </c>
      <c r="L1071" s="2" t="s">
        <v>74</v>
      </c>
      <c r="M1071" s="2" t="s">
        <v>74</v>
      </c>
      <c r="N1071" s="2" t="s">
        <v>74</v>
      </c>
      <c r="O1071" s="2" t="s">
        <v>74</v>
      </c>
      <c r="P1071" s="2" t="s">
        <v>74</v>
      </c>
      <c r="Q1071" s="2" t="s">
        <v>74</v>
      </c>
      <c r="R1071" s="2" t="s">
        <v>74</v>
      </c>
      <c r="S1071" s="2" t="s">
        <v>74</v>
      </c>
      <c r="T1071" s="2" t="s">
        <v>74</v>
      </c>
      <c r="U1071" s="2" t="s">
        <v>74</v>
      </c>
      <c r="V1071" s="5" t="s">
        <v>1162</v>
      </c>
      <c r="W1071" s="2" t="s">
        <v>74</v>
      </c>
      <c r="X1071" s="2" t="s">
        <v>74</v>
      </c>
      <c r="Y1071" s="2" t="s">
        <v>74</v>
      </c>
      <c r="Z1071" s="2" t="s">
        <v>74</v>
      </c>
      <c r="AA1071" s="2" t="s">
        <v>74</v>
      </c>
      <c r="AB1071" s="2" t="s">
        <v>1163</v>
      </c>
      <c r="AC1071" s="2" t="s">
        <v>74</v>
      </c>
      <c r="AD1071" s="2" t="s">
        <v>74</v>
      </c>
      <c r="AE1071" s="2" t="s">
        <v>74</v>
      </c>
      <c r="AF1071" s="2" t="s">
        <v>74</v>
      </c>
      <c r="AG1071" s="2" t="s">
        <v>74</v>
      </c>
      <c r="AH1071" s="2" t="s">
        <v>74</v>
      </c>
      <c r="AI1071" s="2" t="s">
        <v>74</v>
      </c>
      <c r="AJ1071" s="2" t="s">
        <v>74</v>
      </c>
      <c r="AK1071" s="2" t="s">
        <v>74</v>
      </c>
      <c r="AL1071" s="2" t="s">
        <v>74</v>
      </c>
      <c r="AM1071" s="2" t="s">
        <v>74</v>
      </c>
      <c r="AN1071" s="2" t="s">
        <v>74</v>
      </c>
      <c r="AO1071" s="2" t="s">
        <v>579</v>
      </c>
      <c r="AP1071" s="2" t="s">
        <v>74</v>
      </c>
      <c r="AQ1071" s="2" t="s">
        <v>74</v>
      </c>
      <c r="AR1071" s="2" t="s">
        <v>74</v>
      </c>
      <c r="AS1071" s="2" t="s">
        <v>74</v>
      </c>
      <c r="AT1071" s="2" t="s">
        <v>255</v>
      </c>
      <c r="AU1071" s="2">
        <v>2011</v>
      </c>
      <c r="AV1071" s="2">
        <v>25</v>
      </c>
      <c r="AW1071" s="2">
        <v>1</v>
      </c>
      <c r="AX1071" s="2" t="s">
        <v>74</v>
      </c>
      <c r="AY1071" s="2" t="s">
        <v>74</v>
      </c>
      <c r="AZ1071" s="2" t="s">
        <v>74</v>
      </c>
      <c r="BA1071" s="2" t="s">
        <v>74</v>
      </c>
      <c r="BB1071" s="2">
        <v>139</v>
      </c>
      <c r="BC1071" s="2">
        <v>154</v>
      </c>
      <c r="BD1071" s="2" t="s">
        <v>74</v>
      </c>
      <c r="BE1071" s="2" t="s">
        <v>1164</v>
      </c>
      <c r="BF1071" s="2" t="str">
        <f>HYPERLINK("http://dx.doi.org/10.1007/s10682-010-9388-z","http://dx.doi.org/10.1007/s10682-010-9388-z")</f>
        <v>http://dx.doi.org/10.1007/s10682-010-9388-z</v>
      </c>
      <c r="BG1071" s="2" t="s">
        <v>74</v>
      </c>
      <c r="BH1071" s="2" t="s">
        <v>74</v>
      </c>
      <c r="BI1071" s="2" t="s">
        <v>74</v>
      </c>
      <c r="BJ1071" s="2" t="s">
        <v>74</v>
      </c>
      <c r="BK1071" s="2" t="s">
        <v>74</v>
      </c>
      <c r="BL1071" s="2" t="s">
        <v>74</v>
      </c>
      <c r="BM1071" s="2" t="s">
        <v>74</v>
      </c>
      <c r="BN1071" s="2" t="s">
        <v>74</v>
      </c>
      <c r="BO1071" s="2" t="s">
        <v>74</v>
      </c>
      <c r="BP1071" s="2" t="s">
        <v>74</v>
      </c>
      <c r="BQ1071" s="2" t="s">
        <v>74</v>
      </c>
      <c r="BR1071" s="2" t="s">
        <v>74</v>
      </c>
      <c r="BS1071" s="2" t="s">
        <v>1165</v>
      </c>
      <c r="BT1071" s="2" t="str">
        <f>HYPERLINK("https%3A%2F%2Fwww.webofscience.com%2Fwos%2Fwoscc%2Ffull-record%2FWOS:000287600500010","View Full Record in Web of Science")</f>
        <v>View Full Record in Web of Science</v>
      </c>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row>
    <row r="1072" spans="1:314" s="2" customFormat="1" x14ac:dyDescent="0.4">
      <c r="A1072" s="2" t="s">
        <v>72</v>
      </c>
      <c r="B1072" s="2" t="s">
        <v>1993</v>
      </c>
      <c r="C1072" s="2" t="s">
        <v>74</v>
      </c>
      <c r="D1072" s="2" t="s">
        <v>74</v>
      </c>
      <c r="E1072" s="2" t="s">
        <v>74</v>
      </c>
      <c r="F1072" s="2" t="s">
        <v>1993</v>
      </c>
      <c r="G1072" s="2" t="s">
        <v>74</v>
      </c>
      <c r="H1072" s="2" t="s">
        <v>74</v>
      </c>
      <c r="I1072" s="2" t="s">
        <v>1994</v>
      </c>
      <c r="J1072" s="2" t="s">
        <v>1995</v>
      </c>
      <c r="K1072" s="2" t="s">
        <v>74</v>
      </c>
      <c r="L1072" s="2" t="s">
        <v>74</v>
      </c>
      <c r="M1072" s="2" t="s">
        <v>74</v>
      </c>
      <c r="N1072" s="2" t="s">
        <v>74</v>
      </c>
      <c r="O1072" s="2" t="s">
        <v>74</v>
      </c>
      <c r="P1072" s="2" t="s">
        <v>74</v>
      </c>
      <c r="Q1072" s="2" t="s">
        <v>74</v>
      </c>
      <c r="R1072" s="2" t="s">
        <v>74</v>
      </c>
      <c r="S1072" s="2" t="s">
        <v>74</v>
      </c>
      <c r="T1072" s="2" t="s">
        <v>74</v>
      </c>
      <c r="U1072" s="2" t="s">
        <v>74</v>
      </c>
      <c r="V1072" s="5" t="s">
        <v>1996</v>
      </c>
      <c r="W1072" s="2" t="s">
        <v>74</v>
      </c>
      <c r="X1072" s="2" t="s">
        <v>74</v>
      </c>
      <c r="Y1072" s="2" t="s">
        <v>74</v>
      </c>
      <c r="Z1072" s="2" t="s">
        <v>74</v>
      </c>
      <c r="AA1072" s="2" t="s">
        <v>74</v>
      </c>
      <c r="AB1072" s="2" t="s">
        <v>74</v>
      </c>
      <c r="AC1072" s="2" t="s">
        <v>74</v>
      </c>
      <c r="AD1072" s="2" t="s">
        <v>74</v>
      </c>
      <c r="AE1072" s="2" t="s">
        <v>74</v>
      </c>
      <c r="AF1072" s="2" t="s">
        <v>74</v>
      </c>
      <c r="AG1072" s="2" t="s">
        <v>74</v>
      </c>
      <c r="AH1072" s="2" t="s">
        <v>74</v>
      </c>
      <c r="AI1072" s="2" t="s">
        <v>74</v>
      </c>
      <c r="AJ1072" s="2" t="s">
        <v>74</v>
      </c>
      <c r="AK1072" s="2" t="s">
        <v>74</v>
      </c>
      <c r="AL1072" s="2" t="s">
        <v>74</v>
      </c>
      <c r="AM1072" s="2" t="s">
        <v>74</v>
      </c>
      <c r="AN1072" s="2" t="s">
        <v>74</v>
      </c>
      <c r="AO1072" s="2" t="s">
        <v>1997</v>
      </c>
      <c r="AP1072" s="2" t="s">
        <v>74</v>
      </c>
      <c r="AQ1072" s="2" t="s">
        <v>74</v>
      </c>
      <c r="AR1072" s="2" t="s">
        <v>74</v>
      </c>
      <c r="AS1072" s="2" t="s">
        <v>74</v>
      </c>
      <c r="AT1072" s="2" t="s">
        <v>1998</v>
      </c>
      <c r="AU1072" s="2">
        <v>2003</v>
      </c>
      <c r="AV1072" s="2">
        <v>74</v>
      </c>
      <c r="AW1072" s="2">
        <v>4</v>
      </c>
      <c r="AX1072" s="2" t="s">
        <v>74</v>
      </c>
      <c r="AY1072" s="2" t="s">
        <v>74</v>
      </c>
      <c r="AZ1072" s="2" t="s">
        <v>74</v>
      </c>
      <c r="BA1072" s="2" t="s">
        <v>74</v>
      </c>
      <c r="BB1072" s="2">
        <v>406</v>
      </c>
      <c r="BC1072" s="2">
        <v>415</v>
      </c>
      <c r="BD1072" s="2" t="s">
        <v>74</v>
      </c>
      <c r="BE1072" s="2" t="s">
        <v>1999</v>
      </c>
      <c r="BF1072" s="2" t="str">
        <f>HYPERLINK("http://dx.doi.org/10.1648/0273-8570-74.4.406","http://dx.doi.org/10.1648/0273-8570-74.4.406")</f>
        <v>http://dx.doi.org/10.1648/0273-8570-74.4.406</v>
      </c>
      <c r="BG1072" s="2" t="s">
        <v>74</v>
      </c>
      <c r="BH1072" s="2" t="s">
        <v>74</v>
      </c>
      <c r="BI1072" s="2" t="s">
        <v>74</v>
      </c>
      <c r="BJ1072" s="2" t="s">
        <v>74</v>
      </c>
      <c r="BK1072" s="2" t="s">
        <v>74</v>
      </c>
      <c r="BL1072" s="2" t="s">
        <v>74</v>
      </c>
      <c r="BM1072" s="2" t="s">
        <v>74</v>
      </c>
      <c r="BN1072" s="2" t="s">
        <v>74</v>
      </c>
      <c r="BO1072" s="2" t="s">
        <v>74</v>
      </c>
      <c r="BP1072" s="2" t="s">
        <v>74</v>
      </c>
      <c r="BQ1072" s="2" t="s">
        <v>74</v>
      </c>
      <c r="BR1072" s="2" t="s">
        <v>74</v>
      </c>
      <c r="BS1072" s="2" t="s">
        <v>2000</v>
      </c>
      <c r="BT1072" s="2" t="str">
        <f>HYPERLINK("https%3A%2F%2Fwww.webofscience.com%2Fwos%2Fwoscc%2Ffull-record%2FWOS:000186208600011","View Full Record in Web of Science")</f>
        <v>View Full Record in Web of Science</v>
      </c>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row>
    <row r="1073" spans="1:314" s="2" customFormat="1" x14ac:dyDescent="0.4">
      <c r="A1073" s="2" t="s">
        <v>72</v>
      </c>
      <c r="B1073" s="2" t="s">
        <v>7384</v>
      </c>
      <c r="C1073" s="2" t="s">
        <v>74</v>
      </c>
      <c r="D1073" s="2" t="s">
        <v>74</v>
      </c>
      <c r="E1073" s="2" t="s">
        <v>74</v>
      </c>
      <c r="F1073" s="2" t="s">
        <v>7385</v>
      </c>
      <c r="G1073" s="2" t="s">
        <v>74</v>
      </c>
      <c r="H1073" s="2" t="s">
        <v>74</v>
      </c>
      <c r="I1073" s="2" t="s">
        <v>7386</v>
      </c>
      <c r="J1073" s="2" t="s">
        <v>1526</v>
      </c>
      <c r="K1073" s="2" t="s">
        <v>74</v>
      </c>
      <c r="L1073" s="2" t="s">
        <v>74</v>
      </c>
      <c r="M1073" s="2" t="s">
        <v>74</v>
      </c>
      <c r="N1073" s="2" t="s">
        <v>74</v>
      </c>
      <c r="O1073" s="2" t="s">
        <v>74</v>
      </c>
      <c r="P1073" s="2" t="s">
        <v>74</v>
      </c>
      <c r="Q1073" s="2" t="s">
        <v>74</v>
      </c>
      <c r="R1073" s="2" t="s">
        <v>74</v>
      </c>
      <c r="S1073" s="2" t="s">
        <v>74</v>
      </c>
      <c r="T1073" s="2" t="s">
        <v>74</v>
      </c>
      <c r="U1073" s="2" t="s">
        <v>74</v>
      </c>
      <c r="V1073" s="5" t="s">
        <v>7387</v>
      </c>
      <c r="W1073" s="2" t="s">
        <v>74</v>
      </c>
      <c r="X1073" s="2" t="s">
        <v>74</v>
      </c>
      <c r="Y1073" s="2" t="s">
        <v>74</v>
      </c>
      <c r="Z1073" s="2" t="s">
        <v>74</v>
      </c>
      <c r="AA1073" s="2" t="s">
        <v>74</v>
      </c>
      <c r="AB1073" s="2" t="s">
        <v>74</v>
      </c>
      <c r="AC1073" s="2" t="s">
        <v>74</v>
      </c>
      <c r="AD1073" s="2" t="s">
        <v>74</v>
      </c>
      <c r="AE1073" s="2" t="s">
        <v>74</v>
      </c>
      <c r="AF1073" s="2" t="s">
        <v>74</v>
      </c>
      <c r="AG1073" s="2" t="s">
        <v>74</v>
      </c>
      <c r="AH1073" s="2" t="s">
        <v>74</v>
      </c>
      <c r="AI1073" s="2" t="s">
        <v>74</v>
      </c>
      <c r="AJ1073" s="2" t="s">
        <v>74</v>
      </c>
      <c r="AK1073" s="2" t="s">
        <v>74</v>
      </c>
      <c r="AL1073" s="2" t="s">
        <v>74</v>
      </c>
      <c r="AM1073" s="2" t="s">
        <v>74</v>
      </c>
      <c r="AN1073" s="2" t="s">
        <v>74</v>
      </c>
      <c r="AO1073" s="2" t="s">
        <v>1528</v>
      </c>
      <c r="AP1073" s="2" t="s">
        <v>2131</v>
      </c>
      <c r="AQ1073" s="2" t="s">
        <v>74</v>
      </c>
      <c r="AR1073" s="2" t="s">
        <v>74</v>
      </c>
      <c r="AS1073" s="2" t="s">
        <v>74</v>
      </c>
      <c r="AT1073" s="2" t="s">
        <v>134</v>
      </c>
      <c r="AU1073" s="2">
        <v>2008</v>
      </c>
      <c r="AV1073" s="2">
        <v>110</v>
      </c>
      <c r="AW1073" s="2">
        <v>2</v>
      </c>
      <c r="AX1073" s="2" t="s">
        <v>74</v>
      </c>
      <c r="AY1073" s="2" t="s">
        <v>74</v>
      </c>
      <c r="AZ1073" s="2" t="s">
        <v>74</v>
      </c>
      <c r="BA1073" s="2" t="s">
        <v>74</v>
      </c>
      <c r="BB1073" s="2">
        <v>241</v>
      </c>
      <c r="BC1073" s="2">
        <v>250</v>
      </c>
      <c r="BD1073" s="2" t="s">
        <v>74</v>
      </c>
      <c r="BE1073" s="2" t="s">
        <v>7388</v>
      </c>
      <c r="BF1073" s="2" t="str">
        <f>HYPERLINK("http://dx.doi.org/10.1525/cond.2008.8476","http://dx.doi.org/10.1525/cond.2008.8476")</f>
        <v>http://dx.doi.org/10.1525/cond.2008.8476</v>
      </c>
      <c r="BG1073" s="2" t="s">
        <v>74</v>
      </c>
      <c r="BH1073" s="2" t="s">
        <v>74</v>
      </c>
      <c r="BI1073" s="2" t="s">
        <v>74</v>
      </c>
      <c r="BJ1073" s="2" t="s">
        <v>74</v>
      </c>
      <c r="BK1073" s="2" t="s">
        <v>74</v>
      </c>
      <c r="BL1073" s="2" t="s">
        <v>74</v>
      </c>
      <c r="BM1073" s="2" t="s">
        <v>74</v>
      </c>
      <c r="BN1073" s="2" t="s">
        <v>74</v>
      </c>
      <c r="BO1073" s="2" t="s">
        <v>74</v>
      </c>
      <c r="BP1073" s="2" t="s">
        <v>74</v>
      </c>
      <c r="BQ1073" s="2" t="s">
        <v>74</v>
      </c>
      <c r="BR1073" s="2" t="s">
        <v>74</v>
      </c>
      <c r="BS1073" s="2" t="s">
        <v>7389</v>
      </c>
      <c r="BT1073" s="2" t="str">
        <f>HYPERLINK("https%3A%2F%2Fwww.webofscience.com%2Fwos%2Fwoscc%2Ffull-record%2FWOS:000258851900004","View Full Record in Web of Science")</f>
        <v>View Full Record in Web of Science</v>
      </c>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row>
    <row r="1074" spans="1:314" s="7" customFormat="1" x14ac:dyDescent="0.4">
      <c r="A1074" s="2" t="s">
        <v>72</v>
      </c>
      <c r="B1074" s="2" t="s">
        <v>8428</v>
      </c>
      <c r="C1074" s="2" t="s">
        <v>74</v>
      </c>
      <c r="D1074" s="2" t="s">
        <v>74</v>
      </c>
      <c r="E1074" s="2" t="s">
        <v>74</v>
      </c>
      <c r="F1074" s="2" t="s">
        <v>8429</v>
      </c>
      <c r="G1074" s="2" t="s">
        <v>74</v>
      </c>
      <c r="H1074" s="2" t="s">
        <v>74</v>
      </c>
      <c r="I1074" s="2" t="s">
        <v>8430</v>
      </c>
      <c r="J1074" s="2" t="s">
        <v>1480</v>
      </c>
      <c r="K1074" s="2" t="s">
        <v>74</v>
      </c>
      <c r="L1074" s="2" t="s">
        <v>74</v>
      </c>
      <c r="M1074" s="2" t="s">
        <v>74</v>
      </c>
      <c r="N1074" s="2" t="s">
        <v>74</v>
      </c>
      <c r="O1074" s="2" t="s">
        <v>74</v>
      </c>
      <c r="P1074" s="2" t="s">
        <v>74</v>
      </c>
      <c r="Q1074" s="2" t="s">
        <v>74</v>
      </c>
      <c r="R1074" s="2" t="s">
        <v>74</v>
      </c>
      <c r="S1074" s="2" t="s">
        <v>74</v>
      </c>
      <c r="T1074" s="2" t="s">
        <v>74</v>
      </c>
      <c r="U1074" s="2" t="s">
        <v>74</v>
      </c>
      <c r="V1074" s="5" t="s">
        <v>8431</v>
      </c>
      <c r="W1074" s="2" t="s">
        <v>74</v>
      </c>
      <c r="X1074" s="2" t="s">
        <v>74</v>
      </c>
      <c r="Y1074" s="2" t="s">
        <v>74</v>
      </c>
      <c r="Z1074" s="2" t="s">
        <v>74</v>
      </c>
      <c r="AA1074" s="2" t="s">
        <v>74</v>
      </c>
      <c r="AB1074" s="2" t="s">
        <v>74</v>
      </c>
      <c r="AC1074" s="2" t="s">
        <v>74</v>
      </c>
      <c r="AD1074" s="2" t="s">
        <v>74</v>
      </c>
      <c r="AE1074" s="2" t="s">
        <v>74</v>
      </c>
      <c r="AF1074" s="2" t="s">
        <v>74</v>
      </c>
      <c r="AG1074" s="2" t="s">
        <v>74</v>
      </c>
      <c r="AH1074" s="2" t="s">
        <v>74</v>
      </c>
      <c r="AI1074" s="2" t="s">
        <v>74</v>
      </c>
      <c r="AJ1074" s="2" t="s">
        <v>74</v>
      </c>
      <c r="AK1074" s="2" t="s">
        <v>74</v>
      </c>
      <c r="AL1074" s="2" t="s">
        <v>74</v>
      </c>
      <c r="AM1074" s="2" t="s">
        <v>74</v>
      </c>
      <c r="AN1074" s="2" t="s">
        <v>74</v>
      </c>
      <c r="AO1074" s="2" t="s">
        <v>1482</v>
      </c>
      <c r="AP1074" s="2" t="s">
        <v>6949</v>
      </c>
      <c r="AQ1074" s="2" t="s">
        <v>74</v>
      </c>
      <c r="AR1074" s="2" t="s">
        <v>74</v>
      </c>
      <c r="AS1074" s="2" t="s">
        <v>74</v>
      </c>
      <c r="AT1074" s="2" t="s">
        <v>175</v>
      </c>
      <c r="AU1074" s="2">
        <v>2023</v>
      </c>
      <c r="AV1074" s="2">
        <v>102</v>
      </c>
      <c r="AW1074" s="2">
        <v>10</v>
      </c>
      <c r="AX1074" s="2" t="s">
        <v>74</v>
      </c>
      <c r="AY1074" s="2" t="s">
        <v>74</v>
      </c>
      <c r="AZ1074" s="2" t="s">
        <v>74</v>
      </c>
      <c r="BA1074" s="2" t="s">
        <v>74</v>
      </c>
      <c r="BB1074" s="2" t="s">
        <v>74</v>
      </c>
      <c r="BC1074" s="2" t="s">
        <v>74</v>
      </c>
      <c r="BD1074" s="2">
        <v>102927</v>
      </c>
      <c r="BE1074" s="2" t="s">
        <v>8432</v>
      </c>
      <c r="BF1074" s="2" t="str">
        <f>HYPERLINK("http://dx.doi.org/10.1016/j.psj.2023.102927","http://dx.doi.org/10.1016/j.psj.2023.102927")</f>
        <v>http://dx.doi.org/10.1016/j.psj.2023.102927</v>
      </c>
      <c r="BG1074" s="2" t="s">
        <v>74</v>
      </c>
      <c r="BH1074" s="2" t="s">
        <v>2726</v>
      </c>
      <c r="BI1074" s="2" t="s">
        <v>74</v>
      </c>
      <c r="BJ1074" s="2" t="s">
        <v>74</v>
      </c>
      <c r="BK1074" s="2" t="s">
        <v>74</v>
      </c>
      <c r="BL1074" s="2" t="s">
        <v>74</v>
      </c>
      <c r="BM1074" s="2" t="s">
        <v>74</v>
      </c>
      <c r="BN1074" s="2">
        <v>37494809</v>
      </c>
      <c r="BO1074" s="2" t="s">
        <v>74</v>
      </c>
      <c r="BP1074" s="2" t="s">
        <v>74</v>
      </c>
      <c r="BQ1074" s="2" t="s">
        <v>74</v>
      </c>
      <c r="BR1074" s="2" t="s">
        <v>74</v>
      </c>
      <c r="BS1074" s="2" t="s">
        <v>8433</v>
      </c>
      <c r="BT1074" s="2" t="str">
        <f>HYPERLINK("https%3A%2F%2Fwww.webofscience.com%2Fwos%2Fwoscc%2Ffull-record%2FWOS:001046665000001","View Full Record in Web of Science")</f>
        <v>View Full Record in Web of Science</v>
      </c>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row>
    <row r="1075" spans="1:314" s="2" customFormat="1" x14ac:dyDescent="0.4">
      <c r="A1075" s="2" t="s">
        <v>72</v>
      </c>
      <c r="B1075" s="2" t="s">
        <v>8534</v>
      </c>
      <c r="C1075" s="2" t="s">
        <v>74</v>
      </c>
      <c r="D1075" s="2" t="s">
        <v>74</v>
      </c>
      <c r="E1075" s="2" t="s">
        <v>74</v>
      </c>
      <c r="F1075" s="2" t="s">
        <v>8534</v>
      </c>
      <c r="G1075" s="2" t="s">
        <v>74</v>
      </c>
      <c r="H1075" s="2" t="s">
        <v>74</v>
      </c>
      <c r="I1075" s="2" t="s">
        <v>8535</v>
      </c>
      <c r="J1075" s="2" t="s">
        <v>77</v>
      </c>
      <c r="K1075" s="2" t="s">
        <v>74</v>
      </c>
      <c r="L1075" s="2" t="s">
        <v>74</v>
      </c>
      <c r="M1075" s="2" t="s">
        <v>74</v>
      </c>
      <c r="N1075" s="2" t="s">
        <v>74</v>
      </c>
      <c r="O1075" s="2" t="s">
        <v>74</v>
      </c>
      <c r="P1075" s="2" t="s">
        <v>74</v>
      </c>
      <c r="Q1075" s="2" t="s">
        <v>74</v>
      </c>
      <c r="R1075" s="2" t="s">
        <v>74</v>
      </c>
      <c r="S1075" s="2" t="s">
        <v>74</v>
      </c>
      <c r="T1075" s="2" t="s">
        <v>74</v>
      </c>
      <c r="U1075" s="2" t="s">
        <v>74</v>
      </c>
      <c r="V1075" s="5" t="s">
        <v>8536</v>
      </c>
      <c r="W1075" s="2" t="s">
        <v>74</v>
      </c>
      <c r="X1075" s="2" t="s">
        <v>74</v>
      </c>
      <c r="Y1075" s="2" t="s">
        <v>74</v>
      </c>
      <c r="Z1075" s="2" t="s">
        <v>74</v>
      </c>
      <c r="AA1075" s="2" t="s">
        <v>74</v>
      </c>
      <c r="AB1075" s="2" t="s">
        <v>74</v>
      </c>
      <c r="AC1075" s="2" t="s">
        <v>74</v>
      </c>
      <c r="AD1075" s="2" t="s">
        <v>74</v>
      </c>
      <c r="AE1075" s="2" t="s">
        <v>74</v>
      </c>
      <c r="AF1075" s="2" t="s">
        <v>74</v>
      </c>
      <c r="AG1075" s="2" t="s">
        <v>74</v>
      </c>
      <c r="AH1075" s="2" t="s">
        <v>74</v>
      </c>
      <c r="AI1075" s="2" t="s">
        <v>74</v>
      </c>
      <c r="AJ1075" s="2" t="s">
        <v>74</v>
      </c>
      <c r="AK1075" s="2" t="s">
        <v>74</v>
      </c>
      <c r="AL1075" s="2" t="s">
        <v>74</v>
      </c>
      <c r="AM1075" s="2" t="s">
        <v>74</v>
      </c>
      <c r="AN1075" s="2" t="s">
        <v>74</v>
      </c>
      <c r="AO1075" s="2" t="s">
        <v>81</v>
      </c>
      <c r="AP1075" s="2" t="s">
        <v>82</v>
      </c>
      <c r="AQ1075" s="2" t="s">
        <v>74</v>
      </c>
      <c r="AR1075" s="2" t="s">
        <v>74</v>
      </c>
      <c r="AS1075" s="2" t="s">
        <v>74</v>
      </c>
      <c r="AT1075" s="2" t="s">
        <v>305</v>
      </c>
      <c r="AU1075" s="2">
        <v>1993</v>
      </c>
      <c r="AV1075" s="2">
        <v>127</v>
      </c>
      <c r="AW1075" s="2" t="s">
        <v>74</v>
      </c>
      <c r="AX1075" s="2" t="s">
        <v>1276</v>
      </c>
      <c r="AY1075" s="2" t="s">
        <v>74</v>
      </c>
      <c r="AZ1075" s="2" t="s">
        <v>74</v>
      </c>
      <c r="BA1075" s="2" t="s">
        <v>74</v>
      </c>
      <c r="BB1075" s="2">
        <v>247</v>
      </c>
      <c r="BC1075" s="2">
        <v>263</v>
      </c>
      <c r="BD1075" s="2" t="s">
        <v>74</v>
      </c>
      <c r="BE1075" s="2" t="s">
        <v>8537</v>
      </c>
      <c r="BF1075" s="2" t="str">
        <f>HYPERLINK("http://dx.doi.org/10.1163/156853993X00047","http://dx.doi.org/10.1163/156853993X00047")</f>
        <v>http://dx.doi.org/10.1163/156853993X00047</v>
      </c>
      <c r="BG1075" s="2" t="s">
        <v>74</v>
      </c>
      <c r="BH1075" s="2" t="s">
        <v>74</v>
      </c>
      <c r="BI1075" s="2" t="s">
        <v>74</v>
      </c>
      <c r="BJ1075" s="2" t="s">
        <v>74</v>
      </c>
      <c r="BK1075" s="2" t="s">
        <v>74</v>
      </c>
      <c r="BL1075" s="2" t="s">
        <v>74</v>
      </c>
      <c r="BM1075" s="2" t="s">
        <v>74</v>
      </c>
      <c r="BN1075" s="2" t="s">
        <v>74</v>
      </c>
      <c r="BO1075" s="2" t="s">
        <v>74</v>
      </c>
      <c r="BP1075" s="2" t="s">
        <v>74</v>
      </c>
      <c r="BQ1075" s="2" t="s">
        <v>74</v>
      </c>
      <c r="BR1075" s="2" t="s">
        <v>74</v>
      </c>
      <c r="BS1075" s="2" t="s">
        <v>8538</v>
      </c>
      <c r="BT1075" s="2" t="str">
        <f>HYPERLINK("https%3A%2F%2Fwww.webofscience.com%2Fwos%2Fwoscc%2Ffull-record%2FWOS:A1993NH18400004","View Full Record in Web of Science")</f>
        <v>View Full Record in Web of Science</v>
      </c>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row>
    <row r="1076" spans="1:314" s="2" customFormat="1" x14ac:dyDescent="0.4">
      <c r="A1076" s="2" t="s">
        <v>72</v>
      </c>
      <c r="B1076" s="2" t="s">
        <v>5169</v>
      </c>
      <c r="C1076" s="2" t="s">
        <v>74</v>
      </c>
      <c r="D1076" s="2" t="s">
        <v>74</v>
      </c>
      <c r="E1076" s="2" t="s">
        <v>74</v>
      </c>
      <c r="F1076" s="2" t="s">
        <v>5170</v>
      </c>
      <c r="G1076" s="2" t="s">
        <v>74</v>
      </c>
      <c r="H1076" s="2" t="s">
        <v>74</v>
      </c>
      <c r="I1076" s="2" t="s">
        <v>5171</v>
      </c>
      <c r="J1076" s="2" t="s">
        <v>1803</v>
      </c>
      <c r="K1076" s="2" t="s">
        <v>74</v>
      </c>
      <c r="L1076" s="2" t="s">
        <v>74</v>
      </c>
      <c r="M1076" s="2" t="s">
        <v>74</v>
      </c>
      <c r="N1076" s="2" t="s">
        <v>74</v>
      </c>
      <c r="O1076" s="2" t="s">
        <v>74</v>
      </c>
      <c r="P1076" s="2" t="s">
        <v>74</v>
      </c>
      <c r="Q1076" s="2" t="s">
        <v>74</v>
      </c>
      <c r="R1076" s="2" t="s">
        <v>74</v>
      </c>
      <c r="S1076" s="2" t="s">
        <v>74</v>
      </c>
      <c r="T1076" s="2" t="s">
        <v>74</v>
      </c>
      <c r="U1076" s="2" t="s">
        <v>74</v>
      </c>
      <c r="V1076" s="5" t="s">
        <v>5172</v>
      </c>
      <c r="W1076" s="2" t="s">
        <v>74</v>
      </c>
      <c r="X1076" s="2" t="s">
        <v>74</v>
      </c>
      <c r="Y1076" s="2" t="s">
        <v>74</v>
      </c>
      <c r="Z1076" s="2" t="s">
        <v>74</v>
      </c>
      <c r="AA1076" s="2" t="s">
        <v>5173</v>
      </c>
      <c r="AB1076" s="2" t="s">
        <v>5174</v>
      </c>
      <c r="AC1076" s="2" t="s">
        <v>74</v>
      </c>
      <c r="AD1076" s="2" t="s">
        <v>74</v>
      </c>
      <c r="AE1076" s="2" t="s">
        <v>74</v>
      </c>
      <c r="AF1076" s="2" t="s">
        <v>74</v>
      </c>
      <c r="AG1076" s="2" t="s">
        <v>74</v>
      </c>
      <c r="AH1076" s="2" t="s">
        <v>74</v>
      </c>
      <c r="AI1076" s="2" t="s">
        <v>74</v>
      </c>
      <c r="AJ1076" s="2" t="s">
        <v>74</v>
      </c>
      <c r="AK1076" s="2" t="s">
        <v>74</v>
      </c>
      <c r="AL1076" s="2" t="s">
        <v>74</v>
      </c>
      <c r="AM1076" s="2" t="s">
        <v>74</v>
      </c>
      <c r="AN1076" s="2" t="s">
        <v>74</v>
      </c>
      <c r="AO1076" s="2" t="s">
        <v>1807</v>
      </c>
      <c r="AP1076" s="2" t="s">
        <v>1808</v>
      </c>
      <c r="AQ1076" s="2" t="s">
        <v>74</v>
      </c>
      <c r="AR1076" s="2" t="s">
        <v>74</v>
      </c>
      <c r="AS1076" s="2" t="s">
        <v>74</v>
      </c>
      <c r="AT1076" s="2" t="s">
        <v>633</v>
      </c>
      <c r="AU1076" s="2">
        <v>2010</v>
      </c>
      <c r="AV1076" s="2">
        <v>24</v>
      </c>
      <c r="AW1076" s="2">
        <v>2</v>
      </c>
      <c r="AX1076" s="2" t="s">
        <v>74</v>
      </c>
      <c r="AY1076" s="2" t="s">
        <v>74</v>
      </c>
      <c r="AZ1076" s="2" t="s">
        <v>74</v>
      </c>
      <c r="BA1076" s="2" t="s">
        <v>74</v>
      </c>
      <c r="BB1076" s="2">
        <v>417</v>
      </c>
      <c r="BC1076" s="2">
        <v>425</v>
      </c>
      <c r="BD1076" s="2" t="s">
        <v>74</v>
      </c>
      <c r="BE1076" s="2" t="s">
        <v>5175</v>
      </c>
      <c r="BF1076" s="2" t="str">
        <f>HYPERLINK("http://dx.doi.org/10.1111/j.1365-2435.2009.01660.x","http://dx.doi.org/10.1111/j.1365-2435.2009.01660.x")</f>
        <v>http://dx.doi.org/10.1111/j.1365-2435.2009.01660.x</v>
      </c>
      <c r="BG1076" s="2" t="s">
        <v>74</v>
      </c>
      <c r="BH1076" s="2" t="s">
        <v>74</v>
      </c>
      <c r="BI1076" s="2" t="s">
        <v>74</v>
      </c>
      <c r="BJ1076" s="2" t="s">
        <v>74</v>
      </c>
      <c r="BK1076" s="2" t="s">
        <v>74</v>
      </c>
      <c r="BL1076" s="2" t="s">
        <v>74</v>
      </c>
      <c r="BM1076" s="2" t="s">
        <v>74</v>
      </c>
      <c r="BN1076" s="2" t="s">
        <v>74</v>
      </c>
      <c r="BO1076" s="2" t="s">
        <v>74</v>
      </c>
      <c r="BP1076" s="2" t="s">
        <v>74</v>
      </c>
      <c r="BQ1076" s="2" t="s">
        <v>74</v>
      </c>
      <c r="BR1076" s="2" t="s">
        <v>74</v>
      </c>
      <c r="BS1076" s="2" t="s">
        <v>5176</v>
      </c>
      <c r="BT1076" s="2" t="str">
        <f>HYPERLINK("https%3A%2F%2Fwww.webofscience.com%2Fwos%2Fwoscc%2Ffull-record%2FWOS:000274952600020","View Full Record in Web of Science")</f>
        <v>View Full Record in Web of Science</v>
      </c>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row>
    <row r="1077" spans="1:314" s="2" customFormat="1" x14ac:dyDescent="0.4">
      <c r="A1077" s="2" t="s">
        <v>72</v>
      </c>
      <c r="B1077" s="2" t="s">
        <v>7937</v>
      </c>
      <c r="C1077" s="2" t="s">
        <v>74</v>
      </c>
      <c r="D1077" s="2" t="s">
        <v>74</v>
      </c>
      <c r="E1077" s="2" t="s">
        <v>74</v>
      </c>
      <c r="F1077" s="2" t="s">
        <v>7937</v>
      </c>
      <c r="G1077" s="2" t="s">
        <v>74</v>
      </c>
      <c r="H1077" s="2" t="s">
        <v>74</v>
      </c>
      <c r="I1077" s="2" t="s">
        <v>7938</v>
      </c>
      <c r="J1077" s="2" t="s">
        <v>129</v>
      </c>
      <c r="K1077" s="2" t="s">
        <v>74</v>
      </c>
      <c r="L1077" s="2" t="s">
        <v>74</v>
      </c>
      <c r="M1077" s="2" t="s">
        <v>74</v>
      </c>
      <c r="N1077" s="2" t="s">
        <v>74</v>
      </c>
      <c r="O1077" s="2" t="s">
        <v>74</v>
      </c>
      <c r="P1077" s="2" t="s">
        <v>74</v>
      </c>
      <c r="Q1077" s="2" t="s">
        <v>74</v>
      </c>
      <c r="R1077" s="2" t="s">
        <v>74</v>
      </c>
      <c r="S1077" s="2" t="s">
        <v>74</v>
      </c>
      <c r="T1077" s="2" t="s">
        <v>74</v>
      </c>
      <c r="U1077" s="2" t="s">
        <v>74</v>
      </c>
      <c r="V1077" s="5" t="s">
        <v>7939</v>
      </c>
      <c r="W1077" s="2" t="s">
        <v>74</v>
      </c>
      <c r="X1077" s="2" t="s">
        <v>74</v>
      </c>
      <c r="Y1077" s="2" t="s">
        <v>74</v>
      </c>
      <c r="Z1077" s="2" t="s">
        <v>74</v>
      </c>
      <c r="AA1077" s="2" t="s">
        <v>7940</v>
      </c>
      <c r="AB1077" s="2" t="s">
        <v>74</v>
      </c>
      <c r="AC1077" s="2" t="s">
        <v>74</v>
      </c>
      <c r="AD1077" s="2" t="s">
        <v>74</v>
      </c>
      <c r="AE1077" s="2" t="s">
        <v>74</v>
      </c>
      <c r="AF1077" s="2" t="s">
        <v>74</v>
      </c>
      <c r="AG1077" s="2" t="s">
        <v>74</v>
      </c>
      <c r="AH1077" s="2" t="s">
        <v>74</v>
      </c>
      <c r="AI1077" s="2" t="s">
        <v>74</v>
      </c>
      <c r="AJ1077" s="2" t="s">
        <v>74</v>
      </c>
      <c r="AK1077" s="2" t="s">
        <v>74</v>
      </c>
      <c r="AL1077" s="2" t="s">
        <v>74</v>
      </c>
      <c r="AM1077" s="2" t="s">
        <v>74</v>
      </c>
      <c r="AN1077" s="2" t="s">
        <v>74</v>
      </c>
      <c r="AO1077" s="2" t="s">
        <v>132</v>
      </c>
      <c r="AP1077" s="2" t="s">
        <v>133</v>
      </c>
      <c r="AQ1077" s="2" t="s">
        <v>74</v>
      </c>
      <c r="AR1077" s="2" t="s">
        <v>74</v>
      </c>
      <c r="AS1077" s="2" t="s">
        <v>74</v>
      </c>
      <c r="AT1077" s="2" t="s">
        <v>213</v>
      </c>
      <c r="AU1077" s="2">
        <v>1996</v>
      </c>
      <c r="AV1077" s="2">
        <v>39</v>
      </c>
      <c r="AW1077" s="2">
        <v>5</v>
      </c>
      <c r="AX1077" s="2" t="s">
        <v>74</v>
      </c>
      <c r="AY1077" s="2" t="s">
        <v>74</v>
      </c>
      <c r="AZ1077" s="2" t="s">
        <v>74</v>
      </c>
      <c r="BA1077" s="2" t="s">
        <v>74</v>
      </c>
      <c r="BB1077" s="2">
        <v>345</v>
      </c>
      <c r="BC1077" s="2">
        <v>352</v>
      </c>
      <c r="BD1077" s="2" t="s">
        <v>74</v>
      </c>
      <c r="BE1077" s="2" t="s">
        <v>7941</v>
      </c>
      <c r="BF1077" s="2" t="str">
        <f>HYPERLINK("http://dx.doi.org/10.1007/s002650050299","http://dx.doi.org/10.1007/s002650050299")</f>
        <v>http://dx.doi.org/10.1007/s002650050299</v>
      </c>
      <c r="BG1077" s="2" t="s">
        <v>74</v>
      </c>
      <c r="BH1077" s="2" t="s">
        <v>74</v>
      </c>
      <c r="BI1077" s="2" t="s">
        <v>74</v>
      </c>
      <c r="BJ1077" s="2" t="s">
        <v>74</v>
      </c>
      <c r="BK1077" s="2" t="s">
        <v>74</v>
      </c>
      <c r="BL1077" s="2" t="s">
        <v>74</v>
      </c>
      <c r="BM1077" s="2" t="s">
        <v>74</v>
      </c>
      <c r="BN1077" s="2" t="s">
        <v>74</v>
      </c>
      <c r="BO1077" s="2" t="s">
        <v>74</v>
      </c>
      <c r="BP1077" s="2" t="s">
        <v>74</v>
      </c>
      <c r="BQ1077" s="2" t="s">
        <v>74</v>
      </c>
      <c r="BR1077" s="2" t="s">
        <v>74</v>
      </c>
      <c r="BS1077" s="2" t="s">
        <v>7942</v>
      </c>
      <c r="BT1077" s="2" t="str">
        <f>HYPERLINK("https%3A%2F%2Fwww.webofscience.com%2Fwos%2Fwoscc%2Ffull-record%2FWOS:A1996VW21300009","View Full Record in Web of Science")</f>
        <v>View Full Record in Web of Science</v>
      </c>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row>
    <row r="1078" spans="1:314" s="2" customFormat="1" x14ac:dyDescent="0.4">
      <c r="A1078" s="2" t="s">
        <v>72</v>
      </c>
      <c r="B1078" s="2" t="s">
        <v>8557</v>
      </c>
      <c r="C1078" s="2" t="s">
        <v>74</v>
      </c>
      <c r="D1078" s="2" t="s">
        <v>74</v>
      </c>
      <c r="E1078" s="2" t="s">
        <v>74</v>
      </c>
      <c r="F1078" s="2" t="s">
        <v>8557</v>
      </c>
      <c r="G1078" s="2" t="s">
        <v>74</v>
      </c>
      <c r="H1078" s="2" t="s">
        <v>74</v>
      </c>
      <c r="I1078" s="2" t="s">
        <v>8558</v>
      </c>
      <c r="J1078" s="2" t="s">
        <v>129</v>
      </c>
      <c r="K1078" s="2" t="s">
        <v>74</v>
      </c>
      <c r="L1078" s="2" t="s">
        <v>74</v>
      </c>
      <c r="M1078" s="2" t="s">
        <v>74</v>
      </c>
      <c r="N1078" s="2" t="s">
        <v>74</v>
      </c>
      <c r="O1078" s="2" t="s">
        <v>74</v>
      </c>
      <c r="P1078" s="2" t="s">
        <v>74</v>
      </c>
      <c r="Q1078" s="2" t="s">
        <v>74</v>
      </c>
      <c r="R1078" s="2" t="s">
        <v>74</v>
      </c>
      <c r="S1078" s="2" t="s">
        <v>74</v>
      </c>
      <c r="T1078" s="2" t="s">
        <v>74</v>
      </c>
      <c r="U1078" s="2" t="s">
        <v>74</v>
      </c>
      <c r="V1078" s="5" t="s">
        <v>8559</v>
      </c>
      <c r="W1078" s="2" t="s">
        <v>74</v>
      </c>
      <c r="X1078" s="2" t="s">
        <v>74</v>
      </c>
      <c r="Y1078" s="2" t="s">
        <v>74</v>
      </c>
      <c r="Z1078" s="2" t="s">
        <v>74</v>
      </c>
      <c r="AA1078" s="2" t="s">
        <v>8560</v>
      </c>
      <c r="AB1078" s="2" t="s">
        <v>1934</v>
      </c>
      <c r="AC1078" s="2" t="s">
        <v>74</v>
      </c>
      <c r="AD1078" s="2" t="s">
        <v>74</v>
      </c>
      <c r="AE1078" s="2" t="s">
        <v>74</v>
      </c>
      <c r="AF1078" s="2" t="s">
        <v>74</v>
      </c>
      <c r="AG1078" s="2" t="s">
        <v>74</v>
      </c>
      <c r="AH1078" s="2" t="s">
        <v>74</v>
      </c>
      <c r="AI1078" s="2" t="s">
        <v>74</v>
      </c>
      <c r="AJ1078" s="2" t="s">
        <v>74</v>
      </c>
      <c r="AK1078" s="2" t="s">
        <v>74</v>
      </c>
      <c r="AL1078" s="2" t="s">
        <v>74</v>
      </c>
      <c r="AM1078" s="2" t="s">
        <v>74</v>
      </c>
      <c r="AN1078" s="2" t="s">
        <v>74</v>
      </c>
      <c r="AO1078" s="2" t="s">
        <v>132</v>
      </c>
      <c r="AP1078" s="2" t="s">
        <v>133</v>
      </c>
      <c r="AQ1078" s="2" t="s">
        <v>74</v>
      </c>
      <c r="AR1078" s="2" t="s">
        <v>74</v>
      </c>
      <c r="AS1078" s="2" t="s">
        <v>74</v>
      </c>
      <c r="AT1078" s="2" t="s">
        <v>352</v>
      </c>
      <c r="AU1078" s="2">
        <v>1997</v>
      </c>
      <c r="AV1078" s="2">
        <v>41</v>
      </c>
      <c r="AW1078" s="2">
        <v>3</v>
      </c>
      <c r="AX1078" s="2" t="s">
        <v>74</v>
      </c>
      <c r="AY1078" s="2" t="s">
        <v>74</v>
      </c>
      <c r="AZ1078" s="2" t="s">
        <v>74</v>
      </c>
      <c r="BA1078" s="2" t="s">
        <v>74</v>
      </c>
      <c r="BB1078" s="2">
        <v>171</v>
      </c>
      <c r="BC1078" s="2">
        <v>176</v>
      </c>
      <c r="BD1078" s="2" t="s">
        <v>74</v>
      </c>
      <c r="BE1078" s="2" t="s">
        <v>8561</v>
      </c>
      <c r="BF1078" s="2" t="str">
        <f>HYPERLINK("http://dx.doi.org/10.1007/s002650050376","http://dx.doi.org/10.1007/s002650050376")</f>
        <v>http://dx.doi.org/10.1007/s002650050376</v>
      </c>
      <c r="BG1078" s="2" t="s">
        <v>74</v>
      </c>
      <c r="BH1078" s="2" t="s">
        <v>74</v>
      </c>
      <c r="BI1078" s="2" t="s">
        <v>74</v>
      </c>
      <c r="BJ1078" s="2" t="s">
        <v>74</v>
      </c>
      <c r="BK1078" s="2" t="s">
        <v>74</v>
      </c>
      <c r="BL1078" s="2" t="s">
        <v>74</v>
      </c>
      <c r="BM1078" s="2" t="s">
        <v>74</v>
      </c>
      <c r="BN1078" s="2" t="s">
        <v>74</v>
      </c>
      <c r="BO1078" s="2" t="s">
        <v>74</v>
      </c>
      <c r="BP1078" s="2" t="s">
        <v>74</v>
      </c>
      <c r="BQ1078" s="2" t="s">
        <v>74</v>
      </c>
      <c r="BR1078" s="2" t="s">
        <v>74</v>
      </c>
      <c r="BS1078" s="2" t="s">
        <v>8562</v>
      </c>
      <c r="BT1078" s="2" t="str">
        <f>HYPERLINK("https%3A%2F%2Fwww.webofscience.com%2Fwos%2Fwoscc%2Ffull-record%2FWOS:A1997XY71100004","View Full Record in Web of Science")</f>
        <v>View Full Record in Web of Science</v>
      </c>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row>
    <row r="1079" spans="1:314" s="2" customFormat="1" x14ac:dyDescent="0.4">
      <c r="A1079" s="2" t="s">
        <v>72</v>
      </c>
      <c r="B1079" s="2" t="s">
        <v>8201</v>
      </c>
      <c r="C1079" s="2" t="s">
        <v>74</v>
      </c>
      <c r="D1079" s="2" t="s">
        <v>74</v>
      </c>
      <c r="E1079" s="2" t="s">
        <v>74</v>
      </c>
      <c r="F1079" s="2" t="s">
        <v>8202</v>
      </c>
      <c r="G1079" s="2" t="s">
        <v>74</v>
      </c>
      <c r="H1079" s="2" t="s">
        <v>74</v>
      </c>
      <c r="I1079" s="2" t="s">
        <v>8203</v>
      </c>
      <c r="J1079" s="2" t="s">
        <v>775</v>
      </c>
      <c r="K1079" s="2" t="s">
        <v>74</v>
      </c>
      <c r="L1079" s="2" t="s">
        <v>74</v>
      </c>
      <c r="M1079" s="2" t="s">
        <v>74</v>
      </c>
      <c r="N1079" s="2" t="s">
        <v>74</v>
      </c>
      <c r="O1079" s="2" t="s">
        <v>74</v>
      </c>
      <c r="P1079" s="2" t="s">
        <v>74</v>
      </c>
      <c r="Q1079" s="2" t="s">
        <v>74</v>
      </c>
      <c r="R1079" s="2" t="s">
        <v>74</v>
      </c>
      <c r="S1079" s="2" t="s">
        <v>74</v>
      </c>
      <c r="T1079" s="2" t="s">
        <v>74</v>
      </c>
      <c r="U1079" s="2" t="s">
        <v>74</v>
      </c>
      <c r="V1079" s="5" t="s">
        <v>8204</v>
      </c>
      <c r="W1079" s="2" t="s">
        <v>74</v>
      </c>
      <c r="X1079" s="2" t="s">
        <v>74</v>
      </c>
      <c r="Y1079" s="2" t="s">
        <v>74</v>
      </c>
      <c r="Z1079" s="2" t="s">
        <v>74</v>
      </c>
      <c r="AA1079" s="2" t="s">
        <v>8205</v>
      </c>
      <c r="AB1079" s="2" t="s">
        <v>8206</v>
      </c>
      <c r="AC1079" s="2" t="s">
        <v>74</v>
      </c>
      <c r="AD1079" s="2" t="s">
        <v>74</v>
      </c>
      <c r="AE1079" s="2" t="s">
        <v>74</v>
      </c>
      <c r="AF1079" s="2" t="s">
        <v>74</v>
      </c>
      <c r="AG1079" s="2" t="s">
        <v>74</v>
      </c>
      <c r="AH1079" s="2" t="s">
        <v>74</v>
      </c>
      <c r="AI1079" s="2" t="s">
        <v>74</v>
      </c>
      <c r="AJ1079" s="2" t="s">
        <v>74</v>
      </c>
      <c r="AK1079" s="2" t="s">
        <v>74</v>
      </c>
      <c r="AL1079" s="2" t="s">
        <v>74</v>
      </c>
      <c r="AM1079" s="2" t="s">
        <v>74</v>
      </c>
      <c r="AN1079" s="2" t="s">
        <v>74</v>
      </c>
      <c r="AO1079" s="2" t="s">
        <v>778</v>
      </c>
      <c r="AP1079" s="2" t="s">
        <v>74</v>
      </c>
      <c r="AQ1079" s="2" t="s">
        <v>74</v>
      </c>
      <c r="AR1079" s="2" t="s">
        <v>74</v>
      </c>
      <c r="AS1079" s="2" t="s">
        <v>74</v>
      </c>
      <c r="AT1079" s="2" t="s">
        <v>74</v>
      </c>
      <c r="AU1079" s="2">
        <v>2011</v>
      </c>
      <c r="AV1079" s="2">
        <v>57</v>
      </c>
      <c r="AW1079" s="2">
        <v>2</v>
      </c>
      <c r="AX1079" s="2" t="s">
        <v>74</v>
      </c>
      <c r="AY1079" s="2" t="s">
        <v>74</v>
      </c>
      <c r="AZ1079" s="2" t="s">
        <v>74</v>
      </c>
      <c r="BA1079" s="2" t="s">
        <v>74</v>
      </c>
      <c r="BB1079" s="2">
        <v>162</v>
      </c>
      <c r="BC1079" s="2">
        <v>174</v>
      </c>
      <c r="BD1079" s="2" t="s">
        <v>74</v>
      </c>
      <c r="BE1079" s="2" t="s">
        <v>8207</v>
      </c>
      <c r="BF1079" s="2" t="str">
        <f>HYPERLINK("http://dx.doi.org/10.1093/czoolo/57.2.162","http://dx.doi.org/10.1093/czoolo/57.2.162")</f>
        <v>http://dx.doi.org/10.1093/czoolo/57.2.162</v>
      </c>
      <c r="BG1079" s="2" t="s">
        <v>74</v>
      </c>
      <c r="BH1079" s="2" t="s">
        <v>74</v>
      </c>
      <c r="BI1079" s="2" t="s">
        <v>74</v>
      </c>
      <c r="BJ1079" s="2" t="s">
        <v>74</v>
      </c>
      <c r="BK1079" s="2" t="s">
        <v>74</v>
      </c>
      <c r="BL1079" s="2" t="s">
        <v>74</v>
      </c>
      <c r="BM1079" s="2" t="s">
        <v>74</v>
      </c>
      <c r="BN1079" s="2" t="s">
        <v>74</v>
      </c>
      <c r="BO1079" s="2" t="s">
        <v>74</v>
      </c>
      <c r="BP1079" s="2" t="s">
        <v>74</v>
      </c>
      <c r="BQ1079" s="2" t="s">
        <v>74</v>
      </c>
      <c r="BR1079" s="2" t="s">
        <v>74</v>
      </c>
      <c r="BS1079" s="2" t="s">
        <v>8208</v>
      </c>
      <c r="BT1079" s="2" t="str">
        <f>HYPERLINK("https%3A%2F%2Fwww.webofscience.com%2Fwos%2Fwoscc%2Ffull-record%2FWOS:000288848200005","View Full Record in Web of Science")</f>
        <v>View Full Record in Web of Science</v>
      </c>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row>
    <row r="1080" spans="1:314" s="2" customFormat="1" x14ac:dyDescent="0.4">
      <c r="A1080" s="2" t="s">
        <v>72</v>
      </c>
      <c r="B1080" s="2" t="s">
        <v>5512</v>
      </c>
      <c r="C1080" s="2" t="s">
        <v>74</v>
      </c>
      <c r="D1080" s="2" t="s">
        <v>74</v>
      </c>
      <c r="E1080" s="2" t="s">
        <v>74</v>
      </c>
      <c r="F1080" s="2" t="s">
        <v>5513</v>
      </c>
      <c r="G1080" s="2" t="s">
        <v>74</v>
      </c>
      <c r="H1080" s="2" t="s">
        <v>74</v>
      </c>
      <c r="I1080" s="2" t="s">
        <v>5514</v>
      </c>
      <c r="J1080" s="2" t="s">
        <v>140</v>
      </c>
      <c r="K1080" s="2" t="s">
        <v>74</v>
      </c>
      <c r="L1080" s="2" t="s">
        <v>74</v>
      </c>
      <c r="M1080" s="2" t="s">
        <v>74</v>
      </c>
      <c r="N1080" s="2" t="s">
        <v>74</v>
      </c>
      <c r="O1080" s="2" t="s">
        <v>74</v>
      </c>
      <c r="P1080" s="2" t="s">
        <v>74</v>
      </c>
      <c r="Q1080" s="2" t="s">
        <v>74</v>
      </c>
      <c r="R1080" s="2" t="s">
        <v>74</v>
      </c>
      <c r="S1080" s="2" t="s">
        <v>74</v>
      </c>
      <c r="T1080" s="2" t="s">
        <v>74</v>
      </c>
      <c r="U1080" s="2" t="s">
        <v>74</v>
      </c>
      <c r="V1080" s="5" t="s">
        <v>5515</v>
      </c>
      <c r="W1080" s="2" t="s">
        <v>74</v>
      </c>
      <c r="X1080" s="2" t="s">
        <v>74</v>
      </c>
      <c r="Y1080" s="2" t="s">
        <v>74</v>
      </c>
      <c r="Z1080" s="2" t="s">
        <v>74</v>
      </c>
      <c r="AA1080" s="2" t="s">
        <v>5516</v>
      </c>
      <c r="AB1080" s="2" t="s">
        <v>5517</v>
      </c>
      <c r="AC1080" s="2" t="s">
        <v>74</v>
      </c>
      <c r="AD1080" s="2" t="s">
        <v>74</v>
      </c>
      <c r="AE1080" s="2" t="s">
        <v>74</v>
      </c>
      <c r="AF1080" s="2" t="s">
        <v>74</v>
      </c>
      <c r="AG1080" s="2" t="s">
        <v>74</v>
      </c>
      <c r="AH1080" s="2" t="s">
        <v>74</v>
      </c>
      <c r="AI1080" s="2" t="s">
        <v>74</v>
      </c>
      <c r="AJ1080" s="2" t="s">
        <v>74</v>
      </c>
      <c r="AK1080" s="2" t="s">
        <v>74</v>
      </c>
      <c r="AL1080" s="2" t="s">
        <v>74</v>
      </c>
      <c r="AM1080" s="2" t="s">
        <v>74</v>
      </c>
      <c r="AN1080" s="2" t="s">
        <v>74</v>
      </c>
      <c r="AO1080" s="2" t="s">
        <v>143</v>
      </c>
      <c r="AP1080" s="2" t="s">
        <v>144</v>
      </c>
      <c r="AQ1080" s="2" t="s">
        <v>74</v>
      </c>
      <c r="AR1080" s="2" t="s">
        <v>74</v>
      </c>
      <c r="AS1080" s="2" t="s">
        <v>74</v>
      </c>
      <c r="AT1080" s="2" t="s">
        <v>305</v>
      </c>
      <c r="AU1080" s="2">
        <v>2023</v>
      </c>
      <c r="AV1080" s="2">
        <v>206</v>
      </c>
      <c r="AW1080" s="2" t="s">
        <v>74</v>
      </c>
      <c r="AX1080" s="2" t="s">
        <v>74</v>
      </c>
      <c r="AY1080" s="2" t="s">
        <v>74</v>
      </c>
      <c r="AZ1080" s="2" t="s">
        <v>74</v>
      </c>
      <c r="BA1080" s="2" t="s">
        <v>74</v>
      </c>
      <c r="BB1080" s="2">
        <v>99</v>
      </c>
      <c r="BC1080" s="2">
        <v>123</v>
      </c>
      <c r="BD1080" s="2" t="s">
        <v>74</v>
      </c>
      <c r="BE1080" s="2" t="s">
        <v>5518</v>
      </c>
      <c r="BF1080" s="2" t="str">
        <f>HYPERLINK("http://dx.doi.org/10.1016/j.anbehav.2023.09.013","http://dx.doi.org/10.1016/j.anbehav.2023.09.013")</f>
        <v>http://dx.doi.org/10.1016/j.anbehav.2023.09.013</v>
      </c>
      <c r="BG1080" s="2" t="s">
        <v>74</v>
      </c>
      <c r="BH1080" s="2" t="s">
        <v>5519</v>
      </c>
      <c r="BI1080" s="2" t="s">
        <v>74</v>
      </c>
      <c r="BJ1080" s="2" t="s">
        <v>74</v>
      </c>
      <c r="BK1080" s="2" t="s">
        <v>74</v>
      </c>
      <c r="BL1080" s="2" t="s">
        <v>74</v>
      </c>
      <c r="BM1080" s="2" t="s">
        <v>74</v>
      </c>
      <c r="BN1080" s="2" t="s">
        <v>74</v>
      </c>
      <c r="BO1080" s="2" t="s">
        <v>74</v>
      </c>
      <c r="BP1080" s="2" t="s">
        <v>74</v>
      </c>
      <c r="BQ1080" s="2" t="s">
        <v>74</v>
      </c>
      <c r="BR1080" s="2" t="s">
        <v>74</v>
      </c>
      <c r="BS1080" s="2" t="s">
        <v>5520</v>
      </c>
      <c r="BT1080" s="2" t="str">
        <f>HYPERLINK("https%3A%2F%2Fwww.webofscience.com%2Fwos%2Fwoscc%2Ffull-record%2FWOS:001113029100001","View Full Record in Web of Science")</f>
        <v>View Full Record in Web of Science</v>
      </c>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row>
    <row r="1081" spans="1:314" s="2" customFormat="1" x14ac:dyDescent="0.4">
      <c r="A1081" s="2" t="s">
        <v>72</v>
      </c>
      <c r="B1081" s="2" t="s">
        <v>2316</v>
      </c>
      <c r="C1081" s="2" t="s">
        <v>74</v>
      </c>
      <c r="D1081" s="2" t="s">
        <v>74</v>
      </c>
      <c r="E1081" s="2" t="s">
        <v>74</v>
      </c>
      <c r="F1081" s="2" t="s">
        <v>2316</v>
      </c>
      <c r="G1081" s="2" t="s">
        <v>74</v>
      </c>
      <c r="H1081" s="2" t="s">
        <v>74</v>
      </c>
      <c r="I1081" s="2" t="s">
        <v>2317</v>
      </c>
      <c r="J1081" s="2" t="s">
        <v>2207</v>
      </c>
      <c r="K1081" s="2" t="s">
        <v>74</v>
      </c>
      <c r="L1081" s="2" t="s">
        <v>74</v>
      </c>
      <c r="M1081" s="2" t="s">
        <v>74</v>
      </c>
      <c r="N1081" s="2" t="s">
        <v>74</v>
      </c>
      <c r="O1081" s="2" t="s">
        <v>74</v>
      </c>
      <c r="P1081" s="2" t="s">
        <v>74</v>
      </c>
      <c r="Q1081" s="2" t="s">
        <v>74</v>
      </c>
      <c r="R1081" s="2" t="s">
        <v>74</v>
      </c>
      <c r="S1081" s="2" t="s">
        <v>74</v>
      </c>
      <c r="T1081" s="2" t="s">
        <v>74</v>
      </c>
      <c r="U1081" s="2" t="s">
        <v>74</v>
      </c>
      <c r="V1081" s="5" t="s">
        <v>2318</v>
      </c>
      <c r="W1081" s="2" t="s">
        <v>74</v>
      </c>
      <c r="X1081" s="2" t="s">
        <v>74</v>
      </c>
      <c r="Y1081" s="2" t="s">
        <v>74</v>
      </c>
      <c r="Z1081" s="2" t="s">
        <v>74</v>
      </c>
      <c r="AA1081" s="2" t="s">
        <v>74</v>
      </c>
      <c r="AB1081" s="2" t="s">
        <v>74</v>
      </c>
      <c r="AC1081" s="2" t="s">
        <v>74</v>
      </c>
      <c r="AD1081" s="2" t="s">
        <v>74</v>
      </c>
      <c r="AE1081" s="2" t="s">
        <v>74</v>
      </c>
      <c r="AF1081" s="2" t="s">
        <v>74</v>
      </c>
      <c r="AG1081" s="2" t="s">
        <v>74</v>
      </c>
      <c r="AH1081" s="2" t="s">
        <v>74</v>
      </c>
      <c r="AI1081" s="2" t="s">
        <v>74</v>
      </c>
      <c r="AJ1081" s="2" t="s">
        <v>74</v>
      </c>
      <c r="AK1081" s="2" t="s">
        <v>74</v>
      </c>
      <c r="AL1081" s="2" t="s">
        <v>74</v>
      </c>
      <c r="AM1081" s="2" t="s">
        <v>74</v>
      </c>
      <c r="AN1081" s="2" t="s">
        <v>74</v>
      </c>
      <c r="AO1081" s="2" t="s">
        <v>2211</v>
      </c>
      <c r="AP1081" s="2" t="s">
        <v>74</v>
      </c>
      <c r="AQ1081" s="2" t="s">
        <v>74</v>
      </c>
      <c r="AR1081" s="2" t="s">
        <v>74</v>
      </c>
      <c r="AS1081" s="2" t="s">
        <v>74</v>
      </c>
      <c r="AT1081" s="2" t="s">
        <v>352</v>
      </c>
      <c r="AU1081" s="2">
        <v>1996</v>
      </c>
      <c r="AV1081" s="2">
        <v>27</v>
      </c>
      <c r="AW1081" s="2">
        <v>3</v>
      </c>
      <c r="AX1081" s="2" t="s">
        <v>74</v>
      </c>
      <c r="AY1081" s="2" t="s">
        <v>74</v>
      </c>
      <c r="AZ1081" s="2" t="s">
        <v>74</v>
      </c>
      <c r="BA1081" s="2" t="s">
        <v>74</v>
      </c>
      <c r="BB1081" s="2">
        <v>257</v>
      </c>
      <c r="BC1081" s="2">
        <v>259</v>
      </c>
      <c r="BD1081" s="2" t="s">
        <v>74</v>
      </c>
      <c r="BE1081" s="2" t="s">
        <v>2319</v>
      </c>
      <c r="BF1081" s="2" t="str">
        <f>HYPERLINK("http://dx.doi.org/10.2307/3677231","http://dx.doi.org/10.2307/3677231")</f>
        <v>http://dx.doi.org/10.2307/3677231</v>
      </c>
      <c r="BG1081" s="2" t="s">
        <v>74</v>
      </c>
      <c r="BH1081" s="2" t="s">
        <v>74</v>
      </c>
      <c r="BI1081" s="2" t="s">
        <v>74</v>
      </c>
      <c r="BJ1081" s="2" t="s">
        <v>74</v>
      </c>
      <c r="BK1081" s="2" t="s">
        <v>74</v>
      </c>
      <c r="BL1081" s="2" t="s">
        <v>74</v>
      </c>
      <c r="BM1081" s="2" t="s">
        <v>74</v>
      </c>
      <c r="BN1081" s="2" t="s">
        <v>74</v>
      </c>
      <c r="BO1081" s="2" t="s">
        <v>74</v>
      </c>
      <c r="BP1081" s="2" t="s">
        <v>74</v>
      </c>
      <c r="BQ1081" s="2" t="s">
        <v>74</v>
      </c>
      <c r="BR1081" s="2" t="s">
        <v>74</v>
      </c>
      <c r="BS1081" s="2" t="s">
        <v>2320</v>
      </c>
      <c r="BT1081" s="2" t="str">
        <f>HYPERLINK("https%3A%2F%2Fwww.webofscience.com%2Fwos%2Fwoscc%2Ffull-record%2FWOS:A1996VQ62800012","View Full Record in Web of Science")</f>
        <v>View Full Record in Web of Science</v>
      </c>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row>
    <row r="1082" spans="1:314" s="2" customFormat="1" x14ac:dyDescent="0.4">
      <c r="A1082" s="2" t="s">
        <v>72</v>
      </c>
      <c r="B1082" s="2" t="s">
        <v>7456</v>
      </c>
      <c r="C1082" s="2" t="s">
        <v>74</v>
      </c>
      <c r="D1082" s="2" t="s">
        <v>74</v>
      </c>
      <c r="E1082" s="2" t="s">
        <v>74</v>
      </c>
      <c r="F1082" s="2" t="s">
        <v>7456</v>
      </c>
      <c r="G1082" s="2" t="s">
        <v>74</v>
      </c>
      <c r="H1082" s="2" t="s">
        <v>74</v>
      </c>
      <c r="I1082" s="2" t="s">
        <v>7457</v>
      </c>
      <c r="J1082" s="2" t="s">
        <v>610</v>
      </c>
      <c r="K1082" s="2" t="s">
        <v>74</v>
      </c>
      <c r="L1082" s="2" t="s">
        <v>74</v>
      </c>
      <c r="M1082" s="2" t="s">
        <v>74</v>
      </c>
      <c r="N1082" s="2" t="s">
        <v>74</v>
      </c>
      <c r="O1082" s="2" t="s">
        <v>74</v>
      </c>
      <c r="P1082" s="2" t="s">
        <v>74</v>
      </c>
      <c r="Q1082" s="2" t="s">
        <v>74</v>
      </c>
      <c r="R1082" s="2" t="s">
        <v>74</v>
      </c>
      <c r="S1082" s="2" t="s">
        <v>74</v>
      </c>
      <c r="T1082" s="2" t="s">
        <v>74</v>
      </c>
      <c r="U1082" s="2" t="s">
        <v>74</v>
      </c>
      <c r="V1082" s="5" t="s">
        <v>7458</v>
      </c>
      <c r="W1082" s="2" t="s">
        <v>74</v>
      </c>
      <c r="X1082" s="2" t="s">
        <v>74</v>
      </c>
      <c r="Y1082" s="2" t="s">
        <v>74</v>
      </c>
      <c r="Z1082" s="2" t="s">
        <v>74</v>
      </c>
      <c r="AA1082" s="2" t="s">
        <v>74</v>
      </c>
      <c r="AB1082" s="2" t="s">
        <v>74</v>
      </c>
      <c r="AC1082" s="2" t="s">
        <v>74</v>
      </c>
      <c r="AD1082" s="2" t="s">
        <v>74</v>
      </c>
      <c r="AE1082" s="2" t="s">
        <v>74</v>
      </c>
      <c r="AF1082" s="2" t="s">
        <v>74</v>
      </c>
      <c r="AG1082" s="2" t="s">
        <v>74</v>
      </c>
      <c r="AH1082" s="2" t="s">
        <v>74</v>
      </c>
      <c r="AI1082" s="2" t="s">
        <v>74</v>
      </c>
      <c r="AJ1082" s="2" t="s">
        <v>74</v>
      </c>
      <c r="AK1082" s="2" t="s">
        <v>74</v>
      </c>
      <c r="AL1082" s="2" t="s">
        <v>74</v>
      </c>
      <c r="AM1082" s="2" t="s">
        <v>74</v>
      </c>
      <c r="AN1082" s="2" t="s">
        <v>74</v>
      </c>
      <c r="AO1082" s="2" t="s">
        <v>614</v>
      </c>
      <c r="AP1082" s="2" t="s">
        <v>74</v>
      </c>
      <c r="AQ1082" s="2" t="s">
        <v>74</v>
      </c>
      <c r="AR1082" s="2" t="s">
        <v>74</v>
      </c>
      <c r="AS1082" s="2" t="s">
        <v>74</v>
      </c>
      <c r="AT1082" s="2" t="s">
        <v>255</v>
      </c>
      <c r="AU1082" s="2">
        <v>1993</v>
      </c>
      <c r="AV1082" s="2">
        <v>93</v>
      </c>
      <c r="AW1082" s="2">
        <v>1</v>
      </c>
      <c r="AX1082" s="2" t="s">
        <v>74</v>
      </c>
      <c r="AY1082" s="2" t="s">
        <v>74</v>
      </c>
      <c r="AZ1082" s="2" t="s">
        <v>74</v>
      </c>
      <c r="BA1082" s="2" t="s">
        <v>74</v>
      </c>
      <c r="BB1082" s="2">
        <v>3</v>
      </c>
      <c r="BC1082" s="2">
        <v>20</v>
      </c>
      <c r="BD1082" s="2" t="s">
        <v>74</v>
      </c>
      <c r="BE1082" s="2" t="s">
        <v>74</v>
      </c>
      <c r="BF1082" s="2" t="s">
        <v>74</v>
      </c>
      <c r="BG1082" s="2" t="s">
        <v>74</v>
      </c>
      <c r="BH1082" s="2" t="s">
        <v>74</v>
      </c>
      <c r="BI1082" s="2" t="s">
        <v>74</v>
      </c>
      <c r="BJ1082" s="2" t="s">
        <v>74</v>
      </c>
      <c r="BK1082" s="2" t="s">
        <v>74</v>
      </c>
      <c r="BL1082" s="2" t="s">
        <v>74</v>
      </c>
      <c r="BM1082" s="2" t="s">
        <v>74</v>
      </c>
      <c r="BN1082" s="2" t="s">
        <v>74</v>
      </c>
      <c r="BO1082" s="2" t="s">
        <v>74</v>
      </c>
      <c r="BP1082" s="2" t="s">
        <v>74</v>
      </c>
      <c r="BQ1082" s="2" t="s">
        <v>74</v>
      </c>
      <c r="BR1082" s="2" t="s">
        <v>74</v>
      </c>
      <c r="BS1082" s="2" t="s">
        <v>7459</v>
      </c>
      <c r="BT1082" s="2" t="str">
        <f>HYPERLINK("https%3A%2F%2Fwww.webofscience.com%2Fwos%2Fwoscc%2Ffull-record%2FWOS:A1993KM66900002","View Full Record in Web of Science")</f>
        <v>View Full Record in Web of Science</v>
      </c>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row>
    <row r="1083" spans="1:314" s="2" customFormat="1" x14ac:dyDescent="0.4">
      <c r="A1083" s="2" t="s">
        <v>72</v>
      </c>
      <c r="B1083" s="2" t="s">
        <v>4440</v>
      </c>
      <c r="C1083" s="2" t="s">
        <v>74</v>
      </c>
      <c r="D1083" s="2" t="s">
        <v>74</v>
      </c>
      <c r="E1083" s="2" t="s">
        <v>74</v>
      </c>
      <c r="F1083" s="2" t="s">
        <v>4440</v>
      </c>
      <c r="G1083" s="2" t="s">
        <v>74</v>
      </c>
      <c r="H1083" s="2" t="s">
        <v>74</v>
      </c>
      <c r="I1083" s="2" t="s">
        <v>4441</v>
      </c>
      <c r="J1083" s="2" t="s">
        <v>140</v>
      </c>
      <c r="K1083" s="2" t="s">
        <v>74</v>
      </c>
      <c r="L1083" s="2" t="s">
        <v>74</v>
      </c>
      <c r="M1083" s="2" t="s">
        <v>74</v>
      </c>
      <c r="N1083" s="2" t="s">
        <v>74</v>
      </c>
      <c r="O1083" s="2" t="s">
        <v>74</v>
      </c>
      <c r="P1083" s="2" t="s">
        <v>74</v>
      </c>
      <c r="Q1083" s="2" t="s">
        <v>74</v>
      </c>
      <c r="R1083" s="2" t="s">
        <v>74</v>
      </c>
      <c r="S1083" s="2" t="s">
        <v>74</v>
      </c>
      <c r="T1083" s="2" t="s">
        <v>74</v>
      </c>
      <c r="U1083" s="2" t="s">
        <v>74</v>
      </c>
      <c r="V1083" s="5" t="s">
        <v>4442</v>
      </c>
      <c r="W1083" s="2" t="s">
        <v>74</v>
      </c>
      <c r="X1083" s="2" t="s">
        <v>74</v>
      </c>
      <c r="Y1083" s="2" t="s">
        <v>74</v>
      </c>
      <c r="Z1083" s="2" t="s">
        <v>74</v>
      </c>
      <c r="AA1083" s="2" t="s">
        <v>74</v>
      </c>
      <c r="AB1083" s="2" t="s">
        <v>74</v>
      </c>
      <c r="AC1083" s="2" t="s">
        <v>74</v>
      </c>
      <c r="AD1083" s="2" t="s">
        <v>74</v>
      </c>
      <c r="AE1083" s="2" t="s">
        <v>74</v>
      </c>
      <c r="AF1083" s="2" t="s">
        <v>74</v>
      </c>
      <c r="AG1083" s="2" t="s">
        <v>74</v>
      </c>
      <c r="AH1083" s="2" t="s">
        <v>74</v>
      </c>
      <c r="AI1083" s="2" t="s">
        <v>74</v>
      </c>
      <c r="AJ1083" s="2" t="s">
        <v>74</v>
      </c>
      <c r="AK1083" s="2" t="s">
        <v>74</v>
      </c>
      <c r="AL1083" s="2" t="s">
        <v>74</v>
      </c>
      <c r="AM1083" s="2" t="s">
        <v>74</v>
      </c>
      <c r="AN1083" s="2" t="s">
        <v>74</v>
      </c>
      <c r="AO1083" s="2" t="s">
        <v>143</v>
      </c>
      <c r="AP1083" s="2" t="s">
        <v>144</v>
      </c>
      <c r="AQ1083" s="2" t="s">
        <v>74</v>
      </c>
      <c r="AR1083" s="2" t="s">
        <v>74</v>
      </c>
      <c r="AS1083" s="2" t="s">
        <v>74</v>
      </c>
      <c r="AT1083" s="2" t="s">
        <v>352</v>
      </c>
      <c r="AU1083" s="2">
        <v>1995</v>
      </c>
      <c r="AV1083" s="2">
        <v>50</v>
      </c>
      <c r="AW1083" s="2" t="s">
        <v>74</v>
      </c>
      <c r="AX1083" s="2">
        <v>3</v>
      </c>
      <c r="AY1083" s="2" t="s">
        <v>74</v>
      </c>
      <c r="AZ1083" s="2" t="s">
        <v>74</v>
      </c>
      <c r="BA1083" s="2" t="s">
        <v>74</v>
      </c>
      <c r="BB1083" s="2">
        <v>645</v>
      </c>
      <c r="BC1083" s="2">
        <v>653</v>
      </c>
      <c r="BD1083" s="2" t="s">
        <v>74</v>
      </c>
      <c r="BE1083" s="2" t="s">
        <v>4443</v>
      </c>
      <c r="BF1083" s="2" t="str">
        <f>HYPERLINK("http://dx.doi.org/10.1016/0003-3472(95)80126-X","http://dx.doi.org/10.1016/0003-3472(95)80126-X")</f>
        <v>http://dx.doi.org/10.1016/0003-3472(95)80126-X</v>
      </c>
      <c r="BG1083" s="2" t="s">
        <v>74</v>
      </c>
      <c r="BH1083" s="2" t="s">
        <v>74</v>
      </c>
      <c r="BI1083" s="2" t="s">
        <v>74</v>
      </c>
      <c r="BJ1083" s="2" t="s">
        <v>74</v>
      </c>
      <c r="BK1083" s="2" t="s">
        <v>74</v>
      </c>
      <c r="BL1083" s="2" t="s">
        <v>74</v>
      </c>
      <c r="BM1083" s="2" t="s">
        <v>74</v>
      </c>
      <c r="BN1083" s="2" t="s">
        <v>74</v>
      </c>
      <c r="BO1083" s="2" t="s">
        <v>74</v>
      </c>
      <c r="BP1083" s="2" t="s">
        <v>74</v>
      </c>
      <c r="BQ1083" s="2" t="s">
        <v>74</v>
      </c>
      <c r="BR1083" s="2" t="s">
        <v>74</v>
      </c>
      <c r="BS1083" s="2" t="s">
        <v>4444</v>
      </c>
      <c r="BT1083" s="2" t="str">
        <f>HYPERLINK("https%3A%2F%2Fwww.webofscience.com%2Fwos%2Fwoscc%2Ffull-record%2FWOS:A1995RV28100007","View Full Record in Web of Science")</f>
        <v>View Full Record in Web of Science</v>
      </c>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row>
    <row r="1084" spans="1:314" s="2" customFormat="1" x14ac:dyDescent="0.4">
      <c r="A1084" s="2" t="s">
        <v>72</v>
      </c>
      <c r="B1084" s="2" t="s">
        <v>4440</v>
      </c>
      <c r="C1084" s="2" t="s">
        <v>74</v>
      </c>
      <c r="D1084" s="2" t="s">
        <v>74</v>
      </c>
      <c r="E1084" s="2" t="s">
        <v>74</v>
      </c>
      <c r="F1084" s="2" t="s">
        <v>4440</v>
      </c>
      <c r="G1084" s="2" t="s">
        <v>74</v>
      </c>
      <c r="H1084" s="2" t="s">
        <v>74</v>
      </c>
      <c r="I1084" s="2" t="s">
        <v>6340</v>
      </c>
      <c r="J1084" s="2" t="s">
        <v>77</v>
      </c>
      <c r="K1084" s="2" t="s">
        <v>74</v>
      </c>
      <c r="L1084" s="2" t="s">
        <v>74</v>
      </c>
      <c r="M1084" s="2" t="s">
        <v>74</v>
      </c>
      <c r="N1084" s="2" t="s">
        <v>74</v>
      </c>
      <c r="O1084" s="2" t="s">
        <v>74</v>
      </c>
      <c r="P1084" s="2" t="s">
        <v>74</v>
      </c>
      <c r="Q1084" s="2" t="s">
        <v>74</v>
      </c>
      <c r="R1084" s="2" t="s">
        <v>74</v>
      </c>
      <c r="S1084" s="2" t="s">
        <v>74</v>
      </c>
      <c r="T1084" s="2" t="s">
        <v>74</v>
      </c>
      <c r="U1084" s="2" t="s">
        <v>74</v>
      </c>
      <c r="V1084" s="5" t="s">
        <v>6341</v>
      </c>
      <c r="W1084" s="2" t="s">
        <v>74</v>
      </c>
      <c r="X1084" s="2" t="s">
        <v>74</v>
      </c>
      <c r="Y1084" s="2" t="s">
        <v>74</v>
      </c>
      <c r="Z1084" s="2" t="s">
        <v>74</v>
      </c>
      <c r="AA1084" s="2" t="s">
        <v>74</v>
      </c>
      <c r="AB1084" s="2" t="s">
        <v>74</v>
      </c>
      <c r="AC1084" s="2" t="s">
        <v>74</v>
      </c>
      <c r="AD1084" s="2" t="s">
        <v>74</v>
      </c>
      <c r="AE1084" s="2" t="s">
        <v>74</v>
      </c>
      <c r="AF1084" s="2" t="s">
        <v>74</v>
      </c>
      <c r="AG1084" s="2" t="s">
        <v>74</v>
      </c>
      <c r="AH1084" s="2" t="s">
        <v>74</v>
      </c>
      <c r="AI1084" s="2" t="s">
        <v>74</v>
      </c>
      <c r="AJ1084" s="2" t="s">
        <v>74</v>
      </c>
      <c r="AK1084" s="2" t="s">
        <v>74</v>
      </c>
      <c r="AL1084" s="2" t="s">
        <v>74</v>
      </c>
      <c r="AM1084" s="2" t="s">
        <v>74</v>
      </c>
      <c r="AN1084" s="2" t="s">
        <v>74</v>
      </c>
      <c r="AO1084" s="2" t="s">
        <v>81</v>
      </c>
      <c r="AP1084" s="2" t="s">
        <v>74</v>
      </c>
      <c r="AQ1084" s="2" t="s">
        <v>74</v>
      </c>
      <c r="AR1084" s="2" t="s">
        <v>74</v>
      </c>
      <c r="AS1084" s="2" t="s">
        <v>74</v>
      </c>
      <c r="AT1084" s="2" t="s">
        <v>964</v>
      </c>
      <c r="AU1084" s="2">
        <v>1994</v>
      </c>
      <c r="AV1084" s="2">
        <v>128</v>
      </c>
      <c r="AW1084" s="2" t="s">
        <v>74</v>
      </c>
      <c r="AX1084" s="2" t="s">
        <v>548</v>
      </c>
      <c r="AY1084" s="2" t="s">
        <v>74</v>
      </c>
      <c r="AZ1084" s="2" t="s">
        <v>74</v>
      </c>
      <c r="BA1084" s="2" t="s">
        <v>74</v>
      </c>
      <c r="BB1084" s="2">
        <v>1</v>
      </c>
      <c r="BC1084" s="2">
        <v>14</v>
      </c>
      <c r="BD1084" s="2" t="s">
        <v>74</v>
      </c>
      <c r="BE1084" s="2" t="s">
        <v>6342</v>
      </c>
      <c r="BF1084" s="2" t="str">
        <f>HYPERLINK("http://dx.doi.org/10.1163/156853994X00019","http://dx.doi.org/10.1163/156853994X00019")</f>
        <v>http://dx.doi.org/10.1163/156853994X00019</v>
      </c>
      <c r="BG1084" s="2" t="s">
        <v>74</v>
      </c>
      <c r="BH1084" s="2" t="s">
        <v>74</v>
      </c>
      <c r="BI1084" s="2" t="s">
        <v>74</v>
      </c>
      <c r="BJ1084" s="2" t="s">
        <v>74</v>
      </c>
      <c r="BK1084" s="2" t="s">
        <v>74</v>
      </c>
      <c r="BL1084" s="2" t="s">
        <v>74</v>
      </c>
      <c r="BM1084" s="2" t="s">
        <v>74</v>
      </c>
      <c r="BN1084" s="2" t="s">
        <v>74</v>
      </c>
      <c r="BO1084" s="2" t="s">
        <v>74</v>
      </c>
      <c r="BP1084" s="2" t="s">
        <v>74</v>
      </c>
      <c r="BQ1084" s="2" t="s">
        <v>74</v>
      </c>
      <c r="BR1084" s="2" t="s">
        <v>74</v>
      </c>
      <c r="BS1084" s="2" t="s">
        <v>6343</v>
      </c>
      <c r="BT1084" s="2" t="str">
        <f>HYPERLINK("https%3A%2F%2Fwww.webofscience.com%2Fwos%2Fwoscc%2Ffull-record%2FWOS:A1994NV35400001","View Full Record in Web of Science")</f>
        <v>View Full Record in Web of Science</v>
      </c>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row>
    <row r="1085" spans="1:314" s="2" customFormat="1" x14ac:dyDescent="0.4">
      <c r="A1085" s="2" t="s">
        <v>72</v>
      </c>
      <c r="B1085" s="2" t="s">
        <v>3458</v>
      </c>
      <c r="C1085" s="2" t="s">
        <v>74</v>
      </c>
      <c r="D1085" s="2" t="s">
        <v>74</v>
      </c>
      <c r="E1085" s="2" t="s">
        <v>74</v>
      </c>
      <c r="F1085" s="2" t="s">
        <v>3458</v>
      </c>
      <c r="G1085" s="2" t="s">
        <v>74</v>
      </c>
      <c r="H1085" s="2" t="s">
        <v>74</v>
      </c>
      <c r="I1085" s="2" t="s">
        <v>3459</v>
      </c>
      <c r="J1085" s="2" t="s">
        <v>108</v>
      </c>
      <c r="K1085" s="2" t="s">
        <v>74</v>
      </c>
      <c r="L1085" s="2" t="s">
        <v>74</v>
      </c>
      <c r="M1085" s="2" t="s">
        <v>74</v>
      </c>
      <c r="N1085" s="2" t="s">
        <v>74</v>
      </c>
      <c r="O1085" s="2" t="s">
        <v>74</v>
      </c>
      <c r="P1085" s="2" t="s">
        <v>74</v>
      </c>
      <c r="Q1085" s="2" t="s">
        <v>74</v>
      </c>
      <c r="R1085" s="2" t="s">
        <v>74</v>
      </c>
      <c r="S1085" s="2" t="s">
        <v>74</v>
      </c>
      <c r="T1085" s="2" t="s">
        <v>74</v>
      </c>
      <c r="U1085" s="2" t="s">
        <v>74</v>
      </c>
      <c r="V1085" s="5" t="s">
        <v>3460</v>
      </c>
      <c r="W1085" s="2" t="s">
        <v>74</v>
      </c>
      <c r="X1085" s="2" t="s">
        <v>74</v>
      </c>
      <c r="Y1085" s="2" t="s">
        <v>74</v>
      </c>
      <c r="Z1085" s="2" t="s">
        <v>74</v>
      </c>
      <c r="AA1085" s="2" t="s">
        <v>3461</v>
      </c>
      <c r="AB1085" s="2" t="s">
        <v>3462</v>
      </c>
      <c r="AC1085" s="2" t="s">
        <v>74</v>
      </c>
      <c r="AD1085" s="2" t="s">
        <v>74</v>
      </c>
      <c r="AE1085" s="2" t="s">
        <v>74</v>
      </c>
      <c r="AF1085" s="2" t="s">
        <v>74</v>
      </c>
      <c r="AG1085" s="2" t="s">
        <v>74</v>
      </c>
      <c r="AH1085" s="2" t="s">
        <v>74</v>
      </c>
      <c r="AI1085" s="2" t="s">
        <v>74</v>
      </c>
      <c r="AJ1085" s="2" t="s">
        <v>74</v>
      </c>
      <c r="AK1085" s="2" t="s">
        <v>74</v>
      </c>
      <c r="AL1085" s="2" t="s">
        <v>74</v>
      </c>
      <c r="AM1085" s="2" t="s">
        <v>74</v>
      </c>
      <c r="AN1085" s="2" t="s">
        <v>74</v>
      </c>
      <c r="AO1085" s="2" t="s">
        <v>111</v>
      </c>
      <c r="AP1085" s="2" t="s">
        <v>3463</v>
      </c>
      <c r="AQ1085" s="2" t="s">
        <v>74</v>
      </c>
      <c r="AR1085" s="2" t="s">
        <v>74</v>
      </c>
      <c r="AS1085" s="2" t="s">
        <v>74</v>
      </c>
      <c r="AT1085" s="2" t="s">
        <v>493</v>
      </c>
      <c r="AU1085" s="2">
        <v>1999</v>
      </c>
      <c r="AV1085" s="2">
        <v>266</v>
      </c>
      <c r="AW1085" s="2">
        <v>1427</v>
      </c>
      <c r="AX1085" s="2" t="s">
        <v>74</v>
      </c>
      <c r="AY1085" s="2" t="s">
        <v>74</v>
      </c>
      <c r="AZ1085" s="2" t="s">
        <v>74</v>
      </c>
      <c r="BA1085" s="2" t="s">
        <v>74</v>
      </c>
      <c r="BB1085" s="2">
        <v>1403</v>
      </c>
      <c r="BC1085" s="2">
        <v>1411</v>
      </c>
      <c r="BD1085" s="2" t="s">
        <v>74</v>
      </c>
      <c r="BE1085" s="2" t="s">
        <v>3464</v>
      </c>
      <c r="BF1085" s="2" t="str">
        <f>HYPERLINK("http://dx.doi.org/10.1098/rspb.1999.0794","http://dx.doi.org/10.1098/rspb.1999.0794")</f>
        <v>http://dx.doi.org/10.1098/rspb.1999.0794</v>
      </c>
      <c r="BG1085" s="2" t="s">
        <v>74</v>
      </c>
      <c r="BH1085" s="2" t="s">
        <v>74</v>
      </c>
      <c r="BI1085" s="2" t="s">
        <v>74</v>
      </c>
      <c r="BJ1085" s="2" t="s">
        <v>74</v>
      </c>
      <c r="BK1085" s="2" t="s">
        <v>74</v>
      </c>
      <c r="BL1085" s="2" t="s">
        <v>74</v>
      </c>
      <c r="BM1085" s="2" t="s">
        <v>74</v>
      </c>
      <c r="BN1085" s="2" t="s">
        <v>74</v>
      </c>
      <c r="BO1085" s="2" t="s">
        <v>74</v>
      </c>
      <c r="BP1085" s="2" t="s">
        <v>74</v>
      </c>
      <c r="BQ1085" s="2" t="s">
        <v>74</v>
      </c>
      <c r="BR1085" s="2" t="s">
        <v>74</v>
      </c>
      <c r="BS1085" s="2" t="s">
        <v>3465</v>
      </c>
      <c r="BT1085" s="2" t="str">
        <f>HYPERLINK("https%3A%2F%2Fwww.webofscience.com%2Fwos%2Fwoscc%2Ffull-record%2FWOS:000081833200001","View Full Record in Web of Science")</f>
        <v>View Full Record in Web of Science</v>
      </c>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row>
    <row r="1086" spans="1:314" s="2" customFormat="1" x14ac:dyDescent="0.4">
      <c r="A1086" s="2" t="s">
        <v>72</v>
      </c>
      <c r="B1086" s="2" t="s">
        <v>5080</v>
      </c>
      <c r="C1086" s="2" t="s">
        <v>74</v>
      </c>
      <c r="D1086" s="2" t="s">
        <v>74</v>
      </c>
      <c r="E1086" s="2" t="s">
        <v>74</v>
      </c>
      <c r="F1086" s="2" t="s">
        <v>5081</v>
      </c>
      <c r="G1086" s="2" t="s">
        <v>74</v>
      </c>
      <c r="H1086" s="2" t="s">
        <v>74</v>
      </c>
      <c r="I1086" s="2" t="s">
        <v>5082</v>
      </c>
      <c r="J1086" s="2" t="s">
        <v>333</v>
      </c>
      <c r="K1086" s="2" t="s">
        <v>74</v>
      </c>
      <c r="L1086" s="2" t="s">
        <v>74</v>
      </c>
      <c r="M1086" s="2" t="s">
        <v>74</v>
      </c>
      <c r="N1086" s="2" t="s">
        <v>74</v>
      </c>
      <c r="O1086" s="2" t="s">
        <v>74</v>
      </c>
      <c r="P1086" s="2" t="s">
        <v>74</v>
      </c>
      <c r="Q1086" s="2" t="s">
        <v>74</v>
      </c>
      <c r="R1086" s="2" t="s">
        <v>74</v>
      </c>
      <c r="S1086" s="2" t="s">
        <v>74</v>
      </c>
      <c r="T1086" s="2" t="s">
        <v>74</v>
      </c>
      <c r="U1086" s="2" t="s">
        <v>74</v>
      </c>
      <c r="V1086" s="5" t="s">
        <v>5083</v>
      </c>
      <c r="W1086" s="2" t="s">
        <v>74</v>
      </c>
      <c r="X1086" s="2" t="s">
        <v>74</v>
      </c>
      <c r="Y1086" s="2" t="s">
        <v>74</v>
      </c>
      <c r="Z1086" s="2" t="s">
        <v>74</v>
      </c>
      <c r="AA1086" s="2" t="s">
        <v>5084</v>
      </c>
      <c r="AB1086" s="2" t="s">
        <v>5085</v>
      </c>
      <c r="AC1086" s="2" t="s">
        <v>74</v>
      </c>
      <c r="AD1086" s="2" t="s">
        <v>74</v>
      </c>
      <c r="AE1086" s="2" t="s">
        <v>74</v>
      </c>
      <c r="AF1086" s="2" t="s">
        <v>74</v>
      </c>
      <c r="AG1086" s="2" t="s">
        <v>74</v>
      </c>
      <c r="AH1086" s="2" t="s">
        <v>74</v>
      </c>
      <c r="AI1086" s="2" t="s">
        <v>74</v>
      </c>
      <c r="AJ1086" s="2" t="s">
        <v>74</v>
      </c>
      <c r="AK1086" s="2" t="s">
        <v>74</v>
      </c>
      <c r="AL1086" s="2" t="s">
        <v>74</v>
      </c>
      <c r="AM1086" s="2" t="s">
        <v>74</v>
      </c>
      <c r="AN1086" s="2" t="s">
        <v>74</v>
      </c>
      <c r="AO1086" s="2" t="s">
        <v>337</v>
      </c>
      <c r="AP1086" s="2" t="s">
        <v>338</v>
      </c>
      <c r="AQ1086" s="2" t="s">
        <v>74</v>
      </c>
      <c r="AR1086" s="2" t="s">
        <v>74</v>
      </c>
      <c r="AS1086" s="2" t="s">
        <v>74</v>
      </c>
      <c r="AT1086" s="2" t="s">
        <v>1013</v>
      </c>
      <c r="AU1086" s="2">
        <v>2016</v>
      </c>
      <c r="AV1086" s="2">
        <v>27</v>
      </c>
      <c r="AW1086" s="2">
        <v>5</v>
      </c>
      <c r="AX1086" s="2" t="s">
        <v>74</v>
      </c>
      <c r="AY1086" s="2" t="s">
        <v>74</v>
      </c>
      <c r="AZ1086" s="2" t="s">
        <v>74</v>
      </c>
      <c r="BA1086" s="2" t="s">
        <v>74</v>
      </c>
      <c r="BB1086" s="2">
        <v>1331</v>
      </c>
      <c r="BC1086" s="2">
        <v>1342</v>
      </c>
      <c r="BD1086" s="2" t="s">
        <v>74</v>
      </c>
      <c r="BE1086" s="2" t="s">
        <v>5086</v>
      </c>
      <c r="BF1086" s="2" t="str">
        <f>HYPERLINK("http://dx.doi.org/10.1093/beheco/arw050","http://dx.doi.org/10.1093/beheco/arw050")</f>
        <v>http://dx.doi.org/10.1093/beheco/arw050</v>
      </c>
      <c r="BG1086" s="2" t="s">
        <v>74</v>
      </c>
      <c r="BH1086" s="2" t="s">
        <v>74</v>
      </c>
      <c r="BI1086" s="2" t="s">
        <v>74</v>
      </c>
      <c r="BJ1086" s="2" t="s">
        <v>74</v>
      </c>
      <c r="BK1086" s="2" t="s">
        <v>74</v>
      </c>
      <c r="BL1086" s="2" t="s">
        <v>74</v>
      </c>
      <c r="BM1086" s="2" t="s">
        <v>74</v>
      </c>
      <c r="BN1086" s="2" t="s">
        <v>74</v>
      </c>
      <c r="BO1086" s="2" t="s">
        <v>74</v>
      </c>
      <c r="BP1086" s="2" t="s">
        <v>74</v>
      </c>
      <c r="BQ1086" s="2" t="s">
        <v>74</v>
      </c>
      <c r="BR1086" s="2" t="s">
        <v>74</v>
      </c>
      <c r="BS1086" s="2" t="s">
        <v>5087</v>
      </c>
      <c r="BT1086" s="2" t="str">
        <f>HYPERLINK("https%3A%2F%2Fwww.webofscience.com%2Fwos%2Fwoscc%2Ffull-record%2FWOS:000384650600013","View Full Record in Web of Science")</f>
        <v>View Full Record in Web of Science</v>
      </c>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row>
    <row r="1087" spans="1:314" s="2" customFormat="1" x14ac:dyDescent="0.4">
      <c r="A1087" s="2" t="s">
        <v>72</v>
      </c>
      <c r="B1087" s="2" t="s">
        <v>4196</v>
      </c>
      <c r="C1087" s="2" t="s">
        <v>74</v>
      </c>
      <c r="D1087" s="2" t="s">
        <v>74</v>
      </c>
      <c r="E1087" s="2" t="s">
        <v>74</v>
      </c>
      <c r="F1087" s="2" t="s">
        <v>4197</v>
      </c>
      <c r="G1087" s="2" t="s">
        <v>74</v>
      </c>
      <c r="H1087" s="2" t="s">
        <v>74</v>
      </c>
      <c r="I1087" s="2" t="s">
        <v>4198</v>
      </c>
      <c r="J1087" s="2" t="s">
        <v>763</v>
      </c>
      <c r="K1087" s="2" t="s">
        <v>74</v>
      </c>
      <c r="L1087" s="2" t="s">
        <v>74</v>
      </c>
      <c r="M1087" s="2" t="s">
        <v>74</v>
      </c>
      <c r="N1087" s="2" t="s">
        <v>74</v>
      </c>
      <c r="O1087" s="2" t="s">
        <v>74</v>
      </c>
      <c r="P1087" s="2" t="s">
        <v>74</v>
      </c>
      <c r="Q1087" s="2" t="s">
        <v>74</v>
      </c>
      <c r="R1087" s="2" t="s">
        <v>74</v>
      </c>
      <c r="S1087" s="2" t="s">
        <v>74</v>
      </c>
      <c r="T1087" s="2" t="s">
        <v>74</v>
      </c>
      <c r="U1087" s="2" t="s">
        <v>74</v>
      </c>
      <c r="V1087" s="5" t="s">
        <v>4199</v>
      </c>
      <c r="W1087" s="2" t="s">
        <v>74</v>
      </c>
      <c r="X1087" s="2" t="s">
        <v>74</v>
      </c>
      <c r="Y1087" s="2" t="s">
        <v>74</v>
      </c>
      <c r="Z1087" s="2" t="s">
        <v>74</v>
      </c>
      <c r="AA1087" s="2" t="s">
        <v>74</v>
      </c>
      <c r="AB1087" s="2" t="s">
        <v>4200</v>
      </c>
      <c r="AC1087" s="2" t="s">
        <v>74</v>
      </c>
      <c r="AD1087" s="2" t="s">
        <v>74</v>
      </c>
      <c r="AE1087" s="2" t="s">
        <v>74</v>
      </c>
      <c r="AF1087" s="2" t="s">
        <v>74</v>
      </c>
      <c r="AG1087" s="2" t="s">
        <v>74</v>
      </c>
      <c r="AH1087" s="2" t="s">
        <v>74</v>
      </c>
      <c r="AI1087" s="2" t="s">
        <v>74</v>
      </c>
      <c r="AJ1087" s="2" t="s">
        <v>74</v>
      </c>
      <c r="AK1087" s="2" t="s">
        <v>74</v>
      </c>
      <c r="AL1087" s="2" t="s">
        <v>74</v>
      </c>
      <c r="AM1087" s="2" t="s">
        <v>74</v>
      </c>
      <c r="AN1087" s="2" t="s">
        <v>74</v>
      </c>
      <c r="AO1087" s="2" t="s">
        <v>767</v>
      </c>
      <c r="AP1087" s="2" t="s">
        <v>768</v>
      </c>
      <c r="AQ1087" s="2" t="s">
        <v>74</v>
      </c>
      <c r="AR1087" s="2" t="s">
        <v>74</v>
      </c>
      <c r="AS1087" s="2" t="s">
        <v>74</v>
      </c>
      <c r="AT1087" s="2" t="s">
        <v>145</v>
      </c>
      <c r="AU1087" s="2">
        <v>2020</v>
      </c>
      <c r="AV1087" s="2">
        <v>223</v>
      </c>
      <c r="AW1087" s="2">
        <v>16</v>
      </c>
      <c r="AX1087" s="2" t="s">
        <v>74</v>
      </c>
      <c r="AY1087" s="2" t="s">
        <v>74</v>
      </c>
      <c r="AZ1087" s="2" t="s">
        <v>74</v>
      </c>
      <c r="BA1087" s="2" t="s">
        <v>74</v>
      </c>
      <c r="BB1087" s="2" t="s">
        <v>74</v>
      </c>
      <c r="BC1087" s="2" t="s">
        <v>74</v>
      </c>
      <c r="BD1087" s="2" t="s">
        <v>4201</v>
      </c>
      <c r="BE1087" s="2" t="s">
        <v>4202</v>
      </c>
      <c r="BF1087" s="2" t="str">
        <f>HYPERLINK("http://dx.doi.org/10.1242/jeb.226340","http://dx.doi.org/10.1242/jeb.226340")</f>
        <v>http://dx.doi.org/10.1242/jeb.226340</v>
      </c>
      <c r="BG1087" s="2" t="s">
        <v>74</v>
      </c>
      <c r="BH1087" s="2" t="s">
        <v>74</v>
      </c>
      <c r="BI1087" s="2" t="s">
        <v>74</v>
      </c>
      <c r="BJ1087" s="2" t="s">
        <v>74</v>
      </c>
      <c r="BK1087" s="2" t="s">
        <v>74</v>
      </c>
      <c r="BL1087" s="2" t="s">
        <v>74</v>
      </c>
      <c r="BM1087" s="2" t="s">
        <v>74</v>
      </c>
      <c r="BN1087" s="2">
        <v>32748795</v>
      </c>
      <c r="BO1087" s="2" t="s">
        <v>74</v>
      </c>
      <c r="BP1087" s="2" t="s">
        <v>74</v>
      </c>
      <c r="BQ1087" s="2" t="s">
        <v>74</v>
      </c>
      <c r="BR1087" s="2" t="s">
        <v>74</v>
      </c>
      <c r="BS1087" s="2" t="s">
        <v>4203</v>
      </c>
      <c r="BT1087" s="2" t="str">
        <f>HYPERLINK("https%3A%2F%2Fwww.webofscience.com%2Fwos%2Fwoscc%2Ffull-record%2FWOS:000576694400015","View Full Record in Web of Science")</f>
        <v>View Full Record in Web of Science</v>
      </c>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row>
    <row r="1088" spans="1:314" s="2" customFormat="1" x14ac:dyDescent="0.4">
      <c r="A1088" s="2" t="s">
        <v>72</v>
      </c>
      <c r="B1088" s="2" t="s">
        <v>2114</v>
      </c>
      <c r="C1088" s="2" t="s">
        <v>74</v>
      </c>
      <c r="D1088" s="2" t="s">
        <v>74</v>
      </c>
      <c r="E1088" s="2" t="s">
        <v>74</v>
      </c>
      <c r="F1088" s="2" t="s">
        <v>2114</v>
      </c>
      <c r="G1088" s="2" t="s">
        <v>74</v>
      </c>
      <c r="H1088" s="2" t="s">
        <v>74</v>
      </c>
      <c r="I1088" s="2" t="s">
        <v>2115</v>
      </c>
      <c r="J1088" s="2" t="s">
        <v>2116</v>
      </c>
      <c r="K1088" s="2" t="s">
        <v>74</v>
      </c>
      <c r="L1088" s="2" t="s">
        <v>74</v>
      </c>
      <c r="M1088" s="2" t="s">
        <v>74</v>
      </c>
      <c r="N1088" s="2" t="s">
        <v>74</v>
      </c>
      <c r="O1088" s="2" t="s">
        <v>74</v>
      </c>
      <c r="P1088" s="2" t="s">
        <v>74</v>
      </c>
      <c r="Q1088" s="2" t="s">
        <v>74</v>
      </c>
      <c r="R1088" s="2" t="s">
        <v>74</v>
      </c>
      <c r="S1088" s="2" t="s">
        <v>74</v>
      </c>
      <c r="T1088" s="2" t="s">
        <v>74</v>
      </c>
      <c r="U1088" s="2" t="s">
        <v>74</v>
      </c>
      <c r="V1088" s="5" t="s">
        <v>2117</v>
      </c>
      <c r="W1088" s="2" t="s">
        <v>74</v>
      </c>
      <c r="X1088" s="2" t="s">
        <v>74</v>
      </c>
      <c r="Y1088" s="2" t="s">
        <v>74</v>
      </c>
      <c r="Z1088" s="2" t="s">
        <v>74</v>
      </c>
      <c r="AA1088" s="2" t="s">
        <v>74</v>
      </c>
      <c r="AB1088" s="2" t="s">
        <v>74</v>
      </c>
      <c r="AC1088" s="2" t="s">
        <v>74</v>
      </c>
      <c r="AD1088" s="2" t="s">
        <v>74</v>
      </c>
      <c r="AE1088" s="2" t="s">
        <v>74</v>
      </c>
      <c r="AF1088" s="2" t="s">
        <v>74</v>
      </c>
      <c r="AG1088" s="2" t="s">
        <v>74</v>
      </c>
      <c r="AH1088" s="2" t="s">
        <v>74</v>
      </c>
      <c r="AI1088" s="2" t="s">
        <v>74</v>
      </c>
      <c r="AJ1088" s="2" t="s">
        <v>74</v>
      </c>
      <c r="AK1088" s="2" t="s">
        <v>74</v>
      </c>
      <c r="AL1088" s="2" t="s">
        <v>74</v>
      </c>
      <c r="AM1088" s="2" t="s">
        <v>74</v>
      </c>
      <c r="AN1088" s="2" t="s">
        <v>74</v>
      </c>
      <c r="AO1088" s="2" t="s">
        <v>2118</v>
      </c>
      <c r="AP1088" s="2" t="s">
        <v>2119</v>
      </c>
      <c r="AQ1088" s="2" t="s">
        <v>74</v>
      </c>
      <c r="AR1088" s="2" t="s">
        <v>74</v>
      </c>
      <c r="AS1088" s="2" t="s">
        <v>74</v>
      </c>
      <c r="AT1088" s="2" t="s">
        <v>74</v>
      </c>
      <c r="AU1088" s="2">
        <v>1976</v>
      </c>
      <c r="AV1088" s="2">
        <v>11</v>
      </c>
      <c r="AW1088" s="2">
        <v>4</v>
      </c>
      <c r="AX1088" s="2" t="s">
        <v>74</v>
      </c>
      <c r="AY1088" s="2" t="s">
        <v>74</v>
      </c>
      <c r="AZ1088" s="2" t="s">
        <v>74</v>
      </c>
      <c r="BA1088" s="2" t="s">
        <v>74</v>
      </c>
      <c r="BB1088" s="2">
        <v>302</v>
      </c>
      <c r="BC1088" s="2">
        <v>311</v>
      </c>
      <c r="BD1088" s="2" t="s">
        <v>74</v>
      </c>
      <c r="BE1088" s="2" t="s">
        <v>74</v>
      </c>
      <c r="BF1088" s="2" t="s">
        <v>74</v>
      </c>
      <c r="BG1088" s="2" t="s">
        <v>74</v>
      </c>
      <c r="BH1088" s="2" t="s">
        <v>74</v>
      </c>
      <c r="BI1088" s="2" t="s">
        <v>74</v>
      </c>
      <c r="BJ1088" s="2" t="s">
        <v>74</v>
      </c>
      <c r="BK1088" s="2" t="s">
        <v>74</v>
      </c>
      <c r="BL1088" s="2" t="s">
        <v>74</v>
      </c>
      <c r="BM1088" s="2" t="s">
        <v>74</v>
      </c>
      <c r="BN1088" s="2" t="s">
        <v>74</v>
      </c>
      <c r="BO1088" s="2" t="s">
        <v>74</v>
      </c>
      <c r="BP1088" s="2" t="s">
        <v>74</v>
      </c>
      <c r="BQ1088" s="2" t="s">
        <v>74</v>
      </c>
      <c r="BR1088" s="2" t="s">
        <v>74</v>
      </c>
      <c r="BS1088" s="2" t="s">
        <v>2120</v>
      </c>
      <c r="BT1088" s="2" t="str">
        <f>HYPERLINK("https%3A%2F%2Fwww.webofscience.com%2Fwos%2Fwoscc%2Ffull-record%2FWOS:A1976CY45000005","View Full Record in Web of Science")</f>
        <v>View Full Record in Web of Science</v>
      </c>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row>
    <row r="1089" spans="1:314" s="2" customFormat="1" x14ac:dyDescent="0.4">
      <c r="A1089" s="2" t="s">
        <v>72</v>
      </c>
      <c r="B1089" s="2" t="s">
        <v>1188</v>
      </c>
      <c r="C1089" s="2" t="s">
        <v>74</v>
      </c>
      <c r="D1089" s="2" t="s">
        <v>74</v>
      </c>
      <c r="E1089" s="2" t="s">
        <v>74</v>
      </c>
      <c r="F1089" s="2" t="s">
        <v>1189</v>
      </c>
      <c r="G1089" s="2" t="s">
        <v>74</v>
      </c>
      <c r="H1089" s="2" t="s">
        <v>74</v>
      </c>
      <c r="I1089" s="2" t="s">
        <v>1190</v>
      </c>
      <c r="J1089" s="2" t="s">
        <v>201</v>
      </c>
      <c r="K1089" s="2" t="s">
        <v>74</v>
      </c>
      <c r="L1089" s="2" t="s">
        <v>74</v>
      </c>
      <c r="M1089" s="2" t="s">
        <v>74</v>
      </c>
      <c r="N1089" s="2" t="s">
        <v>74</v>
      </c>
      <c r="O1089" s="2" t="s">
        <v>74</v>
      </c>
      <c r="P1089" s="2" t="s">
        <v>74</v>
      </c>
      <c r="Q1089" s="2" t="s">
        <v>74</v>
      </c>
      <c r="R1089" s="2" t="s">
        <v>74</v>
      </c>
      <c r="S1089" s="2" t="s">
        <v>74</v>
      </c>
      <c r="T1089" s="2" t="s">
        <v>74</v>
      </c>
      <c r="U1089" s="2" t="s">
        <v>74</v>
      </c>
      <c r="V1089" s="5" t="s">
        <v>1191</v>
      </c>
      <c r="W1089" s="2" t="s">
        <v>74</v>
      </c>
      <c r="X1089" s="2" t="s">
        <v>74</v>
      </c>
      <c r="Y1089" s="2" t="s">
        <v>74</v>
      </c>
      <c r="Z1089" s="2" t="s">
        <v>74</v>
      </c>
      <c r="AA1089" s="2" t="s">
        <v>74</v>
      </c>
      <c r="AB1089" s="2" t="s">
        <v>74</v>
      </c>
      <c r="AC1089" s="2" t="s">
        <v>74</v>
      </c>
      <c r="AD1089" s="2" t="s">
        <v>74</v>
      </c>
      <c r="AE1089" s="2" t="s">
        <v>74</v>
      </c>
      <c r="AF1089" s="2" t="s">
        <v>74</v>
      </c>
      <c r="AG1089" s="2" t="s">
        <v>74</v>
      </c>
      <c r="AH1089" s="2" t="s">
        <v>74</v>
      </c>
      <c r="AI1089" s="2" t="s">
        <v>74</v>
      </c>
      <c r="AJ1089" s="2" t="s">
        <v>74</v>
      </c>
      <c r="AK1089" s="2" t="s">
        <v>74</v>
      </c>
      <c r="AL1089" s="2" t="s">
        <v>74</v>
      </c>
      <c r="AM1089" s="2" t="s">
        <v>74</v>
      </c>
      <c r="AN1089" s="2" t="s">
        <v>74</v>
      </c>
      <c r="AO1089" s="2" t="s">
        <v>203</v>
      </c>
      <c r="AP1089" s="2" t="s">
        <v>1192</v>
      </c>
      <c r="AQ1089" s="2" t="s">
        <v>74</v>
      </c>
      <c r="AR1089" s="2" t="s">
        <v>74</v>
      </c>
      <c r="AS1089" s="2" t="s">
        <v>74</v>
      </c>
      <c r="AT1089" s="2" t="s">
        <v>134</v>
      </c>
      <c r="AU1089" s="2">
        <v>2009</v>
      </c>
      <c r="AV1089" s="2">
        <v>74</v>
      </c>
      <c r="AW1089" s="2">
        <v>8</v>
      </c>
      <c r="AX1089" s="2" t="s">
        <v>74</v>
      </c>
      <c r="AY1089" s="2" t="s">
        <v>74</v>
      </c>
      <c r="AZ1089" s="2" t="s">
        <v>74</v>
      </c>
      <c r="BA1089" s="2" t="s">
        <v>74</v>
      </c>
      <c r="BB1089" s="2">
        <v>1804</v>
      </c>
      <c r="BC1089" s="2">
        <v>1815</v>
      </c>
      <c r="BD1089" s="2" t="s">
        <v>74</v>
      </c>
      <c r="BE1089" s="2" t="s">
        <v>1193</v>
      </c>
      <c r="BF1089" s="2" t="str">
        <f>HYPERLINK("http://dx.doi.org/10.1111/j.1095-8649.2009.02256.x","http://dx.doi.org/10.1111/j.1095-8649.2009.02256.x")</f>
        <v>http://dx.doi.org/10.1111/j.1095-8649.2009.02256.x</v>
      </c>
      <c r="BG1089" s="2" t="s">
        <v>74</v>
      </c>
      <c r="BH1089" s="2" t="s">
        <v>74</v>
      </c>
      <c r="BI1089" s="2" t="s">
        <v>74</v>
      </c>
      <c r="BJ1089" s="2" t="s">
        <v>74</v>
      </c>
      <c r="BK1089" s="2" t="s">
        <v>74</v>
      </c>
      <c r="BL1089" s="2" t="s">
        <v>74</v>
      </c>
      <c r="BM1089" s="2" t="s">
        <v>74</v>
      </c>
      <c r="BN1089" s="2">
        <v>20735672</v>
      </c>
      <c r="BO1089" s="2" t="s">
        <v>74</v>
      </c>
      <c r="BP1089" s="2" t="s">
        <v>74</v>
      </c>
      <c r="BQ1089" s="2" t="s">
        <v>74</v>
      </c>
      <c r="BR1089" s="2" t="s">
        <v>74</v>
      </c>
      <c r="BS1089" s="2" t="s">
        <v>1194</v>
      </c>
      <c r="BT1089" s="2" t="str">
        <f>HYPERLINK("https%3A%2F%2Fwww.webofscience.com%2Fwos%2Fwoscc%2Ffull-record%2FWOS:000266243100006","View Full Record in Web of Science")</f>
        <v>View Full Record in Web of Science</v>
      </c>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row>
    <row r="1090" spans="1:314" s="2" customFormat="1" x14ac:dyDescent="0.4">
      <c r="A1090" s="2" t="s">
        <v>72</v>
      </c>
      <c r="B1090" s="2" t="s">
        <v>3167</v>
      </c>
      <c r="C1090" s="2" t="s">
        <v>74</v>
      </c>
      <c r="D1090" s="2" t="s">
        <v>74</v>
      </c>
      <c r="E1090" s="2" t="s">
        <v>74</v>
      </c>
      <c r="F1090" s="2" t="s">
        <v>3168</v>
      </c>
      <c r="G1090" s="2" t="s">
        <v>74</v>
      </c>
      <c r="H1090" s="2" t="s">
        <v>74</v>
      </c>
      <c r="I1090" s="2" t="s">
        <v>3169</v>
      </c>
      <c r="J1090" s="2" t="s">
        <v>3170</v>
      </c>
      <c r="K1090" s="2" t="s">
        <v>74</v>
      </c>
      <c r="L1090" s="2" t="s">
        <v>74</v>
      </c>
      <c r="M1090" s="2" t="s">
        <v>74</v>
      </c>
      <c r="N1090" s="2" t="s">
        <v>74</v>
      </c>
      <c r="O1090" s="2" t="s">
        <v>74</v>
      </c>
      <c r="P1090" s="2" t="s">
        <v>74</v>
      </c>
      <c r="Q1090" s="2" t="s">
        <v>74</v>
      </c>
      <c r="R1090" s="2" t="s">
        <v>74</v>
      </c>
      <c r="S1090" s="2" t="s">
        <v>74</v>
      </c>
      <c r="T1090" s="2" t="s">
        <v>74</v>
      </c>
      <c r="U1090" s="2" t="s">
        <v>74</v>
      </c>
      <c r="V1090" s="5" t="s">
        <v>3171</v>
      </c>
      <c r="W1090" s="2" t="s">
        <v>74</v>
      </c>
      <c r="X1090" s="2" t="s">
        <v>74</v>
      </c>
      <c r="Y1090" s="2" t="s">
        <v>74</v>
      </c>
      <c r="Z1090" s="2" t="s">
        <v>74</v>
      </c>
      <c r="AA1090" s="2" t="s">
        <v>3172</v>
      </c>
      <c r="AB1090" s="2" t="s">
        <v>3173</v>
      </c>
      <c r="AC1090" s="2" t="s">
        <v>74</v>
      </c>
      <c r="AD1090" s="2" t="s">
        <v>74</v>
      </c>
      <c r="AE1090" s="2" t="s">
        <v>74</v>
      </c>
      <c r="AF1090" s="2" t="s">
        <v>74</v>
      </c>
      <c r="AG1090" s="2" t="s">
        <v>74</v>
      </c>
      <c r="AH1090" s="2" t="s">
        <v>74</v>
      </c>
      <c r="AI1090" s="2" t="s">
        <v>74</v>
      </c>
      <c r="AJ1090" s="2" t="s">
        <v>74</v>
      </c>
      <c r="AK1090" s="2" t="s">
        <v>74</v>
      </c>
      <c r="AL1090" s="2" t="s">
        <v>74</v>
      </c>
      <c r="AM1090" s="2" t="s">
        <v>74</v>
      </c>
      <c r="AN1090" s="2" t="s">
        <v>74</v>
      </c>
      <c r="AO1090" s="2" t="s">
        <v>3174</v>
      </c>
      <c r="AP1090" s="2" t="s">
        <v>3175</v>
      </c>
      <c r="AQ1090" s="2" t="s">
        <v>74</v>
      </c>
      <c r="AR1090" s="2" t="s">
        <v>74</v>
      </c>
      <c r="AS1090" s="2" t="s">
        <v>74</v>
      </c>
      <c r="AT1090" s="2" t="s">
        <v>145</v>
      </c>
      <c r="AU1090" s="2">
        <v>2021</v>
      </c>
      <c r="AV1090" s="2">
        <v>38</v>
      </c>
      <c r="AW1090" s="2">
        <v>8</v>
      </c>
      <c r="AX1090" s="2" t="s">
        <v>74</v>
      </c>
      <c r="AY1090" s="2" t="s">
        <v>74</v>
      </c>
      <c r="AZ1090" s="2" t="s">
        <v>74</v>
      </c>
      <c r="BA1090" s="2" t="s">
        <v>74</v>
      </c>
      <c r="BB1090" s="2">
        <v>3383</v>
      </c>
      <c r="BC1090" s="2">
        <v>3396</v>
      </c>
      <c r="BD1090" s="2" t="s">
        <v>74</v>
      </c>
      <c r="BE1090" s="2" t="s">
        <v>3176</v>
      </c>
      <c r="BF1090" s="2" t="str">
        <f>HYPERLINK("http://dx.doi.org/10.1093/molbev/msab110","http://dx.doi.org/10.1093/molbev/msab110")</f>
        <v>http://dx.doi.org/10.1093/molbev/msab110</v>
      </c>
      <c r="BG1090" s="2" t="s">
        <v>74</v>
      </c>
      <c r="BH1090" s="2" t="s">
        <v>1051</v>
      </c>
      <c r="BI1090" s="2" t="s">
        <v>74</v>
      </c>
      <c r="BJ1090" s="2" t="s">
        <v>74</v>
      </c>
      <c r="BK1090" s="2" t="s">
        <v>74</v>
      </c>
      <c r="BL1090" s="2" t="s">
        <v>74</v>
      </c>
      <c r="BM1090" s="2" t="s">
        <v>74</v>
      </c>
      <c r="BN1090" s="2">
        <v>33871625</v>
      </c>
      <c r="BO1090" s="2" t="s">
        <v>74</v>
      </c>
      <c r="BP1090" s="2" t="s">
        <v>74</v>
      </c>
      <c r="BQ1090" s="2" t="s">
        <v>74</v>
      </c>
      <c r="BR1090" s="2" t="s">
        <v>74</v>
      </c>
      <c r="BS1090" s="2" t="s">
        <v>3177</v>
      </c>
      <c r="BT1090" s="2" t="str">
        <f>HYPERLINK("https%3A%2F%2Fwww.webofscience.com%2Fwos%2Fwoscc%2Ffull-record%2FWOS:000693740300024","View Full Record in Web of Science")</f>
        <v>View Full Record in Web of Science</v>
      </c>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row>
    <row r="1091" spans="1:314" s="2" customFormat="1" x14ac:dyDescent="0.4">
      <c r="A1091" s="2" t="s">
        <v>72</v>
      </c>
      <c r="B1091" s="2" t="s">
        <v>2054</v>
      </c>
      <c r="C1091" s="2" t="s">
        <v>74</v>
      </c>
      <c r="D1091" s="2" t="s">
        <v>74</v>
      </c>
      <c r="E1091" s="2" t="s">
        <v>74</v>
      </c>
      <c r="F1091" s="2" t="s">
        <v>2055</v>
      </c>
      <c r="G1091" s="2" t="s">
        <v>74</v>
      </c>
      <c r="H1091" s="2" t="s">
        <v>74</v>
      </c>
      <c r="I1091" s="2" t="s">
        <v>2056</v>
      </c>
      <c r="J1091" s="2" t="s">
        <v>77</v>
      </c>
      <c r="K1091" s="2" t="s">
        <v>74</v>
      </c>
      <c r="L1091" s="2" t="s">
        <v>74</v>
      </c>
      <c r="M1091" s="2" t="s">
        <v>74</v>
      </c>
      <c r="N1091" s="2" t="s">
        <v>74</v>
      </c>
      <c r="O1091" s="2" t="s">
        <v>74</v>
      </c>
      <c r="P1091" s="2" t="s">
        <v>74</v>
      </c>
      <c r="Q1091" s="2" t="s">
        <v>74</v>
      </c>
      <c r="R1091" s="2" t="s">
        <v>74</v>
      </c>
      <c r="S1091" s="2" t="s">
        <v>74</v>
      </c>
      <c r="T1091" s="2" t="s">
        <v>74</v>
      </c>
      <c r="U1091" s="2" t="s">
        <v>74</v>
      </c>
      <c r="V1091" s="5" t="s">
        <v>2057</v>
      </c>
      <c r="W1091" s="2" t="s">
        <v>74</v>
      </c>
      <c r="X1091" s="2" t="s">
        <v>74</v>
      </c>
      <c r="Y1091" s="2" t="s">
        <v>74</v>
      </c>
      <c r="Z1091" s="2" t="s">
        <v>74</v>
      </c>
      <c r="AA1091" s="2" t="s">
        <v>2058</v>
      </c>
      <c r="AB1091" s="2" t="s">
        <v>1610</v>
      </c>
      <c r="AC1091" s="2" t="s">
        <v>74</v>
      </c>
      <c r="AD1091" s="2" t="s">
        <v>74</v>
      </c>
      <c r="AE1091" s="2" t="s">
        <v>74</v>
      </c>
      <c r="AF1091" s="2" t="s">
        <v>74</v>
      </c>
      <c r="AG1091" s="2" t="s">
        <v>74</v>
      </c>
      <c r="AH1091" s="2" t="s">
        <v>74</v>
      </c>
      <c r="AI1091" s="2" t="s">
        <v>74</v>
      </c>
      <c r="AJ1091" s="2" t="s">
        <v>74</v>
      </c>
      <c r="AK1091" s="2" t="s">
        <v>74</v>
      </c>
      <c r="AL1091" s="2" t="s">
        <v>74</v>
      </c>
      <c r="AM1091" s="2" t="s">
        <v>74</v>
      </c>
      <c r="AN1091" s="2" t="s">
        <v>74</v>
      </c>
      <c r="AO1091" s="2" t="s">
        <v>81</v>
      </c>
      <c r="AP1091" s="2" t="s">
        <v>74</v>
      </c>
      <c r="AQ1091" s="2" t="s">
        <v>74</v>
      </c>
      <c r="AR1091" s="2" t="s">
        <v>74</v>
      </c>
      <c r="AS1091" s="2" t="s">
        <v>74</v>
      </c>
      <c r="AT1091" s="2" t="s">
        <v>74</v>
      </c>
      <c r="AU1091" s="2">
        <v>2013</v>
      </c>
      <c r="AV1091" s="2">
        <v>150</v>
      </c>
      <c r="AW1091" s="2">
        <v>2</v>
      </c>
      <c r="AX1091" s="2" t="s">
        <v>74</v>
      </c>
      <c r="AY1091" s="2" t="s">
        <v>74</v>
      </c>
      <c r="AZ1091" s="2" t="s">
        <v>74</v>
      </c>
      <c r="BA1091" s="2" t="s">
        <v>74</v>
      </c>
      <c r="BB1091" s="2">
        <v>215</v>
      </c>
      <c r="BC1091" s="2">
        <v>223</v>
      </c>
      <c r="BD1091" s="2" t="s">
        <v>74</v>
      </c>
      <c r="BE1091" s="2" t="s">
        <v>2059</v>
      </c>
      <c r="BF1091" s="2" t="str">
        <f>HYPERLINK("http://dx.doi.org/10.1163/1568539X-00003046","http://dx.doi.org/10.1163/1568539X-00003046")</f>
        <v>http://dx.doi.org/10.1163/1568539X-00003046</v>
      </c>
      <c r="BG1091" s="2" t="s">
        <v>74</v>
      </c>
      <c r="BH1091" s="2" t="s">
        <v>74</v>
      </c>
      <c r="BI1091" s="2" t="s">
        <v>74</v>
      </c>
      <c r="BJ1091" s="2" t="s">
        <v>74</v>
      </c>
      <c r="BK1091" s="2" t="s">
        <v>74</v>
      </c>
      <c r="BL1091" s="2" t="s">
        <v>74</v>
      </c>
      <c r="BM1091" s="2" t="s">
        <v>74</v>
      </c>
      <c r="BN1091" s="2" t="s">
        <v>74</v>
      </c>
      <c r="BO1091" s="2" t="s">
        <v>74</v>
      </c>
      <c r="BP1091" s="2" t="s">
        <v>74</v>
      </c>
      <c r="BQ1091" s="2" t="s">
        <v>74</v>
      </c>
      <c r="BR1091" s="2" t="s">
        <v>74</v>
      </c>
      <c r="BS1091" s="2" t="s">
        <v>2060</v>
      </c>
      <c r="BT1091" s="2" t="str">
        <f>HYPERLINK("https%3A%2F%2Fwww.webofscience.com%2Fwos%2Fwoscc%2Ffull-record%2FWOS:000318051100006","View Full Record in Web of Science")</f>
        <v>View Full Record in Web of Science</v>
      </c>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row>
    <row r="1092" spans="1:314" s="2" customFormat="1" x14ac:dyDescent="0.4">
      <c r="A1092" s="2" t="s">
        <v>72</v>
      </c>
      <c r="B1092" s="2" t="s">
        <v>1753</v>
      </c>
      <c r="C1092" s="2" t="s">
        <v>74</v>
      </c>
      <c r="D1092" s="2" t="s">
        <v>74</v>
      </c>
      <c r="E1092" s="2" t="s">
        <v>74</v>
      </c>
      <c r="F1092" s="2" t="s">
        <v>1753</v>
      </c>
      <c r="G1092" s="2" t="s">
        <v>74</v>
      </c>
      <c r="H1092" s="2" t="s">
        <v>74</v>
      </c>
      <c r="I1092" s="2" t="s">
        <v>1754</v>
      </c>
      <c r="J1092" s="2" t="s">
        <v>1755</v>
      </c>
      <c r="K1092" s="2" t="s">
        <v>74</v>
      </c>
      <c r="L1092" s="2" t="s">
        <v>74</v>
      </c>
      <c r="M1092" s="2" t="s">
        <v>74</v>
      </c>
      <c r="N1092" s="2" t="s">
        <v>74</v>
      </c>
      <c r="O1092" s="2" t="s">
        <v>74</v>
      </c>
      <c r="P1092" s="2" t="s">
        <v>74</v>
      </c>
      <c r="Q1092" s="2" t="s">
        <v>74</v>
      </c>
      <c r="R1092" s="2" t="s">
        <v>74</v>
      </c>
      <c r="S1092" s="2" t="s">
        <v>74</v>
      </c>
      <c r="T1092" s="2" t="s">
        <v>74</v>
      </c>
      <c r="U1092" s="2" t="s">
        <v>74</v>
      </c>
      <c r="V1092" s="5" t="s">
        <v>1756</v>
      </c>
      <c r="W1092" s="2" t="s">
        <v>74</v>
      </c>
      <c r="X1092" s="2" t="s">
        <v>74</v>
      </c>
      <c r="Y1092" s="2" t="s">
        <v>74</v>
      </c>
      <c r="Z1092" s="2" t="s">
        <v>74</v>
      </c>
      <c r="AA1092" s="2" t="s">
        <v>1757</v>
      </c>
      <c r="AB1092" s="2" t="s">
        <v>1758</v>
      </c>
      <c r="AC1092" s="2" t="s">
        <v>74</v>
      </c>
      <c r="AD1092" s="2" t="s">
        <v>74</v>
      </c>
      <c r="AE1092" s="2" t="s">
        <v>74</v>
      </c>
      <c r="AF1092" s="2" t="s">
        <v>74</v>
      </c>
      <c r="AG1092" s="2" t="s">
        <v>74</v>
      </c>
      <c r="AH1092" s="2" t="s">
        <v>74</v>
      </c>
      <c r="AI1092" s="2" t="s">
        <v>74</v>
      </c>
      <c r="AJ1092" s="2" t="s">
        <v>74</v>
      </c>
      <c r="AK1092" s="2" t="s">
        <v>74</v>
      </c>
      <c r="AL1092" s="2" t="s">
        <v>74</v>
      </c>
      <c r="AM1092" s="2" t="s">
        <v>74</v>
      </c>
      <c r="AN1092" s="2" t="s">
        <v>74</v>
      </c>
      <c r="AO1092" s="2" t="s">
        <v>1759</v>
      </c>
      <c r="AP1092" s="2" t="s">
        <v>1760</v>
      </c>
      <c r="AQ1092" s="2" t="s">
        <v>74</v>
      </c>
      <c r="AR1092" s="2" t="s">
        <v>74</v>
      </c>
      <c r="AS1092" s="2" t="s">
        <v>74</v>
      </c>
      <c r="AT1092" s="2" t="s">
        <v>352</v>
      </c>
      <c r="AU1092" s="2">
        <v>2002</v>
      </c>
      <c r="AV1092" s="2">
        <v>15</v>
      </c>
      <c r="AW1092" s="2">
        <v>5</v>
      </c>
      <c r="AX1092" s="2" t="s">
        <v>74</v>
      </c>
      <c r="AY1092" s="2" t="s">
        <v>74</v>
      </c>
      <c r="AZ1092" s="2" t="s">
        <v>74</v>
      </c>
      <c r="BA1092" s="2" t="s">
        <v>74</v>
      </c>
      <c r="BB1092" s="2">
        <v>675</v>
      </c>
      <c r="BC1092" s="2">
        <v>687</v>
      </c>
      <c r="BD1092" s="2" t="s">
        <v>74</v>
      </c>
      <c r="BE1092" s="2" t="s">
        <v>1761</v>
      </c>
      <c r="BF1092" s="2" t="str">
        <f>HYPERLINK("http://dx.doi.org/10.1023/A:1020747907490","http://dx.doi.org/10.1023/A:1020747907490")</f>
        <v>http://dx.doi.org/10.1023/A:1020747907490</v>
      </c>
      <c r="BG1092" s="2" t="s">
        <v>74</v>
      </c>
      <c r="BH1092" s="2" t="s">
        <v>74</v>
      </c>
      <c r="BI1092" s="2" t="s">
        <v>74</v>
      </c>
      <c r="BJ1092" s="2" t="s">
        <v>74</v>
      </c>
      <c r="BK1092" s="2" t="s">
        <v>74</v>
      </c>
      <c r="BL1092" s="2" t="s">
        <v>74</v>
      </c>
      <c r="BM1092" s="2" t="s">
        <v>74</v>
      </c>
      <c r="BN1092" s="2" t="s">
        <v>74</v>
      </c>
      <c r="BO1092" s="2" t="s">
        <v>74</v>
      </c>
      <c r="BP1092" s="2" t="s">
        <v>74</v>
      </c>
      <c r="BQ1092" s="2" t="s">
        <v>74</v>
      </c>
      <c r="BR1092" s="2" t="s">
        <v>74</v>
      </c>
      <c r="BS1092" s="2" t="s">
        <v>1762</v>
      </c>
      <c r="BT1092" s="2" t="str">
        <f>HYPERLINK("https%3A%2F%2Fwww.webofscience.com%2Fwos%2Fwoscc%2Ffull-record%2FWOS:000178788900005","View Full Record in Web of Science")</f>
        <v>View Full Record in Web of Science</v>
      </c>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row>
    <row r="1093" spans="1:314" s="2" customFormat="1" x14ac:dyDescent="0.4">
      <c r="A1093" s="2" t="s">
        <v>72</v>
      </c>
      <c r="B1093" s="2" t="s">
        <v>8222</v>
      </c>
      <c r="C1093" s="2" t="s">
        <v>74</v>
      </c>
      <c r="D1093" s="2" t="s">
        <v>74</v>
      </c>
      <c r="E1093" s="2" t="s">
        <v>74</v>
      </c>
      <c r="F1093" s="2" t="s">
        <v>8222</v>
      </c>
      <c r="G1093" s="2" t="s">
        <v>74</v>
      </c>
      <c r="H1093" s="2" t="s">
        <v>74</v>
      </c>
      <c r="I1093" s="2" t="s">
        <v>8223</v>
      </c>
      <c r="J1093" s="2" t="s">
        <v>140</v>
      </c>
      <c r="K1093" s="2" t="s">
        <v>74</v>
      </c>
      <c r="L1093" s="2" t="s">
        <v>74</v>
      </c>
      <c r="M1093" s="2" t="s">
        <v>74</v>
      </c>
      <c r="N1093" s="2" t="s">
        <v>74</v>
      </c>
      <c r="O1093" s="2" t="s">
        <v>74</v>
      </c>
      <c r="P1093" s="2" t="s">
        <v>74</v>
      </c>
      <c r="Q1093" s="2" t="s">
        <v>74</v>
      </c>
      <c r="R1093" s="2" t="s">
        <v>74</v>
      </c>
      <c r="S1093" s="2" t="s">
        <v>74</v>
      </c>
      <c r="T1093" s="2" t="s">
        <v>74</v>
      </c>
      <c r="U1093" s="2" t="s">
        <v>74</v>
      </c>
      <c r="V1093" s="5" t="s">
        <v>8224</v>
      </c>
      <c r="W1093" s="2" t="s">
        <v>74</v>
      </c>
      <c r="X1093" s="2" t="s">
        <v>74</v>
      </c>
      <c r="Y1093" s="2" t="s">
        <v>74</v>
      </c>
      <c r="Z1093" s="2" t="s">
        <v>74</v>
      </c>
      <c r="AA1093" s="2" t="s">
        <v>74</v>
      </c>
      <c r="AB1093" s="2" t="s">
        <v>74</v>
      </c>
      <c r="AC1093" s="2" t="s">
        <v>74</v>
      </c>
      <c r="AD1093" s="2" t="s">
        <v>74</v>
      </c>
      <c r="AE1093" s="2" t="s">
        <v>74</v>
      </c>
      <c r="AF1093" s="2" t="s">
        <v>74</v>
      </c>
      <c r="AG1093" s="2" t="s">
        <v>74</v>
      </c>
      <c r="AH1093" s="2" t="s">
        <v>74</v>
      </c>
      <c r="AI1093" s="2" t="s">
        <v>74</v>
      </c>
      <c r="AJ1093" s="2" t="s">
        <v>74</v>
      </c>
      <c r="AK1093" s="2" t="s">
        <v>74</v>
      </c>
      <c r="AL1093" s="2" t="s">
        <v>74</v>
      </c>
      <c r="AM1093" s="2" t="s">
        <v>74</v>
      </c>
      <c r="AN1093" s="2" t="s">
        <v>74</v>
      </c>
      <c r="AO1093" s="2" t="s">
        <v>143</v>
      </c>
      <c r="AP1093" s="2" t="s">
        <v>74</v>
      </c>
      <c r="AQ1093" s="2" t="s">
        <v>74</v>
      </c>
      <c r="AR1093" s="2" t="s">
        <v>74</v>
      </c>
      <c r="AS1093" s="2" t="s">
        <v>74</v>
      </c>
      <c r="AT1093" s="2" t="s">
        <v>145</v>
      </c>
      <c r="AU1093" s="2">
        <v>1996</v>
      </c>
      <c r="AV1093" s="2">
        <v>52</v>
      </c>
      <c r="AW1093" s="2" t="s">
        <v>74</v>
      </c>
      <c r="AX1093" s="2">
        <v>2</v>
      </c>
      <c r="AY1093" s="2" t="s">
        <v>74</v>
      </c>
      <c r="AZ1093" s="2" t="s">
        <v>74</v>
      </c>
      <c r="BA1093" s="2" t="s">
        <v>74</v>
      </c>
      <c r="BB1093" s="2">
        <v>371</v>
      </c>
      <c r="BC1093" s="2">
        <v>378</v>
      </c>
      <c r="BD1093" s="2" t="s">
        <v>74</v>
      </c>
      <c r="BE1093" s="2" t="s">
        <v>8225</v>
      </c>
      <c r="BF1093" s="2" t="str">
        <f>HYPERLINK("http://dx.doi.org/10.1006/anbe.1996.0181","http://dx.doi.org/10.1006/anbe.1996.0181")</f>
        <v>http://dx.doi.org/10.1006/anbe.1996.0181</v>
      </c>
      <c r="BG1093" s="2" t="s">
        <v>74</v>
      </c>
      <c r="BH1093" s="2" t="s">
        <v>74</v>
      </c>
      <c r="BI1093" s="2" t="s">
        <v>74</v>
      </c>
      <c r="BJ1093" s="2" t="s">
        <v>74</v>
      </c>
      <c r="BK1093" s="2" t="s">
        <v>74</v>
      </c>
      <c r="BL1093" s="2" t="s">
        <v>74</v>
      </c>
      <c r="BM1093" s="2" t="s">
        <v>74</v>
      </c>
      <c r="BN1093" s="2" t="s">
        <v>74</v>
      </c>
      <c r="BO1093" s="2" t="s">
        <v>74</v>
      </c>
      <c r="BP1093" s="2" t="s">
        <v>74</v>
      </c>
      <c r="BQ1093" s="2" t="s">
        <v>74</v>
      </c>
      <c r="BR1093" s="2" t="s">
        <v>74</v>
      </c>
      <c r="BS1093" s="2" t="s">
        <v>8226</v>
      </c>
      <c r="BT1093" s="2" t="str">
        <f>HYPERLINK("https%3A%2F%2Fwww.webofscience.com%2Fwos%2Fwoscc%2Ffull-record%2FWOS:A1996VH71700013","View Full Record in Web of Science")</f>
        <v>View Full Record in Web of Science</v>
      </c>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row>
    <row r="1094" spans="1:314" s="2" customFormat="1" x14ac:dyDescent="0.4">
      <c r="A1094" s="2" t="s">
        <v>72</v>
      </c>
      <c r="B1094" s="2" t="s">
        <v>3466</v>
      </c>
      <c r="C1094" s="2" t="s">
        <v>74</v>
      </c>
      <c r="D1094" s="2" t="s">
        <v>74</v>
      </c>
      <c r="E1094" s="2" t="s">
        <v>74</v>
      </c>
      <c r="F1094" s="2" t="s">
        <v>3466</v>
      </c>
      <c r="G1094" s="2" t="s">
        <v>74</v>
      </c>
      <c r="H1094" s="2" t="s">
        <v>74</v>
      </c>
      <c r="I1094" s="2" t="s">
        <v>3467</v>
      </c>
      <c r="J1094" s="2" t="s">
        <v>77</v>
      </c>
      <c r="K1094" s="2" t="s">
        <v>74</v>
      </c>
      <c r="L1094" s="2" t="s">
        <v>74</v>
      </c>
      <c r="M1094" s="2" t="s">
        <v>74</v>
      </c>
      <c r="N1094" s="2" t="s">
        <v>74</v>
      </c>
      <c r="O1094" s="2" t="s">
        <v>74</v>
      </c>
      <c r="P1094" s="2" t="s">
        <v>74</v>
      </c>
      <c r="Q1094" s="2" t="s">
        <v>74</v>
      </c>
      <c r="R1094" s="2" t="s">
        <v>74</v>
      </c>
      <c r="S1094" s="2" t="s">
        <v>74</v>
      </c>
      <c r="T1094" s="2" t="s">
        <v>74</v>
      </c>
      <c r="U1094" s="2" t="s">
        <v>74</v>
      </c>
      <c r="V1094" s="5" t="s">
        <v>3468</v>
      </c>
      <c r="W1094" s="2" t="s">
        <v>74</v>
      </c>
      <c r="X1094" s="2" t="s">
        <v>74</v>
      </c>
      <c r="Y1094" s="2" t="s">
        <v>74</v>
      </c>
      <c r="Z1094" s="2" t="s">
        <v>74</v>
      </c>
      <c r="AA1094" s="2" t="s">
        <v>74</v>
      </c>
      <c r="AB1094" s="2" t="s">
        <v>74</v>
      </c>
      <c r="AC1094" s="2" t="s">
        <v>74</v>
      </c>
      <c r="AD1094" s="2" t="s">
        <v>74</v>
      </c>
      <c r="AE1094" s="2" t="s">
        <v>74</v>
      </c>
      <c r="AF1094" s="2" t="s">
        <v>74</v>
      </c>
      <c r="AG1094" s="2" t="s">
        <v>74</v>
      </c>
      <c r="AH1094" s="2" t="s">
        <v>74</v>
      </c>
      <c r="AI1094" s="2" t="s">
        <v>74</v>
      </c>
      <c r="AJ1094" s="2" t="s">
        <v>74</v>
      </c>
      <c r="AK1094" s="2" t="s">
        <v>74</v>
      </c>
      <c r="AL1094" s="2" t="s">
        <v>74</v>
      </c>
      <c r="AM1094" s="2" t="s">
        <v>74</v>
      </c>
      <c r="AN1094" s="2" t="s">
        <v>74</v>
      </c>
      <c r="AO1094" s="2" t="s">
        <v>81</v>
      </c>
      <c r="AP1094" s="2" t="s">
        <v>82</v>
      </c>
      <c r="AQ1094" s="2" t="s">
        <v>74</v>
      </c>
      <c r="AR1094" s="2" t="s">
        <v>74</v>
      </c>
      <c r="AS1094" s="2" t="s">
        <v>74</v>
      </c>
      <c r="AT1094" s="2" t="s">
        <v>255</v>
      </c>
      <c r="AU1094" s="2">
        <v>2006</v>
      </c>
      <c r="AV1094" s="2">
        <v>143</v>
      </c>
      <c r="AW1094" s="2" t="s">
        <v>74</v>
      </c>
      <c r="AX1094" s="2">
        <v>1</v>
      </c>
      <c r="AY1094" s="2" t="s">
        <v>74</v>
      </c>
      <c r="AZ1094" s="2" t="s">
        <v>74</v>
      </c>
      <c r="BA1094" s="2" t="s">
        <v>74</v>
      </c>
      <c r="BB1094" s="2">
        <v>33</v>
      </c>
      <c r="BC1094" s="2">
        <v>56</v>
      </c>
      <c r="BD1094" s="2" t="s">
        <v>74</v>
      </c>
      <c r="BE1094" s="2" t="s">
        <v>3469</v>
      </c>
      <c r="BF1094" s="2" t="str">
        <f>HYPERLINK("http://dx.doi.org/10.1163/156853906775133623","http://dx.doi.org/10.1163/156853906775133623")</f>
        <v>http://dx.doi.org/10.1163/156853906775133623</v>
      </c>
      <c r="BG1094" s="2" t="s">
        <v>74</v>
      </c>
      <c r="BH1094" s="2" t="s">
        <v>74</v>
      </c>
      <c r="BI1094" s="2" t="s">
        <v>74</v>
      </c>
      <c r="BJ1094" s="2" t="s">
        <v>74</v>
      </c>
      <c r="BK1094" s="2" t="s">
        <v>74</v>
      </c>
      <c r="BL1094" s="2" t="s">
        <v>74</v>
      </c>
      <c r="BM1094" s="2" t="s">
        <v>74</v>
      </c>
      <c r="BN1094" s="2" t="s">
        <v>74</v>
      </c>
      <c r="BO1094" s="2" t="s">
        <v>74</v>
      </c>
      <c r="BP1094" s="2" t="s">
        <v>74</v>
      </c>
      <c r="BQ1094" s="2" t="s">
        <v>74</v>
      </c>
      <c r="BR1094" s="2" t="s">
        <v>74</v>
      </c>
      <c r="BS1094" s="2" t="s">
        <v>3470</v>
      </c>
      <c r="BT1094" s="2" t="str">
        <f>HYPERLINK("https%3A%2F%2Fwww.webofscience.com%2Fwos%2Fwoscc%2Ffull-record%2FWOS:000235545400003","View Full Record in Web of Science")</f>
        <v>View Full Record in Web of Science</v>
      </c>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row>
    <row r="1095" spans="1:314" s="2" customFormat="1" x14ac:dyDescent="0.4">
      <c r="A1095" s="2" t="s">
        <v>72</v>
      </c>
      <c r="B1095" s="2" t="s">
        <v>7876</v>
      </c>
      <c r="C1095" s="2" t="s">
        <v>74</v>
      </c>
      <c r="D1095" s="2" t="s">
        <v>74</v>
      </c>
      <c r="E1095" s="2" t="s">
        <v>74</v>
      </c>
      <c r="F1095" s="2" t="s">
        <v>7876</v>
      </c>
      <c r="G1095" s="2" t="s">
        <v>74</v>
      </c>
      <c r="H1095" s="2" t="s">
        <v>74</v>
      </c>
      <c r="I1095" s="2" t="s">
        <v>7877</v>
      </c>
      <c r="J1095" s="2" t="s">
        <v>171</v>
      </c>
      <c r="K1095" s="2" t="s">
        <v>74</v>
      </c>
      <c r="L1095" s="2" t="s">
        <v>74</v>
      </c>
      <c r="M1095" s="2" t="s">
        <v>74</v>
      </c>
      <c r="N1095" s="2" t="s">
        <v>74</v>
      </c>
      <c r="O1095" s="2" t="s">
        <v>74</v>
      </c>
      <c r="P1095" s="2" t="s">
        <v>74</v>
      </c>
      <c r="Q1095" s="2" t="s">
        <v>74</v>
      </c>
      <c r="R1095" s="2" t="s">
        <v>74</v>
      </c>
      <c r="S1095" s="2" t="s">
        <v>74</v>
      </c>
      <c r="T1095" s="2" t="s">
        <v>74</v>
      </c>
      <c r="U1095" s="2" t="s">
        <v>74</v>
      </c>
      <c r="V1095" s="5" t="s">
        <v>7878</v>
      </c>
      <c r="W1095" s="2" t="s">
        <v>74</v>
      </c>
      <c r="X1095" s="2" t="s">
        <v>74</v>
      </c>
      <c r="Y1095" s="2" t="s">
        <v>74</v>
      </c>
      <c r="Z1095" s="2" t="s">
        <v>74</v>
      </c>
      <c r="AA1095" s="2" t="s">
        <v>7879</v>
      </c>
      <c r="AB1095" s="2" t="s">
        <v>7880</v>
      </c>
      <c r="AC1095" s="2" t="s">
        <v>74</v>
      </c>
      <c r="AD1095" s="2" t="s">
        <v>74</v>
      </c>
      <c r="AE1095" s="2" t="s">
        <v>74</v>
      </c>
      <c r="AF1095" s="2" t="s">
        <v>74</v>
      </c>
      <c r="AG1095" s="2" t="s">
        <v>74</v>
      </c>
      <c r="AH1095" s="2" t="s">
        <v>74</v>
      </c>
      <c r="AI1095" s="2" t="s">
        <v>74</v>
      </c>
      <c r="AJ1095" s="2" t="s">
        <v>74</v>
      </c>
      <c r="AK1095" s="2" t="s">
        <v>74</v>
      </c>
      <c r="AL1095" s="2" t="s">
        <v>74</v>
      </c>
      <c r="AM1095" s="2" t="s">
        <v>74</v>
      </c>
      <c r="AN1095" s="2" t="s">
        <v>74</v>
      </c>
      <c r="AO1095" s="2" t="s">
        <v>173</v>
      </c>
      <c r="AP1095" s="2" t="s">
        <v>174</v>
      </c>
      <c r="AQ1095" s="2" t="s">
        <v>74</v>
      </c>
      <c r="AR1095" s="2" t="s">
        <v>74</v>
      </c>
      <c r="AS1095" s="2" t="s">
        <v>74</v>
      </c>
      <c r="AT1095" s="2" t="s">
        <v>175</v>
      </c>
      <c r="AU1095" s="2">
        <v>1992</v>
      </c>
      <c r="AV1095" s="2">
        <v>46</v>
      </c>
      <c r="AW1095" s="2">
        <v>5</v>
      </c>
      <c r="AX1095" s="2" t="s">
        <v>74</v>
      </c>
      <c r="AY1095" s="2" t="s">
        <v>74</v>
      </c>
      <c r="AZ1095" s="2" t="s">
        <v>74</v>
      </c>
      <c r="BA1095" s="2" t="s">
        <v>74</v>
      </c>
      <c r="BB1095" s="2">
        <v>1421</v>
      </c>
      <c r="BC1095" s="2">
        <v>1442</v>
      </c>
      <c r="BD1095" s="2" t="s">
        <v>74</v>
      </c>
      <c r="BE1095" s="2" t="s">
        <v>7881</v>
      </c>
      <c r="BF1095" s="2" t="str">
        <f>HYPERLINK("http://dx.doi.org/10.2307/2409947","http://dx.doi.org/10.2307/2409947")</f>
        <v>http://dx.doi.org/10.2307/2409947</v>
      </c>
      <c r="BG1095" s="2" t="s">
        <v>74</v>
      </c>
      <c r="BH1095" s="2" t="s">
        <v>74</v>
      </c>
      <c r="BI1095" s="2" t="s">
        <v>74</v>
      </c>
      <c r="BJ1095" s="2" t="s">
        <v>74</v>
      </c>
      <c r="BK1095" s="2" t="s">
        <v>74</v>
      </c>
      <c r="BL1095" s="2" t="s">
        <v>74</v>
      </c>
      <c r="BM1095" s="2" t="s">
        <v>74</v>
      </c>
      <c r="BN1095" s="2">
        <v>28569004</v>
      </c>
      <c r="BO1095" s="2" t="s">
        <v>74</v>
      </c>
      <c r="BP1095" s="2" t="s">
        <v>74</v>
      </c>
      <c r="BQ1095" s="2" t="s">
        <v>74</v>
      </c>
      <c r="BR1095" s="2" t="s">
        <v>74</v>
      </c>
      <c r="BS1095" s="2" t="s">
        <v>7882</v>
      </c>
      <c r="BT1095" s="2" t="str">
        <f>HYPERLINK("https%3A%2F%2Fwww.webofscience.com%2Fwos%2Fwoscc%2Ffull-record%2FWOS:A1992JV37100013","View Full Record in Web of Science")</f>
        <v>View Full Record in Web of Science</v>
      </c>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row>
    <row r="1096" spans="1:314" s="2" customFormat="1" x14ac:dyDescent="0.4">
      <c r="A1096" s="2" t="s">
        <v>72</v>
      </c>
      <c r="B1096" s="2" t="s">
        <v>3853</v>
      </c>
      <c r="C1096" s="2" t="s">
        <v>74</v>
      </c>
      <c r="D1096" s="2" t="s">
        <v>74</v>
      </c>
      <c r="E1096" s="2" t="s">
        <v>74</v>
      </c>
      <c r="F1096" s="2" t="s">
        <v>3853</v>
      </c>
      <c r="G1096" s="2" t="s">
        <v>74</v>
      </c>
      <c r="H1096" s="2" t="s">
        <v>74</v>
      </c>
      <c r="I1096" s="2" t="s">
        <v>3854</v>
      </c>
      <c r="J1096" s="2" t="s">
        <v>3855</v>
      </c>
      <c r="K1096" s="2" t="s">
        <v>74</v>
      </c>
      <c r="L1096" s="2" t="s">
        <v>74</v>
      </c>
      <c r="M1096" s="2" t="s">
        <v>74</v>
      </c>
      <c r="N1096" s="2" t="s">
        <v>74</v>
      </c>
      <c r="O1096" s="2" t="s">
        <v>74</v>
      </c>
      <c r="P1096" s="2" t="s">
        <v>74</v>
      </c>
      <c r="Q1096" s="2" t="s">
        <v>74</v>
      </c>
      <c r="R1096" s="2" t="s">
        <v>74</v>
      </c>
      <c r="S1096" s="2" t="s">
        <v>74</v>
      </c>
      <c r="T1096" s="2" t="s">
        <v>74</v>
      </c>
      <c r="U1096" s="2" t="s">
        <v>74</v>
      </c>
      <c r="V1096" s="5" t="s">
        <v>3856</v>
      </c>
      <c r="W1096" s="2" t="s">
        <v>74</v>
      </c>
      <c r="X1096" s="2" t="s">
        <v>74</v>
      </c>
      <c r="Y1096" s="2" t="s">
        <v>74</v>
      </c>
      <c r="Z1096" s="2" t="s">
        <v>74</v>
      </c>
      <c r="AA1096" s="2" t="s">
        <v>74</v>
      </c>
      <c r="AB1096" s="2" t="s">
        <v>74</v>
      </c>
      <c r="AC1096" s="2" t="s">
        <v>74</v>
      </c>
      <c r="AD1096" s="2" t="s">
        <v>74</v>
      </c>
      <c r="AE1096" s="2" t="s">
        <v>74</v>
      </c>
      <c r="AF1096" s="2" t="s">
        <v>74</v>
      </c>
      <c r="AG1096" s="2" t="s">
        <v>74</v>
      </c>
      <c r="AH1096" s="2" t="s">
        <v>74</v>
      </c>
      <c r="AI1096" s="2" t="s">
        <v>74</v>
      </c>
      <c r="AJ1096" s="2" t="s">
        <v>74</v>
      </c>
      <c r="AK1096" s="2" t="s">
        <v>74</v>
      </c>
      <c r="AL1096" s="2" t="s">
        <v>74</v>
      </c>
      <c r="AM1096" s="2" t="s">
        <v>74</v>
      </c>
      <c r="AN1096" s="2" t="s">
        <v>74</v>
      </c>
      <c r="AO1096" s="2" t="s">
        <v>3857</v>
      </c>
      <c r="AP1096" s="2" t="s">
        <v>74</v>
      </c>
      <c r="AQ1096" s="2" t="s">
        <v>74</v>
      </c>
      <c r="AR1096" s="2" t="s">
        <v>74</v>
      </c>
      <c r="AS1096" s="2" t="s">
        <v>74</v>
      </c>
      <c r="AT1096" s="2" t="s">
        <v>213</v>
      </c>
      <c r="AU1096" s="2">
        <v>1991</v>
      </c>
      <c r="AV1096" s="2">
        <v>9</v>
      </c>
      <c r="AW1096" s="2" t="s">
        <v>548</v>
      </c>
      <c r="AX1096" s="2" t="s">
        <v>74</v>
      </c>
      <c r="AY1096" s="2" t="s">
        <v>74</v>
      </c>
      <c r="AZ1096" s="2" t="s">
        <v>74</v>
      </c>
      <c r="BA1096" s="2" t="s">
        <v>74</v>
      </c>
      <c r="BB1096" s="2">
        <v>20</v>
      </c>
      <c r="BC1096" s="2">
        <v>29</v>
      </c>
      <c r="BD1096" s="2" t="s">
        <v>74</v>
      </c>
      <c r="BE1096" s="2" t="s">
        <v>3858</v>
      </c>
      <c r="BF1096" s="2" t="str">
        <f>HYPERLINK("http://dx.doi.org/10.3727/015613890791749136","http://dx.doi.org/10.3727/015613890791749136")</f>
        <v>http://dx.doi.org/10.3727/015613890791749136</v>
      </c>
      <c r="BG1096" s="2" t="s">
        <v>74</v>
      </c>
      <c r="BH1096" s="2" t="s">
        <v>74</v>
      </c>
      <c r="BI1096" s="2" t="s">
        <v>74</v>
      </c>
      <c r="BJ1096" s="2" t="s">
        <v>74</v>
      </c>
      <c r="BK1096" s="2" t="s">
        <v>74</v>
      </c>
      <c r="BL1096" s="2" t="s">
        <v>74</v>
      </c>
      <c r="BM1096" s="2" t="s">
        <v>74</v>
      </c>
      <c r="BN1096" s="2" t="s">
        <v>74</v>
      </c>
      <c r="BO1096" s="2" t="s">
        <v>74</v>
      </c>
      <c r="BP1096" s="2" t="s">
        <v>74</v>
      </c>
      <c r="BQ1096" s="2" t="s">
        <v>74</v>
      </c>
      <c r="BR1096" s="2" t="s">
        <v>74</v>
      </c>
      <c r="BS1096" s="2" t="s">
        <v>3859</v>
      </c>
      <c r="BT1096" s="2" t="str">
        <f>HYPERLINK("https%3A%2F%2Fwww.webofscience.com%2Fwos%2Fwoscc%2Ffull-record%2FWOS:A1991HW66600004","View Full Record in Web of Science")</f>
        <v>View Full Record in Web of Science</v>
      </c>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row>
    <row r="1097" spans="1:314" s="2" customFormat="1" x14ac:dyDescent="0.4">
      <c r="A1097" s="2" t="s">
        <v>72</v>
      </c>
      <c r="B1097" s="2" t="s">
        <v>5926</v>
      </c>
      <c r="C1097" s="2" t="s">
        <v>74</v>
      </c>
      <c r="D1097" s="2" t="s">
        <v>74</v>
      </c>
      <c r="E1097" s="2" t="s">
        <v>74</v>
      </c>
      <c r="F1097" s="2" t="s">
        <v>5927</v>
      </c>
      <c r="G1097" s="2" t="s">
        <v>74</v>
      </c>
      <c r="H1097" s="2" t="s">
        <v>74</v>
      </c>
      <c r="I1097" s="2" t="s">
        <v>5928</v>
      </c>
      <c r="J1097" s="2" t="s">
        <v>333</v>
      </c>
      <c r="K1097" s="2" t="s">
        <v>74</v>
      </c>
      <c r="L1097" s="2" t="s">
        <v>74</v>
      </c>
      <c r="M1097" s="2" t="s">
        <v>74</v>
      </c>
      <c r="N1097" s="2" t="s">
        <v>74</v>
      </c>
      <c r="O1097" s="2" t="s">
        <v>74</v>
      </c>
      <c r="P1097" s="2" t="s">
        <v>74</v>
      </c>
      <c r="Q1097" s="2" t="s">
        <v>74</v>
      </c>
      <c r="R1097" s="2" t="s">
        <v>74</v>
      </c>
      <c r="S1097" s="2" t="s">
        <v>74</v>
      </c>
      <c r="T1097" s="2" t="s">
        <v>74</v>
      </c>
      <c r="U1097" s="2" t="s">
        <v>74</v>
      </c>
      <c r="V1097" s="5" t="s">
        <v>5929</v>
      </c>
      <c r="W1097" s="2" t="s">
        <v>74</v>
      </c>
      <c r="X1097" s="2" t="s">
        <v>74</v>
      </c>
      <c r="Y1097" s="2" t="s">
        <v>74</v>
      </c>
      <c r="Z1097" s="2" t="s">
        <v>74</v>
      </c>
      <c r="AA1097" s="2" t="s">
        <v>5930</v>
      </c>
      <c r="AB1097" s="2" t="s">
        <v>5931</v>
      </c>
      <c r="AC1097" s="2" t="s">
        <v>74</v>
      </c>
      <c r="AD1097" s="2" t="s">
        <v>74</v>
      </c>
      <c r="AE1097" s="2" t="s">
        <v>74</v>
      </c>
      <c r="AF1097" s="2" t="s">
        <v>74</v>
      </c>
      <c r="AG1097" s="2" t="s">
        <v>74</v>
      </c>
      <c r="AH1097" s="2" t="s">
        <v>74</v>
      </c>
      <c r="AI1097" s="2" t="s">
        <v>74</v>
      </c>
      <c r="AJ1097" s="2" t="s">
        <v>74</v>
      </c>
      <c r="AK1097" s="2" t="s">
        <v>74</v>
      </c>
      <c r="AL1097" s="2" t="s">
        <v>74</v>
      </c>
      <c r="AM1097" s="2" t="s">
        <v>74</v>
      </c>
      <c r="AN1097" s="2" t="s">
        <v>74</v>
      </c>
      <c r="AO1097" s="2" t="s">
        <v>337</v>
      </c>
      <c r="AP1097" s="2" t="s">
        <v>338</v>
      </c>
      <c r="AQ1097" s="2" t="s">
        <v>74</v>
      </c>
      <c r="AR1097" s="2" t="s">
        <v>74</v>
      </c>
      <c r="AS1097" s="2" t="s">
        <v>74</v>
      </c>
      <c r="AT1097" s="2" t="s">
        <v>808</v>
      </c>
      <c r="AU1097" s="2">
        <v>2015</v>
      </c>
      <c r="AV1097" s="2">
        <v>26</v>
      </c>
      <c r="AW1097" s="2">
        <v>3</v>
      </c>
      <c r="AX1097" s="2" t="s">
        <v>74</v>
      </c>
      <c r="AY1097" s="2" t="s">
        <v>74</v>
      </c>
      <c r="AZ1097" s="2" t="s">
        <v>74</v>
      </c>
      <c r="BA1097" s="2" t="s">
        <v>74</v>
      </c>
      <c r="BB1097" s="2">
        <v>820</v>
      </c>
      <c r="BC1097" s="2">
        <v>827</v>
      </c>
      <c r="BD1097" s="2" t="s">
        <v>74</v>
      </c>
      <c r="BE1097" s="2" t="s">
        <v>5932</v>
      </c>
      <c r="BF1097" s="2" t="str">
        <f>HYPERLINK("http://dx.doi.org/10.1093/beheco/arv019","http://dx.doi.org/10.1093/beheco/arv019")</f>
        <v>http://dx.doi.org/10.1093/beheco/arv019</v>
      </c>
      <c r="BG1097" s="2" t="s">
        <v>74</v>
      </c>
      <c r="BH1097" s="2" t="s">
        <v>74</v>
      </c>
      <c r="BI1097" s="2" t="s">
        <v>74</v>
      </c>
      <c r="BJ1097" s="2" t="s">
        <v>74</v>
      </c>
      <c r="BK1097" s="2" t="s">
        <v>74</v>
      </c>
      <c r="BL1097" s="2" t="s">
        <v>74</v>
      </c>
      <c r="BM1097" s="2" t="s">
        <v>74</v>
      </c>
      <c r="BN1097" s="2" t="s">
        <v>74</v>
      </c>
      <c r="BO1097" s="2" t="s">
        <v>74</v>
      </c>
      <c r="BP1097" s="2" t="s">
        <v>74</v>
      </c>
      <c r="BQ1097" s="2" t="s">
        <v>74</v>
      </c>
      <c r="BR1097" s="2" t="s">
        <v>74</v>
      </c>
      <c r="BS1097" s="2" t="s">
        <v>5933</v>
      </c>
      <c r="BT1097" s="2" t="str">
        <f>HYPERLINK("https%3A%2F%2Fwww.webofscience.com%2Fwos%2Fwoscc%2Ffull-record%2FWOS:000356585100024","View Full Record in Web of Science")</f>
        <v>View Full Record in Web of Science</v>
      </c>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row>
    <row r="1098" spans="1:314" s="2" customFormat="1" x14ac:dyDescent="0.4">
      <c r="A1098" s="2" t="s">
        <v>72</v>
      </c>
      <c r="B1098" s="2" t="s">
        <v>5105</v>
      </c>
      <c r="C1098" s="2" t="s">
        <v>74</v>
      </c>
      <c r="D1098" s="2" t="s">
        <v>74</v>
      </c>
      <c r="E1098" s="2" t="s">
        <v>74</v>
      </c>
      <c r="F1098" s="2" t="s">
        <v>5105</v>
      </c>
      <c r="G1098" s="2" t="s">
        <v>74</v>
      </c>
      <c r="H1098" s="2" t="s">
        <v>74</v>
      </c>
      <c r="I1098" s="2" t="s">
        <v>5106</v>
      </c>
      <c r="J1098" s="2" t="s">
        <v>5107</v>
      </c>
      <c r="K1098" s="2" t="s">
        <v>74</v>
      </c>
      <c r="L1098" s="2" t="s">
        <v>74</v>
      </c>
      <c r="M1098" s="2" t="s">
        <v>74</v>
      </c>
      <c r="N1098" s="2" t="s">
        <v>74</v>
      </c>
      <c r="O1098" s="2" t="s">
        <v>74</v>
      </c>
      <c r="P1098" s="2" t="s">
        <v>74</v>
      </c>
      <c r="Q1098" s="2" t="s">
        <v>74</v>
      </c>
      <c r="R1098" s="2" t="s">
        <v>74</v>
      </c>
      <c r="S1098" s="2" t="s">
        <v>74</v>
      </c>
      <c r="T1098" s="2" t="s">
        <v>74</v>
      </c>
      <c r="U1098" s="2" t="s">
        <v>74</v>
      </c>
      <c r="V1098" s="5" t="s">
        <v>5108</v>
      </c>
      <c r="W1098" s="2" t="s">
        <v>74</v>
      </c>
      <c r="X1098" s="2" t="s">
        <v>74</v>
      </c>
      <c r="Y1098" s="2" t="s">
        <v>74</v>
      </c>
      <c r="Z1098" s="2" t="s">
        <v>74</v>
      </c>
      <c r="AA1098" s="2" t="s">
        <v>74</v>
      </c>
      <c r="AB1098" s="2" t="s">
        <v>74</v>
      </c>
      <c r="AC1098" s="2" t="s">
        <v>74</v>
      </c>
      <c r="AD1098" s="2" t="s">
        <v>74</v>
      </c>
      <c r="AE1098" s="2" t="s">
        <v>74</v>
      </c>
      <c r="AF1098" s="2" t="s">
        <v>74</v>
      </c>
      <c r="AG1098" s="2" t="s">
        <v>74</v>
      </c>
      <c r="AH1098" s="2" t="s">
        <v>74</v>
      </c>
      <c r="AI1098" s="2" t="s">
        <v>74</v>
      </c>
      <c r="AJ1098" s="2" t="s">
        <v>74</v>
      </c>
      <c r="AK1098" s="2" t="s">
        <v>74</v>
      </c>
      <c r="AL1098" s="2" t="s">
        <v>74</v>
      </c>
      <c r="AM1098" s="2" t="s">
        <v>74</v>
      </c>
      <c r="AN1098" s="2" t="s">
        <v>74</v>
      </c>
      <c r="AO1098" s="2" t="s">
        <v>5109</v>
      </c>
      <c r="AP1098" s="2" t="s">
        <v>5110</v>
      </c>
      <c r="AQ1098" s="2" t="s">
        <v>74</v>
      </c>
      <c r="AR1098" s="2" t="s">
        <v>74</v>
      </c>
      <c r="AS1098" s="2" t="s">
        <v>74</v>
      </c>
      <c r="AT1098" s="2" t="s">
        <v>633</v>
      </c>
      <c r="AU1098" s="2">
        <v>1996</v>
      </c>
      <c r="AV1098" s="2">
        <v>6</v>
      </c>
      <c r="AW1098" s="2">
        <v>2</v>
      </c>
      <c r="AX1098" s="2" t="s">
        <v>74</v>
      </c>
      <c r="AY1098" s="2" t="s">
        <v>74</v>
      </c>
      <c r="AZ1098" s="2" t="s">
        <v>74</v>
      </c>
      <c r="BA1098" s="2" t="s">
        <v>74</v>
      </c>
      <c r="BB1098" s="2">
        <v>245</v>
      </c>
      <c r="BC1098" s="2">
        <v>252</v>
      </c>
      <c r="BD1098" s="2" t="s">
        <v>74</v>
      </c>
      <c r="BE1098" s="2" t="s">
        <v>5111</v>
      </c>
      <c r="BF1098" s="2" t="str">
        <f>HYPERLINK("http://dx.doi.org/10.1006/bcon.1996.0031","http://dx.doi.org/10.1006/bcon.1996.0031")</f>
        <v>http://dx.doi.org/10.1006/bcon.1996.0031</v>
      </c>
      <c r="BG1098" s="2" t="s">
        <v>74</v>
      </c>
      <c r="BH1098" s="2" t="s">
        <v>74</v>
      </c>
      <c r="BI1098" s="2" t="s">
        <v>74</v>
      </c>
      <c r="BJ1098" s="2" t="s">
        <v>74</v>
      </c>
      <c r="BK1098" s="2" t="s">
        <v>74</v>
      </c>
      <c r="BL1098" s="2" t="s">
        <v>74</v>
      </c>
      <c r="BM1098" s="2" t="s">
        <v>74</v>
      </c>
      <c r="BN1098" s="2" t="s">
        <v>74</v>
      </c>
      <c r="BO1098" s="2" t="s">
        <v>74</v>
      </c>
      <c r="BP1098" s="2" t="s">
        <v>74</v>
      </c>
      <c r="BQ1098" s="2" t="s">
        <v>74</v>
      </c>
      <c r="BR1098" s="2" t="s">
        <v>74</v>
      </c>
      <c r="BS1098" s="2" t="s">
        <v>5112</v>
      </c>
      <c r="BT1098" s="2" t="str">
        <f>HYPERLINK("https%3A%2F%2Fwww.webofscience.com%2Fwos%2Fwoscc%2Ffull-record%2FWOS:A1996UC68700014","View Full Record in Web of Science")</f>
        <v>View Full Record in Web of Science</v>
      </c>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row>
    <row r="1099" spans="1:314" s="2" customFormat="1" x14ac:dyDescent="0.4">
      <c r="A1099" s="2" t="s">
        <v>72</v>
      </c>
      <c r="B1099" s="2" t="s">
        <v>4903</v>
      </c>
      <c r="C1099" s="2" t="s">
        <v>74</v>
      </c>
      <c r="D1099" s="2" t="s">
        <v>74</v>
      </c>
      <c r="E1099" s="2" t="s">
        <v>74</v>
      </c>
      <c r="F1099" s="2" t="s">
        <v>4904</v>
      </c>
      <c r="G1099" s="2" t="s">
        <v>74</v>
      </c>
      <c r="H1099" s="2" t="s">
        <v>74</v>
      </c>
      <c r="I1099" s="2" t="s">
        <v>4905</v>
      </c>
      <c r="J1099" s="2" t="s">
        <v>140</v>
      </c>
      <c r="K1099" s="2" t="s">
        <v>74</v>
      </c>
      <c r="L1099" s="2" t="s">
        <v>74</v>
      </c>
      <c r="M1099" s="2" t="s">
        <v>74</v>
      </c>
      <c r="N1099" s="2" t="s">
        <v>74</v>
      </c>
      <c r="O1099" s="2" t="s">
        <v>74</v>
      </c>
      <c r="P1099" s="2" t="s">
        <v>74</v>
      </c>
      <c r="Q1099" s="2" t="s">
        <v>74</v>
      </c>
      <c r="R1099" s="2" t="s">
        <v>74</v>
      </c>
      <c r="S1099" s="2" t="s">
        <v>74</v>
      </c>
      <c r="T1099" s="2" t="s">
        <v>74</v>
      </c>
      <c r="U1099" s="2" t="s">
        <v>74</v>
      </c>
      <c r="V1099" s="5" t="s">
        <v>4906</v>
      </c>
      <c r="W1099" s="2" t="s">
        <v>74</v>
      </c>
      <c r="X1099" s="2" t="s">
        <v>74</v>
      </c>
      <c r="Y1099" s="2" t="s">
        <v>74</v>
      </c>
      <c r="Z1099" s="2" t="s">
        <v>74</v>
      </c>
      <c r="AA1099" s="2" t="s">
        <v>4216</v>
      </c>
      <c r="AB1099" s="2" t="s">
        <v>4217</v>
      </c>
      <c r="AC1099" s="2" t="s">
        <v>74</v>
      </c>
      <c r="AD1099" s="2" t="s">
        <v>74</v>
      </c>
      <c r="AE1099" s="2" t="s">
        <v>74</v>
      </c>
      <c r="AF1099" s="2" t="s">
        <v>74</v>
      </c>
      <c r="AG1099" s="2" t="s">
        <v>74</v>
      </c>
      <c r="AH1099" s="2" t="s">
        <v>74</v>
      </c>
      <c r="AI1099" s="2" t="s">
        <v>74</v>
      </c>
      <c r="AJ1099" s="2" t="s">
        <v>74</v>
      </c>
      <c r="AK1099" s="2" t="s">
        <v>74</v>
      </c>
      <c r="AL1099" s="2" t="s">
        <v>74</v>
      </c>
      <c r="AM1099" s="2" t="s">
        <v>74</v>
      </c>
      <c r="AN1099" s="2" t="s">
        <v>74</v>
      </c>
      <c r="AO1099" s="2" t="s">
        <v>143</v>
      </c>
      <c r="AP1099" s="2" t="s">
        <v>144</v>
      </c>
      <c r="AQ1099" s="2" t="s">
        <v>74</v>
      </c>
      <c r="AR1099" s="2" t="s">
        <v>74</v>
      </c>
      <c r="AS1099" s="2" t="s">
        <v>74</v>
      </c>
      <c r="AT1099" s="2" t="s">
        <v>352</v>
      </c>
      <c r="AU1099" s="2">
        <v>2018</v>
      </c>
      <c r="AV1099" s="2">
        <v>143</v>
      </c>
      <c r="AW1099" s="2" t="s">
        <v>74</v>
      </c>
      <c r="AX1099" s="2" t="s">
        <v>74</v>
      </c>
      <c r="AY1099" s="2" t="s">
        <v>74</v>
      </c>
      <c r="AZ1099" s="2" t="s">
        <v>74</v>
      </c>
      <c r="BA1099" s="2" t="s">
        <v>74</v>
      </c>
      <c r="BB1099" s="2">
        <v>167</v>
      </c>
      <c r="BC1099" s="2">
        <v>176</v>
      </c>
      <c r="BD1099" s="2" t="s">
        <v>74</v>
      </c>
      <c r="BE1099" s="2" t="s">
        <v>4907</v>
      </c>
      <c r="BF1099" s="2" t="str">
        <f>HYPERLINK("http://dx.doi.org/10.1016/j.anbehav.2017.12.006","http://dx.doi.org/10.1016/j.anbehav.2017.12.006")</f>
        <v>http://dx.doi.org/10.1016/j.anbehav.2017.12.006</v>
      </c>
      <c r="BG1099" s="2" t="s">
        <v>74</v>
      </c>
      <c r="BH1099" s="2" t="s">
        <v>74</v>
      </c>
      <c r="BI1099" s="2" t="s">
        <v>74</v>
      </c>
      <c r="BJ1099" s="2" t="s">
        <v>74</v>
      </c>
      <c r="BK1099" s="2" t="s">
        <v>74</v>
      </c>
      <c r="BL1099" s="2" t="s">
        <v>74</v>
      </c>
      <c r="BM1099" s="2" t="s">
        <v>74</v>
      </c>
      <c r="BN1099" s="2" t="s">
        <v>74</v>
      </c>
      <c r="BO1099" s="2" t="s">
        <v>74</v>
      </c>
      <c r="BP1099" s="2" t="s">
        <v>74</v>
      </c>
      <c r="BQ1099" s="2" t="s">
        <v>74</v>
      </c>
      <c r="BR1099" s="2" t="s">
        <v>74</v>
      </c>
      <c r="BS1099" s="2" t="s">
        <v>4908</v>
      </c>
      <c r="BT1099" s="2" t="str">
        <f>HYPERLINK("https%3A%2F%2Fwww.webofscience.com%2Fwos%2Fwoscc%2Ffull-record%2FWOS:000443386600017","View Full Record in Web of Science")</f>
        <v>View Full Record in Web of Science</v>
      </c>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row>
    <row r="1100" spans="1:314" s="2" customFormat="1" x14ac:dyDescent="0.4">
      <c r="A1100" s="2" t="s">
        <v>72</v>
      </c>
      <c r="B1100" s="2" t="s">
        <v>2562</v>
      </c>
      <c r="C1100" s="2" t="s">
        <v>74</v>
      </c>
      <c r="D1100" s="2" t="s">
        <v>74</v>
      </c>
      <c r="E1100" s="2" t="s">
        <v>74</v>
      </c>
      <c r="F1100" s="2" t="s">
        <v>2562</v>
      </c>
      <c r="G1100" s="2" t="s">
        <v>74</v>
      </c>
      <c r="H1100" s="2" t="s">
        <v>74</v>
      </c>
      <c r="I1100" s="2" t="s">
        <v>4923</v>
      </c>
      <c r="J1100" s="2" t="s">
        <v>610</v>
      </c>
      <c r="K1100" s="2" t="s">
        <v>74</v>
      </c>
      <c r="L1100" s="2" t="s">
        <v>74</v>
      </c>
      <c r="M1100" s="2" t="s">
        <v>74</v>
      </c>
      <c r="N1100" s="2" t="s">
        <v>74</v>
      </c>
      <c r="O1100" s="2" t="s">
        <v>74</v>
      </c>
      <c r="P1100" s="2" t="s">
        <v>74</v>
      </c>
      <c r="Q1100" s="2" t="s">
        <v>74</v>
      </c>
      <c r="R1100" s="2" t="s">
        <v>74</v>
      </c>
      <c r="S1100" s="2" t="s">
        <v>74</v>
      </c>
      <c r="T1100" s="2" t="s">
        <v>74</v>
      </c>
      <c r="U1100" s="2" t="s">
        <v>74</v>
      </c>
      <c r="V1100" s="5" t="s">
        <v>4924</v>
      </c>
      <c r="W1100" s="2" t="s">
        <v>74</v>
      </c>
      <c r="X1100" s="2" t="s">
        <v>74</v>
      </c>
      <c r="Y1100" s="2" t="s">
        <v>74</v>
      </c>
      <c r="Z1100" s="2" t="s">
        <v>74</v>
      </c>
      <c r="AA1100" s="2" t="s">
        <v>2566</v>
      </c>
      <c r="AB1100" s="2" t="s">
        <v>2567</v>
      </c>
      <c r="AC1100" s="2" t="s">
        <v>74</v>
      </c>
      <c r="AD1100" s="2" t="s">
        <v>74</v>
      </c>
      <c r="AE1100" s="2" t="s">
        <v>74</v>
      </c>
      <c r="AF1100" s="2" t="s">
        <v>74</v>
      </c>
      <c r="AG1100" s="2" t="s">
        <v>74</v>
      </c>
      <c r="AH1100" s="2" t="s">
        <v>74</v>
      </c>
      <c r="AI1100" s="2" t="s">
        <v>74</v>
      </c>
      <c r="AJ1100" s="2" t="s">
        <v>74</v>
      </c>
      <c r="AK1100" s="2" t="s">
        <v>74</v>
      </c>
      <c r="AL1100" s="2" t="s">
        <v>74</v>
      </c>
      <c r="AM1100" s="2" t="s">
        <v>74</v>
      </c>
      <c r="AN1100" s="2" t="s">
        <v>74</v>
      </c>
      <c r="AO1100" s="2" t="s">
        <v>614</v>
      </c>
      <c r="AP1100" s="2" t="s">
        <v>74</v>
      </c>
      <c r="AQ1100" s="2" t="s">
        <v>74</v>
      </c>
      <c r="AR1100" s="2" t="s">
        <v>74</v>
      </c>
      <c r="AS1100" s="2" t="s">
        <v>74</v>
      </c>
      <c r="AT1100" s="2" t="s">
        <v>352</v>
      </c>
      <c r="AU1100" s="2">
        <v>2002</v>
      </c>
      <c r="AV1100" s="2">
        <v>108</v>
      </c>
      <c r="AW1100" s="2">
        <v>9</v>
      </c>
      <c r="AX1100" s="2" t="s">
        <v>74</v>
      </c>
      <c r="AY1100" s="2" t="s">
        <v>74</v>
      </c>
      <c r="AZ1100" s="2" t="s">
        <v>74</v>
      </c>
      <c r="BA1100" s="2" t="s">
        <v>74</v>
      </c>
      <c r="BB1100" s="2">
        <v>793</v>
      </c>
      <c r="BC1100" s="2">
        <v>813</v>
      </c>
      <c r="BD1100" s="2" t="s">
        <v>74</v>
      </c>
      <c r="BE1100" s="2" t="s">
        <v>4925</v>
      </c>
      <c r="BF1100" s="2" t="str">
        <f>HYPERLINK("http://dx.doi.org/10.1046/j.1439-0310.2002.00819.x","http://dx.doi.org/10.1046/j.1439-0310.2002.00819.x")</f>
        <v>http://dx.doi.org/10.1046/j.1439-0310.2002.00819.x</v>
      </c>
      <c r="BG1100" s="2" t="s">
        <v>74</v>
      </c>
      <c r="BH1100" s="2" t="s">
        <v>74</v>
      </c>
      <c r="BI1100" s="2" t="s">
        <v>74</v>
      </c>
      <c r="BJ1100" s="2" t="s">
        <v>74</v>
      </c>
      <c r="BK1100" s="2" t="s">
        <v>74</v>
      </c>
      <c r="BL1100" s="2" t="s">
        <v>74</v>
      </c>
      <c r="BM1100" s="2" t="s">
        <v>74</v>
      </c>
      <c r="BN1100" s="2" t="s">
        <v>74</v>
      </c>
      <c r="BO1100" s="2" t="s">
        <v>74</v>
      </c>
      <c r="BP1100" s="2" t="s">
        <v>74</v>
      </c>
      <c r="BQ1100" s="2" t="s">
        <v>74</v>
      </c>
      <c r="BR1100" s="2" t="s">
        <v>74</v>
      </c>
      <c r="BS1100" s="2" t="s">
        <v>4926</v>
      </c>
      <c r="BT1100" s="2" t="str">
        <f>HYPERLINK("https%3A%2F%2Fwww.webofscience.com%2Fwos%2Fwoscc%2Ffull-record%2FWOS:000177775300004","View Full Record in Web of Science")</f>
        <v>View Full Record in Web of Science</v>
      </c>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row>
    <row r="1101" spans="1:314" s="2" customFormat="1" x14ac:dyDescent="0.4">
      <c r="A1101" s="2" t="s">
        <v>72</v>
      </c>
      <c r="B1101" s="2" t="s">
        <v>2562</v>
      </c>
      <c r="C1101" s="2" t="s">
        <v>74</v>
      </c>
      <c r="D1101" s="2" t="s">
        <v>74</v>
      </c>
      <c r="E1101" s="2" t="s">
        <v>74</v>
      </c>
      <c r="F1101" s="2" t="s">
        <v>2563</v>
      </c>
      <c r="G1101" s="2" t="s">
        <v>74</v>
      </c>
      <c r="H1101" s="2" t="s">
        <v>74</v>
      </c>
      <c r="I1101" s="2" t="s">
        <v>2564</v>
      </c>
      <c r="J1101" s="2" t="s">
        <v>333</v>
      </c>
      <c r="K1101" s="2" t="s">
        <v>74</v>
      </c>
      <c r="L1101" s="2" t="s">
        <v>74</v>
      </c>
      <c r="M1101" s="2" t="s">
        <v>74</v>
      </c>
      <c r="N1101" s="2" t="s">
        <v>74</v>
      </c>
      <c r="O1101" s="2" t="s">
        <v>74</v>
      </c>
      <c r="P1101" s="2" t="s">
        <v>74</v>
      </c>
      <c r="Q1101" s="2" t="s">
        <v>74</v>
      </c>
      <c r="R1101" s="2" t="s">
        <v>74</v>
      </c>
      <c r="S1101" s="2" t="s">
        <v>74</v>
      </c>
      <c r="T1101" s="2" t="s">
        <v>74</v>
      </c>
      <c r="U1101" s="2" t="s">
        <v>74</v>
      </c>
      <c r="V1101" s="5" t="s">
        <v>2565</v>
      </c>
      <c r="W1101" s="2" t="s">
        <v>74</v>
      </c>
      <c r="X1101" s="2" t="s">
        <v>74</v>
      </c>
      <c r="Y1101" s="2" t="s">
        <v>74</v>
      </c>
      <c r="Z1101" s="2" t="s">
        <v>74</v>
      </c>
      <c r="AA1101" s="2" t="s">
        <v>2566</v>
      </c>
      <c r="AB1101" s="2" t="s">
        <v>2567</v>
      </c>
      <c r="AC1101" s="2" t="s">
        <v>74</v>
      </c>
      <c r="AD1101" s="2" t="s">
        <v>74</v>
      </c>
      <c r="AE1101" s="2" t="s">
        <v>74</v>
      </c>
      <c r="AF1101" s="2" t="s">
        <v>74</v>
      </c>
      <c r="AG1101" s="2" t="s">
        <v>74</v>
      </c>
      <c r="AH1101" s="2" t="s">
        <v>74</v>
      </c>
      <c r="AI1101" s="2" t="s">
        <v>74</v>
      </c>
      <c r="AJ1101" s="2" t="s">
        <v>74</v>
      </c>
      <c r="AK1101" s="2" t="s">
        <v>74</v>
      </c>
      <c r="AL1101" s="2" t="s">
        <v>74</v>
      </c>
      <c r="AM1101" s="2" t="s">
        <v>74</v>
      </c>
      <c r="AN1101" s="2" t="s">
        <v>74</v>
      </c>
      <c r="AO1101" s="2" t="s">
        <v>337</v>
      </c>
      <c r="AP1101" s="2" t="s">
        <v>338</v>
      </c>
      <c r="AQ1101" s="2" t="s">
        <v>74</v>
      </c>
      <c r="AR1101" s="2" t="s">
        <v>74</v>
      </c>
      <c r="AS1101" s="2" t="s">
        <v>74</v>
      </c>
      <c r="AT1101" s="2" t="s">
        <v>1013</v>
      </c>
      <c r="AU1101" s="2">
        <v>2006</v>
      </c>
      <c r="AV1101" s="2">
        <v>17</v>
      </c>
      <c r="AW1101" s="2">
        <v>5</v>
      </c>
      <c r="AX1101" s="2" t="s">
        <v>74</v>
      </c>
      <c r="AY1101" s="2" t="s">
        <v>74</v>
      </c>
      <c r="AZ1101" s="2" t="s">
        <v>74</v>
      </c>
      <c r="BA1101" s="2" t="s">
        <v>74</v>
      </c>
      <c r="BB1101" s="2">
        <v>726</v>
      </c>
      <c r="BC1101" s="2">
        <v>732</v>
      </c>
      <c r="BD1101" s="2" t="s">
        <v>74</v>
      </c>
      <c r="BE1101" s="2" t="s">
        <v>2568</v>
      </c>
      <c r="BF1101" s="2" t="str">
        <f>HYPERLINK("http://dx.doi.org/10.1093/beheco/arl001","http://dx.doi.org/10.1093/beheco/arl001")</f>
        <v>http://dx.doi.org/10.1093/beheco/arl001</v>
      </c>
      <c r="BG1101" s="2" t="s">
        <v>74</v>
      </c>
      <c r="BH1101" s="2" t="s">
        <v>74</v>
      </c>
      <c r="BI1101" s="2" t="s">
        <v>74</v>
      </c>
      <c r="BJ1101" s="2" t="s">
        <v>74</v>
      </c>
      <c r="BK1101" s="2" t="s">
        <v>74</v>
      </c>
      <c r="BL1101" s="2" t="s">
        <v>74</v>
      </c>
      <c r="BM1101" s="2" t="s">
        <v>74</v>
      </c>
      <c r="BN1101" s="2" t="s">
        <v>74</v>
      </c>
      <c r="BO1101" s="2" t="s">
        <v>74</v>
      </c>
      <c r="BP1101" s="2" t="s">
        <v>74</v>
      </c>
      <c r="BQ1101" s="2" t="s">
        <v>74</v>
      </c>
      <c r="BR1101" s="2" t="s">
        <v>74</v>
      </c>
      <c r="BS1101" s="2" t="s">
        <v>2569</v>
      </c>
      <c r="BT1101" s="2" t="str">
        <f>HYPERLINK("https%3A%2F%2Fwww.webofscience.com%2Fwos%2Fwoscc%2Ffull-record%2FWOS:000239899500005","View Full Record in Web of Science")</f>
        <v>View Full Record in Web of Science</v>
      </c>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row>
    <row r="1102" spans="1:314" s="2" customFormat="1" x14ac:dyDescent="0.4">
      <c r="A1102" s="2" t="s">
        <v>72</v>
      </c>
      <c r="B1102" s="2" t="s">
        <v>4078</v>
      </c>
      <c r="C1102" s="2" t="s">
        <v>74</v>
      </c>
      <c r="D1102" s="2" t="s">
        <v>74</v>
      </c>
      <c r="E1102" s="2" t="s">
        <v>74</v>
      </c>
      <c r="F1102" s="2" t="s">
        <v>4079</v>
      </c>
      <c r="G1102" s="2" t="s">
        <v>74</v>
      </c>
      <c r="H1102" s="2" t="s">
        <v>74</v>
      </c>
      <c r="I1102" s="2" t="s">
        <v>4080</v>
      </c>
      <c r="J1102" s="2" t="s">
        <v>775</v>
      </c>
      <c r="K1102" s="2" t="s">
        <v>74</v>
      </c>
      <c r="L1102" s="2" t="s">
        <v>74</v>
      </c>
      <c r="M1102" s="2" t="s">
        <v>74</v>
      </c>
      <c r="N1102" s="2" t="s">
        <v>74</v>
      </c>
      <c r="O1102" s="2" t="s">
        <v>74</v>
      </c>
      <c r="P1102" s="2" t="s">
        <v>74</v>
      </c>
      <c r="Q1102" s="2" t="s">
        <v>74</v>
      </c>
      <c r="R1102" s="2" t="s">
        <v>74</v>
      </c>
      <c r="S1102" s="2" t="s">
        <v>74</v>
      </c>
      <c r="T1102" s="2" t="s">
        <v>74</v>
      </c>
      <c r="U1102" s="2" t="s">
        <v>74</v>
      </c>
      <c r="V1102" s="5" t="s">
        <v>4081</v>
      </c>
      <c r="W1102" s="2" t="s">
        <v>74</v>
      </c>
      <c r="X1102" s="2" t="s">
        <v>74</v>
      </c>
      <c r="Y1102" s="2" t="s">
        <v>74</v>
      </c>
      <c r="Z1102" s="2" t="s">
        <v>74</v>
      </c>
      <c r="AA1102" s="2" t="s">
        <v>2566</v>
      </c>
      <c r="AB1102" s="2" t="s">
        <v>2567</v>
      </c>
      <c r="AC1102" s="2" t="s">
        <v>74</v>
      </c>
      <c r="AD1102" s="2" t="s">
        <v>74</v>
      </c>
      <c r="AE1102" s="2" t="s">
        <v>74</v>
      </c>
      <c r="AF1102" s="2" t="s">
        <v>74</v>
      </c>
      <c r="AG1102" s="2" t="s">
        <v>74</v>
      </c>
      <c r="AH1102" s="2" t="s">
        <v>74</v>
      </c>
      <c r="AI1102" s="2" t="s">
        <v>74</v>
      </c>
      <c r="AJ1102" s="2" t="s">
        <v>74</v>
      </c>
      <c r="AK1102" s="2" t="s">
        <v>74</v>
      </c>
      <c r="AL1102" s="2" t="s">
        <v>74</v>
      </c>
      <c r="AM1102" s="2" t="s">
        <v>74</v>
      </c>
      <c r="AN1102" s="2" t="s">
        <v>74</v>
      </c>
      <c r="AO1102" s="2" t="s">
        <v>778</v>
      </c>
      <c r="AP1102" s="2" t="s">
        <v>779</v>
      </c>
      <c r="AQ1102" s="2" t="s">
        <v>74</v>
      </c>
      <c r="AR1102" s="2" t="s">
        <v>74</v>
      </c>
      <c r="AS1102" s="2" t="s">
        <v>74</v>
      </c>
      <c r="AT1102" s="2" t="s">
        <v>102</v>
      </c>
      <c r="AU1102" s="2">
        <v>2018</v>
      </c>
      <c r="AV1102" s="2">
        <v>64</v>
      </c>
      <c r="AW1102" s="2">
        <v>3</v>
      </c>
      <c r="AX1102" s="2" t="s">
        <v>74</v>
      </c>
      <c r="AY1102" s="2" t="s">
        <v>74</v>
      </c>
      <c r="AZ1102" s="2" t="s">
        <v>74</v>
      </c>
      <c r="BA1102" s="2" t="s">
        <v>74</v>
      </c>
      <c r="BB1102" s="2">
        <v>335</v>
      </c>
      <c r="BC1102" s="2">
        <v>344</v>
      </c>
      <c r="BD1102" s="2" t="s">
        <v>74</v>
      </c>
      <c r="BE1102" s="2" t="s">
        <v>4082</v>
      </c>
      <c r="BF1102" s="2" t="str">
        <f>HYPERLINK("http://dx.doi.org/10.1093/cz/zoy023","http://dx.doi.org/10.1093/cz/zoy023")</f>
        <v>http://dx.doi.org/10.1093/cz/zoy023</v>
      </c>
      <c r="BG1102" s="2" t="s">
        <v>74</v>
      </c>
      <c r="BH1102" s="2" t="s">
        <v>74</v>
      </c>
      <c r="BI1102" s="2" t="s">
        <v>74</v>
      </c>
      <c r="BJ1102" s="2" t="s">
        <v>74</v>
      </c>
      <c r="BK1102" s="2" t="s">
        <v>74</v>
      </c>
      <c r="BL1102" s="2" t="s">
        <v>74</v>
      </c>
      <c r="BM1102" s="2" t="s">
        <v>74</v>
      </c>
      <c r="BN1102" s="2">
        <v>30402076</v>
      </c>
      <c r="BO1102" s="2" t="s">
        <v>74</v>
      </c>
      <c r="BP1102" s="2" t="s">
        <v>74</v>
      </c>
      <c r="BQ1102" s="2" t="s">
        <v>74</v>
      </c>
      <c r="BR1102" s="2" t="s">
        <v>74</v>
      </c>
      <c r="BS1102" s="2" t="s">
        <v>4083</v>
      </c>
      <c r="BT1102" s="2" t="str">
        <f>HYPERLINK("https%3A%2F%2Fwww.webofscience.com%2Fwos%2Fwoscc%2Ffull-record%2FWOS:000436421000010","View Full Record in Web of Science")</f>
        <v>View Full Record in Web of Science</v>
      </c>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row>
    <row r="1103" spans="1:314" s="2" customFormat="1" x14ac:dyDescent="0.4">
      <c r="A1103" s="2" t="s">
        <v>72</v>
      </c>
      <c r="B1103" s="2" t="s">
        <v>2955</v>
      </c>
      <c r="C1103" s="2" t="s">
        <v>74</v>
      </c>
      <c r="D1103" s="2" t="s">
        <v>74</v>
      </c>
      <c r="E1103" s="2" t="s">
        <v>74</v>
      </c>
      <c r="F1103" s="2" t="s">
        <v>2956</v>
      </c>
      <c r="G1103" s="2" t="s">
        <v>74</v>
      </c>
      <c r="H1103" s="2" t="s">
        <v>74</v>
      </c>
      <c r="I1103" s="2" t="s">
        <v>2957</v>
      </c>
      <c r="J1103" s="2" t="s">
        <v>192</v>
      </c>
      <c r="K1103" s="2" t="s">
        <v>74</v>
      </c>
      <c r="L1103" s="2" t="s">
        <v>74</v>
      </c>
      <c r="M1103" s="2" t="s">
        <v>74</v>
      </c>
      <c r="N1103" s="2" t="s">
        <v>74</v>
      </c>
      <c r="O1103" s="2" t="s">
        <v>74</v>
      </c>
      <c r="P1103" s="2" t="s">
        <v>74</v>
      </c>
      <c r="Q1103" s="2" t="s">
        <v>74</v>
      </c>
      <c r="R1103" s="2" t="s">
        <v>74</v>
      </c>
      <c r="S1103" s="2" t="s">
        <v>74</v>
      </c>
      <c r="T1103" s="2" t="s">
        <v>74</v>
      </c>
      <c r="U1103" s="2" t="s">
        <v>74</v>
      </c>
      <c r="V1103" s="5" t="s">
        <v>2958</v>
      </c>
      <c r="W1103" s="2" t="s">
        <v>74</v>
      </c>
      <c r="X1103" s="2" t="s">
        <v>74</v>
      </c>
      <c r="Y1103" s="2" t="s">
        <v>74</v>
      </c>
      <c r="Z1103" s="2" t="s">
        <v>74</v>
      </c>
      <c r="AA1103" s="2" t="s">
        <v>2959</v>
      </c>
      <c r="AB1103" s="2" t="s">
        <v>2960</v>
      </c>
      <c r="AC1103" s="2" t="s">
        <v>74</v>
      </c>
      <c r="AD1103" s="2" t="s">
        <v>74</v>
      </c>
      <c r="AE1103" s="2" t="s">
        <v>74</v>
      </c>
      <c r="AF1103" s="2" t="s">
        <v>74</v>
      </c>
      <c r="AG1103" s="2" t="s">
        <v>74</v>
      </c>
      <c r="AH1103" s="2" t="s">
        <v>74</v>
      </c>
      <c r="AI1103" s="2" t="s">
        <v>74</v>
      </c>
      <c r="AJ1103" s="2" t="s">
        <v>74</v>
      </c>
      <c r="AK1103" s="2" t="s">
        <v>74</v>
      </c>
      <c r="AL1103" s="2" t="s">
        <v>74</v>
      </c>
      <c r="AM1103" s="2" t="s">
        <v>74</v>
      </c>
      <c r="AN1103" s="2" t="s">
        <v>74</v>
      </c>
      <c r="AO1103" s="2" t="s">
        <v>195</v>
      </c>
      <c r="AP1103" s="2" t="s">
        <v>196</v>
      </c>
      <c r="AQ1103" s="2" t="s">
        <v>74</v>
      </c>
      <c r="AR1103" s="2" t="s">
        <v>74</v>
      </c>
      <c r="AS1103" s="2" t="s">
        <v>74</v>
      </c>
      <c r="AT1103" s="2" t="s">
        <v>352</v>
      </c>
      <c r="AU1103" s="2">
        <v>2021</v>
      </c>
      <c r="AV1103" s="2">
        <v>848</v>
      </c>
      <c r="AW1103" s="2">
        <v>16</v>
      </c>
      <c r="AX1103" s="2" t="s">
        <v>74</v>
      </c>
      <c r="AY1103" s="2" t="s">
        <v>74</v>
      </c>
      <c r="AZ1103" s="2" t="s">
        <v>848</v>
      </c>
      <c r="BA1103" s="2" t="s">
        <v>74</v>
      </c>
      <c r="BB1103" s="2">
        <v>3667</v>
      </c>
      <c r="BC1103" s="2">
        <v>3681</v>
      </c>
      <c r="BD1103" s="2" t="s">
        <v>74</v>
      </c>
      <c r="BE1103" s="2" t="s">
        <v>2961</v>
      </c>
      <c r="BF1103" s="2" t="str">
        <f>HYPERLINK("http://dx.doi.org/10.1007/s10750-020-04475-9","http://dx.doi.org/10.1007/s10750-020-04475-9")</f>
        <v>http://dx.doi.org/10.1007/s10750-020-04475-9</v>
      </c>
      <c r="BG1103" s="2" t="s">
        <v>74</v>
      </c>
      <c r="BH1103" s="2" t="s">
        <v>2962</v>
      </c>
      <c r="BI1103" s="2" t="s">
        <v>74</v>
      </c>
      <c r="BJ1103" s="2" t="s">
        <v>74</v>
      </c>
      <c r="BK1103" s="2" t="s">
        <v>74</v>
      </c>
      <c r="BL1103" s="2" t="s">
        <v>74</v>
      </c>
      <c r="BM1103" s="2" t="s">
        <v>74</v>
      </c>
      <c r="BN1103" s="2" t="s">
        <v>74</v>
      </c>
      <c r="BO1103" s="2" t="s">
        <v>74</v>
      </c>
      <c r="BP1103" s="2" t="s">
        <v>74</v>
      </c>
      <c r="BQ1103" s="2" t="s">
        <v>74</v>
      </c>
      <c r="BR1103" s="2" t="s">
        <v>74</v>
      </c>
      <c r="BS1103" s="2" t="s">
        <v>2963</v>
      </c>
      <c r="BT1103" s="2" t="str">
        <f>HYPERLINK("https%3A%2F%2Fwww.webofscience.com%2Fwos%2Fwoscc%2Ffull-record%2FWOS:000604160900002","View Full Record in Web of Science")</f>
        <v>View Full Record in Web of Science</v>
      </c>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row>
    <row r="1104" spans="1:314" s="2" customFormat="1" x14ac:dyDescent="0.4">
      <c r="A1104" s="2" t="s">
        <v>72</v>
      </c>
      <c r="B1104" s="2" t="s">
        <v>5764</v>
      </c>
      <c r="C1104" s="2" t="s">
        <v>74</v>
      </c>
      <c r="D1104" s="2" t="s">
        <v>74</v>
      </c>
      <c r="E1104" s="2" t="s">
        <v>74</v>
      </c>
      <c r="F1104" s="2" t="s">
        <v>5765</v>
      </c>
      <c r="G1104" s="2" t="s">
        <v>74</v>
      </c>
      <c r="H1104" s="2" t="s">
        <v>74</v>
      </c>
      <c r="I1104" s="2" t="s">
        <v>5766</v>
      </c>
      <c r="J1104" s="2" t="s">
        <v>775</v>
      </c>
      <c r="K1104" s="2" t="s">
        <v>74</v>
      </c>
      <c r="L1104" s="2" t="s">
        <v>74</v>
      </c>
      <c r="M1104" s="2" t="s">
        <v>74</v>
      </c>
      <c r="N1104" s="2" t="s">
        <v>74</v>
      </c>
      <c r="O1104" s="2" t="s">
        <v>74</v>
      </c>
      <c r="P1104" s="2" t="s">
        <v>74</v>
      </c>
      <c r="Q1104" s="2" t="s">
        <v>74</v>
      </c>
      <c r="R1104" s="2" t="s">
        <v>74</v>
      </c>
      <c r="S1104" s="2" t="s">
        <v>74</v>
      </c>
      <c r="T1104" s="2" t="s">
        <v>74</v>
      </c>
      <c r="U1104" s="2" t="s">
        <v>74</v>
      </c>
      <c r="V1104" s="5" t="s">
        <v>5767</v>
      </c>
      <c r="W1104" s="2" t="s">
        <v>74</v>
      </c>
      <c r="X1104" s="2" t="s">
        <v>74</v>
      </c>
      <c r="Y1104" s="2" t="s">
        <v>74</v>
      </c>
      <c r="Z1104" s="2" t="s">
        <v>74</v>
      </c>
      <c r="AA1104" s="2" t="s">
        <v>74</v>
      </c>
      <c r="AB1104" s="2" t="s">
        <v>74</v>
      </c>
      <c r="AC1104" s="2" t="s">
        <v>74</v>
      </c>
      <c r="AD1104" s="2" t="s">
        <v>74</v>
      </c>
      <c r="AE1104" s="2" t="s">
        <v>74</v>
      </c>
      <c r="AF1104" s="2" t="s">
        <v>74</v>
      </c>
      <c r="AG1104" s="2" t="s">
        <v>74</v>
      </c>
      <c r="AH1104" s="2" t="s">
        <v>74</v>
      </c>
      <c r="AI1104" s="2" t="s">
        <v>74</v>
      </c>
      <c r="AJ1104" s="2" t="s">
        <v>74</v>
      </c>
      <c r="AK1104" s="2" t="s">
        <v>74</v>
      </c>
      <c r="AL1104" s="2" t="s">
        <v>74</v>
      </c>
      <c r="AM1104" s="2" t="s">
        <v>74</v>
      </c>
      <c r="AN1104" s="2" t="s">
        <v>74</v>
      </c>
      <c r="AO1104" s="2" t="s">
        <v>778</v>
      </c>
      <c r="AP1104" s="2" t="s">
        <v>779</v>
      </c>
      <c r="AQ1104" s="2" t="s">
        <v>74</v>
      </c>
      <c r="AR1104" s="2" t="s">
        <v>74</v>
      </c>
      <c r="AS1104" s="2" t="s">
        <v>74</v>
      </c>
      <c r="AT1104" s="2" t="s">
        <v>5768</v>
      </c>
      <c r="AU1104" s="2">
        <v>2022</v>
      </c>
      <c r="AV1104" s="2">
        <v>68</v>
      </c>
      <c r="AW1104" s="2">
        <v>5</v>
      </c>
      <c r="AX1104" s="2" t="s">
        <v>74</v>
      </c>
      <c r="AY1104" s="2" t="s">
        <v>74</v>
      </c>
      <c r="AZ1104" s="2" t="s">
        <v>74</v>
      </c>
      <c r="BA1104" s="2" t="s">
        <v>74</v>
      </c>
      <c r="BB1104" s="2">
        <v>600</v>
      </c>
      <c r="BC1104" s="2">
        <v>607</v>
      </c>
      <c r="BD1104" s="2" t="s">
        <v>74</v>
      </c>
      <c r="BE1104" s="2" t="s">
        <v>5769</v>
      </c>
      <c r="BF1104" s="2" t="str">
        <f>HYPERLINK("http://dx.doi.org/10.1093/cz/zoab087","http://dx.doi.org/10.1093/cz/zoab087")</f>
        <v>http://dx.doi.org/10.1093/cz/zoab087</v>
      </c>
      <c r="BG1104" s="2" t="s">
        <v>74</v>
      </c>
      <c r="BH1104" s="2" t="s">
        <v>5103</v>
      </c>
      <c r="BI1104" s="2" t="s">
        <v>74</v>
      </c>
      <c r="BJ1104" s="2" t="s">
        <v>74</v>
      </c>
      <c r="BK1104" s="2" t="s">
        <v>74</v>
      </c>
      <c r="BL1104" s="2" t="s">
        <v>74</v>
      </c>
      <c r="BM1104" s="2" t="s">
        <v>74</v>
      </c>
      <c r="BN1104" s="2">
        <v>36324536</v>
      </c>
      <c r="BO1104" s="2" t="s">
        <v>74</v>
      </c>
      <c r="BP1104" s="2" t="s">
        <v>74</v>
      </c>
      <c r="BQ1104" s="2" t="s">
        <v>74</v>
      </c>
      <c r="BR1104" s="2" t="s">
        <v>74</v>
      </c>
      <c r="BS1104" s="2" t="s">
        <v>5770</v>
      </c>
      <c r="BT1104" s="2" t="str">
        <f>HYPERLINK("https%3A%2F%2Fwww.webofscience.com%2Fwos%2Fwoscc%2Ffull-record%2FWOS:000789358100001","View Full Record in Web of Science")</f>
        <v>View Full Record in Web of Science</v>
      </c>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row>
    <row r="1105" spans="1:314" s="2" customFormat="1" x14ac:dyDescent="0.4">
      <c r="A1105" s="2" t="s">
        <v>72</v>
      </c>
      <c r="B1105" s="2" t="s">
        <v>5744</v>
      </c>
      <c r="C1105" s="2" t="s">
        <v>74</v>
      </c>
      <c r="D1105" s="2" t="s">
        <v>74</v>
      </c>
      <c r="E1105" s="2" t="s">
        <v>74</v>
      </c>
      <c r="F1105" s="2" t="s">
        <v>5745</v>
      </c>
      <c r="G1105" s="2" t="s">
        <v>74</v>
      </c>
      <c r="H1105" s="2" t="s">
        <v>74</v>
      </c>
      <c r="I1105" s="2" t="s">
        <v>5746</v>
      </c>
      <c r="J1105" s="2" t="s">
        <v>2042</v>
      </c>
      <c r="K1105" s="2" t="s">
        <v>74</v>
      </c>
      <c r="L1105" s="2" t="s">
        <v>74</v>
      </c>
      <c r="M1105" s="2" t="s">
        <v>74</v>
      </c>
      <c r="N1105" s="2" t="s">
        <v>74</v>
      </c>
      <c r="O1105" s="2" t="s">
        <v>74</v>
      </c>
      <c r="P1105" s="2" t="s">
        <v>74</v>
      </c>
      <c r="Q1105" s="2" t="s">
        <v>74</v>
      </c>
      <c r="R1105" s="2" t="s">
        <v>74</v>
      </c>
      <c r="S1105" s="2" t="s">
        <v>74</v>
      </c>
      <c r="T1105" s="2" t="s">
        <v>74</v>
      </c>
      <c r="U1105" s="2" t="s">
        <v>74</v>
      </c>
      <c r="V1105" s="5" t="s">
        <v>5747</v>
      </c>
      <c r="W1105" s="2" t="s">
        <v>74</v>
      </c>
      <c r="X1105" s="2" t="s">
        <v>74</v>
      </c>
      <c r="Y1105" s="2" t="s">
        <v>74</v>
      </c>
      <c r="Z1105" s="2" t="s">
        <v>74</v>
      </c>
      <c r="AA1105" s="2" t="s">
        <v>5748</v>
      </c>
      <c r="AB1105" s="2" t="s">
        <v>5749</v>
      </c>
      <c r="AC1105" s="2" t="s">
        <v>74</v>
      </c>
      <c r="AD1105" s="2" t="s">
        <v>74</v>
      </c>
      <c r="AE1105" s="2" t="s">
        <v>74</v>
      </c>
      <c r="AF1105" s="2" t="s">
        <v>74</v>
      </c>
      <c r="AG1105" s="2" t="s">
        <v>74</v>
      </c>
      <c r="AH1105" s="2" t="s">
        <v>74</v>
      </c>
      <c r="AI1105" s="2" t="s">
        <v>74</v>
      </c>
      <c r="AJ1105" s="2" t="s">
        <v>74</v>
      </c>
      <c r="AK1105" s="2" t="s">
        <v>74</v>
      </c>
      <c r="AL1105" s="2" t="s">
        <v>74</v>
      </c>
      <c r="AM1105" s="2" t="s">
        <v>74</v>
      </c>
      <c r="AN1105" s="2" t="s">
        <v>74</v>
      </c>
      <c r="AO1105" s="2" t="s">
        <v>2045</v>
      </c>
      <c r="AP1105" s="2" t="s">
        <v>2046</v>
      </c>
      <c r="AQ1105" s="2" t="s">
        <v>74</v>
      </c>
      <c r="AR1105" s="2" t="s">
        <v>74</v>
      </c>
      <c r="AS1105" s="2" t="s">
        <v>74</v>
      </c>
      <c r="AT1105" s="2" t="s">
        <v>255</v>
      </c>
      <c r="AU1105" s="2">
        <v>2016</v>
      </c>
      <c r="AV1105" s="2">
        <v>63</v>
      </c>
      <c r="AW1105" s="2">
        <v>1</v>
      </c>
      <c r="AX1105" s="2" t="s">
        <v>74</v>
      </c>
      <c r="AY1105" s="2" t="s">
        <v>74</v>
      </c>
      <c r="AZ1105" s="2" t="s">
        <v>74</v>
      </c>
      <c r="BA1105" s="2" t="s">
        <v>74</v>
      </c>
      <c r="BB1105" s="2">
        <v>94</v>
      </c>
      <c r="BC1105" s="2">
        <v>109</v>
      </c>
      <c r="BD1105" s="2" t="s">
        <v>74</v>
      </c>
      <c r="BE1105" s="2" t="s">
        <v>5750</v>
      </c>
      <c r="BF1105" s="2" t="str">
        <f>HYPERLINK("http://dx.doi.org/10.1007/s10228-015-0480-9","http://dx.doi.org/10.1007/s10228-015-0480-9")</f>
        <v>http://dx.doi.org/10.1007/s10228-015-0480-9</v>
      </c>
      <c r="BG1105" s="2" t="s">
        <v>74</v>
      </c>
      <c r="BH1105" s="2" t="s">
        <v>74</v>
      </c>
      <c r="BI1105" s="2" t="s">
        <v>74</v>
      </c>
      <c r="BJ1105" s="2" t="s">
        <v>74</v>
      </c>
      <c r="BK1105" s="2" t="s">
        <v>74</v>
      </c>
      <c r="BL1105" s="2" t="s">
        <v>74</v>
      </c>
      <c r="BM1105" s="2" t="s">
        <v>74</v>
      </c>
      <c r="BN1105" s="2" t="s">
        <v>74</v>
      </c>
      <c r="BO1105" s="2" t="s">
        <v>74</v>
      </c>
      <c r="BP1105" s="2" t="s">
        <v>74</v>
      </c>
      <c r="BQ1105" s="2" t="s">
        <v>74</v>
      </c>
      <c r="BR1105" s="2" t="s">
        <v>74</v>
      </c>
      <c r="BS1105" s="2" t="s">
        <v>5751</v>
      </c>
      <c r="BT1105" s="2" t="str">
        <f>HYPERLINK("https%3A%2F%2Fwww.webofscience.com%2Fwos%2Fwoscc%2Ffull-record%2FWOS:000367602100010","View Full Record in Web of Science")</f>
        <v>View Full Record in Web of Science</v>
      </c>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row>
    <row r="1106" spans="1:314" s="2" customFormat="1" x14ac:dyDescent="0.4">
      <c r="A1106" s="2" t="s">
        <v>72</v>
      </c>
      <c r="B1106" s="2" t="s">
        <v>2394</v>
      </c>
      <c r="C1106" s="2" t="s">
        <v>74</v>
      </c>
      <c r="D1106" s="2" t="s">
        <v>74</v>
      </c>
      <c r="E1106" s="2" t="s">
        <v>74</v>
      </c>
      <c r="F1106" s="2" t="s">
        <v>2395</v>
      </c>
      <c r="G1106" s="2" t="s">
        <v>74</v>
      </c>
      <c r="H1106" s="2" t="s">
        <v>74</v>
      </c>
      <c r="I1106" s="2" t="s">
        <v>2396</v>
      </c>
      <c r="J1106" s="2" t="s">
        <v>140</v>
      </c>
      <c r="K1106" s="2" t="s">
        <v>74</v>
      </c>
      <c r="L1106" s="2" t="s">
        <v>74</v>
      </c>
      <c r="M1106" s="2" t="s">
        <v>74</v>
      </c>
      <c r="N1106" s="2" t="s">
        <v>74</v>
      </c>
      <c r="O1106" s="2" t="s">
        <v>74</v>
      </c>
      <c r="P1106" s="2" t="s">
        <v>74</v>
      </c>
      <c r="Q1106" s="2" t="s">
        <v>74</v>
      </c>
      <c r="R1106" s="2" t="s">
        <v>74</v>
      </c>
      <c r="S1106" s="2" t="s">
        <v>74</v>
      </c>
      <c r="T1106" s="2" t="s">
        <v>74</v>
      </c>
      <c r="U1106" s="2" t="s">
        <v>74</v>
      </c>
      <c r="V1106" s="5" t="s">
        <v>2397</v>
      </c>
      <c r="W1106" s="2" t="s">
        <v>74</v>
      </c>
      <c r="X1106" s="2" t="s">
        <v>74</v>
      </c>
      <c r="Y1106" s="2" t="s">
        <v>74</v>
      </c>
      <c r="Z1106" s="2" t="s">
        <v>74</v>
      </c>
      <c r="AA1106" s="2" t="s">
        <v>2398</v>
      </c>
      <c r="AB1106" s="2" t="s">
        <v>2399</v>
      </c>
      <c r="AC1106" s="2" t="s">
        <v>74</v>
      </c>
      <c r="AD1106" s="2" t="s">
        <v>74</v>
      </c>
      <c r="AE1106" s="2" t="s">
        <v>74</v>
      </c>
      <c r="AF1106" s="2" t="s">
        <v>74</v>
      </c>
      <c r="AG1106" s="2" t="s">
        <v>74</v>
      </c>
      <c r="AH1106" s="2" t="s">
        <v>74</v>
      </c>
      <c r="AI1106" s="2" t="s">
        <v>74</v>
      </c>
      <c r="AJ1106" s="2" t="s">
        <v>74</v>
      </c>
      <c r="AK1106" s="2" t="s">
        <v>74</v>
      </c>
      <c r="AL1106" s="2" t="s">
        <v>74</v>
      </c>
      <c r="AM1106" s="2" t="s">
        <v>74</v>
      </c>
      <c r="AN1106" s="2" t="s">
        <v>74</v>
      </c>
      <c r="AO1106" s="2" t="s">
        <v>143</v>
      </c>
      <c r="AP1106" s="2" t="s">
        <v>144</v>
      </c>
      <c r="AQ1106" s="2" t="s">
        <v>74</v>
      </c>
      <c r="AR1106" s="2" t="s">
        <v>74</v>
      </c>
      <c r="AS1106" s="2" t="s">
        <v>74</v>
      </c>
      <c r="AT1106" s="2" t="s">
        <v>145</v>
      </c>
      <c r="AU1106" s="2">
        <v>2006</v>
      </c>
      <c r="AV1106" s="2">
        <v>72</v>
      </c>
      <c r="AW1106" s="2" t="s">
        <v>74</v>
      </c>
      <c r="AX1106" s="2">
        <v>2</v>
      </c>
      <c r="AY1106" s="2" t="s">
        <v>74</v>
      </c>
      <c r="AZ1106" s="2" t="s">
        <v>74</v>
      </c>
      <c r="BA1106" s="2" t="s">
        <v>74</v>
      </c>
      <c r="BB1106" s="2">
        <v>353</v>
      </c>
      <c r="BC1106" s="2">
        <v>363</v>
      </c>
      <c r="BD1106" s="2" t="s">
        <v>74</v>
      </c>
      <c r="BE1106" s="2" t="s">
        <v>2400</v>
      </c>
      <c r="BF1106" s="2" t="str">
        <f>HYPERLINK("http://dx.doi.org/10.1016/j.anbehav.2005.10.018","http://dx.doi.org/10.1016/j.anbehav.2005.10.018")</f>
        <v>http://dx.doi.org/10.1016/j.anbehav.2005.10.018</v>
      </c>
      <c r="BG1106" s="2" t="s">
        <v>74</v>
      </c>
      <c r="BH1106" s="2" t="s">
        <v>74</v>
      </c>
      <c r="BI1106" s="2" t="s">
        <v>74</v>
      </c>
      <c r="BJ1106" s="2" t="s">
        <v>74</v>
      </c>
      <c r="BK1106" s="2" t="s">
        <v>74</v>
      </c>
      <c r="BL1106" s="2" t="s">
        <v>74</v>
      </c>
      <c r="BM1106" s="2" t="s">
        <v>74</v>
      </c>
      <c r="BN1106" s="2" t="s">
        <v>74</v>
      </c>
      <c r="BO1106" s="2" t="s">
        <v>74</v>
      </c>
      <c r="BP1106" s="2" t="s">
        <v>74</v>
      </c>
      <c r="BQ1106" s="2" t="s">
        <v>74</v>
      </c>
      <c r="BR1106" s="2" t="s">
        <v>74</v>
      </c>
      <c r="BS1106" s="2" t="s">
        <v>2401</v>
      </c>
      <c r="BT1106" s="2" t="str">
        <f>HYPERLINK("https%3A%2F%2Fwww.webofscience.com%2Fwos%2Fwoscc%2Ffull-record%2FWOS:000240217300011","View Full Record in Web of Science")</f>
        <v>View Full Record in Web of Science</v>
      </c>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row>
    <row r="1107" spans="1:314" s="2" customFormat="1" x14ac:dyDescent="0.4">
      <c r="A1107" s="2" t="s">
        <v>72</v>
      </c>
      <c r="B1107" s="2" t="s">
        <v>6659</v>
      </c>
      <c r="C1107" s="2" t="s">
        <v>74</v>
      </c>
      <c r="D1107" s="2" t="s">
        <v>74</v>
      </c>
      <c r="E1107" s="2" t="s">
        <v>74</v>
      </c>
      <c r="F1107" s="2" t="s">
        <v>6660</v>
      </c>
      <c r="G1107" s="2" t="s">
        <v>74</v>
      </c>
      <c r="H1107" s="2" t="s">
        <v>74</v>
      </c>
      <c r="I1107" s="2" t="s">
        <v>6661</v>
      </c>
      <c r="J1107" s="2" t="s">
        <v>2017</v>
      </c>
      <c r="K1107" s="2" t="s">
        <v>74</v>
      </c>
      <c r="L1107" s="2" t="s">
        <v>74</v>
      </c>
      <c r="M1107" s="2" t="s">
        <v>74</v>
      </c>
      <c r="N1107" s="2" t="s">
        <v>74</v>
      </c>
      <c r="O1107" s="2" t="s">
        <v>74</v>
      </c>
      <c r="P1107" s="2" t="s">
        <v>74</v>
      </c>
      <c r="Q1107" s="2" t="s">
        <v>74</v>
      </c>
      <c r="R1107" s="2" t="s">
        <v>74</v>
      </c>
      <c r="S1107" s="2" t="s">
        <v>74</v>
      </c>
      <c r="T1107" s="2" t="s">
        <v>74</v>
      </c>
      <c r="U1107" s="2" t="s">
        <v>74</v>
      </c>
      <c r="V1107" s="5" t="s">
        <v>6662</v>
      </c>
      <c r="W1107" s="2" t="s">
        <v>74</v>
      </c>
      <c r="X1107" s="2" t="s">
        <v>74</v>
      </c>
      <c r="Y1107" s="2" t="s">
        <v>74</v>
      </c>
      <c r="Z1107" s="2" t="s">
        <v>74</v>
      </c>
      <c r="AA1107" s="2" t="s">
        <v>6663</v>
      </c>
      <c r="AB1107" s="2" t="s">
        <v>6664</v>
      </c>
      <c r="AC1107" s="2" t="s">
        <v>74</v>
      </c>
      <c r="AD1107" s="2" t="s">
        <v>74</v>
      </c>
      <c r="AE1107" s="2" t="s">
        <v>74</v>
      </c>
      <c r="AF1107" s="2" t="s">
        <v>74</v>
      </c>
      <c r="AG1107" s="2" t="s">
        <v>74</v>
      </c>
      <c r="AH1107" s="2" t="s">
        <v>74</v>
      </c>
      <c r="AI1107" s="2" t="s">
        <v>74</v>
      </c>
      <c r="AJ1107" s="2" t="s">
        <v>74</v>
      </c>
      <c r="AK1107" s="2" t="s">
        <v>74</v>
      </c>
      <c r="AL1107" s="2" t="s">
        <v>74</v>
      </c>
      <c r="AM1107" s="2" t="s">
        <v>74</v>
      </c>
      <c r="AN1107" s="2" t="s">
        <v>74</v>
      </c>
      <c r="AO1107" s="2" t="s">
        <v>2021</v>
      </c>
      <c r="AP1107" s="2" t="s">
        <v>74</v>
      </c>
      <c r="AQ1107" s="2" t="s">
        <v>74</v>
      </c>
      <c r="AR1107" s="2" t="s">
        <v>74</v>
      </c>
      <c r="AS1107" s="2" t="s">
        <v>74</v>
      </c>
      <c r="AT1107" s="2" t="s">
        <v>6665</v>
      </c>
      <c r="AU1107" s="2">
        <v>2018</v>
      </c>
      <c r="AV1107" s="2">
        <v>6</v>
      </c>
      <c r="AW1107" s="2" t="s">
        <v>74</v>
      </c>
      <c r="AX1107" s="2" t="s">
        <v>74</v>
      </c>
      <c r="AY1107" s="2" t="s">
        <v>74</v>
      </c>
      <c r="AZ1107" s="2" t="s">
        <v>74</v>
      </c>
      <c r="BA1107" s="2" t="s">
        <v>74</v>
      </c>
      <c r="BB1107" s="2" t="s">
        <v>74</v>
      </c>
      <c r="BC1107" s="2" t="s">
        <v>74</v>
      </c>
      <c r="BD1107" s="2">
        <v>70</v>
      </c>
      <c r="BE1107" s="2" t="s">
        <v>6666</v>
      </c>
      <c r="BF1107" s="2" t="str">
        <f>HYPERLINK("http://dx.doi.org/10.3389/fevo.2018.00070","http://dx.doi.org/10.3389/fevo.2018.00070")</f>
        <v>http://dx.doi.org/10.3389/fevo.2018.00070</v>
      </c>
      <c r="BG1107" s="2" t="s">
        <v>74</v>
      </c>
      <c r="BH1107" s="2" t="s">
        <v>74</v>
      </c>
      <c r="BI1107" s="2" t="s">
        <v>74</v>
      </c>
      <c r="BJ1107" s="2" t="s">
        <v>74</v>
      </c>
      <c r="BK1107" s="2" t="s">
        <v>74</v>
      </c>
      <c r="BL1107" s="2" t="s">
        <v>74</v>
      </c>
      <c r="BM1107" s="2" t="s">
        <v>74</v>
      </c>
      <c r="BN1107" s="2" t="s">
        <v>74</v>
      </c>
      <c r="BO1107" s="2" t="s">
        <v>74</v>
      </c>
      <c r="BP1107" s="2" t="s">
        <v>74</v>
      </c>
      <c r="BQ1107" s="2" t="s">
        <v>74</v>
      </c>
      <c r="BR1107" s="2" t="s">
        <v>74</v>
      </c>
      <c r="BS1107" s="2" t="s">
        <v>6667</v>
      </c>
      <c r="BT1107" s="2" t="str">
        <f>HYPERLINK("https%3A%2F%2Fwww.webofscience.com%2Fwos%2Fwoscc%2Ffull-record%2FWOS:000451666100001","View Full Record in Web of Science")</f>
        <v>View Full Record in Web of Science</v>
      </c>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row>
    <row r="1108" spans="1:314" s="2" customFormat="1" x14ac:dyDescent="0.4">
      <c r="A1108" s="2" t="s">
        <v>72</v>
      </c>
      <c r="B1108" s="2" t="s">
        <v>7262</v>
      </c>
      <c r="C1108" s="2" t="s">
        <v>74</v>
      </c>
      <c r="D1108" s="2" t="s">
        <v>74</v>
      </c>
      <c r="E1108" s="2" t="s">
        <v>74</v>
      </c>
      <c r="F1108" s="2" t="s">
        <v>7262</v>
      </c>
      <c r="G1108" s="2" t="s">
        <v>74</v>
      </c>
      <c r="H1108" s="2" t="s">
        <v>74</v>
      </c>
      <c r="I1108" s="2" t="s">
        <v>7263</v>
      </c>
      <c r="J1108" s="2" t="s">
        <v>129</v>
      </c>
      <c r="K1108" s="2" t="s">
        <v>74</v>
      </c>
      <c r="L1108" s="2" t="s">
        <v>74</v>
      </c>
      <c r="M1108" s="2" t="s">
        <v>74</v>
      </c>
      <c r="N1108" s="2" t="s">
        <v>74</v>
      </c>
      <c r="O1108" s="2" t="s">
        <v>74</v>
      </c>
      <c r="P1108" s="2" t="s">
        <v>74</v>
      </c>
      <c r="Q1108" s="2" t="s">
        <v>74</v>
      </c>
      <c r="R1108" s="2" t="s">
        <v>74</v>
      </c>
      <c r="S1108" s="2" t="s">
        <v>74</v>
      </c>
      <c r="T1108" s="2" t="s">
        <v>74</v>
      </c>
      <c r="U1108" s="2" t="s">
        <v>74</v>
      </c>
      <c r="V1108" s="5" t="s">
        <v>7264</v>
      </c>
      <c r="W1108" s="2" t="s">
        <v>74</v>
      </c>
      <c r="X1108" s="2" t="s">
        <v>74</v>
      </c>
      <c r="Y1108" s="2" t="s">
        <v>74</v>
      </c>
      <c r="Z1108" s="2" t="s">
        <v>74</v>
      </c>
      <c r="AA1108" s="2" t="s">
        <v>3138</v>
      </c>
      <c r="AB1108" s="2" t="s">
        <v>7265</v>
      </c>
      <c r="AC1108" s="2" t="s">
        <v>74</v>
      </c>
      <c r="AD1108" s="2" t="s">
        <v>74</v>
      </c>
      <c r="AE1108" s="2" t="s">
        <v>74</v>
      </c>
      <c r="AF1108" s="2" t="s">
        <v>74</v>
      </c>
      <c r="AG1108" s="2" t="s">
        <v>74</v>
      </c>
      <c r="AH1108" s="2" t="s">
        <v>74</v>
      </c>
      <c r="AI1108" s="2" t="s">
        <v>74</v>
      </c>
      <c r="AJ1108" s="2" t="s">
        <v>74</v>
      </c>
      <c r="AK1108" s="2" t="s">
        <v>74</v>
      </c>
      <c r="AL1108" s="2" t="s">
        <v>74</v>
      </c>
      <c r="AM1108" s="2" t="s">
        <v>74</v>
      </c>
      <c r="AN1108" s="2" t="s">
        <v>74</v>
      </c>
      <c r="AO1108" s="2" t="s">
        <v>132</v>
      </c>
      <c r="AP1108" s="2" t="s">
        <v>74</v>
      </c>
      <c r="AQ1108" s="2" t="s">
        <v>74</v>
      </c>
      <c r="AR1108" s="2" t="s">
        <v>74</v>
      </c>
      <c r="AS1108" s="2" t="s">
        <v>74</v>
      </c>
      <c r="AT1108" s="2" t="s">
        <v>145</v>
      </c>
      <c r="AU1108" s="2">
        <v>1999</v>
      </c>
      <c r="AV1108" s="2">
        <v>46</v>
      </c>
      <c r="AW1108" s="2">
        <v>3</v>
      </c>
      <c r="AX1108" s="2" t="s">
        <v>74</v>
      </c>
      <c r="AY1108" s="2" t="s">
        <v>74</v>
      </c>
      <c r="AZ1108" s="2" t="s">
        <v>74</v>
      </c>
      <c r="BA1108" s="2" t="s">
        <v>74</v>
      </c>
      <c r="BB1108" s="2">
        <v>210</v>
      </c>
      <c r="BC1108" s="2">
        <v>214</v>
      </c>
      <c r="BD1108" s="2" t="s">
        <v>74</v>
      </c>
      <c r="BE1108" s="2" t="s">
        <v>7266</v>
      </c>
      <c r="BF1108" s="2" t="str">
        <f>HYPERLINK("http://dx.doi.org/10.1007/s002650050611","http://dx.doi.org/10.1007/s002650050611")</f>
        <v>http://dx.doi.org/10.1007/s002650050611</v>
      </c>
      <c r="BG1108" s="2" t="s">
        <v>74</v>
      </c>
      <c r="BH1108" s="2" t="s">
        <v>74</v>
      </c>
      <c r="BI1108" s="2" t="s">
        <v>74</v>
      </c>
      <c r="BJ1108" s="2" t="s">
        <v>74</v>
      </c>
      <c r="BK1108" s="2" t="s">
        <v>74</v>
      </c>
      <c r="BL1108" s="2" t="s">
        <v>74</v>
      </c>
      <c r="BM1108" s="2" t="s">
        <v>74</v>
      </c>
      <c r="BN1108" s="2" t="s">
        <v>74</v>
      </c>
      <c r="BO1108" s="2" t="s">
        <v>74</v>
      </c>
      <c r="BP1108" s="2" t="s">
        <v>74</v>
      </c>
      <c r="BQ1108" s="2" t="s">
        <v>74</v>
      </c>
      <c r="BR1108" s="2" t="s">
        <v>74</v>
      </c>
      <c r="BS1108" s="2" t="s">
        <v>7267</v>
      </c>
      <c r="BT1108" s="2" t="str">
        <f>HYPERLINK("https%3A%2F%2Fwww.webofscience.com%2Fwos%2Fwoscc%2Ffull-record%2FWOS:000082141200009","View Full Record in Web of Science")</f>
        <v>View Full Record in Web of Science</v>
      </c>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row>
    <row r="1109" spans="1:314" s="2" customFormat="1" x14ac:dyDescent="0.4">
      <c r="A1109" s="2" t="s">
        <v>72</v>
      </c>
      <c r="B1109" s="2" t="s">
        <v>2834</v>
      </c>
      <c r="C1109" s="2" t="s">
        <v>74</v>
      </c>
      <c r="D1109" s="2" t="s">
        <v>74</v>
      </c>
      <c r="E1109" s="2" t="s">
        <v>74</v>
      </c>
      <c r="F1109" s="2" t="s">
        <v>2835</v>
      </c>
      <c r="G1109" s="2" t="s">
        <v>74</v>
      </c>
      <c r="H1109" s="2" t="s">
        <v>74</v>
      </c>
      <c r="I1109" s="2" t="s">
        <v>2836</v>
      </c>
      <c r="J1109" s="2" t="s">
        <v>367</v>
      </c>
      <c r="K1109" s="2" t="s">
        <v>74</v>
      </c>
      <c r="L1109" s="2" t="s">
        <v>74</v>
      </c>
      <c r="M1109" s="2" t="s">
        <v>74</v>
      </c>
      <c r="N1109" s="2" t="s">
        <v>74</v>
      </c>
      <c r="O1109" s="2" t="s">
        <v>74</v>
      </c>
      <c r="P1109" s="2" t="s">
        <v>74</v>
      </c>
      <c r="Q1109" s="2" t="s">
        <v>74</v>
      </c>
      <c r="R1109" s="2" t="s">
        <v>74</v>
      </c>
      <c r="S1109" s="2" t="s">
        <v>74</v>
      </c>
      <c r="T1109" s="2" t="s">
        <v>74</v>
      </c>
      <c r="U1109" s="2" t="s">
        <v>74</v>
      </c>
      <c r="V1109" s="5" t="s">
        <v>2837</v>
      </c>
      <c r="W1109" s="2" t="s">
        <v>74</v>
      </c>
      <c r="X1109" s="2" t="s">
        <v>74</v>
      </c>
      <c r="Y1109" s="2" t="s">
        <v>74</v>
      </c>
      <c r="Z1109" s="2" t="s">
        <v>74</v>
      </c>
      <c r="AA1109" s="2" t="s">
        <v>2838</v>
      </c>
      <c r="AB1109" s="2" t="s">
        <v>2839</v>
      </c>
      <c r="AC1109" s="2" t="s">
        <v>74</v>
      </c>
      <c r="AD1109" s="2" t="s">
        <v>74</v>
      </c>
      <c r="AE1109" s="2" t="s">
        <v>74</v>
      </c>
      <c r="AF1109" s="2" t="s">
        <v>74</v>
      </c>
      <c r="AG1109" s="2" t="s">
        <v>74</v>
      </c>
      <c r="AH1109" s="2" t="s">
        <v>74</v>
      </c>
      <c r="AI1109" s="2" t="s">
        <v>74</v>
      </c>
      <c r="AJ1109" s="2" t="s">
        <v>74</v>
      </c>
      <c r="AK1109" s="2" t="s">
        <v>74</v>
      </c>
      <c r="AL1109" s="2" t="s">
        <v>74</v>
      </c>
      <c r="AM1109" s="2" t="s">
        <v>74</v>
      </c>
      <c r="AN1109" s="2" t="s">
        <v>74</v>
      </c>
      <c r="AO1109" s="2" t="s">
        <v>371</v>
      </c>
      <c r="AP1109" s="2" t="s">
        <v>372</v>
      </c>
      <c r="AQ1109" s="2" t="s">
        <v>74</v>
      </c>
      <c r="AR1109" s="2" t="s">
        <v>74</v>
      </c>
      <c r="AS1109" s="2" t="s">
        <v>74</v>
      </c>
      <c r="AT1109" s="2" t="s">
        <v>2840</v>
      </c>
      <c r="AU1109" s="2">
        <v>2024</v>
      </c>
      <c r="AV1109" s="2" t="s">
        <v>74</v>
      </c>
      <c r="AW1109" s="2" t="s">
        <v>74</v>
      </c>
      <c r="AX1109" s="2" t="s">
        <v>74</v>
      </c>
      <c r="AY1109" s="2" t="s">
        <v>74</v>
      </c>
      <c r="AZ1109" s="2" t="s">
        <v>74</v>
      </c>
      <c r="BA1109" s="2" t="s">
        <v>74</v>
      </c>
      <c r="BB1109" s="2" t="s">
        <v>74</v>
      </c>
      <c r="BC1109" s="2" t="s">
        <v>74</v>
      </c>
      <c r="BD1109" s="2" t="s">
        <v>74</v>
      </c>
      <c r="BE1109" s="2" t="s">
        <v>2841</v>
      </c>
      <c r="BF1109" s="2" t="str">
        <f>HYPERLINK("http://dx.doi.org/10.1037/com0000374","http://dx.doi.org/10.1037/com0000374")</f>
        <v>http://dx.doi.org/10.1037/com0000374</v>
      </c>
      <c r="BG1109" s="2" t="s">
        <v>74</v>
      </c>
      <c r="BH1109" s="2" t="s">
        <v>2842</v>
      </c>
      <c r="BI1109" s="2" t="s">
        <v>74</v>
      </c>
      <c r="BJ1109" s="2" t="s">
        <v>74</v>
      </c>
      <c r="BK1109" s="2" t="s">
        <v>74</v>
      </c>
      <c r="BL1109" s="2" t="s">
        <v>74</v>
      </c>
      <c r="BM1109" s="2" t="s">
        <v>74</v>
      </c>
      <c r="BN1109" s="2">
        <v>38330314</v>
      </c>
      <c r="BO1109" s="2" t="s">
        <v>74</v>
      </c>
      <c r="BP1109" s="2" t="s">
        <v>74</v>
      </c>
      <c r="BQ1109" s="2" t="s">
        <v>74</v>
      </c>
      <c r="BR1109" s="2" t="s">
        <v>74</v>
      </c>
      <c r="BS1109" s="2" t="s">
        <v>2843</v>
      </c>
      <c r="BT1109" s="2" t="str">
        <f>HYPERLINK("https%3A%2F%2Fwww.webofscience.com%2Fwos%2Fwoscc%2Ffull-record%2FWOS:001158763200001","View Full Record in Web of Science")</f>
        <v>View Full Record in Web of Science</v>
      </c>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row>
    <row r="1110" spans="1:314" s="2" customFormat="1" x14ac:dyDescent="0.4">
      <c r="A1110" s="2" t="s">
        <v>72</v>
      </c>
      <c r="B1110" s="2" t="s">
        <v>3740</v>
      </c>
      <c r="C1110" s="2" t="s">
        <v>74</v>
      </c>
      <c r="D1110" s="2" t="s">
        <v>74</v>
      </c>
      <c r="E1110" s="2" t="s">
        <v>74</v>
      </c>
      <c r="F1110" s="2" t="s">
        <v>3740</v>
      </c>
      <c r="G1110" s="2" t="s">
        <v>74</v>
      </c>
      <c r="H1110" s="2" t="s">
        <v>74</v>
      </c>
      <c r="I1110" s="2" t="s">
        <v>3741</v>
      </c>
      <c r="J1110" s="2" t="s">
        <v>77</v>
      </c>
      <c r="K1110" s="2" t="s">
        <v>74</v>
      </c>
      <c r="L1110" s="2" t="s">
        <v>74</v>
      </c>
      <c r="M1110" s="2" t="s">
        <v>74</v>
      </c>
      <c r="N1110" s="2" t="s">
        <v>74</v>
      </c>
      <c r="O1110" s="2" t="s">
        <v>74</v>
      </c>
      <c r="P1110" s="2" t="s">
        <v>74</v>
      </c>
      <c r="Q1110" s="2" t="s">
        <v>74</v>
      </c>
      <c r="R1110" s="2" t="s">
        <v>74</v>
      </c>
      <c r="S1110" s="2" t="s">
        <v>74</v>
      </c>
      <c r="T1110" s="2" t="s">
        <v>74</v>
      </c>
      <c r="U1110" s="2" t="s">
        <v>74</v>
      </c>
      <c r="V1110" s="5" t="s">
        <v>3742</v>
      </c>
      <c r="W1110" s="2" t="s">
        <v>74</v>
      </c>
      <c r="X1110" s="2" t="s">
        <v>74</v>
      </c>
      <c r="Y1110" s="2" t="s">
        <v>74</v>
      </c>
      <c r="Z1110" s="2" t="s">
        <v>74</v>
      </c>
      <c r="AA1110" s="2" t="s">
        <v>74</v>
      </c>
      <c r="AB1110" s="2" t="s">
        <v>74</v>
      </c>
      <c r="AC1110" s="2" t="s">
        <v>74</v>
      </c>
      <c r="AD1110" s="2" t="s">
        <v>74</v>
      </c>
      <c r="AE1110" s="2" t="s">
        <v>74</v>
      </c>
      <c r="AF1110" s="2" t="s">
        <v>74</v>
      </c>
      <c r="AG1110" s="2" t="s">
        <v>74</v>
      </c>
      <c r="AH1110" s="2" t="s">
        <v>74</v>
      </c>
      <c r="AI1110" s="2" t="s">
        <v>74</v>
      </c>
      <c r="AJ1110" s="2" t="s">
        <v>74</v>
      </c>
      <c r="AK1110" s="2" t="s">
        <v>74</v>
      </c>
      <c r="AL1110" s="2" t="s">
        <v>74</v>
      </c>
      <c r="AM1110" s="2" t="s">
        <v>74</v>
      </c>
      <c r="AN1110" s="2" t="s">
        <v>74</v>
      </c>
      <c r="AO1110" s="2" t="s">
        <v>81</v>
      </c>
      <c r="AP1110" s="2" t="s">
        <v>82</v>
      </c>
      <c r="AQ1110" s="2" t="s">
        <v>74</v>
      </c>
      <c r="AR1110" s="2" t="s">
        <v>74</v>
      </c>
      <c r="AS1110" s="2" t="s">
        <v>74</v>
      </c>
      <c r="AT1110" s="2" t="s">
        <v>305</v>
      </c>
      <c r="AU1110" s="2">
        <v>1989</v>
      </c>
      <c r="AV1110" s="2">
        <v>111</v>
      </c>
      <c r="AW1110" s="2" t="s">
        <v>74</v>
      </c>
      <c r="AX1110" s="2" t="s">
        <v>3743</v>
      </c>
      <c r="AY1110" s="2" t="s">
        <v>74</v>
      </c>
      <c r="AZ1110" s="2" t="s">
        <v>74</v>
      </c>
      <c r="BA1110" s="2" t="s">
        <v>74</v>
      </c>
      <c r="BB1110" s="2">
        <v>220</v>
      </c>
      <c r="BC1110" s="2">
        <v>233</v>
      </c>
      <c r="BD1110" s="2" t="s">
        <v>74</v>
      </c>
      <c r="BE1110" s="2" t="s">
        <v>3744</v>
      </c>
      <c r="BF1110" s="2" t="str">
        <f>HYPERLINK("http://dx.doi.org/10.1163/156853989X00673","http://dx.doi.org/10.1163/156853989X00673")</f>
        <v>http://dx.doi.org/10.1163/156853989X00673</v>
      </c>
      <c r="BG1110" s="2" t="s">
        <v>74</v>
      </c>
      <c r="BH1110" s="2" t="s">
        <v>74</v>
      </c>
      <c r="BI1110" s="2" t="s">
        <v>74</v>
      </c>
      <c r="BJ1110" s="2" t="s">
        <v>74</v>
      </c>
      <c r="BK1110" s="2" t="s">
        <v>74</v>
      </c>
      <c r="BL1110" s="2" t="s">
        <v>74</v>
      </c>
      <c r="BM1110" s="2" t="s">
        <v>74</v>
      </c>
      <c r="BN1110" s="2" t="s">
        <v>74</v>
      </c>
      <c r="BO1110" s="2" t="s">
        <v>74</v>
      </c>
      <c r="BP1110" s="2" t="s">
        <v>74</v>
      </c>
      <c r="BQ1110" s="2" t="s">
        <v>74</v>
      </c>
      <c r="BR1110" s="2" t="s">
        <v>74</v>
      </c>
      <c r="BS1110" s="2" t="s">
        <v>3745</v>
      </c>
      <c r="BT1110" s="2" t="str">
        <f>HYPERLINK("https%3A%2F%2Fwww.webofscience.com%2Fwos%2Fwoscc%2Ffull-record%2FWOS:A1989CT62800014","View Full Record in Web of Science")</f>
        <v>View Full Record in Web of Science</v>
      </c>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row>
    <row r="1111" spans="1:314" s="1" customFormat="1" x14ac:dyDescent="0.4">
      <c r="A1111" s="2" t="s">
        <v>72</v>
      </c>
      <c r="B1111" s="2" t="s">
        <v>651</v>
      </c>
      <c r="C1111" s="2" t="s">
        <v>74</v>
      </c>
      <c r="D1111" s="2" t="s">
        <v>74</v>
      </c>
      <c r="E1111" s="2" t="s">
        <v>74</v>
      </c>
      <c r="F1111" s="2" t="s">
        <v>652</v>
      </c>
      <c r="G1111" s="2" t="s">
        <v>74</v>
      </c>
      <c r="H1111" s="2" t="s">
        <v>74</v>
      </c>
      <c r="I1111" s="2" t="s">
        <v>653</v>
      </c>
      <c r="J1111" s="2" t="s">
        <v>654</v>
      </c>
      <c r="K1111" s="2" t="s">
        <v>74</v>
      </c>
      <c r="L1111" s="2" t="s">
        <v>74</v>
      </c>
      <c r="M1111" s="2" t="s">
        <v>74</v>
      </c>
      <c r="N1111" s="2" t="s">
        <v>74</v>
      </c>
      <c r="O1111" s="2" t="s">
        <v>74</v>
      </c>
      <c r="P1111" s="2" t="s">
        <v>74</v>
      </c>
      <c r="Q1111" s="2" t="s">
        <v>74</v>
      </c>
      <c r="R1111" s="2" t="s">
        <v>74</v>
      </c>
      <c r="S1111" s="2" t="s">
        <v>74</v>
      </c>
      <c r="T1111" s="2" t="s">
        <v>74</v>
      </c>
      <c r="U1111" s="2" t="s">
        <v>74</v>
      </c>
      <c r="V1111" s="5" t="s">
        <v>655</v>
      </c>
      <c r="W1111" s="2" t="s">
        <v>74</v>
      </c>
      <c r="X1111" s="2" t="s">
        <v>74</v>
      </c>
      <c r="Y1111" s="2" t="s">
        <v>74</v>
      </c>
      <c r="Z1111" s="2" t="s">
        <v>74</v>
      </c>
      <c r="AA1111" s="2" t="s">
        <v>656</v>
      </c>
      <c r="AB1111" s="2" t="s">
        <v>657</v>
      </c>
      <c r="AC1111" s="2" t="s">
        <v>74</v>
      </c>
      <c r="AD1111" s="2" t="s">
        <v>74</v>
      </c>
      <c r="AE1111" s="2" t="s">
        <v>74</v>
      </c>
      <c r="AF1111" s="2" t="s">
        <v>74</v>
      </c>
      <c r="AG1111" s="2" t="s">
        <v>74</v>
      </c>
      <c r="AH1111" s="2" t="s">
        <v>74</v>
      </c>
      <c r="AI1111" s="2" t="s">
        <v>74</v>
      </c>
      <c r="AJ1111" s="2" t="s">
        <v>74</v>
      </c>
      <c r="AK1111" s="2" t="s">
        <v>74</v>
      </c>
      <c r="AL1111" s="2" t="s">
        <v>74</v>
      </c>
      <c r="AM1111" s="2" t="s">
        <v>74</v>
      </c>
      <c r="AN1111" s="2" t="s">
        <v>74</v>
      </c>
      <c r="AO1111" s="2" t="s">
        <v>658</v>
      </c>
      <c r="AP1111" s="2" t="s">
        <v>74</v>
      </c>
      <c r="AQ1111" s="2" t="s">
        <v>74</v>
      </c>
      <c r="AR1111" s="2" t="s">
        <v>74</v>
      </c>
      <c r="AS1111" s="2" t="s">
        <v>74</v>
      </c>
      <c r="AT1111" s="2" t="s">
        <v>305</v>
      </c>
      <c r="AU1111" s="2">
        <v>2023</v>
      </c>
      <c r="AV1111" s="2">
        <v>13</v>
      </c>
      <c r="AW1111" s="2">
        <v>12</v>
      </c>
      <c r="AX1111" s="2" t="s">
        <v>74</v>
      </c>
      <c r="AY1111" s="2" t="s">
        <v>74</v>
      </c>
      <c r="AZ1111" s="2" t="s">
        <v>74</v>
      </c>
      <c r="BA1111" s="2" t="s">
        <v>74</v>
      </c>
      <c r="BB1111" s="2" t="s">
        <v>74</v>
      </c>
      <c r="BC1111" s="2" t="s">
        <v>74</v>
      </c>
      <c r="BD1111" s="2" t="s">
        <v>659</v>
      </c>
      <c r="BE1111" s="2" t="s">
        <v>660</v>
      </c>
      <c r="BF1111" s="2" t="str">
        <f>HYPERLINK("http://dx.doi.org/10.1002/ece3.10735","http://dx.doi.org/10.1002/ece3.10735")</f>
        <v>http://dx.doi.org/10.1002/ece3.10735</v>
      </c>
      <c r="BG1111" s="2" t="s">
        <v>74</v>
      </c>
      <c r="BH1111" s="2" t="s">
        <v>74</v>
      </c>
      <c r="BI1111" s="2" t="s">
        <v>74</v>
      </c>
      <c r="BJ1111" s="2" t="s">
        <v>74</v>
      </c>
      <c r="BK1111" s="2" t="s">
        <v>74</v>
      </c>
      <c r="BL1111" s="2" t="s">
        <v>74</v>
      </c>
      <c r="BM1111" s="2" t="s">
        <v>74</v>
      </c>
      <c r="BN1111" s="2">
        <v>38077506</v>
      </c>
      <c r="BO1111" s="2" t="s">
        <v>74</v>
      </c>
      <c r="BP1111" s="2" t="s">
        <v>74</v>
      </c>
      <c r="BQ1111" s="2" t="s">
        <v>74</v>
      </c>
      <c r="BR1111" s="2" t="s">
        <v>74</v>
      </c>
      <c r="BS1111" s="2" t="s">
        <v>661</v>
      </c>
      <c r="BT1111" s="2" t="str">
        <f>HYPERLINK("https%3A%2F%2Fwww.webofscience.com%2Fwos%2Fwoscc%2Ffull-record%2FWOS:001114381400001","View Full Record in Web of Science")</f>
        <v>View Full Record in Web of Science</v>
      </c>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row>
    <row r="1112" spans="1:314" s="2" customFormat="1" x14ac:dyDescent="0.4">
      <c r="A1112" s="2" t="s">
        <v>72</v>
      </c>
      <c r="B1112" s="2" t="s">
        <v>355</v>
      </c>
      <c r="C1112" s="2" t="s">
        <v>74</v>
      </c>
      <c r="D1112" s="2" t="s">
        <v>74</v>
      </c>
      <c r="E1112" s="2" t="s">
        <v>74</v>
      </c>
      <c r="F1112" s="2" t="s">
        <v>356</v>
      </c>
      <c r="G1112" s="2" t="s">
        <v>74</v>
      </c>
      <c r="H1112" s="2" t="s">
        <v>74</v>
      </c>
      <c r="I1112" s="2" t="s">
        <v>357</v>
      </c>
      <c r="J1112" s="2" t="s">
        <v>88</v>
      </c>
      <c r="K1112" s="2" t="s">
        <v>74</v>
      </c>
      <c r="L1112" s="2" t="s">
        <v>74</v>
      </c>
      <c r="M1112" s="2" t="s">
        <v>74</v>
      </c>
      <c r="N1112" s="2" t="s">
        <v>74</v>
      </c>
      <c r="O1112" s="2" t="s">
        <v>74</v>
      </c>
      <c r="P1112" s="2" t="s">
        <v>74</v>
      </c>
      <c r="Q1112" s="2" t="s">
        <v>74</v>
      </c>
      <c r="R1112" s="2" t="s">
        <v>74</v>
      </c>
      <c r="S1112" s="2" t="s">
        <v>74</v>
      </c>
      <c r="T1112" s="2" t="s">
        <v>74</v>
      </c>
      <c r="U1112" s="2" t="s">
        <v>74</v>
      </c>
      <c r="V1112" s="5" t="s">
        <v>358</v>
      </c>
      <c r="W1112" s="2" t="s">
        <v>74</v>
      </c>
      <c r="X1112" s="2" t="s">
        <v>74</v>
      </c>
      <c r="Y1112" s="2" t="s">
        <v>74</v>
      </c>
      <c r="Z1112" s="2" t="s">
        <v>74</v>
      </c>
      <c r="AA1112" s="2" t="s">
        <v>359</v>
      </c>
      <c r="AB1112" s="2" t="s">
        <v>360</v>
      </c>
      <c r="AC1112" s="2" t="s">
        <v>74</v>
      </c>
      <c r="AD1112" s="2" t="s">
        <v>74</v>
      </c>
      <c r="AE1112" s="2" t="s">
        <v>74</v>
      </c>
      <c r="AF1112" s="2" t="s">
        <v>74</v>
      </c>
      <c r="AG1112" s="2" t="s">
        <v>74</v>
      </c>
      <c r="AH1112" s="2" t="s">
        <v>74</v>
      </c>
      <c r="AI1112" s="2" t="s">
        <v>74</v>
      </c>
      <c r="AJ1112" s="2" t="s">
        <v>74</v>
      </c>
      <c r="AK1112" s="2" t="s">
        <v>74</v>
      </c>
      <c r="AL1112" s="2" t="s">
        <v>74</v>
      </c>
      <c r="AM1112" s="2" t="s">
        <v>74</v>
      </c>
      <c r="AN1112" s="2" t="s">
        <v>74</v>
      </c>
      <c r="AO1112" s="2" t="s">
        <v>91</v>
      </c>
      <c r="AP1112" s="2" t="s">
        <v>92</v>
      </c>
      <c r="AQ1112" s="2" t="s">
        <v>74</v>
      </c>
      <c r="AR1112" s="2" t="s">
        <v>74</v>
      </c>
      <c r="AS1112" s="2" t="s">
        <v>74</v>
      </c>
      <c r="AT1112" s="2" t="s">
        <v>361</v>
      </c>
      <c r="AU1112" s="2">
        <v>2015</v>
      </c>
      <c r="AV1112" s="2">
        <v>11</v>
      </c>
      <c r="AW1112" s="2">
        <v>5</v>
      </c>
      <c r="AX1112" s="2" t="s">
        <v>74</v>
      </c>
      <c r="AY1112" s="2" t="s">
        <v>74</v>
      </c>
      <c r="AZ1112" s="2" t="s">
        <v>74</v>
      </c>
      <c r="BA1112" s="2" t="s">
        <v>74</v>
      </c>
      <c r="BB1112" s="2" t="s">
        <v>74</v>
      </c>
      <c r="BC1112" s="2" t="s">
        <v>74</v>
      </c>
      <c r="BD1112" s="2">
        <v>20150166</v>
      </c>
      <c r="BE1112" s="2" t="s">
        <v>362</v>
      </c>
      <c r="BF1112" s="2" t="str">
        <f>HYPERLINK("http://dx.doi.org/10.1098/rsbl.2015.0166","http://dx.doi.org/10.1098/rsbl.2015.0166")</f>
        <v>http://dx.doi.org/10.1098/rsbl.2015.0166</v>
      </c>
      <c r="BG1112" s="2" t="s">
        <v>74</v>
      </c>
      <c r="BH1112" s="2" t="s">
        <v>74</v>
      </c>
      <c r="BI1112" s="2" t="s">
        <v>74</v>
      </c>
      <c r="BJ1112" s="2" t="s">
        <v>74</v>
      </c>
      <c r="BK1112" s="2" t="s">
        <v>74</v>
      </c>
      <c r="BL1112" s="2" t="s">
        <v>74</v>
      </c>
      <c r="BM1112" s="2" t="s">
        <v>74</v>
      </c>
      <c r="BN1112" s="2">
        <v>25972401</v>
      </c>
      <c r="BO1112" s="2" t="s">
        <v>74</v>
      </c>
      <c r="BP1112" s="2" t="s">
        <v>74</v>
      </c>
      <c r="BQ1112" s="2" t="s">
        <v>74</v>
      </c>
      <c r="BR1112" s="2" t="s">
        <v>74</v>
      </c>
      <c r="BS1112" s="2" t="s">
        <v>363</v>
      </c>
      <c r="BT1112" s="2" t="str">
        <f>HYPERLINK("https%3A%2F%2Fwww.webofscience.com%2Fwos%2Fwoscc%2Ffull-record%2FWOS:000357684200014","View Full Record in Web of Science")</f>
        <v>View Full Record in Web of Science</v>
      </c>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row>
    <row r="1113" spans="1:314" s="2" customFormat="1" x14ac:dyDescent="0.4">
      <c r="A1113" s="2" t="s">
        <v>72</v>
      </c>
      <c r="B1113" s="2" t="s">
        <v>6049</v>
      </c>
      <c r="C1113" s="2" t="s">
        <v>74</v>
      </c>
      <c r="D1113" s="2" t="s">
        <v>74</v>
      </c>
      <c r="E1113" s="2" t="s">
        <v>74</v>
      </c>
      <c r="F1113" s="2" t="s">
        <v>6049</v>
      </c>
      <c r="G1113" s="2" t="s">
        <v>74</v>
      </c>
      <c r="H1113" s="2" t="s">
        <v>74</v>
      </c>
      <c r="I1113" s="2" t="s">
        <v>6050</v>
      </c>
      <c r="J1113" s="2" t="s">
        <v>171</v>
      </c>
      <c r="K1113" s="2" t="s">
        <v>74</v>
      </c>
      <c r="L1113" s="2" t="s">
        <v>74</v>
      </c>
      <c r="M1113" s="2" t="s">
        <v>74</v>
      </c>
      <c r="N1113" s="2" t="s">
        <v>74</v>
      </c>
      <c r="O1113" s="2" t="s">
        <v>74</v>
      </c>
      <c r="P1113" s="2" t="s">
        <v>74</v>
      </c>
      <c r="Q1113" s="2" t="s">
        <v>74</v>
      </c>
      <c r="R1113" s="2" t="s">
        <v>74</v>
      </c>
      <c r="S1113" s="2" t="s">
        <v>74</v>
      </c>
      <c r="T1113" s="2" t="s">
        <v>74</v>
      </c>
      <c r="U1113" s="2" t="s">
        <v>74</v>
      </c>
      <c r="V1113" s="5" t="s">
        <v>6051</v>
      </c>
      <c r="W1113" s="2" t="s">
        <v>74</v>
      </c>
      <c r="X1113" s="2" t="s">
        <v>74</v>
      </c>
      <c r="Y1113" s="2" t="s">
        <v>74</v>
      </c>
      <c r="Z1113" s="2" t="s">
        <v>74</v>
      </c>
      <c r="AA1113" s="2" t="s">
        <v>74</v>
      </c>
      <c r="AB1113" s="2" t="s">
        <v>6052</v>
      </c>
      <c r="AC1113" s="2" t="s">
        <v>74</v>
      </c>
      <c r="AD1113" s="2" t="s">
        <v>74</v>
      </c>
      <c r="AE1113" s="2" t="s">
        <v>74</v>
      </c>
      <c r="AF1113" s="2" t="s">
        <v>74</v>
      </c>
      <c r="AG1113" s="2" t="s">
        <v>74</v>
      </c>
      <c r="AH1113" s="2" t="s">
        <v>74</v>
      </c>
      <c r="AI1113" s="2" t="s">
        <v>74</v>
      </c>
      <c r="AJ1113" s="2" t="s">
        <v>74</v>
      </c>
      <c r="AK1113" s="2" t="s">
        <v>74</v>
      </c>
      <c r="AL1113" s="2" t="s">
        <v>74</v>
      </c>
      <c r="AM1113" s="2" t="s">
        <v>74</v>
      </c>
      <c r="AN1113" s="2" t="s">
        <v>74</v>
      </c>
      <c r="AO1113" s="2" t="s">
        <v>173</v>
      </c>
      <c r="AP1113" s="2" t="s">
        <v>174</v>
      </c>
      <c r="AQ1113" s="2" t="s">
        <v>74</v>
      </c>
      <c r="AR1113" s="2" t="s">
        <v>74</v>
      </c>
      <c r="AS1113" s="2" t="s">
        <v>74</v>
      </c>
      <c r="AT1113" s="2" t="s">
        <v>305</v>
      </c>
      <c r="AU1113" s="2">
        <v>1999</v>
      </c>
      <c r="AV1113" s="2">
        <v>53</v>
      </c>
      <c r="AW1113" s="2">
        <v>6</v>
      </c>
      <c r="AX1113" s="2" t="s">
        <v>74</v>
      </c>
      <c r="AY1113" s="2" t="s">
        <v>74</v>
      </c>
      <c r="AZ1113" s="2" t="s">
        <v>74</v>
      </c>
      <c r="BA1113" s="2" t="s">
        <v>74</v>
      </c>
      <c r="BB1113" s="2">
        <v>1884</v>
      </c>
      <c r="BC1113" s="2">
        <v>1897</v>
      </c>
      <c r="BD1113" s="2" t="s">
        <v>74</v>
      </c>
      <c r="BE1113" s="2" t="s">
        <v>6053</v>
      </c>
      <c r="BF1113" s="2" t="str">
        <f>HYPERLINK("http://dx.doi.org/10.2307/2640448","http://dx.doi.org/10.2307/2640448")</f>
        <v>http://dx.doi.org/10.2307/2640448</v>
      </c>
      <c r="BG1113" s="2" t="s">
        <v>74</v>
      </c>
      <c r="BH1113" s="2" t="s">
        <v>74</v>
      </c>
      <c r="BI1113" s="2" t="s">
        <v>74</v>
      </c>
      <c r="BJ1113" s="2" t="s">
        <v>74</v>
      </c>
      <c r="BK1113" s="2" t="s">
        <v>74</v>
      </c>
      <c r="BL1113" s="2" t="s">
        <v>74</v>
      </c>
      <c r="BM1113" s="2" t="s">
        <v>74</v>
      </c>
      <c r="BN1113" s="2">
        <v>28565467</v>
      </c>
      <c r="BO1113" s="2" t="s">
        <v>74</v>
      </c>
      <c r="BP1113" s="2" t="s">
        <v>74</v>
      </c>
      <c r="BQ1113" s="2" t="s">
        <v>74</v>
      </c>
      <c r="BR1113" s="2" t="s">
        <v>74</v>
      </c>
      <c r="BS1113" s="2" t="s">
        <v>6054</v>
      </c>
      <c r="BT1113" s="2" t="str">
        <f>HYPERLINK("https%3A%2F%2Fwww.webofscience.com%2Fwos%2Fwoscc%2Ffull-record%2FWOS:000084703100021","View Full Record in Web of Science")</f>
        <v>View Full Record in Web of Science</v>
      </c>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row>
    <row r="1114" spans="1:314" s="2" customFormat="1" x14ac:dyDescent="0.4">
      <c r="A1114" s="2" t="s">
        <v>72</v>
      </c>
      <c r="B1114" s="2" t="s">
        <v>4733</v>
      </c>
      <c r="C1114" s="2" t="s">
        <v>74</v>
      </c>
      <c r="D1114" s="2" t="s">
        <v>74</v>
      </c>
      <c r="E1114" s="2" t="s">
        <v>74</v>
      </c>
      <c r="F1114" s="2" t="s">
        <v>4734</v>
      </c>
      <c r="G1114" s="2" t="s">
        <v>74</v>
      </c>
      <c r="H1114" s="2" t="s">
        <v>74</v>
      </c>
      <c r="I1114" s="2" t="s">
        <v>4735</v>
      </c>
      <c r="J1114" s="2" t="s">
        <v>77</v>
      </c>
      <c r="K1114" s="2" t="s">
        <v>74</v>
      </c>
      <c r="L1114" s="2" t="s">
        <v>74</v>
      </c>
      <c r="M1114" s="2" t="s">
        <v>74</v>
      </c>
      <c r="N1114" s="2" t="s">
        <v>74</v>
      </c>
      <c r="O1114" s="2" t="s">
        <v>74</v>
      </c>
      <c r="P1114" s="2" t="s">
        <v>74</v>
      </c>
      <c r="Q1114" s="2" t="s">
        <v>74</v>
      </c>
      <c r="R1114" s="2" t="s">
        <v>74</v>
      </c>
      <c r="S1114" s="2" t="s">
        <v>74</v>
      </c>
      <c r="T1114" s="2" t="s">
        <v>74</v>
      </c>
      <c r="U1114" s="2" t="s">
        <v>74</v>
      </c>
      <c r="V1114" s="5" t="s">
        <v>4736</v>
      </c>
      <c r="W1114" s="2" t="s">
        <v>74</v>
      </c>
      <c r="X1114" s="2" t="s">
        <v>74</v>
      </c>
      <c r="Y1114" s="2" t="s">
        <v>74</v>
      </c>
      <c r="Z1114" s="2" t="s">
        <v>74</v>
      </c>
      <c r="AA1114" s="2" t="s">
        <v>4737</v>
      </c>
      <c r="AB1114" s="2" t="s">
        <v>74</v>
      </c>
      <c r="AC1114" s="2" t="s">
        <v>74</v>
      </c>
      <c r="AD1114" s="2" t="s">
        <v>74</v>
      </c>
      <c r="AE1114" s="2" t="s">
        <v>74</v>
      </c>
      <c r="AF1114" s="2" t="s">
        <v>74</v>
      </c>
      <c r="AG1114" s="2" t="s">
        <v>74</v>
      </c>
      <c r="AH1114" s="2" t="s">
        <v>74</v>
      </c>
      <c r="AI1114" s="2" t="s">
        <v>74</v>
      </c>
      <c r="AJ1114" s="2" t="s">
        <v>74</v>
      </c>
      <c r="AK1114" s="2" t="s">
        <v>74</v>
      </c>
      <c r="AL1114" s="2" t="s">
        <v>74</v>
      </c>
      <c r="AM1114" s="2" t="s">
        <v>74</v>
      </c>
      <c r="AN1114" s="2" t="s">
        <v>74</v>
      </c>
      <c r="AO1114" s="2" t="s">
        <v>81</v>
      </c>
      <c r="AP1114" s="2" t="s">
        <v>82</v>
      </c>
      <c r="AQ1114" s="2" t="s">
        <v>74</v>
      </c>
      <c r="AR1114" s="2" t="s">
        <v>74</v>
      </c>
      <c r="AS1114" s="2" t="s">
        <v>74</v>
      </c>
      <c r="AT1114" s="2" t="s">
        <v>74</v>
      </c>
      <c r="AU1114" s="2">
        <v>2015</v>
      </c>
      <c r="AV1114" s="2">
        <v>152</v>
      </c>
      <c r="AW1114" s="2">
        <v>5</v>
      </c>
      <c r="AX1114" s="2" t="s">
        <v>74</v>
      </c>
      <c r="AY1114" s="2" t="s">
        <v>74</v>
      </c>
      <c r="AZ1114" s="2" t="s">
        <v>74</v>
      </c>
      <c r="BA1114" s="2" t="s">
        <v>74</v>
      </c>
      <c r="BB1114" s="2">
        <v>563</v>
      </c>
      <c r="BC1114" s="2">
        <v>591</v>
      </c>
      <c r="BD1114" s="2" t="s">
        <v>74</v>
      </c>
      <c r="BE1114" s="2" t="s">
        <v>4738</v>
      </c>
      <c r="BF1114" s="2" t="str">
        <f>HYPERLINK("http://dx.doi.org/10.1163/1568539X-00003243","http://dx.doi.org/10.1163/1568539X-00003243")</f>
        <v>http://dx.doi.org/10.1163/1568539X-00003243</v>
      </c>
      <c r="BG1114" s="2" t="s">
        <v>74</v>
      </c>
      <c r="BH1114" s="2" t="s">
        <v>74</v>
      </c>
      <c r="BI1114" s="2" t="s">
        <v>74</v>
      </c>
      <c r="BJ1114" s="2" t="s">
        <v>74</v>
      </c>
      <c r="BK1114" s="2" t="s">
        <v>74</v>
      </c>
      <c r="BL1114" s="2" t="s">
        <v>74</v>
      </c>
      <c r="BM1114" s="2" t="s">
        <v>74</v>
      </c>
      <c r="BN1114" s="2" t="s">
        <v>74</v>
      </c>
      <c r="BO1114" s="2" t="s">
        <v>74</v>
      </c>
      <c r="BP1114" s="2" t="s">
        <v>74</v>
      </c>
      <c r="BQ1114" s="2" t="s">
        <v>74</v>
      </c>
      <c r="BR1114" s="2" t="s">
        <v>74</v>
      </c>
      <c r="BS1114" s="2" t="s">
        <v>4739</v>
      </c>
      <c r="BT1114" s="2" t="str">
        <f>HYPERLINK("https%3A%2F%2Fwww.webofscience.com%2Fwos%2Fwoscc%2Ffull-record%2FWOS:000351364600001","View Full Record in Web of Science")</f>
        <v>View Full Record in Web of Science</v>
      </c>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row>
    <row r="1115" spans="1:314" s="2" customFormat="1" x14ac:dyDescent="0.4">
      <c r="A1115" s="2" t="s">
        <v>72</v>
      </c>
      <c r="B1115" s="2" t="s">
        <v>6864</v>
      </c>
      <c r="C1115" s="2" t="s">
        <v>74</v>
      </c>
      <c r="D1115" s="2" t="s">
        <v>74</v>
      </c>
      <c r="E1115" s="2" t="s">
        <v>74</v>
      </c>
      <c r="F1115" s="2" t="s">
        <v>6865</v>
      </c>
      <c r="G1115" s="2" t="s">
        <v>74</v>
      </c>
      <c r="H1115" s="2" t="s">
        <v>74</v>
      </c>
      <c r="I1115" s="2" t="s">
        <v>6866</v>
      </c>
      <c r="J1115" s="2" t="s">
        <v>6867</v>
      </c>
      <c r="K1115" s="2" t="s">
        <v>74</v>
      </c>
      <c r="L1115" s="2" t="s">
        <v>74</v>
      </c>
      <c r="M1115" s="2" t="s">
        <v>74</v>
      </c>
      <c r="N1115" s="2" t="s">
        <v>74</v>
      </c>
      <c r="O1115" s="2" t="s">
        <v>74</v>
      </c>
      <c r="P1115" s="2" t="s">
        <v>74</v>
      </c>
      <c r="Q1115" s="2" t="s">
        <v>74</v>
      </c>
      <c r="R1115" s="2" t="s">
        <v>74</v>
      </c>
      <c r="S1115" s="2" t="s">
        <v>74</v>
      </c>
      <c r="T1115" s="2" t="s">
        <v>74</v>
      </c>
      <c r="U1115" s="2" t="s">
        <v>74</v>
      </c>
      <c r="V1115" s="5" t="s">
        <v>6868</v>
      </c>
      <c r="W1115" s="2" t="s">
        <v>74</v>
      </c>
      <c r="X1115" s="2" t="s">
        <v>74</v>
      </c>
      <c r="Y1115" s="2" t="s">
        <v>74</v>
      </c>
      <c r="Z1115" s="2" t="s">
        <v>74</v>
      </c>
      <c r="AA1115" s="2" t="s">
        <v>6869</v>
      </c>
      <c r="AB1115" s="2" t="s">
        <v>6870</v>
      </c>
      <c r="AC1115" s="2" t="s">
        <v>74</v>
      </c>
      <c r="AD1115" s="2" t="s">
        <v>74</v>
      </c>
      <c r="AE1115" s="2" t="s">
        <v>74</v>
      </c>
      <c r="AF1115" s="2" t="s">
        <v>74</v>
      </c>
      <c r="AG1115" s="2" t="s">
        <v>74</v>
      </c>
      <c r="AH1115" s="2" t="s">
        <v>74</v>
      </c>
      <c r="AI1115" s="2" t="s">
        <v>74</v>
      </c>
      <c r="AJ1115" s="2" t="s">
        <v>74</v>
      </c>
      <c r="AK1115" s="2" t="s">
        <v>74</v>
      </c>
      <c r="AL1115" s="2" t="s">
        <v>74</v>
      </c>
      <c r="AM1115" s="2" t="s">
        <v>74</v>
      </c>
      <c r="AN1115" s="2" t="s">
        <v>74</v>
      </c>
      <c r="AO1115" s="2" t="s">
        <v>6871</v>
      </c>
      <c r="AP1115" s="2" t="s">
        <v>6872</v>
      </c>
      <c r="AQ1115" s="2" t="s">
        <v>74</v>
      </c>
      <c r="AR1115" s="2" t="s">
        <v>74</v>
      </c>
      <c r="AS1115" s="2" t="s">
        <v>74</v>
      </c>
      <c r="AT1115" s="2" t="s">
        <v>175</v>
      </c>
      <c r="AU1115" s="2">
        <v>2020</v>
      </c>
      <c r="AV1115" s="2">
        <v>53</v>
      </c>
      <c r="AW1115" s="2" t="s">
        <v>74</v>
      </c>
      <c r="AX1115" s="2" t="s">
        <v>74</v>
      </c>
      <c r="AY1115" s="2" t="s">
        <v>74</v>
      </c>
      <c r="AZ1115" s="2" t="s">
        <v>74</v>
      </c>
      <c r="BA1115" s="2" t="s">
        <v>74</v>
      </c>
      <c r="BB1115" s="2" t="s">
        <v>74</v>
      </c>
      <c r="BC1115" s="2" t="s">
        <v>74</v>
      </c>
      <c r="BD1115" s="2">
        <v>100753</v>
      </c>
      <c r="BE1115" s="2" t="s">
        <v>6873</v>
      </c>
      <c r="BF1115" s="2" t="str">
        <f>HYPERLINK("http://dx.doi.org/10.1016/j.margen.2020.100753","http://dx.doi.org/10.1016/j.margen.2020.100753")</f>
        <v>http://dx.doi.org/10.1016/j.margen.2020.100753</v>
      </c>
      <c r="BG1115" s="2" t="s">
        <v>74</v>
      </c>
      <c r="BH1115" s="2" t="s">
        <v>74</v>
      </c>
      <c r="BI1115" s="2" t="s">
        <v>74</v>
      </c>
      <c r="BJ1115" s="2" t="s">
        <v>74</v>
      </c>
      <c r="BK1115" s="2" t="s">
        <v>74</v>
      </c>
      <c r="BL1115" s="2" t="s">
        <v>74</v>
      </c>
      <c r="BM1115" s="2" t="s">
        <v>74</v>
      </c>
      <c r="BN1115" s="2">
        <v>32057717</v>
      </c>
      <c r="BO1115" s="2" t="s">
        <v>74</v>
      </c>
      <c r="BP1115" s="2" t="s">
        <v>74</v>
      </c>
      <c r="BQ1115" s="2" t="s">
        <v>74</v>
      </c>
      <c r="BR1115" s="2" t="s">
        <v>74</v>
      </c>
      <c r="BS1115" s="2" t="s">
        <v>6874</v>
      </c>
      <c r="BT1115" s="2" t="str">
        <f>HYPERLINK("https%3A%2F%2Fwww.webofscience.com%2Fwos%2Fwoscc%2Ffull-record%2FWOS:000567844300003","View Full Record in Web of Science")</f>
        <v>View Full Record in Web of Science</v>
      </c>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row>
    <row r="1116" spans="1:314" s="2" customFormat="1" x14ac:dyDescent="0.4">
      <c r="A1116" s="2" t="s">
        <v>72</v>
      </c>
      <c r="B1116" s="2" t="s">
        <v>800</v>
      </c>
      <c r="C1116" s="2" t="s">
        <v>74</v>
      </c>
      <c r="D1116" s="2" t="s">
        <v>74</v>
      </c>
      <c r="E1116" s="2" t="s">
        <v>74</v>
      </c>
      <c r="F1116" s="2" t="s">
        <v>801</v>
      </c>
      <c r="G1116" s="2" t="s">
        <v>74</v>
      </c>
      <c r="H1116" s="2" t="s">
        <v>74</v>
      </c>
      <c r="I1116" s="2" t="s">
        <v>802</v>
      </c>
      <c r="J1116" s="2" t="s">
        <v>803</v>
      </c>
      <c r="K1116" s="2" t="s">
        <v>74</v>
      </c>
      <c r="L1116" s="2" t="s">
        <v>74</v>
      </c>
      <c r="M1116" s="2" t="s">
        <v>74</v>
      </c>
      <c r="N1116" s="2" t="s">
        <v>74</v>
      </c>
      <c r="O1116" s="2" t="s">
        <v>74</v>
      </c>
      <c r="P1116" s="2" t="s">
        <v>74</v>
      </c>
      <c r="Q1116" s="2" t="s">
        <v>74</v>
      </c>
      <c r="R1116" s="2" t="s">
        <v>74</v>
      </c>
      <c r="S1116" s="2" t="s">
        <v>74</v>
      </c>
      <c r="T1116" s="2" t="s">
        <v>74</v>
      </c>
      <c r="U1116" s="2" t="s">
        <v>74</v>
      </c>
      <c r="V1116" s="5" t="s">
        <v>804</v>
      </c>
      <c r="W1116" s="2" t="s">
        <v>74</v>
      </c>
      <c r="X1116" s="2" t="s">
        <v>74</v>
      </c>
      <c r="Y1116" s="2" t="s">
        <v>74</v>
      </c>
      <c r="Z1116" s="2" t="s">
        <v>74</v>
      </c>
      <c r="AA1116" s="2" t="s">
        <v>805</v>
      </c>
      <c r="AB1116" s="2" t="s">
        <v>74</v>
      </c>
      <c r="AC1116" s="2" t="s">
        <v>74</v>
      </c>
      <c r="AD1116" s="2" t="s">
        <v>74</v>
      </c>
      <c r="AE1116" s="2" t="s">
        <v>74</v>
      </c>
      <c r="AF1116" s="2" t="s">
        <v>74</v>
      </c>
      <c r="AG1116" s="2" t="s">
        <v>74</v>
      </c>
      <c r="AH1116" s="2" t="s">
        <v>74</v>
      </c>
      <c r="AI1116" s="2" t="s">
        <v>74</v>
      </c>
      <c r="AJ1116" s="2" t="s">
        <v>74</v>
      </c>
      <c r="AK1116" s="2" t="s">
        <v>74</v>
      </c>
      <c r="AL1116" s="2" t="s">
        <v>74</v>
      </c>
      <c r="AM1116" s="2" t="s">
        <v>74</v>
      </c>
      <c r="AN1116" s="2" t="s">
        <v>74</v>
      </c>
      <c r="AO1116" s="2" t="s">
        <v>806</v>
      </c>
      <c r="AP1116" s="2" t="s">
        <v>807</v>
      </c>
      <c r="AQ1116" s="2" t="s">
        <v>74</v>
      </c>
      <c r="AR1116" s="2" t="s">
        <v>74</v>
      </c>
      <c r="AS1116" s="2" t="s">
        <v>74</v>
      </c>
      <c r="AT1116" s="2" t="s">
        <v>808</v>
      </c>
      <c r="AU1116" s="2">
        <v>2016</v>
      </c>
      <c r="AV1116" s="2">
        <v>13</v>
      </c>
      <c r="AW1116" s="2" t="s">
        <v>74</v>
      </c>
      <c r="AX1116" s="2" t="s">
        <v>74</v>
      </c>
      <c r="AY1116" s="2" t="s">
        <v>74</v>
      </c>
      <c r="AZ1116" s="2" t="s">
        <v>74</v>
      </c>
      <c r="BA1116" s="2" t="s">
        <v>74</v>
      </c>
      <c r="BB1116" s="2">
        <v>80</v>
      </c>
      <c r="BC1116" s="2">
        <v>87</v>
      </c>
      <c r="BD1116" s="2" t="s">
        <v>74</v>
      </c>
      <c r="BE1116" s="2" t="s">
        <v>809</v>
      </c>
      <c r="BF1116" s="2" t="str">
        <f>HYPERLINK("http://dx.doi.org/10.1016/j.jveb.2016.03.009","http://dx.doi.org/10.1016/j.jveb.2016.03.009")</f>
        <v>http://dx.doi.org/10.1016/j.jveb.2016.03.009</v>
      </c>
      <c r="BG1116" s="2" t="s">
        <v>74</v>
      </c>
      <c r="BH1116" s="2" t="s">
        <v>74</v>
      </c>
      <c r="BI1116" s="2" t="s">
        <v>74</v>
      </c>
      <c r="BJ1116" s="2" t="s">
        <v>74</v>
      </c>
      <c r="BK1116" s="2" t="s">
        <v>74</v>
      </c>
      <c r="BL1116" s="2" t="s">
        <v>74</v>
      </c>
      <c r="BM1116" s="2" t="s">
        <v>74</v>
      </c>
      <c r="BN1116" s="2" t="s">
        <v>74</v>
      </c>
      <c r="BO1116" s="2" t="s">
        <v>74</v>
      </c>
      <c r="BP1116" s="2" t="s">
        <v>74</v>
      </c>
      <c r="BQ1116" s="2" t="s">
        <v>74</v>
      </c>
      <c r="BR1116" s="2" t="s">
        <v>74</v>
      </c>
      <c r="BS1116" s="2" t="s">
        <v>810</v>
      </c>
      <c r="BT1116" s="2" t="str">
        <f>HYPERLINK("https%3A%2F%2Fwww.webofscience.com%2Fwos%2Fwoscc%2Ffull-record%2FWOS:000378094700013","View Full Record in Web of Science")</f>
        <v>View Full Record in Web of Science</v>
      </c>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row>
    <row r="1117" spans="1:314" s="2" customFormat="1" x14ac:dyDescent="0.4">
      <c r="A1117" s="2" t="s">
        <v>72</v>
      </c>
      <c r="B1117" s="2" t="s">
        <v>6187</v>
      </c>
      <c r="C1117" s="2" t="s">
        <v>74</v>
      </c>
      <c r="D1117" s="2" t="s">
        <v>74</v>
      </c>
      <c r="E1117" s="2" t="s">
        <v>74</v>
      </c>
      <c r="F1117" s="2" t="s">
        <v>6188</v>
      </c>
      <c r="G1117" s="2" t="s">
        <v>74</v>
      </c>
      <c r="H1117" s="2" t="s">
        <v>74</v>
      </c>
      <c r="I1117" s="2" t="s">
        <v>6189</v>
      </c>
      <c r="J1117" s="2" t="s">
        <v>6190</v>
      </c>
      <c r="K1117" s="2" t="s">
        <v>74</v>
      </c>
      <c r="L1117" s="2" t="s">
        <v>74</v>
      </c>
      <c r="M1117" s="2" t="s">
        <v>74</v>
      </c>
      <c r="N1117" s="2" t="s">
        <v>74</v>
      </c>
      <c r="O1117" s="2" t="s">
        <v>74</v>
      </c>
      <c r="P1117" s="2" t="s">
        <v>74</v>
      </c>
      <c r="Q1117" s="2" t="s">
        <v>74</v>
      </c>
      <c r="R1117" s="2" t="s">
        <v>74</v>
      </c>
      <c r="S1117" s="2" t="s">
        <v>74</v>
      </c>
      <c r="T1117" s="2" t="s">
        <v>74</v>
      </c>
      <c r="U1117" s="2" t="s">
        <v>74</v>
      </c>
      <c r="V1117" s="5" t="s">
        <v>6191</v>
      </c>
      <c r="W1117" s="2" t="s">
        <v>74</v>
      </c>
      <c r="X1117" s="2" t="s">
        <v>74</v>
      </c>
      <c r="Y1117" s="2" t="s">
        <v>74</v>
      </c>
      <c r="Z1117" s="2" t="s">
        <v>74</v>
      </c>
      <c r="AA1117" s="2" t="s">
        <v>6192</v>
      </c>
      <c r="AB1117" s="2" t="s">
        <v>6193</v>
      </c>
      <c r="AC1117" s="2" t="s">
        <v>74</v>
      </c>
      <c r="AD1117" s="2" t="s">
        <v>74</v>
      </c>
      <c r="AE1117" s="2" t="s">
        <v>74</v>
      </c>
      <c r="AF1117" s="2" t="s">
        <v>74</v>
      </c>
      <c r="AG1117" s="2" t="s">
        <v>74</v>
      </c>
      <c r="AH1117" s="2" t="s">
        <v>74</v>
      </c>
      <c r="AI1117" s="2" t="s">
        <v>74</v>
      </c>
      <c r="AJ1117" s="2" t="s">
        <v>74</v>
      </c>
      <c r="AK1117" s="2" t="s">
        <v>74</v>
      </c>
      <c r="AL1117" s="2" t="s">
        <v>74</v>
      </c>
      <c r="AM1117" s="2" t="s">
        <v>74</v>
      </c>
      <c r="AN1117" s="2" t="s">
        <v>74</v>
      </c>
      <c r="AO1117" s="2" t="s">
        <v>6194</v>
      </c>
      <c r="AP1117" s="2" t="s">
        <v>6195</v>
      </c>
      <c r="AQ1117" s="2" t="s">
        <v>74</v>
      </c>
      <c r="AR1117" s="2" t="s">
        <v>74</v>
      </c>
      <c r="AS1117" s="2" t="s">
        <v>74</v>
      </c>
      <c r="AT1117" s="2" t="s">
        <v>134</v>
      </c>
      <c r="AU1117" s="2">
        <v>2022</v>
      </c>
      <c r="AV1117" s="2">
        <v>61</v>
      </c>
      <c r="AW1117" s="2">
        <v>2</v>
      </c>
      <c r="AX1117" s="2" t="s">
        <v>74</v>
      </c>
      <c r="AY1117" s="2" t="s">
        <v>74</v>
      </c>
      <c r="AZ1117" s="2" t="s">
        <v>74</v>
      </c>
      <c r="BA1117" s="2" t="s">
        <v>74</v>
      </c>
      <c r="BB1117" s="2">
        <v>137</v>
      </c>
      <c r="BC1117" s="2">
        <v>155</v>
      </c>
      <c r="BD1117" s="2" t="s">
        <v>74</v>
      </c>
      <c r="BE1117" s="2" t="s">
        <v>6196</v>
      </c>
      <c r="BF1117" s="2" t="str">
        <f>HYPERLINK("http://dx.doi.org/10.1111/aen.12596","http://dx.doi.org/10.1111/aen.12596")</f>
        <v>http://dx.doi.org/10.1111/aen.12596</v>
      </c>
      <c r="BG1117" s="2" t="s">
        <v>74</v>
      </c>
      <c r="BH1117" s="2" t="s">
        <v>74</v>
      </c>
      <c r="BI1117" s="2" t="s">
        <v>74</v>
      </c>
      <c r="BJ1117" s="2" t="s">
        <v>74</v>
      </c>
      <c r="BK1117" s="2" t="s">
        <v>74</v>
      </c>
      <c r="BL1117" s="2" t="s">
        <v>74</v>
      </c>
      <c r="BM1117" s="2" t="s">
        <v>74</v>
      </c>
      <c r="BN1117" s="2" t="s">
        <v>74</v>
      </c>
      <c r="BO1117" s="2" t="s">
        <v>74</v>
      </c>
      <c r="BP1117" s="2" t="s">
        <v>74</v>
      </c>
      <c r="BQ1117" s="2" t="s">
        <v>74</v>
      </c>
      <c r="BR1117" s="2" t="s">
        <v>74</v>
      </c>
      <c r="BS1117" s="2" t="s">
        <v>6197</v>
      </c>
      <c r="BT1117" s="2" t="str">
        <f>HYPERLINK("https%3A%2F%2Fwww.webofscience.com%2Fwos%2Fwoscc%2Ffull-record%2FWOS:000805597200003","View Full Record in Web of Science")</f>
        <v>View Full Record in Web of Science</v>
      </c>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row>
    <row r="1118" spans="1:314" s="2" customFormat="1" x14ac:dyDescent="0.4">
      <c r="A1118" s="2" t="s">
        <v>72</v>
      </c>
      <c r="B1118" s="2" t="s">
        <v>8021</v>
      </c>
      <c r="C1118" s="2" t="s">
        <v>74</v>
      </c>
      <c r="D1118" s="2" t="s">
        <v>74</v>
      </c>
      <c r="E1118" s="2" t="s">
        <v>74</v>
      </c>
      <c r="F1118" s="2" t="s">
        <v>8022</v>
      </c>
      <c r="G1118" s="2" t="s">
        <v>74</v>
      </c>
      <c r="H1118" s="2" t="s">
        <v>74</v>
      </c>
      <c r="I1118" s="2" t="s">
        <v>8023</v>
      </c>
      <c r="J1118" s="2" t="s">
        <v>1656</v>
      </c>
      <c r="K1118" s="2" t="s">
        <v>74</v>
      </c>
      <c r="L1118" s="2" t="s">
        <v>74</v>
      </c>
      <c r="M1118" s="2" t="s">
        <v>74</v>
      </c>
      <c r="N1118" s="2" t="s">
        <v>74</v>
      </c>
      <c r="O1118" s="2" t="s">
        <v>74</v>
      </c>
      <c r="P1118" s="2" t="s">
        <v>74</v>
      </c>
      <c r="Q1118" s="2" t="s">
        <v>74</v>
      </c>
      <c r="R1118" s="2" t="s">
        <v>74</v>
      </c>
      <c r="S1118" s="2" t="s">
        <v>74</v>
      </c>
      <c r="T1118" s="2" t="s">
        <v>74</v>
      </c>
      <c r="U1118" s="2" t="s">
        <v>74</v>
      </c>
      <c r="V1118" s="5" t="s">
        <v>8024</v>
      </c>
      <c r="W1118" s="2" t="s">
        <v>74</v>
      </c>
      <c r="X1118" s="2" t="s">
        <v>74</v>
      </c>
      <c r="Y1118" s="2" t="s">
        <v>74</v>
      </c>
      <c r="Z1118" s="2" t="s">
        <v>74</v>
      </c>
      <c r="AA1118" s="2" t="s">
        <v>8025</v>
      </c>
      <c r="AB1118" s="2" t="s">
        <v>8026</v>
      </c>
      <c r="AC1118" s="2" t="s">
        <v>74</v>
      </c>
      <c r="AD1118" s="2" t="s">
        <v>74</v>
      </c>
      <c r="AE1118" s="2" t="s">
        <v>74</v>
      </c>
      <c r="AF1118" s="2" t="s">
        <v>74</v>
      </c>
      <c r="AG1118" s="2" t="s">
        <v>74</v>
      </c>
      <c r="AH1118" s="2" t="s">
        <v>74</v>
      </c>
      <c r="AI1118" s="2" t="s">
        <v>74</v>
      </c>
      <c r="AJ1118" s="2" t="s">
        <v>74</v>
      </c>
      <c r="AK1118" s="2" t="s">
        <v>74</v>
      </c>
      <c r="AL1118" s="2" t="s">
        <v>74</v>
      </c>
      <c r="AM1118" s="2" t="s">
        <v>74</v>
      </c>
      <c r="AN1118" s="2" t="s">
        <v>74</v>
      </c>
      <c r="AO1118" s="2" t="s">
        <v>1658</v>
      </c>
      <c r="AP1118" s="2" t="s">
        <v>1659</v>
      </c>
      <c r="AQ1118" s="2" t="s">
        <v>74</v>
      </c>
      <c r="AR1118" s="2" t="s">
        <v>74</v>
      </c>
      <c r="AS1118" s="2" t="s">
        <v>74</v>
      </c>
      <c r="AT1118" s="2" t="s">
        <v>5887</v>
      </c>
      <c r="AU1118" s="2">
        <v>2019</v>
      </c>
      <c r="AV1118" s="2">
        <v>4625</v>
      </c>
      <c r="AW1118" s="2">
        <v>1</v>
      </c>
      <c r="AX1118" s="2" t="s">
        <v>74</v>
      </c>
      <c r="AY1118" s="2" t="s">
        <v>74</v>
      </c>
      <c r="AZ1118" s="2" t="s">
        <v>74</v>
      </c>
      <c r="BA1118" s="2" t="s">
        <v>74</v>
      </c>
      <c r="BB1118" s="2">
        <v>1</v>
      </c>
      <c r="BC1118" s="2">
        <v>68</v>
      </c>
      <c r="BD1118" s="2" t="s">
        <v>74</v>
      </c>
      <c r="BE1118" s="2" t="s">
        <v>8027</v>
      </c>
      <c r="BF1118" s="2" t="str">
        <f>HYPERLINK("http://dx.doi.org/10.11646/zootaxa.4625.1.1","http://dx.doi.org/10.11646/zootaxa.4625.1.1")</f>
        <v>http://dx.doi.org/10.11646/zootaxa.4625.1.1</v>
      </c>
      <c r="BG1118" s="2" t="s">
        <v>74</v>
      </c>
      <c r="BH1118" s="2" t="s">
        <v>74</v>
      </c>
      <c r="BI1118" s="2" t="s">
        <v>74</v>
      </c>
      <c r="BJ1118" s="2" t="s">
        <v>74</v>
      </c>
      <c r="BK1118" s="2" t="s">
        <v>74</v>
      </c>
      <c r="BL1118" s="2" t="s">
        <v>74</v>
      </c>
      <c r="BM1118" s="2" t="s">
        <v>74</v>
      </c>
      <c r="BN1118" s="2">
        <v>31712545</v>
      </c>
      <c r="BO1118" s="2" t="s">
        <v>74</v>
      </c>
      <c r="BP1118" s="2" t="s">
        <v>74</v>
      </c>
      <c r="BQ1118" s="2" t="s">
        <v>74</v>
      </c>
      <c r="BR1118" s="2" t="s">
        <v>74</v>
      </c>
      <c r="BS1118" s="2" t="s">
        <v>8028</v>
      </c>
      <c r="BT1118" s="2" t="str">
        <f>HYPERLINK("https%3A%2F%2Fwww.webofscience.com%2Fwos%2Fwoscc%2Ffull-record%2FWOS:000473734300001","View Full Record in Web of Science")</f>
        <v>View Full Record in Web of Science</v>
      </c>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row>
    <row r="1119" spans="1:314" s="2" customFormat="1" x14ac:dyDescent="0.4">
      <c r="A1119" s="2" t="s">
        <v>72</v>
      </c>
      <c r="B1119" s="2" t="s">
        <v>4915</v>
      </c>
      <c r="C1119" s="2" t="s">
        <v>74</v>
      </c>
      <c r="D1119" s="2" t="s">
        <v>74</v>
      </c>
      <c r="E1119" s="2" t="s">
        <v>74</v>
      </c>
      <c r="F1119" s="2" t="s">
        <v>4916</v>
      </c>
      <c r="G1119" s="2" t="s">
        <v>74</v>
      </c>
      <c r="H1119" s="2" t="s">
        <v>74</v>
      </c>
      <c r="I1119" s="2" t="s">
        <v>4917</v>
      </c>
      <c r="J1119" s="2" t="s">
        <v>3374</v>
      </c>
      <c r="K1119" s="2" t="s">
        <v>74</v>
      </c>
      <c r="L1119" s="2" t="s">
        <v>74</v>
      </c>
      <c r="M1119" s="2" t="s">
        <v>74</v>
      </c>
      <c r="N1119" s="2" t="s">
        <v>74</v>
      </c>
      <c r="O1119" s="2" t="s">
        <v>74</v>
      </c>
      <c r="P1119" s="2" t="s">
        <v>74</v>
      </c>
      <c r="Q1119" s="2" t="s">
        <v>74</v>
      </c>
      <c r="R1119" s="2" t="s">
        <v>74</v>
      </c>
      <c r="S1119" s="2" t="s">
        <v>74</v>
      </c>
      <c r="T1119" s="2" t="s">
        <v>74</v>
      </c>
      <c r="U1119" s="2" t="s">
        <v>74</v>
      </c>
      <c r="V1119" s="5" t="s">
        <v>4918</v>
      </c>
      <c r="W1119" s="2" t="s">
        <v>74</v>
      </c>
      <c r="X1119" s="2" t="s">
        <v>74</v>
      </c>
      <c r="Y1119" s="2" t="s">
        <v>74</v>
      </c>
      <c r="Z1119" s="2" t="s">
        <v>74</v>
      </c>
      <c r="AA1119" s="2" t="s">
        <v>4919</v>
      </c>
      <c r="AB1119" s="2" t="s">
        <v>4920</v>
      </c>
      <c r="AC1119" s="2" t="s">
        <v>74</v>
      </c>
      <c r="AD1119" s="2" t="s">
        <v>74</v>
      </c>
      <c r="AE1119" s="2" t="s">
        <v>74</v>
      </c>
      <c r="AF1119" s="2" t="s">
        <v>74</v>
      </c>
      <c r="AG1119" s="2" t="s">
        <v>74</v>
      </c>
      <c r="AH1119" s="2" t="s">
        <v>74</v>
      </c>
      <c r="AI1119" s="2" t="s">
        <v>74</v>
      </c>
      <c r="AJ1119" s="2" t="s">
        <v>74</v>
      </c>
      <c r="AK1119" s="2" t="s">
        <v>74</v>
      </c>
      <c r="AL1119" s="2" t="s">
        <v>74</v>
      </c>
      <c r="AM1119" s="2" t="s">
        <v>74</v>
      </c>
      <c r="AN1119" s="2" t="s">
        <v>74</v>
      </c>
      <c r="AO1119" s="2" t="s">
        <v>3378</v>
      </c>
      <c r="AP1119" s="2" t="s">
        <v>3379</v>
      </c>
      <c r="AQ1119" s="2" t="s">
        <v>74</v>
      </c>
      <c r="AR1119" s="2" t="s">
        <v>74</v>
      </c>
      <c r="AS1119" s="2" t="s">
        <v>74</v>
      </c>
      <c r="AT1119" s="2" t="s">
        <v>123</v>
      </c>
      <c r="AU1119" s="2">
        <v>2013</v>
      </c>
      <c r="AV1119" s="2">
        <v>44</v>
      </c>
      <c r="AW1119" s="2">
        <v>2</v>
      </c>
      <c r="AX1119" s="2" t="s">
        <v>74</v>
      </c>
      <c r="AY1119" s="2" t="s">
        <v>74</v>
      </c>
      <c r="AZ1119" s="2" t="s">
        <v>74</v>
      </c>
      <c r="BA1119" s="2" t="s">
        <v>74</v>
      </c>
      <c r="BB1119" s="2">
        <v>121</v>
      </c>
      <c r="BC1119" s="2">
        <v>132</v>
      </c>
      <c r="BD1119" s="2" t="s">
        <v>74</v>
      </c>
      <c r="BE1119" s="2" t="s">
        <v>4921</v>
      </c>
      <c r="BF1119" s="2" t="str">
        <f>HYPERLINK("http://dx.doi.org/10.1007/s13592-012-0161-x","http://dx.doi.org/10.1007/s13592-012-0161-x")</f>
        <v>http://dx.doi.org/10.1007/s13592-012-0161-x</v>
      </c>
      <c r="BG1119" s="2" t="s">
        <v>74</v>
      </c>
      <c r="BH1119" s="2" t="s">
        <v>74</v>
      </c>
      <c r="BI1119" s="2" t="s">
        <v>74</v>
      </c>
      <c r="BJ1119" s="2" t="s">
        <v>74</v>
      </c>
      <c r="BK1119" s="2" t="s">
        <v>74</v>
      </c>
      <c r="BL1119" s="2" t="s">
        <v>74</v>
      </c>
      <c r="BM1119" s="2" t="s">
        <v>74</v>
      </c>
      <c r="BN1119" s="2" t="s">
        <v>74</v>
      </c>
      <c r="BO1119" s="2" t="s">
        <v>74</v>
      </c>
      <c r="BP1119" s="2" t="s">
        <v>74</v>
      </c>
      <c r="BQ1119" s="2" t="s">
        <v>74</v>
      </c>
      <c r="BR1119" s="2" t="s">
        <v>74</v>
      </c>
      <c r="BS1119" s="2" t="s">
        <v>4922</v>
      </c>
      <c r="BT1119" s="2" t="str">
        <f>HYPERLINK("https%3A%2F%2Fwww.webofscience.com%2Fwos%2Fwoscc%2Ffull-record%2FWOS:000314882300001","View Full Record in Web of Science")</f>
        <v>View Full Record in Web of Science</v>
      </c>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row>
    <row r="1120" spans="1:314" s="2" customFormat="1" x14ac:dyDescent="0.4">
      <c r="A1120" s="2" t="s">
        <v>72</v>
      </c>
      <c r="B1120" s="2" t="s">
        <v>4519</v>
      </c>
      <c r="C1120" s="2" t="s">
        <v>74</v>
      </c>
      <c r="D1120" s="2" t="s">
        <v>74</v>
      </c>
      <c r="E1120" s="2" t="s">
        <v>74</v>
      </c>
      <c r="F1120" s="2" t="s">
        <v>4520</v>
      </c>
      <c r="G1120" s="2" t="s">
        <v>74</v>
      </c>
      <c r="H1120" s="2" t="s">
        <v>74</v>
      </c>
      <c r="I1120" s="2" t="s">
        <v>4521</v>
      </c>
      <c r="J1120" s="2" t="s">
        <v>4522</v>
      </c>
      <c r="K1120" s="2" t="s">
        <v>74</v>
      </c>
      <c r="L1120" s="2" t="s">
        <v>74</v>
      </c>
      <c r="M1120" s="2" t="s">
        <v>74</v>
      </c>
      <c r="N1120" s="2" t="s">
        <v>74</v>
      </c>
      <c r="O1120" s="2" t="s">
        <v>74</v>
      </c>
      <c r="P1120" s="2" t="s">
        <v>74</v>
      </c>
      <c r="Q1120" s="2" t="s">
        <v>74</v>
      </c>
      <c r="R1120" s="2" t="s">
        <v>74</v>
      </c>
      <c r="S1120" s="2" t="s">
        <v>74</v>
      </c>
      <c r="T1120" s="2" t="s">
        <v>74</v>
      </c>
      <c r="U1120" s="2" t="s">
        <v>74</v>
      </c>
      <c r="V1120" s="5" t="s">
        <v>4523</v>
      </c>
      <c r="W1120" s="2" t="s">
        <v>74</v>
      </c>
      <c r="X1120" s="2" t="s">
        <v>74</v>
      </c>
      <c r="Y1120" s="2" t="s">
        <v>74</v>
      </c>
      <c r="Z1120" s="2" t="s">
        <v>74</v>
      </c>
      <c r="AA1120" s="2" t="s">
        <v>4524</v>
      </c>
      <c r="AB1120" s="2" t="s">
        <v>4525</v>
      </c>
      <c r="AC1120" s="2" t="s">
        <v>74</v>
      </c>
      <c r="AD1120" s="2" t="s">
        <v>74</v>
      </c>
      <c r="AE1120" s="2" t="s">
        <v>74</v>
      </c>
      <c r="AF1120" s="2" t="s">
        <v>74</v>
      </c>
      <c r="AG1120" s="2" t="s">
        <v>74</v>
      </c>
      <c r="AH1120" s="2" t="s">
        <v>74</v>
      </c>
      <c r="AI1120" s="2" t="s">
        <v>74</v>
      </c>
      <c r="AJ1120" s="2" t="s">
        <v>74</v>
      </c>
      <c r="AK1120" s="2" t="s">
        <v>74</v>
      </c>
      <c r="AL1120" s="2" t="s">
        <v>74</v>
      </c>
      <c r="AM1120" s="2" t="s">
        <v>74</v>
      </c>
      <c r="AN1120" s="2" t="s">
        <v>74</v>
      </c>
      <c r="AO1120" s="2" t="s">
        <v>4526</v>
      </c>
      <c r="AP1120" s="2" t="s">
        <v>4527</v>
      </c>
      <c r="AQ1120" s="2" t="s">
        <v>74</v>
      </c>
      <c r="AR1120" s="2" t="s">
        <v>74</v>
      </c>
      <c r="AS1120" s="2" t="s">
        <v>74</v>
      </c>
      <c r="AT1120" s="2" t="s">
        <v>4528</v>
      </c>
      <c r="AU1120" s="2">
        <v>2022</v>
      </c>
      <c r="AV1120" s="2">
        <v>56</v>
      </c>
      <c r="AW1120" s="2" t="s">
        <v>4529</v>
      </c>
      <c r="AX1120" s="2" t="s">
        <v>74</v>
      </c>
      <c r="AY1120" s="2" t="s">
        <v>74</v>
      </c>
      <c r="AZ1120" s="2" t="s">
        <v>74</v>
      </c>
      <c r="BA1120" s="2" t="s">
        <v>74</v>
      </c>
      <c r="BB1120" s="2">
        <v>435</v>
      </c>
      <c r="BC1120" s="2">
        <v>447</v>
      </c>
      <c r="BD1120" s="2" t="s">
        <v>74</v>
      </c>
      <c r="BE1120" s="2" t="s">
        <v>4530</v>
      </c>
      <c r="BF1120" s="2" t="str">
        <f>HYPERLINK("http://dx.doi.org/10.1080/00222933.2022.2052991","http://dx.doi.org/10.1080/00222933.2022.2052991")</f>
        <v>http://dx.doi.org/10.1080/00222933.2022.2052991</v>
      </c>
      <c r="BG1120" s="2" t="s">
        <v>74</v>
      </c>
      <c r="BH1120" s="2" t="s">
        <v>74</v>
      </c>
      <c r="BI1120" s="2" t="s">
        <v>74</v>
      </c>
      <c r="BJ1120" s="2" t="s">
        <v>74</v>
      </c>
      <c r="BK1120" s="2" t="s">
        <v>74</v>
      </c>
      <c r="BL1120" s="2" t="s">
        <v>74</v>
      </c>
      <c r="BM1120" s="2" t="s">
        <v>74</v>
      </c>
      <c r="BN1120" s="2" t="s">
        <v>74</v>
      </c>
      <c r="BO1120" s="2" t="s">
        <v>74</v>
      </c>
      <c r="BP1120" s="2" t="s">
        <v>74</v>
      </c>
      <c r="BQ1120" s="2" t="s">
        <v>74</v>
      </c>
      <c r="BR1120" s="2" t="s">
        <v>74</v>
      </c>
      <c r="BS1120" s="2" t="s">
        <v>4531</v>
      </c>
      <c r="BT1120" s="2" t="str">
        <f>HYPERLINK("https%3A%2F%2Fwww.webofscience.com%2Fwos%2Fwoscc%2Ffull-record%2FWOS:000819303900001","View Full Record in Web of Science")</f>
        <v>View Full Record in Web of Science</v>
      </c>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row>
    <row r="1121" spans="1:314" s="2" customFormat="1" x14ac:dyDescent="0.4">
      <c r="A1121" s="2" t="s">
        <v>72</v>
      </c>
      <c r="B1121" s="2" t="s">
        <v>3505</v>
      </c>
      <c r="C1121" s="2" t="s">
        <v>74</v>
      </c>
      <c r="D1121" s="2" t="s">
        <v>74</v>
      </c>
      <c r="E1121" s="2" t="s">
        <v>74</v>
      </c>
      <c r="F1121" s="2" t="s">
        <v>3506</v>
      </c>
      <c r="G1121" s="2" t="s">
        <v>74</v>
      </c>
      <c r="H1121" s="2" t="s">
        <v>74</v>
      </c>
      <c r="I1121" s="2" t="s">
        <v>3507</v>
      </c>
      <c r="J1121" s="2" t="s">
        <v>333</v>
      </c>
      <c r="K1121" s="2" t="s">
        <v>74</v>
      </c>
      <c r="L1121" s="2" t="s">
        <v>74</v>
      </c>
      <c r="M1121" s="2" t="s">
        <v>74</v>
      </c>
      <c r="N1121" s="2" t="s">
        <v>74</v>
      </c>
      <c r="O1121" s="2" t="s">
        <v>74</v>
      </c>
      <c r="P1121" s="2" t="s">
        <v>74</v>
      </c>
      <c r="Q1121" s="2" t="s">
        <v>74</v>
      </c>
      <c r="R1121" s="2" t="s">
        <v>74</v>
      </c>
      <c r="S1121" s="2" t="s">
        <v>74</v>
      </c>
      <c r="T1121" s="2" t="s">
        <v>74</v>
      </c>
      <c r="U1121" s="2" t="s">
        <v>74</v>
      </c>
      <c r="V1121" s="5" t="s">
        <v>3508</v>
      </c>
      <c r="W1121" s="2" t="s">
        <v>74</v>
      </c>
      <c r="X1121" s="2" t="s">
        <v>74</v>
      </c>
      <c r="Y1121" s="2" t="s">
        <v>74</v>
      </c>
      <c r="Z1121" s="2" t="s">
        <v>74</v>
      </c>
      <c r="AA1121" s="2" t="s">
        <v>379</v>
      </c>
      <c r="AB1121" s="2" t="s">
        <v>74</v>
      </c>
      <c r="AC1121" s="2" t="s">
        <v>74</v>
      </c>
      <c r="AD1121" s="2" t="s">
        <v>74</v>
      </c>
      <c r="AE1121" s="2" t="s">
        <v>74</v>
      </c>
      <c r="AF1121" s="2" t="s">
        <v>74</v>
      </c>
      <c r="AG1121" s="2" t="s">
        <v>74</v>
      </c>
      <c r="AH1121" s="2" t="s">
        <v>74</v>
      </c>
      <c r="AI1121" s="2" t="s">
        <v>74</v>
      </c>
      <c r="AJ1121" s="2" t="s">
        <v>74</v>
      </c>
      <c r="AK1121" s="2" t="s">
        <v>74</v>
      </c>
      <c r="AL1121" s="2" t="s">
        <v>74</v>
      </c>
      <c r="AM1121" s="2" t="s">
        <v>74</v>
      </c>
      <c r="AN1121" s="2" t="s">
        <v>74</v>
      </c>
      <c r="AO1121" s="2" t="s">
        <v>337</v>
      </c>
      <c r="AP1121" s="2" t="s">
        <v>338</v>
      </c>
      <c r="AQ1121" s="2" t="s">
        <v>74</v>
      </c>
      <c r="AR1121" s="2" t="s">
        <v>74</v>
      </c>
      <c r="AS1121" s="2" t="s">
        <v>74</v>
      </c>
      <c r="AT1121" s="2" t="s">
        <v>1075</v>
      </c>
      <c r="AU1121" s="2">
        <v>2013</v>
      </c>
      <c r="AV1121" s="2">
        <v>24</v>
      </c>
      <c r="AW1121" s="2">
        <v>6</v>
      </c>
      <c r="AX1121" s="2" t="s">
        <v>74</v>
      </c>
      <c r="AY1121" s="2" t="s">
        <v>74</v>
      </c>
      <c r="AZ1121" s="2" t="s">
        <v>74</v>
      </c>
      <c r="BA1121" s="2" t="s">
        <v>74</v>
      </c>
      <c r="BB1121" s="2">
        <v>1407</v>
      </c>
      <c r="BC1121" s="2">
        <v>1414</v>
      </c>
      <c r="BD1121" s="2" t="s">
        <v>74</v>
      </c>
      <c r="BE1121" s="2" t="s">
        <v>3509</v>
      </c>
      <c r="BF1121" s="2" t="str">
        <f>HYPERLINK("http://dx.doi.org/10.1093/beheco/art080","http://dx.doi.org/10.1093/beheco/art080")</f>
        <v>http://dx.doi.org/10.1093/beheco/art080</v>
      </c>
      <c r="BG1121" s="2" t="s">
        <v>74</v>
      </c>
      <c r="BH1121" s="2" t="s">
        <v>74</v>
      </c>
      <c r="BI1121" s="2" t="s">
        <v>74</v>
      </c>
      <c r="BJ1121" s="2" t="s">
        <v>74</v>
      </c>
      <c r="BK1121" s="2" t="s">
        <v>74</v>
      </c>
      <c r="BL1121" s="2" t="s">
        <v>74</v>
      </c>
      <c r="BM1121" s="2" t="s">
        <v>74</v>
      </c>
      <c r="BN1121" s="2" t="s">
        <v>74</v>
      </c>
      <c r="BO1121" s="2" t="s">
        <v>74</v>
      </c>
      <c r="BP1121" s="2" t="s">
        <v>74</v>
      </c>
      <c r="BQ1121" s="2" t="s">
        <v>74</v>
      </c>
      <c r="BR1121" s="2" t="s">
        <v>74</v>
      </c>
      <c r="BS1121" s="2" t="s">
        <v>3510</v>
      </c>
      <c r="BT1121" s="2" t="str">
        <f>HYPERLINK("https%3A%2F%2Fwww.webofscience.com%2Fwos%2Fwoscc%2Ffull-record%2FWOS:000325995900018","View Full Record in Web of Science")</f>
        <v>View Full Record in Web of Science</v>
      </c>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row>
    <row r="1122" spans="1:314" s="2" customFormat="1" x14ac:dyDescent="0.4">
      <c r="A1122" s="2" t="s">
        <v>72</v>
      </c>
      <c r="B1122" s="2" t="s">
        <v>375</v>
      </c>
      <c r="C1122" s="2" t="s">
        <v>74</v>
      </c>
      <c r="D1122" s="2" t="s">
        <v>74</v>
      </c>
      <c r="E1122" s="2" t="s">
        <v>74</v>
      </c>
      <c r="F1122" s="2" t="s">
        <v>376</v>
      </c>
      <c r="G1122" s="2" t="s">
        <v>74</v>
      </c>
      <c r="H1122" s="2" t="s">
        <v>74</v>
      </c>
      <c r="I1122" s="2" t="s">
        <v>377</v>
      </c>
      <c r="J1122" s="2" t="s">
        <v>140</v>
      </c>
      <c r="K1122" s="2" t="s">
        <v>74</v>
      </c>
      <c r="L1122" s="2" t="s">
        <v>74</v>
      </c>
      <c r="M1122" s="2" t="s">
        <v>74</v>
      </c>
      <c r="N1122" s="2" t="s">
        <v>74</v>
      </c>
      <c r="O1122" s="2" t="s">
        <v>74</v>
      </c>
      <c r="P1122" s="2" t="s">
        <v>74</v>
      </c>
      <c r="Q1122" s="2" t="s">
        <v>74</v>
      </c>
      <c r="R1122" s="2" t="s">
        <v>74</v>
      </c>
      <c r="S1122" s="2" t="s">
        <v>74</v>
      </c>
      <c r="T1122" s="2" t="s">
        <v>74</v>
      </c>
      <c r="U1122" s="2" t="s">
        <v>74</v>
      </c>
      <c r="V1122" s="5" t="s">
        <v>378</v>
      </c>
      <c r="W1122" s="2" t="s">
        <v>74</v>
      </c>
      <c r="X1122" s="2" t="s">
        <v>74</v>
      </c>
      <c r="Y1122" s="2" t="s">
        <v>74</v>
      </c>
      <c r="Z1122" s="2" t="s">
        <v>74</v>
      </c>
      <c r="AA1122" s="2" t="s">
        <v>379</v>
      </c>
      <c r="AB1122" s="2" t="s">
        <v>74</v>
      </c>
      <c r="AC1122" s="2" t="s">
        <v>74</v>
      </c>
      <c r="AD1122" s="2" t="s">
        <v>74</v>
      </c>
      <c r="AE1122" s="2" t="s">
        <v>74</v>
      </c>
      <c r="AF1122" s="2" t="s">
        <v>74</v>
      </c>
      <c r="AG1122" s="2" t="s">
        <v>74</v>
      </c>
      <c r="AH1122" s="2" t="s">
        <v>74</v>
      </c>
      <c r="AI1122" s="2" t="s">
        <v>74</v>
      </c>
      <c r="AJ1122" s="2" t="s">
        <v>74</v>
      </c>
      <c r="AK1122" s="2" t="s">
        <v>74</v>
      </c>
      <c r="AL1122" s="2" t="s">
        <v>74</v>
      </c>
      <c r="AM1122" s="2" t="s">
        <v>74</v>
      </c>
      <c r="AN1122" s="2" t="s">
        <v>74</v>
      </c>
      <c r="AO1122" s="2" t="s">
        <v>143</v>
      </c>
      <c r="AP1122" s="2" t="s">
        <v>144</v>
      </c>
      <c r="AQ1122" s="2" t="s">
        <v>74</v>
      </c>
      <c r="AR1122" s="2" t="s">
        <v>74</v>
      </c>
      <c r="AS1122" s="2" t="s">
        <v>74</v>
      </c>
      <c r="AT1122" s="2" t="s">
        <v>102</v>
      </c>
      <c r="AU1122" s="2">
        <v>2013</v>
      </c>
      <c r="AV1122" s="2">
        <v>85</v>
      </c>
      <c r="AW1122" s="2">
        <v>6</v>
      </c>
      <c r="AX1122" s="2" t="s">
        <v>74</v>
      </c>
      <c r="AY1122" s="2" t="s">
        <v>74</v>
      </c>
      <c r="AZ1122" s="2" t="s">
        <v>74</v>
      </c>
      <c r="BA1122" s="2" t="s">
        <v>74</v>
      </c>
      <c r="BB1122" s="2">
        <v>1251</v>
      </c>
      <c r="BC1122" s="2">
        <v>1259</v>
      </c>
      <c r="BD1122" s="2" t="s">
        <v>74</v>
      </c>
      <c r="BE1122" s="2" t="s">
        <v>380</v>
      </c>
      <c r="BF1122" s="2" t="str">
        <f>HYPERLINK("http://dx.doi.org/10.1016/j.anbehav.2013.03.012","http://dx.doi.org/10.1016/j.anbehav.2013.03.012")</f>
        <v>http://dx.doi.org/10.1016/j.anbehav.2013.03.012</v>
      </c>
      <c r="BG1122" s="2" t="s">
        <v>74</v>
      </c>
      <c r="BH1122" s="2" t="s">
        <v>74</v>
      </c>
      <c r="BI1122" s="2" t="s">
        <v>74</v>
      </c>
      <c r="BJ1122" s="2" t="s">
        <v>74</v>
      </c>
      <c r="BK1122" s="2" t="s">
        <v>74</v>
      </c>
      <c r="BL1122" s="2" t="s">
        <v>74</v>
      </c>
      <c r="BM1122" s="2" t="s">
        <v>74</v>
      </c>
      <c r="BN1122" s="2" t="s">
        <v>74</v>
      </c>
      <c r="BO1122" s="2" t="s">
        <v>74</v>
      </c>
      <c r="BP1122" s="2" t="s">
        <v>74</v>
      </c>
      <c r="BQ1122" s="2" t="s">
        <v>74</v>
      </c>
      <c r="BR1122" s="2" t="s">
        <v>74</v>
      </c>
      <c r="BS1122" s="2" t="s">
        <v>381</v>
      </c>
      <c r="BT1122" s="2" t="str">
        <f>HYPERLINK("https%3A%2F%2Fwww.webofscience.com%2Fwos%2Fwoscc%2Ffull-record%2FWOS:000320651200015","View Full Record in Web of Science")</f>
        <v>View Full Record in Web of Science</v>
      </c>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row>
    <row r="1123" spans="1:314" s="2" customFormat="1" x14ac:dyDescent="0.4">
      <c r="A1123" s="2" t="s">
        <v>72</v>
      </c>
      <c r="B1123" s="2" t="s">
        <v>375</v>
      </c>
      <c r="C1123" s="2" t="s">
        <v>74</v>
      </c>
      <c r="D1123" s="2" t="s">
        <v>74</v>
      </c>
      <c r="E1123" s="2" t="s">
        <v>74</v>
      </c>
      <c r="F1123" s="2" t="s">
        <v>376</v>
      </c>
      <c r="G1123" s="2" t="s">
        <v>74</v>
      </c>
      <c r="H1123" s="2" t="s">
        <v>74</v>
      </c>
      <c r="I1123" s="2" t="s">
        <v>2371</v>
      </c>
      <c r="J1123" s="2" t="s">
        <v>140</v>
      </c>
      <c r="K1123" s="2" t="s">
        <v>74</v>
      </c>
      <c r="L1123" s="2" t="s">
        <v>74</v>
      </c>
      <c r="M1123" s="2" t="s">
        <v>74</v>
      </c>
      <c r="N1123" s="2" t="s">
        <v>74</v>
      </c>
      <c r="O1123" s="2" t="s">
        <v>74</v>
      </c>
      <c r="P1123" s="2" t="s">
        <v>74</v>
      </c>
      <c r="Q1123" s="2" t="s">
        <v>74</v>
      </c>
      <c r="R1123" s="2" t="s">
        <v>74</v>
      </c>
      <c r="S1123" s="2" t="s">
        <v>74</v>
      </c>
      <c r="T1123" s="2" t="s">
        <v>74</v>
      </c>
      <c r="U1123" s="2" t="s">
        <v>74</v>
      </c>
      <c r="V1123" s="5" t="s">
        <v>2372</v>
      </c>
      <c r="W1123" s="2" t="s">
        <v>74</v>
      </c>
      <c r="X1123" s="2" t="s">
        <v>74</v>
      </c>
      <c r="Y1123" s="2" t="s">
        <v>74</v>
      </c>
      <c r="Z1123" s="2" t="s">
        <v>74</v>
      </c>
      <c r="AA1123" s="2" t="s">
        <v>379</v>
      </c>
      <c r="AB1123" s="2" t="s">
        <v>74</v>
      </c>
      <c r="AC1123" s="2" t="s">
        <v>74</v>
      </c>
      <c r="AD1123" s="2" t="s">
        <v>74</v>
      </c>
      <c r="AE1123" s="2" t="s">
        <v>74</v>
      </c>
      <c r="AF1123" s="2" t="s">
        <v>74</v>
      </c>
      <c r="AG1123" s="2" t="s">
        <v>74</v>
      </c>
      <c r="AH1123" s="2" t="s">
        <v>74</v>
      </c>
      <c r="AI1123" s="2" t="s">
        <v>74</v>
      </c>
      <c r="AJ1123" s="2" t="s">
        <v>74</v>
      </c>
      <c r="AK1123" s="2" t="s">
        <v>74</v>
      </c>
      <c r="AL1123" s="2" t="s">
        <v>74</v>
      </c>
      <c r="AM1123" s="2" t="s">
        <v>74</v>
      </c>
      <c r="AN1123" s="2" t="s">
        <v>74</v>
      </c>
      <c r="AO1123" s="2" t="s">
        <v>143</v>
      </c>
      <c r="AP1123" s="2" t="s">
        <v>144</v>
      </c>
      <c r="AQ1123" s="2" t="s">
        <v>74</v>
      </c>
      <c r="AR1123" s="2" t="s">
        <v>74</v>
      </c>
      <c r="AS1123" s="2" t="s">
        <v>74</v>
      </c>
      <c r="AT1123" s="2" t="s">
        <v>175</v>
      </c>
      <c r="AU1123" s="2">
        <v>2011</v>
      </c>
      <c r="AV1123" s="2">
        <v>82</v>
      </c>
      <c r="AW1123" s="2">
        <v>4</v>
      </c>
      <c r="AX1123" s="2" t="s">
        <v>74</v>
      </c>
      <c r="AY1123" s="2" t="s">
        <v>74</v>
      </c>
      <c r="AZ1123" s="2" t="s">
        <v>74</v>
      </c>
      <c r="BA1123" s="2" t="s">
        <v>74</v>
      </c>
      <c r="BB1123" s="2">
        <v>683</v>
      </c>
      <c r="BC1123" s="2">
        <v>689</v>
      </c>
      <c r="BD1123" s="2" t="s">
        <v>74</v>
      </c>
      <c r="BE1123" s="2" t="s">
        <v>2373</v>
      </c>
      <c r="BF1123" s="2" t="str">
        <f>HYPERLINK("http://dx.doi.org/10.1016/j.anbehav.2011.06.023","http://dx.doi.org/10.1016/j.anbehav.2011.06.023")</f>
        <v>http://dx.doi.org/10.1016/j.anbehav.2011.06.023</v>
      </c>
      <c r="BG1123" s="2" t="s">
        <v>74</v>
      </c>
      <c r="BH1123" s="2" t="s">
        <v>74</v>
      </c>
      <c r="BI1123" s="2" t="s">
        <v>74</v>
      </c>
      <c r="BJ1123" s="2" t="s">
        <v>74</v>
      </c>
      <c r="BK1123" s="2" t="s">
        <v>74</v>
      </c>
      <c r="BL1123" s="2" t="s">
        <v>74</v>
      </c>
      <c r="BM1123" s="2" t="s">
        <v>74</v>
      </c>
      <c r="BN1123" s="2" t="s">
        <v>74</v>
      </c>
      <c r="BO1123" s="2" t="s">
        <v>74</v>
      </c>
      <c r="BP1123" s="2" t="s">
        <v>74</v>
      </c>
      <c r="BQ1123" s="2" t="s">
        <v>74</v>
      </c>
      <c r="BR1123" s="2" t="s">
        <v>74</v>
      </c>
      <c r="BS1123" s="2" t="s">
        <v>2374</v>
      </c>
      <c r="BT1123" s="2" t="str">
        <f>HYPERLINK("https%3A%2F%2Fwww.webofscience.com%2Fwos%2Fwoscc%2Ffull-record%2FWOS:000295262800012","View Full Record in Web of Science")</f>
        <v>View Full Record in Web of Science</v>
      </c>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row>
    <row r="1124" spans="1:314" s="2" customFormat="1" x14ac:dyDescent="0.4">
      <c r="A1124" s="2" t="s">
        <v>72</v>
      </c>
      <c r="B1124" s="2" t="s">
        <v>375</v>
      </c>
      <c r="C1124" s="2" t="s">
        <v>74</v>
      </c>
      <c r="D1124" s="2" t="s">
        <v>74</v>
      </c>
      <c r="E1124" s="2" t="s">
        <v>74</v>
      </c>
      <c r="F1124" s="2" t="s">
        <v>376</v>
      </c>
      <c r="G1124" s="2" t="s">
        <v>74</v>
      </c>
      <c r="H1124" s="2" t="s">
        <v>74</v>
      </c>
      <c r="I1124" s="2" t="s">
        <v>5944</v>
      </c>
      <c r="J1124" s="2" t="s">
        <v>610</v>
      </c>
      <c r="K1124" s="2" t="s">
        <v>74</v>
      </c>
      <c r="L1124" s="2" t="s">
        <v>74</v>
      </c>
      <c r="M1124" s="2" t="s">
        <v>74</v>
      </c>
      <c r="N1124" s="2" t="s">
        <v>74</v>
      </c>
      <c r="O1124" s="2" t="s">
        <v>74</v>
      </c>
      <c r="P1124" s="2" t="s">
        <v>74</v>
      </c>
      <c r="Q1124" s="2" t="s">
        <v>74</v>
      </c>
      <c r="R1124" s="2" t="s">
        <v>74</v>
      </c>
      <c r="S1124" s="2" t="s">
        <v>74</v>
      </c>
      <c r="T1124" s="2" t="s">
        <v>74</v>
      </c>
      <c r="U1124" s="2" t="s">
        <v>74</v>
      </c>
      <c r="V1124" s="5" t="s">
        <v>5945</v>
      </c>
      <c r="W1124" s="2" t="s">
        <v>74</v>
      </c>
      <c r="X1124" s="2" t="s">
        <v>74</v>
      </c>
      <c r="Y1124" s="2" t="s">
        <v>74</v>
      </c>
      <c r="Z1124" s="2" t="s">
        <v>74</v>
      </c>
      <c r="AA1124" s="2" t="s">
        <v>379</v>
      </c>
      <c r="AB1124" s="2" t="s">
        <v>74</v>
      </c>
      <c r="AC1124" s="2" t="s">
        <v>74</v>
      </c>
      <c r="AD1124" s="2" t="s">
        <v>74</v>
      </c>
      <c r="AE1124" s="2" t="s">
        <v>74</v>
      </c>
      <c r="AF1124" s="2" t="s">
        <v>74</v>
      </c>
      <c r="AG1124" s="2" t="s">
        <v>74</v>
      </c>
      <c r="AH1124" s="2" t="s">
        <v>74</v>
      </c>
      <c r="AI1124" s="2" t="s">
        <v>74</v>
      </c>
      <c r="AJ1124" s="2" t="s">
        <v>74</v>
      </c>
      <c r="AK1124" s="2" t="s">
        <v>74</v>
      </c>
      <c r="AL1124" s="2" t="s">
        <v>74</v>
      </c>
      <c r="AM1124" s="2" t="s">
        <v>74</v>
      </c>
      <c r="AN1124" s="2" t="s">
        <v>74</v>
      </c>
      <c r="AO1124" s="2" t="s">
        <v>614</v>
      </c>
      <c r="AP1124" s="2" t="s">
        <v>615</v>
      </c>
      <c r="AQ1124" s="2" t="s">
        <v>74</v>
      </c>
      <c r="AR1124" s="2" t="s">
        <v>74</v>
      </c>
      <c r="AS1124" s="2" t="s">
        <v>74</v>
      </c>
      <c r="AT1124" s="2" t="s">
        <v>213</v>
      </c>
      <c r="AU1124" s="2">
        <v>2010</v>
      </c>
      <c r="AV1124" s="2">
        <v>116</v>
      </c>
      <c r="AW1124" s="2">
        <v>11</v>
      </c>
      <c r="AX1124" s="2" t="s">
        <v>74</v>
      </c>
      <c r="AY1124" s="2" t="s">
        <v>74</v>
      </c>
      <c r="AZ1124" s="2" t="s">
        <v>74</v>
      </c>
      <c r="BA1124" s="2" t="s">
        <v>74</v>
      </c>
      <c r="BB1124" s="2">
        <v>1038</v>
      </c>
      <c r="BC1124" s="2">
        <v>1049</v>
      </c>
      <c r="BD1124" s="2" t="s">
        <v>74</v>
      </c>
      <c r="BE1124" s="2" t="s">
        <v>5946</v>
      </c>
      <c r="BF1124" s="2" t="str">
        <f>HYPERLINK("http://dx.doi.org/10.1111/j.1439-0310.2010.01816.x","http://dx.doi.org/10.1111/j.1439-0310.2010.01816.x")</f>
        <v>http://dx.doi.org/10.1111/j.1439-0310.2010.01816.x</v>
      </c>
      <c r="BG1124" s="2" t="s">
        <v>74</v>
      </c>
      <c r="BH1124" s="2" t="s">
        <v>74</v>
      </c>
      <c r="BI1124" s="2" t="s">
        <v>74</v>
      </c>
      <c r="BJ1124" s="2" t="s">
        <v>74</v>
      </c>
      <c r="BK1124" s="2" t="s">
        <v>74</v>
      </c>
      <c r="BL1124" s="2" t="s">
        <v>74</v>
      </c>
      <c r="BM1124" s="2" t="s">
        <v>74</v>
      </c>
      <c r="BN1124" s="2" t="s">
        <v>74</v>
      </c>
      <c r="BO1124" s="2" t="s">
        <v>74</v>
      </c>
      <c r="BP1124" s="2" t="s">
        <v>74</v>
      </c>
      <c r="BQ1124" s="2" t="s">
        <v>74</v>
      </c>
      <c r="BR1124" s="2" t="s">
        <v>74</v>
      </c>
      <c r="BS1124" s="2" t="s">
        <v>5947</v>
      </c>
      <c r="BT1124" s="2" t="str">
        <f>HYPERLINK("https%3A%2F%2Fwww.webofscience.com%2Fwos%2Fwoscc%2Ffull-record%2FWOS:000282821900005","View Full Record in Web of Science")</f>
        <v>View Full Record in Web of Science</v>
      </c>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row>
    <row r="1125" spans="1:314" s="2" customFormat="1" x14ac:dyDescent="0.4">
      <c r="A1125" s="2" t="s">
        <v>72</v>
      </c>
      <c r="B1125" s="2" t="s">
        <v>4820</v>
      </c>
      <c r="C1125" s="2" t="s">
        <v>74</v>
      </c>
      <c r="D1125" s="2" t="s">
        <v>74</v>
      </c>
      <c r="E1125" s="2" t="s">
        <v>74</v>
      </c>
      <c r="F1125" s="2" t="s">
        <v>4820</v>
      </c>
      <c r="G1125" s="2" t="s">
        <v>74</v>
      </c>
      <c r="H1125" s="2" t="s">
        <v>74</v>
      </c>
      <c r="I1125" s="2" t="s">
        <v>4821</v>
      </c>
      <c r="J1125" s="2" t="s">
        <v>1526</v>
      </c>
      <c r="K1125" s="2" t="s">
        <v>74</v>
      </c>
      <c r="L1125" s="2" t="s">
        <v>74</v>
      </c>
      <c r="M1125" s="2" t="s">
        <v>74</v>
      </c>
      <c r="N1125" s="2" t="s">
        <v>74</v>
      </c>
      <c r="O1125" s="2" t="s">
        <v>74</v>
      </c>
      <c r="P1125" s="2" t="s">
        <v>74</v>
      </c>
      <c r="Q1125" s="2" t="s">
        <v>74</v>
      </c>
      <c r="R1125" s="2" t="s">
        <v>74</v>
      </c>
      <c r="S1125" s="2" t="s">
        <v>74</v>
      </c>
      <c r="T1125" s="2" t="s">
        <v>74</v>
      </c>
      <c r="U1125" s="2" t="s">
        <v>74</v>
      </c>
      <c r="V1125" s="5" t="s">
        <v>4822</v>
      </c>
      <c r="W1125" s="2" t="s">
        <v>74</v>
      </c>
      <c r="X1125" s="2" t="s">
        <v>74</v>
      </c>
      <c r="Y1125" s="2" t="s">
        <v>74</v>
      </c>
      <c r="Z1125" s="2" t="s">
        <v>74</v>
      </c>
      <c r="AA1125" s="2" t="s">
        <v>74</v>
      </c>
      <c r="AB1125" s="2" t="s">
        <v>74</v>
      </c>
      <c r="AC1125" s="2" t="s">
        <v>74</v>
      </c>
      <c r="AD1125" s="2" t="s">
        <v>74</v>
      </c>
      <c r="AE1125" s="2" t="s">
        <v>74</v>
      </c>
      <c r="AF1125" s="2" t="s">
        <v>74</v>
      </c>
      <c r="AG1125" s="2" t="s">
        <v>74</v>
      </c>
      <c r="AH1125" s="2" t="s">
        <v>74</v>
      </c>
      <c r="AI1125" s="2" t="s">
        <v>74</v>
      </c>
      <c r="AJ1125" s="2" t="s">
        <v>74</v>
      </c>
      <c r="AK1125" s="2" t="s">
        <v>74</v>
      </c>
      <c r="AL1125" s="2" t="s">
        <v>74</v>
      </c>
      <c r="AM1125" s="2" t="s">
        <v>74</v>
      </c>
      <c r="AN1125" s="2" t="s">
        <v>74</v>
      </c>
      <c r="AO1125" s="2" t="s">
        <v>1528</v>
      </c>
      <c r="AP1125" s="2" t="s">
        <v>74</v>
      </c>
      <c r="AQ1125" s="2" t="s">
        <v>74</v>
      </c>
      <c r="AR1125" s="2" t="s">
        <v>74</v>
      </c>
      <c r="AS1125" s="2" t="s">
        <v>74</v>
      </c>
      <c r="AT1125" s="2" t="s">
        <v>145</v>
      </c>
      <c r="AU1125" s="2">
        <v>1993</v>
      </c>
      <c r="AV1125" s="2">
        <v>95</v>
      </c>
      <c r="AW1125" s="2">
        <v>3</v>
      </c>
      <c r="AX1125" s="2" t="s">
        <v>74</v>
      </c>
      <c r="AY1125" s="2" t="s">
        <v>74</v>
      </c>
      <c r="AZ1125" s="2" t="s">
        <v>74</v>
      </c>
      <c r="BA1125" s="2" t="s">
        <v>74</v>
      </c>
      <c r="BB1125" s="2">
        <v>596</v>
      </c>
      <c r="BC1125" s="2">
        <v>615</v>
      </c>
      <c r="BD1125" s="2" t="s">
        <v>74</v>
      </c>
      <c r="BE1125" s="2" t="s">
        <v>4823</v>
      </c>
      <c r="BF1125" s="2" t="str">
        <f>HYPERLINK("http://dx.doi.org/10.2307/1369604","http://dx.doi.org/10.2307/1369604")</f>
        <v>http://dx.doi.org/10.2307/1369604</v>
      </c>
      <c r="BG1125" s="2" t="s">
        <v>74</v>
      </c>
      <c r="BH1125" s="2" t="s">
        <v>74</v>
      </c>
      <c r="BI1125" s="2" t="s">
        <v>74</v>
      </c>
      <c r="BJ1125" s="2" t="s">
        <v>74</v>
      </c>
      <c r="BK1125" s="2" t="s">
        <v>74</v>
      </c>
      <c r="BL1125" s="2" t="s">
        <v>74</v>
      </c>
      <c r="BM1125" s="2" t="s">
        <v>74</v>
      </c>
      <c r="BN1125" s="2" t="s">
        <v>74</v>
      </c>
      <c r="BO1125" s="2" t="s">
        <v>74</v>
      </c>
      <c r="BP1125" s="2" t="s">
        <v>74</v>
      </c>
      <c r="BQ1125" s="2" t="s">
        <v>74</v>
      </c>
      <c r="BR1125" s="2" t="s">
        <v>74</v>
      </c>
      <c r="BS1125" s="2" t="s">
        <v>4824</v>
      </c>
      <c r="BT1125" s="2" t="str">
        <f>HYPERLINK("https%3A%2F%2Fwww.webofscience.com%2Fwos%2Fwoscc%2Ffull-record%2FWOS:A1993LU78000012","View Full Record in Web of Science")</f>
        <v>View Full Record in Web of Science</v>
      </c>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row>
    <row r="1126" spans="1:314" s="2" customFormat="1" x14ac:dyDescent="0.4">
      <c r="A1126" s="2" t="s">
        <v>72</v>
      </c>
      <c r="B1126" s="2" t="s">
        <v>8120</v>
      </c>
      <c r="C1126" s="2" t="s">
        <v>74</v>
      </c>
      <c r="D1126" s="2" t="s">
        <v>74</v>
      </c>
      <c r="E1126" s="2" t="s">
        <v>74</v>
      </c>
      <c r="F1126" s="2" t="s">
        <v>8121</v>
      </c>
      <c r="G1126" s="2" t="s">
        <v>74</v>
      </c>
      <c r="H1126" s="2" t="s">
        <v>74</v>
      </c>
      <c r="I1126" s="2" t="s">
        <v>8122</v>
      </c>
      <c r="J1126" s="2" t="s">
        <v>2629</v>
      </c>
      <c r="K1126" s="2" t="s">
        <v>74</v>
      </c>
      <c r="L1126" s="2" t="s">
        <v>74</v>
      </c>
      <c r="M1126" s="2" t="s">
        <v>74</v>
      </c>
      <c r="N1126" s="2" t="s">
        <v>74</v>
      </c>
      <c r="O1126" s="2" t="s">
        <v>74</v>
      </c>
      <c r="P1126" s="2" t="s">
        <v>74</v>
      </c>
      <c r="Q1126" s="2" t="s">
        <v>74</v>
      </c>
      <c r="R1126" s="2" t="s">
        <v>74</v>
      </c>
      <c r="S1126" s="2" t="s">
        <v>74</v>
      </c>
      <c r="T1126" s="2" t="s">
        <v>74</v>
      </c>
      <c r="U1126" s="2" t="s">
        <v>74</v>
      </c>
      <c r="V1126" s="5" t="s">
        <v>8123</v>
      </c>
      <c r="W1126" s="2" t="s">
        <v>74</v>
      </c>
      <c r="X1126" s="2" t="s">
        <v>74</v>
      </c>
      <c r="Y1126" s="2" t="s">
        <v>74</v>
      </c>
      <c r="Z1126" s="2" t="s">
        <v>74</v>
      </c>
      <c r="AA1126" s="2" t="s">
        <v>74</v>
      </c>
      <c r="AB1126" s="2" t="s">
        <v>74</v>
      </c>
      <c r="AC1126" s="2" t="s">
        <v>74</v>
      </c>
      <c r="AD1126" s="2" t="s">
        <v>74</v>
      </c>
      <c r="AE1126" s="2" t="s">
        <v>74</v>
      </c>
      <c r="AF1126" s="2" t="s">
        <v>74</v>
      </c>
      <c r="AG1126" s="2" t="s">
        <v>74</v>
      </c>
      <c r="AH1126" s="2" t="s">
        <v>74</v>
      </c>
      <c r="AI1126" s="2" t="s">
        <v>74</v>
      </c>
      <c r="AJ1126" s="2" t="s">
        <v>74</v>
      </c>
      <c r="AK1126" s="2" t="s">
        <v>74</v>
      </c>
      <c r="AL1126" s="2" t="s">
        <v>74</v>
      </c>
      <c r="AM1126" s="2" t="s">
        <v>74</v>
      </c>
      <c r="AN1126" s="2" t="s">
        <v>74</v>
      </c>
      <c r="AO1126" s="2" t="s">
        <v>2632</v>
      </c>
      <c r="AP1126" s="2" t="s">
        <v>2633</v>
      </c>
      <c r="AQ1126" s="2" t="s">
        <v>74</v>
      </c>
      <c r="AR1126" s="2" t="s">
        <v>74</v>
      </c>
      <c r="AS1126" s="2" t="s">
        <v>74</v>
      </c>
      <c r="AT1126" s="2" t="s">
        <v>74</v>
      </c>
      <c r="AU1126" s="2">
        <v>2020</v>
      </c>
      <c r="AV1126" s="2">
        <v>68</v>
      </c>
      <c r="AW1126" s="2">
        <v>2</v>
      </c>
      <c r="AX1126" s="2" t="s">
        <v>74</v>
      </c>
      <c r="AY1126" s="2" t="s">
        <v>74</v>
      </c>
      <c r="AZ1126" s="2" t="s">
        <v>74</v>
      </c>
      <c r="BA1126" s="2" t="s">
        <v>74</v>
      </c>
      <c r="BB1126" s="2">
        <v>85</v>
      </c>
      <c r="BC1126" s="2">
        <v>97</v>
      </c>
      <c r="BD1126" s="2" t="s">
        <v>74</v>
      </c>
      <c r="BE1126" s="2" t="s">
        <v>8124</v>
      </c>
      <c r="BF1126" s="2" t="str">
        <f>HYPERLINK("http://dx.doi.org/10.1071/ZO20091","http://dx.doi.org/10.1071/ZO20091")</f>
        <v>http://dx.doi.org/10.1071/ZO20091</v>
      </c>
      <c r="BG1126" s="2" t="s">
        <v>74</v>
      </c>
      <c r="BH1126" s="2" t="s">
        <v>224</v>
      </c>
      <c r="BI1126" s="2" t="s">
        <v>74</v>
      </c>
      <c r="BJ1126" s="2" t="s">
        <v>74</v>
      </c>
      <c r="BK1126" s="2" t="s">
        <v>74</v>
      </c>
      <c r="BL1126" s="2" t="s">
        <v>74</v>
      </c>
      <c r="BM1126" s="2" t="s">
        <v>74</v>
      </c>
      <c r="BN1126" s="2" t="s">
        <v>74</v>
      </c>
      <c r="BO1126" s="2" t="s">
        <v>74</v>
      </c>
      <c r="BP1126" s="2" t="s">
        <v>74</v>
      </c>
      <c r="BQ1126" s="2" t="s">
        <v>74</v>
      </c>
      <c r="BR1126" s="2" t="s">
        <v>74</v>
      </c>
      <c r="BS1126" s="2" t="s">
        <v>8125</v>
      </c>
      <c r="BT1126" s="2" t="str">
        <f>HYPERLINK("https%3A%2F%2Fwww.webofscience.com%2Fwos%2Fwoscc%2Ffull-record%2FWOS:000657370700001","View Full Record in Web of Science")</f>
        <v>View Full Record in Web of Science</v>
      </c>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row>
    <row r="1127" spans="1:314" s="2" customFormat="1" x14ac:dyDescent="0.4">
      <c r="A1127" s="2" t="s">
        <v>72</v>
      </c>
      <c r="B1127" s="2" t="s">
        <v>4167</v>
      </c>
      <c r="C1127" s="2" t="s">
        <v>74</v>
      </c>
      <c r="D1127" s="2" t="s">
        <v>74</v>
      </c>
      <c r="E1127" s="2" t="s">
        <v>74</v>
      </c>
      <c r="F1127" s="2" t="s">
        <v>4167</v>
      </c>
      <c r="G1127" s="2" t="s">
        <v>74</v>
      </c>
      <c r="H1127" s="2" t="s">
        <v>74</v>
      </c>
      <c r="I1127" s="2" t="s">
        <v>4168</v>
      </c>
      <c r="J1127" s="2" t="s">
        <v>691</v>
      </c>
      <c r="K1127" s="2" t="s">
        <v>74</v>
      </c>
      <c r="L1127" s="2" t="s">
        <v>74</v>
      </c>
      <c r="M1127" s="2" t="s">
        <v>74</v>
      </c>
      <c r="N1127" s="2" t="s">
        <v>74</v>
      </c>
      <c r="O1127" s="2" t="s">
        <v>74</v>
      </c>
      <c r="P1127" s="2" t="s">
        <v>74</v>
      </c>
      <c r="Q1127" s="2" t="s">
        <v>74</v>
      </c>
      <c r="R1127" s="2" t="s">
        <v>74</v>
      </c>
      <c r="S1127" s="2" t="s">
        <v>74</v>
      </c>
      <c r="T1127" s="2" t="s">
        <v>74</v>
      </c>
      <c r="U1127" s="2" t="s">
        <v>74</v>
      </c>
      <c r="V1127" s="5" t="s">
        <v>4169</v>
      </c>
      <c r="W1127" s="2" t="s">
        <v>74</v>
      </c>
      <c r="X1127" s="2" t="s">
        <v>74</v>
      </c>
      <c r="Y1127" s="2" t="s">
        <v>74</v>
      </c>
      <c r="Z1127" s="2" t="s">
        <v>74</v>
      </c>
      <c r="AA1127" s="2" t="s">
        <v>74</v>
      </c>
      <c r="AB1127" s="2" t="s">
        <v>74</v>
      </c>
      <c r="AC1127" s="2" t="s">
        <v>74</v>
      </c>
      <c r="AD1127" s="2" t="s">
        <v>74</v>
      </c>
      <c r="AE1127" s="2" t="s">
        <v>74</v>
      </c>
      <c r="AF1127" s="2" t="s">
        <v>74</v>
      </c>
      <c r="AG1127" s="2" t="s">
        <v>74</v>
      </c>
      <c r="AH1127" s="2" t="s">
        <v>74</v>
      </c>
      <c r="AI1127" s="2" t="s">
        <v>74</v>
      </c>
      <c r="AJ1127" s="2" t="s">
        <v>74</v>
      </c>
      <c r="AK1127" s="2" t="s">
        <v>74</v>
      </c>
      <c r="AL1127" s="2" t="s">
        <v>74</v>
      </c>
      <c r="AM1127" s="2" t="s">
        <v>74</v>
      </c>
      <c r="AN1127" s="2" t="s">
        <v>74</v>
      </c>
      <c r="AO1127" s="2" t="s">
        <v>695</v>
      </c>
      <c r="AP1127" s="2" t="s">
        <v>981</v>
      </c>
      <c r="AQ1127" s="2" t="s">
        <v>74</v>
      </c>
      <c r="AR1127" s="2" t="s">
        <v>74</v>
      </c>
      <c r="AS1127" s="2" t="s">
        <v>74</v>
      </c>
      <c r="AT1127" s="2" t="s">
        <v>305</v>
      </c>
      <c r="AU1127" s="2">
        <v>1989</v>
      </c>
      <c r="AV1127" s="2">
        <v>46</v>
      </c>
      <c r="AW1127" s="2">
        <v>6</v>
      </c>
      <c r="AX1127" s="2" t="s">
        <v>74</v>
      </c>
      <c r="AY1127" s="2" t="s">
        <v>74</v>
      </c>
      <c r="AZ1127" s="2" t="s">
        <v>74</v>
      </c>
      <c r="BA1127" s="2" t="s">
        <v>74</v>
      </c>
      <c r="BB1127" s="2">
        <v>977</v>
      </c>
      <c r="BC1127" s="2">
        <v>982</v>
      </c>
      <c r="BD1127" s="2" t="s">
        <v>74</v>
      </c>
      <c r="BE1127" s="2" t="s">
        <v>4170</v>
      </c>
      <c r="BF1127" s="2" t="str">
        <f>HYPERLINK("http://dx.doi.org/10.1016/0031-9384(89)90201-1","http://dx.doi.org/10.1016/0031-9384(89)90201-1")</f>
        <v>http://dx.doi.org/10.1016/0031-9384(89)90201-1</v>
      </c>
      <c r="BG1127" s="2" t="s">
        <v>74</v>
      </c>
      <c r="BH1127" s="2" t="s">
        <v>74</v>
      </c>
      <c r="BI1127" s="2" t="s">
        <v>74</v>
      </c>
      <c r="BJ1127" s="2" t="s">
        <v>74</v>
      </c>
      <c r="BK1127" s="2" t="s">
        <v>74</v>
      </c>
      <c r="BL1127" s="2" t="s">
        <v>74</v>
      </c>
      <c r="BM1127" s="2" t="s">
        <v>74</v>
      </c>
      <c r="BN1127" s="2">
        <v>2634263</v>
      </c>
      <c r="BO1127" s="2" t="s">
        <v>74</v>
      </c>
      <c r="BP1127" s="2" t="s">
        <v>74</v>
      </c>
      <c r="BQ1127" s="2" t="s">
        <v>74</v>
      </c>
      <c r="BR1127" s="2" t="s">
        <v>74</v>
      </c>
      <c r="BS1127" s="2" t="s">
        <v>4171</v>
      </c>
      <c r="BT1127" s="2" t="str">
        <f>HYPERLINK("https%3A%2F%2Fwww.webofscience.com%2Fwos%2Fwoscc%2Ffull-record%2FWOS:A1989CE14400011","View Full Record in Web of Science")</f>
        <v>View Full Record in Web of Science</v>
      </c>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row>
    <row r="1128" spans="1:314" s="2" customFormat="1" x14ac:dyDescent="0.4">
      <c r="A1128" s="2" t="s">
        <v>72</v>
      </c>
      <c r="B1128" s="2" t="s">
        <v>5563</v>
      </c>
      <c r="C1128" s="2" t="s">
        <v>74</v>
      </c>
      <c r="D1128" s="2" t="s">
        <v>74</v>
      </c>
      <c r="E1128" s="2" t="s">
        <v>74</v>
      </c>
      <c r="F1128" s="2" t="s">
        <v>5563</v>
      </c>
      <c r="G1128" s="2" t="s">
        <v>74</v>
      </c>
      <c r="H1128" s="2" t="s">
        <v>74</v>
      </c>
      <c r="I1128" s="2" t="s">
        <v>5564</v>
      </c>
      <c r="J1128" s="2" t="s">
        <v>5333</v>
      </c>
      <c r="K1128" s="2" t="s">
        <v>74</v>
      </c>
      <c r="L1128" s="2" t="s">
        <v>74</v>
      </c>
      <c r="M1128" s="2" t="s">
        <v>74</v>
      </c>
      <c r="N1128" s="2" t="s">
        <v>74</v>
      </c>
      <c r="O1128" s="2" t="s">
        <v>74</v>
      </c>
      <c r="P1128" s="2" t="s">
        <v>74</v>
      </c>
      <c r="Q1128" s="2" t="s">
        <v>74</v>
      </c>
      <c r="R1128" s="2" t="s">
        <v>74</v>
      </c>
      <c r="S1128" s="2" t="s">
        <v>74</v>
      </c>
      <c r="T1128" s="2" t="s">
        <v>74</v>
      </c>
      <c r="U1128" s="2" t="s">
        <v>74</v>
      </c>
      <c r="V1128" s="5" t="s">
        <v>5565</v>
      </c>
      <c r="W1128" s="2" t="s">
        <v>74</v>
      </c>
      <c r="X1128" s="2" t="s">
        <v>74</v>
      </c>
      <c r="Y1128" s="2" t="s">
        <v>74</v>
      </c>
      <c r="Z1128" s="2" t="s">
        <v>74</v>
      </c>
      <c r="AA1128" s="2" t="s">
        <v>74</v>
      </c>
      <c r="AB1128" s="2" t="s">
        <v>74</v>
      </c>
      <c r="AC1128" s="2" t="s">
        <v>74</v>
      </c>
      <c r="AD1128" s="2" t="s">
        <v>74</v>
      </c>
      <c r="AE1128" s="2" t="s">
        <v>74</v>
      </c>
      <c r="AF1128" s="2" t="s">
        <v>74</v>
      </c>
      <c r="AG1128" s="2" t="s">
        <v>74</v>
      </c>
      <c r="AH1128" s="2" t="s">
        <v>74</v>
      </c>
      <c r="AI1128" s="2" t="s">
        <v>74</v>
      </c>
      <c r="AJ1128" s="2" t="s">
        <v>74</v>
      </c>
      <c r="AK1128" s="2" t="s">
        <v>74</v>
      </c>
      <c r="AL1128" s="2" t="s">
        <v>74</v>
      </c>
      <c r="AM1128" s="2" t="s">
        <v>74</v>
      </c>
      <c r="AN1128" s="2" t="s">
        <v>74</v>
      </c>
      <c r="AO1128" s="2" t="s">
        <v>5335</v>
      </c>
      <c r="AP1128" s="2" t="s">
        <v>74</v>
      </c>
      <c r="AQ1128" s="2" t="s">
        <v>74</v>
      </c>
      <c r="AR1128" s="2" t="s">
        <v>74</v>
      </c>
      <c r="AS1128" s="2" t="s">
        <v>74</v>
      </c>
      <c r="AT1128" s="2" t="s">
        <v>74</v>
      </c>
      <c r="AU1128" s="2">
        <v>1985</v>
      </c>
      <c r="AV1128" s="2">
        <v>50</v>
      </c>
      <c r="AW1128" s="2">
        <v>3</v>
      </c>
      <c r="AX1128" s="2" t="s">
        <v>74</v>
      </c>
      <c r="AY1128" s="2" t="s">
        <v>74</v>
      </c>
      <c r="AZ1128" s="2" t="s">
        <v>74</v>
      </c>
      <c r="BA1128" s="2" t="s">
        <v>74</v>
      </c>
      <c r="BB1128" s="2">
        <v>166</v>
      </c>
      <c r="BC1128" s="2">
        <v>174</v>
      </c>
      <c r="BD1128" s="2" t="s">
        <v>74</v>
      </c>
      <c r="BE1128" s="2" t="s">
        <v>74</v>
      </c>
      <c r="BF1128" s="2" t="s">
        <v>74</v>
      </c>
      <c r="BG1128" s="2" t="s">
        <v>74</v>
      </c>
      <c r="BH1128" s="2" t="s">
        <v>74</v>
      </c>
      <c r="BI1128" s="2" t="s">
        <v>74</v>
      </c>
      <c r="BJ1128" s="2" t="s">
        <v>74</v>
      </c>
      <c r="BK1128" s="2" t="s">
        <v>74</v>
      </c>
      <c r="BL1128" s="2" t="s">
        <v>74</v>
      </c>
      <c r="BM1128" s="2" t="s">
        <v>74</v>
      </c>
      <c r="BN1128" s="2" t="s">
        <v>74</v>
      </c>
      <c r="BO1128" s="2" t="s">
        <v>74</v>
      </c>
      <c r="BP1128" s="2" t="s">
        <v>74</v>
      </c>
      <c r="BQ1128" s="2" t="s">
        <v>74</v>
      </c>
      <c r="BR1128" s="2" t="s">
        <v>74</v>
      </c>
      <c r="BS1128" s="2" t="s">
        <v>5566</v>
      </c>
      <c r="BT1128" s="2" t="str">
        <f>HYPERLINK("https%3A%2F%2Fwww.webofscience.com%2Fwos%2Fwoscc%2Ffull-record%2FWOS:A1985ALJ2100004","View Full Record in Web of Science")</f>
        <v>View Full Record in Web of Science</v>
      </c>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row>
    <row r="1129" spans="1:314" s="2" customFormat="1" x14ac:dyDescent="0.4">
      <c r="A1129" s="2" t="s">
        <v>72</v>
      </c>
      <c r="B1129" s="2" t="s">
        <v>8162</v>
      </c>
      <c r="C1129" s="2" t="s">
        <v>74</v>
      </c>
      <c r="D1129" s="2" t="s">
        <v>74</v>
      </c>
      <c r="E1129" s="2" t="s">
        <v>74</v>
      </c>
      <c r="F1129" s="2" t="s">
        <v>8162</v>
      </c>
      <c r="G1129" s="2" t="s">
        <v>74</v>
      </c>
      <c r="H1129" s="2" t="s">
        <v>74</v>
      </c>
      <c r="I1129" s="2" t="s">
        <v>8163</v>
      </c>
      <c r="J1129" s="2" t="s">
        <v>241</v>
      </c>
      <c r="K1129" s="2" t="s">
        <v>74</v>
      </c>
      <c r="L1129" s="2" t="s">
        <v>74</v>
      </c>
      <c r="M1129" s="2" t="s">
        <v>74</v>
      </c>
      <c r="N1129" s="2" t="s">
        <v>74</v>
      </c>
      <c r="O1129" s="2" t="s">
        <v>74</v>
      </c>
      <c r="P1129" s="2" t="s">
        <v>74</v>
      </c>
      <c r="Q1129" s="2" t="s">
        <v>74</v>
      </c>
      <c r="R1129" s="2" t="s">
        <v>74</v>
      </c>
      <c r="S1129" s="2" t="s">
        <v>74</v>
      </c>
      <c r="T1129" s="2" t="s">
        <v>74</v>
      </c>
      <c r="U1129" s="2" t="s">
        <v>74</v>
      </c>
      <c r="V1129" s="5" t="s">
        <v>8164</v>
      </c>
      <c r="W1129" s="2" t="s">
        <v>74</v>
      </c>
      <c r="X1129" s="2" t="s">
        <v>74</v>
      </c>
      <c r="Y1129" s="2" t="s">
        <v>74</v>
      </c>
      <c r="Z1129" s="2" t="s">
        <v>74</v>
      </c>
      <c r="AA1129" s="2" t="s">
        <v>6473</v>
      </c>
      <c r="AB1129" s="2" t="s">
        <v>8165</v>
      </c>
      <c r="AC1129" s="2" t="s">
        <v>74</v>
      </c>
      <c r="AD1129" s="2" t="s">
        <v>74</v>
      </c>
      <c r="AE1129" s="2" t="s">
        <v>74</v>
      </c>
      <c r="AF1129" s="2" t="s">
        <v>74</v>
      </c>
      <c r="AG1129" s="2" t="s">
        <v>74</v>
      </c>
      <c r="AH1129" s="2" t="s">
        <v>74</v>
      </c>
      <c r="AI1129" s="2" t="s">
        <v>74</v>
      </c>
      <c r="AJ1129" s="2" t="s">
        <v>74</v>
      </c>
      <c r="AK1129" s="2" t="s">
        <v>74</v>
      </c>
      <c r="AL1129" s="2" t="s">
        <v>74</v>
      </c>
      <c r="AM1129" s="2" t="s">
        <v>74</v>
      </c>
      <c r="AN1129" s="2" t="s">
        <v>74</v>
      </c>
      <c r="AO1129" s="2" t="s">
        <v>245</v>
      </c>
      <c r="AP1129" s="2" t="s">
        <v>74</v>
      </c>
      <c r="AQ1129" s="2" t="s">
        <v>74</v>
      </c>
      <c r="AR1129" s="2" t="s">
        <v>74</v>
      </c>
      <c r="AS1129" s="2" t="s">
        <v>74</v>
      </c>
      <c r="AT1129" s="2" t="s">
        <v>145</v>
      </c>
      <c r="AU1129" s="2">
        <v>1993</v>
      </c>
      <c r="AV1129" s="2">
        <v>95</v>
      </c>
      <c r="AW1129" s="2">
        <v>2</v>
      </c>
      <c r="AX1129" s="2" t="s">
        <v>74</v>
      </c>
      <c r="AY1129" s="2" t="s">
        <v>74</v>
      </c>
      <c r="AZ1129" s="2" t="s">
        <v>74</v>
      </c>
      <c r="BA1129" s="2" t="s">
        <v>74</v>
      </c>
      <c r="BB1129" s="2">
        <v>266</v>
      </c>
      <c r="BC1129" s="2">
        <v>276</v>
      </c>
      <c r="BD1129" s="2" t="s">
        <v>74</v>
      </c>
      <c r="BE1129" s="2" t="s">
        <v>8166</v>
      </c>
      <c r="BF1129" s="2" t="str">
        <f>HYPERLINK("http://dx.doi.org/10.1007/BF00323499","http://dx.doi.org/10.1007/BF00323499")</f>
        <v>http://dx.doi.org/10.1007/BF00323499</v>
      </c>
      <c r="BG1129" s="2" t="s">
        <v>74</v>
      </c>
      <c r="BH1129" s="2" t="s">
        <v>74</v>
      </c>
      <c r="BI1129" s="2" t="s">
        <v>74</v>
      </c>
      <c r="BJ1129" s="2" t="s">
        <v>74</v>
      </c>
      <c r="BK1129" s="2" t="s">
        <v>74</v>
      </c>
      <c r="BL1129" s="2" t="s">
        <v>74</v>
      </c>
      <c r="BM1129" s="2" t="s">
        <v>74</v>
      </c>
      <c r="BN1129" s="2">
        <v>28312951</v>
      </c>
      <c r="BO1129" s="2" t="s">
        <v>74</v>
      </c>
      <c r="BP1129" s="2" t="s">
        <v>74</v>
      </c>
      <c r="BQ1129" s="2" t="s">
        <v>74</v>
      </c>
      <c r="BR1129" s="2" t="s">
        <v>74</v>
      </c>
      <c r="BS1129" s="2" t="s">
        <v>8167</v>
      </c>
      <c r="BT1129" s="2" t="str">
        <f>HYPERLINK("https%3A%2F%2Fwww.webofscience.com%2Fwos%2Fwoscc%2Ffull-record%2FWOS:A1993LV56400015","View Full Record in Web of Science")</f>
        <v>View Full Record in Web of Science</v>
      </c>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row>
    <row r="1130" spans="1:314" s="2" customFormat="1" x14ac:dyDescent="0.4">
      <c r="A1130" s="2" t="s">
        <v>72</v>
      </c>
      <c r="B1130" s="2" t="s">
        <v>6081</v>
      </c>
      <c r="C1130" s="2" t="s">
        <v>74</v>
      </c>
      <c r="D1130" s="2" t="s">
        <v>74</v>
      </c>
      <c r="E1130" s="2" t="s">
        <v>74</v>
      </c>
      <c r="F1130" s="2" t="s">
        <v>6082</v>
      </c>
      <c r="G1130" s="2" t="s">
        <v>74</v>
      </c>
      <c r="H1130" s="2" t="s">
        <v>74</v>
      </c>
      <c r="I1130" s="2" t="s">
        <v>6083</v>
      </c>
      <c r="J1130" s="2" t="s">
        <v>6084</v>
      </c>
      <c r="K1130" s="2" t="s">
        <v>74</v>
      </c>
      <c r="L1130" s="2" t="s">
        <v>74</v>
      </c>
      <c r="M1130" s="2" t="s">
        <v>74</v>
      </c>
      <c r="N1130" s="2" t="s">
        <v>74</v>
      </c>
      <c r="O1130" s="2" t="s">
        <v>74</v>
      </c>
      <c r="P1130" s="2" t="s">
        <v>74</v>
      </c>
      <c r="Q1130" s="2" t="s">
        <v>74</v>
      </c>
      <c r="R1130" s="2" t="s">
        <v>74</v>
      </c>
      <c r="S1130" s="2" t="s">
        <v>74</v>
      </c>
      <c r="T1130" s="2" t="s">
        <v>74</v>
      </c>
      <c r="U1130" s="2" t="s">
        <v>74</v>
      </c>
      <c r="V1130" s="5" t="s">
        <v>6085</v>
      </c>
      <c r="W1130" s="2" t="s">
        <v>74</v>
      </c>
      <c r="X1130" s="2" t="s">
        <v>74</v>
      </c>
      <c r="Y1130" s="2" t="s">
        <v>74</v>
      </c>
      <c r="Z1130" s="2" t="s">
        <v>74</v>
      </c>
      <c r="AA1130" s="2" t="s">
        <v>2989</v>
      </c>
      <c r="AB1130" s="2" t="s">
        <v>6086</v>
      </c>
      <c r="AC1130" s="2" t="s">
        <v>74</v>
      </c>
      <c r="AD1130" s="2" t="s">
        <v>74</v>
      </c>
      <c r="AE1130" s="2" t="s">
        <v>74</v>
      </c>
      <c r="AF1130" s="2" t="s">
        <v>74</v>
      </c>
      <c r="AG1130" s="2" t="s">
        <v>74</v>
      </c>
      <c r="AH1130" s="2" t="s">
        <v>74</v>
      </c>
      <c r="AI1130" s="2" t="s">
        <v>74</v>
      </c>
      <c r="AJ1130" s="2" t="s">
        <v>74</v>
      </c>
      <c r="AK1130" s="2" t="s">
        <v>74</v>
      </c>
      <c r="AL1130" s="2" t="s">
        <v>74</v>
      </c>
      <c r="AM1130" s="2" t="s">
        <v>74</v>
      </c>
      <c r="AN1130" s="2" t="s">
        <v>74</v>
      </c>
      <c r="AO1130" s="2" t="s">
        <v>6087</v>
      </c>
      <c r="AP1130" s="2" t="s">
        <v>6088</v>
      </c>
      <c r="AQ1130" s="2" t="s">
        <v>74</v>
      </c>
      <c r="AR1130" s="2" t="s">
        <v>74</v>
      </c>
      <c r="AS1130" s="2" t="s">
        <v>74</v>
      </c>
      <c r="AT1130" s="2" t="s">
        <v>74</v>
      </c>
      <c r="AU1130" s="2">
        <v>2017</v>
      </c>
      <c r="AV1130" s="2">
        <v>20</v>
      </c>
      <c r="AW1130" s="2">
        <v>1</v>
      </c>
      <c r="AX1130" s="2" t="s">
        <v>74</v>
      </c>
      <c r="AY1130" s="2" t="s">
        <v>74</v>
      </c>
      <c r="AZ1130" s="2" t="s">
        <v>74</v>
      </c>
      <c r="BA1130" s="2" t="s">
        <v>74</v>
      </c>
      <c r="BB1130" s="2">
        <v>43</v>
      </c>
      <c r="BC1130" s="2">
        <v>52</v>
      </c>
      <c r="BD1130" s="2" t="s">
        <v>74</v>
      </c>
      <c r="BE1130" s="2" t="s">
        <v>6089</v>
      </c>
      <c r="BF1130" s="2" t="str">
        <f>HYPERLINK("http://dx.doi.org/10.1080/13887890.2017.1297259","http://dx.doi.org/10.1080/13887890.2017.1297259")</f>
        <v>http://dx.doi.org/10.1080/13887890.2017.1297259</v>
      </c>
      <c r="BG1130" s="2" t="s">
        <v>74</v>
      </c>
      <c r="BH1130" s="2" t="s">
        <v>74</v>
      </c>
      <c r="BI1130" s="2" t="s">
        <v>74</v>
      </c>
      <c r="BJ1130" s="2" t="s">
        <v>74</v>
      </c>
      <c r="BK1130" s="2" t="s">
        <v>74</v>
      </c>
      <c r="BL1130" s="2" t="s">
        <v>74</v>
      </c>
      <c r="BM1130" s="2" t="s">
        <v>74</v>
      </c>
      <c r="BN1130" s="2" t="s">
        <v>74</v>
      </c>
      <c r="BO1130" s="2" t="s">
        <v>74</v>
      </c>
      <c r="BP1130" s="2" t="s">
        <v>74</v>
      </c>
      <c r="BQ1130" s="2" t="s">
        <v>74</v>
      </c>
      <c r="BR1130" s="2" t="s">
        <v>74</v>
      </c>
      <c r="BS1130" s="2" t="s">
        <v>6090</v>
      </c>
      <c r="BT1130" s="2" t="str">
        <f>HYPERLINK("https%3A%2F%2Fwww.webofscience.com%2Fwos%2Fwoscc%2Ffull-record%2FWOS:000398096300004","View Full Record in Web of Science")</f>
        <v>View Full Record in Web of Science</v>
      </c>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row>
    <row r="1131" spans="1:314" s="2" customFormat="1" x14ac:dyDescent="0.4">
      <c r="A1131" s="2" t="s">
        <v>72</v>
      </c>
      <c r="B1131" s="2" t="s">
        <v>8292</v>
      </c>
      <c r="C1131" s="2" t="s">
        <v>74</v>
      </c>
      <c r="D1131" s="2" t="s">
        <v>74</v>
      </c>
      <c r="E1131" s="2" t="s">
        <v>74</v>
      </c>
      <c r="F1131" s="2" t="s">
        <v>8292</v>
      </c>
      <c r="G1131" s="2" t="s">
        <v>74</v>
      </c>
      <c r="H1131" s="2" t="s">
        <v>74</v>
      </c>
      <c r="I1131" s="2" t="s">
        <v>8293</v>
      </c>
      <c r="J1131" s="2" t="s">
        <v>456</v>
      </c>
      <c r="K1131" s="2" t="s">
        <v>74</v>
      </c>
      <c r="L1131" s="2" t="s">
        <v>74</v>
      </c>
      <c r="M1131" s="2" t="s">
        <v>74</v>
      </c>
      <c r="N1131" s="2" t="s">
        <v>74</v>
      </c>
      <c r="O1131" s="2" t="s">
        <v>74</v>
      </c>
      <c r="P1131" s="2" t="s">
        <v>74</v>
      </c>
      <c r="Q1131" s="2" t="s">
        <v>74</v>
      </c>
      <c r="R1131" s="2" t="s">
        <v>74</v>
      </c>
      <c r="S1131" s="2" t="s">
        <v>74</v>
      </c>
      <c r="T1131" s="2" t="s">
        <v>74</v>
      </c>
      <c r="U1131" s="2" t="s">
        <v>74</v>
      </c>
      <c r="V1131" s="5" t="s">
        <v>8294</v>
      </c>
      <c r="W1131" s="2" t="s">
        <v>74</v>
      </c>
      <c r="X1131" s="2" t="s">
        <v>74</v>
      </c>
      <c r="Y1131" s="2" t="s">
        <v>74</v>
      </c>
      <c r="Z1131" s="2" t="s">
        <v>74</v>
      </c>
      <c r="AA1131" s="2" t="s">
        <v>74</v>
      </c>
      <c r="AB1131" s="2" t="s">
        <v>74</v>
      </c>
      <c r="AC1131" s="2" t="s">
        <v>74</v>
      </c>
      <c r="AD1131" s="2" t="s">
        <v>74</v>
      </c>
      <c r="AE1131" s="2" t="s">
        <v>74</v>
      </c>
      <c r="AF1131" s="2" t="s">
        <v>74</v>
      </c>
      <c r="AG1131" s="2" t="s">
        <v>74</v>
      </c>
      <c r="AH1131" s="2" t="s">
        <v>74</v>
      </c>
      <c r="AI1131" s="2" t="s">
        <v>74</v>
      </c>
      <c r="AJ1131" s="2" t="s">
        <v>74</v>
      </c>
      <c r="AK1131" s="2" t="s">
        <v>74</v>
      </c>
      <c r="AL1131" s="2" t="s">
        <v>74</v>
      </c>
      <c r="AM1131" s="2" t="s">
        <v>74</v>
      </c>
      <c r="AN1131" s="2" t="s">
        <v>74</v>
      </c>
      <c r="AO1131" s="2" t="s">
        <v>460</v>
      </c>
      <c r="AP1131" s="2" t="s">
        <v>74</v>
      </c>
      <c r="AQ1131" s="2" t="s">
        <v>74</v>
      </c>
      <c r="AR1131" s="2" t="s">
        <v>74</v>
      </c>
      <c r="AS1131" s="2" t="s">
        <v>74</v>
      </c>
      <c r="AT1131" s="2" t="s">
        <v>352</v>
      </c>
      <c r="AU1131" s="2">
        <v>1991</v>
      </c>
      <c r="AV1131" s="2">
        <v>225</v>
      </c>
      <c r="AW1131" s="2" t="s">
        <v>74</v>
      </c>
      <c r="AX1131" s="2">
        <v>1</v>
      </c>
      <c r="AY1131" s="2" t="s">
        <v>74</v>
      </c>
      <c r="AZ1131" s="2" t="s">
        <v>74</v>
      </c>
      <c r="BA1131" s="2" t="s">
        <v>74</v>
      </c>
      <c r="BB1131" s="2">
        <v>43</v>
      </c>
      <c r="BC1131" s="2">
        <v>58</v>
      </c>
      <c r="BD1131" s="2" t="s">
        <v>74</v>
      </c>
      <c r="BE1131" s="2" t="s">
        <v>8295</v>
      </c>
      <c r="BF1131" s="2" t="str">
        <f>HYPERLINK("http://dx.doi.org/10.1111/j.1469-7998.1991.tb03800.x","http://dx.doi.org/10.1111/j.1469-7998.1991.tb03800.x")</f>
        <v>http://dx.doi.org/10.1111/j.1469-7998.1991.tb03800.x</v>
      </c>
      <c r="BG1131" s="2" t="s">
        <v>74</v>
      </c>
      <c r="BH1131" s="2" t="s">
        <v>74</v>
      </c>
      <c r="BI1131" s="2" t="s">
        <v>74</v>
      </c>
      <c r="BJ1131" s="2" t="s">
        <v>74</v>
      </c>
      <c r="BK1131" s="2" t="s">
        <v>74</v>
      </c>
      <c r="BL1131" s="2" t="s">
        <v>74</v>
      </c>
      <c r="BM1131" s="2" t="s">
        <v>74</v>
      </c>
      <c r="BN1131" s="2" t="s">
        <v>74</v>
      </c>
      <c r="BO1131" s="2" t="s">
        <v>74</v>
      </c>
      <c r="BP1131" s="2" t="s">
        <v>74</v>
      </c>
      <c r="BQ1131" s="2" t="s">
        <v>74</v>
      </c>
      <c r="BR1131" s="2" t="s">
        <v>74</v>
      </c>
      <c r="BS1131" s="2" t="s">
        <v>8296</v>
      </c>
      <c r="BT1131" s="2" t="str">
        <f>HYPERLINK("https%3A%2F%2Fwww.webofscience.com%2Fwos%2Fwoscc%2Ffull-record%2FWOS:A1991GK01600004","View Full Record in Web of Science")</f>
        <v>View Full Record in Web of Science</v>
      </c>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row>
    <row r="1132" spans="1:314" s="2" customFormat="1" x14ac:dyDescent="0.4">
      <c r="A1132" s="2" t="s">
        <v>72</v>
      </c>
      <c r="B1132" s="2" t="s">
        <v>4938</v>
      </c>
      <c r="C1132" s="2" t="s">
        <v>74</v>
      </c>
      <c r="D1132" s="2" t="s">
        <v>74</v>
      </c>
      <c r="E1132" s="2" t="s">
        <v>74</v>
      </c>
      <c r="F1132" s="2" t="s">
        <v>4938</v>
      </c>
      <c r="G1132" s="2" t="s">
        <v>74</v>
      </c>
      <c r="H1132" s="2" t="s">
        <v>74</v>
      </c>
      <c r="I1132" s="2" t="s">
        <v>4939</v>
      </c>
      <c r="J1132" s="2" t="s">
        <v>4522</v>
      </c>
      <c r="K1132" s="2" t="s">
        <v>74</v>
      </c>
      <c r="L1132" s="2" t="s">
        <v>74</v>
      </c>
      <c r="M1132" s="2" t="s">
        <v>74</v>
      </c>
      <c r="N1132" s="2" t="s">
        <v>74</v>
      </c>
      <c r="O1132" s="2" t="s">
        <v>74</v>
      </c>
      <c r="P1132" s="2" t="s">
        <v>74</v>
      </c>
      <c r="Q1132" s="2" t="s">
        <v>74</v>
      </c>
      <c r="R1132" s="2" t="s">
        <v>74</v>
      </c>
      <c r="S1132" s="2" t="s">
        <v>74</v>
      </c>
      <c r="T1132" s="2" t="s">
        <v>74</v>
      </c>
      <c r="U1132" s="2" t="s">
        <v>74</v>
      </c>
      <c r="V1132" s="5" t="s">
        <v>4940</v>
      </c>
      <c r="W1132" s="2" t="s">
        <v>74</v>
      </c>
      <c r="X1132" s="2" t="s">
        <v>74</v>
      </c>
      <c r="Y1132" s="2" t="s">
        <v>74</v>
      </c>
      <c r="Z1132" s="2" t="s">
        <v>74</v>
      </c>
      <c r="AA1132" s="2" t="s">
        <v>74</v>
      </c>
      <c r="AB1132" s="2" t="s">
        <v>74</v>
      </c>
      <c r="AC1132" s="2" t="s">
        <v>74</v>
      </c>
      <c r="AD1132" s="2" t="s">
        <v>74</v>
      </c>
      <c r="AE1132" s="2" t="s">
        <v>74</v>
      </c>
      <c r="AF1132" s="2" t="s">
        <v>74</v>
      </c>
      <c r="AG1132" s="2" t="s">
        <v>74</v>
      </c>
      <c r="AH1132" s="2" t="s">
        <v>74</v>
      </c>
      <c r="AI1132" s="2" t="s">
        <v>74</v>
      </c>
      <c r="AJ1132" s="2" t="s">
        <v>74</v>
      </c>
      <c r="AK1132" s="2" t="s">
        <v>74</v>
      </c>
      <c r="AL1132" s="2" t="s">
        <v>74</v>
      </c>
      <c r="AM1132" s="2" t="s">
        <v>74</v>
      </c>
      <c r="AN1132" s="2" t="s">
        <v>74</v>
      </c>
      <c r="AO1132" s="2" t="s">
        <v>4526</v>
      </c>
      <c r="AP1132" s="2" t="s">
        <v>4527</v>
      </c>
      <c r="AQ1132" s="2" t="s">
        <v>74</v>
      </c>
      <c r="AR1132" s="2" t="s">
        <v>74</v>
      </c>
      <c r="AS1132" s="2" t="s">
        <v>74</v>
      </c>
      <c r="AT1132" s="2" t="s">
        <v>1075</v>
      </c>
      <c r="AU1132" s="2">
        <v>1990</v>
      </c>
      <c r="AV1132" s="2">
        <v>24</v>
      </c>
      <c r="AW1132" s="2">
        <v>6</v>
      </c>
      <c r="AX1132" s="2" t="s">
        <v>74</v>
      </c>
      <c r="AY1132" s="2" t="s">
        <v>74</v>
      </c>
      <c r="AZ1132" s="2" t="s">
        <v>74</v>
      </c>
      <c r="BA1132" s="2" t="s">
        <v>74</v>
      </c>
      <c r="BB1132" s="2">
        <v>1617</v>
      </c>
      <c r="BC1132" s="2">
        <v>1627</v>
      </c>
      <c r="BD1132" s="2" t="s">
        <v>74</v>
      </c>
      <c r="BE1132" s="2" t="s">
        <v>4941</v>
      </c>
      <c r="BF1132" s="2" t="str">
        <f>HYPERLINK("http://dx.doi.org/10.1080/00222939000770931","http://dx.doi.org/10.1080/00222939000770931")</f>
        <v>http://dx.doi.org/10.1080/00222939000770931</v>
      </c>
      <c r="BG1132" s="2" t="s">
        <v>74</v>
      </c>
      <c r="BH1132" s="2" t="s">
        <v>74</v>
      </c>
      <c r="BI1132" s="2" t="s">
        <v>74</v>
      </c>
      <c r="BJ1132" s="2" t="s">
        <v>74</v>
      </c>
      <c r="BK1132" s="2" t="s">
        <v>74</v>
      </c>
      <c r="BL1132" s="2" t="s">
        <v>74</v>
      </c>
      <c r="BM1132" s="2" t="s">
        <v>74</v>
      </c>
      <c r="BN1132" s="2" t="s">
        <v>74</v>
      </c>
      <c r="BO1132" s="2" t="s">
        <v>74</v>
      </c>
      <c r="BP1132" s="2" t="s">
        <v>74</v>
      </c>
      <c r="BQ1132" s="2" t="s">
        <v>74</v>
      </c>
      <c r="BR1132" s="2" t="s">
        <v>74</v>
      </c>
      <c r="BS1132" s="2" t="s">
        <v>4942</v>
      </c>
      <c r="BT1132" s="2" t="str">
        <f>HYPERLINK("https%3A%2F%2Fwww.webofscience.com%2Fwos%2Fwoscc%2Ffull-record%2FWOS:A1990EH88300013","View Full Record in Web of Science")</f>
        <v>View Full Record in Web of Science</v>
      </c>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row>
    <row r="1133" spans="1:314" s="2" customFormat="1" x14ac:dyDescent="0.4">
      <c r="A1133" s="2" t="s">
        <v>72</v>
      </c>
      <c r="B1133" s="2" t="s">
        <v>7883</v>
      </c>
      <c r="C1133" s="2" t="s">
        <v>74</v>
      </c>
      <c r="D1133" s="2" t="s">
        <v>74</v>
      </c>
      <c r="E1133" s="2" t="s">
        <v>74</v>
      </c>
      <c r="F1133" s="2" t="s">
        <v>7883</v>
      </c>
      <c r="G1133" s="2" t="s">
        <v>74</v>
      </c>
      <c r="H1133" s="2" t="s">
        <v>74</v>
      </c>
      <c r="I1133" s="2" t="s">
        <v>7884</v>
      </c>
      <c r="J1133" s="2" t="s">
        <v>610</v>
      </c>
      <c r="K1133" s="2" t="s">
        <v>74</v>
      </c>
      <c r="L1133" s="2" t="s">
        <v>74</v>
      </c>
      <c r="M1133" s="2" t="s">
        <v>74</v>
      </c>
      <c r="N1133" s="2" t="s">
        <v>74</v>
      </c>
      <c r="O1133" s="2" t="s">
        <v>74</v>
      </c>
      <c r="P1133" s="2" t="s">
        <v>74</v>
      </c>
      <c r="Q1133" s="2" t="s">
        <v>74</v>
      </c>
      <c r="R1133" s="2" t="s">
        <v>74</v>
      </c>
      <c r="S1133" s="2" t="s">
        <v>74</v>
      </c>
      <c r="T1133" s="2" t="s">
        <v>74</v>
      </c>
      <c r="U1133" s="2" t="s">
        <v>74</v>
      </c>
      <c r="V1133" s="5" t="s">
        <v>7885</v>
      </c>
      <c r="W1133" s="2" t="s">
        <v>74</v>
      </c>
      <c r="X1133" s="2" t="s">
        <v>74</v>
      </c>
      <c r="Y1133" s="2" t="s">
        <v>74</v>
      </c>
      <c r="Z1133" s="2" t="s">
        <v>74</v>
      </c>
      <c r="AA1133" s="2" t="s">
        <v>74</v>
      </c>
      <c r="AB1133" s="2" t="s">
        <v>74</v>
      </c>
      <c r="AC1133" s="2" t="s">
        <v>74</v>
      </c>
      <c r="AD1133" s="2" t="s">
        <v>74</v>
      </c>
      <c r="AE1133" s="2" t="s">
        <v>74</v>
      </c>
      <c r="AF1133" s="2" t="s">
        <v>74</v>
      </c>
      <c r="AG1133" s="2" t="s">
        <v>74</v>
      </c>
      <c r="AH1133" s="2" t="s">
        <v>74</v>
      </c>
      <c r="AI1133" s="2" t="s">
        <v>74</v>
      </c>
      <c r="AJ1133" s="2" t="s">
        <v>74</v>
      </c>
      <c r="AK1133" s="2" t="s">
        <v>74</v>
      </c>
      <c r="AL1133" s="2" t="s">
        <v>74</v>
      </c>
      <c r="AM1133" s="2" t="s">
        <v>74</v>
      </c>
      <c r="AN1133" s="2" t="s">
        <v>74</v>
      </c>
      <c r="AO1133" s="2" t="s">
        <v>614</v>
      </c>
      <c r="AP1133" s="2" t="s">
        <v>615</v>
      </c>
      <c r="AQ1133" s="2" t="s">
        <v>74</v>
      </c>
      <c r="AR1133" s="2" t="s">
        <v>74</v>
      </c>
      <c r="AS1133" s="2" t="s">
        <v>74</v>
      </c>
      <c r="AT1133" s="2" t="s">
        <v>633</v>
      </c>
      <c r="AU1133" s="2">
        <v>2000</v>
      </c>
      <c r="AV1133" s="2">
        <v>106</v>
      </c>
      <c r="AW1133" s="2">
        <v>4</v>
      </c>
      <c r="AX1133" s="2" t="s">
        <v>74</v>
      </c>
      <c r="AY1133" s="2" t="s">
        <v>74</v>
      </c>
      <c r="AZ1133" s="2" t="s">
        <v>74</v>
      </c>
      <c r="BA1133" s="2" t="s">
        <v>74</v>
      </c>
      <c r="BB1133" s="2">
        <v>349</v>
      </c>
      <c r="BC1133" s="2">
        <v>363</v>
      </c>
      <c r="BD1133" s="2" t="s">
        <v>74</v>
      </c>
      <c r="BE1133" s="2" t="s">
        <v>7886</v>
      </c>
      <c r="BF1133" s="2" t="str">
        <f>HYPERLINK("http://dx.doi.org/10.1046/j.1439-0310.2000.00558.x","http://dx.doi.org/10.1046/j.1439-0310.2000.00558.x")</f>
        <v>http://dx.doi.org/10.1046/j.1439-0310.2000.00558.x</v>
      </c>
      <c r="BG1133" s="2" t="s">
        <v>74</v>
      </c>
      <c r="BH1133" s="2" t="s">
        <v>74</v>
      </c>
      <c r="BI1133" s="2" t="s">
        <v>74</v>
      </c>
      <c r="BJ1133" s="2" t="s">
        <v>74</v>
      </c>
      <c r="BK1133" s="2" t="s">
        <v>74</v>
      </c>
      <c r="BL1133" s="2" t="s">
        <v>74</v>
      </c>
      <c r="BM1133" s="2" t="s">
        <v>74</v>
      </c>
      <c r="BN1133" s="2" t="s">
        <v>74</v>
      </c>
      <c r="BO1133" s="2" t="s">
        <v>74</v>
      </c>
      <c r="BP1133" s="2" t="s">
        <v>74</v>
      </c>
      <c r="BQ1133" s="2" t="s">
        <v>74</v>
      </c>
      <c r="BR1133" s="2" t="s">
        <v>74</v>
      </c>
      <c r="BS1133" s="2" t="s">
        <v>7887</v>
      </c>
      <c r="BT1133" s="2" t="str">
        <f>HYPERLINK("https%3A%2F%2Fwww.webofscience.com%2Fwos%2Fwoscc%2Ffull-record%2FWOS:000086783400005","View Full Record in Web of Science")</f>
        <v>View Full Record in Web of Science</v>
      </c>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row>
    <row r="1134" spans="1:314" s="2" customFormat="1" x14ac:dyDescent="0.4">
      <c r="A1134" s="2" t="s">
        <v>72</v>
      </c>
      <c r="B1134" s="2" t="s">
        <v>4507</v>
      </c>
      <c r="C1134" s="2" t="s">
        <v>74</v>
      </c>
      <c r="D1134" s="2" t="s">
        <v>74</v>
      </c>
      <c r="E1134" s="2" t="s">
        <v>74</v>
      </c>
      <c r="F1134" s="2" t="s">
        <v>4507</v>
      </c>
      <c r="G1134" s="2" t="s">
        <v>74</v>
      </c>
      <c r="H1134" s="2" t="s">
        <v>74</v>
      </c>
      <c r="I1134" s="2" t="s">
        <v>4508</v>
      </c>
      <c r="J1134" s="2" t="s">
        <v>77</v>
      </c>
      <c r="K1134" s="2" t="s">
        <v>74</v>
      </c>
      <c r="L1134" s="2" t="s">
        <v>74</v>
      </c>
      <c r="M1134" s="2" t="s">
        <v>74</v>
      </c>
      <c r="N1134" s="2" t="s">
        <v>74</v>
      </c>
      <c r="O1134" s="2" t="s">
        <v>74</v>
      </c>
      <c r="P1134" s="2" t="s">
        <v>74</v>
      </c>
      <c r="Q1134" s="2" t="s">
        <v>74</v>
      </c>
      <c r="R1134" s="2" t="s">
        <v>74</v>
      </c>
      <c r="S1134" s="2" t="s">
        <v>74</v>
      </c>
      <c r="T1134" s="2" t="s">
        <v>74</v>
      </c>
      <c r="U1134" s="2" t="s">
        <v>74</v>
      </c>
      <c r="V1134" s="5" t="s">
        <v>4509</v>
      </c>
      <c r="W1134" s="2" t="s">
        <v>74</v>
      </c>
      <c r="X1134" s="2" t="s">
        <v>74</v>
      </c>
      <c r="Y1134" s="2" t="s">
        <v>74</v>
      </c>
      <c r="Z1134" s="2" t="s">
        <v>74</v>
      </c>
      <c r="AA1134" s="2" t="s">
        <v>74</v>
      </c>
      <c r="AB1134" s="2" t="s">
        <v>74</v>
      </c>
      <c r="AC1134" s="2" t="s">
        <v>74</v>
      </c>
      <c r="AD1134" s="2" t="s">
        <v>74</v>
      </c>
      <c r="AE1134" s="2" t="s">
        <v>74</v>
      </c>
      <c r="AF1134" s="2" t="s">
        <v>74</v>
      </c>
      <c r="AG1134" s="2" t="s">
        <v>74</v>
      </c>
      <c r="AH1134" s="2" t="s">
        <v>74</v>
      </c>
      <c r="AI1134" s="2" t="s">
        <v>74</v>
      </c>
      <c r="AJ1134" s="2" t="s">
        <v>74</v>
      </c>
      <c r="AK1134" s="2" t="s">
        <v>74</v>
      </c>
      <c r="AL1134" s="2" t="s">
        <v>74</v>
      </c>
      <c r="AM1134" s="2" t="s">
        <v>74</v>
      </c>
      <c r="AN1134" s="2" t="s">
        <v>74</v>
      </c>
      <c r="AO1134" s="2" t="s">
        <v>81</v>
      </c>
      <c r="AP1134" s="2" t="s">
        <v>82</v>
      </c>
      <c r="AQ1134" s="2" t="s">
        <v>74</v>
      </c>
      <c r="AR1134" s="2" t="s">
        <v>74</v>
      </c>
      <c r="AS1134" s="2" t="s">
        <v>74</v>
      </c>
      <c r="AT1134" s="2" t="s">
        <v>123</v>
      </c>
      <c r="AU1134" s="2">
        <v>2005</v>
      </c>
      <c r="AV1134" s="2">
        <v>142</v>
      </c>
      <c r="AW1134" s="2" t="s">
        <v>74</v>
      </c>
      <c r="AX1134" s="2">
        <v>3</v>
      </c>
      <c r="AY1134" s="2" t="s">
        <v>74</v>
      </c>
      <c r="AZ1134" s="2" t="s">
        <v>74</v>
      </c>
      <c r="BA1134" s="2" t="s">
        <v>74</v>
      </c>
      <c r="BB1134" s="2">
        <v>283</v>
      </c>
      <c r="BC1134" s="2">
        <v>303</v>
      </c>
      <c r="BD1134" s="2" t="s">
        <v>74</v>
      </c>
      <c r="BE1134" s="2" t="s">
        <v>4510</v>
      </c>
      <c r="BF1134" s="2" t="str">
        <f>HYPERLINK("http://dx.doi.org/10.1163/1568539053778292","http://dx.doi.org/10.1163/1568539053778292")</f>
        <v>http://dx.doi.org/10.1163/1568539053778292</v>
      </c>
      <c r="BG1134" s="2" t="s">
        <v>74</v>
      </c>
      <c r="BH1134" s="2" t="s">
        <v>74</v>
      </c>
      <c r="BI1134" s="2" t="s">
        <v>74</v>
      </c>
      <c r="BJ1134" s="2" t="s">
        <v>74</v>
      </c>
      <c r="BK1134" s="2" t="s">
        <v>74</v>
      </c>
      <c r="BL1134" s="2" t="s">
        <v>74</v>
      </c>
      <c r="BM1134" s="2" t="s">
        <v>74</v>
      </c>
      <c r="BN1134" s="2" t="s">
        <v>74</v>
      </c>
      <c r="BO1134" s="2" t="s">
        <v>74</v>
      </c>
      <c r="BP1134" s="2" t="s">
        <v>74</v>
      </c>
      <c r="BQ1134" s="2" t="s">
        <v>74</v>
      </c>
      <c r="BR1134" s="2" t="s">
        <v>74</v>
      </c>
      <c r="BS1134" s="2" t="s">
        <v>4511</v>
      </c>
      <c r="BT1134" s="2" t="str">
        <f>HYPERLINK("https%3A%2F%2Fwww.webofscience.com%2Fwos%2Fwoscc%2Ffull-record%2FWOS:000230357500002","View Full Record in Web of Science")</f>
        <v>View Full Record in Web of Science</v>
      </c>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row>
    <row r="1135" spans="1:314" s="2" customFormat="1" x14ac:dyDescent="0.4">
      <c r="A1135" s="2" t="s">
        <v>72</v>
      </c>
      <c r="B1135" s="2" t="s">
        <v>7296</v>
      </c>
      <c r="C1135" s="2" t="s">
        <v>74</v>
      </c>
      <c r="D1135" s="2" t="s">
        <v>74</v>
      </c>
      <c r="E1135" s="2" t="s">
        <v>74</v>
      </c>
      <c r="F1135" s="2" t="s">
        <v>7296</v>
      </c>
      <c r="G1135" s="2" t="s">
        <v>74</v>
      </c>
      <c r="H1135" s="2" t="s">
        <v>74</v>
      </c>
      <c r="I1135" s="2" t="s">
        <v>7297</v>
      </c>
      <c r="J1135" s="2" t="s">
        <v>3374</v>
      </c>
      <c r="K1135" s="2" t="s">
        <v>74</v>
      </c>
      <c r="L1135" s="2" t="s">
        <v>74</v>
      </c>
      <c r="M1135" s="2" t="s">
        <v>74</v>
      </c>
      <c r="N1135" s="2" t="s">
        <v>74</v>
      </c>
      <c r="O1135" s="2" t="s">
        <v>74</v>
      </c>
      <c r="P1135" s="2" t="s">
        <v>74</v>
      </c>
      <c r="Q1135" s="2" t="s">
        <v>74</v>
      </c>
      <c r="R1135" s="2" t="s">
        <v>74</v>
      </c>
      <c r="S1135" s="2" t="s">
        <v>74</v>
      </c>
      <c r="T1135" s="2" t="s">
        <v>74</v>
      </c>
      <c r="U1135" s="2" t="s">
        <v>74</v>
      </c>
      <c r="V1135" s="5" t="s">
        <v>7298</v>
      </c>
      <c r="W1135" s="2" t="s">
        <v>74</v>
      </c>
      <c r="X1135" s="2" t="s">
        <v>74</v>
      </c>
      <c r="Y1135" s="2" t="s">
        <v>74</v>
      </c>
      <c r="Z1135" s="2" t="s">
        <v>74</v>
      </c>
      <c r="AA1135" s="2" t="s">
        <v>7299</v>
      </c>
      <c r="AB1135" s="2" t="s">
        <v>7300</v>
      </c>
      <c r="AC1135" s="2" t="s">
        <v>74</v>
      </c>
      <c r="AD1135" s="2" t="s">
        <v>74</v>
      </c>
      <c r="AE1135" s="2" t="s">
        <v>74</v>
      </c>
      <c r="AF1135" s="2" t="s">
        <v>74</v>
      </c>
      <c r="AG1135" s="2" t="s">
        <v>74</v>
      </c>
      <c r="AH1135" s="2" t="s">
        <v>74</v>
      </c>
      <c r="AI1135" s="2" t="s">
        <v>74</v>
      </c>
      <c r="AJ1135" s="2" t="s">
        <v>74</v>
      </c>
      <c r="AK1135" s="2" t="s">
        <v>74</v>
      </c>
      <c r="AL1135" s="2" t="s">
        <v>74</v>
      </c>
      <c r="AM1135" s="2" t="s">
        <v>74</v>
      </c>
      <c r="AN1135" s="2" t="s">
        <v>74</v>
      </c>
      <c r="AO1135" s="2" t="s">
        <v>3378</v>
      </c>
      <c r="AP1135" s="2" t="s">
        <v>74</v>
      </c>
      <c r="AQ1135" s="2" t="s">
        <v>74</v>
      </c>
      <c r="AR1135" s="2" t="s">
        <v>74</v>
      </c>
      <c r="AS1135" s="2" t="s">
        <v>74</v>
      </c>
      <c r="AT1135" s="2" t="s">
        <v>1013</v>
      </c>
      <c r="AU1135" s="2">
        <v>2004</v>
      </c>
      <c r="AV1135" s="2">
        <v>35</v>
      </c>
      <c r="AW1135" s="2">
        <v>5</v>
      </c>
      <c r="AX1135" s="2" t="s">
        <v>74</v>
      </c>
      <c r="AY1135" s="2" t="s">
        <v>74</v>
      </c>
      <c r="AZ1135" s="2" t="s">
        <v>74</v>
      </c>
      <c r="BA1135" s="2" t="s">
        <v>74</v>
      </c>
      <c r="BB1135" s="2">
        <v>461</v>
      </c>
      <c r="BC1135" s="2">
        <v>468</v>
      </c>
      <c r="BD1135" s="2" t="s">
        <v>74</v>
      </c>
      <c r="BE1135" s="2" t="s">
        <v>7301</v>
      </c>
      <c r="BF1135" s="2" t="str">
        <f>HYPERLINK("http://dx.doi.org/10.1051/apido:2004040","http://dx.doi.org/10.1051/apido:2004040")</f>
        <v>http://dx.doi.org/10.1051/apido:2004040</v>
      </c>
      <c r="BG1135" s="2" t="s">
        <v>74</v>
      </c>
      <c r="BH1135" s="2" t="s">
        <v>74</v>
      </c>
      <c r="BI1135" s="2" t="s">
        <v>74</v>
      </c>
      <c r="BJ1135" s="2" t="s">
        <v>74</v>
      </c>
      <c r="BK1135" s="2" t="s">
        <v>74</v>
      </c>
      <c r="BL1135" s="2" t="s">
        <v>74</v>
      </c>
      <c r="BM1135" s="2" t="s">
        <v>74</v>
      </c>
      <c r="BN1135" s="2" t="s">
        <v>74</v>
      </c>
      <c r="BO1135" s="2" t="s">
        <v>74</v>
      </c>
      <c r="BP1135" s="2" t="s">
        <v>74</v>
      </c>
      <c r="BQ1135" s="2" t="s">
        <v>74</v>
      </c>
      <c r="BR1135" s="2" t="s">
        <v>74</v>
      </c>
      <c r="BS1135" s="2" t="s">
        <v>7302</v>
      </c>
      <c r="BT1135" s="2" t="str">
        <f>HYPERLINK("https%3A%2F%2Fwww.webofscience.com%2Fwos%2Fwoscc%2Ffull-record%2FWOS:000224957200002","View Full Record in Web of Science")</f>
        <v>View Full Record in Web of Science</v>
      </c>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row>
    <row r="1136" spans="1:314" s="2" customFormat="1" x14ac:dyDescent="0.4">
      <c r="A1136" s="2" t="s">
        <v>72</v>
      </c>
      <c r="B1136" s="2" t="s">
        <v>7340</v>
      </c>
      <c r="C1136" s="2" t="s">
        <v>74</v>
      </c>
      <c r="D1136" s="2" t="s">
        <v>74</v>
      </c>
      <c r="E1136" s="2" t="s">
        <v>74</v>
      </c>
      <c r="F1136" s="2" t="s">
        <v>7340</v>
      </c>
      <c r="G1136" s="2" t="s">
        <v>74</v>
      </c>
      <c r="H1136" s="2" t="s">
        <v>74</v>
      </c>
      <c r="I1136" s="2" t="s">
        <v>7341</v>
      </c>
      <c r="J1136" s="2" t="s">
        <v>1526</v>
      </c>
      <c r="K1136" s="2" t="s">
        <v>74</v>
      </c>
      <c r="L1136" s="2" t="s">
        <v>74</v>
      </c>
      <c r="M1136" s="2" t="s">
        <v>74</v>
      </c>
      <c r="N1136" s="2" t="s">
        <v>74</v>
      </c>
      <c r="O1136" s="2" t="s">
        <v>74</v>
      </c>
      <c r="P1136" s="2" t="s">
        <v>74</v>
      </c>
      <c r="Q1136" s="2" t="s">
        <v>74</v>
      </c>
      <c r="R1136" s="2" t="s">
        <v>74</v>
      </c>
      <c r="S1136" s="2" t="s">
        <v>74</v>
      </c>
      <c r="T1136" s="2" t="s">
        <v>74</v>
      </c>
      <c r="U1136" s="2" t="s">
        <v>74</v>
      </c>
      <c r="V1136" s="5" t="s">
        <v>7342</v>
      </c>
      <c r="W1136" s="2" t="s">
        <v>74</v>
      </c>
      <c r="X1136" s="2" t="s">
        <v>74</v>
      </c>
      <c r="Y1136" s="2" t="s">
        <v>74</v>
      </c>
      <c r="Z1136" s="2" t="s">
        <v>74</v>
      </c>
      <c r="AA1136" s="2" t="s">
        <v>74</v>
      </c>
      <c r="AB1136" s="2" t="s">
        <v>74</v>
      </c>
      <c r="AC1136" s="2" t="s">
        <v>74</v>
      </c>
      <c r="AD1136" s="2" t="s">
        <v>74</v>
      </c>
      <c r="AE1136" s="2" t="s">
        <v>74</v>
      </c>
      <c r="AF1136" s="2" t="s">
        <v>74</v>
      </c>
      <c r="AG1136" s="2" t="s">
        <v>74</v>
      </c>
      <c r="AH1136" s="2" t="s">
        <v>74</v>
      </c>
      <c r="AI1136" s="2" t="s">
        <v>74</v>
      </c>
      <c r="AJ1136" s="2" t="s">
        <v>74</v>
      </c>
      <c r="AK1136" s="2" t="s">
        <v>74</v>
      </c>
      <c r="AL1136" s="2" t="s">
        <v>74</v>
      </c>
      <c r="AM1136" s="2" t="s">
        <v>74</v>
      </c>
      <c r="AN1136" s="2" t="s">
        <v>74</v>
      </c>
      <c r="AO1136" s="2" t="s">
        <v>74</v>
      </c>
      <c r="AP1136" s="2" t="s">
        <v>2131</v>
      </c>
      <c r="AQ1136" s="2" t="s">
        <v>74</v>
      </c>
      <c r="AR1136" s="2" t="s">
        <v>74</v>
      </c>
      <c r="AS1136" s="2" t="s">
        <v>74</v>
      </c>
      <c r="AT1136" s="2" t="s">
        <v>74</v>
      </c>
      <c r="AU1136" s="2">
        <v>1977</v>
      </c>
      <c r="AV1136" s="2">
        <v>79</v>
      </c>
      <c r="AW1136" s="2">
        <v>1</v>
      </c>
      <c r="AX1136" s="2" t="s">
        <v>74</v>
      </c>
      <c r="AY1136" s="2" t="s">
        <v>74</v>
      </c>
      <c r="AZ1136" s="2" t="s">
        <v>74</v>
      </c>
      <c r="BA1136" s="2" t="s">
        <v>74</v>
      </c>
      <c r="BB1136" s="2">
        <v>1</v>
      </c>
      <c r="BC1136" s="2">
        <v>12</v>
      </c>
      <c r="BD1136" s="2" t="s">
        <v>74</v>
      </c>
      <c r="BE1136" s="2" t="s">
        <v>7343</v>
      </c>
      <c r="BF1136" s="2" t="str">
        <f>HYPERLINK("http://dx.doi.org/10.2307/1367524","http://dx.doi.org/10.2307/1367524")</f>
        <v>http://dx.doi.org/10.2307/1367524</v>
      </c>
      <c r="BG1136" s="2" t="s">
        <v>74</v>
      </c>
      <c r="BH1136" s="2" t="s">
        <v>74</v>
      </c>
      <c r="BI1136" s="2" t="s">
        <v>74</v>
      </c>
      <c r="BJ1136" s="2" t="s">
        <v>74</v>
      </c>
      <c r="BK1136" s="2" t="s">
        <v>74</v>
      </c>
      <c r="BL1136" s="2" t="s">
        <v>74</v>
      </c>
      <c r="BM1136" s="2" t="s">
        <v>74</v>
      </c>
      <c r="BN1136" s="2" t="s">
        <v>74</v>
      </c>
      <c r="BO1136" s="2" t="s">
        <v>74</v>
      </c>
      <c r="BP1136" s="2" t="s">
        <v>74</v>
      </c>
      <c r="BQ1136" s="2" t="s">
        <v>74</v>
      </c>
      <c r="BR1136" s="2" t="s">
        <v>74</v>
      </c>
      <c r="BS1136" s="2" t="s">
        <v>7344</v>
      </c>
      <c r="BT1136" s="2" t="str">
        <f>HYPERLINK("https%3A%2F%2Fwww.webofscience.com%2Fwos%2Fwoscc%2Ffull-record%2FWOS:A1977DN61900001","View Full Record in Web of Science")</f>
        <v>View Full Record in Web of Science</v>
      </c>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row>
    <row r="1137" spans="1:314" s="2" customFormat="1" x14ac:dyDescent="0.4">
      <c r="A1137" s="2" t="s">
        <v>72</v>
      </c>
      <c r="B1137" s="2" t="s">
        <v>496</v>
      </c>
      <c r="C1137" s="2" t="s">
        <v>74</v>
      </c>
      <c r="D1137" s="2" t="s">
        <v>74</v>
      </c>
      <c r="E1137" s="2" t="s">
        <v>74</v>
      </c>
      <c r="F1137" s="2" t="s">
        <v>497</v>
      </c>
      <c r="G1137" s="2" t="s">
        <v>74</v>
      </c>
      <c r="H1137" s="2" t="s">
        <v>74</v>
      </c>
      <c r="I1137" s="2" t="s">
        <v>498</v>
      </c>
      <c r="J1137" s="2" t="s">
        <v>499</v>
      </c>
      <c r="K1137" s="2" t="s">
        <v>74</v>
      </c>
      <c r="L1137" s="2" t="s">
        <v>74</v>
      </c>
      <c r="M1137" s="2" t="s">
        <v>74</v>
      </c>
      <c r="N1137" s="2" t="s">
        <v>74</v>
      </c>
      <c r="O1137" s="2" t="s">
        <v>74</v>
      </c>
      <c r="P1137" s="2" t="s">
        <v>74</v>
      </c>
      <c r="Q1137" s="2" t="s">
        <v>74</v>
      </c>
      <c r="R1137" s="2" t="s">
        <v>74</v>
      </c>
      <c r="S1137" s="2" t="s">
        <v>74</v>
      </c>
      <c r="T1137" s="2" t="s">
        <v>74</v>
      </c>
      <c r="U1137" s="2" t="s">
        <v>74</v>
      </c>
      <c r="V1137" s="5" t="s">
        <v>500</v>
      </c>
      <c r="W1137" s="2" t="s">
        <v>74</v>
      </c>
      <c r="X1137" s="2" t="s">
        <v>74</v>
      </c>
      <c r="Y1137" s="2" t="s">
        <v>74</v>
      </c>
      <c r="Z1137" s="2" t="s">
        <v>74</v>
      </c>
      <c r="AA1137" s="2" t="s">
        <v>501</v>
      </c>
      <c r="AB1137" s="2" t="s">
        <v>502</v>
      </c>
      <c r="AC1137" s="2" t="s">
        <v>74</v>
      </c>
      <c r="AD1137" s="2" t="s">
        <v>74</v>
      </c>
      <c r="AE1137" s="2" t="s">
        <v>74</v>
      </c>
      <c r="AF1137" s="2" t="s">
        <v>74</v>
      </c>
      <c r="AG1137" s="2" t="s">
        <v>74</v>
      </c>
      <c r="AH1137" s="2" t="s">
        <v>74</v>
      </c>
      <c r="AI1137" s="2" t="s">
        <v>74</v>
      </c>
      <c r="AJ1137" s="2" t="s">
        <v>74</v>
      </c>
      <c r="AK1137" s="2" t="s">
        <v>74</v>
      </c>
      <c r="AL1137" s="2" t="s">
        <v>74</v>
      </c>
      <c r="AM1137" s="2" t="s">
        <v>74</v>
      </c>
      <c r="AN1137" s="2" t="s">
        <v>74</v>
      </c>
      <c r="AO1137" s="2" t="s">
        <v>503</v>
      </c>
      <c r="AP1137" s="2" t="s">
        <v>504</v>
      </c>
      <c r="AQ1137" s="2" t="s">
        <v>74</v>
      </c>
      <c r="AR1137" s="2" t="s">
        <v>74</v>
      </c>
      <c r="AS1137" s="2" t="s">
        <v>74</v>
      </c>
      <c r="AT1137" s="2" t="s">
        <v>134</v>
      </c>
      <c r="AU1137" s="2">
        <v>2016</v>
      </c>
      <c r="AV1137" s="2">
        <v>17</v>
      </c>
      <c r="AW1137" s="2">
        <v>3</v>
      </c>
      <c r="AX1137" s="2" t="s">
        <v>74</v>
      </c>
      <c r="AY1137" s="2" t="s">
        <v>74</v>
      </c>
      <c r="AZ1137" s="2" t="s">
        <v>74</v>
      </c>
      <c r="BA1137" s="2" t="s">
        <v>74</v>
      </c>
      <c r="BB1137" s="2">
        <v>407</v>
      </c>
      <c r="BC1137" s="2">
        <v>418</v>
      </c>
      <c r="BD1137" s="2" t="s">
        <v>74</v>
      </c>
      <c r="BE1137" s="2" t="s">
        <v>74</v>
      </c>
      <c r="BF1137" s="2" t="s">
        <v>74</v>
      </c>
      <c r="BG1137" s="2" t="s">
        <v>74</v>
      </c>
      <c r="BH1137" s="2" t="s">
        <v>74</v>
      </c>
      <c r="BI1137" s="2" t="s">
        <v>74</v>
      </c>
      <c r="BJ1137" s="2" t="s">
        <v>74</v>
      </c>
      <c r="BK1137" s="2" t="s">
        <v>74</v>
      </c>
      <c r="BL1137" s="2" t="s">
        <v>74</v>
      </c>
      <c r="BM1137" s="2" t="s">
        <v>74</v>
      </c>
      <c r="BN1137" s="2" t="s">
        <v>74</v>
      </c>
      <c r="BO1137" s="2" t="s">
        <v>74</v>
      </c>
      <c r="BP1137" s="2" t="s">
        <v>74</v>
      </c>
      <c r="BQ1137" s="2" t="s">
        <v>74</v>
      </c>
      <c r="BR1137" s="2" t="s">
        <v>74</v>
      </c>
      <c r="BS1137" s="2" t="s">
        <v>505</v>
      </c>
      <c r="BT1137" s="2" t="str">
        <f>HYPERLINK("https%3A%2F%2Fwww.webofscience.com%2Fwos%2Fwoscc%2Ffull-record%2FWOS:000378168300007","View Full Record in Web of Science")</f>
        <v>View Full Record in Web of Science</v>
      </c>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row>
    <row r="1138" spans="1:314" s="2" customFormat="1" x14ac:dyDescent="0.4">
      <c r="A1138" s="2" t="s">
        <v>72</v>
      </c>
      <c r="B1138" s="2" t="s">
        <v>4601</v>
      </c>
      <c r="C1138" s="2" t="s">
        <v>74</v>
      </c>
      <c r="D1138" s="2" t="s">
        <v>74</v>
      </c>
      <c r="E1138" s="2" t="s">
        <v>74</v>
      </c>
      <c r="F1138" s="2" t="s">
        <v>4601</v>
      </c>
      <c r="G1138" s="2" t="s">
        <v>74</v>
      </c>
      <c r="H1138" s="2" t="s">
        <v>74</v>
      </c>
      <c r="I1138" s="2" t="s">
        <v>4602</v>
      </c>
      <c r="J1138" s="2" t="s">
        <v>4603</v>
      </c>
      <c r="K1138" s="2" t="s">
        <v>74</v>
      </c>
      <c r="L1138" s="2" t="s">
        <v>74</v>
      </c>
      <c r="M1138" s="2" t="s">
        <v>74</v>
      </c>
      <c r="N1138" s="2" t="s">
        <v>74</v>
      </c>
      <c r="O1138" s="2" t="s">
        <v>74</v>
      </c>
      <c r="P1138" s="2" t="s">
        <v>74</v>
      </c>
      <c r="Q1138" s="2" t="s">
        <v>74</v>
      </c>
      <c r="R1138" s="2" t="s">
        <v>74</v>
      </c>
      <c r="S1138" s="2" t="s">
        <v>74</v>
      </c>
      <c r="T1138" s="2" t="s">
        <v>74</v>
      </c>
      <c r="U1138" s="2" t="s">
        <v>74</v>
      </c>
      <c r="V1138" s="5" t="s">
        <v>4604</v>
      </c>
      <c r="W1138" s="2" t="s">
        <v>74</v>
      </c>
      <c r="X1138" s="2" t="s">
        <v>74</v>
      </c>
      <c r="Y1138" s="2" t="s">
        <v>74</v>
      </c>
      <c r="Z1138" s="2" t="s">
        <v>74</v>
      </c>
      <c r="AA1138" s="2" t="s">
        <v>4605</v>
      </c>
      <c r="AB1138" s="2" t="s">
        <v>4606</v>
      </c>
      <c r="AC1138" s="2" t="s">
        <v>74</v>
      </c>
      <c r="AD1138" s="2" t="s">
        <v>74</v>
      </c>
      <c r="AE1138" s="2" t="s">
        <v>74</v>
      </c>
      <c r="AF1138" s="2" t="s">
        <v>74</v>
      </c>
      <c r="AG1138" s="2" t="s">
        <v>74</v>
      </c>
      <c r="AH1138" s="2" t="s">
        <v>74</v>
      </c>
      <c r="AI1138" s="2" t="s">
        <v>74</v>
      </c>
      <c r="AJ1138" s="2" t="s">
        <v>74</v>
      </c>
      <c r="AK1138" s="2" t="s">
        <v>74</v>
      </c>
      <c r="AL1138" s="2" t="s">
        <v>74</v>
      </c>
      <c r="AM1138" s="2" t="s">
        <v>74</v>
      </c>
      <c r="AN1138" s="2" t="s">
        <v>74</v>
      </c>
      <c r="AO1138" s="2" t="s">
        <v>4607</v>
      </c>
      <c r="AP1138" s="2" t="s">
        <v>74</v>
      </c>
      <c r="AQ1138" s="2" t="s">
        <v>74</v>
      </c>
      <c r="AR1138" s="2" t="s">
        <v>74</v>
      </c>
      <c r="AS1138" s="2" t="s">
        <v>74</v>
      </c>
      <c r="AT1138" s="2" t="s">
        <v>175</v>
      </c>
      <c r="AU1138" s="2">
        <v>2001</v>
      </c>
      <c r="AV1138" s="2">
        <v>11</v>
      </c>
      <c r="AW1138" s="2">
        <v>4</v>
      </c>
      <c r="AX1138" s="2" t="s">
        <v>74</v>
      </c>
      <c r="AY1138" s="2" t="s">
        <v>74</v>
      </c>
      <c r="AZ1138" s="2" t="s">
        <v>74</v>
      </c>
      <c r="BA1138" s="2" t="s">
        <v>74</v>
      </c>
      <c r="BB1138" s="2">
        <v>157</v>
      </c>
      <c r="BC1138" s="2">
        <v>165</v>
      </c>
      <c r="BD1138" s="2" t="s">
        <v>74</v>
      </c>
      <c r="BE1138" s="2" t="s">
        <v>74</v>
      </c>
      <c r="BF1138" s="2" t="s">
        <v>74</v>
      </c>
      <c r="BG1138" s="2" t="s">
        <v>74</v>
      </c>
      <c r="BH1138" s="2" t="s">
        <v>74</v>
      </c>
      <c r="BI1138" s="2" t="s">
        <v>74</v>
      </c>
      <c r="BJ1138" s="2" t="s">
        <v>74</v>
      </c>
      <c r="BK1138" s="2" t="s">
        <v>74</v>
      </c>
      <c r="BL1138" s="2" t="s">
        <v>74</v>
      </c>
      <c r="BM1138" s="2" t="s">
        <v>74</v>
      </c>
      <c r="BN1138" s="2" t="s">
        <v>74</v>
      </c>
      <c r="BO1138" s="2" t="s">
        <v>74</v>
      </c>
      <c r="BP1138" s="2" t="s">
        <v>74</v>
      </c>
      <c r="BQ1138" s="2" t="s">
        <v>74</v>
      </c>
      <c r="BR1138" s="2" t="s">
        <v>74</v>
      </c>
      <c r="BS1138" s="2" t="s">
        <v>4608</v>
      </c>
      <c r="BT1138" s="2" t="str">
        <f>HYPERLINK("https%3A%2F%2Fwww.webofscience.com%2Fwos%2Fwoscc%2Ffull-record%2FWOS:000174693400004","View Full Record in Web of Science")</f>
        <v>View Full Record in Web of Science</v>
      </c>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row>
    <row r="1139" spans="1:314" s="2" customFormat="1" x14ac:dyDescent="0.4">
      <c r="A1139" s="2" t="s">
        <v>72</v>
      </c>
      <c r="B1139" s="2" t="s">
        <v>3552</v>
      </c>
      <c r="C1139" s="2" t="s">
        <v>74</v>
      </c>
      <c r="D1139" s="2" t="s">
        <v>74</v>
      </c>
      <c r="E1139" s="2" t="s">
        <v>74</v>
      </c>
      <c r="F1139" s="2" t="s">
        <v>3553</v>
      </c>
      <c r="G1139" s="2" t="s">
        <v>74</v>
      </c>
      <c r="H1139" s="2" t="s">
        <v>74</v>
      </c>
      <c r="I1139" s="2" t="s">
        <v>3554</v>
      </c>
      <c r="J1139" s="2" t="s">
        <v>3555</v>
      </c>
      <c r="K1139" s="2" t="s">
        <v>74</v>
      </c>
      <c r="L1139" s="2" t="s">
        <v>74</v>
      </c>
      <c r="M1139" s="2" t="s">
        <v>74</v>
      </c>
      <c r="N1139" s="2" t="s">
        <v>74</v>
      </c>
      <c r="O1139" s="2" t="s">
        <v>74</v>
      </c>
      <c r="P1139" s="2" t="s">
        <v>74</v>
      </c>
      <c r="Q1139" s="2" t="s">
        <v>74</v>
      </c>
      <c r="R1139" s="2" t="s">
        <v>74</v>
      </c>
      <c r="S1139" s="2" t="s">
        <v>74</v>
      </c>
      <c r="T1139" s="2" t="s">
        <v>74</v>
      </c>
      <c r="U1139" s="2" t="s">
        <v>74</v>
      </c>
      <c r="V1139" s="5" t="s">
        <v>3556</v>
      </c>
      <c r="W1139" s="2" t="s">
        <v>74</v>
      </c>
      <c r="X1139" s="2" t="s">
        <v>74</v>
      </c>
      <c r="Y1139" s="2" t="s">
        <v>74</v>
      </c>
      <c r="Z1139" s="2" t="s">
        <v>74</v>
      </c>
      <c r="AA1139" s="2" t="s">
        <v>3557</v>
      </c>
      <c r="AB1139" s="2" t="s">
        <v>74</v>
      </c>
      <c r="AC1139" s="2" t="s">
        <v>74</v>
      </c>
      <c r="AD1139" s="2" t="s">
        <v>74</v>
      </c>
      <c r="AE1139" s="2" t="s">
        <v>74</v>
      </c>
      <c r="AF1139" s="2" t="s">
        <v>74</v>
      </c>
      <c r="AG1139" s="2" t="s">
        <v>74</v>
      </c>
      <c r="AH1139" s="2" t="s">
        <v>74</v>
      </c>
      <c r="AI1139" s="2" t="s">
        <v>74</v>
      </c>
      <c r="AJ1139" s="2" t="s">
        <v>74</v>
      </c>
      <c r="AK1139" s="2" t="s">
        <v>74</v>
      </c>
      <c r="AL1139" s="2" t="s">
        <v>74</v>
      </c>
      <c r="AM1139" s="2" t="s">
        <v>74</v>
      </c>
      <c r="AN1139" s="2" t="s">
        <v>74</v>
      </c>
      <c r="AO1139" s="2" t="s">
        <v>3558</v>
      </c>
      <c r="AP1139" s="2" t="s">
        <v>3559</v>
      </c>
      <c r="AQ1139" s="2" t="s">
        <v>74</v>
      </c>
      <c r="AR1139" s="2" t="s">
        <v>74</v>
      </c>
      <c r="AS1139" s="2" t="s">
        <v>74</v>
      </c>
      <c r="AT1139" s="2" t="s">
        <v>145</v>
      </c>
      <c r="AU1139" s="2">
        <v>2007</v>
      </c>
      <c r="AV1139" s="2">
        <v>54</v>
      </c>
      <c r="AW1139" s="2">
        <v>3</v>
      </c>
      <c r="AX1139" s="2" t="s">
        <v>74</v>
      </c>
      <c r="AY1139" s="2" t="s">
        <v>74</v>
      </c>
      <c r="AZ1139" s="2" t="s">
        <v>74</v>
      </c>
      <c r="BA1139" s="2" t="s">
        <v>74</v>
      </c>
      <c r="BB1139" s="2">
        <v>268</v>
      </c>
      <c r="BC1139" s="2">
        <v>274</v>
      </c>
      <c r="BD1139" s="2" t="s">
        <v>74</v>
      </c>
      <c r="BE1139" s="2" t="s">
        <v>3560</v>
      </c>
      <c r="BF1139" s="2" t="str">
        <f>HYPERLINK("http://dx.doi.org/10.1007/s00040-007-0941-x","http://dx.doi.org/10.1007/s00040-007-0941-x")</f>
        <v>http://dx.doi.org/10.1007/s00040-007-0941-x</v>
      </c>
      <c r="BG1139" s="2" t="s">
        <v>74</v>
      </c>
      <c r="BH1139" s="2" t="s">
        <v>74</v>
      </c>
      <c r="BI1139" s="2" t="s">
        <v>74</v>
      </c>
      <c r="BJ1139" s="2" t="s">
        <v>74</v>
      </c>
      <c r="BK1139" s="2" t="s">
        <v>74</v>
      </c>
      <c r="BL1139" s="2" t="s">
        <v>74</v>
      </c>
      <c r="BM1139" s="2" t="s">
        <v>74</v>
      </c>
      <c r="BN1139" s="2" t="s">
        <v>74</v>
      </c>
      <c r="BO1139" s="2" t="s">
        <v>74</v>
      </c>
      <c r="BP1139" s="2" t="s">
        <v>74</v>
      </c>
      <c r="BQ1139" s="2" t="s">
        <v>74</v>
      </c>
      <c r="BR1139" s="2" t="s">
        <v>74</v>
      </c>
      <c r="BS1139" s="2" t="s">
        <v>3561</v>
      </c>
      <c r="BT1139" s="2" t="str">
        <f>HYPERLINK("https%3A%2F%2Fwww.webofscience.com%2Fwos%2Fwoscc%2Ffull-record%2FWOS:000248901500010","View Full Record in Web of Science")</f>
        <v>View Full Record in Web of Science</v>
      </c>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row>
    <row r="1140" spans="1:314" s="2" customFormat="1" x14ac:dyDescent="0.4">
      <c r="A1140" s="2" t="s">
        <v>72</v>
      </c>
      <c r="B1140" s="2" t="s">
        <v>3252</v>
      </c>
      <c r="C1140" s="2" t="s">
        <v>74</v>
      </c>
      <c r="D1140" s="2" t="s">
        <v>74</v>
      </c>
      <c r="E1140" s="2" t="s">
        <v>74</v>
      </c>
      <c r="F1140" s="2" t="s">
        <v>3253</v>
      </c>
      <c r="G1140" s="2" t="s">
        <v>74</v>
      </c>
      <c r="H1140" s="2" t="s">
        <v>74</v>
      </c>
      <c r="I1140" s="2" t="s">
        <v>3254</v>
      </c>
      <c r="J1140" s="2" t="s">
        <v>408</v>
      </c>
      <c r="K1140" s="2" t="s">
        <v>74</v>
      </c>
      <c r="L1140" s="2" t="s">
        <v>74</v>
      </c>
      <c r="M1140" s="2" t="s">
        <v>74</v>
      </c>
      <c r="N1140" s="2" t="s">
        <v>74</v>
      </c>
      <c r="O1140" s="2" t="s">
        <v>74</v>
      </c>
      <c r="P1140" s="2" t="s">
        <v>74</v>
      </c>
      <c r="Q1140" s="2" t="s">
        <v>74</v>
      </c>
      <c r="R1140" s="2" t="s">
        <v>74</v>
      </c>
      <c r="S1140" s="2" t="s">
        <v>74</v>
      </c>
      <c r="T1140" s="2" t="s">
        <v>74</v>
      </c>
      <c r="U1140" s="2" t="s">
        <v>74</v>
      </c>
      <c r="V1140" s="5" t="s">
        <v>3255</v>
      </c>
      <c r="W1140" s="2" t="s">
        <v>74</v>
      </c>
      <c r="X1140" s="2" t="s">
        <v>74</v>
      </c>
      <c r="Y1140" s="2" t="s">
        <v>74</v>
      </c>
      <c r="Z1140" s="2" t="s">
        <v>74</v>
      </c>
      <c r="AA1140" s="2" t="s">
        <v>3256</v>
      </c>
      <c r="AB1140" s="2" t="s">
        <v>3257</v>
      </c>
      <c r="AC1140" s="2" t="s">
        <v>74</v>
      </c>
      <c r="AD1140" s="2" t="s">
        <v>74</v>
      </c>
      <c r="AE1140" s="2" t="s">
        <v>74</v>
      </c>
      <c r="AF1140" s="2" t="s">
        <v>74</v>
      </c>
      <c r="AG1140" s="2" t="s">
        <v>74</v>
      </c>
      <c r="AH1140" s="2" t="s">
        <v>74</v>
      </c>
      <c r="AI1140" s="2" t="s">
        <v>74</v>
      </c>
      <c r="AJ1140" s="2" t="s">
        <v>74</v>
      </c>
      <c r="AK1140" s="2" t="s">
        <v>74</v>
      </c>
      <c r="AL1140" s="2" t="s">
        <v>74</v>
      </c>
      <c r="AM1140" s="2" t="s">
        <v>74</v>
      </c>
      <c r="AN1140" s="2" t="s">
        <v>74</v>
      </c>
      <c r="AO1140" s="2" t="s">
        <v>412</v>
      </c>
      <c r="AP1140" s="2" t="s">
        <v>413</v>
      </c>
      <c r="AQ1140" s="2" t="s">
        <v>74</v>
      </c>
      <c r="AR1140" s="2" t="s">
        <v>74</v>
      </c>
      <c r="AS1140" s="2" t="s">
        <v>74</v>
      </c>
      <c r="AT1140" s="2" t="s">
        <v>175</v>
      </c>
      <c r="AU1140" s="2">
        <v>2020</v>
      </c>
      <c r="AV1140" s="2">
        <v>131</v>
      </c>
      <c r="AW1140" s="2">
        <v>2</v>
      </c>
      <c r="AX1140" s="2" t="s">
        <v>74</v>
      </c>
      <c r="AY1140" s="2" t="s">
        <v>74</v>
      </c>
      <c r="AZ1140" s="2" t="s">
        <v>74</v>
      </c>
      <c r="BA1140" s="2" t="s">
        <v>74</v>
      </c>
      <c r="BB1140" s="2">
        <v>332</v>
      </c>
      <c r="BC1140" s="2">
        <v>343</v>
      </c>
      <c r="BD1140" s="2" t="s">
        <v>74</v>
      </c>
      <c r="BE1140" s="2" t="s">
        <v>3258</v>
      </c>
      <c r="BF1140" s="2" t="str">
        <f>HYPERLINK("http://dx.doi.org/10.1093/biolinnean/blaa119","http://dx.doi.org/10.1093/biolinnean/blaa119")</f>
        <v>http://dx.doi.org/10.1093/biolinnean/blaa119</v>
      </c>
      <c r="BG1140" s="2" t="s">
        <v>74</v>
      </c>
      <c r="BH1140" s="2" t="s">
        <v>74</v>
      </c>
      <c r="BI1140" s="2" t="s">
        <v>74</v>
      </c>
      <c r="BJ1140" s="2" t="s">
        <v>74</v>
      </c>
      <c r="BK1140" s="2" t="s">
        <v>74</v>
      </c>
      <c r="BL1140" s="2" t="s">
        <v>74</v>
      </c>
      <c r="BM1140" s="2" t="s">
        <v>74</v>
      </c>
      <c r="BN1140" s="2" t="s">
        <v>74</v>
      </c>
      <c r="BO1140" s="2" t="s">
        <v>74</v>
      </c>
      <c r="BP1140" s="2" t="s">
        <v>74</v>
      </c>
      <c r="BQ1140" s="2" t="s">
        <v>74</v>
      </c>
      <c r="BR1140" s="2" t="s">
        <v>74</v>
      </c>
      <c r="BS1140" s="2" t="s">
        <v>3259</v>
      </c>
      <c r="BT1140" s="2" t="str">
        <f>HYPERLINK("https%3A%2F%2Fwww.webofscience.com%2Fwos%2Fwoscc%2Ffull-record%2FWOS:000580984200006","View Full Record in Web of Science")</f>
        <v>View Full Record in Web of Science</v>
      </c>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row>
    <row r="1141" spans="1:314" s="1" customFormat="1" x14ac:dyDescent="0.4">
      <c r="A1141" s="2" t="s">
        <v>72</v>
      </c>
      <c r="B1141" s="2" t="s">
        <v>8194</v>
      </c>
      <c r="C1141" s="2" t="s">
        <v>74</v>
      </c>
      <c r="D1141" s="2" t="s">
        <v>74</v>
      </c>
      <c r="E1141" s="2" t="s">
        <v>74</v>
      </c>
      <c r="F1141" s="2" t="s">
        <v>8195</v>
      </c>
      <c r="G1141" s="2" t="s">
        <v>74</v>
      </c>
      <c r="H1141" s="2" t="s">
        <v>74</v>
      </c>
      <c r="I1141" s="2" t="s">
        <v>8196</v>
      </c>
      <c r="J1141" s="2" t="s">
        <v>281</v>
      </c>
      <c r="K1141" s="2" t="s">
        <v>74</v>
      </c>
      <c r="L1141" s="2" t="s">
        <v>74</v>
      </c>
      <c r="M1141" s="2" t="s">
        <v>74</v>
      </c>
      <c r="N1141" s="2" t="s">
        <v>74</v>
      </c>
      <c r="O1141" s="2" t="s">
        <v>74</v>
      </c>
      <c r="P1141" s="2" t="s">
        <v>74</v>
      </c>
      <c r="Q1141" s="2" t="s">
        <v>74</v>
      </c>
      <c r="R1141" s="2" t="s">
        <v>74</v>
      </c>
      <c r="S1141" s="2" t="s">
        <v>74</v>
      </c>
      <c r="T1141" s="2" t="s">
        <v>74</v>
      </c>
      <c r="U1141" s="2" t="s">
        <v>74</v>
      </c>
      <c r="V1141" s="5" t="s">
        <v>8197</v>
      </c>
      <c r="W1141" s="2" t="s">
        <v>74</v>
      </c>
      <c r="X1141" s="2" t="s">
        <v>74</v>
      </c>
      <c r="Y1141" s="2" t="s">
        <v>74</v>
      </c>
      <c r="Z1141" s="2" t="s">
        <v>74</v>
      </c>
      <c r="AA1141" s="2" t="s">
        <v>8198</v>
      </c>
      <c r="AB1141" s="2" t="s">
        <v>1377</v>
      </c>
      <c r="AC1141" s="2" t="s">
        <v>74</v>
      </c>
      <c r="AD1141" s="2" t="s">
        <v>74</v>
      </c>
      <c r="AE1141" s="2" t="s">
        <v>74</v>
      </c>
      <c r="AF1141" s="2" t="s">
        <v>74</v>
      </c>
      <c r="AG1141" s="2" t="s">
        <v>74</v>
      </c>
      <c r="AH1141" s="2" t="s">
        <v>74</v>
      </c>
      <c r="AI1141" s="2" t="s">
        <v>74</v>
      </c>
      <c r="AJ1141" s="2" t="s">
        <v>74</v>
      </c>
      <c r="AK1141" s="2" t="s">
        <v>74</v>
      </c>
      <c r="AL1141" s="2" t="s">
        <v>74</v>
      </c>
      <c r="AM1141" s="2" t="s">
        <v>74</v>
      </c>
      <c r="AN1141" s="2" t="s">
        <v>74</v>
      </c>
      <c r="AO1141" s="2" t="s">
        <v>285</v>
      </c>
      <c r="AP1141" s="2" t="s">
        <v>286</v>
      </c>
      <c r="AQ1141" s="2" t="s">
        <v>74</v>
      </c>
      <c r="AR1141" s="2" t="s">
        <v>74</v>
      </c>
      <c r="AS1141" s="2" t="s">
        <v>74</v>
      </c>
      <c r="AT1141" s="2" t="s">
        <v>175</v>
      </c>
      <c r="AU1141" s="2">
        <v>2022</v>
      </c>
      <c r="AV1141" s="2">
        <v>25</v>
      </c>
      <c r="AW1141" s="2">
        <v>5</v>
      </c>
      <c r="AX1141" s="2" t="s">
        <v>74</v>
      </c>
      <c r="AY1141" s="2" t="s">
        <v>74</v>
      </c>
      <c r="AZ1141" s="2" t="s">
        <v>848</v>
      </c>
      <c r="BA1141" s="2" t="s">
        <v>74</v>
      </c>
      <c r="BB1141" s="2">
        <v>1299</v>
      </c>
      <c r="BC1141" s="2">
        <v>1306</v>
      </c>
      <c r="BD1141" s="2" t="s">
        <v>74</v>
      </c>
      <c r="BE1141" s="2" t="s">
        <v>8199</v>
      </c>
      <c r="BF1141" s="2" t="str">
        <f>HYPERLINK("http://dx.doi.org/10.1007/s10071-022-01613-9","http://dx.doi.org/10.1007/s10071-022-01613-9")</f>
        <v>http://dx.doi.org/10.1007/s10071-022-01613-9</v>
      </c>
      <c r="BG1141" s="2" t="s">
        <v>74</v>
      </c>
      <c r="BH1141" s="2" t="s">
        <v>415</v>
      </c>
      <c r="BI1141" s="2" t="s">
        <v>74</v>
      </c>
      <c r="BJ1141" s="2" t="s">
        <v>74</v>
      </c>
      <c r="BK1141" s="2" t="s">
        <v>74</v>
      </c>
      <c r="BL1141" s="2" t="s">
        <v>74</v>
      </c>
      <c r="BM1141" s="2" t="s">
        <v>74</v>
      </c>
      <c r="BN1141" s="2">
        <v>35320446</v>
      </c>
      <c r="BO1141" s="2" t="s">
        <v>74</v>
      </c>
      <c r="BP1141" s="2" t="s">
        <v>74</v>
      </c>
      <c r="BQ1141" s="2" t="s">
        <v>74</v>
      </c>
      <c r="BR1141" s="2" t="s">
        <v>74</v>
      </c>
      <c r="BS1141" s="2" t="s">
        <v>8200</v>
      </c>
      <c r="BT1141" s="2" t="str">
        <f>HYPERLINK("https%3A%2F%2Fwww.webofscience.com%2Fwos%2Fwoscc%2Ffull-record%2FWOS:000772345800001","View Full Record in Web of Science")</f>
        <v>View Full Record in Web of Science</v>
      </c>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row>
    <row r="1142" spans="1:314" s="7" customFormat="1" x14ac:dyDescent="0.4">
      <c r="A1142" s="2" t="s">
        <v>72</v>
      </c>
      <c r="B1142" s="2" t="s">
        <v>5919</v>
      </c>
      <c r="C1142" s="2" t="s">
        <v>74</v>
      </c>
      <c r="D1142" s="2" t="s">
        <v>74</v>
      </c>
      <c r="E1142" s="2" t="s">
        <v>74</v>
      </c>
      <c r="F1142" s="2" t="s">
        <v>5920</v>
      </c>
      <c r="G1142" s="2" t="s">
        <v>74</v>
      </c>
      <c r="H1142" s="2" t="s">
        <v>74</v>
      </c>
      <c r="I1142" s="2" t="s">
        <v>5921</v>
      </c>
      <c r="J1142" s="2" t="s">
        <v>119</v>
      </c>
      <c r="K1142" s="2" t="s">
        <v>74</v>
      </c>
      <c r="L1142" s="2" t="s">
        <v>74</v>
      </c>
      <c r="M1142" s="2" t="s">
        <v>74</v>
      </c>
      <c r="N1142" s="2" t="s">
        <v>74</v>
      </c>
      <c r="O1142" s="2" t="s">
        <v>74</v>
      </c>
      <c r="P1142" s="2" t="s">
        <v>74</v>
      </c>
      <c r="Q1142" s="2" t="s">
        <v>74</v>
      </c>
      <c r="R1142" s="2" t="s">
        <v>74</v>
      </c>
      <c r="S1142" s="2" t="s">
        <v>74</v>
      </c>
      <c r="T1142" s="2" t="s">
        <v>74</v>
      </c>
      <c r="U1142" s="2" t="s">
        <v>74</v>
      </c>
      <c r="V1142" s="5" t="s">
        <v>5922</v>
      </c>
      <c r="W1142" s="2" t="s">
        <v>74</v>
      </c>
      <c r="X1142" s="2" t="s">
        <v>74</v>
      </c>
      <c r="Y1142" s="2" t="s">
        <v>74</v>
      </c>
      <c r="Z1142" s="2" t="s">
        <v>74</v>
      </c>
      <c r="AA1142" s="2" t="s">
        <v>5923</v>
      </c>
      <c r="AB1142" s="2" t="s">
        <v>74</v>
      </c>
      <c r="AC1142" s="2" t="s">
        <v>74</v>
      </c>
      <c r="AD1142" s="2" t="s">
        <v>74</v>
      </c>
      <c r="AE1142" s="2" t="s">
        <v>74</v>
      </c>
      <c r="AF1142" s="2" t="s">
        <v>74</v>
      </c>
      <c r="AG1142" s="2" t="s">
        <v>74</v>
      </c>
      <c r="AH1142" s="2" t="s">
        <v>74</v>
      </c>
      <c r="AI1142" s="2" t="s">
        <v>74</v>
      </c>
      <c r="AJ1142" s="2" t="s">
        <v>74</v>
      </c>
      <c r="AK1142" s="2" t="s">
        <v>74</v>
      </c>
      <c r="AL1142" s="2" t="s">
        <v>74</v>
      </c>
      <c r="AM1142" s="2" t="s">
        <v>74</v>
      </c>
      <c r="AN1142" s="2" t="s">
        <v>74</v>
      </c>
      <c r="AO1142" s="2" t="s">
        <v>121</v>
      </c>
      <c r="AP1142" s="2" t="s">
        <v>122</v>
      </c>
      <c r="AQ1142" s="2" t="s">
        <v>74</v>
      </c>
      <c r="AR1142" s="2" t="s">
        <v>74</v>
      </c>
      <c r="AS1142" s="2" t="s">
        <v>74</v>
      </c>
      <c r="AT1142" s="2" t="s">
        <v>633</v>
      </c>
      <c r="AU1142" s="2">
        <v>2016</v>
      </c>
      <c r="AV1142" s="2">
        <v>125</v>
      </c>
      <c r="AW1142" s="2" t="s">
        <v>74</v>
      </c>
      <c r="AX1142" s="2" t="s">
        <v>74</v>
      </c>
      <c r="AY1142" s="2" t="s">
        <v>74</v>
      </c>
      <c r="AZ1142" s="2" t="s">
        <v>74</v>
      </c>
      <c r="BA1142" s="2" t="s">
        <v>74</v>
      </c>
      <c r="BB1142" s="2">
        <v>85</v>
      </c>
      <c r="BC1142" s="2">
        <v>88</v>
      </c>
      <c r="BD1142" s="2" t="s">
        <v>74</v>
      </c>
      <c r="BE1142" s="2" t="s">
        <v>5924</v>
      </c>
      <c r="BF1142" s="2" t="str">
        <f>HYPERLINK("http://dx.doi.org/10.1016/j.beproc.2016.02.010","http://dx.doi.org/10.1016/j.beproc.2016.02.010")</f>
        <v>http://dx.doi.org/10.1016/j.beproc.2016.02.010</v>
      </c>
      <c r="BG1142" s="2" t="s">
        <v>74</v>
      </c>
      <c r="BH1142" s="2" t="s">
        <v>74</v>
      </c>
      <c r="BI1142" s="2" t="s">
        <v>74</v>
      </c>
      <c r="BJ1142" s="2" t="s">
        <v>74</v>
      </c>
      <c r="BK1142" s="2" t="s">
        <v>74</v>
      </c>
      <c r="BL1142" s="2" t="s">
        <v>74</v>
      </c>
      <c r="BM1142" s="2" t="s">
        <v>74</v>
      </c>
      <c r="BN1142" s="2">
        <v>26912482</v>
      </c>
      <c r="BO1142" s="2" t="s">
        <v>74</v>
      </c>
      <c r="BP1142" s="2" t="s">
        <v>74</v>
      </c>
      <c r="BQ1142" s="2" t="s">
        <v>74</v>
      </c>
      <c r="BR1142" s="2" t="s">
        <v>74</v>
      </c>
      <c r="BS1142" s="2" t="s">
        <v>5925</v>
      </c>
      <c r="BT1142" s="2" t="str">
        <f>HYPERLINK("https%3A%2F%2Fwww.webofscience.com%2Fwos%2Fwoscc%2Ffull-record%2FWOS:000373542900012","View Full Record in Web of Science")</f>
        <v>View Full Record in Web of Science</v>
      </c>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row>
    <row r="1143" spans="1:314" s="2" customFormat="1" x14ac:dyDescent="0.4">
      <c r="A1143" s="2" t="s">
        <v>72</v>
      </c>
      <c r="B1143" s="2" t="s">
        <v>1900</v>
      </c>
      <c r="C1143" s="2" t="s">
        <v>74</v>
      </c>
      <c r="D1143" s="2" t="s">
        <v>74</v>
      </c>
      <c r="E1143" s="2" t="s">
        <v>74</v>
      </c>
      <c r="F1143" s="2" t="s">
        <v>1900</v>
      </c>
      <c r="G1143" s="2" t="s">
        <v>74</v>
      </c>
      <c r="H1143" s="2" t="s">
        <v>74</v>
      </c>
      <c r="I1143" s="2" t="s">
        <v>1901</v>
      </c>
      <c r="J1143" s="2" t="s">
        <v>610</v>
      </c>
      <c r="K1143" s="2" t="s">
        <v>74</v>
      </c>
      <c r="L1143" s="2" t="s">
        <v>74</v>
      </c>
      <c r="M1143" s="2" t="s">
        <v>74</v>
      </c>
      <c r="N1143" s="2" t="s">
        <v>74</v>
      </c>
      <c r="O1143" s="2" t="s">
        <v>74</v>
      </c>
      <c r="P1143" s="2" t="s">
        <v>74</v>
      </c>
      <c r="Q1143" s="2" t="s">
        <v>74</v>
      </c>
      <c r="R1143" s="2" t="s">
        <v>74</v>
      </c>
      <c r="S1143" s="2" t="s">
        <v>74</v>
      </c>
      <c r="T1143" s="2" t="s">
        <v>74</v>
      </c>
      <c r="U1143" s="2" t="s">
        <v>74</v>
      </c>
      <c r="V1143" s="5" t="s">
        <v>1902</v>
      </c>
      <c r="W1143" s="2" t="s">
        <v>74</v>
      </c>
      <c r="X1143" s="2" t="s">
        <v>74</v>
      </c>
      <c r="Y1143" s="2" t="s">
        <v>74</v>
      </c>
      <c r="Z1143" s="2" t="s">
        <v>74</v>
      </c>
      <c r="AA1143" s="2" t="s">
        <v>74</v>
      </c>
      <c r="AB1143" s="2" t="s">
        <v>74</v>
      </c>
      <c r="AC1143" s="2" t="s">
        <v>74</v>
      </c>
      <c r="AD1143" s="2" t="s">
        <v>74</v>
      </c>
      <c r="AE1143" s="2" t="s">
        <v>74</v>
      </c>
      <c r="AF1143" s="2" t="s">
        <v>74</v>
      </c>
      <c r="AG1143" s="2" t="s">
        <v>74</v>
      </c>
      <c r="AH1143" s="2" t="s">
        <v>74</v>
      </c>
      <c r="AI1143" s="2" t="s">
        <v>74</v>
      </c>
      <c r="AJ1143" s="2" t="s">
        <v>74</v>
      </c>
      <c r="AK1143" s="2" t="s">
        <v>74</v>
      </c>
      <c r="AL1143" s="2" t="s">
        <v>74</v>
      </c>
      <c r="AM1143" s="2" t="s">
        <v>74</v>
      </c>
      <c r="AN1143" s="2" t="s">
        <v>74</v>
      </c>
      <c r="AO1143" s="2" t="s">
        <v>614</v>
      </c>
      <c r="AP1143" s="2" t="s">
        <v>615</v>
      </c>
      <c r="AQ1143" s="2" t="s">
        <v>74</v>
      </c>
      <c r="AR1143" s="2" t="s">
        <v>74</v>
      </c>
      <c r="AS1143" s="2" t="s">
        <v>74</v>
      </c>
      <c r="AT1143" s="2" t="s">
        <v>352</v>
      </c>
      <c r="AU1143" s="2">
        <v>2001</v>
      </c>
      <c r="AV1143" s="2">
        <v>107</v>
      </c>
      <c r="AW1143" s="2">
        <v>9</v>
      </c>
      <c r="AX1143" s="2" t="s">
        <v>74</v>
      </c>
      <c r="AY1143" s="2" t="s">
        <v>74</v>
      </c>
      <c r="AZ1143" s="2" t="s">
        <v>74</v>
      </c>
      <c r="BA1143" s="2" t="s">
        <v>74</v>
      </c>
      <c r="BB1143" s="2">
        <v>777</v>
      </c>
      <c r="BC1143" s="2">
        <v>793</v>
      </c>
      <c r="BD1143" s="2" t="s">
        <v>74</v>
      </c>
      <c r="BE1143" s="2" t="s">
        <v>1903</v>
      </c>
      <c r="BF1143" s="2" t="str">
        <f>HYPERLINK("http://dx.doi.org/10.1046/j.1439-0310.2001.00704.x","http://dx.doi.org/10.1046/j.1439-0310.2001.00704.x")</f>
        <v>http://dx.doi.org/10.1046/j.1439-0310.2001.00704.x</v>
      </c>
      <c r="BG1143" s="2" t="s">
        <v>74</v>
      </c>
      <c r="BH1143" s="2" t="s">
        <v>74</v>
      </c>
      <c r="BI1143" s="2" t="s">
        <v>74</v>
      </c>
      <c r="BJ1143" s="2" t="s">
        <v>74</v>
      </c>
      <c r="BK1143" s="2" t="s">
        <v>74</v>
      </c>
      <c r="BL1143" s="2" t="s">
        <v>74</v>
      </c>
      <c r="BM1143" s="2" t="s">
        <v>74</v>
      </c>
      <c r="BN1143" s="2" t="s">
        <v>74</v>
      </c>
      <c r="BO1143" s="2" t="s">
        <v>74</v>
      </c>
      <c r="BP1143" s="2" t="s">
        <v>74</v>
      </c>
      <c r="BQ1143" s="2" t="s">
        <v>74</v>
      </c>
      <c r="BR1143" s="2" t="s">
        <v>74</v>
      </c>
      <c r="BS1143" s="2" t="s">
        <v>1904</v>
      </c>
      <c r="BT1143" s="2" t="str">
        <f>HYPERLINK("https%3A%2F%2Fwww.webofscience.com%2Fwos%2Fwoscc%2Ffull-record%2FWOS:000171378500002","View Full Record in Web of Science")</f>
        <v>View Full Record in Web of Science</v>
      </c>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row>
    <row r="1144" spans="1:314" s="2" customFormat="1" x14ac:dyDescent="0.4">
      <c r="A1144" s="2" t="s">
        <v>72</v>
      </c>
      <c r="B1144" s="2" t="s">
        <v>6875</v>
      </c>
      <c r="C1144" s="2" t="s">
        <v>74</v>
      </c>
      <c r="D1144" s="2" t="s">
        <v>74</v>
      </c>
      <c r="E1144" s="2" t="s">
        <v>74</v>
      </c>
      <c r="F1144" s="2" t="s">
        <v>6876</v>
      </c>
      <c r="G1144" s="2" t="s">
        <v>74</v>
      </c>
      <c r="H1144" s="2" t="s">
        <v>74</v>
      </c>
      <c r="I1144" s="2" t="s">
        <v>6877</v>
      </c>
      <c r="J1144" s="2" t="s">
        <v>5961</v>
      </c>
      <c r="K1144" s="2" t="s">
        <v>74</v>
      </c>
      <c r="L1144" s="2" t="s">
        <v>74</v>
      </c>
      <c r="M1144" s="2" t="s">
        <v>74</v>
      </c>
      <c r="N1144" s="2" t="s">
        <v>74</v>
      </c>
      <c r="O1144" s="2" t="s">
        <v>74</v>
      </c>
      <c r="P1144" s="2" t="s">
        <v>74</v>
      </c>
      <c r="Q1144" s="2" t="s">
        <v>74</v>
      </c>
      <c r="R1144" s="2" t="s">
        <v>74</v>
      </c>
      <c r="S1144" s="2" t="s">
        <v>74</v>
      </c>
      <c r="T1144" s="2" t="s">
        <v>74</v>
      </c>
      <c r="U1144" s="2" t="s">
        <v>74</v>
      </c>
      <c r="V1144" s="5" t="s">
        <v>6878</v>
      </c>
      <c r="W1144" s="2" t="s">
        <v>74</v>
      </c>
      <c r="X1144" s="2" t="s">
        <v>74</v>
      </c>
      <c r="Y1144" s="2" t="s">
        <v>74</v>
      </c>
      <c r="Z1144" s="2" t="s">
        <v>74</v>
      </c>
      <c r="AA1144" s="2" t="s">
        <v>6879</v>
      </c>
      <c r="AB1144" s="2" t="s">
        <v>6880</v>
      </c>
      <c r="AC1144" s="2" t="s">
        <v>74</v>
      </c>
      <c r="AD1144" s="2" t="s">
        <v>74</v>
      </c>
      <c r="AE1144" s="2" t="s">
        <v>74</v>
      </c>
      <c r="AF1144" s="2" t="s">
        <v>74</v>
      </c>
      <c r="AG1144" s="2" t="s">
        <v>74</v>
      </c>
      <c r="AH1144" s="2" t="s">
        <v>74</v>
      </c>
      <c r="AI1144" s="2" t="s">
        <v>74</v>
      </c>
      <c r="AJ1144" s="2" t="s">
        <v>74</v>
      </c>
      <c r="AK1144" s="2" t="s">
        <v>74</v>
      </c>
      <c r="AL1144" s="2" t="s">
        <v>74</v>
      </c>
      <c r="AM1144" s="2" t="s">
        <v>74</v>
      </c>
      <c r="AN1144" s="2" t="s">
        <v>74</v>
      </c>
      <c r="AO1144" s="2" t="s">
        <v>5965</v>
      </c>
      <c r="AP1144" s="2" t="s">
        <v>5966</v>
      </c>
      <c r="AQ1144" s="2" t="s">
        <v>74</v>
      </c>
      <c r="AR1144" s="2" t="s">
        <v>74</v>
      </c>
      <c r="AS1144" s="2" t="s">
        <v>74</v>
      </c>
      <c r="AT1144" s="2" t="s">
        <v>204</v>
      </c>
      <c r="AU1144" s="2">
        <v>2018</v>
      </c>
      <c r="AV1144" s="2">
        <v>43</v>
      </c>
      <c r="AW1144" s="2">
        <v>3</v>
      </c>
      <c r="AX1144" s="2" t="s">
        <v>74</v>
      </c>
      <c r="AY1144" s="2" t="s">
        <v>74</v>
      </c>
      <c r="AZ1144" s="2" t="s">
        <v>74</v>
      </c>
      <c r="BA1144" s="2" t="s">
        <v>74</v>
      </c>
      <c r="BB1144" s="2">
        <v>568</v>
      </c>
      <c r="BC1144" s="2">
        <v>595</v>
      </c>
      <c r="BD1144" s="2" t="s">
        <v>74</v>
      </c>
      <c r="BE1144" s="2" t="s">
        <v>6881</v>
      </c>
      <c r="BF1144" s="2" t="str">
        <f>HYPERLINK("http://dx.doi.org/10.1111/syen.12287","http://dx.doi.org/10.1111/syen.12287")</f>
        <v>http://dx.doi.org/10.1111/syen.12287</v>
      </c>
      <c r="BG1144" s="2" t="s">
        <v>74</v>
      </c>
      <c r="BH1144" s="2" t="s">
        <v>74</v>
      </c>
      <c r="BI1144" s="2" t="s">
        <v>74</v>
      </c>
      <c r="BJ1144" s="2" t="s">
        <v>74</v>
      </c>
      <c r="BK1144" s="2" t="s">
        <v>74</v>
      </c>
      <c r="BL1144" s="2" t="s">
        <v>74</v>
      </c>
      <c r="BM1144" s="2" t="s">
        <v>74</v>
      </c>
      <c r="BN1144" s="2" t="s">
        <v>74</v>
      </c>
      <c r="BO1144" s="2" t="s">
        <v>74</v>
      </c>
      <c r="BP1144" s="2" t="s">
        <v>74</v>
      </c>
      <c r="BQ1144" s="2" t="s">
        <v>74</v>
      </c>
      <c r="BR1144" s="2" t="s">
        <v>74</v>
      </c>
      <c r="BS1144" s="2" t="s">
        <v>6882</v>
      </c>
      <c r="BT1144" s="2" t="str">
        <f>HYPERLINK("https%3A%2F%2Fwww.webofscience.com%2Fwos%2Fwoscc%2Ffull-record%2FWOS:000434280000009","View Full Record in Web of Science")</f>
        <v>View Full Record in Web of Science</v>
      </c>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row>
    <row r="1145" spans="1:314" s="2" customFormat="1" x14ac:dyDescent="0.4">
      <c r="A1145" s="2" t="s">
        <v>72</v>
      </c>
      <c r="B1145" s="2" t="s">
        <v>1181</v>
      </c>
      <c r="C1145" s="2" t="s">
        <v>74</v>
      </c>
      <c r="D1145" s="2" t="s">
        <v>74</v>
      </c>
      <c r="E1145" s="2" t="s">
        <v>74</v>
      </c>
      <c r="F1145" s="2" t="s">
        <v>1182</v>
      </c>
      <c r="G1145" s="2" t="s">
        <v>74</v>
      </c>
      <c r="H1145" s="2" t="s">
        <v>74</v>
      </c>
      <c r="I1145" s="2" t="s">
        <v>1183</v>
      </c>
      <c r="J1145" s="2" t="s">
        <v>229</v>
      </c>
      <c r="K1145" s="2" t="s">
        <v>74</v>
      </c>
      <c r="L1145" s="2" t="s">
        <v>74</v>
      </c>
      <c r="M1145" s="2" t="s">
        <v>74</v>
      </c>
      <c r="N1145" s="2" t="s">
        <v>74</v>
      </c>
      <c r="O1145" s="2" t="s">
        <v>74</v>
      </c>
      <c r="P1145" s="2" t="s">
        <v>74</v>
      </c>
      <c r="Q1145" s="2" t="s">
        <v>74</v>
      </c>
      <c r="R1145" s="2" t="s">
        <v>74</v>
      </c>
      <c r="S1145" s="2" t="s">
        <v>74</v>
      </c>
      <c r="T1145" s="2" t="s">
        <v>74</v>
      </c>
      <c r="U1145" s="2" t="s">
        <v>74</v>
      </c>
      <c r="V1145" s="5" t="s">
        <v>1184</v>
      </c>
      <c r="W1145" s="2" t="s">
        <v>74</v>
      </c>
      <c r="X1145" s="2" t="s">
        <v>74</v>
      </c>
      <c r="Y1145" s="2" t="s">
        <v>74</v>
      </c>
      <c r="Z1145" s="2" t="s">
        <v>74</v>
      </c>
      <c r="AA1145" s="2" t="s">
        <v>1185</v>
      </c>
      <c r="AB1145" s="2" t="s">
        <v>74</v>
      </c>
      <c r="AC1145" s="2" t="s">
        <v>74</v>
      </c>
      <c r="AD1145" s="2" t="s">
        <v>74</v>
      </c>
      <c r="AE1145" s="2" t="s">
        <v>74</v>
      </c>
      <c r="AF1145" s="2" t="s">
        <v>74</v>
      </c>
      <c r="AG1145" s="2" t="s">
        <v>74</v>
      </c>
      <c r="AH1145" s="2" t="s">
        <v>74</v>
      </c>
      <c r="AI1145" s="2" t="s">
        <v>74</v>
      </c>
      <c r="AJ1145" s="2" t="s">
        <v>74</v>
      </c>
      <c r="AK1145" s="2" t="s">
        <v>74</v>
      </c>
      <c r="AL1145" s="2" t="s">
        <v>74</v>
      </c>
      <c r="AM1145" s="2" t="s">
        <v>74</v>
      </c>
      <c r="AN1145" s="2" t="s">
        <v>74</v>
      </c>
      <c r="AO1145" s="2" t="s">
        <v>233</v>
      </c>
      <c r="AP1145" s="2" t="s">
        <v>234</v>
      </c>
      <c r="AQ1145" s="2" t="s">
        <v>74</v>
      </c>
      <c r="AR1145" s="2" t="s">
        <v>74</v>
      </c>
      <c r="AS1145" s="2" t="s">
        <v>74</v>
      </c>
      <c r="AT1145" s="2" t="s">
        <v>1075</v>
      </c>
      <c r="AU1145" s="2">
        <v>2014</v>
      </c>
      <c r="AV1145" s="2">
        <v>40</v>
      </c>
      <c r="AW1145" s="2">
        <v>6</v>
      </c>
      <c r="AX1145" s="2" t="s">
        <v>74</v>
      </c>
      <c r="AY1145" s="2" t="s">
        <v>74</v>
      </c>
      <c r="AZ1145" s="2" t="s">
        <v>74</v>
      </c>
      <c r="BA1145" s="2" t="s">
        <v>74</v>
      </c>
      <c r="BB1145" s="2">
        <v>537</v>
      </c>
      <c r="BC1145" s="2">
        <v>541</v>
      </c>
      <c r="BD1145" s="2" t="s">
        <v>74</v>
      </c>
      <c r="BE1145" s="2" t="s">
        <v>1186</v>
      </c>
      <c r="BF1145" s="2" t="str">
        <f>HYPERLINK("http://dx.doi.org/10.1002/ab.21551","http://dx.doi.org/10.1002/ab.21551")</f>
        <v>http://dx.doi.org/10.1002/ab.21551</v>
      </c>
      <c r="BG1145" s="2" t="s">
        <v>74</v>
      </c>
      <c r="BH1145" s="2" t="s">
        <v>74</v>
      </c>
      <c r="BI1145" s="2" t="s">
        <v>74</v>
      </c>
      <c r="BJ1145" s="2" t="s">
        <v>74</v>
      </c>
      <c r="BK1145" s="2" t="s">
        <v>74</v>
      </c>
      <c r="BL1145" s="2" t="s">
        <v>74</v>
      </c>
      <c r="BM1145" s="2" t="s">
        <v>74</v>
      </c>
      <c r="BN1145" s="2">
        <v>25043905</v>
      </c>
      <c r="BO1145" s="2" t="s">
        <v>74</v>
      </c>
      <c r="BP1145" s="2" t="s">
        <v>74</v>
      </c>
      <c r="BQ1145" s="2" t="s">
        <v>74</v>
      </c>
      <c r="BR1145" s="2" t="s">
        <v>74</v>
      </c>
      <c r="BS1145" s="2" t="s">
        <v>1187</v>
      </c>
      <c r="BT1145" s="2" t="str">
        <f>HYPERLINK("https%3A%2F%2Fwww.webofscience.com%2Fwos%2Fwoscc%2Ffull-record%2FWOS:000344002600005","View Full Record in Web of Science")</f>
        <v>View Full Record in Web of Science</v>
      </c>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row>
    <row r="1146" spans="1:314" s="2" customFormat="1" x14ac:dyDescent="0.4">
      <c r="A1146" s="2" t="s">
        <v>72</v>
      </c>
      <c r="B1146" s="2" t="s">
        <v>2435</v>
      </c>
      <c r="C1146" s="2" t="s">
        <v>74</v>
      </c>
      <c r="D1146" s="2" t="s">
        <v>74</v>
      </c>
      <c r="E1146" s="2" t="s">
        <v>74</v>
      </c>
      <c r="F1146" s="2" t="s">
        <v>2436</v>
      </c>
      <c r="G1146" s="2" t="s">
        <v>74</v>
      </c>
      <c r="H1146" s="2" t="s">
        <v>74</v>
      </c>
      <c r="I1146" s="2" t="s">
        <v>2437</v>
      </c>
      <c r="J1146" s="2" t="s">
        <v>2438</v>
      </c>
      <c r="K1146" s="2" t="s">
        <v>74</v>
      </c>
      <c r="L1146" s="2" t="s">
        <v>74</v>
      </c>
      <c r="M1146" s="2" t="s">
        <v>74</v>
      </c>
      <c r="N1146" s="2" t="s">
        <v>74</v>
      </c>
      <c r="O1146" s="2" t="s">
        <v>74</v>
      </c>
      <c r="P1146" s="2" t="s">
        <v>74</v>
      </c>
      <c r="Q1146" s="2" t="s">
        <v>74</v>
      </c>
      <c r="R1146" s="2" t="s">
        <v>74</v>
      </c>
      <c r="S1146" s="2" t="s">
        <v>74</v>
      </c>
      <c r="T1146" s="2" t="s">
        <v>74</v>
      </c>
      <c r="U1146" s="2" t="s">
        <v>74</v>
      </c>
      <c r="V1146" s="5" t="s">
        <v>2439</v>
      </c>
      <c r="W1146" s="2" t="s">
        <v>74</v>
      </c>
      <c r="X1146" s="2" t="s">
        <v>74</v>
      </c>
      <c r="Y1146" s="2" t="s">
        <v>74</v>
      </c>
      <c r="Z1146" s="2" t="s">
        <v>74</v>
      </c>
      <c r="AA1146" s="2" t="s">
        <v>2440</v>
      </c>
      <c r="AB1146" s="2" t="s">
        <v>2441</v>
      </c>
      <c r="AC1146" s="2" t="s">
        <v>74</v>
      </c>
      <c r="AD1146" s="2" t="s">
        <v>74</v>
      </c>
      <c r="AE1146" s="2" t="s">
        <v>74</v>
      </c>
      <c r="AF1146" s="2" t="s">
        <v>74</v>
      </c>
      <c r="AG1146" s="2" t="s">
        <v>74</v>
      </c>
      <c r="AH1146" s="2" t="s">
        <v>74</v>
      </c>
      <c r="AI1146" s="2" t="s">
        <v>74</v>
      </c>
      <c r="AJ1146" s="2" t="s">
        <v>74</v>
      </c>
      <c r="AK1146" s="2" t="s">
        <v>74</v>
      </c>
      <c r="AL1146" s="2" t="s">
        <v>74</v>
      </c>
      <c r="AM1146" s="2" t="s">
        <v>74</v>
      </c>
      <c r="AN1146" s="2" t="s">
        <v>74</v>
      </c>
      <c r="AO1146" s="2" t="s">
        <v>2442</v>
      </c>
      <c r="AP1146" s="2" t="s">
        <v>74</v>
      </c>
      <c r="AQ1146" s="2" t="s">
        <v>74</v>
      </c>
      <c r="AR1146" s="2" t="s">
        <v>74</v>
      </c>
      <c r="AS1146" s="2" t="s">
        <v>74</v>
      </c>
      <c r="AT1146" s="2" t="s">
        <v>2443</v>
      </c>
      <c r="AU1146" s="2">
        <v>2019</v>
      </c>
      <c r="AV1146" s="2">
        <v>8</v>
      </c>
      <c r="AW1146" s="2" t="s">
        <v>74</v>
      </c>
      <c r="AX1146" s="2" t="s">
        <v>74</v>
      </c>
      <c r="AY1146" s="2" t="s">
        <v>74</v>
      </c>
      <c r="AZ1146" s="2" t="s">
        <v>74</v>
      </c>
      <c r="BA1146" s="2" t="s">
        <v>74</v>
      </c>
      <c r="BB1146" s="2" t="s">
        <v>74</v>
      </c>
      <c r="BC1146" s="2" t="s">
        <v>74</v>
      </c>
      <c r="BD1146" s="2" t="s">
        <v>2444</v>
      </c>
      <c r="BE1146" s="2" t="s">
        <v>2445</v>
      </c>
      <c r="BF1146" s="2" t="str">
        <f>HYPERLINK("http://dx.doi.org/10.7554/eLife.41362","http://dx.doi.org/10.7554/eLife.41362")</f>
        <v>http://dx.doi.org/10.7554/eLife.41362</v>
      </c>
      <c r="BG1146" s="2" t="s">
        <v>74</v>
      </c>
      <c r="BH1146" s="2" t="s">
        <v>74</v>
      </c>
      <c r="BI1146" s="2" t="s">
        <v>74</v>
      </c>
      <c r="BJ1146" s="2" t="s">
        <v>74</v>
      </c>
      <c r="BK1146" s="2" t="s">
        <v>74</v>
      </c>
      <c r="BL1146" s="2" t="s">
        <v>74</v>
      </c>
      <c r="BM1146" s="2" t="s">
        <v>74</v>
      </c>
      <c r="BN1146" s="2">
        <v>30616714</v>
      </c>
      <c r="BO1146" s="2" t="s">
        <v>74</v>
      </c>
      <c r="BP1146" s="2" t="s">
        <v>74</v>
      </c>
      <c r="BQ1146" s="2" t="s">
        <v>74</v>
      </c>
      <c r="BR1146" s="2" t="s">
        <v>74</v>
      </c>
      <c r="BS1146" s="2" t="s">
        <v>2446</v>
      </c>
      <c r="BT1146" s="2" t="str">
        <f>HYPERLINK("https%3A%2F%2Fwww.webofscience.com%2Fwos%2Fwoscc%2Ffull-record%2FWOS:000455079700001","View Full Record in Web of Science")</f>
        <v>View Full Record in Web of Science</v>
      </c>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row>
    <row r="1147" spans="1:314" s="2" customFormat="1" x14ac:dyDescent="0.4">
      <c r="A1147" s="2" t="s">
        <v>72</v>
      </c>
      <c r="B1147" s="2" t="s">
        <v>2300</v>
      </c>
      <c r="C1147" s="2" t="s">
        <v>74</v>
      </c>
      <c r="D1147" s="2" t="s">
        <v>74</v>
      </c>
      <c r="E1147" s="2" t="s">
        <v>74</v>
      </c>
      <c r="F1147" s="2" t="s">
        <v>2301</v>
      </c>
      <c r="G1147" s="2" t="s">
        <v>74</v>
      </c>
      <c r="H1147" s="2" t="s">
        <v>74</v>
      </c>
      <c r="I1147" s="2" t="s">
        <v>2302</v>
      </c>
      <c r="J1147" s="2" t="s">
        <v>140</v>
      </c>
      <c r="K1147" s="2" t="s">
        <v>74</v>
      </c>
      <c r="L1147" s="2" t="s">
        <v>74</v>
      </c>
      <c r="M1147" s="2" t="s">
        <v>74</v>
      </c>
      <c r="N1147" s="2" t="s">
        <v>74</v>
      </c>
      <c r="O1147" s="2" t="s">
        <v>74</v>
      </c>
      <c r="P1147" s="2" t="s">
        <v>74</v>
      </c>
      <c r="Q1147" s="2" t="s">
        <v>74</v>
      </c>
      <c r="R1147" s="2" t="s">
        <v>74</v>
      </c>
      <c r="S1147" s="2" t="s">
        <v>74</v>
      </c>
      <c r="T1147" s="2" t="s">
        <v>74</v>
      </c>
      <c r="U1147" s="2" t="s">
        <v>74</v>
      </c>
      <c r="V1147" s="5" t="s">
        <v>2303</v>
      </c>
      <c r="W1147" s="2" t="s">
        <v>74</v>
      </c>
      <c r="X1147" s="2" t="s">
        <v>74</v>
      </c>
      <c r="Y1147" s="2" t="s">
        <v>74</v>
      </c>
      <c r="Z1147" s="2" t="s">
        <v>74</v>
      </c>
      <c r="AA1147" s="2" t="s">
        <v>74</v>
      </c>
      <c r="AB1147" s="2" t="s">
        <v>2304</v>
      </c>
      <c r="AC1147" s="2" t="s">
        <v>74</v>
      </c>
      <c r="AD1147" s="2" t="s">
        <v>74</v>
      </c>
      <c r="AE1147" s="2" t="s">
        <v>74</v>
      </c>
      <c r="AF1147" s="2" t="s">
        <v>74</v>
      </c>
      <c r="AG1147" s="2" t="s">
        <v>74</v>
      </c>
      <c r="AH1147" s="2" t="s">
        <v>74</v>
      </c>
      <c r="AI1147" s="2" t="s">
        <v>74</v>
      </c>
      <c r="AJ1147" s="2" t="s">
        <v>74</v>
      </c>
      <c r="AK1147" s="2" t="s">
        <v>74</v>
      </c>
      <c r="AL1147" s="2" t="s">
        <v>74</v>
      </c>
      <c r="AM1147" s="2" t="s">
        <v>74</v>
      </c>
      <c r="AN1147" s="2" t="s">
        <v>74</v>
      </c>
      <c r="AO1147" s="2" t="s">
        <v>143</v>
      </c>
      <c r="AP1147" s="2" t="s">
        <v>144</v>
      </c>
      <c r="AQ1147" s="2" t="s">
        <v>74</v>
      </c>
      <c r="AR1147" s="2" t="s">
        <v>74</v>
      </c>
      <c r="AS1147" s="2" t="s">
        <v>74</v>
      </c>
      <c r="AT1147" s="2" t="s">
        <v>964</v>
      </c>
      <c r="AU1147" s="2">
        <v>2009</v>
      </c>
      <c r="AV1147" s="2">
        <v>77</v>
      </c>
      <c r="AW1147" s="2">
        <v>2</v>
      </c>
      <c r="AX1147" s="2" t="s">
        <v>74</v>
      </c>
      <c r="AY1147" s="2" t="s">
        <v>74</v>
      </c>
      <c r="AZ1147" s="2" t="s">
        <v>74</v>
      </c>
      <c r="BA1147" s="2" t="s">
        <v>74</v>
      </c>
      <c r="BB1147" s="2">
        <v>531</v>
      </c>
      <c r="BC1147" s="2">
        <v>540</v>
      </c>
      <c r="BD1147" s="2" t="s">
        <v>74</v>
      </c>
      <c r="BE1147" s="2" t="s">
        <v>2305</v>
      </c>
      <c r="BF1147" s="2" t="str">
        <f>HYPERLINK("http://dx.doi.org/10.1016/j.anbehav.2008.11.013","http://dx.doi.org/10.1016/j.anbehav.2008.11.013")</f>
        <v>http://dx.doi.org/10.1016/j.anbehav.2008.11.013</v>
      </c>
      <c r="BG1147" s="2" t="s">
        <v>74</v>
      </c>
      <c r="BH1147" s="2" t="s">
        <v>74</v>
      </c>
      <c r="BI1147" s="2" t="s">
        <v>74</v>
      </c>
      <c r="BJ1147" s="2" t="s">
        <v>74</v>
      </c>
      <c r="BK1147" s="2" t="s">
        <v>74</v>
      </c>
      <c r="BL1147" s="2" t="s">
        <v>74</v>
      </c>
      <c r="BM1147" s="2" t="s">
        <v>74</v>
      </c>
      <c r="BN1147" s="2" t="s">
        <v>74</v>
      </c>
      <c r="BO1147" s="2" t="s">
        <v>74</v>
      </c>
      <c r="BP1147" s="2" t="s">
        <v>74</v>
      </c>
      <c r="BQ1147" s="2" t="s">
        <v>74</v>
      </c>
      <c r="BR1147" s="2" t="s">
        <v>74</v>
      </c>
      <c r="BS1147" s="2" t="s">
        <v>2306</v>
      </c>
      <c r="BT1147" s="2" t="str">
        <f>HYPERLINK("https%3A%2F%2Fwww.webofscience.com%2Fwos%2Fwoscc%2Ffull-record%2FWOS:000262709400033","View Full Record in Web of Science")</f>
        <v>View Full Record in Web of Science</v>
      </c>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row>
    <row r="1148" spans="1:314" s="2" customFormat="1" x14ac:dyDescent="0.4">
      <c r="A1148" s="2" t="s">
        <v>72</v>
      </c>
      <c r="B1148" s="2" t="s">
        <v>3282</v>
      </c>
      <c r="C1148" s="2" t="s">
        <v>74</v>
      </c>
      <c r="D1148" s="2" t="s">
        <v>74</v>
      </c>
      <c r="E1148" s="2" t="s">
        <v>74</v>
      </c>
      <c r="F1148" s="2" t="s">
        <v>3283</v>
      </c>
      <c r="G1148" s="2" t="s">
        <v>74</v>
      </c>
      <c r="H1148" s="2" t="s">
        <v>74</v>
      </c>
      <c r="I1148" s="2" t="s">
        <v>3284</v>
      </c>
      <c r="J1148" s="2" t="s">
        <v>1526</v>
      </c>
      <c r="K1148" s="2" t="s">
        <v>74</v>
      </c>
      <c r="L1148" s="2" t="s">
        <v>74</v>
      </c>
      <c r="M1148" s="2" t="s">
        <v>74</v>
      </c>
      <c r="N1148" s="2" t="s">
        <v>74</v>
      </c>
      <c r="O1148" s="2" t="s">
        <v>74</v>
      </c>
      <c r="P1148" s="2" t="s">
        <v>74</v>
      </c>
      <c r="Q1148" s="2" t="s">
        <v>74</v>
      </c>
      <c r="R1148" s="2" t="s">
        <v>74</v>
      </c>
      <c r="S1148" s="2" t="s">
        <v>74</v>
      </c>
      <c r="T1148" s="2" t="s">
        <v>74</v>
      </c>
      <c r="U1148" s="2" t="s">
        <v>74</v>
      </c>
      <c r="V1148" s="5" t="s">
        <v>3285</v>
      </c>
      <c r="W1148" s="2" t="s">
        <v>74</v>
      </c>
      <c r="X1148" s="2" t="s">
        <v>74</v>
      </c>
      <c r="Y1148" s="2" t="s">
        <v>74</v>
      </c>
      <c r="Z1148" s="2" t="s">
        <v>74</v>
      </c>
      <c r="AA1148" s="2" t="s">
        <v>74</v>
      </c>
      <c r="AB1148" s="2" t="s">
        <v>2304</v>
      </c>
      <c r="AC1148" s="2" t="s">
        <v>74</v>
      </c>
      <c r="AD1148" s="2" t="s">
        <v>74</v>
      </c>
      <c r="AE1148" s="2" t="s">
        <v>74</v>
      </c>
      <c r="AF1148" s="2" t="s">
        <v>74</v>
      </c>
      <c r="AG1148" s="2" t="s">
        <v>74</v>
      </c>
      <c r="AH1148" s="2" t="s">
        <v>74</v>
      </c>
      <c r="AI1148" s="2" t="s">
        <v>74</v>
      </c>
      <c r="AJ1148" s="2" t="s">
        <v>74</v>
      </c>
      <c r="AK1148" s="2" t="s">
        <v>74</v>
      </c>
      <c r="AL1148" s="2" t="s">
        <v>74</v>
      </c>
      <c r="AM1148" s="2" t="s">
        <v>74</v>
      </c>
      <c r="AN1148" s="2" t="s">
        <v>74</v>
      </c>
      <c r="AO1148" s="2" t="s">
        <v>1528</v>
      </c>
      <c r="AP1148" s="2" t="s">
        <v>2131</v>
      </c>
      <c r="AQ1148" s="2" t="s">
        <v>74</v>
      </c>
      <c r="AR1148" s="2" t="s">
        <v>74</v>
      </c>
      <c r="AS1148" s="2" t="s">
        <v>74</v>
      </c>
      <c r="AT1148" s="2" t="s">
        <v>213</v>
      </c>
      <c r="AU1148" s="2">
        <v>2009</v>
      </c>
      <c r="AV1148" s="2">
        <v>111</v>
      </c>
      <c r="AW1148" s="2">
        <v>4</v>
      </c>
      <c r="AX1148" s="2" t="s">
        <v>74</v>
      </c>
      <c r="AY1148" s="2" t="s">
        <v>74</v>
      </c>
      <c r="AZ1148" s="2" t="s">
        <v>74</v>
      </c>
      <c r="BA1148" s="2" t="s">
        <v>74</v>
      </c>
      <c r="BB1148" s="2">
        <v>740</v>
      </c>
      <c r="BC1148" s="2">
        <v>751</v>
      </c>
      <c r="BD1148" s="2" t="s">
        <v>74</v>
      </c>
      <c r="BE1148" s="2" t="s">
        <v>3286</v>
      </c>
      <c r="BF1148" s="2" t="str">
        <f>HYPERLINK("http://dx.doi.org/10.1525/cond.2009.090058","http://dx.doi.org/10.1525/cond.2009.090058")</f>
        <v>http://dx.doi.org/10.1525/cond.2009.090058</v>
      </c>
      <c r="BG1148" s="2" t="s">
        <v>74</v>
      </c>
      <c r="BH1148" s="2" t="s">
        <v>74</v>
      </c>
      <c r="BI1148" s="2" t="s">
        <v>74</v>
      </c>
      <c r="BJ1148" s="2" t="s">
        <v>74</v>
      </c>
      <c r="BK1148" s="2" t="s">
        <v>74</v>
      </c>
      <c r="BL1148" s="2" t="s">
        <v>74</v>
      </c>
      <c r="BM1148" s="2" t="s">
        <v>74</v>
      </c>
      <c r="BN1148" s="2" t="s">
        <v>74</v>
      </c>
      <c r="BO1148" s="2" t="s">
        <v>74</v>
      </c>
      <c r="BP1148" s="2" t="s">
        <v>74</v>
      </c>
      <c r="BQ1148" s="2" t="s">
        <v>74</v>
      </c>
      <c r="BR1148" s="2" t="s">
        <v>74</v>
      </c>
      <c r="BS1148" s="2" t="s">
        <v>3287</v>
      </c>
      <c r="BT1148" s="2" t="str">
        <f>HYPERLINK("https%3A%2F%2Fwww.webofscience.com%2Fwos%2Fwoscc%2Ffull-record%2FWOS:000272325600018","View Full Record in Web of Science")</f>
        <v>View Full Record in Web of Science</v>
      </c>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row>
    <row r="1149" spans="1:314" s="2" customFormat="1" x14ac:dyDescent="0.4">
      <c r="A1149" s="2" t="s">
        <v>72</v>
      </c>
      <c r="B1149" s="2" t="s">
        <v>4892</v>
      </c>
      <c r="C1149" s="2" t="s">
        <v>74</v>
      </c>
      <c r="D1149" s="2" t="s">
        <v>74</v>
      </c>
      <c r="E1149" s="2" t="s">
        <v>74</v>
      </c>
      <c r="F1149" s="2" t="s">
        <v>4893</v>
      </c>
      <c r="G1149" s="2" t="s">
        <v>74</v>
      </c>
      <c r="H1149" s="2" t="s">
        <v>74</v>
      </c>
      <c r="I1149" s="2" t="s">
        <v>4894</v>
      </c>
      <c r="J1149" s="2" t="s">
        <v>4895</v>
      </c>
      <c r="K1149" s="2" t="s">
        <v>74</v>
      </c>
      <c r="L1149" s="2" t="s">
        <v>74</v>
      </c>
      <c r="M1149" s="2" t="s">
        <v>74</v>
      </c>
      <c r="N1149" s="2" t="s">
        <v>74</v>
      </c>
      <c r="O1149" s="2" t="s">
        <v>74</v>
      </c>
      <c r="P1149" s="2" t="s">
        <v>74</v>
      </c>
      <c r="Q1149" s="2" t="s">
        <v>74</v>
      </c>
      <c r="R1149" s="2" t="s">
        <v>74</v>
      </c>
      <c r="S1149" s="2" t="s">
        <v>74</v>
      </c>
      <c r="T1149" s="2" t="s">
        <v>74</v>
      </c>
      <c r="U1149" s="2" t="s">
        <v>74</v>
      </c>
      <c r="V1149" s="5" t="s">
        <v>4896</v>
      </c>
      <c r="W1149" s="2" t="s">
        <v>74</v>
      </c>
      <c r="X1149" s="2" t="s">
        <v>74</v>
      </c>
      <c r="Y1149" s="2" t="s">
        <v>74</v>
      </c>
      <c r="Z1149" s="2" t="s">
        <v>74</v>
      </c>
      <c r="AA1149" s="2" t="s">
        <v>4897</v>
      </c>
      <c r="AB1149" s="2" t="s">
        <v>4898</v>
      </c>
      <c r="AC1149" s="2" t="s">
        <v>74</v>
      </c>
      <c r="AD1149" s="2" t="s">
        <v>74</v>
      </c>
      <c r="AE1149" s="2" t="s">
        <v>74</v>
      </c>
      <c r="AF1149" s="2" t="s">
        <v>74</v>
      </c>
      <c r="AG1149" s="2" t="s">
        <v>74</v>
      </c>
      <c r="AH1149" s="2" t="s">
        <v>74</v>
      </c>
      <c r="AI1149" s="2" t="s">
        <v>74</v>
      </c>
      <c r="AJ1149" s="2" t="s">
        <v>74</v>
      </c>
      <c r="AK1149" s="2" t="s">
        <v>74</v>
      </c>
      <c r="AL1149" s="2" t="s">
        <v>74</v>
      </c>
      <c r="AM1149" s="2" t="s">
        <v>74</v>
      </c>
      <c r="AN1149" s="2" t="s">
        <v>74</v>
      </c>
      <c r="AO1149" s="2" t="s">
        <v>4899</v>
      </c>
      <c r="AP1149" s="2" t="s">
        <v>4900</v>
      </c>
      <c r="AQ1149" s="2" t="s">
        <v>74</v>
      </c>
      <c r="AR1149" s="2" t="s">
        <v>74</v>
      </c>
      <c r="AS1149" s="2" t="s">
        <v>74</v>
      </c>
      <c r="AT1149" s="2" t="s">
        <v>213</v>
      </c>
      <c r="AU1149" s="2">
        <v>2018</v>
      </c>
      <c r="AV1149" s="2">
        <v>304</v>
      </c>
      <c r="AW1149" s="2">
        <v>9</v>
      </c>
      <c r="AX1149" s="2" t="s">
        <v>74</v>
      </c>
      <c r="AY1149" s="2" t="s">
        <v>74</v>
      </c>
      <c r="AZ1149" s="2" t="s">
        <v>74</v>
      </c>
      <c r="BA1149" s="2" t="s">
        <v>74</v>
      </c>
      <c r="BB1149" s="2">
        <v>1165</v>
      </c>
      <c r="BC1149" s="2">
        <v>1180</v>
      </c>
      <c r="BD1149" s="2" t="s">
        <v>74</v>
      </c>
      <c r="BE1149" s="2" t="s">
        <v>4901</v>
      </c>
      <c r="BF1149" s="2" t="str">
        <f>HYPERLINK("http://dx.doi.org/10.1007/s00606-018-1539-7","http://dx.doi.org/10.1007/s00606-018-1539-7")</f>
        <v>http://dx.doi.org/10.1007/s00606-018-1539-7</v>
      </c>
      <c r="BG1149" s="2" t="s">
        <v>74</v>
      </c>
      <c r="BH1149" s="2" t="s">
        <v>74</v>
      </c>
      <c r="BI1149" s="2" t="s">
        <v>74</v>
      </c>
      <c r="BJ1149" s="2" t="s">
        <v>74</v>
      </c>
      <c r="BK1149" s="2" t="s">
        <v>74</v>
      </c>
      <c r="BL1149" s="2" t="s">
        <v>74</v>
      </c>
      <c r="BM1149" s="2" t="s">
        <v>74</v>
      </c>
      <c r="BN1149" s="2" t="s">
        <v>74</v>
      </c>
      <c r="BO1149" s="2" t="s">
        <v>74</v>
      </c>
      <c r="BP1149" s="2" t="s">
        <v>74</v>
      </c>
      <c r="BQ1149" s="2" t="s">
        <v>74</v>
      </c>
      <c r="BR1149" s="2" t="s">
        <v>74</v>
      </c>
      <c r="BS1149" s="2" t="s">
        <v>4902</v>
      </c>
      <c r="BT1149" s="2" t="str">
        <f>HYPERLINK("https%3A%2F%2Fwww.webofscience.com%2Fwos%2Fwoscc%2Ffull-record%2FWOS:000447531400008","View Full Record in Web of Science")</f>
        <v>View Full Record in Web of Science</v>
      </c>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row>
    <row r="1150" spans="1:314" s="1" customFormat="1" x14ac:dyDescent="0.4">
      <c r="A1150" s="2" t="s">
        <v>72</v>
      </c>
      <c r="B1150" s="2" t="s">
        <v>4878</v>
      </c>
      <c r="C1150" s="2" t="s">
        <v>74</v>
      </c>
      <c r="D1150" s="2" t="s">
        <v>74</v>
      </c>
      <c r="E1150" s="2" t="s">
        <v>74</v>
      </c>
      <c r="F1150" s="2" t="s">
        <v>4879</v>
      </c>
      <c r="G1150" s="2" t="s">
        <v>74</v>
      </c>
      <c r="H1150" s="2" t="s">
        <v>74</v>
      </c>
      <c r="I1150" s="2" t="s">
        <v>4880</v>
      </c>
      <c r="J1150" s="2" t="s">
        <v>2017</v>
      </c>
      <c r="K1150" s="2" t="s">
        <v>74</v>
      </c>
      <c r="L1150" s="2" t="s">
        <v>74</v>
      </c>
      <c r="M1150" s="2" t="s">
        <v>74</v>
      </c>
      <c r="N1150" s="2" t="s">
        <v>74</v>
      </c>
      <c r="O1150" s="2" t="s">
        <v>74</v>
      </c>
      <c r="P1150" s="2" t="s">
        <v>74</v>
      </c>
      <c r="Q1150" s="2" t="s">
        <v>74</v>
      </c>
      <c r="R1150" s="2" t="s">
        <v>74</v>
      </c>
      <c r="S1150" s="2" t="s">
        <v>74</v>
      </c>
      <c r="T1150" s="2" t="s">
        <v>74</v>
      </c>
      <c r="U1150" s="2" t="s">
        <v>74</v>
      </c>
      <c r="V1150" s="5" t="s">
        <v>4881</v>
      </c>
      <c r="W1150" s="2" t="s">
        <v>74</v>
      </c>
      <c r="X1150" s="2" t="s">
        <v>74</v>
      </c>
      <c r="Y1150" s="2" t="s">
        <v>74</v>
      </c>
      <c r="Z1150" s="2" t="s">
        <v>74</v>
      </c>
      <c r="AA1150" s="2" t="s">
        <v>4882</v>
      </c>
      <c r="AB1150" s="2" t="s">
        <v>4883</v>
      </c>
      <c r="AC1150" s="2" t="s">
        <v>74</v>
      </c>
      <c r="AD1150" s="2" t="s">
        <v>74</v>
      </c>
      <c r="AE1150" s="2" t="s">
        <v>74</v>
      </c>
      <c r="AF1150" s="2" t="s">
        <v>74</v>
      </c>
      <c r="AG1150" s="2" t="s">
        <v>74</v>
      </c>
      <c r="AH1150" s="2" t="s">
        <v>74</v>
      </c>
      <c r="AI1150" s="2" t="s">
        <v>74</v>
      </c>
      <c r="AJ1150" s="2" t="s">
        <v>74</v>
      </c>
      <c r="AK1150" s="2" t="s">
        <v>74</v>
      </c>
      <c r="AL1150" s="2" t="s">
        <v>74</v>
      </c>
      <c r="AM1150" s="2" t="s">
        <v>74</v>
      </c>
      <c r="AN1150" s="2" t="s">
        <v>74</v>
      </c>
      <c r="AO1150" s="2" t="s">
        <v>2021</v>
      </c>
      <c r="AP1150" s="2" t="s">
        <v>74</v>
      </c>
      <c r="AQ1150" s="2" t="s">
        <v>74</v>
      </c>
      <c r="AR1150" s="2" t="s">
        <v>74</v>
      </c>
      <c r="AS1150" s="2" t="s">
        <v>74</v>
      </c>
      <c r="AT1150" s="2" t="s">
        <v>3833</v>
      </c>
      <c r="AU1150" s="2">
        <v>2022</v>
      </c>
      <c r="AV1150" s="2">
        <v>10</v>
      </c>
      <c r="AW1150" s="2" t="s">
        <v>74</v>
      </c>
      <c r="AX1150" s="2" t="s">
        <v>74</v>
      </c>
      <c r="AY1150" s="2" t="s">
        <v>74</v>
      </c>
      <c r="AZ1150" s="2" t="s">
        <v>74</v>
      </c>
      <c r="BA1150" s="2" t="s">
        <v>74</v>
      </c>
      <c r="BB1150" s="2" t="s">
        <v>74</v>
      </c>
      <c r="BC1150" s="2" t="s">
        <v>74</v>
      </c>
      <c r="BD1150" s="2">
        <v>803996</v>
      </c>
      <c r="BE1150" s="2" t="s">
        <v>4884</v>
      </c>
      <c r="BF1150" s="2" t="str">
        <f>HYPERLINK("http://dx.doi.org/10.3389/fevo.2022.803996","http://dx.doi.org/10.3389/fevo.2022.803996")</f>
        <v>http://dx.doi.org/10.3389/fevo.2022.803996</v>
      </c>
      <c r="BG1150" s="2" t="s">
        <v>74</v>
      </c>
      <c r="BH1150" s="2" t="s">
        <v>74</v>
      </c>
      <c r="BI1150" s="2" t="s">
        <v>74</v>
      </c>
      <c r="BJ1150" s="2" t="s">
        <v>74</v>
      </c>
      <c r="BK1150" s="2" t="s">
        <v>74</v>
      </c>
      <c r="BL1150" s="2" t="s">
        <v>74</v>
      </c>
      <c r="BM1150" s="2" t="s">
        <v>74</v>
      </c>
      <c r="BN1150" s="2" t="s">
        <v>74</v>
      </c>
      <c r="BO1150" s="2" t="s">
        <v>74</v>
      </c>
      <c r="BP1150" s="2" t="s">
        <v>74</v>
      </c>
      <c r="BQ1150" s="2" t="s">
        <v>74</v>
      </c>
      <c r="BR1150" s="2" t="s">
        <v>74</v>
      </c>
      <c r="BS1150" s="2" t="s">
        <v>4885</v>
      </c>
      <c r="BT1150" s="2" t="str">
        <f>HYPERLINK("https%3A%2F%2Fwww.webofscience.com%2Fwos%2Fwoscc%2Ffull-record%2FWOS:000775231200001","View Full Record in Web of Science")</f>
        <v>View Full Record in Web of Science</v>
      </c>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row>
    <row r="1151" spans="1:314" s="1" customFormat="1" x14ac:dyDescent="0.4">
      <c r="A1151" s="2" t="s">
        <v>72</v>
      </c>
      <c r="B1151" s="2" t="s">
        <v>2049</v>
      </c>
      <c r="C1151" s="2" t="s">
        <v>74</v>
      </c>
      <c r="D1151" s="2" t="s">
        <v>74</v>
      </c>
      <c r="E1151" s="2" t="s">
        <v>74</v>
      </c>
      <c r="F1151" s="2" t="s">
        <v>2049</v>
      </c>
      <c r="G1151" s="2" t="s">
        <v>74</v>
      </c>
      <c r="H1151" s="2" t="s">
        <v>74</v>
      </c>
      <c r="I1151" s="2" t="s">
        <v>2050</v>
      </c>
      <c r="J1151" s="2" t="s">
        <v>1549</v>
      </c>
      <c r="K1151" s="2" t="s">
        <v>74</v>
      </c>
      <c r="L1151" s="2" t="s">
        <v>74</v>
      </c>
      <c r="M1151" s="2" t="s">
        <v>74</v>
      </c>
      <c r="N1151" s="2" t="s">
        <v>74</v>
      </c>
      <c r="O1151" s="2" t="s">
        <v>74</v>
      </c>
      <c r="P1151" s="2" t="s">
        <v>74</v>
      </c>
      <c r="Q1151" s="2" t="s">
        <v>74</v>
      </c>
      <c r="R1151" s="2" t="s">
        <v>74</v>
      </c>
      <c r="S1151" s="2" t="s">
        <v>74</v>
      </c>
      <c r="T1151" s="2" t="s">
        <v>74</v>
      </c>
      <c r="U1151" s="2" t="s">
        <v>74</v>
      </c>
      <c r="V1151" s="5" t="s">
        <v>2051</v>
      </c>
      <c r="W1151" s="2" t="s">
        <v>74</v>
      </c>
      <c r="X1151" s="2" t="s">
        <v>74</v>
      </c>
      <c r="Y1151" s="2" t="s">
        <v>74</v>
      </c>
      <c r="Z1151" s="2" t="s">
        <v>74</v>
      </c>
      <c r="AA1151" s="2" t="s">
        <v>74</v>
      </c>
      <c r="AB1151" s="2" t="s">
        <v>74</v>
      </c>
      <c r="AC1151" s="2" t="s">
        <v>74</v>
      </c>
      <c r="AD1151" s="2" t="s">
        <v>74</v>
      </c>
      <c r="AE1151" s="2" t="s">
        <v>74</v>
      </c>
      <c r="AF1151" s="2" t="s">
        <v>74</v>
      </c>
      <c r="AG1151" s="2" t="s">
        <v>74</v>
      </c>
      <c r="AH1151" s="2" t="s">
        <v>74</v>
      </c>
      <c r="AI1151" s="2" t="s">
        <v>74</v>
      </c>
      <c r="AJ1151" s="2" t="s">
        <v>74</v>
      </c>
      <c r="AK1151" s="2" t="s">
        <v>74</v>
      </c>
      <c r="AL1151" s="2" t="s">
        <v>74</v>
      </c>
      <c r="AM1151" s="2" t="s">
        <v>74</v>
      </c>
      <c r="AN1151" s="2" t="s">
        <v>74</v>
      </c>
      <c r="AO1151" s="2" t="s">
        <v>1551</v>
      </c>
      <c r="AP1151" s="2" t="s">
        <v>74</v>
      </c>
      <c r="AQ1151" s="2" t="s">
        <v>74</v>
      </c>
      <c r="AR1151" s="2" t="s">
        <v>74</v>
      </c>
      <c r="AS1151" s="2" t="s">
        <v>74</v>
      </c>
      <c r="AT1151" s="2" t="s">
        <v>102</v>
      </c>
      <c r="AU1151" s="2">
        <v>2000</v>
      </c>
      <c r="AV1151" s="2">
        <v>25</v>
      </c>
      <c r="AW1151" s="2">
        <v>2</v>
      </c>
      <c r="AX1151" s="2" t="s">
        <v>74</v>
      </c>
      <c r="AY1151" s="2" t="s">
        <v>74</v>
      </c>
      <c r="AZ1151" s="2" t="s">
        <v>74</v>
      </c>
      <c r="BA1151" s="2" t="s">
        <v>74</v>
      </c>
      <c r="BB1151" s="2">
        <v>127</v>
      </c>
      <c r="BC1151" s="2">
        <v>132</v>
      </c>
      <c r="BD1151" s="2" t="s">
        <v>74</v>
      </c>
      <c r="BE1151" s="2" t="s">
        <v>2052</v>
      </c>
      <c r="BF1151" s="2" t="str">
        <f>HYPERLINK("http://dx.doi.org/10.1046/j.1365-3032.2000.00174.x","http://dx.doi.org/10.1046/j.1365-3032.2000.00174.x")</f>
        <v>http://dx.doi.org/10.1046/j.1365-3032.2000.00174.x</v>
      </c>
      <c r="BG1151" s="2" t="s">
        <v>74</v>
      </c>
      <c r="BH1151" s="2" t="s">
        <v>74</v>
      </c>
      <c r="BI1151" s="2" t="s">
        <v>74</v>
      </c>
      <c r="BJ1151" s="2" t="s">
        <v>74</v>
      </c>
      <c r="BK1151" s="2" t="s">
        <v>74</v>
      </c>
      <c r="BL1151" s="2" t="s">
        <v>74</v>
      </c>
      <c r="BM1151" s="2" t="s">
        <v>74</v>
      </c>
      <c r="BN1151" s="2" t="s">
        <v>74</v>
      </c>
      <c r="BO1151" s="2" t="s">
        <v>74</v>
      </c>
      <c r="BP1151" s="2" t="s">
        <v>74</v>
      </c>
      <c r="BQ1151" s="2" t="s">
        <v>74</v>
      </c>
      <c r="BR1151" s="2" t="s">
        <v>74</v>
      </c>
      <c r="BS1151" s="2" t="s">
        <v>2053</v>
      </c>
      <c r="BT1151" s="2" t="str">
        <f>HYPERLINK("https%3A%2F%2Fwww.webofscience.com%2Fwos%2Fwoscc%2Ffull-record%2FWOS:000087985900004","View Full Record in Web of Science")</f>
        <v>View Full Record in Web of Science</v>
      </c>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row>
    <row r="1152" spans="1:314" s="1" customFormat="1" x14ac:dyDescent="0.4">
      <c r="A1152" s="2" t="s">
        <v>72</v>
      </c>
      <c r="B1152" s="2" t="s">
        <v>1547</v>
      </c>
      <c r="C1152" s="2" t="s">
        <v>74</v>
      </c>
      <c r="D1152" s="2" t="s">
        <v>74</v>
      </c>
      <c r="E1152" s="2" t="s">
        <v>74</v>
      </c>
      <c r="F1152" s="2" t="s">
        <v>1547</v>
      </c>
      <c r="G1152" s="2" t="s">
        <v>74</v>
      </c>
      <c r="H1152" s="2" t="s">
        <v>74</v>
      </c>
      <c r="I1152" s="2" t="s">
        <v>1548</v>
      </c>
      <c r="J1152" s="2" t="s">
        <v>1549</v>
      </c>
      <c r="K1152" s="2" t="s">
        <v>74</v>
      </c>
      <c r="L1152" s="2" t="s">
        <v>74</v>
      </c>
      <c r="M1152" s="2" t="s">
        <v>74</v>
      </c>
      <c r="N1152" s="2" t="s">
        <v>74</v>
      </c>
      <c r="O1152" s="2" t="s">
        <v>74</v>
      </c>
      <c r="P1152" s="2" t="s">
        <v>74</v>
      </c>
      <c r="Q1152" s="2" t="s">
        <v>74</v>
      </c>
      <c r="R1152" s="2" t="s">
        <v>74</v>
      </c>
      <c r="S1152" s="2" t="s">
        <v>74</v>
      </c>
      <c r="T1152" s="2" t="s">
        <v>74</v>
      </c>
      <c r="U1152" s="2" t="s">
        <v>74</v>
      </c>
      <c r="V1152" s="5" t="s">
        <v>1550</v>
      </c>
      <c r="W1152" s="2" t="s">
        <v>74</v>
      </c>
      <c r="X1152" s="2" t="s">
        <v>74</v>
      </c>
      <c r="Y1152" s="2" t="s">
        <v>74</v>
      </c>
      <c r="Z1152" s="2" t="s">
        <v>74</v>
      </c>
      <c r="AA1152" s="2" t="s">
        <v>74</v>
      </c>
      <c r="AB1152" s="2" t="s">
        <v>74</v>
      </c>
      <c r="AC1152" s="2" t="s">
        <v>74</v>
      </c>
      <c r="AD1152" s="2" t="s">
        <v>74</v>
      </c>
      <c r="AE1152" s="2" t="s">
        <v>74</v>
      </c>
      <c r="AF1152" s="2" t="s">
        <v>74</v>
      </c>
      <c r="AG1152" s="2" t="s">
        <v>74</v>
      </c>
      <c r="AH1152" s="2" t="s">
        <v>74</v>
      </c>
      <c r="AI1152" s="2" t="s">
        <v>74</v>
      </c>
      <c r="AJ1152" s="2" t="s">
        <v>74</v>
      </c>
      <c r="AK1152" s="2" t="s">
        <v>74</v>
      </c>
      <c r="AL1152" s="2" t="s">
        <v>74</v>
      </c>
      <c r="AM1152" s="2" t="s">
        <v>74</v>
      </c>
      <c r="AN1152" s="2" t="s">
        <v>74</v>
      </c>
      <c r="AO1152" s="2" t="s">
        <v>1551</v>
      </c>
      <c r="AP1152" s="2" t="s">
        <v>74</v>
      </c>
      <c r="AQ1152" s="2" t="s">
        <v>74</v>
      </c>
      <c r="AR1152" s="2" t="s">
        <v>74</v>
      </c>
      <c r="AS1152" s="2" t="s">
        <v>74</v>
      </c>
      <c r="AT1152" s="2" t="s">
        <v>102</v>
      </c>
      <c r="AU1152" s="2">
        <v>2002</v>
      </c>
      <c r="AV1152" s="2">
        <v>27</v>
      </c>
      <c r="AW1152" s="2">
        <v>2</v>
      </c>
      <c r="AX1152" s="2" t="s">
        <v>74</v>
      </c>
      <c r="AY1152" s="2" t="s">
        <v>74</v>
      </c>
      <c r="AZ1152" s="2" t="s">
        <v>74</v>
      </c>
      <c r="BA1152" s="2" t="s">
        <v>74</v>
      </c>
      <c r="BB1152" s="2">
        <v>165</v>
      </c>
      <c r="BC1152" s="2">
        <v>169</v>
      </c>
      <c r="BD1152" s="2" t="s">
        <v>74</v>
      </c>
      <c r="BE1152" s="2" t="s">
        <v>1552</v>
      </c>
      <c r="BF1152" s="2" t="str">
        <f>HYPERLINK("http://dx.doi.org/10.1046/j.1365-3032.2002.00283.x","http://dx.doi.org/10.1046/j.1365-3032.2002.00283.x")</f>
        <v>http://dx.doi.org/10.1046/j.1365-3032.2002.00283.x</v>
      </c>
      <c r="BG1152" s="2" t="s">
        <v>74</v>
      </c>
      <c r="BH1152" s="2" t="s">
        <v>74</v>
      </c>
      <c r="BI1152" s="2" t="s">
        <v>74</v>
      </c>
      <c r="BJ1152" s="2" t="s">
        <v>74</v>
      </c>
      <c r="BK1152" s="2" t="s">
        <v>74</v>
      </c>
      <c r="BL1152" s="2" t="s">
        <v>74</v>
      </c>
      <c r="BM1152" s="2" t="s">
        <v>74</v>
      </c>
      <c r="BN1152" s="2" t="s">
        <v>74</v>
      </c>
      <c r="BO1152" s="2" t="s">
        <v>74</v>
      </c>
      <c r="BP1152" s="2" t="s">
        <v>74</v>
      </c>
      <c r="BQ1152" s="2" t="s">
        <v>74</v>
      </c>
      <c r="BR1152" s="2" t="s">
        <v>74</v>
      </c>
      <c r="BS1152" s="2" t="s">
        <v>1553</v>
      </c>
      <c r="BT1152" s="2" t="str">
        <f>HYPERLINK("https%3A%2F%2Fwww.webofscience.com%2Fwos%2Fwoscc%2Ffull-record%2FWOS:000175861800011","View Full Record in Web of Science")</f>
        <v>View Full Record in Web of Science</v>
      </c>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row>
    <row r="1153" spans="1:314" s="2" customFormat="1" x14ac:dyDescent="0.4">
      <c r="A1153" s="2" t="s">
        <v>72</v>
      </c>
      <c r="B1153" s="2" t="s">
        <v>871</v>
      </c>
      <c r="C1153" s="2" t="s">
        <v>74</v>
      </c>
      <c r="D1153" s="2" t="s">
        <v>74</v>
      </c>
      <c r="E1153" s="2" t="s">
        <v>74</v>
      </c>
      <c r="F1153" s="2" t="s">
        <v>872</v>
      </c>
      <c r="G1153" s="2" t="s">
        <v>74</v>
      </c>
      <c r="H1153" s="2" t="s">
        <v>74</v>
      </c>
      <c r="I1153" s="2" t="s">
        <v>873</v>
      </c>
      <c r="J1153" s="2" t="s">
        <v>509</v>
      </c>
      <c r="K1153" s="2" t="s">
        <v>74</v>
      </c>
      <c r="L1153" s="2" t="s">
        <v>74</v>
      </c>
      <c r="M1153" s="2" t="s">
        <v>74</v>
      </c>
      <c r="N1153" s="2" t="s">
        <v>74</v>
      </c>
      <c r="O1153" s="2" t="s">
        <v>74</v>
      </c>
      <c r="P1153" s="2" t="s">
        <v>74</v>
      </c>
      <c r="Q1153" s="2" t="s">
        <v>74</v>
      </c>
      <c r="R1153" s="2" t="s">
        <v>74</v>
      </c>
      <c r="S1153" s="2" t="s">
        <v>74</v>
      </c>
      <c r="T1153" s="2" t="s">
        <v>74</v>
      </c>
      <c r="U1153" s="2" t="s">
        <v>74</v>
      </c>
      <c r="V1153" s="5" t="s">
        <v>874</v>
      </c>
      <c r="W1153" s="2" t="s">
        <v>74</v>
      </c>
      <c r="X1153" s="2" t="s">
        <v>74</v>
      </c>
      <c r="Y1153" s="2" t="s">
        <v>74</v>
      </c>
      <c r="Z1153" s="2" t="s">
        <v>74</v>
      </c>
      <c r="AA1153" s="2" t="s">
        <v>875</v>
      </c>
      <c r="AB1153" s="2" t="s">
        <v>876</v>
      </c>
      <c r="AC1153" s="2" t="s">
        <v>74</v>
      </c>
      <c r="AD1153" s="2" t="s">
        <v>74</v>
      </c>
      <c r="AE1153" s="2" t="s">
        <v>74</v>
      </c>
      <c r="AF1153" s="2" t="s">
        <v>74</v>
      </c>
      <c r="AG1153" s="2" t="s">
        <v>74</v>
      </c>
      <c r="AH1153" s="2" t="s">
        <v>74</v>
      </c>
      <c r="AI1153" s="2" t="s">
        <v>74</v>
      </c>
      <c r="AJ1153" s="2" t="s">
        <v>74</v>
      </c>
      <c r="AK1153" s="2" t="s">
        <v>74</v>
      </c>
      <c r="AL1153" s="2" t="s">
        <v>74</v>
      </c>
      <c r="AM1153" s="2" t="s">
        <v>74</v>
      </c>
      <c r="AN1153" s="2" t="s">
        <v>74</v>
      </c>
      <c r="AO1153" s="2" t="s">
        <v>511</v>
      </c>
      <c r="AP1153" s="2" t="s">
        <v>512</v>
      </c>
      <c r="AQ1153" s="2" t="s">
        <v>74</v>
      </c>
      <c r="AR1153" s="2" t="s">
        <v>74</v>
      </c>
      <c r="AS1153" s="2" t="s">
        <v>74</v>
      </c>
      <c r="AT1153" s="2" t="s">
        <v>204</v>
      </c>
      <c r="AU1153" s="2">
        <v>2017</v>
      </c>
      <c r="AV1153" s="2">
        <v>93</v>
      </c>
      <c r="AW1153" s="2" t="s">
        <v>74</v>
      </c>
      <c r="AX1153" s="2" t="s">
        <v>74</v>
      </c>
      <c r="AY1153" s="2" t="s">
        <v>74</v>
      </c>
      <c r="AZ1153" s="2" t="s">
        <v>74</v>
      </c>
      <c r="BA1153" s="2" t="s">
        <v>74</v>
      </c>
      <c r="BB1153" s="2">
        <v>118</v>
      </c>
      <c r="BC1153" s="2">
        <v>127</v>
      </c>
      <c r="BD1153" s="2" t="s">
        <v>74</v>
      </c>
      <c r="BE1153" s="2" t="s">
        <v>877</v>
      </c>
      <c r="BF1153" s="2" t="str">
        <f>HYPERLINK("http://dx.doi.org/10.1016/j.yhbeh.2017.05.001","http://dx.doi.org/10.1016/j.yhbeh.2017.05.001")</f>
        <v>http://dx.doi.org/10.1016/j.yhbeh.2017.05.001</v>
      </c>
      <c r="BG1153" s="2" t="s">
        <v>74</v>
      </c>
      <c r="BH1153" s="2" t="s">
        <v>74</v>
      </c>
      <c r="BI1153" s="2" t="s">
        <v>74</v>
      </c>
      <c r="BJ1153" s="2" t="s">
        <v>74</v>
      </c>
      <c r="BK1153" s="2" t="s">
        <v>74</v>
      </c>
      <c r="BL1153" s="2" t="s">
        <v>74</v>
      </c>
      <c r="BM1153" s="2" t="s">
        <v>74</v>
      </c>
      <c r="BN1153" s="2">
        <v>28478216</v>
      </c>
      <c r="BO1153" s="2" t="s">
        <v>74</v>
      </c>
      <c r="BP1153" s="2" t="s">
        <v>74</v>
      </c>
      <c r="BQ1153" s="2" t="s">
        <v>74</v>
      </c>
      <c r="BR1153" s="2" t="s">
        <v>74</v>
      </c>
      <c r="BS1153" s="2" t="s">
        <v>878</v>
      </c>
      <c r="BT1153" s="2" t="str">
        <f>HYPERLINK("https%3A%2F%2Fwww.webofscience.com%2Fwos%2Fwoscc%2Ffull-record%2FWOS:000407528300014","View Full Record in Web of Science")</f>
        <v>View Full Record in Web of Science</v>
      </c>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row>
    <row r="1154" spans="1:314" s="2" customFormat="1" x14ac:dyDescent="0.4">
      <c r="A1154" s="2" t="s">
        <v>72</v>
      </c>
      <c r="B1154" s="2" t="s">
        <v>6609</v>
      </c>
      <c r="C1154" s="2" t="s">
        <v>74</v>
      </c>
      <c r="D1154" s="2" t="s">
        <v>74</v>
      </c>
      <c r="E1154" s="2" t="s">
        <v>74</v>
      </c>
      <c r="F1154" s="2" t="s">
        <v>6610</v>
      </c>
      <c r="G1154" s="2" t="s">
        <v>74</v>
      </c>
      <c r="H1154" s="2" t="s">
        <v>74</v>
      </c>
      <c r="I1154" s="2" t="s">
        <v>6611</v>
      </c>
      <c r="J1154" s="2" t="s">
        <v>1743</v>
      </c>
      <c r="K1154" s="2" t="s">
        <v>74</v>
      </c>
      <c r="L1154" s="2" t="s">
        <v>74</v>
      </c>
      <c r="M1154" s="2" t="s">
        <v>74</v>
      </c>
      <c r="N1154" s="2" t="s">
        <v>74</v>
      </c>
      <c r="O1154" s="2" t="s">
        <v>74</v>
      </c>
      <c r="P1154" s="2" t="s">
        <v>74</v>
      </c>
      <c r="Q1154" s="2" t="s">
        <v>74</v>
      </c>
      <c r="R1154" s="2" t="s">
        <v>74</v>
      </c>
      <c r="S1154" s="2" t="s">
        <v>74</v>
      </c>
      <c r="T1154" s="2" t="s">
        <v>74</v>
      </c>
      <c r="U1154" s="2" t="s">
        <v>74</v>
      </c>
      <c r="V1154" s="5" t="s">
        <v>6612</v>
      </c>
      <c r="W1154" s="2" t="s">
        <v>74</v>
      </c>
      <c r="X1154" s="2" t="s">
        <v>74</v>
      </c>
      <c r="Y1154" s="2" t="s">
        <v>74</v>
      </c>
      <c r="Z1154" s="2" t="s">
        <v>74</v>
      </c>
      <c r="AA1154" s="2" t="s">
        <v>74</v>
      </c>
      <c r="AB1154" s="2" t="s">
        <v>6613</v>
      </c>
      <c r="AC1154" s="2" t="s">
        <v>74</v>
      </c>
      <c r="AD1154" s="2" t="s">
        <v>74</v>
      </c>
      <c r="AE1154" s="2" t="s">
        <v>74</v>
      </c>
      <c r="AF1154" s="2" t="s">
        <v>74</v>
      </c>
      <c r="AG1154" s="2" t="s">
        <v>74</v>
      </c>
      <c r="AH1154" s="2" t="s">
        <v>74</v>
      </c>
      <c r="AI1154" s="2" t="s">
        <v>74</v>
      </c>
      <c r="AJ1154" s="2" t="s">
        <v>74</v>
      </c>
      <c r="AK1154" s="2" t="s">
        <v>74</v>
      </c>
      <c r="AL1154" s="2" t="s">
        <v>74</v>
      </c>
      <c r="AM1154" s="2" t="s">
        <v>74</v>
      </c>
      <c r="AN1154" s="2" t="s">
        <v>74</v>
      </c>
      <c r="AO1154" s="2" t="s">
        <v>1746</v>
      </c>
      <c r="AP1154" s="2" t="s">
        <v>74</v>
      </c>
      <c r="AQ1154" s="2" t="s">
        <v>74</v>
      </c>
      <c r="AR1154" s="2" t="s">
        <v>74</v>
      </c>
      <c r="AS1154" s="2" t="s">
        <v>74</v>
      </c>
      <c r="AT1154" s="2" t="s">
        <v>145</v>
      </c>
      <c r="AU1154" s="2">
        <v>2019</v>
      </c>
      <c r="AV1154" s="2">
        <v>36</v>
      </c>
      <c r="AW1154" s="2">
        <v>4</v>
      </c>
      <c r="AX1154" s="2" t="s">
        <v>74</v>
      </c>
      <c r="AY1154" s="2" t="s">
        <v>74</v>
      </c>
      <c r="AZ1154" s="2" t="s">
        <v>74</v>
      </c>
      <c r="BA1154" s="2" t="s">
        <v>74</v>
      </c>
      <c r="BB1154" s="2">
        <v>284</v>
      </c>
      <c r="BC1154" s="2">
        <v>293</v>
      </c>
      <c r="BD1154" s="2" t="s">
        <v>74</v>
      </c>
      <c r="BE1154" s="2" t="s">
        <v>6614</v>
      </c>
      <c r="BF1154" s="2" t="str">
        <f>HYPERLINK("http://dx.doi.org/10.2108/zs180167","http://dx.doi.org/10.2108/zs180167")</f>
        <v>http://dx.doi.org/10.2108/zs180167</v>
      </c>
      <c r="BG1154" s="2" t="s">
        <v>74</v>
      </c>
      <c r="BH1154" s="2" t="s">
        <v>74</v>
      </c>
      <c r="BI1154" s="2" t="s">
        <v>74</v>
      </c>
      <c r="BJ1154" s="2" t="s">
        <v>74</v>
      </c>
      <c r="BK1154" s="2" t="s">
        <v>74</v>
      </c>
      <c r="BL1154" s="2" t="s">
        <v>74</v>
      </c>
      <c r="BM1154" s="2" t="s">
        <v>74</v>
      </c>
      <c r="BN1154" s="2">
        <v>34664898</v>
      </c>
      <c r="BO1154" s="2" t="s">
        <v>74</v>
      </c>
      <c r="BP1154" s="2" t="s">
        <v>74</v>
      </c>
      <c r="BQ1154" s="2" t="s">
        <v>74</v>
      </c>
      <c r="BR1154" s="2" t="s">
        <v>74</v>
      </c>
      <c r="BS1154" s="2" t="s">
        <v>6615</v>
      </c>
      <c r="BT1154" s="2" t="str">
        <f>HYPERLINK("https%3A%2F%2Fwww.webofscience.com%2Fwos%2Fwoscc%2Ffull-record%2FWOS:000477900300003","View Full Record in Web of Science")</f>
        <v>View Full Record in Web of Science</v>
      </c>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row>
    <row r="1155" spans="1:314" s="2" customFormat="1" x14ac:dyDescent="0.4">
      <c r="A1155" s="2" t="s">
        <v>72</v>
      </c>
      <c r="B1155" s="2" t="s">
        <v>832</v>
      </c>
      <c r="C1155" s="2" t="s">
        <v>74</v>
      </c>
      <c r="D1155" s="2" t="s">
        <v>74</v>
      </c>
      <c r="E1155" s="2" t="s">
        <v>74</v>
      </c>
      <c r="F1155" s="2" t="s">
        <v>833</v>
      </c>
      <c r="G1155" s="2" t="s">
        <v>74</v>
      </c>
      <c r="H1155" s="2" t="s">
        <v>74</v>
      </c>
      <c r="I1155" s="2" t="s">
        <v>834</v>
      </c>
      <c r="J1155" s="2" t="s">
        <v>119</v>
      </c>
      <c r="K1155" s="2" t="s">
        <v>74</v>
      </c>
      <c r="L1155" s="2" t="s">
        <v>74</v>
      </c>
      <c r="M1155" s="2" t="s">
        <v>74</v>
      </c>
      <c r="N1155" s="2" t="s">
        <v>74</v>
      </c>
      <c r="O1155" s="2" t="s">
        <v>74</v>
      </c>
      <c r="P1155" s="2" t="s">
        <v>74</v>
      </c>
      <c r="Q1155" s="2" t="s">
        <v>74</v>
      </c>
      <c r="R1155" s="2" t="s">
        <v>74</v>
      </c>
      <c r="S1155" s="2" t="s">
        <v>74</v>
      </c>
      <c r="T1155" s="2" t="s">
        <v>74</v>
      </c>
      <c r="U1155" s="2" t="s">
        <v>74</v>
      </c>
      <c r="V1155" s="5" t="s">
        <v>835</v>
      </c>
      <c r="W1155" s="2" t="s">
        <v>74</v>
      </c>
      <c r="X1155" s="2" t="s">
        <v>74</v>
      </c>
      <c r="Y1155" s="2" t="s">
        <v>74</v>
      </c>
      <c r="Z1155" s="2" t="s">
        <v>74</v>
      </c>
      <c r="AA1155" s="2" t="s">
        <v>836</v>
      </c>
      <c r="AB1155" s="2" t="s">
        <v>74</v>
      </c>
      <c r="AC1155" s="2" t="s">
        <v>74</v>
      </c>
      <c r="AD1155" s="2" t="s">
        <v>74</v>
      </c>
      <c r="AE1155" s="2" t="s">
        <v>74</v>
      </c>
      <c r="AF1155" s="2" t="s">
        <v>74</v>
      </c>
      <c r="AG1155" s="2" t="s">
        <v>74</v>
      </c>
      <c r="AH1155" s="2" t="s">
        <v>74</v>
      </c>
      <c r="AI1155" s="2" t="s">
        <v>74</v>
      </c>
      <c r="AJ1155" s="2" t="s">
        <v>74</v>
      </c>
      <c r="AK1155" s="2" t="s">
        <v>74</v>
      </c>
      <c r="AL1155" s="2" t="s">
        <v>74</v>
      </c>
      <c r="AM1155" s="2" t="s">
        <v>74</v>
      </c>
      <c r="AN1155" s="2" t="s">
        <v>74</v>
      </c>
      <c r="AO1155" s="2" t="s">
        <v>121</v>
      </c>
      <c r="AP1155" s="2" t="s">
        <v>122</v>
      </c>
      <c r="AQ1155" s="2" t="s">
        <v>74</v>
      </c>
      <c r="AR1155" s="2" t="s">
        <v>74</v>
      </c>
      <c r="AS1155" s="2" t="s">
        <v>74</v>
      </c>
      <c r="AT1155" s="2" t="s">
        <v>134</v>
      </c>
      <c r="AU1155" s="2">
        <v>2017</v>
      </c>
      <c r="AV1155" s="2">
        <v>138</v>
      </c>
      <c r="AW1155" s="2" t="s">
        <v>74</v>
      </c>
      <c r="AX1155" s="2" t="s">
        <v>74</v>
      </c>
      <c r="AY1155" s="2" t="s">
        <v>74</v>
      </c>
      <c r="AZ1155" s="2" t="s">
        <v>74</v>
      </c>
      <c r="BA1155" s="2" t="s">
        <v>74</v>
      </c>
      <c r="BB1155" s="2">
        <v>41</v>
      </c>
      <c r="BC1155" s="2">
        <v>48</v>
      </c>
      <c r="BD1155" s="2" t="s">
        <v>74</v>
      </c>
      <c r="BE1155" s="2" t="s">
        <v>837</v>
      </c>
      <c r="BF1155" s="2" t="str">
        <f>HYPERLINK("http://dx.doi.org/10.1016/j.beproc.2017.01.017","http://dx.doi.org/10.1016/j.beproc.2017.01.017")</f>
        <v>http://dx.doi.org/10.1016/j.beproc.2017.01.017</v>
      </c>
      <c r="BG1155" s="2" t="s">
        <v>74</v>
      </c>
      <c r="BH1155" s="2" t="s">
        <v>74</v>
      </c>
      <c r="BI1155" s="2" t="s">
        <v>74</v>
      </c>
      <c r="BJ1155" s="2" t="s">
        <v>74</v>
      </c>
      <c r="BK1155" s="2" t="s">
        <v>74</v>
      </c>
      <c r="BL1155" s="2" t="s">
        <v>74</v>
      </c>
      <c r="BM1155" s="2" t="s">
        <v>74</v>
      </c>
      <c r="BN1155" s="2">
        <v>28159653</v>
      </c>
      <c r="BO1155" s="2" t="s">
        <v>74</v>
      </c>
      <c r="BP1155" s="2" t="s">
        <v>74</v>
      </c>
      <c r="BQ1155" s="2" t="s">
        <v>74</v>
      </c>
      <c r="BR1155" s="2" t="s">
        <v>74</v>
      </c>
      <c r="BS1155" s="2" t="s">
        <v>838</v>
      </c>
      <c r="BT1155" s="2" t="str">
        <f>HYPERLINK("https%3A%2F%2Fwww.webofscience.com%2Fwos%2Fwoscc%2Ffull-record%2FWOS:000400878800007","View Full Record in Web of Science")</f>
        <v>View Full Record in Web of Science</v>
      </c>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row>
    <row r="1156" spans="1:314" s="2" customFormat="1" x14ac:dyDescent="0.4">
      <c r="A1156" s="2" t="s">
        <v>72</v>
      </c>
      <c r="B1156" s="2" t="s">
        <v>5404</v>
      </c>
      <c r="C1156" s="2" t="s">
        <v>74</v>
      </c>
      <c r="D1156" s="2" t="s">
        <v>74</v>
      </c>
      <c r="E1156" s="2" t="s">
        <v>74</v>
      </c>
      <c r="F1156" s="2" t="s">
        <v>5405</v>
      </c>
      <c r="G1156" s="2" t="s">
        <v>74</v>
      </c>
      <c r="H1156" s="2" t="s">
        <v>74</v>
      </c>
      <c r="I1156" s="2" t="s">
        <v>5406</v>
      </c>
      <c r="J1156" s="2" t="s">
        <v>2207</v>
      </c>
      <c r="K1156" s="2" t="s">
        <v>74</v>
      </c>
      <c r="L1156" s="2" t="s">
        <v>74</v>
      </c>
      <c r="M1156" s="2" t="s">
        <v>74</v>
      </c>
      <c r="N1156" s="2" t="s">
        <v>74</v>
      </c>
      <c r="O1156" s="2" t="s">
        <v>74</v>
      </c>
      <c r="P1156" s="2" t="s">
        <v>74</v>
      </c>
      <c r="Q1156" s="2" t="s">
        <v>74</v>
      </c>
      <c r="R1156" s="2" t="s">
        <v>74</v>
      </c>
      <c r="S1156" s="2" t="s">
        <v>74</v>
      </c>
      <c r="T1156" s="2" t="s">
        <v>74</v>
      </c>
      <c r="U1156" s="2" t="s">
        <v>74</v>
      </c>
      <c r="V1156" s="5" t="s">
        <v>5407</v>
      </c>
      <c r="W1156" s="2" t="s">
        <v>74</v>
      </c>
      <c r="X1156" s="2" t="s">
        <v>74</v>
      </c>
      <c r="Y1156" s="2" t="s">
        <v>74</v>
      </c>
      <c r="Z1156" s="2" t="s">
        <v>74</v>
      </c>
      <c r="AA1156" s="2" t="s">
        <v>836</v>
      </c>
      <c r="AB1156" s="2" t="s">
        <v>5408</v>
      </c>
      <c r="AC1156" s="2" t="s">
        <v>74</v>
      </c>
      <c r="AD1156" s="2" t="s">
        <v>74</v>
      </c>
      <c r="AE1156" s="2" t="s">
        <v>74</v>
      </c>
      <c r="AF1156" s="2" t="s">
        <v>74</v>
      </c>
      <c r="AG1156" s="2" t="s">
        <v>74</v>
      </c>
      <c r="AH1156" s="2" t="s">
        <v>74</v>
      </c>
      <c r="AI1156" s="2" t="s">
        <v>74</v>
      </c>
      <c r="AJ1156" s="2" t="s">
        <v>74</v>
      </c>
      <c r="AK1156" s="2" t="s">
        <v>74</v>
      </c>
      <c r="AL1156" s="2" t="s">
        <v>74</v>
      </c>
      <c r="AM1156" s="2" t="s">
        <v>74</v>
      </c>
      <c r="AN1156" s="2" t="s">
        <v>74</v>
      </c>
      <c r="AO1156" s="2" t="s">
        <v>2211</v>
      </c>
      <c r="AP1156" s="2" t="s">
        <v>2461</v>
      </c>
      <c r="AQ1156" s="2" t="s">
        <v>74</v>
      </c>
      <c r="AR1156" s="2" t="s">
        <v>74</v>
      </c>
      <c r="AS1156" s="2" t="s">
        <v>74</v>
      </c>
      <c r="AT1156" s="2" t="s">
        <v>123</v>
      </c>
      <c r="AU1156" s="2">
        <v>2016</v>
      </c>
      <c r="AV1156" s="2">
        <v>47</v>
      </c>
      <c r="AW1156" s="2">
        <v>2</v>
      </c>
      <c r="AX1156" s="2" t="s">
        <v>74</v>
      </c>
      <c r="AY1156" s="2" t="s">
        <v>74</v>
      </c>
      <c r="AZ1156" s="2" t="s">
        <v>74</v>
      </c>
      <c r="BA1156" s="2" t="s">
        <v>74</v>
      </c>
      <c r="BB1156" s="2">
        <v>167</v>
      </c>
      <c r="BC1156" s="2">
        <v>175</v>
      </c>
      <c r="BD1156" s="2" t="s">
        <v>74</v>
      </c>
      <c r="BE1156" s="2" t="s">
        <v>5409</v>
      </c>
      <c r="BF1156" s="2" t="str">
        <f>HYPERLINK("http://dx.doi.org/10.1111/jav.00742","http://dx.doi.org/10.1111/jav.00742")</f>
        <v>http://dx.doi.org/10.1111/jav.00742</v>
      </c>
      <c r="BG1156" s="2" t="s">
        <v>74</v>
      </c>
      <c r="BH1156" s="2" t="s">
        <v>74</v>
      </c>
      <c r="BI1156" s="2" t="s">
        <v>74</v>
      </c>
      <c r="BJ1156" s="2" t="s">
        <v>74</v>
      </c>
      <c r="BK1156" s="2" t="s">
        <v>74</v>
      </c>
      <c r="BL1156" s="2" t="s">
        <v>74</v>
      </c>
      <c r="BM1156" s="2" t="s">
        <v>74</v>
      </c>
      <c r="BN1156" s="2" t="s">
        <v>74</v>
      </c>
      <c r="BO1156" s="2" t="s">
        <v>74</v>
      </c>
      <c r="BP1156" s="2" t="s">
        <v>74</v>
      </c>
      <c r="BQ1156" s="2" t="s">
        <v>74</v>
      </c>
      <c r="BR1156" s="2" t="s">
        <v>74</v>
      </c>
      <c r="BS1156" s="2" t="s">
        <v>5410</v>
      </c>
      <c r="BT1156" s="2" t="str">
        <f>HYPERLINK("https%3A%2F%2Fwww.webofscience.com%2Fwos%2Fwoscc%2Ffull-record%2FWOS:000373014800005","View Full Record in Web of Science")</f>
        <v>View Full Record in Web of Science</v>
      </c>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row>
    <row r="1157" spans="1:314" s="2" customFormat="1" x14ac:dyDescent="0.4">
      <c r="A1157" s="2" t="s">
        <v>72</v>
      </c>
      <c r="B1157" s="2" t="s">
        <v>6294</v>
      </c>
      <c r="C1157" s="2" t="s">
        <v>74</v>
      </c>
      <c r="D1157" s="2" t="s">
        <v>74</v>
      </c>
      <c r="E1157" s="2" t="s">
        <v>74</v>
      </c>
      <c r="F1157" s="2" t="s">
        <v>6295</v>
      </c>
      <c r="G1157" s="2" t="s">
        <v>74</v>
      </c>
      <c r="H1157" s="2" t="s">
        <v>74</v>
      </c>
      <c r="I1157" s="2" t="s">
        <v>6296</v>
      </c>
      <c r="J1157" s="2" t="s">
        <v>6297</v>
      </c>
      <c r="K1157" s="2" t="s">
        <v>74</v>
      </c>
      <c r="L1157" s="2" t="s">
        <v>74</v>
      </c>
      <c r="M1157" s="2" t="s">
        <v>74</v>
      </c>
      <c r="N1157" s="2" t="s">
        <v>74</v>
      </c>
      <c r="O1157" s="2" t="s">
        <v>74</v>
      </c>
      <c r="P1157" s="2" t="s">
        <v>74</v>
      </c>
      <c r="Q1157" s="2" t="s">
        <v>74</v>
      </c>
      <c r="R1157" s="2" t="s">
        <v>74</v>
      </c>
      <c r="S1157" s="2" t="s">
        <v>74</v>
      </c>
      <c r="T1157" s="2" t="s">
        <v>74</v>
      </c>
      <c r="U1157" s="2" t="s">
        <v>74</v>
      </c>
      <c r="V1157" s="5" t="s">
        <v>6298</v>
      </c>
      <c r="W1157" s="2" t="s">
        <v>74</v>
      </c>
      <c r="X1157" s="2" t="s">
        <v>74</v>
      </c>
      <c r="Y1157" s="2" t="s">
        <v>74</v>
      </c>
      <c r="Z1157" s="2" t="s">
        <v>74</v>
      </c>
      <c r="AA1157" s="2" t="s">
        <v>6299</v>
      </c>
      <c r="AB1157" s="2" t="s">
        <v>74</v>
      </c>
      <c r="AC1157" s="2" t="s">
        <v>74</v>
      </c>
      <c r="AD1157" s="2" t="s">
        <v>74</v>
      </c>
      <c r="AE1157" s="2" t="s">
        <v>74</v>
      </c>
      <c r="AF1157" s="2" t="s">
        <v>74</v>
      </c>
      <c r="AG1157" s="2" t="s">
        <v>74</v>
      </c>
      <c r="AH1157" s="2" t="s">
        <v>74</v>
      </c>
      <c r="AI1157" s="2" t="s">
        <v>74</v>
      </c>
      <c r="AJ1157" s="2" t="s">
        <v>74</v>
      </c>
      <c r="AK1157" s="2" t="s">
        <v>74</v>
      </c>
      <c r="AL1157" s="2" t="s">
        <v>74</v>
      </c>
      <c r="AM1157" s="2" t="s">
        <v>74</v>
      </c>
      <c r="AN1157" s="2" t="s">
        <v>74</v>
      </c>
      <c r="AO1157" s="2" t="s">
        <v>6300</v>
      </c>
      <c r="AP1157" s="2" t="s">
        <v>6301</v>
      </c>
      <c r="AQ1157" s="2" t="s">
        <v>74</v>
      </c>
      <c r="AR1157" s="2" t="s">
        <v>74</v>
      </c>
      <c r="AS1157" s="2" t="s">
        <v>74</v>
      </c>
      <c r="AT1157" s="2" t="s">
        <v>305</v>
      </c>
      <c r="AU1157" s="2">
        <v>2015</v>
      </c>
      <c r="AV1157" s="2">
        <v>69</v>
      </c>
      <c r="AW1157" s="2" t="s">
        <v>74</v>
      </c>
      <c r="AX1157" s="2" t="s">
        <v>74</v>
      </c>
      <c r="AY1157" s="2" t="s">
        <v>74</v>
      </c>
      <c r="AZ1157" s="2" t="s">
        <v>74</v>
      </c>
      <c r="BA1157" s="2" t="s">
        <v>74</v>
      </c>
      <c r="BB1157" s="2">
        <v>191</v>
      </c>
      <c r="BC1157" s="2">
        <v>195</v>
      </c>
      <c r="BD1157" s="2" t="s">
        <v>74</v>
      </c>
      <c r="BE1157" s="2" t="s">
        <v>6302</v>
      </c>
      <c r="BF1157" s="2" t="str">
        <f>HYPERLINK("http://dx.doi.org/10.1649/0010-065X-69.mo4.191","http://dx.doi.org/10.1649/0010-065X-69.mo4.191")</f>
        <v>http://dx.doi.org/10.1649/0010-065X-69.mo4.191</v>
      </c>
      <c r="BG1157" s="2" t="s">
        <v>74</v>
      </c>
      <c r="BH1157" s="2" t="s">
        <v>74</v>
      </c>
      <c r="BI1157" s="2" t="s">
        <v>74</v>
      </c>
      <c r="BJ1157" s="2" t="s">
        <v>74</v>
      </c>
      <c r="BK1157" s="2" t="s">
        <v>74</v>
      </c>
      <c r="BL1157" s="2" t="s">
        <v>74</v>
      </c>
      <c r="BM1157" s="2" t="s">
        <v>74</v>
      </c>
      <c r="BN1157" s="2" t="s">
        <v>74</v>
      </c>
      <c r="BO1157" s="2" t="s">
        <v>74</v>
      </c>
      <c r="BP1157" s="2" t="s">
        <v>74</v>
      </c>
      <c r="BQ1157" s="2" t="s">
        <v>74</v>
      </c>
      <c r="BR1157" s="2" t="s">
        <v>74</v>
      </c>
      <c r="BS1157" s="2" t="s">
        <v>6303</v>
      </c>
      <c r="BT1157" s="2" t="str">
        <f>HYPERLINK("https%3A%2F%2Fwww.webofscience.com%2Fwos%2Fwoscc%2Ffull-record%2FWOS:000370895200020","View Full Record in Web of Science")</f>
        <v>View Full Record in Web of Science</v>
      </c>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row>
    <row r="1158" spans="1:314" s="2" customFormat="1" x14ac:dyDescent="0.4">
      <c r="A1158" s="2" t="s">
        <v>72</v>
      </c>
      <c r="B1158" s="2" t="s">
        <v>7196</v>
      </c>
      <c r="C1158" s="2" t="s">
        <v>74</v>
      </c>
      <c r="D1158" s="2" t="s">
        <v>74</v>
      </c>
      <c r="E1158" s="2" t="s">
        <v>74</v>
      </c>
      <c r="F1158" s="2" t="s">
        <v>7197</v>
      </c>
      <c r="G1158" s="2" t="s">
        <v>74</v>
      </c>
      <c r="H1158" s="2" t="s">
        <v>74</v>
      </c>
      <c r="I1158" s="2" t="s">
        <v>7198</v>
      </c>
      <c r="J1158" s="2" t="s">
        <v>7199</v>
      </c>
      <c r="K1158" s="2" t="s">
        <v>74</v>
      </c>
      <c r="L1158" s="2" t="s">
        <v>74</v>
      </c>
      <c r="M1158" s="2" t="s">
        <v>74</v>
      </c>
      <c r="N1158" s="2" t="s">
        <v>74</v>
      </c>
      <c r="O1158" s="2" t="s">
        <v>74</v>
      </c>
      <c r="P1158" s="2" t="s">
        <v>74</v>
      </c>
      <c r="Q1158" s="2" t="s">
        <v>74</v>
      </c>
      <c r="R1158" s="2" t="s">
        <v>74</v>
      </c>
      <c r="S1158" s="2" t="s">
        <v>74</v>
      </c>
      <c r="T1158" s="2" t="s">
        <v>74</v>
      </c>
      <c r="U1158" s="2" t="s">
        <v>74</v>
      </c>
      <c r="V1158" s="5" t="s">
        <v>7200</v>
      </c>
      <c r="W1158" s="2" t="s">
        <v>74</v>
      </c>
      <c r="X1158" s="2" t="s">
        <v>74</v>
      </c>
      <c r="Y1158" s="2" t="s">
        <v>74</v>
      </c>
      <c r="Z1158" s="2" t="s">
        <v>74</v>
      </c>
      <c r="AA1158" s="2" t="s">
        <v>74</v>
      </c>
      <c r="AB1158" s="2" t="s">
        <v>7201</v>
      </c>
      <c r="AC1158" s="2" t="s">
        <v>74</v>
      </c>
      <c r="AD1158" s="2" t="s">
        <v>74</v>
      </c>
      <c r="AE1158" s="2" t="s">
        <v>74</v>
      </c>
      <c r="AF1158" s="2" t="s">
        <v>74</v>
      </c>
      <c r="AG1158" s="2" t="s">
        <v>74</v>
      </c>
      <c r="AH1158" s="2" t="s">
        <v>74</v>
      </c>
      <c r="AI1158" s="2" t="s">
        <v>74</v>
      </c>
      <c r="AJ1158" s="2" t="s">
        <v>74</v>
      </c>
      <c r="AK1158" s="2" t="s">
        <v>74</v>
      </c>
      <c r="AL1158" s="2" t="s">
        <v>74</v>
      </c>
      <c r="AM1158" s="2" t="s">
        <v>74</v>
      </c>
      <c r="AN1158" s="2" t="s">
        <v>74</v>
      </c>
      <c r="AO1158" s="2" t="s">
        <v>7202</v>
      </c>
      <c r="AP1158" s="2" t="s">
        <v>74</v>
      </c>
      <c r="AQ1158" s="2" t="s">
        <v>74</v>
      </c>
      <c r="AR1158" s="2" t="s">
        <v>74</v>
      </c>
      <c r="AS1158" s="2" t="s">
        <v>74</v>
      </c>
      <c r="AT1158" s="2" t="s">
        <v>7203</v>
      </c>
      <c r="AU1158" s="2">
        <v>2019</v>
      </c>
      <c r="AV1158" s="2">
        <v>13</v>
      </c>
      <c r="AW1158" s="2" t="s">
        <v>74</v>
      </c>
      <c r="AX1158" s="2" t="s">
        <v>74</v>
      </c>
      <c r="AY1158" s="2" t="s">
        <v>74</v>
      </c>
      <c r="AZ1158" s="2" t="s">
        <v>74</v>
      </c>
      <c r="BA1158" s="2" t="s">
        <v>74</v>
      </c>
      <c r="BB1158" s="2" t="s">
        <v>74</v>
      </c>
      <c r="BC1158" s="2" t="s">
        <v>74</v>
      </c>
      <c r="BD1158" s="2">
        <v>36</v>
      </c>
      <c r="BE1158" s="2" t="s">
        <v>7204</v>
      </c>
      <c r="BF1158" s="2" t="str">
        <f>HYPERLINK("http://dx.doi.org/10.3389/fnint.2019.00036","http://dx.doi.org/10.3389/fnint.2019.00036")</f>
        <v>http://dx.doi.org/10.3389/fnint.2019.00036</v>
      </c>
      <c r="BG1158" s="2" t="s">
        <v>74</v>
      </c>
      <c r="BH1158" s="2" t="s">
        <v>74</v>
      </c>
      <c r="BI1158" s="2" t="s">
        <v>74</v>
      </c>
      <c r="BJ1158" s="2" t="s">
        <v>74</v>
      </c>
      <c r="BK1158" s="2" t="s">
        <v>74</v>
      </c>
      <c r="BL1158" s="2" t="s">
        <v>74</v>
      </c>
      <c r="BM1158" s="2" t="s">
        <v>74</v>
      </c>
      <c r="BN1158" s="2">
        <v>31417374</v>
      </c>
      <c r="BO1158" s="2" t="s">
        <v>74</v>
      </c>
      <c r="BP1158" s="2" t="s">
        <v>74</v>
      </c>
      <c r="BQ1158" s="2" t="s">
        <v>74</v>
      </c>
      <c r="BR1158" s="2" t="s">
        <v>74</v>
      </c>
      <c r="BS1158" s="2" t="s">
        <v>7205</v>
      </c>
      <c r="BT1158" s="2" t="str">
        <f>HYPERLINK("https%3A%2F%2Fwww.webofscience.com%2Fwos%2Fwoscc%2Ffull-record%2FWOS:000478020400001","View Full Record in Web of Science")</f>
        <v>View Full Record in Web of Science</v>
      </c>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row>
    <row r="1159" spans="1:314" s="2" customFormat="1" x14ac:dyDescent="0.4">
      <c r="A1159" s="2" t="s">
        <v>72</v>
      </c>
      <c r="B1159" s="2" t="s">
        <v>8352</v>
      </c>
      <c r="C1159" s="2" t="s">
        <v>74</v>
      </c>
      <c r="D1159" s="2" t="s">
        <v>74</v>
      </c>
      <c r="E1159" s="2" t="s">
        <v>74</v>
      </c>
      <c r="F1159" s="2" t="s">
        <v>8353</v>
      </c>
      <c r="G1159" s="2" t="s">
        <v>74</v>
      </c>
      <c r="H1159" s="2" t="s">
        <v>74</v>
      </c>
      <c r="I1159" s="2" t="s">
        <v>8354</v>
      </c>
      <c r="J1159" s="2" t="s">
        <v>4836</v>
      </c>
      <c r="K1159" s="2" t="s">
        <v>74</v>
      </c>
      <c r="L1159" s="2" t="s">
        <v>74</v>
      </c>
      <c r="M1159" s="2" t="s">
        <v>74</v>
      </c>
      <c r="N1159" s="2" t="s">
        <v>74</v>
      </c>
      <c r="O1159" s="2" t="s">
        <v>74</v>
      </c>
      <c r="P1159" s="2" t="s">
        <v>74</v>
      </c>
      <c r="Q1159" s="2" t="s">
        <v>74</v>
      </c>
      <c r="R1159" s="2" t="s">
        <v>74</v>
      </c>
      <c r="S1159" s="2" t="s">
        <v>74</v>
      </c>
      <c r="T1159" s="2" t="s">
        <v>74</v>
      </c>
      <c r="U1159" s="2" t="s">
        <v>74</v>
      </c>
      <c r="V1159" s="5" t="s">
        <v>8355</v>
      </c>
      <c r="W1159" s="2" t="s">
        <v>74</v>
      </c>
      <c r="X1159" s="2" t="s">
        <v>74</v>
      </c>
      <c r="Y1159" s="2" t="s">
        <v>74</v>
      </c>
      <c r="Z1159" s="2" t="s">
        <v>74</v>
      </c>
      <c r="AA1159" s="2" t="s">
        <v>74</v>
      </c>
      <c r="AB1159" s="2" t="s">
        <v>74</v>
      </c>
      <c r="AC1159" s="2" t="s">
        <v>74</v>
      </c>
      <c r="AD1159" s="2" t="s">
        <v>74</v>
      </c>
      <c r="AE1159" s="2" t="s">
        <v>74</v>
      </c>
      <c r="AF1159" s="2" t="s">
        <v>74</v>
      </c>
      <c r="AG1159" s="2" t="s">
        <v>74</v>
      </c>
      <c r="AH1159" s="2" t="s">
        <v>74</v>
      </c>
      <c r="AI1159" s="2" t="s">
        <v>74</v>
      </c>
      <c r="AJ1159" s="2" t="s">
        <v>74</v>
      </c>
      <c r="AK1159" s="2" t="s">
        <v>74</v>
      </c>
      <c r="AL1159" s="2" t="s">
        <v>74</v>
      </c>
      <c r="AM1159" s="2" t="s">
        <v>74</v>
      </c>
      <c r="AN1159" s="2" t="s">
        <v>74</v>
      </c>
      <c r="AO1159" s="2" t="s">
        <v>4840</v>
      </c>
      <c r="AP1159" s="2" t="s">
        <v>74</v>
      </c>
      <c r="AQ1159" s="2" t="s">
        <v>74</v>
      </c>
      <c r="AR1159" s="2" t="s">
        <v>74</v>
      </c>
      <c r="AS1159" s="2" t="s">
        <v>74</v>
      </c>
      <c r="AT1159" s="2" t="s">
        <v>204</v>
      </c>
      <c r="AU1159" s="2">
        <v>2014</v>
      </c>
      <c r="AV1159" s="2">
        <v>64</v>
      </c>
      <c r="AW1159" s="2">
        <v>2</v>
      </c>
      <c r="AX1159" s="2" t="s">
        <v>74</v>
      </c>
      <c r="AY1159" s="2" t="s">
        <v>74</v>
      </c>
      <c r="AZ1159" s="2" t="s">
        <v>74</v>
      </c>
      <c r="BA1159" s="2" t="s">
        <v>74</v>
      </c>
      <c r="BB1159" s="2">
        <v>139</v>
      </c>
      <c r="BC1159" s="2">
        <v>167</v>
      </c>
      <c r="BD1159" s="2" t="s">
        <v>74</v>
      </c>
      <c r="BE1159" s="2" t="s">
        <v>74</v>
      </c>
      <c r="BF1159" s="2" t="s">
        <v>74</v>
      </c>
      <c r="BG1159" s="2" t="s">
        <v>74</v>
      </c>
      <c r="BH1159" s="2" t="s">
        <v>74</v>
      </c>
      <c r="BI1159" s="2" t="s">
        <v>74</v>
      </c>
      <c r="BJ1159" s="2" t="s">
        <v>74</v>
      </c>
      <c r="BK1159" s="2" t="s">
        <v>74</v>
      </c>
      <c r="BL1159" s="2" t="s">
        <v>74</v>
      </c>
      <c r="BM1159" s="2" t="s">
        <v>74</v>
      </c>
      <c r="BN1159" s="2" t="s">
        <v>74</v>
      </c>
      <c r="BO1159" s="2" t="s">
        <v>74</v>
      </c>
      <c r="BP1159" s="2" t="s">
        <v>74</v>
      </c>
      <c r="BQ1159" s="2" t="s">
        <v>74</v>
      </c>
      <c r="BR1159" s="2" t="s">
        <v>74</v>
      </c>
      <c r="BS1159" s="2" t="s">
        <v>8356</v>
      </c>
      <c r="BT1159" s="2" t="str">
        <f>HYPERLINK("https%3A%2F%2Fwww.webofscience.com%2Fwos%2Fwoscc%2Ffull-record%2FWOS:000341406400001","View Full Record in Web of Science")</f>
        <v>View Full Record in Web of Science</v>
      </c>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row>
    <row r="1160" spans="1:314" s="2" customFormat="1" x14ac:dyDescent="0.4">
      <c r="A1160" s="2" t="s">
        <v>72</v>
      </c>
      <c r="B1160" s="2" t="s">
        <v>7571</v>
      </c>
      <c r="C1160" s="2" t="s">
        <v>74</v>
      </c>
      <c r="D1160" s="2" t="s">
        <v>74</v>
      </c>
      <c r="E1160" s="2" t="s">
        <v>74</v>
      </c>
      <c r="F1160" s="2" t="s">
        <v>7572</v>
      </c>
      <c r="G1160" s="2" t="s">
        <v>74</v>
      </c>
      <c r="H1160" s="2" t="s">
        <v>74</v>
      </c>
      <c r="I1160" s="2" t="s">
        <v>7573</v>
      </c>
      <c r="J1160" s="2" t="s">
        <v>77</v>
      </c>
      <c r="K1160" s="2" t="s">
        <v>74</v>
      </c>
      <c r="L1160" s="2" t="s">
        <v>74</v>
      </c>
      <c r="M1160" s="2" t="s">
        <v>74</v>
      </c>
      <c r="N1160" s="2" t="s">
        <v>74</v>
      </c>
      <c r="O1160" s="2" t="s">
        <v>74</v>
      </c>
      <c r="P1160" s="2" t="s">
        <v>74</v>
      </c>
      <c r="Q1160" s="2" t="s">
        <v>74</v>
      </c>
      <c r="R1160" s="2" t="s">
        <v>74</v>
      </c>
      <c r="S1160" s="2" t="s">
        <v>74</v>
      </c>
      <c r="T1160" s="2" t="s">
        <v>74</v>
      </c>
      <c r="U1160" s="2" t="s">
        <v>74</v>
      </c>
      <c r="V1160" s="5" t="s">
        <v>7574</v>
      </c>
      <c r="W1160" s="2" t="s">
        <v>74</v>
      </c>
      <c r="X1160" s="2" t="s">
        <v>74</v>
      </c>
      <c r="Y1160" s="2" t="s">
        <v>74</v>
      </c>
      <c r="Z1160" s="2" t="s">
        <v>74</v>
      </c>
      <c r="AA1160" s="2" t="s">
        <v>74</v>
      </c>
      <c r="AB1160" s="2" t="s">
        <v>7575</v>
      </c>
      <c r="AC1160" s="2" t="s">
        <v>74</v>
      </c>
      <c r="AD1160" s="2" t="s">
        <v>74</v>
      </c>
      <c r="AE1160" s="2" t="s">
        <v>74</v>
      </c>
      <c r="AF1160" s="2" t="s">
        <v>74</v>
      </c>
      <c r="AG1160" s="2" t="s">
        <v>74</v>
      </c>
      <c r="AH1160" s="2" t="s">
        <v>74</v>
      </c>
      <c r="AI1160" s="2" t="s">
        <v>74</v>
      </c>
      <c r="AJ1160" s="2" t="s">
        <v>74</v>
      </c>
      <c r="AK1160" s="2" t="s">
        <v>74</v>
      </c>
      <c r="AL1160" s="2" t="s">
        <v>74</v>
      </c>
      <c r="AM1160" s="2" t="s">
        <v>74</v>
      </c>
      <c r="AN1160" s="2" t="s">
        <v>74</v>
      </c>
      <c r="AO1160" s="2" t="s">
        <v>81</v>
      </c>
      <c r="AP1160" s="2" t="s">
        <v>82</v>
      </c>
      <c r="AQ1160" s="2" t="s">
        <v>74</v>
      </c>
      <c r="AR1160" s="2" t="s">
        <v>74</v>
      </c>
      <c r="AS1160" s="2" t="s">
        <v>74</v>
      </c>
      <c r="AT1160" s="2" t="s">
        <v>255</v>
      </c>
      <c r="AU1160" s="2">
        <v>2019</v>
      </c>
      <c r="AV1160" s="2">
        <v>156</v>
      </c>
      <c r="AW1160" s="2">
        <v>2</v>
      </c>
      <c r="AX1160" s="2" t="s">
        <v>74</v>
      </c>
      <c r="AY1160" s="2" t="s">
        <v>74</v>
      </c>
      <c r="AZ1160" s="2" t="s">
        <v>74</v>
      </c>
      <c r="BA1160" s="2" t="s">
        <v>74</v>
      </c>
      <c r="BB1160" s="2">
        <v>131</v>
      </c>
      <c r="BC1160" s="2">
        <v>153</v>
      </c>
      <c r="BD1160" s="2" t="s">
        <v>74</v>
      </c>
      <c r="BE1160" s="2" t="s">
        <v>7576</v>
      </c>
      <c r="BF1160" s="2" t="str">
        <f>HYPERLINK("http://dx.doi.org/10.1163/1568539X-00003533","http://dx.doi.org/10.1163/1568539X-00003533")</f>
        <v>http://dx.doi.org/10.1163/1568539X-00003533</v>
      </c>
      <c r="BG1160" s="2" t="s">
        <v>74</v>
      </c>
      <c r="BH1160" s="2" t="s">
        <v>74</v>
      </c>
      <c r="BI1160" s="2" t="s">
        <v>74</v>
      </c>
      <c r="BJ1160" s="2" t="s">
        <v>74</v>
      </c>
      <c r="BK1160" s="2" t="s">
        <v>74</v>
      </c>
      <c r="BL1160" s="2" t="s">
        <v>74</v>
      </c>
      <c r="BM1160" s="2" t="s">
        <v>74</v>
      </c>
      <c r="BN1160" s="2" t="s">
        <v>74</v>
      </c>
      <c r="BO1160" s="2" t="s">
        <v>74</v>
      </c>
      <c r="BP1160" s="2" t="s">
        <v>74</v>
      </c>
      <c r="BQ1160" s="2" t="s">
        <v>74</v>
      </c>
      <c r="BR1160" s="2" t="s">
        <v>74</v>
      </c>
      <c r="BS1160" s="2" t="s">
        <v>7577</v>
      </c>
      <c r="BT1160" s="2" t="str">
        <f>HYPERLINK("https%3A%2F%2Fwww.webofscience.com%2Fwos%2Fwoscc%2Ffull-record%2FWOS:000457844100002","View Full Record in Web of Science")</f>
        <v>View Full Record in Web of Science</v>
      </c>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row>
    <row r="1161" spans="1:314" s="2" customFormat="1" x14ac:dyDescent="0.4">
      <c r="A1161" s="2" t="s">
        <v>72</v>
      </c>
      <c r="B1161" s="2" t="s">
        <v>6843</v>
      </c>
      <c r="C1161" s="2" t="s">
        <v>74</v>
      </c>
      <c r="D1161" s="2" t="s">
        <v>74</v>
      </c>
      <c r="E1161" s="2" t="s">
        <v>74</v>
      </c>
      <c r="F1161" s="2" t="s">
        <v>6844</v>
      </c>
      <c r="G1161" s="2" t="s">
        <v>74</v>
      </c>
      <c r="H1161" s="2" t="s">
        <v>74</v>
      </c>
      <c r="I1161" s="2" t="s">
        <v>6845</v>
      </c>
      <c r="J1161" s="2" t="s">
        <v>5684</v>
      </c>
      <c r="K1161" s="2" t="s">
        <v>74</v>
      </c>
      <c r="L1161" s="2" t="s">
        <v>74</v>
      </c>
      <c r="M1161" s="2" t="s">
        <v>74</v>
      </c>
      <c r="N1161" s="2" t="s">
        <v>74</v>
      </c>
      <c r="O1161" s="2" t="s">
        <v>74</v>
      </c>
      <c r="P1161" s="2" t="s">
        <v>74</v>
      </c>
      <c r="Q1161" s="2" t="s">
        <v>74</v>
      </c>
      <c r="R1161" s="2" t="s">
        <v>74</v>
      </c>
      <c r="S1161" s="2" t="s">
        <v>74</v>
      </c>
      <c r="T1161" s="2" t="s">
        <v>74</v>
      </c>
      <c r="U1161" s="2" t="s">
        <v>74</v>
      </c>
      <c r="V1161" s="5" t="s">
        <v>6846</v>
      </c>
      <c r="W1161" s="2" t="s">
        <v>74</v>
      </c>
      <c r="X1161" s="2" t="s">
        <v>74</v>
      </c>
      <c r="Y1161" s="2" t="s">
        <v>74</v>
      </c>
      <c r="Z1161" s="2" t="s">
        <v>74</v>
      </c>
      <c r="AA1161" s="2" t="s">
        <v>74</v>
      </c>
      <c r="AB1161" s="2" t="s">
        <v>74</v>
      </c>
      <c r="AC1161" s="2" t="s">
        <v>74</v>
      </c>
      <c r="AD1161" s="2" t="s">
        <v>74</v>
      </c>
      <c r="AE1161" s="2" t="s">
        <v>74</v>
      </c>
      <c r="AF1161" s="2" t="s">
        <v>74</v>
      </c>
      <c r="AG1161" s="2" t="s">
        <v>74</v>
      </c>
      <c r="AH1161" s="2" t="s">
        <v>74</v>
      </c>
      <c r="AI1161" s="2" t="s">
        <v>74</v>
      </c>
      <c r="AJ1161" s="2" t="s">
        <v>74</v>
      </c>
      <c r="AK1161" s="2" t="s">
        <v>74</v>
      </c>
      <c r="AL1161" s="2" t="s">
        <v>74</v>
      </c>
      <c r="AM1161" s="2" t="s">
        <v>74</v>
      </c>
      <c r="AN1161" s="2" t="s">
        <v>74</v>
      </c>
      <c r="AO1161" s="2" t="s">
        <v>5688</v>
      </c>
      <c r="AP1161" s="2" t="s">
        <v>5689</v>
      </c>
      <c r="AQ1161" s="2" t="s">
        <v>74</v>
      </c>
      <c r="AR1161" s="2" t="s">
        <v>74</v>
      </c>
      <c r="AS1161" s="2" t="s">
        <v>74</v>
      </c>
      <c r="AT1161" s="2" t="s">
        <v>964</v>
      </c>
      <c r="AU1161" s="2">
        <v>2011</v>
      </c>
      <c r="AV1161" s="2">
        <v>67</v>
      </c>
      <c r="AW1161" s="2">
        <v>2</v>
      </c>
      <c r="AX1161" s="2" t="s">
        <v>74</v>
      </c>
      <c r="AY1161" s="2" t="s">
        <v>74</v>
      </c>
      <c r="AZ1161" s="2" t="s">
        <v>74</v>
      </c>
      <c r="BA1161" s="2" t="s">
        <v>74</v>
      </c>
      <c r="BB1161" s="2">
        <v>162</v>
      </c>
      <c r="BC1161" s="2">
        <v>169</v>
      </c>
      <c r="BD1161" s="2" t="s">
        <v>74</v>
      </c>
      <c r="BE1161" s="2" t="s">
        <v>6847</v>
      </c>
      <c r="BF1161" s="2" t="str">
        <f>HYPERLINK("http://dx.doi.org/10.1002/ps.2045","http://dx.doi.org/10.1002/ps.2045")</f>
        <v>http://dx.doi.org/10.1002/ps.2045</v>
      </c>
      <c r="BG1161" s="2" t="s">
        <v>74</v>
      </c>
      <c r="BH1161" s="2" t="s">
        <v>74</v>
      </c>
      <c r="BI1161" s="2" t="s">
        <v>74</v>
      </c>
      <c r="BJ1161" s="2" t="s">
        <v>74</v>
      </c>
      <c r="BK1161" s="2" t="s">
        <v>74</v>
      </c>
      <c r="BL1161" s="2" t="s">
        <v>74</v>
      </c>
      <c r="BM1161" s="2" t="s">
        <v>74</v>
      </c>
      <c r="BN1161" s="2">
        <v>20981740</v>
      </c>
      <c r="BO1161" s="2" t="s">
        <v>74</v>
      </c>
      <c r="BP1161" s="2" t="s">
        <v>74</v>
      </c>
      <c r="BQ1161" s="2" t="s">
        <v>74</v>
      </c>
      <c r="BR1161" s="2" t="s">
        <v>74</v>
      </c>
      <c r="BS1161" s="2" t="s">
        <v>6848</v>
      </c>
      <c r="BT1161" s="2" t="str">
        <f>HYPERLINK("https%3A%2F%2Fwww.webofscience.com%2Fwos%2Fwoscc%2Ffull-record%2FWOS:000286071200005","View Full Record in Web of Science")</f>
        <v>View Full Record in Web of Science</v>
      </c>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row>
    <row r="1162" spans="1:314" s="2" customFormat="1" x14ac:dyDescent="0.4">
      <c r="A1162" s="2" t="s">
        <v>72</v>
      </c>
      <c r="B1162" s="2" t="s">
        <v>7665</v>
      </c>
      <c r="C1162" s="2" t="s">
        <v>74</v>
      </c>
      <c r="D1162" s="2" t="s">
        <v>74</v>
      </c>
      <c r="E1162" s="2" t="s">
        <v>74</v>
      </c>
      <c r="F1162" s="2" t="s">
        <v>7666</v>
      </c>
      <c r="G1162" s="2" t="s">
        <v>74</v>
      </c>
      <c r="H1162" s="2" t="s">
        <v>74</v>
      </c>
      <c r="I1162" s="2" t="s">
        <v>7667</v>
      </c>
      <c r="J1162" s="2" t="s">
        <v>5937</v>
      </c>
      <c r="K1162" s="2" t="s">
        <v>74</v>
      </c>
      <c r="L1162" s="2" t="s">
        <v>74</v>
      </c>
      <c r="M1162" s="2" t="s">
        <v>74</v>
      </c>
      <c r="N1162" s="2" t="s">
        <v>74</v>
      </c>
      <c r="O1162" s="2" t="s">
        <v>74</v>
      </c>
      <c r="P1162" s="2" t="s">
        <v>74</v>
      </c>
      <c r="Q1162" s="2" t="s">
        <v>74</v>
      </c>
      <c r="R1162" s="2" t="s">
        <v>74</v>
      </c>
      <c r="S1162" s="2" t="s">
        <v>74</v>
      </c>
      <c r="T1162" s="2" t="s">
        <v>74</v>
      </c>
      <c r="U1162" s="2" t="s">
        <v>74</v>
      </c>
      <c r="V1162" s="5" t="s">
        <v>7668</v>
      </c>
      <c r="W1162" s="2" t="s">
        <v>74</v>
      </c>
      <c r="X1162" s="2" t="s">
        <v>74</v>
      </c>
      <c r="Y1162" s="2" t="s">
        <v>74</v>
      </c>
      <c r="Z1162" s="2" t="s">
        <v>74</v>
      </c>
      <c r="AA1162" s="2" t="s">
        <v>7669</v>
      </c>
      <c r="AB1162" s="2" t="s">
        <v>7670</v>
      </c>
      <c r="AC1162" s="2" t="s">
        <v>74</v>
      </c>
      <c r="AD1162" s="2" t="s">
        <v>74</v>
      </c>
      <c r="AE1162" s="2" t="s">
        <v>74</v>
      </c>
      <c r="AF1162" s="2" t="s">
        <v>74</v>
      </c>
      <c r="AG1162" s="2" t="s">
        <v>74</v>
      </c>
      <c r="AH1162" s="2" t="s">
        <v>74</v>
      </c>
      <c r="AI1162" s="2" t="s">
        <v>74</v>
      </c>
      <c r="AJ1162" s="2" t="s">
        <v>74</v>
      </c>
      <c r="AK1162" s="2" t="s">
        <v>74</v>
      </c>
      <c r="AL1162" s="2" t="s">
        <v>74</v>
      </c>
      <c r="AM1162" s="2" t="s">
        <v>74</v>
      </c>
      <c r="AN1162" s="2" t="s">
        <v>74</v>
      </c>
      <c r="AO1162" s="2" t="s">
        <v>5941</v>
      </c>
      <c r="AP1162" s="2" t="s">
        <v>74</v>
      </c>
      <c r="AQ1162" s="2" t="s">
        <v>74</v>
      </c>
      <c r="AR1162" s="2" t="s">
        <v>74</v>
      </c>
      <c r="AS1162" s="2" t="s">
        <v>74</v>
      </c>
      <c r="AT1162" s="2" t="s">
        <v>964</v>
      </c>
      <c r="AU1162" s="2">
        <v>2023</v>
      </c>
      <c r="AV1162" s="2">
        <v>13</v>
      </c>
      <c r="AW1162" s="2">
        <v>4</v>
      </c>
      <c r="AX1162" s="2" t="s">
        <v>74</v>
      </c>
      <c r="AY1162" s="2" t="s">
        <v>74</v>
      </c>
      <c r="AZ1162" s="2" t="s">
        <v>74</v>
      </c>
      <c r="BA1162" s="2" t="s">
        <v>74</v>
      </c>
      <c r="BB1162" s="2" t="s">
        <v>74</v>
      </c>
      <c r="BC1162" s="2" t="s">
        <v>74</v>
      </c>
      <c r="BD1162" s="2">
        <v>753</v>
      </c>
      <c r="BE1162" s="2" t="s">
        <v>7671</v>
      </c>
      <c r="BF1162" s="2" t="str">
        <f>HYPERLINK("http://dx.doi.org/10.3390/ani13040753","http://dx.doi.org/10.3390/ani13040753")</f>
        <v>http://dx.doi.org/10.3390/ani13040753</v>
      </c>
      <c r="BG1162" s="2" t="s">
        <v>74</v>
      </c>
      <c r="BH1162" s="2" t="s">
        <v>74</v>
      </c>
      <c r="BI1162" s="2" t="s">
        <v>74</v>
      </c>
      <c r="BJ1162" s="2" t="s">
        <v>74</v>
      </c>
      <c r="BK1162" s="2" t="s">
        <v>74</v>
      </c>
      <c r="BL1162" s="2" t="s">
        <v>74</v>
      </c>
      <c r="BM1162" s="2" t="s">
        <v>74</v>
      </c>
      <c r="BN1162" s="2">
        <v>36830540</v>
      </c>
      <c r="BO1162" s="2" t="s">
        <v>74</v>
      </c>
      <c r="BP1162" s="2" t="s">
        <v>74</v>
      </c>
      <c r="BQ1162" s="2" t="s">
        <v>74</v>
      </c>
      <c r="BR1162" s="2" t="s">
        <v>74</v>
      </c>
      <c r="BS1162" s="2" t="s">
        <v>7672</v>
      </c>
      <c r="BT1162" s="2" t="str">
        <f>HYPERLINK("https%3A%2F%2Fwww.webofscience.com%2Fwos%2Fwoscc%2Ffull-record%2FWOS:000938298300001","View Full Record in Web of Science")</f>
        <v>View Full Record in Web of Science</v>
      </c>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row>
    <row r="1163" spans="1:314" s="1" customFormat="1" x14ac:dyDescent="0.4">
      <c r="A1163" s="2" t="s">
        <v>72</v>
      </c>
      <c r="B1163" s="2" t="s">
        <v>137</v>
      </c>
      <c r="C1163" s="2" t="s">
        <v>74</v>
      </c>
      <c r="D1163" s="2" t="s">
        <v>74</v>
      </c>
      <c r="E1163" s="2" t="s">
        <v>74</v>
      </c>
      <c r="F1163" s="2" t="s">
        <v>138</v>
      </c>
      <c r="G1163" s="2" t="s">
        <v>74</v>
      </c>
      <c r="H1163" s="2" t="s">
        <v>74</v>
      </c>
      <c r="I1163" s="2" t="s">
        <v>139</v>
      </c>
      <c r="J1163" s="2" t="s">
        <v>140</v>
      </c>
      <c r="K1163" s="2" t="s">
        <v>74</v>
      </c>
      <c r="L1163" s="2" t="s">
        <v>74</v>
      </c>
      <c r="M1163" s="2" t="s">
        <v>74</v>
      </c>
      <c r="N1163" s="2" t="s">
        <v>74</v>
      </c>
      <c r="O1163" s="2" t="s">
        <v>74</v>
      </c>
      <c r="P1163" s="2" t="s">
        <v>74</v>
      </c>
      <c r="Q1163" s="2" t="s">
        <v>74</v>
      </c>
      <c r="R1163" s="2" t="s">
        <v>74</v>
      </c>
      <c r="S1163" s="2" t="s">
        <v>74</v>
      </c>
      <c r="T1163" s="2" t="s">
        <v>74</v>
      </c>
      <c r="U1163" s="2" t="s">
        <v>74</v>
      </c>
      <c r="V1163" s="5" t="s">
        <v>141</v>
      </c>
      <c r="W1163" s="2" t="s">
        <v>74</v>
      </c>
      <c r="X1163" s="2" t="s">
        <v>74</v>
      </c>
      <c r="Y1163" s="2" t="s">
        <v>74</v>
      </c>
      <c r="Z1163" s="2" t="s">
        <v>74</v>
      </c>
      <c r="AA1163" s="2" t="s">
        <v>74</v>
      </c>
      <c r="AB1163" s="2" t="s">
        <v>142</v>
      </c>
      <c r="AC1163" s="2" t="s">
        <v>74</v>
      </c>
      <c r="AD1163" s="2" t="s">
        <v>74</v>
      </c>
      <c r="AE1163" s="2" t="s">
        <v>74</v>
      </c>
      <c r="AF1163" s="2" t="s">
        <v>74</v>
      </c>
      <c r="AG1163" s="2" t="s">
        <v>74</v>
      </c>
      <c r="AH1163" s="2" t="s">
        <v>74</v>
      </c>
      <c r="AI1163" s="2" t="s">
        <v>74</v>
      </c>
      <c r="AJ1163" s="2" t="s">
        <v>74</v>
      </c>
      <c r="AK1163" s="2" t="s">
        <v>74</v>
      </c>
      <c r="AL1163" s="2" t="s">
        <v>74</v>
      </c>
      <c r="AM1163" s="2" t="s">
        <v>74</v>
      </c>
      <c r="AN1163" s="2" t="s">
        <v>74</v>
      </c>
      <c r="AO1163" s="2" t="s">
        <v>143</v>
      </c>
      <c r="AP1163" s="2" t="s">
        <v>144</v>
      </c>
      <c r="AQ1163" s="2" t="s">
        <v>74</v>
      </c>
      <c r="AR1163" s="2" t="s">
        <v>74</v>
      </c>
      <c r="AS1163" s="2" t="s">
        <v>74</v>
      </c>
      <c r="AT1163" s="2" t="s">
        <v>145</v>
      </c>
      <c r="AU1163" s="2">
        <v>2015</v>
      </c>
      <c r="AV1163" s="2">
        <v>106</v>
      </c>
      <c r="AW1163" s="2" t="s">
        <v>74</v>
      </c>
      <c r="AX1163" s="2" t="s">
        <v>74</v>
      </c>
      <c r="AY1163" s="2" t="s">
        <v>74</v>
      </c>
      <c r="AZ1163" s="2" t="s">
        <v>74</v>
      </c>
      <c r="BA1163" s="2" t="s">
        <v>74</v>
      </c>
      <c r="BB1163" s="2">
        <v>171</v>
      </c>
      <c r="BC1163" s="2">
        <v>179</v>
      </c>
      <c r="BD1163" s="2" t="s">
        <v>74</v>
      </c>
      <c r="BE1163" s="2" t="s">
        <v>146</v>
      </c>
      <c r="BF1163" s="2" t="str">
        <f>HYPERLINK("http://dx.doi.org/10.1016/j.anbehav.2015.05.016","http://dx.doi.org/10.1016/j.anbehav.2015.05.016")</f>
        <v>http://dx.doi.org/10.1016/j.anbehav.2015.05.016</v>
      </c>
      <c r="BG1163" s="2" t="s">
        <v>74</v>
      </c>
      <c r="BH1163" s="2" t="s">
        <v>74</v>
      </c>
      <c r="BI1163" s="2" t="s">
        <v>74</v>
      </c>
      <c r="BJ1163" s="2" t="s">
        <v>74</v>
      </c>
      <c r="BK1163" s="2" t="s">
        <v>74</v>
      </c>
      <c r="BL1163" s="2" t="s">
        <v>74</v>
      </c>
      <c r="BM1163" s="2" t="s">
        <v>74</v>
      </c>
      <c r="BN1163" s="2" t="s">
        <v>74</v>
      </c>
      <c r="BO1163" s="2" t="s">
        <v>74</v>
      </c>
      <c r="BP1163" s="2" t="s">
        <v>74</v>
      </c>
      <c r="BQ1163" s="2" t="s">
        <v>74</v>
      </c>
      <c r="BR1163" s="2" t="s">
        <v>74</v>
      </c>
      <c r="BS1163" s="2" t="s">
        <v>147</v>
      </c>
      <c r="BT1163" s="2" t="str">
        <f>HYPERLINK("https%3A%2F%2Fwww.webofscience.com%2Fwos%2Fwoscc%2Ffull-record%2FWOS:000358315700022","View Full Record in Web of Science")</f>
        <v>View Full Record in Web of Science</v>
      </c>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row>
  </sheetData>
  <pageMargins left="0.75" right="0.75" top="1" bottom="1" header="0.5" footer="0.5"/>
  <pageSetup orientation="portrait" horizontalDpi="300" verticalDpi="300" r:id="rId1"/>
  <headerFooter alignWithMargins="0"/>
</worksheet>
</file>

<file path=docMetadata/LabelInfo.xml><?xml version="1.0" encoding="utf-8"?>
<clbl:labelList xmlns:clbl="http://schemas.microsoft.com/office/2020/mipLabelMetadata">
  <clbl:label id="{a36450eb-db06-42a7-8d1b-026719f701e3}" enabled="0" method="" siteId="{a36450eb-db06-42a7-8d1b-026719f701e3}"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 8-28-24 search</vt:lpstr>
      <vt:lpstr>check papers</vt:lpstr>
      <vt:lpstr>final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Sarah Ruckman</cp:lastModifiedBy>
  <dcterms:created xsi:type="dcterms:W3CDTF">2024-08-28T15:25:20Z</dcterms:created>
  <dcterms:modified xsi:type="dcterms:W3CDTF">2024-09-10T20:07:18Z</dcterms:modified>
</cp:coreProperties>
</file>